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snt/Downloads/"/>
    </mc:Choice>
  </mc:AlternateContent>
  <xr:revisionPtr revIDLastSave="0" documentId="8_{886764C3-66C8-8240-A35B-FB42FA7DAA73}" xr6:coauthVersionLast="47" xr6:coauthVersionMax="47" xr10:uidLastSave="{00000000-0000-0000-0000-000000000000}"/>
  <bookViews>
    <workbookView xWindow="2740" yWindow="1520" windowWidth="28100" windowHeight="17380" xr2:uid="{AA06D73D-1EBC-8445-ADA6-6F0FBC5DF213}"/>
  </bookViews>
  <sheets>
    <sheet name="calculate_date_1" sheetId="1" r:id="rId1"/>
  </sheets>
  <definedNames>
    <definedName name="_xlnm._FilterDatabase" localSheetId="0" hidden="1">calculate_date_1!$A$1:$BH$1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896" i="1" l="1"/>
  <c r="K6895" i="1"/>
  <c r="K6894" i="1"/>
  <c r="K6893" i="1"/>
  <c r="K6892" i="1"/>
  <c r="K6891" i="1"/>
  <c r="K6890" i="1"/>
  <c r="K6889" i="1"/>
  <c r="K6888" i="1"/>
  <c r="K6887" i="1"/>
  <c r="K6886" i="1"/>
  <c r="K6885" i="1"/>
  <c r="K6884" i="1"/>
  <c r="K6883" i="1"/>
  <c r="K6882" i="1"/>
  <c r="K6881" i="1"/>
  <c r="K6880" i="1"/>
  <c r="K6879" i="1"/>
  <c r="K6878" i="1"/>
  <c r="K6877" i="1"/>
  <c r="K6876" i="1"/>
  <c r="K6875" i="1"/>
  <c r="K6874" i="1"/>
  <c r="K6873" i="1"/>
  <c r="K6872" i="1"/>
  <c r="K6871" i="1"/>
  <c r="K6870" i="1"/>
  <c r="K6869" i="1"/>
  <c r="K6868" i="1"/>
  <c r="K6867" i="1"/>
  <c r="K6866" i="1"/>
  <c r="K6865" i="1"/>
  <c r="K6864" i="1"/>
  <c r="K6863" i="1"/>
  <c r="K6862" i="1"/>
  <c r="K6861" i="1"/>
  <c r="K6860" i="1"/>
  <c r="K6859" i="1"/>
  <c r="K6858" i="1"/>
  <c r="K6857" i="1"/>
  <c r="K6856" i="1"/>
  <c r="K6855" i="1"/>
  <c r="E1697" i="1"/>
  <c r="G1697" i="1"/>
  <c r="J1697" i="1"/>
  <c r="K1697" i="1"/>
  <c r="BF1697" i="1"/>
  <c r="BG1697" i="1"/>
  <c r="E4845" i="1"/>
  <c r="G4845" i="1"/>
  <c r="J4845" i="1"/>
  <c r="K4845" i="1"/>
  <c r="BE4845" i="1"/>
  <c r="BF4845" i="1"/>
  <c r="BG4845" i="1"/>
  <c r="E4846" i="1"/>
  <c r="G4846" i="1"/>
  <c r="J4846" i="1"/>
  <c r="K4846" i="1"/>
  <c r="BE4846" i="1"/>
  <c r="BF4846" i="1"/>
  <c r="BG4846" i="1"/>
  <c r="E4847" i="1"/>
  <c r="G4847" i="1"/>
  <c r="J4847" i="1"/>
  <c r="K4847" i="1"/>
  <c r="BE4847" i="1"/>
  <c r="BF4847" i="1"/>
  <c r="BG4847" i="1"/>
  <c r="E4848" i="1"/>
  <c r="G4848" i="1"/>
  <c r="J4848" i="1"/>
  <c r="K4848" i="1"/>
  <c r="BE4848" i="1"/>
  <c r="BF4848" i="1"/>
  <c r="BG4848" i="1"/>
  <c r="E4849" i="1"/>
  <c r="G4849" i="1"/>
  <c r="J4849" i="1"/>
  <c r="K4849" i="1"/>
  <c r="BE4849" i="1"/>
  <c r="BF4849" i="1"/>
  <c r="BG4849" i="1"/>
  <c r="E4850" i="1"/>
  <c r="G4850" i="1"/>
  <c r="J4850" i="1"/>
  <c r="K4850" i="1"/>
  <c r="BE4850" i="1"/>
  <c r="BF4850" i="1"/>
  <c r="BG4850" i="1"/>
  <c r="E4851" i="1"/>
  <c r="G4851" i="1"/>
  <c r="J4851" i="1"/>
  <c r="K4851" i="1"/>
  <c r="BE4851" i="1"/>
  <c r="BF4851" i="1"/>
  <c r="BG4851" i="1"/>
  <c r="E4852" i="1"/>
  <c r="G4852" i="1"/>
  <c r="J4852" i="1"/>
  <c r="K4852" i="1"/>
  <c r="BE4852" i="1"/>
  <c r="BF4852" i="1"/>
  <c r="BG4852" i="1"/>
  <c r="E76" i="1"/>
  <c r="G76" i="1"/>
  <c r="J76" i="1"/>
  <c r="K76" i="1"/>
  <c r="BF76" i="1"/>
  <c r="BG76" i="1"/>
  <c r="E4853" i="1"/>
  <c r="G4853" i="1"/>
  <c r="J4853" i="1"/>
  <c r="K4853" i="1"/>
  <c r="BE4853" i="1"/>
  <c r="BF4853" i="1"/>
  <c r="BG4853" i="1"/>
  <c r="E4854" i="1"/>
  <c r="G4854" i="1"/>
  <c r="J4854" i="1"/>
  <c r="K4854" i="1"/>
  <c r="BE4854" i="1"/>
  <c r="BF4854" i="1"/>
  <c r="BG4854" i="1"/>
  <c r="E4855" i="1"/>
  <c r="G4855" i="1"/>
  <c r="J4855" i="1"/>
  <c r="K4855" i="1"/>
  <c r="BE4855" i="1"/>
  <c r="BF4855" i="1"/>
  <c r="BG4855" i="1"/>
  <c r="E4856" i="1"/>
  <c r="G4856" i="1"/>
  <c r="J4856" i="1"/>
  <c r="K4856" i="1"/>
  <c r="BE4856" i="1"/>
  <c r="BF4856" i="1"/>
  <c r="BG4856" i="1"/>
  <c r="E2214" i="1"/>
  <c r="G2214" i="1"/>
  <c r="J2214" i="1"/>
  <c r="K2214" i="1"/>
  <c r="BE2214" i="1"/>
  <c r="BF2214" i="1"/>
  <c r="BG2214" i="1"/>
  <c r="E287" i="1"/>
  <c r="G287" i="1"/>
  <c r="J287" i="1"/>
  <c r="K287" i="1"/>
  <c r="BF287" i="1"/>
  <c r="BG287" i="1"/>
  <c r="E288" i="1"/>
  <c r="G288" i="1"/>
  <c r="J288" i="1"/>
  <c r="K288" i="1"/>
  <c r="BF288" i="1"/>
  <c r="BG288" i="1"/>
  <c r="E289" i="1"/>
  <c r="G289" i="1"/>
  <c r="J289" i="1"/>
  <c r="K289" i="1"/>
  <c r="BF289" i="1"/>
  <c r="BG289" i="1"/>
  <c r="E290" i="1"/>
  <c r="G290" i="1"/>
  <c r="J290" i="1"/>
  <c r="K290" i="1"/>
  <c r="BF290" i="1"/>
  <c r="BG290" i="1"/>
  <c r="E291" i="1"/>
  <c r="G291" i="1"/>
  <c r="J291" i="1"/>
  <c r="K291" i="1"/>
  <c r="BF291" i="1"/>
  <c r="BG291" i="1"/>
  <c r="E292" i="1"/>
  <c r="G292" i="1"/>
  <c r="J292" i="1"/>
  <c r="K292" i="1"/>
  <c r="BF292" i="1"/>
  <c r="BG292" i="1"/>
  <c r="E293" i="1"/>
  <c r="G293" i="1"/>
  <c r="J293" i="1"/>
  <c r="K293" i="1"/>
  <c r="BF293" i="1"/>
  <c r="BG293" i="1"/>
  <c r="E294" i="1"/>
  <c r="G294" i="1"/>
  <c r="J294" i="1"/>
  <c r="K294" i="1"/>
  <c r="BF294" i="1"/>
  <c r="BG294" i="1"/>
  <c r="E295" i="1"/>
  <c r="G295" i="1"/>
  <c r="J295" i="1"/>
  <c r="K295" i="1"/>
  <c r="BF295" i="1"/>
  <c r="BG295" i="1"/>
  <c r="E296" i="1"/>
  <c r="G296" i="1"/>
  <c r="J296" i="1"/>
  <c r="K296" i="1"/>
  <c r="BF296" i="1"/>
  <c r="BG296" i="1"/>
  <c r="E297" i="1"/>
  <c r="G297" i="1"/>
  <c r="J297" i="1"/>
  <c r="K297" i="1"/>
  <c r="BF297" i="1"/>
  <c r="BG297" i="1"/>
  <c r="E298" i="1"/>
  <c r="G298" i="1"/>
  <c r="J298" i="1"/>
  <c r="K298" i="1"/>
  <c r="BF298" i="1"/>
  <c r="BG298" i="1"/>
  <c r="E299" i="1"/>
  <c r="G299" i="1"/>
  <c r="J299" i="1"/>
  <c r="K299" i="1"/>
  <c r="BF299" i="1"/>
  <c r="BG299" i="1"/>
  <c r="E300" i="1"/>
  <c r="G300" i="1"/>
  <c r="J300" i="1"/>
  <c r="K300" i="1"/>
  <c r="BF300" i="1"/>
  <c r="BG300" i="1"/>
  <c r="E4857" i="1"/>
  <c r="G4857" i="1"/>
  <c r="J4857" i="1"/>
  <c r="K4857" i="1"/>
  <c r="BE4857" i="1"/>
  <c r="BF4857" i="1"/>
  <c r="BG4857" i="1"/>
  <c r="E4858" i="1"/>
  <c r="G4858" i="1"/>
  <c r="J4858" i="1"/>
  <c r="K4858" i="1"/>
  <c r="BE4858" i="1"/>
  <c r="BF4858" i="1"/>
  <c r="BG4858" i="1"/>
  <c r="E4859" i="1"/>
  <c r="G4859" i="1"/>
  <c r="J4859" i="1"/>
  <c r="K4859" i="1"/>
  <c r="BE4859" i="1"/>
  <c r="BF4859" i="1"/>
  <c r="BG4859" i="1"/>
  <c r="E4860" i="1"/>
  <c r="G4860" i="1"/>
  <c r="J4860" i="1"/>
  <c r="K4860" i="1"/>
  <c r="BE4860" i="1"/>
  <c r="BF4860" i="1"/>
  <c r="BG4860" i="1"/>
  <c r="E2215" i="1"/>
  <c r="G2215" i="1"/>
  <c r="J2215" i="1"/>
  <c r="K2215" i="1"/>
  <c r="BE2215" i="1"/>
  <c r="BF2215" i="1"/>
  <c r="BG2215" i="1"/>
  <c r="E526" i="1"/>
  <c r="G526" i="1"/>
  <c r="J526" i="1"/>
  <c r="K526" i="1"/>
  <c r="BF526" i="1"/>
  <c r="BG526" i="1"/>
  <c r="E527" i="1"/>
  <c r="G527" i="1"/>
  <c r="J527" i="1"/>
  <c r="K527" i="1"/>
  <c r="BF527" i="1"/>
  <c r="BG527" i="1"/>
  <c r="E528" i="1"/>
  <c r="G528" i="1"/>
  <c r="J528" i="1"/>
  <c r="K528" i="1"/>
  <c r="BF528" i="1"/>
  <c r="BG528" i="1"/>
  <c r="E529" i="1"/>
  <c r="G529" i="1"/>
  <c r="J529" i="1"/>
  <c r="K529" i="1"/>
  <c r="BF529" i="1"/>
  <c r="BG529" i="1"/>
  <c r="E1916" i="1"/>
  <c r="G1916" i="1"/>
  <c r="J1916" i="1"/>
  <c r="K1916" i="1"/>
  <c r="BF1916" i="1"/>
  <c r="BG1916" i="1"/>
  <c r="E1917" i="1"/>
  <c r="G1917" i="1"/>
  <c r="J1917" i="1"/>
  <c r="K1917" i="1"/>
  <c r="BF1917" i="1"/>
  <c r="BG1917" i="1"/>
  <c r="E1918" i="1"/>
  <c r="G1918" i="1"/>
  <c r="J1918" i="1"/>
  <c r="K1918" i="1"/>
  <c r="BF1918" i="1"/>
  <c r="BG1918" i="1"/>
  <c r="E1919" i="1"/>
  <c r="G1919" i="1"/>
  <c r="J1919" i="1"/>
  <c r="K1919" i="1"/>
  <c r="BF1919" i="1"/>
  <c r="BG1919" i="1"/>
  <c r="E1920" i="1"/>
  <c r="G1920" i="1"/>
  <c r="J1920" i="1"/>
  <c r="K1920" i="1"/>
  <c r="BF1920" i="1"/>
  <c r="BG1920" i="1"/>
  <c r="E1921" i="1"/>
  <c r="G1921" i="1"/>
  <c r="J1921" i="1"/>
  <c r="K1921" i="1"/>
  <c r="BF1921" i="1"/>
  <c r="BG1921" i="1"/>
  <c r="E1922" i="1"/>
  <c r="G1922" i="1"/>
  <c r="J1922" i="1"/>
  <c r="K1922" i="1"/>
  <c r="BF1922" i="1"/>
  <c r="BG1922" i="1"/>
  <c r="E1923" i="1"/>
  <c r="G1923" i="1"/>
  <c r="J1923" i="1"/>
  <c r="K1923" i="1"/>
  <c r="BF1923" i="1"/>
  <c r="BG1923" i="1"/>
  <c r="E1924" i="1"/>
  <c r="G1924" i="1"/>
  <c r="J1924" i="1"/>
  <c r="K1924" i="1"/>
  <c r="BF1924" i="1"/>
  <c r="BG1924" i="1"/>
  <c r="E1925" i="1"/>
  <c r="G1925" i="1"/>
  <c r="J1925" i="1"/>
  <c r="K1925" i="1"/>
  <c r="BF1925" i="1"/>
  <c r="BG1925" i="1"/>
  <c r="E1926" i="1"/>
  <c r="G1926" i="1"/>
  <c r="J1926" i="1"/>
  <c r="K1926" i="1"/>
  <c r="BF1926" i="1"/>
  <c r="BG1926" i="1"/>
  <c r="E1927" i="1"/>
  <c r="G1927" i="1"/>
  <c r="J1927" i="1"/>
  <c r="K1927" i="1"/>
  <c r="BF1927" i="1"/>
  <c r="BG1927" i="1"/>
  <c r="E1928" i="1"/>
  <c r="G1928" i="1"/>
  <c r="J1928" i="1"/>
  <c r="K1928" i="1"/>
  <c r="BF1928" i="1"/>
  <c r="BG1928" i="1"/>
  <c r="E1929" i="1"/>
  <c r="G1929" i="1"/>
  <c r="J1929" i="1"/>
  <c r="K1929" i="1"/>
  <c r="BF1929" i="1"/>
  <c r="BG1929" i="1"/>
  <c r="E1930" i="1"/>
  <c r="G1930" i="1"/>
  <c r="J1930" i="1"/>
  <c r="K1930" i="1"/>
  <c r="BF1930" i="1"/>
  <c r="BG1930" i="1"/>
  <c r="E1931" i="1"/>
  <c r="G1931" i="1"/>
  <c r="J1931" i="1"/>
  <c r="K1931" i="1"/>
  <c r="BF1931" i="1"/>
  <c r="BG1931" i="1"/>
  <c r="E1932" i="1"/>
  <c r="G1932" i="1"/>
  <c r="J1932" i="1"/>
  <c r="K1932" i="1"/>
  <c r="BF1932" i="1"/>
  <c r="BG1932" i="1"/>
  <c r="E1933" i="1"/>
  <c r="G1933" i="1"/>
  <c r="J1933" i="1"/>
  <c r="K1933" i="1"/>
  <c r="BF1933" i="1"/>
  <c r="BG1933" i="1"/>
  <c r="E1934" i="1"/>
  <c r="G1934" i="1"/>
  <c r="J1934" i="1"/>
  <c r="K1934" i="1"/>
  <c r="BF1934" i="1"/>
  <c r="BG1934" i="1"/>
  <c r="E1935" i="1"/>
  <c r="G1935" i="1"/>
  <c r="J1935" i="1"/>
  <c r="K1935" i="1"/>
  <c r="BF1935" i="1"/>
  <c r="BG1935" i="1"/>
  <c r="E1936" i="1"/>
  <c r="G1936" i="1"/>
  <c r="J1936" i="1"/>
  <c r="K1936" i="1"/>
  <c r="BF1936" i="1"/>
  <c r="BG1936" i="1"/>
  <c r="E1937" i="1"/>
  <c r="G1937" i="1"/>
  <c r="J1937" i="1"/>
  <c r="K1937" i="1"/>
  <c r="BF1937" i="1"/>
  <c r="BG1937" i="1"/>
  <c r="E1938" i="1"/>
  <c r="G1938" i="1"/>
  <c r="J1938" i="1"/>
  <c r="K1938" i="1"/>
  <c r="BF1938" i="1"/>
  <c r="BG1938" i="1"/>
  <c r="E1939" i="1"/>
  <c r="G1939" i="1"/>
  <c r="J1939" i="1"/>
  <c r="K1939" i="1"/>
  <c r="BF1939" i="1"/>
  <c r="BG1939" i="1"/>
  <c r="E1940" i="1"/>
  <c r="G1940" i="1"/>
  <c r="J1940" i="1"/>
  <c r="K1940" i="1"/>
  <c r="BF1940" i="1"/>
  <c r="BG1940" i="1"/>
  <c r="E1941" i="1"/>
  <c r="G1941" i="1"/>
  <c r="J1941" i="1"/>
  <c r="K1941" i="1"/>
  <c r="BF1941" i="1"/>
  <c r="BG1941" i="1"/>
  <c r="E1942" i="1"/>
  <c r="G1942" i="1"/>
  <c r="J1942" i="1"/>
  <c r="K1942" i="1"/>
  <c r="BF1942" i="1"/>
  <c r="BG1942" i="1"/>
  <c r="E1943" i="1"/>
  <c r="G1943" i="1"/>
  <c r="J1943" i="1"/>
  <c r="K1943" i="1"/>
  <c r="BF1943" i="1"/>
  <c r="BG1943" i="1"/>
  <c r="E1944" i="1"/>
  <c r="G1944" i="1"/>
  <c r="J1944" i="1"/>
  <c r="K1944" i="1"/>
  <c r="BF1944" i="1"/>
  <c r="BG1944" i="1"/>
  <c r="E1945" i="1"/>
  <c r="G1945" i="1"/>
  <c r="J1945" i="1"/>
  <c r="K1945" i="1"/>
  <c r="BF1945" i="1"/>
  <c r="BG1945" i="1"/>
  <c r="E1946" i="1"/>
  <c r="G1946" i="1"/>
  <c r="J1946" i="1"/>
  <c r="K1946" i="1"/>
  <c r="BF1946" i="1"/>
  <c r="BG1946" i="1"/>
  <c r="E1947" i="1"/>
  <c r="G1947" i="1"/>
  <c r="J1947" i="1"/>
  <c r="K1947" i="1"/>
  <c r="BF1947" i="1"/>
  <c r="BG1947" i="1"/>
  <c r="E1948" i="1"/>
  <c r="G1948" i="1"/>
  <c r="J1948" i="1"/>
  <c r="K1948" i="1"/>
  <c r="BF1948" i="1"/>
  <c r="BG1948" i="1"/>
  <c r="E1949" i="1"/>
  <c r="G1949" i="1"/>
  <c r="J1949" i="1"/>
  <c r="K1949" i="1"/>
  <c r="BF1949" i="1"/>
  <c r="BG1949" i="1"/>
  <c r="E1950" i="1"/>
  <c r="G1950" i="1"/>
  <c r="J1950" i="1"/>
  <c r="K1950" i="1"/>
  <c r="BF1950" i="1"/>
  <c r="BG1950" i="1"/>
  <c r="E1951" i="1"/>
  <c r="G1951" i="1"/>
  <c r="J1951" i="1"/>
  <c r="K1951" i="1"/>
  <c r="BF1951" i="1"/>
  <c r="BG1951" i="1"/>
  <c r="E1952" i="1"/>
  <c r="G1952" i="1"/>
  <c r="J1952" i="1"/>
  <c r="K1952" i="1"/>
  <c r="BF1952" i="1"/>
  <c r="BG1952" i="1"/>
  <c r="E1953" i="1"/>
  <c r="G1953" i="1"/>
  <c r="J1953" i="1"/>
  <c r="K1953" i="1"/>
  <c r="BF1953" i="1"/>
  <c r="BG1953" i="1"/>
  <c r="E1954" i="1"/>
  <c r="G1954" i="1"/>
  <c r="J1954" i="1"/>
  <c r="K1954" i="1"/>
  <c r="BF1954" i="1"/>
  <c r="BG1954" i="1"/>
  <c r="E1955" i="1"/>
  <c r="G1955" i="1"/>
  <c r="J1955" i="1"/>
  <c r="K1955" i="1"/>
  <c r="BF1955" i="1"/>
  <c r="BG1955" i="1"/>
  <c r="E1956" i="1"/>
  <c r="G1956" i="1"/>
  <c r="J1956" i="1"/>
  <c r="K1956" i="1"/>
  <c r="BF1956" i="1"/>
  <c r="BG1956" i="1"/>
  <c r="E1957" i="1"/>
  <c r="G1957" i="1"/>
  <c r="J1957" i="1"/>
  <c r="K1957" i="1"/>
  <c r="BF1957" i="1"/>
  <c r="BG1957" i="1"/>
  <c r="E1958" i="1"/>
  <c r="G1958" i="1"/>
  <c r="J1958" i="1"/>
  <c r="K1958" i="1"/>
  <c r="BF1958" i="1"/>
  <c r="BG1958" i="1"/>
  <c r="E1959" i="1"/>
  <c r="G1959" i="1"/>
  <c r="J1959" i="1"/>
  <c r="K1959" i="1"/>
  <c r="BF1959" i="1"/>
  <c r="BG1959" i="1"/>
  <c r="E1960" i="1"/>
  <c r="G1960" i="1"/>
  <c r="J1960" i="1"/>
  <c r="K1960" i="1"/>
  <c r="BF1960" i="1"/>
  <c r="BG1960" i="1"/>
  <c r="E1961" i="1"/>
  <c r="G1961" i="1"/>
  <c r="J1961" i="1"/>
  <c r="K1961" i="1"/>
  <c r="BF1961" i="1"/>
  <c r="BG1961" i="1"/>
  <c r="E1962" i="1"/>
  <c r="G1962" i="1"/>
  <c r="J1962" i="1"/>
  <c r="K1962" i="1"/>
  <c r="BF1962" i="1"/>
  <c r="BG1962" i="1"/>
  <c r="E1963" i="1"/>
  <c r="G1963" i="1"/>
  <c r="J1963" i="1"/>
  <c r="K1963" i="1"/>
  <c r="BF1963" i="1"/>
  <c r="BG1963" i="1"/>
  <c r="E1964" i="1"/>
  <c r="G1964" i="1"/>
  <c r="J1964" i="1"/>
  <c r="K1964" i="1"/>
  <c r="BF1964" i="1"/>
  <c r="BG1964" i="1"/>
  <c r="E1965" i="1"/>
  <c r="G1965" i="1"/>
  <c r="J1965" i="1"/>
  <c r="K1965" i="1"/>
  <c r="BF1965" i="1"/>
  <c r="BG1965" i="1"/>
  <c r="E1966" i="1"/>
  <c r="G1966" i="1"/>
  <c r="J1966" i="1"/>
  <c r="K1966" i="1"/>
  <c r="BF1966" i="1"/>
  <c r="BG1966" i="1"/>
  <c r="E1967" i="1"/>
  <c r="G1967" i="1"/>
  <c r="J1967" i="1"/>
  <c r="K1967" i="1"/>
  <c r="BF1967" i="1"/>
  <c r="BG1967" i="1"/>
  <c r="E1968" i="1"/>
  <c r="G1968" i="1"/>
  <c r="J1968" i="1"/>
  <c r="K1968" i="1"/>
  <c r="BF1968" i="1"/>
  <c r="BG1968" i="1"/>
  <c r="E1969" i="1"/>
  <c r="G1969" i="1"/>
  <c r="J1969" i="1"/>
  <c r="K1969" i="1"/>
  <c r="BF1969" i="1"/>
  <c r="BG1969" i="1"/>
  <c r="E1970" i="1"/>
  <c r="G1970" i="1"/>
  <c r="J1970" i="1"/>
  <c r="K1970" i="1"/>
  <c r="BF1970" i="1"/>
  <c r="BG1970" i="1"/>
  <c r="E1971" i="1"/>
  <c r="G1971" i="1"/>
  <c r="J1971" i="1"/>
  <c r="K1971" i="1"/>
  <c r="BF1971" i="1"/>
  <c r="BG1971" i="1"/>
  <c r="E1972" i="1"/>
  <c r="G1972" i="1"/>
  <c r="J1972" i="1"/>
  <c r="K1972" i="1"/>
  <c r="BF1972" i="1"/>
  <c r="BG1972" i="1"/>
  <c r="E1973" i="1"/>
  <c r="G1973" i="1"/>
  <c r="J1973" i="1"/>
  <c r="K1973" i="1"/>
  <c r="BF1973" i="1"/>
  <c r="BG1973" i="1"/>
  <c r="E1974" i="1"/>
  <c r="G1974" i="1"/>
  <c r="J1974" i="1"/>
  <c r="K1974" i="1"/>
  <c r="BF1974" i="1"/>
  <c r="BG1974" i="1"/>
  <c r="E1975" i="1"/>
  <c r="G1975" i="1"/>
  <c r="J1975" i="1"/>
  <c r="K1975" i="1"/>
  <c r="BF1975" i="1"/>
  <c r="BG1975" i="1"/>
  <c r="E1976" i="1"/>
  <c r="G1976" i="1"/>
  <c r="J1976" i="1"/>
  <c r="K1976" i="1"/>
  <c r="BF1976" i="1"/>
  <c r="BG1976" i="1"/>
  <c r="E1977" i="1"/>
  <c r="G1977" i="1"/>
  <c r="J1977" i="1"/>
  <c r="K1977" i="1"/>
  <c r="BF1977" i="1"/>
  <c r="BG1977" i="1"/>
  <c r="E1978" i="1"/>
  <c r="G1978" i="1"/>
  <c r="J1978" i="1"/>
  <c r="K1978" i="1"/>
  <c r="BF1978" i="1"/>
  <c r="BG1978" i="1"/>
  <c r="E1979" i="1"/>
  <c r="G1979" i="1"/>
  <c r="J1979" i="1"/>
  <c r="K1979" i="1"/>
  <c r="BF1979" i="1"/>
  <c r="BG1979" i="1"/>
  <c r="E1980" i="1"/>
  <c r="G1980" i="1"/>
  <c r="J1980" i="1"/>
  <c r="K1980" i="1"/>
  <c r="BF1980" i="1"/>
  <c r="BG1980" i="1"/>
  <c r="E1981" i="1"/>
  <c r="G1981" i="1"/>
  <c r="J1981" i="1"/>
  <c r="K1981" i="1"/>
  <c r="BF1981" i="1"/>
  <c r="BG1981" i="1"/>
  <c r="E1982" i="1"/>
  <c r="G1982" i="1"/>
  <c r="J1982" i="1"/>
  <c r="K1982" i="1"/>
  <c r="BF1982" i="1"/>
  <c r="BG1982" i="1"/>
  <c r="E1983" i="1"/>
  <c r="G1983" i="1"/>
  <c r="J1983" i="1"/>
  <c r="K1983" i="1"/>
  <c r="BF1983" i="1"/>
  <c r="BG1983" i="1"/>
  <c r="E1984" i="1"/>
  <c r="G1984" i="1"/>
  <c r="J1984" i="1"/>
  <c r="K1984" i="1"/>
  <c r="BF1984" i="1"/>
  <c r="BG1984" i="1"/>
  <c r="E1985" i="1"/>
  <c r="G1985" i="1"/>
  <c r="J1985" i="1"/>
  <c r="K1985" i="1"/>
  <c r="BF1985" i="1"/>
  <c r="BG1985" i="1"/>
  <c r="E1986" i="1"/>
  <c r="G1986" i="1"/>
  <c r="J1986" i="1"/>
  <c r="K1986" i="1"/>
  <c r="BF1986" i="1"/>
  <c r="BG1986" i="1"/>
  <c r="E1987" i="1"/>
  <c r="G1987" i="1"/>
  <c r="J1987" i="1"/>
  <c r="K1987" i="1"/>
  <c r="BF1987" i="1"/>
  <c r="BG1987" i="1"/>
  <c r="E1988" i="1"/>
  <c r="G1988" i="1"/>
  <c r="J1988" i="1"/>
  <c r="K1988" i="1"/>
  <c r="BF1988" i="1"/>
  <c r="BG1988" i="1"/>
  <c r="E1989" i="1"/>
  <c r="G1989" i="1"/>
  <c r="J1989" i="1"/>
  <c r="K1989" i="1"/>
  <c r="BF1989" i="1"/>
  <c r="BG1989" i="1"/>
  <c r="E1990" i="1"/>
  <c r="G1990" i="1"/>
  <c r="J1990" i="1"/>
  <c r="K1990" i="1"/>
  <c r="BF1990" i="1"/>
  <c r="BG1990" i="1"/>
  <c r="E1991" i="1"/>
  <c r="G1991" i="1"/>
  <c r="J1991" i="1"/>
  <c r="K1991" i="1"/>
  <c r="BF1991" i="1"/>
  <c r="BG1991" i="1"/>
  <c r="E1992" i="1"/>
  <c r="G1992" i="1"/>
  <c r="J1992" i="1"/>
  <c r="K1992" i="1"/>
  <c r="BF1992" i="1"/>
  <c r="BG1992" i="1"/>
  <c r="E1993" i="1"/>
  <c r="G1993" i="1"/>
  <c r="J1993" i="1"/>
  <c r="K1993" i="1"/>
  <c r="BF1993" i="1"/>
  <c r="BG1993" i="1"/>
  <c r="E1994" i="1"/>
  <c r="G1994" i="1"/>
  <c r="J1994" i="1"/>
  <c r="K1994" i="1"/>
  <c r="BF1994" i="1"/>
  <c r="BG1994" i="1"/>
  <c r="E647" i="1"/>
  <c r="G647" i="1"/>
  <c r="J647" i="1"/>
  <c r="K647" i="1"/>
  <c r="BF647" i="1"/>
  <c r="BG647" i="1"/>
  <c r="E648" i="1"/>
  <c r="G648" i="1"/>
  <c r="J648" i="1"/>
  <c r="K648" i="1"/>
  <c r="BF648" i="1"/>
  <c r="BG648" i="1"/>
  <c r="E649" i="1"/>
  <c r="G649" i="1"/>
  <c r="J649" i="1"/>
  <c r="K649" i="1"/>
  <c r="BF649" i="1"/>
  <c r="BG649" i="1"/>
  <c r="E650" i="1"/>
  <c r="G650" i="1"/>
  <c r="J650" i="1"/>
  <c r="K650" i="1"/>
  <c r="BF650" i="1"/>
  <c r="BG650" i="1"/>
  <c r="E651" i="1"/>
  <c r="G651" i="1"/>
  <c r="J651" i="1"/>
  <c r="K651" i="1"/>
  <c r="BF651" i="1"/>
  <c r="BG651" i="1"/>
  <c r="E2216" i="1"/>
  <c r="G2216" i="1"/>
  <c r="J2216" i="1"/>
  <c r="K2216" i="1"/>
  <c r="BE2216" i="1"/>
  <c r="BF2216" i="1"/>
  <c r="BG2216" i="1"/>
  <c r="E4060" i="1"/>
  <c r="G4060" i="1"/>
  <c r="J4060" i="1"/>
  <c r="K4060" i="1"/>
  <c r="BE4060" i="1"/>
  <c r="BF4060" i="1"/>
  <c r="BG4060" i="1"/>
  <c r="E4861" i="1"/>
  <c r="G4861" i="1"/>
  <c r="J4861" i="1"/>
  <c r="K4861" i="1"/>
  <c r="BE4861" i="1"/>
  <c r="BF4861" i="1"/>
  <c r="BG4861" i="1"/>
  <c r="E4862" i="1"/>
  <c r="G4862" i="1"/>
  <c r="J4862" i="1"/>
  <c r="K4862" i="1"/>
  <c r="BE4862" i="1"/>
  <c r="BF4862" i="1"/>
  <c r="BG4862" i="1"/>
  <c r="E793" i="1"/>
  <c r="G793" i="1"/>
  <c r="J793" i="1"/>
  <c r="K793" i="1"/>
  <c r="BE793" i="1"/>
  <c r="BF793" i="1"/>
  <c r="BG793" i="1"/>
  <c r="E794" i="1"/>
  <c r="G794" i="1"/>
  <c r="J794" i="1"/>
  <c r="K794" i="1"/>
  <c r="BE794" i="1"/>
  <c r="BF794" i="1"/>
  <c r="BG794" i="1"/>
  <c r="E795" i="1"/>
  <c r="G795" i="1"/>
  <c r="J795" i="1"/>
  <c r="K795" i="1"/>
  <c r="BE795" i="1"/>
  <c r="BF795" i="1"/>
  <c r="BG795" i="1"/>
  <c r="E796" i="1"/>
  <c r="G796" i="1"/>
  <c r="J796" i="1"/>
  <c r="K796" i="1"/>
  <c r="BE796" i="1"/>
  <c r="BF796" i="1"/>
  <c r="BG796" i="1"/>
  <c r="E797" i="1"/>
  <c r="G797" i="1"/>
  <c r="J797" i="1"/>
  <c r="K797" i="1"/>
  <c r="BE797" i="1"/>
  <c r="BF797" i="1"/>
  <c r="BG797" i="1"/>
  <c r="E798" i="1"/>
  <c r="G798" i="1"/>
  <c r="J798" i="1"/>
  <c r="K798" i="1"/>
  <c r="BE798" i="1"/>
  <c r="BF798" i="1"/>
  <c r="BG798" i="1"/>
  <c r="E4061" i="1"/>
  <c r="G4061" i="1"/>
  <c r="J4061" i="1"/>
  <c r="K4061" i="1"/>
  <c r="BE4061" i="1"/>
  <c r="BF4061" i="1"/>
  <c r="BG4061" i="1"/>
  <c r="E1995" i="1"/>
  <c r="G1995" i="1"/>
  <c r="J1995" i="1"/>
  <c r="K1995" i="1"/>
  <c r="BF1995" i="1"/>
  <c r="BG1995" i="1"/>
  <c r="E1996" i="1"/>
  <c r="G1996" i="1"/>
  <c r="J1996" i="1"/>
  <c r="K1996" i="1"/>
  <c r="BF1996" i="1"/>
  <c r="BG1996" i="1"/>
  <c r="E2217" i="1"/>
  <c r="G2217" i="1"/>
  <c r="J2217" i="1"/>
  <c r="K2217" i="1"/>
  <c r="BE2217" i="1"/>
  <c r="BF2217" i="1"/>
  <c r="BG2217" i="1"/>
  <c r="E4062" i="1"/>
  <c r="G4062" i="1"/>
  <c r="J4062" i="1"/>
  <c r="K4062" i="1"/>
  <c r="BE4062" i="1"/>
  <c r="BF4062" i="1"/>
  <c r="BG4062" i="1"/>
  <c r="E1997" i="1"/>
  <c r="G1997" i="1"/>
  <c r="J1997" i="1"/>
  <c r="K1997" i="1"/>
  <c r="BF1997" i="1"/>
  <c r="BG1997" i="1"/>
  <c r="E4063" i="1"/>
  <c r="G4063" i="1"/>
  <c r="J4063" i="1"/>
  <c r="K4063" i="1"/>
  <c r="BE4063" i="1"/>
  <c r="BF4063" i="1"/>
  <c r="BG4063" i="1"/>
  <c r="E1998" i="1"/>
  <c r="G1998" i="1"/>
  <c r="J1998" i="1"/>
  <c r="K1998" i="1"/>
  <c r="BF1998" i="1"/>
  <c r="BG1998" i="1"/>
  <c r="E1999" i="1"/>
  <c r="G1999" i="1"/>
  <c r="J1999" i="1"/>
  <c r="K1999" i="1"/>
  <c r="BF1999" i="1"/>
  <c r="BG1999" i="1"/>
  <c r="E2218" i="1"/>
  <c r="G2218" i="1"/>
  <c r="J2218" i="1"/>
  <c r="K2218" i="1"/>
  <c r="BE2218" i="1"/>
  <c r="BF2218" i="1"/>
  <c r="BG2218" i="1"/>
  <c r="E4064" i="1"/>
  <c r="G4064" i="1"/>
  <c r="J4064" i="1"/>
  <c r="K4064" i="1"/>
  <c r="BE4064" i="1"/>
  <c r="BF4064" i="1"/>
  <c r="BG4064" i="1"/>
  <c r="E4065" i="1"/>
  <c r="G4065" i="1"/>
  <c r="J4065" i="1"/>
  <c r="K4065" i="1"/>
  <c r="BE4065" i="1"/>
  <c r="BF4065" i="1"/>
  <c r="BG4065" i="1"/>
  <c r="E2219" i="1"/>
  <c r="G2219" i="1"/>
  <c r="J2219" i="1"/>
  <c r="K2219" i="1"/>
  <c r="BE2219" i="1"/>
  <c r="BG2219" i="1"/>
  <c r="E2000" i="1"/>
  <c r="G2000" i="1"/>
  <c r="J2000" i="1"/>
  <c r="K2000" i="1"/>
  <c r="BF2000" i="1"/>
  <c r="BG2000" i="1"/>
  <c r="E2001" i="1"/>
  <c r="G2001" i="1"/>
  <c r="J2001" i="1"/>
  <c r="K2001" i="1"/>
  <c r="BF2001" i="1"/>
  <c r="BG2001" i="1"/>
  <c r="E4066" i="1"/>
  <c r="G4066" i="1"/>
  <c r="J4066" i="1"/>
  <c r="K4066" i="1"/>
  <c r="BE4066" i="1"/>
  <c r="BF4066" i="1"/>
  <c r="BG4066" i="1"/>
  <c r="E4067" i="1"/>
  <c r="G4067" i="1"/>
  <c r="J4067" i="1"/>
  <c r="K4067" i="1"/>
  <c r="BE4067" i="1"/>
  <c r="BF4067" i="1"/>
  <c r="BG4067" i="1"/>
  <c r="E2220" i="1"/>
  <c r="G2220" i="1"/>
  <c r="J2220" i="1"/>
  <c r="K2220" i="1"/>
  <c r="BE2220" i="1"/>
  <c r="BF2220" i="1"/>
  <c r="BG2220" i="1"/>
  <c r="E2221" i="1"/>
  <c r="G2221" i="1"/>
  <c r="J2221" i="1"/>
  <c r="K2221" i="1"/>
  <c r="BE2221" i="1"/>
  <c r="BF2221" i="1"/>
  <c r="BG2221" i="1"/>
  <c r="E2222" i="1"/>
  <c r="G2222" i="1"/>
  <c r="J2222" i="1"/>
  <c r="K2222" i="1"/>
  <c r="BE2222" i="1"/>
  <c r="BF2222" i="1"/>
  <c r="BG2222" i="1"/>
  <c r="E2223" i="1"/>
  <c r="G2223" i="1"/>
  <c r="J2223" i="1"/>
  <c r="K2223" i="1"/>
  <c r="BE2223" i="1"/>
  <c r="BF2223" i="1"/>
  <c r="BG2223" i="1"/>
  <c r="E2224" i="1"/>
  <c r="G2224" i="1"/>
  <c r="J2224" i="1"/>
  <c r="K2224" i="1"/>
  <c r="BE2224" i="1"/>
  <c r="BF2224" i="1"/>
  <c r="BG2224" i="1"/>
  <c r="E2225" i="1"/>
  <c r="G2225" i="1"/>
  <c r="J2225" i="1"/>
  <c r="K2225" i="1"/>
  <c r="BE2225" i="1"/>
  <c r="BF2225" i="1"/>
  <c r="BG2225" i="1"/>
  <c r="E2226" i="1"/>
  <c r="G2226" i="1"/>
  <c r="J2226" i="1"/>
  <c r="K2226" i="1"/>
  <c r="BE2226" i="1"/>
  <c r="BF2226" i="1"/>
  <c r="BG2226" i="1"/>
  <c r="E2227" i="1"/>
  <c r="G2227" i="1"/>
  <c r="J2227" i="1"/>
  <c r="K2227" i="1"/>
  <c r="BE2227" i="1"/>
  <c r="BF2227" i="1"/>
  <c r="BG2227" i="1"/>
  <c r="E2228" i="1"/>
  <c r="G2228" i="1"/>
  <c r="J2228" i="1"/>
  <c r="K2228" i="1"/>
  <c r="BE2228" i="1"/>
  <c r="BF2228" i="1"/>
  <c r="BG2228" i="1"/>
  <c r="E2229" i="1"/>
  <c r="G2229" i="1"/>
  <c r="J2229" i="1"/>
  <c r="K2229" i="1"/>
  <c r="BE2229" i="1"/>
  <c r="BF2229" i="1"/>
  <c r="BG2229" i="1"/>
  <c r="E2230" i="1"/>
  <c r="G2230" i="1"/>
  <c r="J2230" i="1"/>
  <c r="K2230" i="1"/>
  <c r="BE2230" i="1"/>
  <c r="BF2230" i="1"/>
  <c r="BG2230" i="1"/>
  <c r="E2231" i="1"/>
  <c r="G2231" i="1"/>
  <c r="J2231" i="1"/>
  <c r="K2231" i="1"/>
  <c r="BE2231" i="1"/>
  <c r="BF2231" i="1"/>
  <c r="BG2231" i="1"/>
  <c r="E2232" i="1"/>
  <c r="G2232" i="1"/>
  <c r="J2232" i="1"/>
  <c r="K2232" i="1"/>
  <c r="BE2232" i="1"/>
  <c r="BF2232" i="1"/>
  <c r="BG2232" i="1"/>
  <c r="E2233" i="1"/>
  <c r="G2233" i="1"/>
  <c r="J2233" i="1"/>
  <c r="K2233" i="1"/>
  <c r="BE2233" i="1"/>
  <c r="BF2233" i="1"/>
  <c r="BG2233" i="1"/>
  <c r="E2234" i="1"/>
  <c r="G2234" i="1"/>
  <c r="J2234" i="1"/>
  <c r="K2234" i="1"/>
  <c r="BE2234" i="1"/>
  <c r="BF2234" i="1"/>
  <c r="BG2234" i="1"/>
  <c r="E2235" i="1"/>
  <c r="G2235" i="1"/>
  <c r="J2235" i="1"/>
  <c r="K2235" i="1"/>
  <c r="BE2235" i="1"/>
  <c r="BF2235" i="1"/>
  <c r="BG2235" i="1"/>
  <c r="E2236" i="1"/>
  <c r="G2236" i="1"/>
  <c r="J2236" i="1"/>
  <c r="K2236" i="1"/>
  <c r="BE2236" i="1"/>
  <c r="BF2236" i="1"/>
  <c r="BG2236" i="1"/>
  <c r="E2237" i="1"/>
  <c r="G2237" i="1"/>
  <c r="J2237" i="1"/>
  <c r="K2237" i="1"/>
  <c r="BE2237" i="1"/>
  <c r="BF2237" i="1"/>
  <c r="BG2237" i="1"/>
  <c r="E2238" i="1"/>
  <c r="G2238" i="1"/>
  <c r="J2238" i="1"/>
  <c r="K2238" i="1"/>
  <c r="BE2238" i="1"/>
  <c r="BF2238" i="1"/>
  <c r="BG2238" i="1"/>
  <c r="E2239" i="1"/>
  <c r="G2239" i="1"/>
  <c r="J2239" i="1"/>
  <c r="K2239" i="1"/>
  <c r="BE2239" i="1"/>
  <c r="BF2239" i="1"/>
  <c r="BG2239" i="1"/>
  <c r="E2240" i="1"/>
  <c r="G2240" i="1"/>
  <c r="J2240" i="1"/>
  <c r="K2240" i="1"/>
  <c r="BE2240" i="1"/>
  <c r="BF2240" i="1"/>
  <c r="BG2240" i="1"/>
  <c r="E2241" i="1"/>
  <c r="G2241" i="1"/>
  <c r="J2241" i="1"/>
  <c r="K2241" i="1"/>
  <c r="BE2241" i="1"/>
  <c r="BF2241" i="1"/>
  <c r="BG2241" i="1"/>
  <c r="E2242" i="1"/>
  <c r="G2242" i="1"/>
  <c r="J2242" i="1"/>
  <c r="K2242" i="1"/>
  <c r="BE2242" i="1"/>
  <c r="BF2242" i="1"/>
  <c r="BG2242" i="1"/>
  <c r="E758" i="1"/>
  <c r="G758" i="1"/>
  <c r="J758" i="1"/>
  <c r="K758" i="1"/>
  <c r="BE758" i="1"/>
  <c r="BF758" i="1"/>
  <c r="BG758" i="1"/>
  <c r="E759" i="1"/>
  <c r="G759" i="1"/>
  <c r="J759" i="1"/>
  <c r="K759" i="1"/>
  <c r="BE759" i="1"/>
  <c r="BF759" i="1"/>
  <c r="BG759" i="1"/>
  <c r="E760" i="1"/>
  <c r="G760" i="1"/>
  <c r="J760" i="1"/>
  <c r="K760" i="1"/>
  <c r="BE760" i="1"/>
  <c r="BF760" i="1"/>
  <c r="BG760" i="1"/>
  <c r="E761" i="1"/>
  <c r="G761" i="1"/>
  <c r="J761" i="1"/>
  <c r="K761" i="1"/>
  <c r="BE761" i="1"/>
  <c r="BF761" i="1"/>
  <c r="BG761" i="1"/>
  <c r="E762" i="1"/>
  <c r="G762" i="1"/>
  <c r="J762" i="1"/>
  <c r="K762" i="1"/>
  <c r="BE762" i="1"/>
  <c r="BF762" i="1"/>
  <c r="BG762" i="1"/>
  <c r="E763" i="1"/>
  <c r="G763" i="1"/>
  <c r="J763" i="1"/>
  <c r="K763" i="1"/>
  <c r="BE763" i="1"/>
  <c r="BF763" i="1"/>
  <c r="BG763" i="1"/>
  <c r="E4863" i="1"/>
  <c r="G4863" i="1"/>
  <c r="J4863" i="1"/>
  <c r="K4863" i="1"/>
  <c r="BE4863" i="1"/>
  <c r="BF4863" i="1"/>
  <c r="BG4863" i="1"/>
  <c r="E203" i="1"/>
  <c r="G203" i="1"/>
  <c r="J203" i="1"/>
  <c r="K203" i="1"/>
  <c r="BE203" i="1"/>
  <c r="BF203" i="1"/>
  <c r="BG203" i="1"/>
  <c r="E204" i="1"/>
  <c r="G204" i="1"/>
  <c r="J204" i="1"/>
  <c r="K204" i="1"/>
  <c r="BE204" i="1"/>
  <c r="BF204" i="1"/>
  <c r="BG204" i="1"/>
  <c r="E205" i="1"/>
  <c r="G205" i="1"/>
  <c r="J205" i="1"/>
  <c r="K205" i="1"/>
  <c r="BE205" i="1"/>
  <c r="BF205" i="1"/>
  <c r="BG205" i="1"/>
  <c r="E206" i="1"/>
  <c r="G206" i="1"/>
  <c r="J206" i="1"/>
  <c r="K206" i="1"/>
  <c r="BE206" i="1"/>
  <c r="BF206" i="1"/>
  <c r="BG206" i="1"/>
  <c r="E207" i="1"/>
  <c r="G207" i="1"/>
  <c r="J207" i="1"/>
  <c r="K207" i="1"/>
  <c r="BE207" i="1"/>
  <c r="BF207" i="1"/>
  <c r="BG207" i="1"/>
  <c r="E208" i="1"/>
  <c r="G208" i="1"/>
  <c r="J208" i="1"/>
  <c r="K208" i="1"/>
  <c r="BE208" i="1"/>
  <c r="BF208" i="1"/>
  <c r="BG208" i="1"/>
  <c r="E209" i="1"/>
  <c r="G209" i="1"/>
  <c r="J209" i="1"/>
  <c r="K209" i="1"/>
  <c r="BE209" i="1"/>
  <c r="BF209" i="1"/>
  <c r="BG209" i="1"/>
  <c r="E776" i="1"/>
  <c r="G776" i="1"/>
  <c r="J776" i="1"/>
  <c r="K776" i="1"/>
  <c r="BE776" i="1"/>
  <c r="BF776" i="1"/>
  <c r="BG776" i="1"/>
  <c r="E777" i="1"/>
  <c r="G777" i="1"/>
  <c r="J777" i="1"/>
  <c r="K777" i="1"/>
  <c r="BE777" i="1"/>
  <c r="BF777" i="1"/>
  <c r="BG777" i="1"/>
  <c r="E4864" i="1"/>
  <c r="G4864" i="1"/>
  <c r="J4864" i="1"/>
  <c r="K4864" i="1"/>
  <c r="BE4864" i="1"/>
  <c r="BF4864" i="1"/>
  <c r="BG4864" i="1"/>
  <c r="E4865" i="1"/>
  <c r="G4865" i="1"/>
  <c r="J4865" i="1"/>
  <c r="K4865" i="1"/>
  <c r="BE4865" i="1"/>
  <c r="BF4865" i="1"/>
  <c r="BG4865" i="1"/>
  <c r="E4866" i="1"/>
  <c r="G4866" i="1"/>
  <c r="J4866" i="1"/>
  <c r="K4866" i="1"/>
  <c r="BE4866" i="1"/>
  <c r="BF4866" i="1"/>
  <c r="BG4866" i="1"/>
  <c r="E4867" i="1"/>
  <c r="G4867" i="1"/>
  <c r="J4867" i="1"/>
  <c r="K4867" i="1"/>
  <c r="BE4867" i="1"/>
  <c r="BF4867" i="1"/>
  <c r="BG4867" i="1"/>
  <c r="E330" i="1"/>
  <c r="G330" i="1"/>
  <c r="J330" i="1"/>
  <c r="K330" i="1"/>
  <c r="BE330" i="1"/>
  <c r="BF330" i="1"/>
  <c r="BG330" i="1"/>
  <c r="E331" i="1"/>
  <c r="G331" i="1"/>
  <c r="J331" i="1"/>
  <c r="K331" i="1"/>
  <c r="BE331" i="1"/>
  <c r="BF331" i="1"/>
  <c r="BG331" i="1"/>
  <c r="E210" i="1"/>
  <c r="G210" i="1"/>
  <c r="J210" i="1"/>
  <c r="K210" i="1"/>
  <c r="BE210" i="1"/>
  <c r="BF210" i="1"/>
  <c r="BG210" i="1"/>
  <c r="E4868" i="1"/>
  <c r="G4868" i="1"/>
  <c r="J4868" i="1"/>
  <c r="K4868" i="1"/>
  <c r="BE4868" i="1"/>
  <c r="BF4868" i="1"/>
  <c r="BG4868" i="1"/>
  <c r="E4869" i="1"/>
  <c r="G4869" i="1"/>
  <c r="J4869" i="1"/>
  <c r="K4869" i="1"/>
  <c r="BE4869" i="1"/>
  <c r="BF4869" i="1"/>
  <c r="BG4869" i="1"/>
  <c r="E4870" i="1"/>
  <c r="G4870" i="1"/>
  <c r="J4870" i="1"/>
  <c r="K4870" i="1"/>
  <c r="BE4870" i="1"/>
  <c r="BF4870" i="1"/>
  <c r="BG4870" i="1"/>
  <c r="E6125" i="1"/>
  <c r="G6125" i="1"/>
  <c r="J6125" i="1"/>
  <c r="K6125" i="1"/>
  <c r="BE6125" i="1"/>
  <c r="BF6125" i="1"/>
  <c r="BG6125" i="1"/>
  <c r="E6126" i="1"/>
  <c r="G6126" i="1"/>
  <c r="J6126" i="1"/>
  <c r="K6126" i="1"/>
  <c r="BE6126" i="1"/>
  <c r="BF6126" i="1"/>
  <c r="BG6126" i="1"/>
  <c r="E6127" i="1"/>
  <c r="G6127" i="1"/>
  <c r="J6127" i="1"/>
  <c r="K6127" i="1"/>
  <c r="BE6127" i="1"/>
  <c r="BF6127" i="1"/>
  <c r="BG6127" i="1"/>
  <c r="E6128" i="1"/>
  <c r="G6128" i="1"/>
  <c r="J6128" i="1"/>
  <c r="K6128" i="1"/>
  <c r="BE6128" i="1"/>
  <c r="BF6128" i="1"/>
  <c r="BG6128" i="1"/>
  <c r="E6129" i="1"/>
  <c r="G6129" i="1"/>
  <c r="J6129" i="1"/>
  <c r="K6129" i="1"/>
  <c r="BE6129" i="1"/>
  <c r="BF6129" i="1"/>
  <c r="BG6129" i="1"/>
  <c r="E6130" i="1"/>
  <c r="G6130" i="1"/>
  <c r="J6130" i="1"/>
  <c r="K6130" i="1"/>
  <c r="BE6130" i="1"/>
  <c r="BF6130" i="1"/>
  <c r="BG6130" i="1"/>
  <c r="E6131" i="1"/>
  <c r="G6131" i="1"/>
  <c r="J6131" i="1"/>
  <c r="K6131" i="1"/>
  <c r="BE6131" i="1"/>
  <c r="BF6131" i="1"/>
  <c r="BG6131" i="1"/>
  <c r="E6132" i="1"/>
  <c r="G6132" i="1"/>
  <c r="J6132" i="1"/>
  <c r="K6132" i="1"/>
  <c r="BE6132" i="1"/>
  <c r="BF6132" i="1"/>
  <c r="BG6132" i="1"/>
  <c r="E6133" i="1"/>
  <c r="G6133" i="1"/>
  <c r="J6133" i="1"/>
  <c r="K6133" i="1"/>
  <c r="BE6133" i="1"/>
  <c r="BF6133" i="1"/>
  <c r="BG6133" i="1"/>
  <c r="E6134" i="1"/>
  <c r="G6134" i="1"/>
  <c r="J6134" i="1"/>
  <c r="K6134" i="1"/>
  <c r="BE6134" i="1"/>
  <c r="BF6134" i="1"/>
  <c r="BG6134" i="1"/>
  <c r="E6135" i="1"/>
  <c r="G6135" i="1"/>
  <c r="J6135" i="1"/>
  <c r="K6135" i="1"/>
  <c r="BE6135" i="1"/>
  <c r="BF6135" i="1"/>
  <c r="BG6135" i="1"/>
  <c r="E6136" i="1"/>
  <c r="G6136" i="1"/>
  <c r="J6136" i="1"/>
  <c r="K6136" i="1"/>
  <c r="BE6136" i="1"/>
  <c r="BF6136" i="1"/>
  <c r="BG6136" i="1"/>
  <c r="E6137" i="1"/>
  <c r="G6137" i="1"/>
  <c r="J6137" i="1"/>
  <c r="K6137" i="1"/>
  <c r="BE6137" i="1"/>
  <c r="BF6137" i="1"/>
  <c r="BG6137" i="1"/>
  <c r="E6138" i="1"/>
  <c r="G6138" i="1"/>
  <c r="J6138" i="1"/>
  <c r="K6138" i="1"/>
  <c r="BE6138" i="1"/>
  <c r="BF6138" i="1"/>
  <c r="BG6138" i="1"/>
  <c r="E6139" i="1"/>
  <c r="G6139" i="1"/>
  <c r="J6139" i="1"/>
  <c r="K6139" i="1"/>
  <c r="BE6139" i="1"/>
  <c r="BF6139" i="1"/>
  <c r="BG6139" i="1"/>
  <c r="E6140" i="1"/>
  <c r="G6140" i="1"/>
  <c r="J6140" i="1"/>
  <c r="K6140" i="1"/>
  <c r="BE6140" i="1"/>
  <c r="BF6140" i="1"/>
  <c r="BG6140" i="1"/>
  <c r="E6141" i="1"/>
  <c r="G6141" i="1"/>
  <c r="J6141" i="1"/>
  <c r="K6141" i="1"/>
  <c r="BE6141" i="1"/>
  <c r="BF6141" i="1"/>
  <c r="BG6141" i="1"/>
  <c r="E6142" i="1"/>
  <c r="G6142" i="1"/>
  <c r="J6142" i="1"/>
  <c r="K6142" i="1"/>
  <c r="BE6142" i="1"/>
  <c r="BF6142" i="1"/>
  <c r="BG6142" i="1"/>
  <c r="E6143" i="1"/>
  <c r="G6143" i="1"/>
  <c r="J6143" i="1"/>
  <c r="K6143" i="1"/>
  <c r="BE6143" i="1"/>
  <c r="BF6143" i="1"/>
  <c r="BG6143" i="1"/>
  <c r="E6144" i="1"/>
  <c r="G6144" i="1"/>
  <c r="J6144" i="1"/>
  <c r="K6144" i="1"/>
  <c r="BE6144" i="1"/>
  <c r="BF6144" i="1"/>
  <c r="BG6144" i="1"/>
  <c r="E6145" i="1"/>
  <c r="G6145" i="1"/>
  <c r="J6145" i="1"/>
  <c r="K6145" i="1"/>
  <c r="BE6145" i="1"/>
  <c r="BF6145" i="1"/>
  <c r="BG6145" i="1"/>
  <c r="E6146" i="1"/>
  <c r="G6146" i="1"/>
  <c r="J6146" i="1"/>
  <c r="K6146" i="1"/>
  <c r="BE6146" i="1"/>
  <c r="BF6146" i="1"/>
  <c r="BG6146" i="1"/>
  <c r="E6147" i="1"/>
  <c r="G6147" i="1"/>
  <c r="J6147" i="1"/>
  <c r="K6147" i="1"/>
  <c r="BE6147" i="1"/>
  <c r="BF6147" i="1"/>
  <c r="BG6147" i="1"/>
  <c r="E6148" i="1"/>
  <c r="G6148" i="1"/>
  <c r="J6148" i="1"/>
  <c r="K6148" i="1"/>
  <c r="BE6148" i="1"/>
  <c r="BF6148" i="1"/>
  <c r="BG6148" i="1"/>
  <c r="E6149" i="1"/>
  <c r="G6149" i="1"/>
  <c r="J6149" i="1"/>
  <c r="K6149" i="1"/>
  <c r="BE6149" i="1"/>
  <c r="BF6149" i="1"/>
  <c r="BG6149" i="1"/>
  <c r="E6150" i="1"/>
  <c r="G6150" i="1"/>
  <c r="J6150" i="1"/>
  <c r="K6150" i="1"/>
  <c r="BE6150" i="1"/>
  <c r="BF6150" i="1"/>
  <c r="BG6150" i="1"/>
  <c r="E6151" i="1"/>
  <c r="G6151" i="1"/>
  <c r="J6151" i="1"/>
  <c r="K6151" i="1"/>
  <c r="BE6151" i="1"/>
  <c r="BF6151" i="1"/>
  <c r="BG6151" i="1"/>
  <c r="E6152" i="1"/>
  <c r="G6152" i="1"/>
  <c r="J6152" i="1"/>
  <c r="K6152" i="1"/>
  <c r="BE6152" i="1"/>
  <c r="BF6152" i="1"/>
  <c r="BG6152" i="1"/>
  <c r="E6153" i="1"/>
  <c r="G6153" i="1"/>
  <c r="J6153" i="1"/>
  <c r="K6153" i="1"/>
  <c r="BE6153" i="1"/>
  <c r="BF6153" i="1"/>
  <c r="BG6153" i="1"/>
  <c r="E6154" i="1"/>
  <c r="G6154" i="1"/>
  <c r="J6154" i="1"/>
  <c r="K6154" i="1"/>
  <c r="BE6154" i="1"/>
  <c r="BF6154" i="1"/>
  <c r="BG6154" i="1"/>
  <c r="E6155" i="1"/>
  <c r="G6155" i="1"/>
  <c r="J6155" i="1"/>
  <c r="K6155" i="1"/>
  <c r="BE6155" i="1"/>
  <c r="BF6155" i="1"/>
  <c r="BG6155" i="1"/>
  <c r="E590" i="1"/>
  <c r="G590" i="1"/>
  <c r="J590" i="1"/>
  <c r="K590" i="1"/>
  <c r="BE590" i="1"/>
  <c r="BF590" i="1"/>
  <c r="BG590" i="1"/>
  <c r="BH590" i="1"/>
  <c r="E505" i="1"/>
  <c r="G505" i="1"/>
  <c r="J505" i="1"/>
  <c r="K505" i="1"/>
  <c r="BE505" i="1"/>
  <c r="BF505" i="1"/>
  <c r="BG505" i="1"/>
  <c r="E506" i="1"/>
  <c r="G506" i="1"/>
  <c r="J506" i="1"/>
  <c r="K506" i="1"/>
  <c r="BE506" i="1"/>
  <c r="BF506" i="1"/>
  <c r="BG506" i="1"/>
  <c r="E507" i="1"/>
  <c r="G507" i="1"/>
  <c r="J507" i="1"/>
  <c r="K507" i="1"/>
  <c r="BE507" i="1"/>
  <c r="BF507" i="1"/>
  <c r="BG507" i="1"/>
  <c r="E508" i="1"/>
  <c r="G508" i="1"/>
  <c r="J508" i="1"/>
  <c r="K508" i="1"/>
  <c r="BE508" i="1"/>
  <c r="BF508" i="1"/>
  <c r="BG508" i="1"/>
  <c r="E509" i="1"/>
  <c r="G509" i="1"/>
  <c r="J509" i="1"/>
  <c r="K509" i="1"/>
  <c r="BE509" i="1"/>
  <c r="BF509" i="1"/>
  <c r="BG509" i="1"/>
  <c r="E510" i="1"/>
  <c r="G510" i="1"/>
  <c r="J510" i="1"/>
  <c r="K510" i="1"/>
  <c r="BE510" i="1"/>
  <c r="BF510" i="1"/>
  <c r="BG510" i="1"/>
  <c r="E511" i="1"/>
  <c r="G511" i="1"/>
  <c r="J511" i="1"/>
  <c r="K511" i="1"/>
  <c r="BE511" i="1"/>
  <c r="BF511" i="1"/>
  <c r="BG511" i="1"/>
  <c r="E512" i="1"/>
  <c r="G512" i="1"/>
  <c r="J512" i="1"/>
  <c r="K512" i="1"/>
  <c r="BE512" i="1"/>
  <c r="BF512" i="1"/>
  <c r="BG512" i="1"/>
  <c r="E513" i="1"/>
  <c r="G513" i="1"/>
  <c r="J513" i="1"/>
  <c r="K513" i="1"/>
  <c r="BE513" i="1"/>
  <c r="BF513" i="1"/>
  <c r="BG513" i="1"/>
  <c r="E514" i="1"/>
  <c r="G514" i="1"/>
  <c r="J514" i="1"/>
  <c r="K514" i="1"/>
  <c r="BE514" i="1"/>
  <c r="BF514" i="1"/>
  <c r="BG514" i="1"/>
  <c r="E3920" i="1"/>
  <c r="G3920" i="1"/>
  <c r="J3920" i="1"/>
  <c r="K3920" i="1"/>
  <c r="BE3920" i="1"/>
  <c r="BF3920" i="1"/>
  <c r="BG3920" i="1"/>
  <c r="E211" i="1"/>
  <c r="G211" i="1"/>
  <c r="J211" i="1"/>
  <c r="K211" i="1"/>
  <c r="BE211" i="1"/>
  <c r="BF211" i="1"/>
  <c r="BG211" i="1"/>
  <c r="E212" i="1"/>
  <c r="G212" i="1"/>
  <c r="J212" i="1"/>
  <c r="K212" i="1"/>
  <c r="BE212" i="1"/>
  <c r="BF212" i="1"/>
  <c r="BG212" i="1"/>
  <c r="E213" i="1"/>
  <c r="G213" i="1"/>
  <c r="J213" i="1"/>
  <c r="K213" i="1"/>
  <c r="BE213" i="1"/>
  <c r="BF213" i="1"/>
  <c r="BG213" i="1"/>
  <c r="E214" i="1"/>
  <c r="G214" i="1"/>
  <c r="J214" i="1"/>
  <c r="K214" i="1"/>
  <c r="BE214" i="1"/>
  <c r="BF214" i="1"/>
  <c r="BG214" i="1"/>
  <c r="E215" i="1"/>
  <c r="G215" i="1"/>
  <c r="J215" i="1"/>
  <c r="K215" i="1"/>
  <c r="BE215" i="1"/>
  <c r="BF215" i="1"/>
  <c r="BG215" i="1"/>
  <c r="E6558" i="1"/>
  <c r="G6558" i="1"/>
  <c r="J6558" i="1"/>
  <c r="K6558" i="1"/>
  <c r="BE6558" i="1"/>
  <c r="BF6558" i="1"/>
  <c r="BG6558" i="1"/>
  <c r="E6559" i="1"/>
  <c r="G6559" i="1"/>
  <c r="J6559" i="1"/>
  <c r="K6559" i="1"/>
  <c r="BE6559" i="1"/>
  <c r="BF6559" i="1"/>
  <c r="BG6559" i="1"/>
  <c r="E6560" i="1"/>
  <c r="G6560" i="1"/>
  <c r="J6560" i="1"/>
  <c r="K6560" i="1"/>
  <c r="BE6560" i="1"/>
  <c r="BF6560" i="1"/>
  <c r="BG6560" i="1"/>
  <c r="E6561" i="1"/>
  <c r="G6561" i="1"/>
  <c r="J6561" i="1"/>
  <c r="K6561" i="1"/>
  <c r="BE6561" i="1"/>
  <c r="BF6561" i="1"/>
  <c r="BG6561" i="1"/>
  <c r="E6562" i="1"/>
  <c r="G6562" i="1"/>
  <c r="J6562" i="1"/>
  <c r="K6562" i="1"/>
  <c r="BE6562" i="1"/>
  <c r="BF6562" i="1"/>
  <c r="BG6562" i="1"/>
  <c r="E6563" i="1"/>
  <c r="G6563" i="1"/>
  <c r="J6563" i="1"/>
  <c r="K6563" i="1"/>
  <c r="BE6563" i="1"/>
  <c r="BF6563" i="1"/>
  <c r="BG6563" i="1"/>
  <c r="E6564" i="1"/>
  <c r="G6564" i="1"/>
  <c r="J6564" i="1"/>
  <c r="K6564" i="1"/>
  <c r="BE6564" i="1"/>
  <c r="BF6564" i="1"/>
  <c r="BG6564" i="1"/>
  <c r="E6565" i="1"/>
  <c r="G6565" i="1"/>
  <c r="J6565" i="1"/>
  <c r="K6565" i="1"/>
  <c r="BE6565" i="1"/>
  <c r="BF6565" i="1"/>
  <c r="BG6565" i="1"/>
  <c r="E6566" i="1"/>
  <c r="G6566" i="1"/>
  <c r="J6566" i="1"/>
  <c r="K6566" i="1"/>
  <c r="BE6566" i="1"/>
  <c r="BF6566" i="1"/>
  <c r="BG6566" i="1"/>
  <c r="E6567" i="1"/>
  <c r="G6567" i="1"/>
  <c r="J6567" i="1"/>
  <c r="K6567" i="1"/>
  <c r="BE6567" i="1"/>
  <c r="BF6567" i="1"/>
  <c r="BG6567" i="1"/>
  <c r="E6568" i="1"/>
  <c r="G6568" i="1"/>
  <c r="J6568" i="1"/>
  <c r="K6568" i="1"/>
  <c r="BE6568" i="1"/>
  <c r="BF6568" i="1"/>
  <c r="BG6568" i="1"/>
  <c r="E6569" i="1"/>
  <c r="G6569" i="1"/>
  <c r="J6569" i="1"/>
  <c r="K6569" i="1"/>
  <c r="BE6569" i="1"/>
  <c r="BF6569" i="1"/>
  <c r="BG6569" i="1"/>
  <c r="E6570" i="1"/>
  <c r="G6570" i="1"/>
  <c r="J6570" i="1"/>
  <c r="K6570" i="1"/>
  <c r="BE6570" i="1"/>
  <c r="BF6570" i="1"/>
  <c r="BG6570" i="1"/>
  <c r="E6571" i="1"/>
  <c r="G6571" i="1"/>
  <c r="J6571" i="1"/>
  <c r="K6571" i="1"/>
  <c r="BE6571" i="1"/>
  <c r="BF6571" i="1"/>
  <c r="BG6571" i="1"/>
  <c r="E6572" i="1"/>
  <c r="G6572" i="1"/>
  <c r="J6572" i="1"/>
  <c r="K6572" i="1"/>
  <c r="BE6572" i="1"/>
  <c r="BF6572" i="1"/>
  <c r="BG6572" i="1"/>
  <c r="E6573" i="1"/>
  <c r="G6573" i="1"/>
  <c r="J6573" i="1"/>
  <c r="K6573" i="1"/>
  <c r="BE6573" i="1"/>
  <c r="BF6573" i="1"/>
  <c r="BG6573" i="1"/>
  <c r="E6574" i="1"/>
  <c r="G6574" i="1"/>
  <c r="J6574" i="1"/>
  <c r="K6574" i="1"/>
  <c r="BE6574" i="1"/>
  <c r="BF6574" i="1"/>
  <c r="BG6574" i="1"/>
  <c r="E6575" i="1"/>
  <c r="G6575" i="1"/>
  <c r="J6575" i="1"/>
  <c r="K6575" i="1"/>
  <c r="BE6575" i="1"/>
  <c r="BF6575" i="1"/>
  <c r="BG6575" i="1"/>
  <c r="E6576" i="1"/>
  <c r="G6576" i="1"/>
  <c r="J6576" i="1"/>
  <c r="K6576" i="1"/>
  <c r="BE6576" i="1"/>
  <c r="BF6576" i="1"/>
  <c r="BG6576" i="1"/>
  <c r="E6577" i="1"/>
  <c r="G6577" i="1"/>
  <c r="J6577" i="1"/>
  <c r="K6577" i="1"/>
  <c r="BE6577" i="1"/>
  <c r="BF6577" i="1"/>
  <c r="BG6577" i="1"/>
  <c r="E6578" i="1"/>
  <c r="G6578" i="1"/>
  <c r="J6578" i="1"/>
  <c r="K6578" i="1"/>
  <c r="BE6578" i="1"/>
  <c r="BF6578" i="1"/>
  <c r="BG6578" i="1"/>
  <c r="E6579" i="1"/>
  <c r="G6579" i="1"/>
  <c r="J6579" i="1"/>
  <c r="K6579" i="1"/>
  <c r="BE6579" i="1"/>
  <c r="BF6579" i="1"/>
  <c r="BG6579" i="1"/>
  <c r="E22" i="1"/>
  <c r="G22" i="1"/>
  <c r="J22" i="1"/>
  <c r="K22" i="1"/>
  <c r="BE22" i="1"/>
  <c r="BF22" i="1"/>
  <c r="BG22" i="1"/>
  <c r="E3469" i="1"/>
  <c r="G3469" i="1"/>
  <c r="J3469" i="1"/>
  <c r="K3469" i="1"/>
  <c r="BE3469" i="1"/>
  <c r="BF3469" i="1"/>
  <c r="BG3469" i="1"/>
  <c r="E3470" i="1"/>
  <c r="G3470" i="1"/>
  <c r="J3470" i="1"/>
  <c r="K3470" i="1"/>
  <c r="BE3470" i="1"/>
  <c r="BF3470" i="1"/>
  <c r="BG3470" i="1"/>
  <c r="E3471" i="1"/>
  <c r="G3471" i="1"/>
  <c r="J3471" i="1"/>
  <c r="K3471" i="1"/>
  <c r="BE3471" i="1"/>
  <c r="BF3471" i="1"/>
  <c r="BG3471" i="1"/>
  <c r="E3472" i="1"/>
  <c r="G3472" i="1"/>
  <c r="J3472" i="1"/>
  <c r="K3472" i="1"/>
  <c r="BE3472" i="1"/>
  <c r="BF3472" i="1"/>
  <c r="BG3472" i="1"/>
  <c r="E3473" i="1"/>
  <c r="G3473" i="1"/>
  <c r="J3473" i="1"/>
  <c r="K3473" i="1"/>
  <c r="BE3473" i="1"/>
  <c r="BF3473" i="1"/>
  <c r="BG3473" i="1"/>
  <c r="E3474" i="1"/>
  <c r="G3474" i="1"/>
  <c r="J3474" i="1"/>
  <c r="K3474" i="1"/>
  <c r="BE3474" i="1"/>
  <c r="BF3474" i="1"/>
  <c r="BG3474" i="1"/>
  <c r="E3475" i="1"/>
  <c r="G3475" i="1"/>
  <c r="J3475" i="1"/>
  <c r="K3475" i="1"/>
  <c r="BE3475" i="1"/>
  <c r="BF3475" i="1"/>
  <c r="BG3475" i="1"/>
  <c r="E3476" i="1"/>
  <c r="G3476" i="1"/>
  <c r="J3476" i="1"/>
  <c r="K3476" i="1"/>
  <c r="BE3476" i="1"/>
  <c r="BF3476" i="1"/>
  <c r="BG3476" i="1"/>
  <c r="E3477" i="1"/>
  <c r="G3477" i="1"/>
  <c r="J3477" i="1"/>
  <c r="K3477" i="1"/>
  <c r="BE3477" i="1"/>
  <c r="BF3477" i="1"/>
  <c r="BG3477" i="1"/>
  <c r="E3478" i="1"/>
  <c r="G3478" i="1"/>
  <c r="J3478" i="1"/>
  <c r="K3478" i="1"/>
  <c r="BE3478" i="1"/>
  <c r="BF3478" i="1"/>
  <c r="BG3478" i="1"/>
  <c r="E3479" i="1"/>
  <c r="G3479" i="1"/>
  <c r="J3479" i="1"/>
  <c r="K3479" i="1"/>
  <c r="BE3479" i="1"/>
  <c r="BF3479" i="1"/>
  <c r="BG3479" i="1"/>
  <c r="E3480" i="1"/>
  <c r="G3480" i="1"/>
  <c r="J3480" i="1"/>
  <c r="K3480" i="1"/>
  <c r="BE3480" i="1"/>
  <c r="BF3480" i="1"/>
  <c r="BG3480" i="1"/>
  <c r="E3481" i="1"/>
  <c r="G3481" i="1"/>
  <c r="J3481" i="1"/>
  <c r="K3481" i="1"/>
  <c r="BE3481" i="1"/>
  <c r="BF3481" i="1"/>
  <c r="BG3481" i="1"/>
  <c r="E3482" i="1"/>
  <c r="G3482" i="1"/>
  <c r="J3482" i="1"/>
  <c r="K3482" i="1"/>
  <c r="BE3482" i="1"/>
  <c r="BF3482" i="1"/>
  <c r="BG3482" i="1"/>
  <c r="E3483" i="1"/>
  <c r="G3483" i="1"/>
  <c r="J3483" i="1"/>
  <c r="K3483" i="1"/>
  <c r="BE3483" i="1"/>
  <c r="BF3483" i="1"/>
  <c r="BG3483" i="1"/>
  <c r="E216" i="1"/>
  <c r="G216" i="1"/>
  <c r="J216" i="1"/>
  <c r="K216" i="1"/>
  <c r="BE216" i="1"/>
  <c r="BF216" i="1"/>
  <c r="BG216" i="1"/>
  <c r="E217" i="1"/>
  <c r="G217" i="1"/>
  <c r="J217" i="1"/>
  <c r="K217" i="1"/>
  <c r="BE217" i="1"/>
  <c r="BF217" i="1"/>
  <c r="BG217" i="1"/>
  <c r="E218" i="1"/>
  <c r="G218" i="1"/>
  <c r="J218" i="1"/>
  <c r="K218" i="1"/>
  <c r="BE218" i="1"/>
  <c r="BF218" i="1"/>
  <c r="BG218" i="1"/>
  <c r="E219" i="1"/>
  <c r="G219" i="1"/>
  <c r="J219" i="1"/>
  <c r="K219" i="1"/>
  <c r="BE219" i="1"/>
  <c r="BF219" i="1"/>
  <c r="BG219" i="1"/>
  <c r="E220" i="1"/>
  <c r="G220" i="1"/>
  <c r="J220" i="1"/>
  <c r="K220" i="1"/>
  <c r="BE220" i="1"/>
  <c r="BF220" i="1"/>
  <c r="BG220" i="1"/>
  <c r="E221" i="1"/>
  <c r="G221" i="1"/>
  <c r="J221" i="1"/>
  <c r="K221" i="1"/>
  <c r="BE221" i="1"/>
  <c r="BF221" i="1"/>
  <c r="BG221" i="1"/>
  <c r="E222" i="1"/>
  <c r="G222" i="1"/>
  <c r="J222" i="1"/>
  <c r="K222" i="1"/>
  <c r="BE222" i="1"/>
  <c r="BF222" i="1"/>
  <c r="BG222" i="1"/>
  <c r="E2243" i="1"/>
  <c r="G2243" i="1"/>
  <c r="J2243" i="1"/>
  <c r="K2243" i="1"/>
  <c r="BE2243" i="1"/>
  <c r="BF2243" i="1"/>
  <c r="BG2243" i="1"/>
  <c r="E3921" i="1"/>
  <c r="G3921" i="1"/>
  <c r="J3921" i="1"/>
  <c r="K3921" i="1"/>
  <c r="BE3921" i="1"/>
  <c r="BF3921" i="1"/>
  <c r="BG3921" i="1"/>
  <c r="E566" i="1"/>
  <c r="G566" i="1"/>
  <c r="J566" i="1"/>
  <c r="K566" i="1"/>
  <c r="BE566" i="1"/>
  <c r="BF566" i="1"/>
  <c r="BG566" i="1"/>
  <c r="E365" i="1"/>
  <c r="G365" i="1"/>
  <c r="J365" i="1"/>
  <c r="K365" i="1"/>
  <c r="BE365" i="1"/>
  <c r="BF365" i="1"/>
  <c r="BG365" i="1"/>
  <c r="E366" i="1"/>
  <c r="G366" i="1"/>
  <c r="J366" i="1"/>
  <c r="K366" i="1"/>
  <c r="BE366" i="1"/>
  <c r="BF366" i="1"/>
  <c r="BG366" i="1"/>
  <c r="E367" i="1"/>
  <c r="G367" i="1"/>
  <c r="J367" i="1"/>
  <c r="K367" i="1"/>
  <c r="BE367" i="1"/>
  <c r="BF367" i="1"/>
  <c r="BG367" i="1"/>
  <c r="E189" i="1"/>
  <c r="G189" i="1"/>
  <c r="J189" i="1"/>
  <c r="K189" i="1"/>
  <c r="BE189" i="1"/>
  <c r="BF189" i="1"/>
  <c r="BG189" i="1"/>
  <c r="E190" i="1"/>
  <c r="G190" i="1"/>
  <c r="J190" i="1"/>
  <c r="K190" i="1"/>
  <c r="BE190" i="1"/>
  <c r="BF190" i="1"/>
  <c r="BG190" i="1"/>
  <c r="E191" i="1"/>
  <c r="G191" i="1"/>
  <c r="J191" i="1"/>
  <c r="K191" i="1"/>
  <c r="BE191" i="1"/>
  <c r="BF191" i="1"/>
  <c r="BG191" i="1"/>
  <c r="E192" i="1"/>
  <c r="G192" i="1"/>
  <c r="J192" i="1"/>
  <c r="K192" i="1"/>
  <c r="BE192" i="1"/>
  <c r="BF192" i="1"/>
  <c r="BG192" i="1"/>
  <c r="E193" i="1"/>
  <c r="G193" i="1"/>
  <c r="J193" i="1"/>
  <c r="K193" i="1"/>
  <c r="BE193" i="1"/>
  <c r="BF193" i="1"/>
  <c r="BG193" i="1"/>
  <c r="E671" i="1"/>
  <c r="G671" i="1"/>
  <c r="J671" i="1"/>
  <c r="K671" i="1"/>
  <c r="BE671" i="1"/>
  <c r="BF671" i="1"/>
  <c r="BG671" i="1"/>
  <c r="E3742" i="1"/>
  <c r="G3742" i="1"/>
  <c r="J3742" i="1"/>
  <c r="K3742" i="1"/>
  <c r="BE3742" i="1"/>
  <c r="BF3742" i="1"/>
  <c r="BG3742" i="1"/>
  <c r="E3743" i="1"/>
  <c r="G3743" i="1"/>
  <c r="J3743" i="1"/>
  <c r="K3743" i="1"/>
  <c r="BE3743" i="1"/>
  <c r="BF3743" i="1"/>
  <c r="BG3743" i="1"/>
  <c r="E6855" i="1"/>
  <c r="G6855" i="1"/>
  <c r="J6855" i="1"/>
  <c r="BE6855" i="1"/>
  <c r="BF6855" i="1"/>
  <c r="BG6855" i="1"/>
  <c r="E719" i="1"/>
  <c r="G719" i="1"/>
  <c r="J719" i="1"/>
  <c r="K719" i="1"/>
  <c r="BE719" i="1"/>
  <c r="BF719" i="1"/>
  <c r="BG719" i="1"/>
  <c r="E720" i="1"/>
  <c r="G720" i="1"/>
  <c r="J720" i="1"/>
  <c r="K720" i="1"/>
  <c r="BE720" i="1"/>
  <c r="BF720" i="1"/>
  <c r="BG720" i="1"/>
  <c r="E721" i="1"/>
  <c r="G721" i="1"/>
  <c r="J721" i="1"/>
  <c r="K721" i="1"/>
  <c r="BE721" i="1"/>
  <c r="BF721" i="1"/>
  <c r="BG721" i="1"/>
  <c r="E722" i="1"/>
  <c r="G722" i="1"/>
  <c r="J722" i="1"/>
  <c r="K722" i="1"/>
  <c r="BE722" i="1"/>
  <c r="BF722" i="1"/>
  <c r="BG722" i="1"/>
  <c r="E2509" i="1"/>
  <c r="G2509" i="1"/>
  <c r="J2509" i="1"/>
  <c r="K2509" i="1"/>
  <c r="BE2509" i="1"/>
  <c r="BF2509" i="1"/>
  <c r="BG2509" i="1"/>
  <c r="E2510" i="1"/>
  <c r="G2510" i="1"/>
  <c r="J2510" i="1"/>
  <c r="K2510" i="1"/>
  <c r="BE2510" i="1"/>
  <c r="BF2510" i="1"/>
  <c r="BG2510" i="1"/>
  <c r="E2511" i="1"/>
  <c r="G2511" i="1"/>
  <c r="J2511" i="1"/>
  <c r="K2511" i="1"/>
  <c r="BE2511" i="1"/>
  <c r="BF2511" i="1"/>
  <c r="BG2511" i="1"/>
  <c r="E2512" i="1"/>
  <c r="G2512" i="1"/>
  <c r="J2512" i="1"/>
  <c r="K2512" i="1"/>
  <c r="BE2512" i="1"/>
  <c r="BF2512" i="1"/>
  <c r="BG2512" i="1"/>
  <c r="E2513" i="1"/>
  <c r="G2513" i="1"/>
  <c r="J2513" i="1"/>
  <c r="K2513" i="1"/>
  <c r="BE2513" i="1"/>
  <c r="BF2513" i="1"/>
  <c r="BG2513" i="1"/>
  <c r="E2514" i="1"/>
  <c r="G2514" i="1"/>
  <c r="J2514" i="1"/>
  <c r="K2514" i="1"/>
  <c r="BE2514" i="1"/>
  <c r="BF2514" i="1"/>
  <c r="BG2514" i="1"/>
  <c r="E4871" i="1"/>
  <c r="G4871" i="1"/>
  <c r="J4871" i="1"/>
  <c r="K4871" i="1"/>
  <c r="BE4871" i="1"/>
  <c r="BF4871" i="1"/>
  <c r="BG4871" i="1"/>
  <c r="E681" i="1"/>
  <c r="G681" i="1"/>
  <c r="J681" i="1"/>
  <c r="K681" i="1"/>
  <c r="BE681" i="1"/>
  <c r="BF681" i="1"/>
  <c r="BG681" i="1"/>
  <c r="E715" i="1"/>
  <c r="G715" i="1"/>
  <c r="J715" i="1"/>
  <c r="K715" i="1"/>
  <c r="BE715" i="1"/>
  <c r="BF715" i="1"/>
  <c r="BG715" i="1"/>
  <c r="E716" i="1"/>
  <c r="G716" i="1"/>
  <c r="J716" i="1"/>
  <c r="K716" i="1"/>
  <c r="BE716" i="1"/>
  <c r="BF716" i="1"/>
  <c r="BG716" i="1"/>
  <c r="E717" i="1"/>
  <c r="G717" i="1"/>
  <c r="J717" i="1"/>
  <c r="K717" i="1"/>
  <c r="BE717" i="1"/>
  <c r="BF717" i="1"/>
  <c r="BG717" i="1"/>
  <c r="E4872" i="1"/>
  <c r="G4872" i="1"/>
  <c r="J4872" i="1"/>
  <c r="K4872" i="1"/>
  <c r="BE4872" i="1"/>
  <c r="BF4872" i="1"/>
  <c r="BG4872" i="1"/>
  <c r="E501" i="1"/>
  <c r="G501" i="1"/>
  <c r="J501" i="1"/>
  <c r="K501" i="1"/>
  <c r="BE501" i="1"/>
  <c r="BF501" i="1"/>
  <c r="BG501" i="1"/>
  <c r="E502" i="1"/>
  <c r="G502" i="1"/>
  <c r="J502" i="1"/>
  <c r="K502" i="1"/>
  <c r="BE502" i="1"/>
  <c r="BF502" i="1"/>
  <c r="BG502" i="1"/>
  <c r="E503" i="1"/>
  <c r="G503" i="1"/>
  <c r="J503" i="1"/>
  <c r="K503" i="1"/>
  <c r="BE503" i="1"/>
  <c r="BF503" i="1"/>
  <c r="BG503" i="1"/>
  <c r="E4873" i="1"/>
  <c r="G4873" i="1"/>
  <c r="J4873" i="1"/>
  <c r="K4873" i="1"/>
  <c r="BE4873" i="1"/>
  <c r="BF4873" i="1"/>
  <c r="BG4873" i="1"/>
  <c r="E4874" i="1"/>
  <c r="G4874" i="1"/>
  <c r="J4874" i="1"/>
  <c r="K4874" i="1"/>
  <c r="BE4874" i="1"/>
  <c r="BF4874" i="1"/>
  <c r="BG4874" i="1"/>
  <c r="E4875" i="1"/>
  <c r="G4875" i="1"/>
  <c r="J4875" i="1"/>
  <c r="K4875" i="1"/>
  <c r="BE4875" i="1"/>
  <c r="BF4875" i="1"/>
  <c r="BG4875" i="1"/>
  <c r="E4876" i="1"/>
  <c r="G4876" i="1"/>
  <c r="J4876" i="1"/>
  <c r="K4876" i="1"/>
  <c r="BE4876" i="1"/>
  <c r="BF4876" i="1"/>
  <c r="BG4876" i="1"/>
  <c r="E667" i="1"/>
  <c r="G667" i="1"/>
  <c r="J667" i="1"/>
  <c r="K667" i="1"/>
  <c r="BE667" i="1"/>
  <c r="BF667" i="1"/>
  <c r="BG667" i="1"/>
  <c r="E4877" i="1"/>
  <c r="G4877" i="1"/>
  <c r="J4877" i="1"/>
  <c r="K4877" i="1"/>
  <c r="BE4877" i="1"/>
  <c r="BG4877" i="1"/>
  <c r="E4878" i="1"/>
  <c r="G4878" i="1"/>
  <c r="J4878" i="1"/>
  <c r="K4878" i="1"/>
  <c r="BE4878" i="1"/>
  <c r="BF4878" i="1"/>
  <c r="BG4878" i="1"/>
  <c r="E4879" i="1"/>
  <c r="G4879" i="1"/>
  <c r="J4879" i="1"/>
  <c r="K4879" i="1"/>
  <c r="BE4879" i="1"/>
  <c r="BF4879" i="1"/>
  <c r="BG4879" i="1"/>
  <c r="E4880" i="1"/>
  <c r="G4880" i="1"/>
  <c r="J4880" i="1"/>
  <c r="K4880" i="1"/>
  <c r="BE4880" i="1"/>
  <c r="BF4880" i="1"/>
  <c r="BG4880" i="1"/>
  <c r="E4881" i="1"/>
  <c r="G4881" i="1"/>
  <c r="J4881" i="1"/>
  <c r="K4881" i="1"/>
  <c r="BE4881" i="1"/>
  <c r="BF4881" i="1"/>
  <c r="BG4881" i="1"/>
  <c r="E4882" i="1"/>
  <c r="G4882" i="1"/>
  <c r="J4882" i="1"/>
  <c r="K4882" i="1"/>
  <c r="BE4882" i="1"/>
  <c r="BF4882" i="1"/>
  <c r="BG4882" i="1"/>
  <c r="E4883" i="1"/>
  <c r="G4883" i="1"/>
  <c r="J4883" i="1"/>
  <c r="K4883" i="1"/>
  <c r="BE4883" i="1"/>
  <c r="BF4883" i="1"/>
  <c r="BG4883" i="1"/>
  <c r="E4884" i="1"/>
  <c r="G4884" i="1"/>
  <c r="J4884" i="1"/>
  <c r="K4884" i="1"/>
  <c r="BE4884" i="1"/>
  <c r="BF4884" i="1"/>
  <c r="BG4884" i="1"/>
  <c r="E4885" i="1"/>
  <c r="G4885" i="1"/>
  <c r="J4885" i="1"/>
  <c r="K4885" i="1"/>
  <c r="BE4885" i="1"/>
  <c r="BF4885" i="1"/>
  <c r="BG4885" i="1"/>
  <c r="E4886" i="1"/>
  <c r="G4886" i="1"/>
  <c r="J4886" i="1"/>
  <c r="K4886" i="1"/>
  <c r="BE4886" i="1"/>
  <c r="BF4886" i="1"/>
  <c r="BG4886" i="1"/>
  <c r="E4887" i="1"/>
  <c r="G4887" i="1"/>
  <c r="J4887" i="1"/>
  <c r="K4887" i="1"/>
  <c r="BE4887" i="1"/>
  <c r="BF4887" i="1"/>
  <c r="BG4887" i="1"/>
  <c r="E4888" i="1"/>
  <c r="G4888" i="1"/>
  <c r="J4888" i="1"/>
  <c r="K4888" i="1"/>
  <c r="BE4888" i="1"/>
  <c r="BF4888" i="1"/>
  <c r="BG4888" i="1"/>
  <c r="E4889" i="1"/>
  <c r="G4889" i="1"/>
  <c r="J4889" i="1"/>
  <c r="K4889" i="1"/>
  <c r="BE4889" i="1"/>
  <c r="BF4889" i="1"/>
  <c r="BG4889" i="1"/>
  <c r="E4890" i="1"/>
  <c r="G4890" i="1"/>
  <c r="J4890" i="1"/>
  <c r="K4890" i="1"/>
  <c r="BE4890" i="1"/>
  <c r="BF4890" i="1"/>
  <c r="BG4890" i="1"/>
  <c r="E4891" i="1"/>
  <c r="G4891" i="1"/>
  <c r="J4891" i="1"/>
  <c r="K4891" i="1"/>
  <c r="BE4891" i="1"/>
  <c r="BF4891" i="1"/>
  <c r="BG4891" i="1"/>
  <c r="E4892" i="1"/>
  <c r="G4892" i="1"/>
  <c r="J4892" i="1"/>
  <c r="K4892" i="1"/>
  <c r="BE4892" i="1"/>
  <c r="BF4892" i="1"/>
  <c r="BG4892" i="1"/>
  <c r="E546" i="1"/>
  <c r="G546" i="1"/>
  <c r="J546" i="1"/>
  <c r="K546" i="1"/>
  <c r="BE546" i="1"/>
  <c r="BF546" i="1"/>
  <c r="BG546" i="1"/>
  <c r="E4893" i="1"/>
  <c r="G4893" i="1"/>
  <c r="J4893" i="1"/>
  <c r="K4893" i="1"/>
  <c r="BE4893" i="1"/>
  <c r="BF4893" i="1"/>
  <c r="BG4893" i="1"/>
  <c r="E4894" i="1"/>
  <c r="G4894" i="1"/>
  <c r="J4894" i="1"/>
  <c r="K4894" i="1"/>
  <c r="BE4894" i="1"/>
  <c r="BF4894" i="1"/>
  <c r="BG4894" i="1"/>
  <c r="E4895" i="1"/>
  <c r="G4895" i="1"/>
  <c r="J4895" i="1"/>
  <c r="K4895" i="1"/>
  <c r="BE4895" i="1"/>
  <c r="BF4895" i="1"/>
  <c r="BG4895" i="1"/>
  <c r="E4896" i="1"/>
  <c r="G4896" i="1"/>
  <c r="J4896" i="1"/>
  <c r="K4896" i="1"/>
  <c r="BE4896" i="1"/>
  <c r="BF4896" i="1"/>
  <c r="BG4896" i="1"/>
  <c r="E482" i="1"/>
  <c r="G482" i="1"/>
  <c r="J482" i="1"/>
  <c r="K482" i="1"/>
  <c r="BE482" i="1"/>
  <c r="BF482" i="1"/>
  <c r="BG482" i="1"/>
  <c r="E4897" i="1"/>
  <c r="G4897" i="1"/>
  <c r="J4897" i="1"/>
  <c r="K4897" i="1"/>
  <c r="BE4897" i="1"/>
  <c r="BF4897" i="1"/>
  <c r="BG4897" i="1"/>
  <c r="E4898" i="1"/>
  <c r="G4898" i="1"/>
  <c r="J4898" i="1"/>
  <c r="K4898" i="1"/>
  <c r="BE4898" i="1"/>
  <c r="BF4898" i="1"/>
  <c r="BG4898" i="1"/>
  <c r="E4899" i="1"/>
  <c r="G4899" i="1"/>
  <c r="J4899" i="1"/>
  <c r="K4899" i="1"/>
  <c r="BE4899" i="1"/>
  <c r="BF4899" i="1"/>
  <c r="BG4899" i="1"/>
  <c r="E4900" i="1"/>
  <c r="G4900" i="1"/>
  <c r="J4900" i="1"/>
  <c r="K4900" i="1"/>
  <c r="BE4900" i="1"/>
  <c r="BF4900" i="1"/>
  <c r="BG4900" i="1"/>
  <c r="E738" i="1"/>
  <c r="G738" i="1"/>
  <c r="J738" i="1"/>
  <c r="K738" i="1"/>
  <c r="BE738" i="1"/>
  <c r="BF738" i="1"/>
  <c r="BG738" i="1"/>
  <c r="E549" i="1"/>
  <c r="G549" i="1"/>
  <c r="J549" i="1"/>
  <c r="K549" i="1"/>
  <c r="BE549" i="1"/>
  <c r="BF549" i="1"/>
  <c r="BG549" i="1"/>
  <c r="E4901" i="1"/>
  <c r="G4901" i="1"/>
  <c r="J4901" i="1"/>
  <c r="K4901" i="1"/>
  <c r="BE4901" i="1"/>
  <c r="BF4901" i="1"/>
  <c r="BG4901" i="1"/>
  <c r="E4902" i="1"/>
  <c r="G4902" i="1"/>
  <c r="J4902" i="1"/>
  <c r="K4902" i="1"/>
  <c r="BE4902" i="1"/>
  <c r="BF4902" i="1"/>
  <c r="BG4902" i="1"/>
  <c r="E4903" i="1"/>
  <c r="G4903" i="1"/>
  <c r="J4903" i="1"/>
  <c r="K4903" i="1"/>
  <c r="BE4903" i="1"/>
  <c r="BF4903" i="1"/>
  <c r="BG4903" i="1"/>
  <c r="E4904" i="1"/>
  <c r="G4904" i="1"/>
  <c r="J4904" i="1"/>
  <c r="K4904" i="1"/>
  <c r="BE4904" i="1"/>
  <c r="BF4904" i="1"/>
  <c r="BG4904" i="1"/>
  <c r="E640" i="1"/>
  <c r="G640" i="1"/>
  <c r="J640" i="1"/>
  <c r="K640" i="1"/>
  <c r="BE640" i="1"/>
  <c r="BF640" i="1"/>
  <c r="BG640" i="1"/>
  <c r="E4905" i="1"/>
  <c r="G4905" i="1"/>
  <c r="J4905" i="1"/>
  <c r="K4905" i="1"/>
  <c r="BE4905" i="1"/>
  <c r="BF4905" i="1"/>
  <c r="BG4905" i="1"/>
  <c r="E4906" i="1"/>
  <c r="G4906" i="1"/>
  <c r="J4906" i="1"/>
  <c r="K4906" i="1"/>
  <c r="BE4906" i="1"/>
  <c r="BF4906" i="1"/>
  <c r="BG4906" i="1"/>
  <c r="E4907" i="1"/>
  <c r="G4907" i="1"/>
  <c r="J4907" i="1"/>
  <c r="K4907" i="1"/>
  <c r="BE4907" i="1"/>
  <c r="BF4907" i="1"/>
  <c r="BG4907" i="1"/>
  <c r="E4908" i="1"/>
  <c r="G4908" i="1"/>
  <c r="J4908" i="1"/>
  <c r="K4908" i="1"/>
  <c r="BE4908" i="1"/>
  <c r="BF4908" i="1"/>
  <c r="BG4908" i="1"/>
  <c r="E4909" i="1"/>
  <c r="G4909" i="1"/>
  <c r="J4909" i="1"/>
  <c r="K4909" i="1"/>
  <c r="BE4909" i="1"/>
  <c r="BF4909" i="1"/>
  <c r="BG4909" i="1"/>
  <c r="E4910" i="1"/>
  <c r="G4910" i="1"/>
  <c r="J4910" i="1"/>
  <c r="K4910" i="1"/>
  <c r="BE4910" i="1"/>
  <c r="BF4910" i="1"/>
  <c r="BG4910" i="1"/>
  <c r="E4911" i="1"/>
  <c r="G4911" i="1"/>
  <c r="J4911" i="1"/>
  <c r="K4911" i="1"/>
  <c r="BE4911" i="1"/>
  <c r="BF4911" i="1"/>
  <c r="BG4911" i="1"/>
  <c r="E4912" i="1"/>
  <c r="G4912" i="1"/>
  <c r="J4912" i="1"/>
  <c r="K4912" i="1"/>
  <c r="BE4912" i="1"/>
  <c r="BF4912" i="1"/>
  <c r="BG4912" i="1"/>
  <c r="E373" i="1"/>
  <c r="G373" i="1"/>
  <c r="J373" i="1"/>
  <c r="K373" i="1"/>
  <c r="BE373" i="1"/>
  <c r="BF373" i="1"/>
  <c r="BG373" i="1"/>
  <c r="E374" i="1"/>
  <c r="G374" i="1"/>
  <c r="J374" i="1"/>
  <c r="K374" i="1"/>
  <c r="BE374" i="1"/>
  <c r="BF374" i="1"/>
  <c r="BG374" i="1"/>
  <c r="E375" i="1"/>
  <c r="G375" i="1"/>
  <c r="J375" i="1"/>
  <c r="K375" i="1"/>
  <c r="BE375" i="1"/>
  <c r="BF375" i="1"/>
  <c r="BG375" i="1"/>
  <c r="E376" i="1"/>
  <c r="G376" i="1"/>
  <c r="J376" i="1"/>
  <c r="K376" i="1"/>
  <c r="BE376" i="1"/>
  <c r="BF376" i="1"/>
  <c r="BG376" i="1"/>
  <c r="E377" i="1"/>
  <c r="G377" i="1"/>
  <c r="J377" i="1"/>
  <c r="K377" i="1"/>
  <c r="BE377" i="1"/>
  <c r="BF377" i="1"/>
  <c r="BG377" i="1"/>
  <c r="E378" i="1"/>
  <c r="G378" i="1"/>
  <c r="J378" i="1"/>
  <c r="K378" i="1"/>
  <c r="BE378" i="1"/>
  <c r="BF378" i="1"/>
  <c r="BG378" i="1"/>
  <c r="E379" i="1"/>
  <c r="G379" i="1"/>
  <c r="J379" i="1"/>
  <c r="K379" i="1"/>
  <c r="BE379" i="1"/>
  <c r="BF379" i="1"/>
  <c r="BG379" i="1"/>
  <c r="E4913" i="1"/>
  <c r="G4913" i="1"/>
  <c r="J4913" i="1"/>
  <c r="K4913" i="1"/>
  <c r="BE4913" i="1"/>
  <c r="BF4913" i="1"/>
  <c r="BG4913" i="1"/>
  <c r="E4914" i="1"/>
  <c r="G4914" i="1"/>
  <c r="J4914" i="1"/>
  <c r="K4914" i="1"/>
  <c r="BE4914" i="1"/>
  <c r="BF4914" i="1"/>
  <c r="BG4914" i="1"/>
  <c r="E4915" i="1"/>
  <c r="G4915" i="1"/>
  <c r="J4915" i="1"/>
  <c r="K4915" i="1"/>
  <c r="BE4915" i="1"/>
  <c r="BF4915" i="1"/>
  <c r="BG4915" i="1"/>
  <c r="E200" i="1"/>
  <c r="G200" i="1"/>
  <c r="J200" i="1"/>
  <c r="K200" i="1"/>
  <c r="BE200" i="1"/>
  <c r="BF200" i="1"/>
  <c r="BG200" i="1"/>
  <c r="E4916" i="1"/>
  <c r="G4916" i="1"/>
  <c r="J4916" i="1"/>
  <c r="K4916" i="1"/>
  <c r="BE4916" i="1"/>
  <c r="BF4916" i="1"/>
  <c r="BG4916" i="1"/>
  <c r="E4917" i="1"/>
  <c r="G4917" i="1"/>
  <c r="J4917" i="1"/>
  <c r="K4917" i="1"/>
  <c r="BE4917" i="1"/>
  <c r="BF4917" i="1"/>
  <c r="BG4917" i="1"/>
  <c r="E4918" i="1"/>
  <c r="G4918" i="1"/>
  <c r="J4918" i="1"/>
  <c r="K4918" i="1"/>
  <c r="BE4918" i="1"/>
  <c r="BF4918" i="1"/>
  <c r="BG4918" i="1"/>
  <c r="E4919" i="1"/>
  <c r="G4919" i="1"/>
  <c r="J4919" i="1"/>
  <c r="K4919" i="1"/>
  <c r="BE4919" i="1"/>
  <c r="BF4919" i="1"/>
  <c r="BG4919" i="1"/>
  <c r="E4920" i="1"/>
  <c r="G4920" i="1"/>
  <c r="J4920" i="1"/>
  <c r="K4920" i="1"/>
  <c r="BE4920" i="1"/>
  <c r="BF4920" i="1"/>
  <c r="BG4920" i="1"/>
  <c r="E4921" i="1"/>
  <c r="G4921" i="1"/>
  <c r="J4921" i="1"/>
  <c r="K4921" i="1"/>
  <c r="BE4921" i="1"/>
  <c r="BF4921" i="1"/>
  <c r="BG4921" i="1"/>
  <c r="E4922" i="1"/>
  <c r="G4922" i="1"/>
  <c r="J4922" i="1"/>
  <c r="K4922" i="1"/>
  <c r="BE4922" i="1"/>
  <c r="BF4922" i="1"/>
  <c r="BG4922" i="1"/>
  <c r="E4923" i="1"/>
  <c r="G4923" i="1"/>
  <c r="J4923" i="1"/>
  <c r="K4923" i="1"/>
  <c r="BE4923" i="1"/>
  <c r="BF4923" i="1"/>
  <c r="BG4923" i="1"/>
  <c r="E4924" i="1"/>
  <c r="G4924" i="1"/>
  <c r="J4924" i="1"/>
  <c r="K4924" i="1"/>
  <c r="BE4924" i="1"/>
  <c r="BF4924" i="1"/>
  <c r="BG4924" i="1"/>
  <c r="E4925" i="1"/>
  <c r="G4925" i="1"/>
  <c r="J4925" i="1"/>
  <c r="K4925" i="1"/>
  <c r="BE4925" i="1"/>
  <c r="BF4925" i="1"/>
  <c r="BG4925" i="1"/>
  <c r="E4926" i="1"/>
  <c r="G4926" i="1"/>
  <c r="J4926" i="1"/>
  <c r="K4926" i="1"/>
  <c r="BE4926" i="1"/>
  <c r="BF4926" i="1"/>
  <c r="BG4926" i="1"/>
  <c r="E4927" i="1"/>
  <c r="G4927" i="1"/>
  <c r="J4927" i="1"/>
  <c r="K4927" i="1"/>
  <c r="BE4927" i="1"/>
  <c r="BF4927" i="1"/>
  <c r="BG4927" i="1"/>
  <c r="E4928" i="1"/>
  <c r="G4928" i="1"/>
  <c r="J4928" i="1"/>
  <c r="K4928" i="1"/>
  <c r="BE4928" i="1"/>
  <c r="BF4928" i="1"/>
  <c r="BG4928" i="1"/>
  <c r="E4929" i="1"/>
  <c r="G4929" i="1"/>
  <c r="J4929" i="1"/>
  <c r="K4929" i="1"/>
  <c r="BE4929" i="1"/>
  <c r="BF4929" i="1"/>
  <c r="BG4929" i="1"/>
  <c r="E4930" i="1"/>
  <c r="G4930" i="1"/>
  <c r="J4930" i="1"/>
  <c r="K4930" i="1"/>
  <c r="BE4930" i="1"/>
  <c r="BF4930" i="1"/>
  <c r="BG4930" i="1"/>
  <c r="E757" i="1"/>
  <c r="G757" i="1"/>
  <c r="J757" i="1"/>
  <c r="K757" i="1"/>
  <c r="BE757" i="1"/>
  <c r="BF757" i="1"/>
  <c r="BG757" i="1"/>
  <c r="E4931" i="1"/>
  <c r="G4931" i="1"/>
  <c r="J4931" i="1"/>
  <c r="K4931" i="1"/>
  <c r="BE4931" i="1"/>
  <c r="BF4931" i="1"/>
  <c r="BG4931" i="1"/>
  <c r="E4932" i="1"/>
  <c r="G4932" i="1"/>
  <c r="J4932" i="1"/>
  <c r="K4932" i="1"/>
  <c r="BE4932" i="1"/>
  <c r="BF4932" i="1"/>
  <c r="BG4932" i="1"/>
  <c r="E4933" i="1"/>
  <c r="G4933" i="1"/>
  <c r="J4933" i="1"/>
  <c r="K4933" i="1"/>
  <c r="BE4933" i="1"/>
  <c r="BF4933" i="1"/>
  <c r="BG4933" i="1"/>
  <c r="E4934" i="1"/>
  <c r="G4934" i="1"/>
  <c r="J4934" i="1"/>
  <c r="K4934" i="1"/>
  <c r="BE4934" i="1"/>
  <c r="BF4934" i="1"/>
  <c r="BG4934" i="1"/>
  <c r="E4935" i="1"/>
  <c r="G4935" i="1"/>
  <c r="J4935" i="1"/>
  <c r="K4935" i="1"/>
  <c r="BE4935" i="1"/>
  <c r="BF4935" i="1"/>
  <c r="BG4935" i="1"/>
  <c r="E4936" i="1"/>
  <c r="G4936" i="1"/>
  <c r="J4936" i="1"/>
  <c r="K4936" i="1"/>
  <c r="BE4936" i="1"/>
  <c r="BF4936" i="1"/>
  <c r="BG4936" i="1"/>
  <c r="E4398" i="1"/>
  <c r="G4398" i="1"/>
  <c r="J4398" i="1"/>
  <c r="K4398" i="1"/>
  <c r="BE4398" i="1"/>
  <c r="BF4398" i="1"/>
  <c r="BG4398" i="1"/>
  <c r="E4399" i="1"/>
  <c r="G4399" i="1"/>
  <c r="J4399" i="1"/>
  <c r="K4399" i="1"/>
  <c r="BE4399" i="1"/>
  <c r="BF4399" i="1"/>
  <c r="BG4399" i="1"/>
  <c r="E4400" i="1"/>
  <c r="G4400" i="1"/>
  <c r="J4400" i="1"/>
  <c r="K4400" i="1"/>
  <c r="BE4400" i="1"/>
  <c r="BF4400" i="1"/>
  <c r="BG4400" i="1"/>
  <c r="E4401" i="1"/>
  <c r="G4401" i="1"/>
  <c r="J4401" i="1"/>
  <c r="K4401" i="1"/>
  <c r="BE4401" i="1"/>
  <c r="BF4401" i="1"/>
  <c r="BG4401" i="1"/>
  <c r="E4402" i="1"/>
  <c r="G4402" i="1"/>
  <c r="J4402" i="1"/>
  <c r="K4402" i="1"/>
  <c r="BE4402" i="1"/>
  <c r="BF4402" i="1"/>
  <c r="BG4402" i="1"/>
  <c r="E4403" i="1"/>
  <c r="G4403" i="1"/>
  <c r="J4403" i="1"/>
  <c r="K4403" i="1"/>
  <c r="BE4403" i="1"/>
  <c r="BF4403" i="1"/>
  <c r="BG4403" i="1"/>
  <c r="E4404" i="1"/>
  <c r="G4404" i="1"/>
  <c r="J4404" i="1"/>
  <c r="K4404" i="1"/>
  <c r="BE4404" i="1"/>
  <c r="BF4404" i="1"/>
  <c r="BG4404" i="1"/>
  <c r="E4405" i="1"/>
  <c r="G4405" i="1"/>
  <c r="J4405" i="1"/>
  <c r="K4405" i="1"/>
  <c r="BE4405" i="1"/>
  <c r="BF4405" i="1"/>
  <c r="BG4405" i="1"/>
  <c r="E4406" i="1"/>
  <c r="G4406" i="1"/>
  <c r="J4406" i="1"/>
  <c r="K4406" i="1"/>
  <c r="BE4406" i="1"/>
  <c r="BF4406" i="1"/>
  <c r="BG4406" i="1"/>
  <c r="E4407" i="1"/>
  <c r="G4407" i="1"/>
  <c r="J4407" i="1"/>
  <c r="K4407" i="1"/>
  <c r="BE4407" i="1"/>
  <c r="BF4407" i="1"/>
  <c r="BG4407" i="1"/>
  <c r="E4408" i="1"/>
  <c r="G4408" i="1"/>
  <c r="J4408" i="1"/>
  <c r="K4408" i="1"/>
  <c r="BE4408" i="1"/>
  <c r="BF4408" i="1"/>
  <c r="BG4408" i="1"/>
  <c r="E4409" i="1"/>
  <c r="G4409" i="1"/>
  <c r="J4409" i="1"/>
  <c r="K4409" i="1"/>
  <c r="BE4409" i="1"/>
  <c r="BF4409" i="1"/>
  <c r="BG4409" i="1"/>
  <c r="E4410" i="1"/>
  <c r="G4410" i="1"/>
  <c r="J4410" i="1"/>
  <c r="K4410" i="1"/>
  <c r="BE4410" i="1"/>
  <c r="BF4410" i="1"/>
  <c r="BG4410" i="1"/>
  <c r="E4411" i="1"/>
  <c r="G4411" i="1"/>
  <c r="J4411" i="1"/>
  <c r="K4411" i="1"/>
  <c r="BE4411" i="1"/>
  <c r="BF4411" i="1"/>
  <c r="BG4411" i="1"/>
  <c r="E4412" i="1"/>
  <c r="G4412" i="1"/>
  <c r="J4412" i="1"/>
  <c r="K4412" i="1"/>
  <c r="BE4412" i="1"/>
  <c r="BF4412" i="1"/>
  <c r="BG4412" i="1"/>
  <c r="E4413" i="1"/>
  <c r="G4413" i="1"/>
  <c r="J4413" i="1"/>
  <c r="K4413" i="1"/>
  <c r="BE4413" i="1"/>
  <c r="BF4413" i="1"/>
  <c r="BG4413" i="1"/>
  <c r="E4414" i="1"/>
  <c r="G4414" i="1"/>
  <c r="J4414" i="1"/>
  <c r="K4414" i="1"/>
  <c r="BE4414" i="1"/>
  <c r="BF4414" i="1"/>
  <c r="BG4414" i="1"/>
  <c r="E4415" i="1"/>
  <c r="G4415" i="1"/>
  <c r="J4415" i="1"/>
  <c r="K4415" i="1"/>
  <c r="BE4415" i="1"/>
  <c r="BF4415" i="1"/>
  <c r="BG4415" i="1"/>
  <c r="E4416" i="1"/>
  <c r="G4416" i="1"/>
  <c r="J4416" i="1"/>
  <c r="K4416" i="1"/>
  <c r="BE4416" i="1"/>
  <c r="BF4416" i="1"/>
  <c r="BG4416" i="1"/>
  <c r="E4417" i="1"/>
  <c r="G4417" i="1"/>
  <c r="J4417" i="1"/>
  <c r="K4417" i="1"/>
  <c r="BE4417" i="1"/>
  <c r="BF4417" i="1"/>
  <c r="BG4417" i="1"/>
  <c r="E4418" i="1"/>
  <c r="G4418" i="1"/>
  <c r="J4418" i="1"/>
  <c r="K4418" i="1"/>
  <c r="BE4418" i="1"/>
  <c r="BF4418" i="1"/>
  <c r="BG4418" i="1"/>
  <c r="E4419" i="1"/>
  <c r="G4419" i="1"/>
  <c r="J4419" i="1"/>
  <c r="K4419" i="1"/>
  <c r="BE4419" i="1"/>
  <c r="BF4419" i="1"/>
  <c r="BG4419" i="1"/>
  <c r="E4420" i="1"/>
  <c r="G4420" i="1"/>
  <c r="J4420" i="1"/>
  <c r="K4420" i="1"/>
  <c r="BE4420" i="1"/>
  <c r="BF4420" i="1"/>
  <c r="BG4420" i="1"/>
  <c r="E4421" i="1"/>
  <c r="G4421" i="1"/>
  <c r="J4421" i="1"/>
  <c r="K4421" i="1"/>
  <c r="BE4421" i="1"/>
  <c r="BF4421" i="1"/>
  <c r="BG4421" i="1"/>
  <c r="E4422" i="1"/>
  <c r="G4422" i="1"/>
  <c r="J4422" i="1"/>
  <c r="K4422" i="1"/>
  <c r="BE4422" i="1"/>
  <c r="BF4422" i="1"/>
  <c r="BG4422" i="1"/>
  <c r="E4423" i="1"/>
  <c r="G4423" i="1"/>
  <c r="J4423" i="1"/>
  <c r="K4423" i="1"/>
  <c r="BE4423" i="1"/>
  <c r="BF4423" i="1"/>
  <c r="BG4423" i="1"/>
  <c r="E4424" i="1"/>
  <c r="G4424" i="1"/>
  <c r="J4424" i="1"/>
  <c r="K4424" i="1"/>
  <c r="BE4424" i="1"/>
  <c r="BF4424" i="1"/>
  <c r="BG4424" i="1"/>
  <c r="E4425" i="1"/>
  <c r="G4425" i="1"/>
  <c r="J4425" i="1"/>
  <c r="K4425" i="1"/>
  <c r="BE4425" i="1"/>
  <c r="BF4425" i="1"/>
  <c r="BG4425" i="1"/>
  <c r="E4426" i="1"/>
  <c r="G4426" i="1"/>
  <c r="J4426" i="1"/>
  <c r="K4426" i="1"/>
  <c r="BE4426" i="1"/>
  <c r="BF4426" i="1"/>
  <c r="BG4426" i="1"/>
  <c r="E4427" i="1"/>
  <c r="G4427" i="1"/>
  <c r="J4427" i="1"/>
  <c r="K4427" i="1"/>
  <c r="BE4427" i="1"/>
  <c r="BF4427" i="1"/>
  <c r="BG4427" i="1"/>
  <c r="E4428" i="1"/>
  <c r="G4428" i="1"/>
  <c r="J4428" i="1"/>
  <c r="K4428" i="1"/>
  <c r="BE4428" i="1"/>
  <c r="BF4428" i="1"/>
  <c r="BG4428" i="1"/>
  <c r="E4429" i="1"/>
  <c r="G4429" i="1"/>
  <c r="J4429" i="1"/>
  <c r="K4429" i="1"/>
  <c r="BE4429" i="1"/>
  <c r="BF4429" i="1"/>
  <c r="BG4429" i="1"/>
  <c r="E4430" i="1"/>
  <c r="G4430" i="1"/>
  <c r="J4430" i="1"/>
  <c r="K4430" i="1"/>
  <c r="BE4430" i="1"/>
  <c r="BF4430" i="1"/>
  <c r="BG4430" i="1"/>
  <c r="E4431" i="1"/>
  <c r="G4431" i="1"/>
  <c r="J4431" i="1"/>
  <c r="K4431" i="1"/>
  <c r="BE4431" i="1"/>
  <c r="BF4431" i="1"/>
  <c r="BG4431" i="1"/>
  <c r="E4432" i="1"/>
  <c r="G4432" i="1"/>
  <c r="J4432" i="1"/>
  <c r="K4432" i="1"/>
  <c r="BE4432" i="1"/>
  <c r="BF4432" i="1"/>
  <c r="BG4432" i="1"/>
  <c r="E4433" i="1"/>
  <c r="G4433" i="1"/>
  <c r="J4433" i="1"/>
  <c r="K4433" i="1"/>
  <c r="BE4433" i="1"/>
  <c r="BF4433" i="1"/>
  <c r="BG4433" i="1"/>
  <c r="E4434" i="1"/>
  <c r="G4434" i="1"/>
  <c r="J4434" i="1"/>
  <c r="K4434" i="1"/>
  <c r="BE4434" i="1"/>
  <c r="BF4434" i="1"/>
  <c r="BG4434" i="1"/>
  <c r="E4435" i="1"/>
  <c r="G4435" i="1"/>
  <c r="J4435" i="1"/>
  <c r="K4435" i="1"/>
  <c r="BE4435" i="1"/>
  <c r="BF4435" i="1"/>
  <c r="BG4435" i="1"/>
  <c r="E4436" i="1"/>
  <c r="G4436" i="1"/>
  <c r="J4436" i="1"/>
  <c r="K4436" i="1"/>
  <c r="BE4436" i="1"/>
  <c r="BF4436" i="1"/>
  <c r="BG4436" i="1"/>
  <c r="E4437" i="1"/>
  <c r="G4437" i="1"/>
  <c r="J4437" i="1"/>
  <c r="K4437" i="1"/>
  <c r="BE4437" i="1"/>
  <c r="BF4437" i="1"/>
  <c r="BG4437" i="1"/>
  <c r="E4438" i="1"/>
  <c r="G4438" i="1"/>
  <c r="J4438" i="1"/>
  <c r="K4438" i="1"/>
  <c r="BE4438" i="1"/>
  <c r="BF4438" i="1"/>
  <c r="BG4438" i="1"/>
  <c r="E4439" i="1"/>
  <c r="G4439" i="1"/>
  <c r="J4439" i="1"/>
  <c r="K4439" i="1"/>
  <c r="BE4439" i="1"/>
  <c r="BF4439" i="1"/>
  <c r="BG4439" i="1"/>
  <c r="E4440" i="1"/>
  <c r="G4440" i="1"/>
  <c r="J4440" i="1"/>
  <c r="K4440" i="1"/>
  <c r="BE4440" i="1"/>
  <c r="BF4440" i="1"/>
  <c r="BG4440" i="1"/>
  <c r="E4441" i="1"/>
  <c r="G4441" i="1"/>
  <c r="J4441" i="1"/>
  <c r="K4441" i="1"/>
  <c r="BE4441" i="1"/>
  <c r="BF4441" i="1"/>
  <c r="BG4441" i="1"/>
  <c r="E4442" i="1"/>
  <c r="G4442" i="1"/>
  <c r="J4442" i="1"/>
  <c r="K4442" i="1"/>
  <c r="BE4442" i="1"/>
  <c r="BF4442" i="1"/>
  <c r="BG4442" i="1"/>
  <c r="E4443" i="1"/>
  <c r="G4443" i="1"/>
  <c r="J4443" i="1"/>
  <c r="K4443" i="1"/>
  <c r="BE4443" i="1"/>
  <c r="BF4443" i="1"/>
  <c r="BG4443" i="1"/>
  <c r="E4444" i="1"/>
  <c r="G4444" i="1"/>
  <c r="J4444" i="1"/>
  <c r="K4444" i="1"/>
  <c r="BE4444" i="1"/>
  <c r="BF4444" i="1"/>
  <c r="BG4444" i="1"/>
  <c r="E4445" i="1"/>
  <c r="G4445" i="1"/>
  <c r="J4445" i="1"/>
  <c r="K4445" i="1"/>
  <c r="BE4445" i="1"/>
  <c r="BF4445" i="1"/>
  <c r="BG4445" i="1"/>
  <c r="E4446" i="1"/>
  <c r="G4446" i="1"/>
  <c r="J4446" i="1"/>
  <c r="K4446" i="1"/>
  <c r="BE4446" i="1"/>
  <c r="BF4446" i="1"/>
  <c r="BG4446" i="1"/>
  <c r="E4447" i="1"/>
  <c r="G4447" i="1"/>
  <c r="J4447" i="1"/>
  <c r="K4447" i="1"/>
  <c r="BE4447" i="1"/>
  <c r="BF4447" i="1"/>
  <c r="BG4447" i="1"/>
  <c r="E4448" i="1"/>
  <c r="G4448" i="1"/>
  <c r="J4448" i="1"/>
  <c r="K4448" i="1"/>
  <c r="BE4448" i="1"/>
  <c r="BF4448" i="1"/>
  <c r="BG4448" i="1"/>
  <c r="E4449" i="1"/>
  <c r="G4449" i="1"/>
  <c r="J4449" i="1"/>
  <c r="K4449" i="1"/>
  <c r="BE4449" i="1"/>
  <c r="BF4449" i="1"/>
  <c r="BG4449" i="1"/>
  <c r="E4450" i="1"/>
  <c r="G4450" i="1"/>
  <c r="J4450" i="1"/>
  <c r="K4450" i="1"/>
  <c r="BE4450" i="1"/>
  <c r="BF4450" i="1"/>
  <c r="BG4450" i="1"/>
  <c r="E4451" i="1"/>
  <c r="G4451" i="1"/>
  <c r="J4451" i="1"/>
  <c r="K4451" i="1"/>
  <c r="BE4451" i="1"/>
  <c r="BF4451" i="1"/>
  <c r="BG4451" i="1"/>
  <c r="E734" i="1"/>
  <c r="G734" i="1"/>
  <c r="J734" i="1"/>
  <c r="K734" i="1"/>
  <c r="BC734" i="1"/>
  <c r="BE734" i="1"/>
  <c r="BF734" i="1"/>
  <c r="BG734" i="1"/>
  <c r="E259" i="1"/>
  <c r="G259" i="1"/>
  <c r="J259" i="1"/>
  <c r="K259" i="1"/>
  <c r="BC259" i="1"/>
  <c r="BE259" i="1"/>
  <c r="BF259" i="1"/>
  <c r="BG259" i="1"/>
  <c r="E255" i="1"/>
  <c r="G255" i="1"/>
  <c r="J255" i="1"/>
  <c r="K255" i="1"/>
  <c r="BC255" i="1"/>
  <c r="BE255" i="1"/>
  <c r="BF255" i="1"/>
  <c r="BG255" i="1"/>
  <c r="E364" i="1"/>
  <c r="G364" i="1"/>
  <c r="J364" i="1"/>
  <c r="K364" i="1"/>
  <c r="BC364" i="1"/>
  <c r="BE364" i="1"/>
  <c r="BF364" i="1"/>
  <c r="BG364" i="1"/>
  <c r="E741" i="1"/>
  <c r="G741" i="1"/>
  <c r="J741" i="1"/>
  <c r="K741" i="1"/>
  <c r="BC741" i="1"/>
  <c r="BE741" i="1"/>
  <c r="BF741" i="1"/>
  <c r="BG741" i="1"/>
  <c r="E742" i="1"/>
  <c r="G742" i="1"/>
  <c r="J742" i="1"/>
  <c r="K742" i="1"/>
  <c r="BC742" i="1"/>
  <c r="BE742" i="1"/>
  <c r="BF742" i="1"/>
  <c r="BG742" i="1"/>
  <c r="E577" i="1"/>
  <c r="G577" i="1"/>
  <c r="J577" i="1"/>
  <c r="K577" i="1"/>
  <c r="BC577" i="1"/>
  <c r="BE577" i="1"/>
  <c r="BF577" i="1"/>
  <c r="BG577" i="1"/>
  <c r="BH577" i="1"/>
  <c r="E122" i="1"/>
  <c r="G122" i="1"/>
  <c r="J122" i="1"/>
  <c r="K122" i="1"/>
  <c r="BC122" i="1"/>
  <c r="BE122" i="1"/>
  <c r="BF122" i="1"/>
  <c r="BG122" i="1"/>
  <c r="E786" i="1"/>
  <c r="G786" i="1"/>
  <c r="J786" i="1"/>
  <c r="K786" i="1"/>
  <c r="BC786" i="1"/>
  <c r="BE786" i="1"/>
  <c r="BF786" i="1"/>
  <c r="BG786" i="1"/>
  <c r="E487" i="1"/>
  <c r="G487" i="1"/>
  <c r="J487" i="1"/>
  <c r="K487" i="1"/>
  <c r="BC487" i="1"/>
  <c r="BE487" i="1"/>
  <c r="BF487" i="1"/>
  <c r="BG487" i="1"/>
  <c r="E126" i="1"/>
  <c r="G126" i="1"/>
  <c r="J126" i="1"/>
  <c r="K126" i="1"/>
  <c r="BC126" i="1"/>
  <c r="BE126" i="1"/>
  <c r="BF126" i="1"/>
  <c r="BG126" i="1"/>
  <c r="E499" i="1"/>
  <c r="G499" i="1"/>
  <c r="J499" i="1"/>
  <c r="K499" i="1"/>
  <c r="BC499" i="1"/>
  <c r="BE499" i="1"/>
  <c r="BF499" i="1"/>
  <c r="BG499" i="1"/>
  <c r="E629" i="1"/>
  <c r="G629" i="1"/>
  <c r="J629" i="1"/>
  <c r="K629" i="1"/>
  <c r="BC629" i="1"/>
  <c r="BE629" i="1"/>
  <c r="BF629" i="1"/>
  <c r="BG629" i="1"/>
  <c r="E6856" i="1"/>
  <c r="G6856" i="1"/>
  <c r="J6856" i="1"/>
  <c r="BC6856" i="1"/>
  <c r="BE6856" i="1"/>
  <c r="BF6856" i="1"/>
  <c r="BG6856" i="1"/>
  <c r="BH6856" i="1"/>
  <c r="E678" i="1"/>
  <c r="G678" i="1"/>
  <c r="J678" i="1"/>
  <c r="K678" i="1"/>
  <c r="BC678" i="1"/>
  <c r="BE678" i="1"/>
  <c r="BF678" i="1"/>
  <c r="BG678" i="1"/>
  <c r="BH678" i="1"/>
  <c r="E2177" i="1"/>
  <c r="G2177" i="1"/>
  <c r="J2177" i="1"/>
  <c r="K2177" i="1"/>
  <c r="BC2177" i="1"/>
  <c r="BE2177" i="1"/>
  <c r="BF2177" i="1"/>
  <c r="BG2177" i="1"/>
  <c r="E2543" i="1"/>
  <c r="G2543" i="1"/>
  <c r="J2543" i="1"/>
  <c r="K2543" i="1"/>
  <c r="BE2543" i="1"/>
  <c r="BF2543" i="1"/>
  <c r="BG2543" i="1"/>
  <c r="E2544" i="1"/>
  <c r="G2544" i="1"/>
  <c r="J2544" i="1"/>
  <c r="K2544" i="1"/>
  <c r="BE2544" i="1"/>
  <c r="BF2544" i="1"/>
  <c r="BG2544" i="1"/>
  <c r="E2545" i="1"/>
  <c r="G2545" i="1"/>
  <c r="J2545" i="1"/>
  <c r="K2545" i="1"/>
  <c r="BE2545" i="1"/>
  <c r="BF2545" i="1"/>
  <c r="BG2545" i="1"/>
  <c r="E2546" i="1"/>
  <c r="G2546" i="1"/>
  <c r="J2546" i="1"/>
  <c r="K2546" i="1"/>
  <c r="BE2546" i="1"/>
  <c r="BF2546" i="1"/>
  <c r="BG2546" i="1"/>
  <c r="E2547" i="1"/>
  <c r="G2547" i="1"/>
  <c r="J2547" i="1"/>
  <c r="K2547" i="1"/>
  <c r="BE2547" i="1"/>
  <c r="BF2547" i="1"/>
  <c r="BG2547" i="1"/>
  <c r="E2548" i="1"/>
  <c r="G2548" i="1"/>
  <c r="J2548" i="1"/>
  <c r="K2548" i="1"/>
  <c r="BE2548" i="1"/>
  <c r="BF2548" i="1"/>
  <c r="BG2548" i="1"/>
  <c r="E2549" i="1"/>
  <c r="G2549" i="1"/>
  <c r="J2549" i="1"/>
  <c r="K2549" i="1"/>
  <c r="BE2549" i="1"/>
  <c r="BF2549" i="1"/>
  <c r="BG2549" i="1"/>
  <c r="E2550" i="1"/>
  <c r="G2550" i="1"/>
  <c r="J2550" i="1"/>
  <c r="K2550" i="1"/>
  <c r="BE2550" i="1"/>
  <c r="BF2550" i="1"/>
  <c r="BG2550" i="1"/>
  <c r="E2551" i="1"/>
  <c r="G2551" i="1"/>
  <c r="J2551" i="1"/>
  <c r="K2551" i="1"/>
  <c r="BE2551" i="1"/>
  <c r="BF2551" i="1"/>
  <c r="BG2551" i="1"/>
  <c r="E2552" i="1"/>
  <c r="G2552" i="1"/>
  <c r="J2552" i="1"/>
  <c r="K2552" i="1"/>
  <c r="BE2552" i="1"/>
  <c r="BF2552" i="1"/>
  <c r="BG2552" i="1"/>
  <c r="E2553" i="1"/>
  <c r="G2553" i="1"/>
  <c r="J2553" i="1"/>
  <c r="K2553" i="1"/>
  <c r="BE2553" i="1"/>
  <c r="BF2553" i="1"/>
  <c r="BG2553" i="1"/>
  <c r="E2554" i="1"/>
  <c r="G2554" i="1"/>
  <c r="J2554" i="1"/>
  <c r="K2554" i="1"/>
  <c r="BE2554" i="1"/>
  <c r="BF2554" i="1"/>
  <c r="BG2554" i="1"/>
  <c r="E2555" i="1"/>
  <c r="G2555" i="1"/>
  <c r="J2555" i="1"/>
  <c r="K2555" i="1"/>
  <c r="BE2555" i="1"/>
  <c r="BF2555" i="1"/>
  <c r="BG2555" i="1"/>
  <c r="E2556" i="1"/>
  <c r="G2556" i="1"/>
  <c r="J2556" i="1"/>
  <c r="K2556" i="1"/>
  <c r="BE2556" i="1"/>
  <c r="BF2556" i="1"/>
  <c r="BG2556" i="1"/>
  <c r="E2557" i="1"/>
  <c r="G2557" i="1"/>
  <c r="J2557" i="1"/>
  <c r="K2557" i="1"/>
  <c r="BE2557" i="1"/>
  <c r="BF2557" i="1"/>
  <c r="BG2557" i="1"/>
  <c r="E2558" i="1"/>
  <c r="G2558" i="1"/>
  <c r="J2558" i="1"/>
  <c r="K2558" i="1"/>
  <c r="BE2558" i="1"/>
  <c r="BF2558" i="1"/>
  <c r="BG2558" i="1"/>
  <c r="E2559" i="1"/>
  <c r="G2559" i="1"/>
  <c r="J2559" i="1"/>
  <c r="K2559" i="1"/>
  <c r="BE2559" i="1"/>
  <c r="BF2559" i="1"/>
  <c r="BG2559" i="1"/>
  <c r="E2560" i="1"/>
  <c r="G2560" i="1"/>
  <c r="J2560" i="1"/>
  <c r="K2560" i="1"/>
  <c r="BE2560" i="1"/>
  <c r="BF2560" i="1"/>
  <c r="BG2560" i="1"/>
  <c r="E2561" i="1"/>
  <c r="G2561" i="1"/>
  <c r="J2561" i="1"/>
  <c r="K2561" i="1"/>
  <c r="BE2561" i="1"/>
  <c r="BF2561" i="1"/>
  <c r="BG2561" i="1"/>
  <c r="E2562" i="1"/>
  <c r="G2562" i="1"/>
  <c r="J2562" i="1"/>
  <c r="K2562" i="1"/>
  <c r="BE2562" i="1"/>
  <c r="BF2562" i="1"/>
  <c r="BG2562" i="1"/>
  <c r="E2563" i="1"/>
  <c r="G2563" i="1"/>
  <c r="J2563" i="1"/>
  <c r="K2563" i="1"/>
  <c r="BE2563" i="1"/>
  <c r="BF2563" i="1"/>
  <c r="BG2563" i="1"/>
  <c r="E2564" i="1"/>
  <c r="G2564" i="1"/>
  <c r="J2564" i="1"/>
  <c r="K2564" i="1"/>
  <c r="BE2564" i="1"/>
  <c r="BF2564" i="1"/>
  <c r="BG2564" i="1"/>
  <c r="E2565" i="1"/>
  <c r="G2565" i="1"/>
  <c r="J2565" i="1"/>
  <c r="K2565" i="1"/>
  <c r="BE2565" i="1"/>
  <c r="BF2565" i="1"/>
  <c r="BG2565" i="1"/>
  <c r="E2566" i="1"/>
  <c r="G2566" i="1"/>
  <c r="J2566" i="1"/>
  <c r="K2566" i="1"/>
  <c r="BE2566" i="1"/>
  <c r="BF2566" i="1"/>
  <c r="BG2566" i="1"/>
  <c r="E2567" i="1"/>
  <c r="G2567" i="1"/>
  <c r="J2567" i="1"/>
  <c r="K2567" i="1"/>
  <c r="BE2567" i="1"/>
  <c r="BF2567" i="1"/>
  <c r="BG2567" i="1"/>
  <c r="E2568" i="1"/>
  <c r="G2568" i="1"/>
  <c r="J2568" i="1"/>
  <c r="K2568" i="1"/>
  <c r="BE2568" i="1"/>
  <c r="BF2568" i="1"/>
  <c r="BG2568" i="1"/>
  <c r="E2569" i="1"/>
  <c r="G2569" i="1"/>
  <c r="J2569" i="1"/>
  <c r="K2569" i="1"/>
  <c r="BE2569" i="1"/>
  <c r="BF2569" i="1"/>
  <c r="BG2569" i="1"/>
  <c r="E2570" i="1"/>
  <c r="G2570" i="1"/>
  <c r="J2570" i="1"/>
  <c r="K2570" i="1"/>
  <c r="BE2570" i="1"/>
  <c r="BF2570" i="1"/>
  <c r="BG2570" i="1"/>
  <c r="E2571" i="1"/>
  <c r="G2571" i="1"/>
  <c r="J2571" i="1"/>
  <c r="K2571" i="1"/>
  <c r="BE2571" i="1"/>
  <c r="BF2571" i="1"/>
  <c r="BG2571" i="1"/>
  <c r="E2572" i="1"/>
  <c r="G2572" i="1"/>
  <c r="J2572" i="1"/>
  <c r="K2572" i="1"/>
  <c r="BE2572" i="1"/>
  <c r="BF2572" i="1"/>
  <c r="BG2572" i="1"/>
  <c r="E2573" i="1"/>
  <c r="G2573" i="1"/>
  <c r="J2573" i="1"/>
  <c r="K2573" i="1"/>
  <c r="BE2573" i="1"/>
  <c r="BF2573" i="1"/>
  <c r="BG2573" i="1"/>
  <c r="E2574" i="1"/>
  <c r="G2574" i="1"/>
  <c r="J2574" i="1"/>
  <c r="K2574" i="1"/>
  <c r="BE2574" i="1"/>
  <c r="BF2574" i="1"/>
  <c r="BG2574" i="1"/>
  <c r="E2575" i="1"/>
  <c r="G2575" i="1"/>
  <c r="J2575" i="1"/>
  <c r="K2575" i="1"/>
  <c r="BE2575" i="1"/>
  <c r="BF2575" i="1"/>
  <c r="BG2575" i="1"/>
  <c r="E2576" i="1"/>
  <c r="G2576" i="1"/>
  <c r="J2576" i="1"/>
  <c r="K2576" i="1"/>
  <c r="BE2576" i="1"/>
  <c r="BF2576" i="1"/>
  <c r="BG2576" i="1"/>
  <c r="E2577" i="1"/>
  <c r="G2577" i="1"/>
  <c r="J2577" i="1"/>
  <c r="K2577" i="1"/>
  <c r="BE2577" i="1"/>
  <c r="BF2577" i="1"/>
  <c r="BG2577" i="1"/>
  <c r="E2578" i="1"/>
  <c r="G2578" i="1"/>
  <c r="J2578" i="1"/>
  <c r="K2578" i="1"/>
  <c r="BE2578" i="1"/>
  <c r="BF2578" i="1"/>
  <c r="BG2578" i="1"/>
  <c r="E2579" i="1"/>
  <c r="G2579" i="1"/>
  <c r="J2579" i="1"/>
  <c r="K2579" i="1"/>
  <c r="BE2579" i="1"/>
  <c r="BF2579" i="1"/>
  <c r="BG2579" i="1"/>
  <c r="E2580" i="1"/>
  <c r="G2580" i="1"/>
  <c r="J2580" i="1"/>
  <c r="K2580" i="1"/>
  <c r="BE2580" i="1"/>
  <c r="BF2580" i="1"/>
  <c r="BG2580" i="1"/>
  <c r="E2581" i="1"/>
  <c r="G2581" i="1"/>
  <c r="J2581" i="1"/>
  <c r="K2581" i="1"/>
  <c r="BE2581" i="1"/>
  <c r="BF2581" i="1"/>
  <c r="BG2581" i="1"/>
  <c r="E2582" i="1"/>
  <c r="G2582" i="1"/>
  <c r="J2582" i="1"/>
  <c r="K2582" i="1"/>
  <c r="BE2582" i="1"/>
  <c r="BF2582" i="1"/>
  <c r="BG2582" i="1"/>
  <c r="E2583" i="1"/>
  <c r="G2583" i="1"/>
  <c r="J2583" i="1"/>
  <c r="K2583" i="1"/>
  <c r="BE2583" i="1"/>
  <c r="BF2583" i="1"/>
  <c r="BG2583" i="1"/>
  <c r="E2584" i="1"/>
  <c r="G2584" i="1"/>
  <c r="J2584" i="1"/>
  <c r="K2584" i="1"/>
  <c r="BE2584" i="1"/>
  <c r="BF2584" i="1"/>
  <c r="BG2584" i="1"/>
  <c r="E2585" i="1"/>
  <c r="G2585" i="1"/>
  <c r="J2585" i="1"/>
  <c r="K2585" i="1"/>
  <c r="BE2585" i="1"/>
  <c r="BF2585" i="1"/>
  <c r="BG2585" i="1"/>
  <c r="E2586" i="1"/>
  <c r="G2586" i="1"/>
  <c r="J2586" i="1"/>
  <c r="K2586" i="1"/>
  <c r="BE2586" i="1"/>
  <c r="BF2586" i="1"/>
  <c r="BG2586" i="1"/>
  <c r="E2587" i="1"/>
  <c r="G2587" i="1"/>
  <c r="J2587" i="1"/>
  <c r="K2587" i="1"/>
  <c r="BE2587" i="1"/>
  <c r="BF2587" i="1"/>
  <c r="BG2587" i="1"/>
  <c r="E2588" i="1"/>
  <c r="G2588" i="1"/>
  <c r="J2588" i="1"/>
  <c r="K2588" i="1"/>
  <c r="BE2588" i="1"/>
  <c r="BF2588" i="1"/>
  <c r="BG2588" i="1"/>
  <c r="E2589" i="1"/>
  <c r="G2589" i="1"/>
  <c r="J2589" i="1"/>
  <c r="K2589" i="1"/>
  <c r="BE2589" i="1"/>
  <c r="BF2589" i="1"/>
  <c r="BG2589" i="1"/>
  <c r="E2590" i="1"/>
  <c r="G2590" i="1"/>
  <c r="J2590" i="1"/>
  <c r="K2590" i="1"/>
  <c r="BE2590" i="1"/>
  <c r="BF2590" i="1"/>
  <c r="BG2590" i="1"/>
  <c r="E2591" i="1"/>
  <c r="G2591" i="1"/>
  <c r="J2591" i="1"/>
  <c r="K2591" i="1"/>
  <c r="BE2591" i="1"/>
  <c r="BF2591" i="1"/>
  <c r="BG2591" i="1"/>
  <c r="E2592" i="1"/>
  <c r="G2592" i="1"/>
  <c r="J2592" i="1"/>
  <c r="K2592" i="1"/>
  <c r="BE2592" i="1"/>
  <c r="BF2592" i="1"/>
  <c r="BG2592" i="1"/>
  <c r="E2593" i="1"/>
  <c r="G2593" i="1"/>
  <c r="J2593" i="1"/>
  <c r="K2593" i="1"/>
  <c r="BE2593" i="1"/>
  <c r="BF2593" i="1"/>
  <c r="BG2593" i="1"/>
  <c r="E2594" i="1"/>
  <c r="G2594" i="1"/>
  <c r="J2594" i="1"/>
  <c r="K2594" i="1"/>
  <c r="BE2594" i="1"/>
  <c r="BF2594" i="1"/>
  <c r="BG2594" i="1"/>
  <c r="E2595" i="1"/>
  <c r="G2595" i="1"/>
  <c r="J2595" i="1"/>
  <c r="K2595" i="1"/>
  <c r="BE2595" i="1"/>
  <c r="BF2595" i="1"/>
  <c r="BG2595" i="1"/>
  <c r="E2596" i="1"/>
  <c r="G2596" i="1"/>
  <c r="J2596" i="1"/>
  <c r="K2596" i="1"/>
  <c r="BE2596" i="1"/>
  <c r="BF2596" i="1"/>
  <c r="BG2596" i="1"/>
  <c r="E2597" i="1"/>
  <c r="G2597" i="1"/>
  <c r="J2597" i="1"/>
  <c r="K2597" i="1"/>
  <c r="BE2597" i="1"/>
  <c r="BF2597" i="1"/>
  <c r="BG2597" i="1"/>
  <c r="E2598" i="1"/>
  <c r="G2598" i="1"/>
  <c r="J2598" i="1"/>
  <c r="K2598" i="1"/>
  <c r="BE2598" i="1"/>
  <c r="BF2598" i="1"/>
  <c r="BG2598" i="1"/>
  <c r="E2599" i="1"/>
  <c r="G2599" i="1"/>
  <c r="J2599" i="1"/>
  <c r="K2599" i="1"/>
  <c r="BE2599" i="1"/>
  <c r="BF2599" i="1"/>
  <c r="BG2599" i="1"/>
  <c r="E2600" i="1"/>
  <c r="G2600" i="1"/>
  <c r="J2600" i="1"/>
  <c r="K2600" i="1"/>
  <c r="BE2600" i="1"/>
  <c r="BF2600" i="1"/>
  <c r="BG2600" i="1"/>
  <c r="E2601" i="1"/>
  <c r="G2601" i="1"/>
  <c r="J2601" i="1"/>
  <c r="K2601" i="1"/>
  <c r="BE2601" i="1"/>
  <c r="BF2601" i="1"/>
  <c r="BG2601" i="1"/>
  <c r="E2602" i="1"/>
  <c r="G2602" i="1"/>
  <c r="J2602" i="1"/>
  <c r="K2602" i="1"/>
  <c r="BE2602" i="1"/>
  <c r="BF2602" i="1"/>
  <c r="BG2602" i="1"/>
  <c r="E2603" i="1"/>
  <c r="G2603" i="1"/>
  <c r="J2603" i="1"/>
  <c r="K2603" i="1"/>
  <c r="BE2603" i="1"/>
  <c r="BF2603" i="1"/>
  <c r="BG2603" i="1"/>
  <c r="E2604" i="1"/>
  <c r="G2604" i="1"/>
  <c r="J2604" i="1"/>
  <c r="K2604" i="1"/>
  <c r="BE2604" i="1"/>
  <c r="BF2604" i="1"/>
  <c r="BG2604" i="1"/>
  <c r="E2605" i="1"/>
  <c r="G2605" i="1"/>
  <c r="J2605" i="1"/>
  <c r="K2605" i="1"/>
  <c r="BE2605" i="1"/>
  <c r="BF2605" i="1"/>
  <c r="BG2605" i="1"/>
  <c r="E2606" i="1"/>
  <c r="G2606" i="1"/>
  <c r="J2606" i="1"/>
  <c r="K2606" i="1"/>
  <c r="BE2606" i="1"/>
  <c r="BF2606" i="1"/>
  <c r="BG2606" i="1"/>
  <c r="E2607" i="1"/>
  <c r="G2607" i="1"/>
  <c r="J2607" i="1"/>
  <c r="K2607" i="1"/>
  <c r="BE2607" i="1"/>
  <c r="BF2607" i="1"/>
  <c r="BG2607" i="1"/>
  <c r="E2608" i="1"/>
  <c r="G2608" i="1"/>
  <c r="J2608" i="1"/>
  <c r="K2608" i="1"/>
  <c r="BE2608" i="1"/>
  <c r="BF2608" i="1"/>
  <c r="BG2608" i="1"/>
  <c r="E2609" i="1"/>
  <c r="G2609" i="1"/>
  <c r="J2609" i="1"/>
  <c r="K2609" i="1"/>
  <c r="BE2609" i="1"/>
  <c r="BF2609" i="1"/>
  <c r="BG2609" i="1"/>
  <c r="E2610" i="1"/>
  <c r="G2610" i="1"/>
  <c r="J2610" i="1"/>
  <c r="K2610" i="1"/>
  <c r="BE2610" i="1"/>
  <c r="BF2610" i="1"/>
  <c r="BG2610" i="1"/>
  <c r="E2611" i="1"/>
  <c r="G2611" i="1"/>
  <c r="J2611" i="1"/>
  <c r="K2611" i="1"/>
  <c r="BE2611" i="1"/>
  <c r="BF2611" i="1"/>
  <c r="BG2611" i="1"/>
  <c r="E2612" i="1"/>
  <c r="G2612" i="1"/>
  <c r="J2612" i="1"/>
  <c r="K2612" i="1"/>
  <c r="BE2612" i="1"/>
  <c r="BF2612" i="1"/>
  <c r="BG2612" i="1"/>
  <c r="E2613" i="1"/>
  <c r="G2613" i="1"/>
  <c r="J2613" i="1"/>
  <c r="K2613" i="1"/>
  <c r="BE2613" i="1"/>
  <c r="BF2613" i="1"/>
  <c r="BG2613" i="1"/>
  <c r="E2614" i="1"/>
  <c r="G2614" i="1"/>
  <c r="J2614" i="1"/>
  <c r="K2614" i="1"/>
  <c r="BE2614" i="1"/>
  <c r="BF2614" i="1"/>
  <c r="BG2614" i="1"/>
  <c r="E2615" i="1"/>
  <c r="G2615" i="1"/>
  <c r="J2615" i="1"/>
  <c r="K2615" i="1"/>
  <c r="BE2615" i="1"/>
  <c r="BF2615" i="1"/>
  <c r="BG2615" i="1"/>
  <c r="E2616" i="1"/>
  <c r="G2616" i="1"/>
  <c r="J2616" i="1"/>
  <c r="K2616" i="1"/>
  <c r="BE2616" i="1"/>
  <c r="BF2616" i="1"/>
  <c r="BG2616" i="1"/>
  <c r="E2617" i="1"/>
  <c r="G2617" i="1"/>
  <c r="J2617" i="1"/>
  <c r="K2617" i="1"/>
  <c r="BE2617" i="1"/>
  <c r="BF2617" i="1"/>
  <c r="BG2617" i="1"/>
  <c r="E2618" i="1"/>
  <c r="G2618" i="1"/>
  <c r="J2618" i="1"/>
  <c r="K2618" i="1"/>
  <c r="BE2618" i="1"/>
  <c r="BF2618" i="1"/>
  <c r="BG2618" i="1"/>
  <c r="E2619" i="1"/>
  <c r="G2619" i="1"/>
  <c r="J2619" i="1"/>
  <c r="K2619" i="1"/>
  <c r="BE2619" i="1"/>
  <c r="BF2619" i="1"/>
  <c r="BG2619" i="1"/>
  <c r="E2620" i="1"/>
  <c r="G2620" i="1"/>
  <c r="J2620" i="1"/>
  <c r="K2620" i="1"/>
  <c r="BE2620" i="1"/>
  <c r="BF2620" i="1"/>
  <c r="BG2620" i="1"/>
  <c r="E2621" i="1"/>
  <c r="G2621" i="1"/>
  <c r="J2621" i="1"/>
  <c r="K2621" i="1"/>
  <c r="BE2621" i="1"/>
  <c r="BF2621" i="1"/>
  <c r="BG2621" i="1"/>
  <c r="E2622" i="1"/>
  <c r="G2622" i="1"/>
  <c r="J2622" i="1"/>
  <c r="K2622" i="1"/>
  <c r="BE2622" i="1"/>
  <c r="BF2622" i="1"/>
  <c r="BG2622" i="1"/>
  <c r="E2623" i="1"/>
  <c r="G2623" i="1"/>
  <c r="J2623" i="1"/>
  <c r="K2623" i="1"/>
  <c r="BE2623" i="1"/>
  <c r="BF2623" i="1"/>
  <c r="BG2623" i="1"/>
  <c r="E2624" i="1"/>
  <c r="G2624" i="1"/>
  <c r="J2624" i="1"/>
  <c r="K2624" i="1"/>
  <c r="BE2624" i="1"/>
  <c r="BF2624" i="1"/>
  <c r="BG2624" i="1"/>
  <c r="E2625" i="1"/>
  <c r="G2625" i="1"/>
  <c r="J2625" i="1"/>
  <c r="K2625" i="1"/>
  <c r="BE2625" i="1"/>
  <c r="BF2625" i="1"/>
  <c r="BG2625" i="1"/>
  <c r="E2626" i="1"/>
  <c r="G2626" i="1"/>
  <c r="J2626" i="1"/>
  <c r="K2626" i="1"/>
  <c r="BE2626" i="1"/>
  <c r="BF2626" i="1"/>
  <c r="BG2626" i="1"/>
  <c r="E2627" i="1"/>
  <c r="G2627" i="1"/>
  <c r="J2627" i="1"/>
  <c r="K2627" i="1"/>
  <c r="BE2627" i="1"/>
  <c r="BF2627" i="1"/>
  <c r="BG2627" i="1"/>
  <c r="E2628" i="1"/>
  <c r="G2628" i="1"/>
  <c r="J2628" i="1"/>
  <c r="K2628" i="1"/>
  <c r="BE2628" i="1"/>
  <c r="BF2628" i="1"/>
  <c r="BG2628" i="1"/>
  <c r="E2629" i="1"/>
  <c r="G2629" i="1"/>
  <c r="J2629" i="1"/>
  <c r="K2629" i="1"/>
  <c r="BE2629" i="1"/>
  <c r="BF2629" i="1"/>
  <c r="BG2629" i="1"/>
  <c r="E2630" i="1"/>
  <c r="G2630" i="1"/>
  <c r="J2630" i="1"/>
  <c r="K2630" i="1"/>
  <c r="BE2630" i="1"/>
  <c r="BF2630" i="1"/>
  <c r="BG2630" i="1"/>
  <c r="E2631" i="1"/>
  <c r="G2631" i="1"/>
  <c r="J2631" i="1"/>
  <c r="K2631" i="1"/>
  <c r="BE2631" i="1"/>
  <c r="BF2631" i="1"/>
  <c r="BG2631" i="1"/>
  <c r="E2632" i="1"/>
  <c r="G2632" i="1"/>
  <c r="J2632" i="1"/>
  <c r="K2632" i="1"/>
  <c r="BE2632" i="1"/>
  <c r="BF2632" i="1"/>
  <c r="BG2632" i="1"/>
  <c r="E2633" i="1"/>
  <c r="G2633" i="1"/>
  <c r="J2633" i="1"/>
  <c r="K2633" i="1"/>
  <c r="BE2633" i="1"/>
  <c r="BF2633" i="1"/>
  <c r="BG2633" i="1"/>
  <c r="E2634" i="1"/>
  <c r="G2634" i="1"/>
  <c r="J2634" i="1"/>
  <c r="K2634" i="1"/>
  <c r="BE2634" i="1"/>
  <c r="BF2634" i="1"/>
  <c r="BG2634" i="1"/>
  <c r="E2635" i="1"/>
  <c r="G2635" i="1"/>
  <c r="J2635" i="1"/>
  <c r="K2635" i="1"/>
  <c r="BE2635" i="1"/>
  <c r="BF2635" i="1"/>
  <c r="BG2635" i="1"/>
  <c r="E2636" i="1"/>
  <c r="G2636" i="1"/>
  <c r="J2636" i="1"/>
  <c r="K2636" i="1"/>
  <c r="BE2636" i="1"/>
  <c r="BF2636" i="1"/>
  <c r="BG2636" i="1"/>
  <c r="E2637" i="1"/>
  <c r="G2637" i="1"/>
  <c r="J2637" i="1"/>
  <c r="K2637" i="1"/>
  <c r="BE2637" i="1"/>
  <c r="BF2637" i="1"/>
  <c r="BG2637" i="1"/>
  <c r="E2638" i="1"/>
  <c r="G2638" i="1"/>
  <c r="J2638" i="1"/>
  <c r="K2638" i="1"/>
  <c r="BE2638" i="1"/>
  <c r="BF2638" i="1"/>
  <c r="BG2638" i="1"/>
  <c r="E2639" i="1"/>
  <c r="G2639" i="1"/>
  <c r="J2639" i="1"/>
  <c r="K2639" i="1"/>
  <c r="BE2639" i="1"/>
  <c r="BF2639" i="1"/>
  <c r="BG2639" i="1"/>
  <c r="E2640" i="1"/>
  <c r="G2640" i="1"/>
  <c r="J2640" i="1"/>
  <c r="K2640" i="1"/>
  <c r="BE2640" i="1"/>
  <c r="BF2640" i="1"/>
  <c r="BG2640" i="1"/>
  <c r="E2641" i="1"/>
  <c r="G2641" i="1"/>
  <c r="J2641" i="1"/>
  <c r="K2641" i="1"/>
  <c r="BE2641" i="1"/>
  <c r="BF2641" i="1"/>
  <c r="BG2641" i="1"/>
  <c r="E2642" i="1"/>
  <c r="G2642" i="1"/>
  <c r="J2642" i="1"/>
  <c r="K2642" i="1"/>
  <c r="BC2642" i="1"/>
  <c r="BE2642" i="1"/>
  <c r="BF2642" i="1"/>
  <c r="BG2642" i="1"/>
  <c r="E2643" i="1"/>
  <c r="G2643" i="1"/>
  <c r="J2643" i="1"/>
  <c r="K2643" i="1"/>
  <c r="BC2643" i="1"/>
  <c r="BE2643" i="1"/>
  <c r="BF2643" i="1"/>
  <c r="BG2643" i="1"/>
  <c r="E2644" i="1"/>
  <c r="G2644" i="1"/>
  <c r="J2644" i="1"/>
  <c r="K2644" i="1"/>
  <c r="BC2644" i="1"/>
  <c r="BE2644" i="1"/>
  <c r="BF2644" i="1"/>
  <c r="BG2644" i="1"/>
  <c r="E2645" i="1"/>
  <c r="G2645" i="1"/>
  <c r="J2645" i="1"/>
  <c r="K2645" i="1"/>
  <c r="BC2645" i="1"/>
  <c r="BE2645" i="1"/>
  <c r="BF2645" i="1"/>
  <c r="BG2645" i="1"/>
  <c r="E2646" i="1"/>
  <c r="G2646" i="1"/>
  <c r="J2646" i="1"/>
  <c r="K2646" i="1"/>
  <c r="BC2646" i="1"/>
  <c r="BE2646" i="1"/>
  <c r="BF2646" i="1"/>
  <c r="BG2646" i="1"/>
  <c r="E2178" i="1"/>
  <c r="G2178" i="1"/>
  <c r="J2178" i="1"/>
  <c r="K2178" i="1"/>
  <c r="BC2178" i="1"/>
  <c r="BE2178" i="1"/>
  <c r="BF2178" i="1"/>
  <c r="BG2178" i="1"/>
  <c r="E2179" i="1"/>
  <c r="G2179" i="1"/>
  <c r="J2179" i="1"/>
  <c r="K2179" i="1"/>
  <c r="BC2179" i="1"/>
  <c r="BE2179" i="1"/>
  <c r="BF2179" i="1"/>
  <c r="BG2179" i="1"/>
  <c r="E2180" i="1"/>
  <c r="G2180" i="1"/>
  <c r="J2180" i="1"/>
  <c r="K2180" i="1"/>
  <c r="BC2180" i="1"/>
  <c r="BE2180" i="1"/>
  <c r="BF2180" i="1"/>
  <c r="BG2180" i="1"/>
  <c r="E2647" i="1"/>
  <c r="G2647" i="1"/>
  <c r="J2647" i="1"/>
  <c r="K2647" i="1"/>
  <c r="BC2647" i="1"/>
  <c r="BE2647" i="1"/>
  <c r="BF2647" i="1"/>
  <c r="BG2647" i="1"/>
  <c r="E2648" i="1"/>
  <c r="G2648" i="1"/>
  <c r="J2648" i="1"/>
  <c r="K2648" i="1"/>
  <c r="BC2648" i="1"/>
  <c r="BE2648" i="1"/>
  <c r="BF2648" i="1"/>
  <c r="BG2648" i="1"/>
  <c r="E2649" i="1"/>
  <c r="G2649" i="1"/>
  <c r="J2649" i="1"/>
  <c r="K2649" i="1"/>
  <c r="BC2649" i="1"/>
  <c r="BE2649" i="1"/>
  <c r="BF2649" i="1"/>
  <c r="BG2649" i="1"/>
  <c r="E2650" i="1"/>
  <c r="G2650" i="1"/>
  <c r="J2650" i="1"/>
  <c r="K2650" i="1"/>
  <c r="BC2650" i="1"/>
  <c r="BE2650" i="1"/>
  <c r="BF2650" i="1"/>
  <c r="BG2650" i="1"/>
  <c r="E2651" i="1"/>
  <c r="G2651" i="1"/>
  <c r="J2651" i="1"/>
  <c r="K2651" i="1"/>
  <c r="BC2651" i="1"/>
  <c r="BE2651" i="1"/>
  <c r="BF2651" i="1"/>
  <c r="BG2651" i="1"/>
  <c r="E2652" i="1"/>
  <c r="G2652" i="1"/>
  <c r="J2652" i="1"/>
  <c r="K2652" i="1"/>
  <c r="BC2652" i="1"/>
  <c r="BE2652" i="1"/>
  <c r="BF2652" i="1"/>
  <c r="BG2652" i="1"/>
  <c r="E2653" i="1"/>
  <c r="G2653" i="1"/>
  <c r="J2653" i="1"/>
  <c r="K2653" i="1"/>
  <c r="BC2653" i="1"/>
  <c r="BE2653" i="1"/>
  <c r="BF2653" i="1"/>
  <c r="BG2653" i="1"/>
  <c r="E2654" i="1"/>
  <c r="G2654" i="1"/>
  <c r="J2654" i="1"/>
  <c r="K2654" i="1"/>
  <c r="BC2654" i="1"/>
  <c r="BE2654" i="1"/>
  <c r="BF2654" i="1"/>
  <c r="BG2654" i="1"/>
  <c r="E2181" i="1"/>
  <c r="G2181" i="1"/>
  <c r="J2181" i="1"/>
  <c r="K2181" i="1"/>
  <c r="BC2181" i="1"/>
  <c r="BE2181" i="1"/>
  <c r="BF2181" i="1"/>
  <c r="BG2181" i="1"/>
  <c r="E2182" i="1"/>
  <c r="G2182" i="1"/>
  <c r="J2182" i="1"/>
  <c r="K2182" i="1"/>
  <c r="BC2182" i="1"/>
  <c r="BE2182" i="1"/>
  <c r="BF2182" i="1"/>
  <c r="BG2182" i="1"/>
  <c r="E2655" i="1"/>
  <c r="G2655" i="1"/>
  <c r="J2655" i="1"/>
  <c r="K2655" i="1"/>
  <c r="BC2655" i="1"/>
  <c r="BE2655" i="1"/>
  <c r="BF2655" i="1"/>
  <c r="BG2655" i="1"/>
  <c r="E2656" i="1"/>
  <c r="G2656" i="1"/>
  <c r="J2656" i="1"/>
  <c r="K2656" i="1"/>
  <c r="BC2656" i="1"/>
  <c r="BE2656" i="1"/>
  <c r="BF2656" i="1"/>
  <c r="BG2656" i="1"/>
  <c r="E2657" i="1"/>
  <c r="G2657" i="1"/>
  <c r="J2657" i="1"/>
  <c r="K2657" i="1"/>
  <c r="BC2657" i="1"/>
  <c r="BE2657" i="1"/>
  <c r="BF2657" i="1"/>
  <c r="BG2657" i="1"/>
  <c r="E2658" i="1"/>
  <c r="G2658" i="1"/>
  <c r="J2658" i="1"/>
  <c r="K2658" i="1"/>
  <c r="BC2658" i="1"/>
  <c r="BE2658" i="1"/>
  <c r="BF2658" i="1"/>
  <c r="BG2658" i="1"/>
  <c r="E2659" i="1"/>
  <c r="G2659" i="1"/>
  <c r="J2659" i="1"/>
  <c r="K2659" i="1"/>
  <c r="BC2659" i="1"/>
  <c r="BE2659" i="1"/>
  <c r="BF2659" i="1"/>
  <c r="BG2659" i="1"/>
  <c r="E2660" i="1"/>
  <c r="G2660" i="1"/>
  <c r="J2660" i="1"/>
  <c r="K2660" i="1"/>
  <c r="BC2660" i="1"/>
  <c r="BE2660" i="1"/>
  <c r="BF2660" i="1"/>
  <c r="BG2660" i="1"/>
  <c r="E2661" i="1"/>
  <c r="G2661" i="1"/>
  <c r="J2661" i="1"/>
  <c r="K2661" i="1"/>
  <c r="BC2661" i="1"/>
  <c r="BE2661" i="1"/>
  <c r="BF2661" i="1"/>
  <c r="BG2661" i="1"/>
  <c r="E2662" i="1"/>
  <c r="G2662" i="1"/>
  <c r="J2662" i="1"/>
  <c r="K2662" i="1"/>
  <c r="BC2662" i="1"/>
  <c r="BE2662" i="1"/>
  <c r="BF2662" i="1"/>
  <c r="BG2662" i="1"/>
  <c r="E2663" i="1"/>
  <c r="G2663" i="1"/>
  <c r="J2663" i="1"/>
  <c r="K2663" i="1"/>
  <c r="BC2663" i="1"/>
  <c r="BE2663" i="1"/>
  <c r="BF2663" i="1"/>
  <c r="BG2663" i="1"/>
  <c r="E2664" i="1"/>
  <c r="G2664" i="1"/>
  <c r="J2664" i="1"/>
  <c r="K2664" i="1"/>
  <c r="BC2664" i="1"/>
  <c r="BE2664" i="1"/>
  <c r="BF2664" i="1"/>
  <c r="BG2664" i="1"/>
  <c r="E2665" i="1"/>
  <c r="G2665" i="1"/>
  <c r="J2665" i="1"/>
  <c r="K2665" i="1"/>
  <c r="BC2665" i="1"/>
  <c r="BE2665" i="1"/>
  <c r="BF2665" i="1"/>
  <c r="BG2665" i="1"/>
  <c r="E2666" i="1"/>
  <c r="G2666" i="1"/>
  <c r="J2666" i="1"/>
  <c r="K2666" i="1"/>
  <c r="BC2666" i="1"/>
  <c r="BE2666" i="1"/>
  <c r="BF2666" i="1"/>
  <c r="BG2666" i="1"/>
  <c r="E362" i="1"/>
  <c r="G362" i="1"/>
  <c r="J362" i="1"/>
  <c r="K362" i="1"/>
  <c r="BC362" i="1"/>
  <c r="BE362" i="1"/>
  <c r="BF362" i="1"/>
  <c r="BG362" i="1"/>
  <c r="E663" i="1"/>
  <c r="G663" i="1"/>
  <c r="J663" i="1"/>
  <c r="K663" i="1"/>
  <c r="BC663" i="1"/>
  <c r="BE663" i="1"/>
  <c r="BF663" i="1"/>
  <c r="BG663" i="1"/>
  <c r="E2667" i="1"/>
  <c r="G2667" i="1"/>
  <c r="J2667" i="1"/>
  <c r="K2667" i="1"/>
  <c r="BC2667" i="1"/>
  <c r="BE2667" i="1"/>
  <c r="BF2667" i="1"/>
  <c r="BG2667" i="1"/>
  <c r="E2668" i="1"/>
  <c r="G2668" i="1"/>
  <c r="J2668" i="1"/>
  <c r="K2668" i="1"/>
  <c r="BC2668" i="1"/>
  <c r="BE2668" i="1"/>
  <c r="BF2668" i="1"/>
  <c r="BG2668" i="1"/>
  <c r="E2669" i="1"/>
  <c r="G2669" i="1"/>
  <c r="J2669" i="1"/>
  <c r="K2669" i="1"/>
  <c r="BC2669" i="1"/>
  <c r="BE2669" i="1"/>
  <c r="BF2669" i="1"/>
  <c r="BG2669" i="1"/>
  <c r="E2670" i="1"/>
  <c r="G2670" i="1"/>
  <c r="J2670" i="1"/>
  <c r="K2670" i="1"/>
  <c r="BC2670" i="1"/>
  <c r="BE2670" i="1"/>
  <c r="BF2670" i="1"/>
  <c r="BG2670" i="1"/>
  <c r="E2671" i="1"/>
  <c r="G2671" i="1"/>
  <c r="J2671" i="1"/>
  <c r="K2671" i="1"/>
  <c r="BC2671" i="1"/>
  <c r="BE2671" i="1"/>
  <c r="BF2671" i="1"/>
  <c r="BG2671" i="1"/>
  <c r="E2672" i="1"/>
  <c r="G2672" i="1"/>
  <c r="J2672" i="1"/>
  <c r="K2672" i="1"/>
  <c r="BC2672" i="1"/>
  <c r="BE2672" i="1"/>
  <c r="BF2672" i="1"/>
  <c r="BG2672" i="1"/>
  <c r="E2673" i="1"/>
  <c r="G2673" i="1"/>
  <c r="J2673" i="1"/>
  <c r="K2673" i="1"/>
  <c r="BC2673" i="1"/>
  <c r="BE2673" i="1"/>
  <c r="BF2673" i="1"/>
  <c r="BG2673" i="1"/>
  <c r="E2674" i="1"/>
  <c r="G2674" i="1"/>
  <c r="J2674" i="1"/>
  <c r="K2674" i="1"/>
  <c r="BC2674" i="1"/>
  <c r="BE2674" i="1"/>
  <c r="BF2674" i="1"/>
  <c r="BG2674" i="1"/>
  <c r="E2675" i="1"/>
  <c r="G2675" i="1"/>
  <c r="J2675" i="1"/>
  <c r="K2675" i="1"/>
  <c r="BC2675" i="1"/>
  <c r="BE2675" i="1"/>
  <c r="BF2675" i="1"/>
  <c r="BG2675" i="1"/>
  <c r="E2676" i="1"/>
  <c r="G2676" i="1"/>
  <c r="J2676" i="1"/>
  <c r="K2676" i="1"/>
  <c r="BC2676" i="1"/>
  <c r="BE2676" i="1"/>
  <c r="BF2676" i="1"/>
  <c r="BG2676" i="1"/>
  <c r="E2677" i="1"/>
  <c r="G2677" i="1"/>
  <c r="J2677" i="1"/>
  <c r="K2677" i="1"/>
  <c r="BC2677" i="1"/>
  <c r="BE2677" i="1"/>
  <c r="BF2677" i="1"/>
  <c r="BG2677" i="1"/>
  <c r="E2678" i="1"/>
  <c r="G2678" i="1"/>
  <c r="J2678" i="1"/>
  <c r="K2678" i="1"/>
  <c r="BC2678" i="1"/>
  <c r="BE2678" i="1"/>
  <c r="BF2678" i="1"/>
  <c r="BG2678" i="1"/>
  <c r="E2679" i="1"/>
  <c r="G2679" i="1"/>
  <c r="J2679" i="1"/>
  <c r="K2679" i="1"/>
  <c r="BC2679" i="1"/>
  <c r="BE2679" i="1"/>
  <c r="BF2679" i="1"/>
  <c r="BG2679" i="1"/>
  <c r="E2680" i="1"/>
  <c r="G2680" i="1"/>
  <c r="J2680" i="1"/>
  <c r="K2680" i="1"/>
  <c r="BC2680" i="1"/>
  <c r="BE2680" i="1"/>
  <c r="BF2680" i="1"/>
  <c r="BG2680" i="1"/>
  <c r="E859" i="1"/>
  <c r="G859" i="1"/>
  <c r="J859" i="1"/>
  <c r="K859" i="1"/>
  <c r="BC859" i="1"/>
  <c r="BE859" i="1"/>
  <c r="BF859" i="1"/>
  <c r="BG859" i="1"/>
  <c r="E2681" i="1"/>
  <c r="G2681" i="1"/>
  <c r="J2681" i="1"/>
  <c r="K2681" i="1"/>
  <c r="BC2681" i="1"/>
  <c r="BE2681" i="1"/>
  <c r="BF2681" i="1"/>
  <c r="BG2681" i="1"/>
  <c r="E455" i="1"/>
  <c r="G455" i="1"/>
  <c r="J455" i="1"/>
  <c r="K455" i="1"/>
  <c r="BC455" i="1"/>
  <c r="BE455" i="1"/>
  <c r="BF455" i="1"/>
  <c r="BG455" i="1"/>
  <c r="E456" i="1"/>
  <c r="G456" i="1"/>
  <c r="J456" i="1"/>
  <c r="K456" i="1"/>
  <c r="BC456" i="1"/>
  <c r="BE456" i="1"/>
  <c r="BF456" i="1"/>
  <c r="BG456" i="1"/>
  <c r="E457" i="1"/>
  <c r="G457" i="1"/>
  <c r="J457" i="1"/>
  <c r="K457" i="1"/>
  <c r="BC457" i="1"/>
  <c r="BE457" i="1"/>
  <c r="BF457" i="1"/>
  <c r="BG457" i="1"/>
  <c r="E2682" i="1"/>
  <c r="G2682" i="1"/>
  <c r="J2682" i="1"/>
  <c r="K2682" i="1"/>
  <c r="BC2682" i="1"/>
  <c r="BE2682" i="1"/>
  <c r="BF2682" i="1"/>
  <c r="BG2682" i="1"/>
  <c r="E2683" i="1"/>
  <c r="G2683" i="1"/>
  <c r="J2683" i="1"/>
  <c r="K2683" i="1"/>
  <c r="BC2683" i="1"/>
  <c r="BE2683" i="1"/>
  <c r="BF2683" i="1"/>
  <c r="BG2683" i="1"/>
  <c r="E2684" i="1"/>
  <c r="G2684" i="1"/>
  <c r="J2684" i="1"/>
  <c r="K2684" i="1"/>
  <c r="BC2684" i="1"/>
  <c r="BE2684" i="1"/>
  <c r="BF2684" i="1"/>
  <c r="BG2684" i="1"/>
  <c r="E2685" i="1"/>
  <c r="G2685" i="1"/>
  <c r="J2685" i="1"/>
  <c r="K2685" i="1"/>
  <c r="BC2685" i="1"/>
  <c r="BE2685" i="1"/>
  <c r="BF2685" i="1"/>
  <c r="BG2685" i="1"/>
  <c r="E2686" i="1"/>
  <c r="G2686" i="1"/>
  <c r="J2686" i="1"/>
  <c r="K2686" i="1"/>
  <c r="BC2686" i="1"/>
  <c r="BE2686" i="1"/>
  <c r="BF2686" i="1"/>
  <c r="BG2686" i="1"/>
  <c r="E2687" i="1"/>
  <c r="G2687" i="1"/>
  <c r="J2687" i="1"/>
  <c r="K2687" i="1"/>
  <c r="BC2687" i="1"/>
  <c r="BE2687" i="1"/>
  <c r="BF2687" i="1"/>
  <c r="BG2687" i="1"/>
  <c r="E2688" i="1"/>
  <c r="G2688" i="1"/>
  <c r="J2688" i="1"/>
  <c r="K2688" i="1"/>
  <c r="BC2688" i="1"/>
  <c r="BE2688" i="1"/>
  <c r="BF2688" i="1"/>
  <c r="BG2688" i="1"/>
  <c r="E2689" i="1"/>
  <c r="G2689" i="1"/>
  <c r="J2689" i="1"/>
  <c r="K2689" i="1"/>
  <c r="BC2689" i="1"/>
  <c r="BE2689" i="1"/>
  <c r="BF2689" i="1"/>
  <c r="BG2689" i="1"/>
  <c r="E2690" i="1"/>
  <c r="G2690" i="1"/>
  <c r="J2690" i="1"/>
  <c r="K2690" i="1"/>
  <c r="BC2690" i="1"/>
  <c r="BE2690" i="1"/>
  <c r="BF2690" i="1"/>
  <c r="BG2690" i="1"/>
  <c r="E2691" i="1"/>
  <c r="G2691" i="1"/>
  <c r="J2691" i="1"/>
  <c r="K2691" i="1"/>
  <c r="BC2691" i="1"/>
  <c r="BE2691" i="1"/>
  <c r="BF2691" i="1"/>
  <c r="BG2691" i="1"/>
  <c r="E2692" i="1"/>
  <c r="G2692" i="1"/>
  <c r="J2692" i="1"/>
  <c r="K2692" i="1"/>
  <c r="BC2692" i="1"/>
  <c r="BE2692" i="1"/>
  <c r="BF2692" i="1"/>
  <c r="BG2692" i="1"/>
  <c r="E2693" i="1"/>
  <c r="G2693" i="1"/>
  <c r="J2693" i="1"/>
  <c r="K2693" i="1"/>
  <c r="BC2693" i="1"/>
  <c r="BE2693" i="1"/>
  <c r="BF2693" i="1"/>
  <c r="BG2693" i="1"/>
  <c r="E141" i="1"/>
  <c r="G141" i="1"/>
  <c r="J141" i="1"/>
  <c r="K141" i="1"/>
  <c r="BC141" i="1"/>
  <c r="BE141" i="1"/>
  <c r="BF141" i="1"/>
  <c r="BG141" i="1"/>
  <c r="E142" i="1"/>
  <c r="G142" i="1"/>
  <c r="J142" i="1"/>
  <c r="K142" i="1"/>
  <c r="BC142" i="1"/>
  <c r="BE142" i="1"/>
  <c r="BF142" i="1"/>
  <c r="BG142" i="1"/>
  <c r="E143" i="1"/>
  <c r="G143" i="1"/>
  <c r="J143" i="1"/>
  <c r="K143" i="1"/>
  <c r="BC143" i="1"/>
  <c r="BE143" i="1"/>
  <c r="BF143" i="1"/>
  <c r="BG143" i="1"/>
  <c r="E739" i="1"/>
  <c r="G739" i="1"/>
  <c r="J739" i="1"/>
  <c r="K739" i="1"/>
  <c r="BC739" i="1"/>
  <c r="BE739" i="1"/>
  <c r="BF739" i="1"/>
  <c r="BG739" i="1"/>
  <c r="E751" i="1"/>
  <c r="G751" i="1"/>
  <c r="J751" i="1"/>
  <c r="K751" i="1"/>
  <c r="BC751" i="1"/>
  <c r="BE751" i="1"/>
  <c r="BF751" i="1"/>
  <c r="BG751" i="1"/>
  <c r="E752" i="1"/>
  <c r="G752" i="1"/>
  <c r="J752" i="1"/>
  <c r="K752" i="1"/>
  <c r="BC752" i="1"/>
  <c r="BE752" i="1"/>
  <c r="BF752" i="1"/>
  <c r="BG752" i="1"/>
  <c r="E2694" i="1"/>
  <c r="G2694" i="1"/>
  <c r="J2694" i="1"/>
  <c r="K2694" i="1"/>
  <c r="BC2694" i="1"/>
  <c r="BE2694" i="1"/>
  <c r="BF2694" i="1"/>
  <c r="BG2694" i="1"/>
  <c r="E2695" i="1"/>
  <c r="G2695" i="1"/>
  <c r="J2695" i="1"/>
  <c r="K2695" i="1"/>
  <c r="BC2695" i="1"/>
  <c r="BE2695" i="1"/>
  <c r="BF2695" i="1"/>
  <c r="BG2695" i="1"/>
  <c r="E2696" i="1"/>
  <c r="G2696" i="1"/>
  <c r="J2696" i="1"/>
  <c r="K2696" i="1"/>
  <c r="BC2696" i="1"/>
  <c r="BE2696" i="1"/>
  <c r="BF2696" i="1"/>
  <c r="BG2696" i="1"/>
  <c r="E2697" i="1"/>
  <c r="G2697" i="1"/>
  <c r="J2697" i="1"/>
  <c r="K2697" i="1"/>
  <c r="BC2697" i="1"/>
  <c r="BE2697" i="1"/>
  <c r="BF2697" i="1"/>
  <c r="BG2697" i="1"/>
  <c r="E2698" i="1"/>
  <c r="G2698" i="1"/>
  <c r="J2698" i="1"/>
  <c r="K2698" i="1"/>
  <c r="BC2698" i="1"/>
  <c r="BE2698" i="1"/>
  <c r="BF2698" i="1"/>
  <c r="BG2698" i="1"/>
  <c r="E2699" i="1"/>
  <c r="G2699" i="1"/>
  <c r="J2699" i="1"/>
  <c r="K2699" i="1"/>
  <c r="BC2699" i="1"/>
  <c r="BE2699" i="1"/>
  <c r="BF2699" i="1"/>
  <c r="BG2699" i="1"/>
  <c r="E740" i="1"/>
  <c r="G740" i="1"/>
  <c r="J740" i="1"/>
  <c r="K740" i="1"/>
  <c r="BC740" i="1"/>
  <c r="BE740" i="1"/>
  <c r="BF740" i="1"/>
  <c r="BG740" i="1"/>
  <c r="E6857" i="1"/>
  <c r="G6857" i="1"/>
  <c r="J6857" i="1"/>
  <c r="BC6857" i="1"/>
  <c r="BE6857" i="1"/>
  <c r="BF6857" i="1"/>
  <c r="BG6857" i="1"/>
  <c r="E2700" i="1"/>
  <c r="G2700" i="1"/>
  <c r="J2700" i="1"/>
  <c r="K2700" i="1"/>
  <c r="BC2700" i="1"/>
  <c r="BE2700" i="1"/>
  <c r="BF2700" i="1"/>
  <c r="BG2700" i="1"/>
  <c r="E485" i="1"/>
  <c r="G485" i="1"/>
  <c r="J485" i="1"/>
  <c r="K485" i="1"/>
  <c r="BE485" i="1"/>
  <c r="BF485" i="1"/>
  <c r="BG485" i="1"/>
  <c r="E699" i="1"/>
  <c r="G699" i="1"/>
  <c r="J699" i="1"/>
  <c r="K699" i="1"/>
  <c r="BE699" i="1"/>
  <c r="BF699" i="1"/>
  <c r="BG699" i="1"/>
  <c r="E700" i="1"/>
  <c r="G700" i="1"/>
  <c r="J700" i="1"/>
  <c r="K700" i="1"/>
  <c r="BE700" i="1"/>
  <c r="BF700" i="1"/>
  <c r="BG700" i="1"/>
  <c r="E701" i="1"/>
  <c r="G701" i="1"/>
  <c r="J701" i="1"/>
  <c r="K701" i="1"/>
  <c r="BE701" i="1"/>
  <c r="BF701" i="1"/>
  <c r="BG701" i="1"/>
  <c r="E702" i="1"/>
  <c r="G702" i="1"/>
  <c r="J702" i="1"/>
  <c r="K702" i="1"/>
  <c r="BE702" i="1"/>
  <c r="BF702" i="1"/>
  <c r="BG702" i="1"/>
  <c r="E703" i="1"/>
  <c r="G703" i="1"/>
  <c r="J703" i="1"/>
  <c r="K703" i="1"/>
  <c r="BE703" i="1"/>
  <c r="BF703" i="1"/>
  <c r="BG703" i="1"/>
  <c r="E862" i="1"/>
  <c r="G862" i="1"/>
  <c r="J862" i="1"/>
  <c r="K862" i="1"/>
  <c r="BE862" i="1"/>
  <c r="BF862" i="1"/>
  <c r="BG862" i="1"/>
  <c r="E2701" i="1"/>
  <c r="G2701" i="1"/>
  <c r="J2701" i="1"/>
  <c r="K2701" i="1"/>
  <c r="BC2701" i="1"/>
  <c r="BE2701" i="1"/>
  <c r="BF2701" i="1"/>
  <c r="BG2701" i="1"/>
  <c r="E2702" i="1"/>
  <c r="G2702" i="1"/>
  <c r="J2702" i="1"/>
  <c r="K2702" i="1"/>
  <c r="BC2702" i="1"/>
  <c r="BE2702" i="1"/>
  <c r="BF2702" i="1"/>
  <c r="BG2702" i="1"/>
  <c r="E2703" i="1"/>
  <c r="G2703" i="1"/>
  <c r="J2703" i="1"/>
  <c r="K2703" i="1"/>
  <c r="BC2703" i="1"/>
  <c r="BE2703" i="1"/>
  <c r="BF2703" i="1"/>
  <c r="BG2703" i="1"/>
  <c r="E2704" i="1"/>
  <c r="G2704" i="1"/>
  <c r="J2704" i="1"/>
  <c r="K2704" i="1"/>
  <c r="BC2704" i="1"/>
  <c r="BE2704" i="1"/>
  <c r="BF2704" i="1"/>
  <c r="BG2704" i="1"/>
  <c r="E2705" i="1"/>
  <c r="G2705" i="1"/>
  <c r="J2705" i="1"/>
  <c r="K2705" i="1"/>
  <c r="BC2705" i="1"/>
  <c r="BE2705" i="1"/>
  <c r="BF2705" i="1"/>
  <c r="BG2705" i="1"/>
  <c r="E2706" i="1"/>
  <c r="G2706" i="1"/>
  <c r="J2706" i="1"/>
  <c r="K2706" i="1"/>
  <c r="BC2706" i="1"/>
  <c r="BE2706" i="1"/>
  <c r="BF2706" i="1"/>
  <c r="BG2706" i="1"/>
  <c r="E2707" i="1"/>
  <c r="G2707" i="1"/>
  <c r="J2707" i="1"/>
  <c r="K2707" i="1"/>
  <c r="BC2707" i="1"/>
  <c r="BE2707" i="1"/>
  <c r="BF2707" i="1"/>
  <c r="BG2707" i="1"/>
  <c r="E8" i="1"/>
  <c r="G8" i="1"/>
  <c r="J8" i="1"/>
  <c r="K8" i="1"/>
  <c r="BE8" i="1"/>
  <c r="BF8" i="1"/>
  <c r="BG8" i="1"/>
  <c r="E9" i="1"/>
  <c r="G9" i="1"/>
  <c r="J9" i="1"/>
  <c r="K9" i="1"/>
  <c r="BE9" i="1"/>
  <c r="BF9" i="1"/>
  <c r="BG9" i="1"/>
  <c r="E79" i="1"/>
  <c r="G79" i="1"/>
  <c r="J79" i="1"/>
  <c r="K79" i="1"/>
  <c r="BE79" i="1"/>
  <c r="BF79" i="1"/>
  <c r="BG79" i="1"/>
  <c r="E80" i="1"/>
  <c r="G80" i="1"/>
  <c r="J80" i="1"/>
  <c r="K80" i="1"/>
  <c r="BE80" i="1"/>
  <c r="BF80" i="1"/>
  <c r="BG80" i="1"/>
  <c r="E81" i="1"/>
  <c r="G81" i="1"/>
  <c r="J81" i="1"/>
  <c r="K81" i="1"/>
  <c r="BE81" i="1"/>
  <c r="BF81" i="1"/>
  <c r="BG81" i="1"/>
  <c r="E82" i="1"/>
  <c r="G82" i="1"/>
  <c r="J82" i="1"/>
  <c r="K82" i="1"/>
  <c r="BE82" i="1"/>
  <c r="BF82" i="1"/>
  <c r="BG82" i="1"/>
  <c r="E83" i="1"/>
  <c r="G83" i="1"/>
  <c r="J83" i="1"/>
  <c r="K83" i="1"/>
  <c r="BE83" i="1"/>
  <c r="BF83" i="1"/>
  <c r="BG83" i="1"/>
  <c r="E84" i="1"/>
  <c r="G84" i="1"/>
  <c r="J84" i="1"/>
  <c r="K84" i="1"/>
  <c r="BE84" i="1"/>
  <c r="BF84" i="1"/>
  <c r="BG84" i="1"/>
  <c r="E6580" i="1"/>
  <c r="G6580" i="1"/>
  <c r="J6580" i="1"/>
  <c r="K6580" i="1"/>
  <c r="BE6580" i="1"/>
  <c r="BF6580" i="1"/>
  <c r="BG6580" i="1"/>
  <c r="E6581" i="1"/>
  <c r="G6581" i="1"/>
  <c r="J6581" i="1"/>
  <c r="K6581" i="1"/>
  <c r="BE6581" i="1"/>
  <c r="BF6581" i="1"/>
  <c r="BG6581" i="1"/>
  <c r="E6582" i="1"/>
  <c r="G6582" i="1"/>
  <c r="J6582" i="1"/>
  <c r="K6582" i="1"/>
  <c r="BE6582" i="1"/>
  <c r="BF6582" i="1"/>
  <c r="BG6582" i="1"/>
  <c r="E6583" i="1"/>
  <c r="G6583" i="1"/>
  <c r="J6583" i="1"/>
  <c r="K6583" i="1"/>
  <c r="BE6583" i="1"/>
  <c r="BF6583" i="1"/>
  <c r="BG6583" i="1"/>
  <c r="E6584" i="1"/>
  <c r="G6584" i="1"/>
  <c r="J6584" i="1"/>
  <c r="K6584" i="1"/>
  <c r="BE6584" i="1"/>
  <c r="BF6584" i="1"/>
  <c r="BG6584" i="1"/>
  <c r="E6585" i="1"/>
  <c r="G6585" i="1"/>
  <c r="J6585" i="1"/>
  <c r="K6585" i="1"/>
  <c r="BE6585" i="1"/>
  <c r="BF6585" i="1"/>
  <c r="BG6585" i="1"/>
  <c r="E6586" i="1"/>
  <c r="G6586" i="1"/>
  <c r="J6586" i="1"/>
  <c r="K6586" i="1"/>
  <c r="BE6586" i="1"/>
  <c r="BF6586" i="1"/>
  <c r="BG6586" i="1"/>
  <c r="E6587" i="1"/>
  <c r="G6587" i="1"/>
  <c r="J6587" i="1"/>
  <c r="K6587" i="1"/>
  <c r="BE6587" i="1"/>
  <c r="BF6587" i="1"/>
  <c r="BG6587" i="1"/>
  <c r="E6588" i="1"/>
  <c r="G6588" i="1"/>
  <c r="J6588" i="1"/>
  <c r="K6588" i="1"/>
  <c r="BE6588" i="1"/>
  <c r="BF6588" i="1"/>
  <c r="BG6588" i="1"/>
  <c r="E6589" i="1"/>
  <c r="G6589" i="1"/>
  <c r="J6589" i="1"/>
  <c r="K6589" i="1"/>
  <c r="BE6589" i="1"/>
  <c r="BF6589" i="1"/>
  <c r="BG6589" i="1"/>
  <c r="E6590" i="1"/>
  <c r="G6590" i="1"/>
  <c r="J6590" i="1"/>
  <c r="K6590" i="1"/>
  <c r="BE6590" i="1"/>
  <c r="BF6590" i="1"/>
  <c r="BG6590" i="1"/>
  <c r="E6591" i="1"/>
  <c r="G6591" i="1"/>
  <c r="J6591" i="1"/>
  <c r="K6591" i="1"/>
  <c r="BE6591" i="1"/>
  <c r="BF6591" i="1"/>
  <c r="BG6591" i="1"/>
  <c r="E6592" i="1"/>
  <c r="G6592" i="1"/>
  <c r="J6592" i="1"/>
  <c r="K6592" i="1"/>
  <c r="BE6592" i="1"/>
  <c r="BF6592" i="1"/>
  <c r="BG6592" i="1"/>
  <c r="E6593" i="1"/>
  <c r="G6593" i="1"/>
  <c r="J6593" i="1"/>
  <c r="K6593" i="1"/>
  <c r="BE6593" i="1"/>
  <c r="BF6593" i="1"/>
  <c r="BG6593" i="1"/>
  <c r="E6594" i="1"/>
  <c r="G6594" i="1"/>
  <c r="J6594" i="1"/>
  <c r="K6594" i="1"/>
  <c r="BE6594" i="1"/>
  <c r="BF6594" i="1"/>
  <c r="BG6594" i="1"/>
  <c r="E2708" i="1"/>
  <c r="G2708" i="1"/>
  <c r="J2708" i="1"/>
  <c r="K2708" i="1"/>
  <c r="BC2708" i="1"/>
  <c r="BE2708" i="1"/>
  <c r="BF2708" i="1"/>
  <c r="BG2708" i="1"/>
  <c r="E3699" i="1"/>
  <c r="G3699" i="1"/>
  <c r="J3699" i="1"/>
  <c r="K3699" i="1"/>
  <c r="BE3699" i="1"/>
  <c r="BF3699" i="1"/>
  <c r="BG3699" i="1"/>
  <c r="E127" i="1"/>
  <c r="G127" i="1"/>
  <c r="J127" i="1"/>
  <c r="K127" i="1"/>
  <c r="BC127" i="1"/>
  <c r="BE127" i="1"/>
  <c r="BG127" i="1"/>
  <c r="E128" i="1"/>
  <c r="G128" i="1"/>
  <c r="J128" i="1"/>
  <c r="K128" i="1"/>
  <c r="BC128" i="1"/>
  <c r="BE128" i="1"/>
  <c r="BG128" i="1"/>
  <c r="E129" i="1"/>
  <c r="G129" i="1"/>
  <c r="J129" i="1"/>
  <c r="K129" i="1"/>
  <c r="BC129" i="1"/>
  <c r="BE129" i="1"/>
  <c r="BG129" i="1"/>
  <c r="E130" i="1"/>
  <c r="G130" i="1"/>
  <c r="J130" i="1"/>
  <c r="K130" i="1"/>
  <c r="BC130" i="1"/>
  <c r="BE130" i="1"/>
  <c r="BG130" i="1"/>
  <c r="E131" i="1"/>
  <c r="G131" i="1"/>
  <c r="J131" i="1"/>
  <c r="K131" i="1"/>
  <c r="BC131" i="1"/>
  <c r="BE131" i="1"/>
  <c r="BG131" i="1"/>
  <c r="E4681" i="1"/>
  <c r="G4681" i="1"/>
  <c r="J4681" i="1"/>
  <c r="K4681" i="1"/>
  <c r="BE4681" i="1"/>
  <c r="BF4681" i="1"/>
  <c r="BG4681" i="1"/>
  <c r="E4682" i="1"/>
  <c r="G4682" i="1"/>
  <c r="J4682" i="1"/>
  <c r="K4682" i="1"/>
  <c r="BE4682" i="1"/>
  <c r="BF4682" i="1"/>
  <c r="BG4682" i="1"/>
  <c r="E4683" i="1"/>
  <c r="G4683" i="1"/>
  <c r="J4683" i="1"/>
  <c r="K4683" i="1"/>
  <c r="BE4683" i="1"/>
  <c r="BF4683" i="1"/>
  <c r="BG4683" i="1"/>
  <c r="E4684" i="1"/>
  <c r="G4684" i="1"/>
  <c r="J4684" i="1"/>
  <c r="K4684" i="1"/>
  <c r="BE4684" i="1"/>
  <c r="BF4684" i="1"/>
  <c r="BG4684" i="1"/>
  <c r="E4685" i="1"/>
  <c r="G4685" i="1"/>
  <c r="J4685" i="1"/>
  <c r="K4685" i="1"/>
  <c r="BE4685" i="1"/>
  <c r="BF4685" i="1"/>
  <c r="BG4685" i="1"/>
  <c r="E4686" i="1"/>
  <c r="G4686" i="1"/>
  <c r="J4686" i="1"/>
  <c r="K4686" i="1"/>
  <c r="BE4686" i="1"/>
  <c r="BF4686" i="1"/>
  <c r="BG4686" i="1"/>
  <c r="E4687" i="1"/>
  <c r="G4687" i="1"/>
  <c r="J4687" i="1"/>
  <c r="K4687" i="1"/>
  <c r="BE4687" i="1"/>
  <c r="BF4687" i="1"/>
  <c r="BG4687" i="1"/>
  <c r="E4688" i="1"/>
  <c r="G4688" i="1"/>
  <c r="J4688" i="1"/>
  <c r="K4688" i="1"/>
  <c r="BE4688" i="1"/>
  <c r="BF4688" i="1"/>
  <c r="BG4688" i="1"/>
  <c r="E4689" i="1"/>
  <c r="G4689" i="1"/>
  <c r="J4689" i="1"/>
  <c r="K4689" i="1"/>
  <c r="BE4689" i="1"/>
  <c r="BF4689" i="1"/>
  <c r="BG4689" i="1"/>
  <c r="E4690" i="1"/>
  <c r="G4690" i="1"/>
  <c r="J4690" i="1"/>
  <c r="K4690" i="1"/>
  <c r="BE4690" i="1"/>
  <c r="BF4690" i="1"/>
  <c r="BG4690" i="1"/>
  <c r="E4691" i="1"/>
  <c r="G4691" i="1"/>
  <c r="J4691" i="1"/>
  <c r="K4691" i="1"/>
  <c r="BE4691" i="1"/>
  <c r="BF4691" i="1"/>
  <c r="BG4691" i="1"/>
  <c r="E4692" i="1"/>
  <c r="G4692" i="1"/>
  <c r="J4692" i="1"/>
  <c r="K4692" i="1"/>
  <c r="BE4692" i="1"/>
  <c r="BF4692" i="1"/>
  <c r="BG4692" i="1"/>
  <c r="E4693" i="1"/>
  <c r="G4693" i="1"/>
  <c r="J4693" i="1"/>
  <c r="K4693" i="1"/>
  <c r="BE4693" i="1"/>
  <c r="BF4693" i="1"/>
  <c r="BG4693" i="1"/>
  <c r="E4694" i="1"/>
  <c r="G4694" i="1"/>
  <c r="J4694" i="1"/>
  <c r="K4694" i="1"/>
  <c r="BE4694" i="1"/>
  <c r="BF4694" i="1"/>
  <c r="BG4694" i="1"/>
  <c r="E3590" i="1"/>
  <c r="G3590" i="1"/>
  <c r="J3590" i="1"/>
  <c r="K3590" i="1"/>
  <c r="BE3590" i="1"/>
  <c r="BF3590" i="1"/>
  <c r="BG3590" i="1"/>
  <c r="E3591" i="1"/>
  <c r="G3591" i="1"/>
  <c r="J3591" i="1"/>
  <c r="K3591" i="1"/>
  <c r="BE3591" i="1"/>
  <c r="BF3591" i="1"/>
  <c r="BG3591" i="1"/>
  <c r="E3592" i="1"/>
  <c r="G3592" i="1"/>
  <c r="J3592" i="1"/>
  <c r="K3592" i="1"/>
  <c r="BE3592" i="1"/>
  <c r="BF3592" i="1"/>
  <c r="BG3592" i="1"/>
  <c r="E3593" i="1"/>
  <c r="G3593" i="1"/>
  <c r="J3593" i="1"/>
  <c r="K3593" i="1"/>
  <c r="BE3593" i="1"/>
  <c r="BF3593" i="1"/>
  <c r="BG3593" i="1"/>
  <c r="E3594" i="1"/>
  <c r="G3594" i="1"/>
  <c r="J3594" i="1"/>
  <c r="K3594" i="1"/>
  <c r="BE3594" i="1"/>
  <c r="BF3594" i="1"/>
  <c r="BG3594" i="1"/>
  <c r="E3595" i="1"/>
  <c r="G3595" i="1"/>
  <c r="J3595" i="1"/>
  <c r="K3595" i="1"/>
  <c r="BE3595" i="1"/>
  <c r="BF3595" i="1"/>
  <c r="BG3595" i="1"/>
  <c r="E3589" i="1"/>
  <c r="G3589" i="1"/>
  <c r="J3589" i="1"/>
  <c r="K3589" i="1"/>
  <c r="BE3589" i="1"/>
  <c r="BF3589" i="1"/>
  <c r="BG3589" i="1"/>
  <c r="E6858" i="1"/>
  <c r="G6858" i="1"/>
  <c r="J6858" i="1"/>
  <c r="BE6858" i="1"/>
  <c r="BG6858" i="1"/>
  <c r="E6825" i="1"/>
  <c r="G6825" i="1"/>
  <c r="J6825" i="1"/>
  <c r="K6825" i="1"/>
  <c r="BE6825" i="1"/>
  <c r="BF6825" i="1"/>
  <c r="BG6825" i="1"/>
  <c r="E6826" i="1"/>
  <c r="G6826" i="1"/>
  <c r="J6826" i="1"/>
  <c r="K6826" i="1"/>
  <c r="BE6826" i="1"/>
  <c r="BF6826" i="1"/>
  <c r="BG6826" i="1"/>
  <c r="E6827" i="1"/>
  <c r="G6827" i="1"/>
  <c r="J6827" i="1"/>
  <c r="K6827" i="1"/>
  <c r="BE6827" i="1"/>
  <c r="BF6827" i="1"/>
  <c r="BG6827" i="1"/>
  <c r="E6828" i="1"/>
  <c r="G6828" i="1"/>
  <c r="J6828" i="1"/>
  <c r="K6828" i="1"/>
  <c r="BE6828" i="1"/>
  <c r="BF6828" i="1"/>
  <c r="BG6828" i="1"/>
  <c r="E6829" i="1"/>
  <c r="G6829" i="1"/>
  <c r="J6829" i="1"/>
  <c r="K6829" i="1"/>
  <c r="BE6829" i="1"/>
  <c r="BF6829" i="1"/>
  <c r="BG6829" i="1"/>
  <c r="E6830" i="1"/>
  <c r="G6830" i="1"/>
  <c r="J6830" i="1"/>
  <c r="K6830" i="1"/>
  <c r="BE6830" i="1"/>
  <c r="BF6830" i="1"/>
  <c r="BG6830" i="1"/>
  <c r="E6831" i="1"/>
  <c r="G6831" i="1"/>
  <c r="J6831" i="1"/>
  <c r="K6831" i="1"/>
  <c r="BE6831" i="1"/>
  <c r="BF6831" i="1"/>
  <c r="BG6831" i="1"/>
  <c r="E6832" i="1"/>
  <c r="G6832" i="1"/>
  <c r="J6832" i="1"/>
  <c r="K6832" i="1"/>
  <c r="BE6832" i="1"/>
  <c r="BF6832" i="1"/>
  <c r="BG6832" i="1"/>
  <c r="E6833" i="1"/>
  <c r="G6833" i="1"/>
  <c r="J6833" i="1"/>
  <c r="K6833" i="1"/>
  <c r="BE6833" i="1"/>
  <c r="BF6833" i="1"/>
  <c r="BG6833" i="1"/>
  <c r="E6834" i="1"/>
  <c r="G6834" i="1"/>
  <c r="J6834" i="1"/>
  <c r="K6834" i="1"/>
  <c r="BE6834" i="1"/>
  <c r="BF6834" i="1"/>
  <c r="BG6834" i="1"/>
  <c r="E646" i="1"/>
  <c r="G646" i="1"/>
  <c r="J646" i="1"/>
  <c r="K646" i="1"/>
  <c r="BE646" i="1"/>
  <c r="BF646" i="1"/>
  <c r="BG646" i="1"/>
  <c r="E361" i="1"/>
  <c r="G361" i="1"/>
  <c r="J361" i="1"/>
  <c r="K361" i="1"/>
  <c r="BE361" i="1"/>
  <c r="BF361" i="1"/>
  <c r="BG361" i="1"/>
  <c r="E64" i="1"/>
  <c r="G64" i="1"/>
  <c r="J64" i="1"/>
  <c r="K64" i="1"/>
  <c r="BE64" i="1"/>
  <c r="BF64" i="1"/>
  <c r="BG64" i="1"/>
  <c r="E65" i="1"/>
  <c r="G65" i="1"/>
  <c r="J65" i="1"/>
  <c r="K65" i="1"/>
  <c r="BE65" i="1"/>
  <c r="BF65" i="1"/>
  <c r="BG65" i="1"/>
  <c r="E2709" i="1"/>
  <c r="G2709" i="1"/>
  <c r="J2709" i="1"/>
  <c r="K2709" i="1"/>
  <c r="BC2709" i="1"/>
  <c r="BE2709" i="1"/>
  <c r="BF2709" i="1"/>
  <c r="BG2709" i="1"/>
  <c r="E2710" i="1"/>
  <c r="G2710" i="1"/>
  <c r="J2710" i="1"/>
  <c r="K2710" i="1"/>
  <c r="BC2710" i="1"/>
  <c r="BE2710" i="1"/>
  <c r="BG2710" i="1"/>
  <c r="E2711" i="1"/>
  <c r="G2711" i="1"/>
  <c r="J2711" i="1"/>
  <c r="K2711" i="1"/>
  <c r="BC2711" i="1"/>
  <c r="BE2711" i="1"/>
  <c r="BF2711" i="1"/>
  <c r="BG2711" i="1"/>
  <c r="E2712" i="1"/>
  <c r="G2712" i="1"/>
  <c r="J2712" i="1"/>
  <c r="K2712" i="1"/>
  <c r="BC2712" i="1"/>
  <c r="BE2712" i="1"/>
  <c r="BF2712" i="1"/>
  <c r="BG2712" i="1"/>
  <c r="E2713" i="1"/>
  <c r="G2713" i="1"/>
  <c r="J2713" i="1"/>
  <c r="K2713" i="1"/>
  <c r="BC2713" i="1"/>
  <c r="BE2713" i="1"/>
  <c r="BF2713" i="1"/>
  <c r="BG2713" i="1"/>
  <c r="E2714" i="1"/>
  <c r="G2714" i="1"/>
  <c r="J2714" i="1"/>
  <c r="K2714" i="1"/>
  <c r="BC2714" i="1"/>
  <c r="BE2714" i="1"/>
  <c r="BF2714" i="1"/>
  <c r="BG2714" i="1"/>
  <c r="E2715" i="1"/>
  <c r="G2715" i="1"/>
  <c r="J2715" i="1"/>
  <c r="K2715" i="1"/>
  <c r="BC2715" i="1"/>
  <c r="BE2715" i="1"/>
  <c r="BF2715" i="1"/>
  <c r="BG2715" i="1"/>
  <c r="E2716" i="1"/>
  <c r="G2716" i="1"/>
  <c r="J2716" i="1"/>
  <c r="K2716" i="1"/>
  <c r="BC2716" i="1"/>
  <c r="BE2716" i="1"/>
  <c r="BF2716" i="1"/>
  <c r="BG2716" i="1"/>
  <c r="E2717" i="1"/>
  <c r="G2717" i="1"/>
  <c r="J2717" i="1"/>
  <c r="K2717" i="1"/>
  <c r="BC2717" i="1"/>
  <c r="BE2717" i="1"/>
  <c r="BF2717" i="1"/>
  <c r="BG2717" i="1"/>
  <c r="E2718" i="1"/>
  <c r="G2718" i="1"/>
  <c r="J2718" i="1"/>
  <c r="K2718" i="1"/>
  <c r="BC2718" i="1"/>
  <c r="BE2718" i="1"/>
  <c r="BF2718" i="1"/>
  <c r="BG2718" i="1"/>
  <c r="E2719" i="1"/>
  <c r="G2719" i="1"/>
  <c r="J2719" i="1"/>
  <c r="K2719" i="1"/>
  <c r="BC2719" i="1"/>
  <c r="BE2719" i="1"/>
  <c r="BF2719" i="1"/>
  <c r="BG2719" i="1"/>
  <c r="E2720" i="1"/>
  <c r="G2720" i="1"/>
  <c r="J2720" i="1"/>
  <c r="K2720" i="1"/>
  <c r="BC2720" i="1"/>
  <c r="BE2720" i="1"/>
  <c r="BF2720" i="1"/>
  <c r="BG2720" i="1"/>
  <c r="E2721" i="1"/>
  <c r="G2721" i="1"/>
  <c r="J2721" i="1"/>
  <c r="K2721" i="1"/>
  <c r="BC2721" i="1"/>
  <c r="BE2721" i="1"/>
  <c r="BF2721" i="1"/>
  <c r="BG2721" i="1"/>
  <c r="E583" i="1"/>
  <c r="G583" i="1"/>
  <c r="J583" i="1"/>
  <c r="K583" i="1"/>
  <c r="BE583" i="1"/>
  <c r="BF583" i="1"/>
  <c r="BG583" i="1"/>
  <c r="E2722" i="1"/>
  <c r="G2722" i="1"/>
  <c r="J2722" i="1"/>
  <c r="K2722" i="1"/>
  <c r="BC2722" i="1"/>
  <c r="BE2722" i="1"/>
  <c r="BF2722" i="1"/>
  <c r="BG2722" i="1"/>
  <c r="E339" i="1"/>
  <c r="G339" i="1"/>
  <c r="J339" i="1"/>
  <c r="K339" i="1"/>
  <c r="BE339" i="1"/>
  <c r="BF339" i="1"/>
  <c r="BG339" i="1"/>
  <c r="E591" i="1"/>
  <c r="G591" i="1"/>
  <c r="J591" i="1"/>
  <c r="K591" i="1"/>
  <c r="BE591" i="1"/>
  <c r="BF591" i="1"/>
  <c r="BG591" i="1"/>
  <c r="BH591" i="1"/>
  <c r="E592" i="1"/>
  <c r="G592" i="1"/>
  <c r="J592" i="1"/>
  <c r="K592" i="1"/>
  <c r="BE592" i="1"/>
  <c r="BF592" i="1"/>
  <c r="BG592" i="1"/>
  <c r="BH592" i="1"/>
  <c r="E593" i="1"/>
  <c r="G593" i="1"/>
  <c r="J593" i="1"/>
  <c r="K593" i="1"/>
  <c r="BE593" i="1"/>
  <c r="BF593" i="1"/>
  <c r="BG593" i="1"/>
  <c r="BH593" i="1"/>
  <c r="E594" i="1"/>
  <c r="G594" i="1"/>
  <c r="J594" i="1"/>
  <c r="K594" i="1"/>
  <c r="BE594" i="1"/>
  <c r="BF594" i="1"/>
  <c r="BG594" i="1"/>
  <c r="BH594" i="1"/>
  <c r="E106" i="1"/>
  <c r="G106" i="1"/>
  <c r="J106" i="1"/>
  <c r="K106" i="1"/>
  <c r="BE106" i="1"/>
  <c r="BF106" i="1"/>
  <c r="BG106" i="1"/>
  <c r="BH106" i="1"/>
  <c r="E1209" i="1"/>
  <c r="G1209" i="1"/>
  <c r="J1209" i="1"/>
  <c r="K1209" i="1"/>
  <c r="BE1209" i="1"/>
  <c r="BF1209" i="1"/>
  <c r="BG1209" i="1"/>
  <c r="E1210" i="1"/>
  <c r="G1210" i="1"/>
  <c r="J1210" i="1"/>
  <c r="K1210" i="1"/>
  <c r="BE1210" i="1"/>
  <c r="BF1210" i="1"/>
  <c r="BG1210" i="1"/>
  <c r="E1211" i="1"/>
  <c r="G1211" i="1"/>
  <c r="J1211" i="1"/>
  <c r="K1211" i="1"/>
  <c r="BE1211" i="1"/>
  <c r="BF1211" i="1"/>
  <c r="BG1211" i="1"/>
  <c r="E1212" i="1"/>
  <c r="G1212" i="1"/>
  <c r="J1212" i="1"/>
  <c r="K1212" i="1"/>
  <c r="BE1212" i="1"/>
  <c r="BF1212" i="1"/>
  <c r="BG1212" i="1"/>
  <c r="E1213" i="1"/>
  <c r="G1213" i="1"/>
  <c r="J1213" i="1"/>
  <c r="K1213" i="1"/>
  <c r="BE1213" i="1"/>
  <c r="BF1213" i="1"/>
  <c r="BG1213" i="1"/>
  <c r="E1214" i="1"/>
  <c r="G1214" i="1"/>
  <c r="J1214" i="1"/>
  <c r="K1214" i="1"/>
  <c r="BE1214" i="1"/>
  <c r="BF1214" i="1"/>
  <c r="BG1214" i="1"/>
  <c r="E1215" i="1"/>
  <c r="G1215" i="1"/>
  <c r="J1215" i="1"/>
  <c r="K1215" i="1"/>
  <c r="BE1215" i="1"/>
  <c r="BF1215" i="1"/>
  <c r="BG1215" i="1"/>
  <c r="E1216" i="1"/>
  <c r="G1216" i="1"/>
  <c r="J1216" i="1"/>
  <c r="K1216" i="1"/>
  <c r="BE1216" i="1"/>
  <c r="BF1216" i="1"/>
  <c r="BG1216" i="1"/>
  <c r="E1217" i="1"/>
  <c r="G1217" i="1"/>
  <c r="J1217" i="1"/>
  <c r="K1217" i="1"/>
  <c r="BE1217" i="1"/>
  <c r="BF1217" i="1"/>
  <c r="BG1217" i="1"/>
  <c r="E1218" i="1"/>
  <c r="G1218" i="1"/>
  <c r="J1218" i="1"/>
  <c r="K1218" i="1"/>
  <c r="BE1218" i="1"/>
  <c r="BF1218" i="1"/>
  <c r="BG1218" i="1"/>
  <c r="E1219" i="1"/>
  <c r="G1219" i="1"/>
  <c r="J1219" i="1"/>
  <c r="K1219" i="1"/>
  <c r="BE1219" i="1"/>
  <c r="BF1219" i="1"/>
  <c r="BG1219" i="1"/>
  <c r="E1220" i="1"/>
  <c r="G1220" i="1"/>
  <c r="J1220" i="1"/>
  <c r="K1220" i="1"/>
  <c r="BE1220" i="1"/>
  <c r="BF1220" i="1"/>
  <c r="BG1220" i="1"/>
  <c r="E1221" i="1"/>
  <c r="G1221" i="1"/>
  <c r="J1221" i="1"/>
  <c r="K1221" i="1"/>
  <c r="BE1221" i="1"/>
  <c r="BF1221" i="1"/>
  <c r="BG1221" i="1"/>
  <c r="E1222" i="1"/>
  <c r="G1222" i="1"/>
  <c r="J1222" i="1"/>
  <c r="K1222" i="1"/>
  <c r="BE1222" i="1"/>
  <c r="BF1222" i="1"/>
  <c r="BG1222" i="1"/>
  <c r="E1223" i="1"/>
  <c r="G1223" i="1"/>
  <c r="J1223" i="1"/>
  <c r="K1223" i="1"/>
  <c r="BE1223" i="1"/>
  <c r="BF1223" i="1"/>
  <c r="BG1223" i="1"/>
  <c r="E1224" i="1"/>
  <c r="G1224" i="1"/>
  <c r="J1224" i="1"/>
  <c r="K1224" i="1"/>
  <c r="BE1224" i="1"/>
  <c r="BF1224" i="1"/>
  <c r="BG1224" i="1"/>
  <c r="E571" i="1"/>
  <c r="G571" i="1"/>
  <c r="J571" i="1"/>
  <c r="K571" i="1"/>
  <c r="BE571" i="1"/>
  <c r="BF571" i="1"/>
  <c r="BG571" i="1"/>
  <c r="E1225" i="1"/>
  <c r="G1225" i="1"/>
  <c r="J1225" i="1"/>
  <c r="K1225" i="1"/>
  <c r="BE1225" i="1"/>
  <c r="BF1225" i="1"/>
  <c r="BG1225" i="1"/>
  <c r="E2723" i="1"/>
  <c r="G2723" i="1"/>
  <c r="J2723" i="1"/>
  <c r="K2723" i="1"/>
  <c r="BC2723" i="1"/>
  <c r="BE2723" i="1"/>
  <c r="BF2723" i="1"/>
  <c r="BG2723" i="1"/>
  <c r="E768" i="1"/>
  <c r="G768" i="1"/>
  <c r="J768" i="1"/>
  <c r="K768" i="1"/>
  <c r="BE768" i="1"/>
  <c r="BF768" i="1"/>
  <c r="BG768" i="1"/>
  <c r="E110" i="1"/>
  <c r="G110" i="1"/>
  <c r="J110" i="1"/>
  <c r="K110" i="1"/>
  <c r="BE110" i="1"/>
  <c r="BF110" i="1"/>
  <c r="BG110" i="1"/>
  <c r="E2724" i="1"/>
  <c r="G2724" i="1"/>
  <c r="J2724" i="1"/>
  <c r="K2724" i="1"/>
  <c r="BC2724" i="1"/>
  <c r="BE2724" i="1"/>
  <c r="BF2724" i="1"/>
  <c r="BG2724" i="1"/>
  <c r="E111" i="1"/>
  <c r="G111" i="1"/>
  <c r="J111" i="1"/>
  <c r="K111" i="1"/>
  <c r="BE111" i="1"/>
  <c r="BF111" i="1"/>
  <c r="BG111" i="1"/>
  <c r="E595" i="1"/>
  <c r="G595" i="1"/>
  <c r="J595" i="1"/>
  <c r="K595" i="1"/>
  <c r="BE595" i="1"/>
  <c r="BF595" i="1"/>
  <c r="BG595" i="1"/>
  <c r="BH595" i="1"/>
  <c r="E596" i="1"/>
  <c r="G596" i="1"/>
  <c r="J596" i="1"/>
  <c r="K596" i="1"/>
  <c r="BE596" i="1"/>
  <c r="BF596" i="1"/>
  <c r="BG596" i="1"/>
  <c r="BH596" i="1"/>
  <c r="E597" i="1"/>
  <c r="G597" i="1"/>
  <c r="J597" i="1"/>
  <c r="K597" i="1"/>
  <c r="BE597" i="1"/>
  <c r="BF597" i="1"/>
  <c r="BG597" i="1"/>
  <c r="BH597" i="1"/>
  <c r="E598" i="1"/>
  <c r="G598" i="1"/>
  <c r="J598" i="1"/>
  <c r="K598" i="1"/>
  <c r="BE598" i="1"/>
  <c r="BF598" i="1"/>
  <c r="BG598" i="1"/>
  <c r="BH598" i="1"/>
  <c r="E6859" i="1"/>
  <c r="G6859" i="1"/>
  <c r="J6859" i="1"/>
  <c r="BE6859" i="1"/>
  <c r="BF6859" i="1"/>
  <c r="BG6859" i="1"/>
  <c r="E1226" i="1"/>
  <c r="G1226" i="1"/>
  <c r="J1226" i="1"/>
  <c r="K1226" i="1"/>
  <c r="BE1226" i="1"/>
  <c r="BF1226" i="1"/>
  <c r="BG1226" i="1"/>
  <c r="E1227" i="1"/>
  <c r="G1227" i="1"/>
  <c r="J1227" i="1"/>
  <c r="K1227" i="1"/>
  <c r="BE1227" i="1"/>
  <c r="BF1227" i="1"/>
  <c r="BG1227" i="1"/>
  <c r="E344" i="1"/>
  <c r="G344" i="1"/>
  <c r="J344" i="1"/>
  <c r="K344" i="1"/>
  <c r="BE344" i="1"/>
  <c r="BF344" i="1"/>
  <c r="BG344" i="1"/>
  <c r="E345" i="1"/>
  <c r="G345" i="1"/>
  <c r="J345" i="1"/>
  <c r="K345" i="1"/>
  <c r="BE345" i="1"/>
  <c r="BF345" i="1"/>
  <c r="BG345" i="1"/>
  <c r="E346" i="1"/>
  <c r="G346" i="1"/>
  <c r="J346" i="1"/>
  <c r="K346" i="1"/>
  <c r="BE346" i="1"/>
  <c r="BF346" i="1"/>
  <c r="BG346" i="1"/>
  <c r="E3460" i="1"/>
  <c r="G3460" i="1"/>
  <c r="J3460" i="1"/>
  <c r="K3460" i="1"/>
  <c r="BE3460" i="1"/>
  <c r="BF3460" i="1"/>
  <c r="BG3460" i="1"/>
  <c r="E599" i="1"/>
  <c r="G599" i="1"/>
  <c r="J599" i="1"/>
  <c r="K599" i="1"/>
  <c r="BE599" i="1"/>
  <c r="BG599" i="1"/>
  <c r="BH599" i="1"/>
  <c r="E363" i="1"/>
  <c r="G363" i="1"/>
  <c r="J363" i="1"/>
  <c r="K363" i="1"/>
  <c r="BE363" i="1"/>
  <c r="BF363" i="1"/>
  <c r="BG363" i="1"/>
  <c r="E1228" i="1"/>
  <c r="G1228" i="1"/>
  <c r="J1228" i="1"/>
  <c r="K1228" i="1"/>
  <c r="BE1228" i="1"/>
  <c r="BF1228" i="1"/>
  <c r="BG1228" i="1"/>
  <c r="E1229" i="1"/>
  <c r="G1229" i="1"/>
  <c r="J1229" i="1"/>
  <c r="K1229" i="1"/>
  <c r="BE1229" i="1"/>
  <c r="BF1229" i="1"/>
  <c r="BG1229" i="1"/>
  <c r="E4270" i="1"/>
  <c r="G4270" i="1"/>
  <c r="J4270" i="1"/>
  <c r="K4270" i="1"/>
  <c r="BE4270" i="1"/>
  <c r="BF4270" i="1"/>
  <c r="BG4270" i="1"/>
  <c r="E3241" i="1"/>
  <c r="G3241" i="1"/>
  <c r="J3241" i="1"/>
  <c r="K3241" i="1"/>
  <c r="BE3241" i="1"/>
  <c r="BF3241" i="1"/>
  <c r="BG3241" i="1"/>
  <c r="E3242" i="1"/>
  <c r="G3242" i="1"/>
  <c r="J3242" i="1"/>
  <c r="K3242" i="1"/>
  <c r="BE3242" i="1"/>
  <c r="BF3242" i="1"/>
  <c r="BG3242" i="1"/>
  <c r="E3243" i="1"/>
  <c r="G3243" i="1"/>
  <c r="J3243" i="1"/>
  <c r="K3243" i="1"/>
  <c r="BE3243" i="1"/>
  <c r="BF3243" i="1"/>
  <c r="BG3243" i="1"/>
  <c r="E3244" i="1"/>
  <c r="G3244" i="1"/>
  <c r="J3244" i="1"/>
  <c r="K3244" i="1"/>
  <c r="BE3244" i="1"/>
  <c r="BF3244" i="1"/>
  <c r="BG3244" i="1"/>
  <c r="E3245" i="1"/>
  <c r="G3245" i="1"/>
  <c r="J3245" i="1"/>
  <c r="K3245" i="1"/>
  <c r="BE3245" i="1"/>
  <c r="BF3245" i="1"/>
  <c r="BG3245" i="1"/>
  <c r="E3246" i="1"/>
  <c r="G3246" i="1"/>
  <c r="J3246" i="1"/>
  <c r="K3246" i="1"/>
  <c r="BE3246" i="1"/>
  <c r="BF3246" i="1"/>
  <c r="BG3246" i="1"/>
  <c r="E3247" i="1"/>
  <c r="G3247" i="1"/>
  <c r="J3247" i="1"/>
  <c r="K3247" i="1"/>
  <c r="BE3247" i="1"/>
  <c r="BF3247" i="1"/>
  <c r="BG3247" i="1"/>
  <c r="E3248" i="1"/>
  <c r="G3248" i="1"/>
  <c r="J3248" i="1"/>
  <c r="K3248" i="1"/>
  <c r="BE3248" i="1"/>
  <c r="BF3248" i="1"/>
  <c r="BG3248" i="1"/>
  <c r="E3249" i="1"/>
  <c r="G3249" i="1"/>
  <c r="J3249" i="1"/>
  <c r="K3249" i="1"/>
  <c r="BE3249" i="1"/>
  <c r="BF3249" i="1"/>
  <c r="BG3249" i="1"/>
  <c r="E3250" i="1"/>
  <c r="G3250" i="1"/>
  <c r="J3250" i="1"/>
  <c r="K3250" i="1"/>
  <c r="BE3250" i="1"/>
  <c r="BF3250" i="1"/>
  <c r="BG3250" i="1"/>
  <c r="E3251" i="1"/>
  <c r="G3251" i="1"/>
  <c r="J3251" i="1"/>
  <c r="K3251" i="1"/>
  <c r="BE3251" i="1"/>
  <c r="BF3251" i="1"/>
  <c r="BG3251" i="1"/>
  <c r="E3252" i="1"/>
  <c r="G3252" i="1"/>
  <c r="J3252" i="1"/>
  <c r="K3252" i="1"/>
  <c r="BE3252" i="1"/>
  <c r="BF3252" i="1"/>
  <c r="BG3252" i="1"/>
  <c r="E3253" i="1"/>
  <c r="G3253" i="1"/>
  <c r="J3253" i="1"/>
  <c r="K3253" i="1"/>
  <c r="BE3253" i="1"/>
  <c r="BF3253" i="1"/>
  <c r="BG3253" i="1"/>
  <c r="E3254" i="1"/>
  <c r="G3254" i="1"/>
  <c r="J3254" i="1"/>
  <c r="K3254" i="1"/>
  <c r="BE3254" i="1"/>
  <c r="BF3254" i="1"/>
  <c r="BG3254" i="1"/>
  <c r="E3255" i="1"/>
  <c r="G3255" i="1"/>
  <c r="J3255" i="1"/>
  <c r="K3255" i="1"/>
  <c r="BE3255" i="1"/>
  <c r="BF3255" i="1"/>
  <c r="BG3255" i="1"/>
  <c r="E3256" i="1"/>
  <c r="G3256" i="1"/>
  <c r="J3256" i="1"/>
  <c r="K3256" i="1"/>
  <c r="BE3256" i="1"/>
  <c r="BF3256" i="1"/>
  <c r="BG3256" i="1"/>
  <c r="E3257" i="1"/>
  <c r="G3257" i="1"/>
  <c r="J3257" i="1"/>
  <c r="K3257" i="1"/>
  <c r="BE3257" i="1"/>
  <c r="BF3257" i="1"/>
  <c r="BG3257" i="1"/>
  <c r="E3258" i="1"/>
  <c r="G3258" i="1"/>
  <c r="J3258" i="1"/>
  <c r="K3258" i="1"/>
  <c r="BE3258" i="1"/>
  <c r="BF3258" i="1"/>
  <c r="BG3258" i="1"/>
  <c r="E3259" i="1"/>
  <c r="G3259" i="1"/>
  <c r="J3259" i="1"/>
  <c r="K3259" i="1"/>
  <c r="BE3259" i="1"/>
  <c r="BF3259" i="1"/>
  <c r="BG3259" i="1"/>
  <c r="E3260" i="1"/>
  <c r="G3260" i="1"/>
  <c r="J3260" i="1"/>
  <c r="K3260" i="1"/>
  <c r="BE3260" i="1"/>
  <c r="BF3260" i="1"/>
  <c r="BG3260" i="1"/>
  <c r="E3261" i="1"/>
  <c r="G3261" i="1"/>
  <c r="J3261" i="1"/>
  <c r="K3261" i="1"/>
  <c r="BE3261" i="1"/>
  <c r="BF3261" i="1"/>
  <c r="BG3261" i="1"/>
  <c r="E3262" i="1"/>
  <c r="G3262" i="1"/>
  <c r="J3262" i="1"/>
  <c r="K3262" i="1"/>
  <c r="BE3262" i="1"/>
  <c r="BF3262" i="1"/>
  <c r="BG3262" i="1"/>
  <c r="E3263" i="1"/>
  <c r="G3263" i="1"/>
  <c r="J3263" i="1"/>
  <c r="K3263" i="1"/>
  <c r="BE3263" i="1"/>
  <c r="BF3263" i="1"/>
  <c r="BG3263" i="1"/>
  <c r="E3264" i="1"/>
  <c r="G3264" i="1"/>
  <c r="J3264" i="1"/>
  <c r="K3264" i="1"/>
  <c r="BE3264" i="1"/>
  <c r="BF3264" i="1"/>
  <c r="BG3264" i="1"/>
  <c r="E3265" i="1"/>
  <c r="G3265" i="1"/>
  <c r="J3265" i="1"/>
  <c r="K3265" i="1"/>
  <c r="BE3265" i="1"/>
  <c r="BF3265" i="1"/>
  <c r="BG3265" i="1"/>
  <c r="E3266" i="1"/>
  <c r="G3266" i="1"/>
  <c r="J3266" i="1"/>
  <c r="K3266" i="1"/>
  <c r="BE3266" i="1"/>
  <c r="BF3266" i="1"/>
  <c r="BG3266" i="1"/>
  <c r="E3267" i="1"/>
  <c r="G3267" i="1"/>
  <c r="J3267" i="1"/>
  <c r="K3267" i="1"/>
  <c r="BE3267" i="1"/>
  <c r="BF3267" i="1"/>
  <c r="BG3267" i="1"/>
  <c r="E3268" i="1"/>
  <c r="G3268" i="1"/>
  <c r="J3268" i="1"/>
  <c r="K3268" i="1"/>
  <c r="BE3268" i="1"/>
  <c r="BF3268" i="1"/>
  <c r="BG3268" i="1"/>
  <c r="E3269" i="1"/>
  <c r="G3269" i="1"/>
  <c r="J3269" i="1"/>
  <c r="K3269" i="1"/>
  <c r="BE3269" i="1"/>
  <c r="BF3269" i="1"/>
  <c r="BG3269" i="1"/>
  <c r="E3270" i="1"/>
  <c r="G3270" i="1"/>
  <c r="J3270" i="1"/>
  <c r="K3270" i="1"/>
  <c r="BE3270" i="1"/>
  <c r="BF3270" i="1"/>
  <c r="BG3270" i="1"/>
  <c r="E3271" i="1"/>
  <c r="G3271" i="1"/>
  <c r="J3271" i="1"/>
  <c r="K3271" i="1"/>
  <c r="BE3271" i="1"/>
  <c r="BF3271" i="1"/>
  <c r="BG3271" i="1"/>
  <c r="E3272" i="1"/>
  <c r="G3272" i="1"/>
  <c r="J3272" i="1"/>
  <c r="K3272" i="1"/>
  <c r="BE3272" i="1"/>
  <c r="BF3272" i="1"/>
  <c r="BG3272" i="1"/>
  <c r="E3273" i="1"/>
  <c r="G3273" i="1"/>
  <c r="J3273" i="1"/>
  <c r="K3273" i="1"/>
  <c r="BE3273" i="1"/>
  <c r="BF3273" i="1"/>
  <c r="BG3273" i="1"/>
  <c r="E3274" i="1"/>
  <c r="G3274" i="1"/>
  <c r="J3274" i="1"/>
  <c r="K3274" i="1"/>
  <c r="BE3274" i="1"/>
  <c r="BF3274" i="1"/>
  <c r="BG3274" i="1"/>
  <c r="E3275" i="1"/>
  <c r="G3275" i="1"/>
  <c r="J3275" i="1"/>
  <c r="K3275" i="1"/>
  <c r="BE3275" i="1"/>
  <c r="BF3275" i="1"/>
  <c r="BG3275" i="1"/>
  <c r="E3276" i="1"/>
  <c r="G3276" i="1"/>
  <c r="J3276" i="1"/>
  <c r="K3276" i="1"/>
  <c r="BE3276" i="1"/>
  <c r="BF3276" i="1"/>
  <c r="BG3276" i="1"/>
  <c r="E3277" i="1"/>
  <c r="G3277" i="1"/>
  <c r="J3277" i="1"/>
  <c r="K3277" i="1"/>
  <c r="BE3277" i="1"/>
  <c r="BF3277" i="1"/>
  <c r="BG3277" i="1"/>
  <c r="E3278" i="1"/>
  <c r="G3278" i="1"/>
  <c r="J3278" i="1"/>
  <c r="K3278" i="1"/>
  <c r="BE3278" i="1"/>
  <c r="BF3278" i="1"/>
  <c r="BG3278" i="1"/>
  <c r="E3279" i="1"/>
  <c r="G3279" i="1"/>
  <c r="J3279" i="1"/>
  <c r="K3279" i="1"/>
  <c r="BE3279" i="1"/>
  <c r="BF3279" i="1"/>
  <c r="BG3279" i="1"/>
  <c r="E3280" i="1"/>
  <c r="G3280" i="1"/>
  <c r="J3280" i="1"/>
  <c r="K3280" i="1"/>
  <c r="BE3280" i="1"/>
  <c r="BF3280" i="1"/>
  <c r="BG3280" i="1"/>
  <c r="E3281" i="1"/>
  <c r="G3281" i="1"/>
  <c r="J3281" i="1"/>
  <c r="K3281" i="1"/>
  <c r="BE3281" i="1"/>
  <c r="BF3281" i="1"/>
  <c r="BG3281" i="1"/>
  <c r="E3282" i="1"/>
  <c r="G3282" i="1"/>
  <c r="J3282" i="1"/>
  <c r="K3282" i="1"/>
  <c r="BE3282" i="1"/>
  <c r="BF3282" i="1"/>
  <c r="BG3282" i="1"/>
  <c r="E3283" i="1"/>
  <c r="G3283" i="1"/>
  <c r="J3283" i="1"/>
  <c r="K3283" i="1"/>
  <c r="BE3283" i="1"/>
  <c r="BF3283" i="1"/>
  <c r="BG3283" i="1"/>
  <c r="E3284" i="1"/>
  <c r="G3284" i="1"/>
  <c r="J3284" i="1"/>
  <c r="K3284" i="1"/>
  <c r="BE3284" i="1"/>
  <c r="BF3284" i="1"/>
  <c r="BG3284" i="1"/>
  <c r="E3285" i="1"/>
  <c r="G3285" i="1"/>
  <c r="J3285" i="1"/>
  <c r="K3285" i="1"/>
  <c r="BE3285" i="1"/>
  <c r="BF3285" i="1"/>
  <c r="BG3285" i="1"/>
  <c r="E6860" i="1"/>
  <c r="G6860" i="1"/>
  <c r="J6860" i="1"/>
  <c r="BE6860" i="1"/>
  <c r="BF6860" i="1"/>
  <c r="BG6860" i="1"/>
  <c r="BH6860" i="1"/>
  <c r="E714" i="1"/>
  <c r="G714" i="1"/>
  <c r="J714" i="1"/>
  <c r="K714" i="1"/>
  <c r="BE714" i="1"/>
  <c r="BF714" i="1"/>
  <c r="BG714" i="1"/>
  <c r="E600" i="1"/>
  <c r="G600" i="1"/>
  <c r="J600" i="1"/>
  <c r="K600" i="1"/>
  <c r="BE600" i="1"/>
  <c r="BF600" i="1"/>
  <c r="BG600" i="1"/>
  <c r="BH600" i="1"/>
  <c r="E491" i="1"/>
  <c r="G491" i="1"/>
  <c r="J491" i="1"/>
  <c r="K491" i="1"/>
  <c r="BE491" i="1"/>
  <c r="BF491" i="1"/>
  <c r="BG491" i="1"/>
  <c r="E347" i="1"/>
  <c r="G347" i="1"/>
  <c r="J347" i="1"/>
  <c r="K347" i="1"/>
  <c r="BE347" i="1"/>
  <c r="BF347" i="1"/>
  <c r="BG347" i="1"/>
  <c r="E4937" i="1"/>
  <c r="G4937" i="1"/>
  <c r="J4937" i="1"/>
  <c r="K4937" i="1"/>
  <c r="BE4937" i="1"/>
  <c r="BF4937" i="1"/>
  <c r="BG4937" i="1"/>
  <c r="E4938" i="1"/>
  <c r="G4938" i="1"/>
  <c r="J4938" i="1"/>
  <c r="K4938" i="1"/>
  <c r="BE4938" i="1"/>
  <c r="BF4938" i="1"/>
  <c r="BG4938" i="1"/>
  <c r="E4939" i="1"/>
  <c r="G4939" i="1"/>
  <c r="J4939" i="1"/>
  <c r="K4939" i="1"/>
  <c r="BE4939" i="1"/>
  <c r="BF4939" i="1"/>
  <c r="BG4939" i="1"/>
  <c r="E4940" i="1"/>
  <c r="G4940" i="1"/>
  <c r="J4940" i="1"/>
  <c r="K4940" i="1"/>
  <c r="BE4940" i="1"/>
  <c r="BF4940" i="1"/>
  <c r="BG4940" i="1"/>
  <c r="E4941" i="1"/>
  <c r="G4941" i="1"/>
  <c r="J4941" i="1"/>
  <c r="K4941" i="1"/>
  <c r="BE4941" i="1"/>
  <c r="BF4941" i="1"/>
  <c r="BG4941" i="1"/>
  <c r="E4942" i="1"/>
  <c r="G4942" i="1"/>
  <c r="J4942" i="1"/>
  <c r="K4942" i="1"/>
  <c r="BE4942" i="1"/>
  <c r="BF4942" i="1"/>
  <c r="BG4942" i="1"/>
  <c r="E4943" i="1"/>
  <c r="G4943" i="1"/>
  <c r="J4943" i="1"/>
  <c r="K4943" i="1"/>
  <c r="BE4943" i="1"/>
  <c r="BF4943" i="1"/>
  <c r="BG4943" i="1"/>
  <c r="E4944" i="1"/>
  <c r="G4944" i="1"/>
  <c r="J4944" i="1"/>
  <c r="K4944" i="1"/>
  <c r="BE4944" i="1"/>
  <c r="BF4944" i="1"/>
  <c r="BG4944" i="1"/>
  <c r="E4945" i="1"/>
  <c r="G4945" i="1"/>
  <c r="J4945" i="1"/>
  <c r="K4945" i="1"/>
  <c r="BE4945" i="1"/>
  <c r="BF4945" i="1"/>
  <c r="BG4945" i="1"/>
  <c r="E4946" i="1"/>
  <c r="G4946" i="1"/>
  <c r="J4946" i="1"/>
  <c r="K4946" i="1"/>
  <c r="BE4946" i="1"/>
  <c r="BF4946" i="1"/>
  <c r="BG4946" i="1"/>
  <c r="E4947" i="1"/>
  <c r="G4947" i="1"/>
  <c r="J4947" i="1"/>
  <c r="K4947" i="1"/>
  <c r="BE4947" i="1"/>
  <c r="BF4947" i="1"/>
  <c r="BG4947" i="1"/>
  <c r="E4948" i="1"/>
  <c r="G4948" i="1"/>
  <c r="J4948" i="1"/>
  <c r="K4948" i="1"/>
  <c r="BE4948" i="1"/>
  <c r="BF4948" i="1"/>
  <c r="BG4948" i="1"/>
  <c r="E4949" i="1"/>
  <c r="G4949" i="1"/>
  <c r="J4949" i="1"/>
  <c r="K4949" i="1"/>
  <c r="BE4949" i="1"/>
  <c r="BF4949" i="1"/>
  <c r="BG4949" i="1"/>
  <c r="E4950" i="1"/>
  <c r="G4950" i="1"/>
  <c r="J4950" i="1"/>
  <c r="K4950" i="1"/>
  <c r="BE4950" i="1"/>
  <c r="BF4950" i="1"/>
  <c r="BG4950" i="1"/>
  <c r="E4951" i="1"/>
  <c r="G4951" i="1"/>
  <c r="J4951" i="1"/>
  <c r="K4951" i="1"/>
  <c r="BE4951" i="1"/>
  <c r="BF4951" i="1"/>
  <c r="BG4951" i="1"/>
  <c r="E4952" i="1"/>
  <c r="G4952" i="1"/>
  <c r="J4952" i="1"/>
  <c r="K4952" i="1"/>
  <c r="BE4952" i="1"/>
  <c r="BF4952" i="1"/>
  <c r="BG4952" i="1"/>
  <c r="E4953" i="1"/>
  <c r="G4953" i="1"/>
  <c r="J4953" i="1"/>
  <c r="K4953" i="1"/>
  <c r="BE4953" i="1"/>
  <c r="BF4953" i="1"/>
  <c r="BG4953" i="1"/>
  <c r="E4954" i="1"/>
  <c r="G4954" i="1"/>
  <c r="J4954" i="1"/>
  <c r="K4954" i="1"/>
  <c r="BE4954" i="1"/>
  <c r="BF4954" i="1"/>
  <c r="BG4954" i="1"/>
  <c r="E4955" i="1"/>
  <c r="G4955" i="1"/>
  <c r="J4955" i="1"/>
  <c r="K4955" i="1"/>
  <c r="BE4955" i="1"/>
  <c r="BF4955" i="1"/>
  <c r="BG4955" i="1"/>
  <c r="E4956" i="1"/>
  <c r="G4956" i="1"/>
  <c r="J4956" i="1"/>
  <c r="K4956" i="1"/>
  <c r="BE4956" i="1"/>
  <c r="BF4956" i="1"/>
  <c r="BG4956" i="1"/>
  <c r="E4957" i="1"/>
  <c r="G4957" i="1"/>
  <c r="J4957" i="1"/>
  <c r="K4957" i="1"/>
  <c r="BE4957" i="1"/>
  <c r="BF4957" i="1"/>
  <c r="BG4957" i="1"/>
  <c r="E4958" i="1"/>
  <c r="G4958" i="1"/>
  <c r="J4958" i="1"/>
  <c r="K4958" i="1"/>
  <c r="BE4958" i="1"/>
  <c r="BF4958" i="1"/>
  <c r="BG4958" i="1"/>
  <c r="E4959" i="1"/>
  <c r="G4959" i="1"/>
  <c r="J4959" i="1"/>
  <c r="K4959" i="1"/>
  <c r="BE4959" i="1"/>
  <c r="BF4959" i="1"/>
  <c r="BG4959" i="1"/>
  <c r="E4960" i="1"/>
  <c r="G4960" i="1"/>
  <c r="J4960" i="1"/>
  <c r="K4960" i="1"/>
  <c r="BE4960" i="1"/>
  <c r="BF4960" i="1"/>
  <c r="BG4960" i="1"/>
  <c r="E4961" i="1"/>
  <c r="G4961" i="1"/>
  <c r="J4961" i="1"/>
  <c r="K4961" i="1"/>
  <c r="BE4961" i="1"/>
  <c r="BF4961" i="1"/>
  <c r="BG4961" i="1"/>
  <c r="E4962" i="1"/>
  <c r="G4962" i="1"/>
  <c r="J4962" i="1"/>
  <c r="K4962" i="1"/>
  <c r="BE4962" i="1"/>
  <c r="BF4962" i="1"/>
  <c r="BG4962" i="1"/>
  <c r="E4963" i="1"/>
  <c r="G4963" i="1"/>
  <c r="J4963" i="1"/>
  <c r="K4963" i="1"/>
  <c r="BE4963" i="1"/>
  <c r="BF4963" i="1"/>
  <c r="BG4963" i="1"/>
  <c r="E4964" i="1"/>
  <c r="G4964" i="1"/>
  <c r="J4964" i="1"/>
  <c r="K4964" i="1"/>
  <c r="BE4964" i="1"/>
  <c r="BF4964" i="1"/>
  <c r="BG4964" i="1"/>
  <c r="E4965" i="1"/>
  <c r="G4965" i="1"/>
  <c r="J4965" i="1"/>
  <c r="K4965" i="1"/>
  <c r="BE4965" i="1"/>
  <c r="BF4965" i="1"/>
  <c r="BG4965" i="1"/>
  <c r="E4966" i="1"/>
  <c r="G4966" i="1"/>
  <c r="J4966" i="1"/>
  <c r="K4966" i="1"/>
  <c r="BE4966" i="1"/>
  <c r="BF4966" i="1"/>
  <c r="BG4966" i="1"/>
  <c r="E4967" i="1"/>
  <c r="G4967" i="1"/>
  <c r="J4967" i="1"/>
  <c r="K4967" i="1"/>
  <c r="BE4967" i="1"/>
  <c r="BF4967" i="1"/>
  <c r="BG4967" i="1"/>
  <c r="E4968" i="1"/>
  <c r="G4968" i="1"/>
  <c r="J4968" i="1"/>
  <c r="K4968" i="1"/>
  <c r="BE4968" i="1"/>
  <c r="BF4968" i="1"/>
  <c r="BG4968" i="1"/>
  <c r="E4969" i="1"/>
  <c r="G4969" i="1"/>
  <c r="J4969" i="1"/>
  <c r="K4969" i="1"/>
  <c r="BE4969" i="1"/>
  <c r="BF4969" i="1"/>
  <c r="BG4969" i="1"/>
  <c r="E4970" i="1"/>
  <c r="G4970" i="1"/>
  <c r="J4970" i="1"/>
  <c r="K4970" i="1"/>
  <c r="BE4970" i="1"/>
  <c r="BF4970" i="1"/>
  <c r="BG4970" i="1"/>
  <c r="E4971" i="1"/>
  <c r="G4971" i="1"/>
  <c r="J4971" i="1"/>
  <c r="K4971" i="1"/>
  <c r="BE4971" i="1"/>
  <c r="BF4971" i="1"/>
  <c r="BG4971" i="1"/>
  <c r="E4972" i="1"/>
  <c r="G4972" i="1"/>
  <c r="J4972" i="1"/>
  <c r="K4972" i="1"/>
  <c r="BE4972" i="1"/>
  <c r="BF4972" i="1"/>
  <c r="BG4972" i="1"/>
  <c r="E4973" i="1"/>
  <c r="G4973" i="1"/>
  <c r="J4973" i="1"/>
  <c r="K4973" i="1"/>
  <c r="BE4973" i="1"/>
  <c r="BF4973" i="1"/>
  <c r="BG4973" i="1"/>
  <c r="E4974" i="1"/>
  <c r="G4974" i="1"/>
  <c r="J4974" i="1"/>
  <c r="K4974" i="1"/>
  <c r="BE4974" i="1"/>
  <c r="BF4974" i="1"/>
  <c r="BG4974" i="1"/>
  <c r="E4975" i="1"/>
  <c r="G4975" i="1"/>
  <c r="J4975" i="1"/>
  <c r="K4975" i="1"/>
  <c r="BE4975" i="1"/>
  <c r="BF4975" i="1"/>
  <c r="BG4975" i="1"/>
  <c r="E4976" i="1"/>
  <c r="G4976" i="1"/>
  <c r="J4976" i="1"/>
  <c r="K4976" i="1"/>
  <c r="BE4976" i="1"/>
  <c r="BF4976" i="1"/>
  <c r="BG4976" i="1"/>
  <c r="E4977" i="1"/>
  <c r="G4977" i="1"/>
  <c r="J4977" i="1"/>
  <c r="K4977" i="1"/>
  <c r="BE4977" i="1"/>
  <c r="BF4977" i="1"/>
  <c r="BG4977" i="1"/>
  <c r="E4978" i="1"/>
  <c r="G4978" i="1"/>
  <c r="J4978" i="1"/>
  <c r="K4978" i="1"/>
  <c r="BE4978" i="1"/>
  <c r="BF4978" i="1"/>
  <c r="BG4978" i="1"/>
  <c r="E4979" i="1"/>
  <c r="G4979" i="1"/>
  <c r="J4979" i="1"/>
  <c r="K4979" i="1"/>
  <c r="BE4979" i="1"/>
  <c r="BF4979" i="1"/>
  <c r="BG4979" i="1"/>
  <c r="E4980" i="1"/>
  <c r="G4980" i="1"/>
  <c r="J4980" i="1"/>
  <c r="K4980" i="1"/>
  <c r="BE4980" i="1"/>
  <c r="BF4980" i="1"/>
  <c r="BG4980" i="1"/>
  <c r="E4981" i="1"/>
  <c r="G4981" i="1"/>
  <c r="J4981" i="1"/>
  <c r="K4981" i="1"/>
  <c r="BE4981" i="1"/>
  <c r="BF4981" i="1"/>
  <c r="BG4981" i="1"/>
  <c r="E4982" i="1"/>
  <c r="G4982" i="1"/>
  <c r="J4982" i="1"/>
  <c r="K4982" i="1"/>
  <c r="BE4982" i="1"/>
  <c r="BF4982" i="1"/>
  <c r="BG4982" i="1"/>
  <c r="E4983" i="1"/>
  <c r="G4983" i="1"/>
  <c r="J4983" i="1"/>
  <c r="K4983" i="1"/>
  <c r="BE4983" i="1"/>
  <c r="BF4983" i="1"/>
  <c r="BG4983" i="1"/>
  <c r="E4984" i="1"/>
  <c r="G4984" i="1"/>
  <c r="J4984" i="1"/>
  <c r="K4984" i="1"/>
  <c r="BE4984" i="1"/>
  <c r="BF4984" i="1"/>
  <c r="BG4984" i="1"/>
  <c r="E4985" i="1"/>
  <c r="G4985" i="1"/>
  <c r="J4985" i="1"/>
  <c r="K4985" i="1"/>
  <c r="BE4985" i="1"/>
  <c r="BF4985" i="1"/>
  <c r="BG4985" i="1"/>
  <c r="E4986" i="1"/>
  <c r="G4986" i="1"/>
  <c r="J4986" i="1"/>
  <c r="K4986" i="1"/>
  <c r="BE4986" i="1"/>
  <c r="BF4986" i="1"/>
  <c r="BG4986" i="1"/>
  <c r="E4987" i="1"/>
  <c r="G4987" i="1"/>
  <c r="J4987" i="1"/>
  <c r="K4987" i="1"/>
  <c r="BE4987" i="1"/>
  <c r="BF4987" i="1"/>
  <c r="BG4987" i="1"/>
  <c r="E4988" i="1"/>
  <c r="G4988" i="1"/>
  <c r="J4988" i="1"/>
  <c r="K4988" i="1"/>
  <c r="BE4988" i="1"/>
  <c r="BF4988" i="1"/>
  <c r="BG4988" i="1"/>
  <c r="E4989" i="1"/>
  <c r="G4989" i="1"/>
  <c r="J4989" i="1"/>
  <c r="K4989" i="1"/>
  <c r="BE4989" i="1"/>
  <c r="BF4989" i="1"/>
  <c r="BG4989" i="1"/>
  <c r="E4990" i="1"/>
  <c r="G4990" i="1"/>
  <c r="J4990" i="1"/>
  <c r="K4990" i="1"/>
  <c r="BE4990" i="1"/>
  <c r="BF4990" i="1"/>
  <c r="BG4990" i="1"/>
  <c r="E4991" i="1"/>
  <c r="G4991" i="1"/>
  <c r="J4991" i="1"/>
  <c r="K4991" i="1"/>
  <c r="BE4991" i="1"/>
  <c r="BF4991" i="1"/>
  <c r="BG4991" i="1"/>
  <c r="E4992" i="1"/>
  <c r="G4992" i="1"/>
  <c r="J4992" i="1"/>
  <c r="K4992" i="1"/>
  <c r="BE4992" i="1"/>
  <c r="BF4992" i="1"/>
  <c r="BG4992" i="1"/>
  <c r="E4993" i="1"/>
  <c r="G4993" i="1"/>
  <c r="J4993" i="1"/>
  <c r="K4993" i="1"/>
  <c r="BE4993" i="1"/>
  <c r="BF4993" i="1"/>
  <c r="BG4993" i="1"/>
  <c r="E4994" i="1"/>
  <c r="G4994" i="1"/>
  <c r="J4994" i="1"/>
  <c r="K4994" i="1"/>
  <c r="BE4994" i="1"/>
  <c r="BF4994" i="1"/>
  <c r="BG4994" i="1"/>
  <c r="E4995" i="1"/>
  <c r="G4995" i="1"/>
  <c r="J4995" i="1"/>
  <c r="K4995" i="1"/>
  <c r="BE4995" i="1"/>
  <c r="BF4995" i="1"/>
  <c r="BG4995" i="1"/>
  <c r="E4996" i="1"/>
  <c r="G4996" i="1"/>
  <c r="J4996" i="1"/>
  <c r="K4996" i="1"/>
  <c r="BE4996" i="1"/>
  <c r="BF4996" i="1"/>
  <c r="BG4996" i="1"/>
  <c r="E4997" i="1"/>
  <c r="G4997" i="1"/>
  <c r="J4997" i="1"/>
  <c r="K4997" i="1"/>
  <c r="BE4997" i="1"/>
  <c r="BF4997" i="1"/>
  <c r="BG4997" i="1"/>
  <c r="E4998" i="1"/>
  <c r="G4998" i="1"/>
  <c r="J4998" i="1"/>
  <c r="K4998" i="1"/>
  <c r="BE4998" i="1"/>
  <c r="BF4998" i="1"/>
  <c r="BG4998" i="1"/>
  <c r="E4999" i="1"/>
  <c r="G4999" i="1"/>
  <c r="J4999" i="1"/>
  <c r="K4999" i="1"/>
  <c r="BE4999" i="1"/>
  <c r="BF4999" i="1"/>
  <c r="BG4999" i="1"/>
  <c r="E5000" i="1"/>
  <c r="G5000" i="1"/>
  <c r="J5000" i="1"/>
  <c r="K5000" i="1"/>
  <c r="BE5000" i="1"/>
  <c r="BF5000" i="1"/>
  <c r="BG5000" i="1"/>
  <c r="E5001" i="1"/>
  <c r="G5001" i="1"/>
  <c r="J5001" i="1"/>
  <c r="K5001" i="1"/>
  <c r="BE5001" i="1"/>
  <c r="BF5001" i="1"/>
  <c r="BG5001" i="1"/>
  <c r="E5002" i="1"/>
  <c r="G5002" i="1"/>
  <c r="J5002" i="1"/>
  <c r="K5002" i="1"/>
  <c r="BE5002" i="1"/>
  <c r="BF5002" i="1"/>
  <c r="BG5002" i="1"/>
  <c r="E1230" i="1"/>
  <c r="G1230" i="1"/>
  <c r="J1230" i="1"/>
  <c r="K1230" i="1"/>
  <c r="BE1230" i="1"/>
  <c r="BF1230" i="1"/>
  <c r="BG1230" i="1"/>
  <c r="E1463" i="1"/>
  <c r="G1463" i="1"/>
  <c r="J1463" i="1"/>
  <c r="K1463" i="1"/>
  <c r="BE1463" i="1"/>
  <c r="BF1463" i="1"/>
  <c r="BG1463" i="1"/>
  <c r="E1464" i="1"/>
  <c r="G1464" i="1"/>
  <c r="J1464" i="1"/>
  <c r="K1464" i="1"/>
  <c r="BE1464" i="1"/>
  <c r="BF1464" i="1"/>
  <c r="BG1464" i="1"/>
  <c r="E1465" i="1"/>
  <c r="G1465" i="1"/>
  <c r="J1465" i="1"/>
  <c r="K1465" i="1"/>
  <c r="BE1465" i="1"/>
  <c r="BF1465" i="1"/>
  <c r="BG1465" i="1"/>
  <c r="E1466" i="1"/>
  <c r="G1466" i="1"/>
  <c r="J1466" i="1"/>
  <c r="K1466" i="1"/>
  <c r="BE1466" i="1"/>
  <c r="BF1466" i="1"/>
  <c r="BG1466" i="1"/>
  <c r="E1467" i="1"/>
  <c r="G1467" i="1"/>
  <c r="J1467" i="1"/>
  <c r="K1467" i="1"/>
  <c r="BE1467" i="1"/>
  <c r="BF1467" i="1"/>
  <c r="BG1467" i="1"/>
  <c r="E1468" i="1"/>
  <c r="G1468" i="1"/>
  <c r="J1468" i="1"/>
  <c r="K1468" i="1"/>
  <c r="BE1468" i="1"/>
  <c r="BF1468" i="1"/>
  <c r="BG1468" i="1"/>
  <c r="E1469" i="1"/>
  <c r="G1469" i="1"/>
  <c r="J1469" i="1"/>
  <c r="K1469" i="1"/>
  <c r="BE1469" i="1"/>
  <c r="BF1469" i="1"/>
  <c r="BG1469" i="1"/>
  <c r="E1470" i="1"/>
  <c r="G1470" i="1"/>
  <c r="J1470" i="1"/>
  <c r="K1470" i="1"/>
  <c r="BE1470" i="1"/>
  <c r="BF1470" i="1"/>
  <c r="BG1470" i="1"/>
  <c r="E1471" i="1"/>
  <c r="G1471" i="1"/>
  <c r="J1471" i="1"/>
  <c r="K1471" i="1"/>
  <c r="BE1471" i="1"/>
  <c r="BF1471" i="1"/>
  <c r="BG1471" i="1"/>
  <c r="E1472" i="1"/>
  <c r="G1472" i="1"/>
  <c r="J1472" i="1"/>
  <c r="K1472" i="1"/>
  <c r="BE1472" i="1"/>
  <c r="BF1472" i="1"/>
  <c r="BG1472" i="1"/>
  <c r="E1473" i="1"/>
  <c r="G1473" i="1"/>
  <c r="J1473" i="1"/>
  <c r="K1473" i="1"/>
  <c r="BE1473" i="1"/>
  <c r="BF1473" i="1"/>
  <c r="BG1473" i="1"/>
  <c r="E1474" i="1"/>
  <c r="G1474" i="1"/>
  <c r="J1474" i="1"/>
  <c r="K1474" i="1"/>
  <c r="BE1474" i="1"/>
  <c r="BF1474" i="1"/>
  <c r="BG1474" i="1"/>
  <c r="E1475" i="1"/>
  <c r="G1475" i="1"/>
  <c r="J1475" i="1"/>
  <c r="K1475" i="1"/>
  <c r="BE1475" i="1"/>
  <c r="BF1475" i="1"/>
  <c r="BG1475" i="1"/>
  <c r="E1476" i="1"/>
  <c r="G1476" i="1"/>
  <c r="J1476" i="1"/>
  <c r="K1476" i="1"/>
  <c r="BE1476" i="1"/>
  <c r="BF1476" i="1"/>
  <c r="BG1476" i="1"/>
  <c r="E1477" i="1"/>
  <c r="G1477" i="1"/>
  <c r="J1477" i="1"/>
  <c r="K1477" i="1"/>
  <c r="BE1477" i="1"/>
  <c r="BF1477" i="1"/>
  <c r="BG1477" i="1"/>
  <c r="E1478" i="1"/>
  <c r="G1478" i="1"/>
  <c r="J1478" i="1"/>
  <c r="K1478" i="1"/>
  <c r="BE1478" i="1"/>
  <c r="BF1478" i="1"/>
  <c r="BG1478" i="1"/>
  <c r="E1479" i="1"/>
  <c r="G1479" i="1"/>
  <c r="J1479" i="1"/>
  <c r="K1479" i="1"/>
  <c r="BE1479" i="1"/>
  <c r="BF1479" i="1"/>
  <c r="BG1479" i="1"/>
  <c r="E1480" i="1"/>
  <c r="G1480" i="1"/>
  <c r="J1480" i="1"/>
  <c r="K1480" i="1"/>
  <c r="BE1480" i="1"/>
  <c r="BF1480" i="1"/>
  <c r="BG1480" i="1"/>
  <c r="E1481" i="1"/>
  <c r="G1481" i="1"/>
  <c r="J1481" i="1"/>
  <c r="K1481" i="1"/>
  <c r="BE1481" i="1"/>
  <c r="BF1481" i="1"/>
  <c r="BG1481" i="1"/>
  <c r="E1482" i="1"/>
  <c r="G1482" i="1"/>
  <c r="J1482" i="1"/>
  <c r="K1482" i="1"/>
  <c r="BE1482" i="1"/>
  <c r="BF1482" i="1"/>
  <c r="BG1482" i="1"/>
  <c r="E1483" i="1"/>
  <c r="G1483" i="1"/>
  <c r="J1483" i="1"/>
  <c r="K1483" i="1"/>
  <c r="BE1483" i="1"/>
  <c r="BF1483" i="1"/>
  <c r="BG1483" i="1"/>
  <c r="E1484" i="1"/>
  <c r="G1484" i="1"/>
  <c r="J1484" i="1"/>
  <c r="K1484" i="1"/>
  <c r="BE1484" i="1"/>
  <c r="BF1484" i="1"/>
  <c r="BG1484" i="1"/>
  <c r="E1485" i="1"/>
  <c r="G1485" i="1"/>
  <c r="J1485" i="1"/>
  <c r="K1485" i="1"/>
  <c r="BE1485" i="1"/>
  <c r="BF1485" i="1"/>
  <c r="BG1485" i="1"/>
  <c r="E1486" i="1"/>
  <c r="G1486" i="1"/>
  <c r="J1486" i="1"/>
  <c r="K1486" i="1"/>
  <c r="BE1486" i="1"/>
  <c r="BF1486" i="1"/>
  <c r="BG1486" i="1"/>
  <c r="E1487" i="1"/>
  <c r="G1487" i="1"/>
  <c r="J1487" i="1"/>
  <c r="K1487" i="1"/>
  <c r="BE1487" i="1"/>
  <c r="BF1487" i="1"/>
  <c r="BG1487" i="1"/>
  <c r="E1488" i="1"/>
  <c r="G1488" i="1"/>
  <c r="J1488" i="1"/>
  <c r="K1488" i="1"/>
  <c r="BE1488" i="1"/>
  <c r="BF1488" i="1"/>
  <c r="BG1488" i="1"/>
  <c r="E1489" i="1"/>
  <c r="G1489" i="1"/>
  <c r="J1489" i="1"/>
  <c r="K1489" i="1"/>
  <c r="BE1489" i="1"/>
  <c r="BF1489" i="1"/>
  <c r="BG1489" i="1"/>
  <c r="E1490" i="1"/>
  <c r="G1490" i="1"/>
  <c r="J1490" i="1"/>
  <c r="K1490" i="1"/>
  <c r="BE1490" i="1"/>
  <c r="BF1490" i="1"/>
  <c r="BG1490" i="1"/>
  <c r="E1491" i="1"/>
  <c r="G1491" i="1"/>
  <c r="J1491" i="1"/>
  <c r="K1491" i="1"/>
  <c r="BE1491" i="1"/>
  <c r="BF1491" i="1"/>
  <c r="BG1491" i="1"/>
  <c r="E1492" i="1"/>
  <c r="G1492" i="1"/>
  <c r="J1492" i="1"/>
  <c r="K1492" i="1"/>
  <c r="BE1492" i="1"/>
  <c r="BF1492" i="1"/>
  <c r="BG1492" i="1"/>
  <c r="E1098" i="1"/>
  <c r="G1098" i="1"/>
  <c r="J1098" i="1"/>
  <c r="K1098" i="1"/>
  <c r="BE1098" i="1"/>
  <c r="BF1098" i="1"/>
  <c r="BG1098" i="1"/>
  <c r="E1099" i="1"/>
  <c r="G1099" i="1"/>
  <c r="J1099" i="1"/>
  <c r="K1099" i="1"/>
  <c r="BE1099" i="1"/>
  <c r="BF1099" i="1"/>
  <c r="BG1099" i="1"/>
  <c r="E1100" i="1"/>
  <c r="G1100" i="1"/>
  <c r="J1100" i="1"/>
  <c r="K1100" i="1"/>
  <c r="BE1100" i="1"/>
  <c r="BF1100" i="1"/>
  <c r="BG1100" i="1"/>
  <c r="E1101" i="1"/>
  <c r="G1101" i="1"/>
  <c r="J1101" i="1"/>
  <c r="K1101" i="1"/>
  <c r="BE1101" i="1"/>
  <c r="BF1101" i="1"/>
  <c r="BG1101" i="1"/>
  <c r="E1102" i="1"/>
  <c r="G1102" i="1"/>
  <c r="J1102" i="1"/>
  <c r="K1102" i="1"/>
  <c r="BE1102" i="1"/>
  <c r="BF1102" i="1"/>
  <c r="BG1102" i="1"/>
  <c r="E1103" i="1"/>
  <c r="G1103" i="1"/>
  <c r="J1103" i="1"/>
  <c r="K1103" i="1"/>
  <c r="BE1103" i="1"/>
  <c r="BF1103" i="1"/>
  <c r="BG1103" i="1"/>
  <c r="E1104" i="1"/>
  <c r="G1104" i="1"/>
  <c r="J1104" i="1"/>
  <c r="K1104" i="1"/>
  <c r="BE1104" i="1"/>
  <c r="BF1104" i="1"/>
  <c r="BG1104" i="1"/>
  <c r="E1105" i="1"/>
  <c r="G1105" i="1"/>
  <c r="J1105" i="1"/>
  <c r="K1105" i="1"/>
  <c r="BE1105" i="1"/>
  <c r="BF1105" i="1"/>
  <c r="BG1105" i="1"/>
  <c r="E1106" i="1"/>
  <c r="G1106" i="1"/>
  <c r="J1106" i="1"/>
  <c r="K1106" i="1"/>
  <c r="BE1106" i="1"/>
  <c r="BF1106" i="1"/>
  <c r="BG1106" i="1"/>
  <c r="E1107" i="1"/>
  <c r="G1107" i="1"/>
  <c r="J1107" i="1"/>
  <c r="K1107" i="1"/>
  <c r="BE1107" i="1"/>
  <c r="BF1107" i="1"/>
  <c r="BG1107" i="1"/>
  <c r="E1108" i="1"/>
  <c r="G1108" i="1"/>
  <c r="J1108" i="1"/>
  <c r="K1108" i="1"/>
  <c r="BE1108" i="1"/>
  <c r="BF1108" i="1"/>
  <c r="BG1108" i="1"/>
  <c r="E1109" i="1"/>
  <c r="G1109" i="1"/>
  <c r="J1109" i="1"/>
  <c r="K1109" i="1"/>
  <c r="BE1109" i="1"/>
  <c r="BF1109" i="1"/>
  <c r="BG1109" i="1"/>
  <c r="E1110" i="1"/>
  <c r="G1110" i="1"/>
  <c r="J1110" i="1"/>
  <c r="K1110" i="1"/>
  <c r="BE1110" i="1"/>
  <c r="BF1110" i="1"/>
  <c r="BG1110" i="1"/>
  <c r="E1111" i="1"/>
  <c r="G1111" i="1"/>
  <c r="J1111" i="1"/>
  <c r="K1111" i="1"/>
  <c r="BE1111" i="1"/>
  <c r="BF1111" i="1"/>
  <c r="BG1111" i="1"/>
  <c r="E1112" i="1"/>
  <c r="G1112" i="1"/>
  <c r="J1112" i="1"/>
  <c r="K1112" i="1"/>
  <c r="BE1112" i="1"/>
  <c r="BF1112" i="1"/>
  <c r="BG1112" i="1"/>
  <c r="E1113" i="1"/>
  <c r="G1113" i="1"/>
  <c r="J1113" i="1"/>
  <c r="K1113" i="1"/>
  <c r="BE1113" i="1"/>
  <c r="BF1113" i="1"/>
  <c r="BG1113" i="1"/>
  <c r="E1114" i="1"/>
  <c r="G1114" i="1"/>
  <c r="J1114" i="1"/>
  <c r="K1114" i="1"/>
  <c r="BE1114" i="1"/>
  <c r="BF1114" i="1"/>
  <c r="BG1114" i="1"/>
  <c r="E1115" i="1"/>
  <c r="G1115" i="1"/>
  <c r="J1115" i="1"/>
  <c r="K1115" i="1"/>
  <c r="BE1115" i="1"/>
  <c r="BF1115" i="1"/>
  <c r="BG1115" i="1"/>
  <c r="E1116" i="1"/>
  <c r="G1116" i="1"/>
  <c r="J1116" i="1"/>
  <c r="K1116" i="1"/>
  <c r="BE1116" i="1"/>
  <c r="BF1116" i="1"/>
  <c r="BG1116" i="1"/>
  <c r="E1117" i="1"/>
  <c r="G1117" i="1"/>
  <c r="J1117" i="1"/>
  <c r="K1117" i="1"/>
  <c r="BE1117" i="1"/>
  <c r="BF1117" i="1"/>
  <c r="BG1117" i="1"/>
  <c r="E1118" i="1"/>
  <c r="G1118" i="1"/>
  <c r="J1118" i="1"/>
  <c r="K1118" i="1"/>
  <c r="BE1118" i="1"/>
  <c r="BF1118" i="1"/>
  <c r="BG1118" i="1"/>
  <c r="E1119" i="1"/>
  <c r="G1119" i="1"/>
  <c r="J1119" i="1"/>
  <c r="K1119" i="1"/>
  <c r="BE1119" i="1"/>
  <c r="BF1119" i="1"/>
  <c r="BG1119" i="1"/>
  <c r="E1120" i="1"/>
  <c r="G1120" i="1"/>
  <c r="J1120" i="1"/>
  <c r="K1120" i="1"/>
  <c r="BE1120" i="1"/>
  <c r="BF1120" i="1"/>
  <c r="BG1120" i="1"/>
  <c r="E1121" i="1"/>
  <c r="G1121" i="1"/>
  <c r="J1121" i="1"/>
  <c r="K1121" i="1"/>
  <c r="BE1121" i="1"/>
  <c r="BF1121" i="1"/>
  <c r="BG1121" i="1"/>
  <c r="E1122" i="1"/>
  <c r="G1122" i="1"/>
  <c r="J1122" i="1"/>
  <c r="K1122" i="1"/>
  <c r="BE1122" i="1"/>
  <c r="BF1122" i="1"/>
  <c r="BG1122" i="1"/>
  <c r="E1123" i="1"/>
  <c r="G1123" i="1"/>
  <c r="J1123" i="1"/>
  <c r="K1123" i="1"/>
  <c r="BE1123" i="1"/>
  <c r="BF1123" i="1"/>
  <c r="BG1123" i="1"/>
  <c r="E1124" i="1"/>
  <c r="G1124" i="1"/>
  <c r="J1124" i="1"/>
  <c r="K1124" i="1"/>
  <c r="BE1124" i="1"/>
  <c r="BF1124" i="1"/>
  <c r="BG1124" i="1"/>
  <c r="E1125" i="1"/>
  <c r="G1125" i="1"/>
  <c r="J1125" i="1"/>
  <c r="K1125" i="1"/>
  <c r="BE1125" i="1"/>
  <c r="BF1125" i="1"/>
  <c r="BG1125" i="1"/>
  <c r="E1126" i="1"/>
  <c r="G1126" i="1"/>
  <c r="J1126" i="1"/>
  <c r="K1126" i="1"/>
  <c r="BE1126" i="1"/>
  <c r="BF1126" i="1"/>
  <c r="BG1126" i="1"/>
  <c r="E1127" i="1"/>
  <c r="G1127" i="1"/>
  <c r="J1127" i="1"/>
  <c r="K1127" i="1"/>
  <c r="BE1127" i="1"/>
  <c r="BF1127" i="1"/>
  <c r="BG1127" i="1"/>
  <c r="E1128" i="1"/>
  <c r="G1128" i="1"/>
  <c r="J1128" i="1"/>
  <c r="K1128" i="1"/>
  <c r="BE1128" i="1"/>
  <c r="BF1128" i="1"/>
  <c r="BG1128" i="1"/>
  <c r="E1129" i="1"/>
  <c r="G1129" i="1"/>
  <c r="J1129" i="1"/>
  <c r="K1129" i="1"/>
  <c r="BE1129" i="1"/>
  <c r="BF1129" i="1"/>
  <c r="BG1129" i="1"/>
  <c r="E1130" i="1"/>
  <c r="G1130" i="1"/>
  <c r="J1130" i="1"/>
  <c r="K1130" i="1"/>
  <c r="BE1130" i="1"/>
  <c r="BF1130" i="1"/>
  <c r="BG1130" i="1"/>
  <c r="E1131" i="1"/>
  <c r="G1131" i="1"/>
  <c r="J1131" i="1"/>
  <c r="K1131" i="1"/>
  <c r="BE1131" i="1"/>
  <c r="BF1131" i="1"/>
  <c r="BG1131" i="1"/>
  <c r="E1132" i="1"/>
  <c r="G1132" i="1"/>
  <c r="J1132" i="1"/>
  <c r="K1132" i="1"/>
  <c r="BE1132" i="1"/>
  <c r="BF1132" i="1"/>
  <c r="BG1132" i="1"/>
  <c r="E1133" i="1"/>
  <c r="G1133" i="1"/>
  <c r="J1133" i="1"/>
  <c r="K1133" i="1"/>
  <c r="BE1133" i="1"/>
  <c r="BF1133" i="1"/>
  <c r="BG1133" i="1"/>
  <c r="E1134" i="1"/>
  <c r="G1134" i="1"/>
  <c r="J1134" i="1"/>
  <c r="K1134" i="1"/>
  <c r="BE1134" i="1"/>
  <c r="BF1134" i="1"/>
  <c r="BG1134" i="1"/>
  <c r="E1135" i="1"/>
  <c r="G1135" i="1"/>
  <c r="J1135" i="1"/>
  <c r="K1135" i="1"/>
  <c r="BE1135" i="1"/>
  <c r="BF1135" i="1"/>
  <c r="BG1135" i="1"/>
  <c r="E1136" i="1"/>
  <c r="G1136" i="1"/>
  <c r="J1136" i="1"/>
  <c r="K1136" i="1"/>
  <c r="BE1136" i="1"/>
  <c r="BF1136" i="1"/>
  <c r="BG1136" i="1"/>
  <c r="E1137" i="1"/>
  <c r="G1137" i="1"/>
  <c r="J1137" i="1"/>
  <c r="K1137" i="1"/>
  <c r="BE1137" i="1"/>
  <c r="BF1137" i="1"/>
  <c r="BG1137" i="1"/>
  <c r="E1138" i="1"/>
  <c r="G1138" i="1"/>
  <c r="J1138" i="1"/>
  <c r="K1138" i="1"/>
  <c r="BE1138" i="1"/>
  <c r="BF1138" i="1"/>
  <c r="BG1138" i="1"/>
  <c r="E1139" i="1"/>
  <c r="G1139" i="1"/>
  <c r="J1139" i="1"/>
  <c r="K1139" i="1"/>
  <c r="BE1139" i="1"/>
  <c r="BF1139" i="1"/>
  <c r="BG1139" i="1"/>
  <c r="E1140" i="1"/>
  <c r="G1140" i="1"/>
  <c r="J1140" i="1"/>
  <c r="K1140" i="1"/>
  <c r="BE1140" i="1"/>
  <c r="BF1140" i="1"/>
  <c r="BG1140" i="1"/>
  <c r="E1141" i="1"/>
  <c r="G1141" i="1"/>
  <c r="J1141" i="1"/>
  <c r="K1141" i="1"/>
  <c r="BE1141" i="1"/>
  <c r="BF1141" i="1"/>
  <c r="BG1141" i="1"/>
  <c r="E1142" i="1"/>
  <c r="G1142" i="1"/>
  <c r="J1142" i="1"/>
  <c r="K1142" i="1"/>
  <c r="BE1142" i="1"/>
  <c r="BF1142" i="1"/>
  <c r="BG1142" i="1"/>
  <c r="E1143" i="1"/>
  <c r="G1143" i="1"/>
  <c r="J1143" i="1"/>
  <c r="K1143" i="1"/>
  <c r="BE1143" i="1"/>
  <c r="BF1143" i="1"/>
  <c r="BG1143" i="1"/>
  <c r="E1144" i="1"/>
  <c r="G1144" i="1"/>
  <c r="J1144" i="1"/>
  <c r="K1144" i="1"/>
  <c r="BE1144" i="1"/>
  <c r="BF1144" i="1"/>
  <c r="BG1144" i="1"/>
  <c r="E1145" i="1"/>
  <c r="G1145" i="1"/>
  <c r="J1145" i="1"/>
  <c r="K1145" i="1"/>
  <c r="BE1145" i="1"/>
  <c r="BF1145" i="1"/>
  <c r="BG1145" i="1"/>
  <c r="E1146" i="1"/>
  <c r="G1146" i="1"/>
  <c r="J1146" i="1"/>
  <c r="K1146" i="1"/>
  <c r="BE1146" i="1"/>
  <c r="BF1146" i="1"/>
  <c r="BG1146" i="1"/>
  <c r="E1147" i="1"/>
  <c r="G1147" i="1"/>
  <c r="J1147" i="1"/>
  <c r="K1147" i="1"/>
  <c r="BE1147" i="1"/>
  <c r="BF1147" i="1"/>
  <c r="BG1147" i="1"/>
  <c r="E1148" i="1"/>
  <c r="G1148" i="1"/>
  <c r="J1148" i="1"/>
  <c r="K1148" i="1"/>
  <c r="BE1148" i="1"/>
  <c r="BF1148" i="1"/>
  <c r="BG1148" i="1"/>
  <c r="E1149" i="1"/>
  <c r="G1149" i="1"/>
  <c r="J1149" i="1"/>
  <c r="K1149" i="1"/>
  <c r="BE1149" i="1"/>
  <c r="BF1149" i="1"/>
  <c r="BG1149" i="1"/>
  <c r="E1150" i="1"/>
  <c r="G1150" i="1"/>
  <c r="J1150" i="1"/>
  <c r="K1150" i="1"/>
  <c r="BE1150" i="1"/>
  <c r="BF1150" i="1"/>
  <c r="BG1150" i="1"/>
  <c r="E1151" i="1"/>
  <c r="G1151" i="1"/>
  <c r="J1151" i="1"/>
  <c r="K1151" i="1"/>
  <c r="BE1151" i="1"/>
  <c r="BF1151" i="1"/>
  <c r="BG1151" i="1"/>
  <c r="E1152" i="1"/>
  <c r="G1152" i="1"/>
  <c r="J1152" i="1"/>
  <c r="K1152" i="1"/>
  <c r="BE1152" i="1"/>
  <c r="BF1152" i="1"/>
  <c r="BG1152" i="1"/>
  <c r="E1153" i="1"/>
  <c r="G1153" i="1"/>
  <c r="J1153" i="1"/>
  <c r="K1153" i="1"/>
  <c r="BE1153" i="1"/>
  <c r="BF1153" i="1"/>
  <c r="BG1153" i="1"/>
  <c r="E1154" i="1"/>
  <c r="G1154" i="1"/>
  <c r="J1154" i="1"/>
  <c r="K1154" i="1"/>
  <c r="BE1154" i="1"/>
  <c r="BF1154" i="1"/>
  <c r="BG1154" i="1"/>
  <c r="E1155" i="1"/>
  <c r="G1155" i="1"/>
  <c r="J1155" i="1"/>
  <c r="K1155" i="1"/>
  <c r="BE1155" i="1"/>
  <c r="BF1155" i="1"/>
  <c r="BG1155" i="1"/>
  <c r="E1156" i="1"/>
  <c r="G1156" i="1"/>
  <c r="J1156" i="1"/>
  <c r="K1156" i="1"/>
  <c r="BE1156" i="1"/>
  <c r="BF1156" i="1"/>
  <c r="BG1156" i="1"/>
  <c r="E1157" i="1"/>
  <c r="G1157" i="1"/>
  <c r="J1157" i="1"/>
  <c r="K1157" i="1"/>
  <c r="BE1157" i="1"/>
  <c r="BF1157" i="1"/>
  <c r="BG1157" i="1"/>
  <c r="E1158" i="1"/>
  <c r="G1158" i="1"/>
  <c r="J1158" i="1"/>
  <c r="K1158" i="1"/>
  <c r="BE1158" i="1"/>
  <c r="BF1158" i="1"/>
  <c r="BG1158" i="1"/>
  <c r="E1159" i="1"/>
  <c r="G1159" i="1"/>
  <c r="J1159" i="1"/>
  <c r="K1159" i="1"/>
  <c r="BE1159" i="1"/>
  <c r="BF1159" i="1"/>
  <c r="BG1159" i="1"/>
  <c r="E1160" i="1"/>
  <c r="G1160" i="1"/>
  <c r="J1160" i="1"/>
  <c r="K1160" i="1"/>
  <c r="BE1160" i="1"/>
  <c r="BF1160" i="1"/>
  <c r="BG1160" i="1"/>
  <c r="E1161" i="1"/>
  <c r="G1161" i="1"/>
  <c r="J1161" i="1"/>
  <c r="K1161" i="1"/>
  <c r="BE1161" i="1"/>
  <c r="BF1161" i="1"/>
  <c r="BG1161" i="1"/>
  <c r="E1162" i="1"/>
  <c r="G1162" i="1"/>
  <c r="J1162" i="1"/>
  <c r="K1162" i="1"/>
  <c r="BE1162" i="1"/>
  <c r="BF1162" i="1"/>
  <c r="BG1162" i="1"/>
  <c r="E1163" i="1"/>
  <c r="G1163" i="1"/>
  <c r="J1163" i="1"/>
  <c r="K1163" i="1"/>
  <c r="BE1163" i="1"/>
  <c r="BF1163" i="1"/>
  <c r="BG1163" i="1"/>
  <c r="E1164" i="1"/>
  <c r="G1164" i="1"/>
  <c r="J1164" i="1"/>
  <c r="K1164" i="1"/>
  <c r="BE1164" i="1"/>
  <c r="BF1164" i="1"/>
  <c r="BG1164" i="1"/>
  <c r="E1165" i="1"/>
  <c r="G1165" i="1"/>
  <c r="J1165" i="1"/>
  <c r="K1165" i="1"/>
  <c r="BE1165" i="1"/>
  <c r="BF1165" i="1"/>
  <c r="BG1165" i="1"/>
  <c r="E1166" i="1"/>
  <c r="G1166" i="1"/>
  <c r="J1166" i="1"/>
  <c r="K1166" i="1"/>
  <c r="BE1166" i="1"/>
  <c r="BF1166" i="1"/>
  <c r="BG1166" i="1"/>
  <c r="E1167" i="1"/>
  <c r="G1167" i="1"/>
  <c r="J1167" i="1"/>
  <c r="K1167" i="1"/>
  <c r="BE1167" i="1"/>
  <c r="BF1167" i="1"/>
  <c r="BG1167" i="1"/>
  <c r="E1168" i="1"/>
  <c r="G1168" i="1"/>
  <c r="J1168" i="1"/>
  <c r="K1168" i="1"/>
  <c r="BE1168" i="1"/>
  <c r="BF1168" i="1"/>
  <c r="BG1168" i="1"/>
  <c r="E1169" i="1"/>
  <c r="G1169" i="1"/>
  <c r="J1169" i="1"/>
  <c r="K1169" i="1"/>
  <c r="BE1169" i="1"/>
  <c r="BF1169" i="1"/>
  <c r="BG1169" i="1"/>
  <c r="E1170" i="1"/>
  <c r="G1170" i="1"/>
  <c r="J1170" i="1"/>
  <c r="K1170" i="1"/>
  <c r="BE1170" i="1"/>
  <c r="BF1170" i="1"/>
  <c r="BG1170" i="1"/>
  <c r="E1171" i="1"/>
  <c r="G1171" i="1"/>
  <c r="J1171" i="1"/>
  <c r="K1171" i="1"/>
  <c r="BE1171" i="1"/>
  <c r="BF1171" i="1"/>
  <c r="BG1171" i="1"/>
  <c r="E1172" i="1"/>
  <c r="G1172" i="1"/>
  <c r="J1172" i="1"/>
  <c r="K1172" i="1"/>
  <c r="BE1172" i="1"/>
  <c r="BF1172" i="1"/>
  <c r="BG1172" i="1"/>
  <c r="E1173" i="1"/>
  <c r="G1173" i="1"/>
  <c r="J1173" i="1"/>
  <c r="K1173" i="1"/>
  <c r="BE1173" i="1"/>
  <c r="BF1173" i="1"/>
  <c r="BG1173" i="1"/>
  <c r="E1174" i="1"/>
  <c r="G1174" i="1"/>
  <c r="J1174" i="1"/>
  <c r="K1174" i="1"/>
  <c r="BE1174" i="1"/>
  <c r="BF1174" i="1"/>
  <c r="BG1174" i="1"/>
  <c r="E1175" i="1"/>
  <c r="G1175" i="1"/>
  <c r="J1175" i="1"/>
  <c r="K1175" i="1"/>
  <c r="BE1175" i="1"/>
  <c r="BF1175" i="1"/>
  <c r="BG1175" i="1"/>
  <c r="E1176" i="1"/>
  <c r="G1176" i="1"/>
  <c r="J1176" i="1"/>
  <c r="K1176" i="1"/>
  <c r="BE1176" i="1"/>
  <c r="BF1176" i="1"/>
  <c r="BG1176" i="1"/>
  <c r="E1177" i="1"/>
  <c r="G1177" i="1"/>
  <c r="J1177" i="1"/>
  <c r="K1177" i="1"/>
  <c r="BE1177" i="1"/>
  <c r="BF1177" i="1"/>
  <c r="BG1177" i="1"/>
  <c r="E1178" i="1"/>
  <c r="G1178" i="1"/>
  <c r="J1178" i="1"/>
  <c r="K1178" i="1"/>
  <c r="BE1178" i="1"/>
  <c r="BF1178" i="1"/>
  <c r="BG1178" i="1"/>
  <c r="E1179" i="1"/>
  <c r="G1179" i="1"/>
  <c r="J1179" i="1"/>
  <c r="K1179" i="1"/>
  <c r="BE1179" i="1"/>
  <c r="BF1179" i="1"/>
  <c r="BG1179" i="1"/>
  <c r="E1180" i="1"/>
  <c r="G1180" i="1"/>
  <c r="J1180" i="1"/>
  <c r="K1180" i="1"/>
  <c r="BE1180" i="1"/>
  <c r="BF1180" i="1"/>
  <c r="BG1180" i="1"/>
  <c r="E1181" i="1"/>
  <c r="G1181" i="1"/>
  <c r="J1181" i="1"/>
  <c r="K1181" i="1"/>
  <c r="BE1181" i="1"/>
  <c r="BF1181" i="1"/>
  <c r="BG1181" i="1"/>
  <c r="E1182" i="1"/>
  <c r="G1182" i="1"/>
  <c r="J1182" i="1"/>
  <c r="K1182" i="1"/>
  <c r="BE1182" i="1"/>
  <c r="BF1182" i="1"/>
  <c r="BG1182" i="1"/>
  <c r="E1183" i="1"/>
  <c r="G1183" i="1"/>
  <c r="J1183" i="1"/>
  <c r="K1183" i="1"/>
  <c r="BE1183" i="1"/>
  <c r="BF1183" i="1"/>
  <c r="BG1183" i="1"/>
  <c r="E1184" i="1"/>
  <c r="G1184" i="1"/>
  <c r="J1184" i="1"/>
  <c r="K1184" i="1"/>
  <c r="BE1184" i="1"/>
  <c r="BF1184" i="1"/>
  <c r="BG1184" i="1"/>
  <c r="E1185" i="1"/>
  <c r="G1185" i="1"/>
  <c r="J1185" i="1"/>
  <c r="K1185" i="1"/>
  <c r="BE1185" i="1"/>
  <c r="BF1185" i="1"/>
  <c r="BG1185" i="1"/>
  <c r="E1186" i="1"/>
  <c r="G1186" i="1"/>
  <c r="J1186" i="1"/>
  <c r="K1186" i="1"/>
  <c r="BE1186" i="1"/>
  <c r="BF1186" i="1"/>
  <c r="BG1186" i="1"/>
  <c r="E1187" i="1"/>
  <c r="G1187" i="1"/>
  <c r="J1187" i="1"/>
  <c r="K1187" i="1"/>
  <c r="BE1187" i="1"/>
  <c r="BF1187" i="1"/>
  <c r="BG1187" i="1"/>
  <c r="E1188" i="1"/>
  <c r="G1188" i="1"/>
  <c r="J1188" i="1"/>
  <c r="K1188" i="1"/>
  <c r="BE1188" i="1"/>
  <c r="BF1188" i="1"/>
  <c r="BG1188" i="1"/>
  <c r="E1189" i="1"/>
  <c r="G1189" i="1"/>
  <c r="J1189" i="1"/>
  <c r="K1189" i="1"/>
  <c r="BE1189" i="1"/>
  <c r="BF1189" i="1"/>
  <c r="BG1189" i="1"/>
  <c r="E1190" i="1"/>
  <c r="G1190" i="1"/>
  <c r="J1190" i="1"/>
  <c r="K1190" i="1"/>
  <c r="BE1190" i="1"/>
  <c r="BF1190" i="1"/>
  <c r="BG1190" i="1"/>
  <c r="E1191" i="1"/>
  <c r="G1191" i="1"/>
  <c r="J1191" i="1"/>
  <c r="K1191" i="1"/>
  <c r="BE1191" i="1"/>
  <c r="BF1191" i="1"/>
  <c r="BG1191" i="1"/>
  <c r="E1192" i="1"/>
  <c r="G1192" i="1"/>
  <c r="J1192" i="1"/>
  <c r="K1192" i="1"/>
  <c r="BE1192" i="1"/>
  <c r="BF1192" i="1"/>
  <c r="BG1192" i="1"/>
  <c r="E1193" i="1"/>
  <c r="G1193" i="1"/>
  <c r="J1193" i="1"/>
  <c r="K1193" i="1"/>
  <c r="BE1193" i="1"/>
  <c r="BF1193" i="1"/>
  <c r="BG1193" i="1"/>
  <c r="E1194" i="1"/>
  <c r="G1194" i="1"/>
  <c r="J1194" i="1"/>
  <c r="K1194" i="1"/>
  <c r="BE1194" i="1"/>
  <c r="BF1194" i="1"/>
  <c r="BG1194" i="1"/>
  <c r="E1195" i="1"/>
  <c r="G1195" i="1"/>
  <c r="J1195" i="1"/>
  <c r="K1195" i="1"/>
  <c r="BE1195" i="1"/>
  <c r="BF1195" i="1"/>
  <c r="BG1195" i="1"/>
  <c r="E1196" i="1"/>
  <c r="G1196" i="1"/>
  <c r="J1196" i="1"/>
  <c r="K1196" i="1"/>
  <c r="BE1196" i="1"/>
  <c r="BF1196" i="1"/>
  <c r="BG1196" i="1"/>
  <c r="E1197" i="1"/>
  <c r="G1197" i="1"/>
  <c r="J1197" i="1"/>
  <c r="K1197" i="1"/>
  <c r="BE1197" i="1"/>
  <c r="BF1197" i="1"/>
  <c r="BG1197" i="1"/>
  <c r="E1198" i="1"/>
  <c r="G1198" i="1"/>
  <c r="J1198" i="1"/>
  <c r="K1198" i="1"/>
  <c r="BE1198" i="1"/>
  <c r="BF1198" i="1"/>
  <c r="BG1198" i="1"/>
  <c r="E1199" i="1"/>
  <c r="G1199" i="1"/>
  <c r="J1199" i="1"/>
  <c r="K1199" i="1"/>
  <c r="BE1199" i="1"/>
  <c r="BF1199" i="1"/>
  <c r="BG1199" i="1"/>
  <c r="E1200" i="1"/>
  <c r="G1200" i="1"/>
  <c r="J1200" i="1"/>
  <c r="K1200" i="1"/>
  <c r="BE1200" i="1"/>
  <c r="BF1200" i="1"/>
  <c r="BG1200" i="1"/>
  <c r="E1201" i="1"/>
  <c r="G1201" i="1"/>
  <c r="J1201" i="1"/>
  <c r="K1201" i="1"/>
  <c r="BE1201" i="1"/>
  <c r="BF1201" i="1"/>
  <c r="BG1201" i="1"/>
  <c r="E1202" i="1"/>
  <c r="G1202" i="1"/>
  <c r="J1202" i="1"/>
  <c r="K1202" i="1"/>
  <c r="BE1202" i="1"/>
  <c r="BF1202" i="1"/>
  <c r="BG1202" i="1"/>
  <c r="E1203" i="1"/>
  <c r="G1203" i="1"/>
  <c r="J1203" i="1"/>
  <c r="K1203" i="1"/>
  <c r="BE1203" i="1"/>
  <c r="BF1203" i="1"/>
  <c r="BG1203" i="1"/>
  <c r="E1204" i="1"/>
  <c r="G1204" i="1"/>
  <c r="J1204" i="1"/>
  <c r="K1204" i="1"/>
  <c r="BE1204" i="1"/>
  <c r="BF1204" i="1"/>
  <c r="BG1204" i="1"/>
  <c r="E1205" i="1"/>
  <c r="G1205" i="1"/>
  <c r="J1205" i="1"/>
  <c r="K1205" i="1"/>
  <c r="BE1205" i="1"/>
  <c r="BF1205" i="1"/>
  <c r="BG1205" i="1"/>
  <c r="E6085" i="1"/>
  <c r="G6085" i="1"/>
  <c r="J6085" i="1"/>
  <c r="K6085" i="1"/>
  <c r="BE6085" i="1"/>
  <c r="BF6085" i="1"/>
  <c r="BG6085" i="1"/>
  <c r="E662" i="1"/>
  <c r="G662" i="1"/>
  <c r="J662" i="1"/>
  <c r="K662" i="1"/>
  <c r="BE662" i="1"/>
  <c r="BF662" i="1"/>
  <c r="BG662" i="1"/>
  <c r="E74" i="1"/>
  <c r="G74" i="1"/>
  <c r="J74" i="1"/>
  <c r="K74" i="1"/>
  <c r="BE74" i="1"/>
  <c r="BF74" i="1"/>
  <c r="BG74" i="1"/>
  <c r="E6657" i="1"/>
  <c r="G6657" i="1"/>
  <c r="J6657" i="1"/>
  <c r="K6657" i="1"/>
  <c r="BE6657" i="1"/>
  <c r="BF6657" i="1"/>
  <c r="BG6657" i="1"/>
  <c r="E6658" i="1"/>
  <c r="G6658" i="1"/>
  <c r="J6658" i="1"/>
  <c r="K6658" i="1"/>
  <c r="BE6658" i="1"/>
  <c r="BF6658" i="1"/>
  <c r="BG6658" i="1"/>
  <c r="E6659" i="1"/>
  <c r="G6659" i="1"/>
  <c r="J6659" i="1"/>
  <c r="K6659" i="1"/>
  <c r="BE6659" i="1"/>
  <c r="BF6659" i="1"/>
  <c r="BG6659" i="1"/>
  <c r="E6660" i="1"/>
  <c r="G6660" i="1"/>
  <c r="J6660" i="1"/>
  <c r="K6660" i="1"/>
  <c r="BE6660" i="1"/>
  <c r="BF6660" i="1"/>
  <c r="BG6660" i="1"/>
  <c r="E6661" i="1"/>
  <c r="G6661" i="1"/>
  <c r="J6661" i="1"/>
  <c r="K6661" i="1"/>
  <c r="BE6661" i="1"/>
  <c r="BF6661" i="1"/>
  <c r="BG6661" i="1"/>
  <c r="E6662" i="1"/>
  <c r="G6662" i="1"/>
  <c r="J6662" i="1"/>
  <c r="K6662" i="1"/>
  <c r="BE6662" i="1"/>
  <c r="BF6662" i="1"/>
  <c r="BG6662" i="1"/>
  <c r="E6663" i="1"/>
  <c r="G6663" i="1"/>
  <c r="J6663" i="1"/>
  <c r="K6663" i="1"/>
  <c r="BE6663" i="1"/>
  <c r="BF6663" i="1"/>
  <c r="BG6663" i="1"/>
  <c r="E6664" i="1"/>
  <c r="G6664" i="1"/>
  <c r="J6664" i="1"/>
  <c r="K6664" i="1"/>
  <c r="BE6664" i="1"/>
  <c r="BF6664" i="1"/>
  <c r="BG6664" i="1"/>
  <c r="E6665" i="1"/>
  <c r="G6665" i="1"/>
  <c r="J6665" i="1"/>
  <c r="K6665" i="1"/>
  <c r="BE6665" i="1"/>
  <c r="BF6665" i="1"/>
  <c r="BG6665" i="1"/>
  <c r="E6666" i="1"/>
  <c r="G6666" i="1"/>
  <c r="J6666" i="1"/>
  <c r="K6666" i="1"/>
  <c r="BE6666" i="1"/>
  <c r="BF6666" i="1"/>
  <c r="BG6666" i="1"/>
  <c r="E6667" i="1"/>
  <c r="G6667" i="1"/>
  <c r="J6667" i="1"/>
  <c r="K6667" i="1"/>
  <c r="BE6667" i="1"/>
  <c r="BF6667" i="1"/>
  <c r="BG6667" i="1"/>
  <c r="E6668" i="1"/>
  <c r="G6668" i="1"/>
  <c r="J6668" i="1"/>
  <c r="K6668" i="1"/>
  <c r="BE6668" i="1"/>
  <c r="BF6668" i="1"/>
  <c r="BG6668" i="1"/>
  <c r="E6669" i="1"/>
  <c r="G6669" i="1"/>
  <c r="J6669" i="1"/>
  <c r="K6669" i="1"/>
  <c r="BE6669" i="1"/>
  <c r="BF6669" i="1"/>
  <c r="BG6669" i="1"/>
  <c r="E6670" i="1"/>
  <c r="G6670" i="1"/>
  <c r="J6670" i="1"/>
  <c r="K6670" i="1"/>
  <c r="BE6670" i="1"/>
  <c r="BF6670" i="1"/>
  <c r="BG6670" i="1"/>
  <c r="E6671" i="1"/>
  <c r="G6671" i="1"/>
  <c r="J6671" i="1"/>
  <c r="K6671" i="1"/>
  <c r="BE6671" i="1"/>
  <c r="BF6671" i="1"/>
  <c r="BG6671" i="1"/>
  <c r="E6672" i="1"/>
  <c r="G6672" i="1"/>
  <c r="J6672" i="1"/>
  <c r="K6672" i="1"/>
  <c r="BE6672" i="1"/>
  <c r="BF6672" i="1"/>
  <c r="BG6672" i="1"/>
  <c r="E6673" i="1"/>
  <c r="G6673" i="1"/>
  <c r="J6673" i="1"/>
  <c r="K6673" i="1"/>
  <c r="BE6673" i="1"/>
  <c r="BF6673" i="1"/>
  <c r="BG6673" i="1"/>
  <c r="E6674" i="1"/>
  <c r="G6674" i="1"/>
  <c r="J6674" i="1"/>
  <c r="K6674" i="1"/>
  <c r="BE6674" i="1"/>
  <c r="BF6674" i="1"/>
  <c r="BG6674" i="1"/>
  <c r="E6675" i="1"/>
  <c r="G6675" i="1"/>
  <c r="J6675" i="1"/>
  <c r="K6675" i="1"/>
  <c r="BE6675" i="1"/>
  <c r="BF6675" i="1"/>
  <c r="BG6675" i="1"/>
  <c r="E6676" i="1"/>
  <c r="G6676" i="1"/>
  <c r="J6676" i="1"/>
  <c r="K6676" i="1"/>
  <c r="BE6676" i="1"/>
  <c r="BF6676" i="1"/>
  <c r="BG6676" i="1"/>
  <c r="E6677" i="1"/>
  <c r="G6677" i="1"/>
  <c r="J6677" i="1"/>
  <c r="K6677" i="1"/>
  <c r="BE6677" i="1"/>
  <c r="BF6677" i="1"/>
  <c r="BG6677" i="1"/>
  <c r="E6678" i="1"/>
  <c r="G6678" i="1"/>
  <c r="J6678" i="1"/>
  <c r="K6678" i="1"/>
  <c r="BE6678" i="1"/>
  <c r="BF6678" i="1"/>
  <c r="BG6678" i="1"/>
  <c r="E85" i="1"/>
  <c r="G85" i="1"/>
  <c r="J85" i="1"/>
  <c r="K85" i="1"/>
  <c r="BE85" i="1"/>
  <c r="BF85" i="1"/>
  <c r="BG85" i="1"/>
  <c r="E86" i="1"/>
  <c r="G86" i="1"/>
  <c r="J86" i="1"/>
  <c r="K86" i="1"/>
  <c r="BE86" i="1"/>
  <c r="BF86" i="1"/>
  <c r="BG86" i="1"/>
  <c r="E1037" i="1"/>
  <c r="G1037" i="1"/>
  <c r="J1037" i="1"/>
  <c r="K1037" i="1"/>
  <c r="BE1037" i="1"/>
  <c r="BF1037" i="1"/>
  <c r="BG1037" i="1"/>
  <c r="E1038" i="1"/>
  <c r="G1038" i="1"/>
  <c r="J1038" i="1"/>
  <c r="K1038" i="1"/>
  <c r="BE1038" i="1"/>
  <c r="BF1038" i="1"/>
  <c r="BG1038" i="1"/>
  <c r="E1039" i="1"/>
  <c r="G1039" i="1"/>
  <c r="J1039" i="1"/>
  <c r="K1039" i="1"/>
  <c r="BE1039" i="1"/>
  <c r="BF1039" i="1"/>
  <c r="BG1039" i="1"/>
  <c r="E1040" i="1"/>
  <c r="G1040" i="1"/>
  <c r="J1040" i="1"/>
  <c r="K1040" i="1"/>
  <c r="BE1040" i="1"/>
  <c r="BF1040" i="1"/>
  <c r="BG1040" i="1"/>
  <c r="E1041" i="1"/>
  <c r="G1041" i="1"/>
  <c r="J1041" i="1"/>
  <c r="K1041" i="1"/>
  <c r="BE1041" i="1"/>
  <c r="BF1041" i="1"/>
  <c r="BG1041" i="1"/>
  <c r="E1042" i="1"/>
  <c r="G1042" i="1"/>
  <c r="J1042" i="1"/>
  <c r="K1042" i="1"/>
  <c r="BE1042" i="1"/>
  <c r="BF1042" i="1"/>
  <c r="BG1042" i="1"/>
  <c r="E1043" i="1"/>
  <c r="G1043" i="1"/>
  <c r="J1043" i="1"/>
  <c r="K1043" i="1"/>
  <c r="BE1043" i="1"/>
  <c r="BF1043" i="1"/>
  <c r="BG1043" i="1"/>
  <c r="E1044" i="1"/>
  <c r="G1044" i="1"/>
  <c r="J1044" i="1"/>
  <c r="K1044" i="1"/>
  <c r="BE1044" i="1"/>
  <c r="BF1044" i="1"/>
  <c r="BG1044" i="1"/>
  <c r="E1045" i="1"/>
  <c r="G1045" i="1"/>
  <c r="J1045" i="1"/>
  <c r="K1045" i="1"/>
  <c r="BE1045" i="1"/>
  <c r="BF1045" i="1"/>
  <c r="BG1045" i="1"/>
  <c r="E1046" i="1"/>
  <c r="G1046" i="1"/>
  <c r="J1046" i="1"/>
  <c r="K1046" i="1"/>
  <c r="BE1046" i="1"/>
  <c r="BF1046" i="1"/>
  <c r="BG1046" i="1"/>
  <c r="E1047" i="1"/>
  <c r="G1047" i="1"/>
  <c r="J1047" i="1"/>
  <c r="K1047" i="1"/>
  <c r="BE1047" i="1"/>
  <c r="BF1047" i="1"/>
  <c r="BG1047" i="1"/>
  <c r="E1048" i="1"/>
  <c r="G1048" i="1"/>
  <c r="J1048" i="1"/>
  <c r="K1048" i="1"/>
  <c r="BE1048" i="1"/>
  <c r="BF1048" i="1"/>
  <c r="BG1048" i="1"/>
  <c r="E1049" i="1"/>
  <c r="G1049" i="1"/>
  <c r="J1049" i="1"/>
  <c r="K1049" i="1"/>
  <c r="BE1049" i="1"/>
  <c r="BF1049" i="1"/>
  <c r="BG1049" i="1"/>
  <c r="E1050" i="1"/>
  <c r="G1050" i="1"/>
  <c r="J1050" i="1"/>
  <c r="K1050" i="1"/>
  <c r="BE1050" i="1"/>
  <c r="BF1050" i="1"/>
  <c r="BG1050" i="1"/>
  <c r="E1051" i="1"/>
  <c r="G1051" i="1"/>
  <c r="J1051" i="1"/>
  <c r="K1051" i="1"/>
  <c r="BE1051" i="1"/>
  <c r="BF1051" i="1"/>
  <c r="BG1051" i="1"/>
  <c r="E3461" i="1"/>
  <c r="G3461" i="1"/>
  <c r="J3461" i="1"/>
  <c r="K3461" i="1"/>
  <c r="BE3461" i="1"/>
  <c r="BF3461" i="1"/>
  <c r="BG3461" i="1"/>
  <c r="E5003" i="1"/>
  <c r="G5003" i="1"/>
  <c r="J5003" i="1"/>
  <c r="K5003" i="1"/>
  <c r="BE5003" i="1"/>
  <c r="BF5003" i="1"/>
  <c r="BG5003" i="1"/>
  <c r="E121" i="1"/>
  <c r="G121" i="1"/>
  <c r="J121" i="1"/>
  <c r="K121" i="1"/>
  <c r="BE121" i="1"/>
  <c r="BF121" i="1"/>
  <c r="BG121" i="1"/>
  <c r="E5004" i="1"/>
  <c r="G5004" i="1"/>
  <c r="J5004" i="1"/>
  <c r="K5004" i="1"/>
  <c r="BE5004" i="1"/>
  <c r="BF5004" i="1"/>
  <c r="BG5004" i="1"/>
  <c r="E5005" i="1"/>
  <c r="G5005" i="1"/>
  <c r="J5005" i="1"/>
  <c r="K5005" i="1"/>
  <c r="BE5005" i="1"/>
  <c r="BF5005" i="1"/>
  <c r="BG5005" i="1"/>
  <c r="E5006" i="1"/>
  <c r="G5006" i="1"/>
  <c r="J5006" i="1"/>
  <c r="K5006" i="1"/>
  <c r="BE5006" i="1"/>
  <c r="BF5006" i="1"/>
  <c r="BG5006" i="1"/>
  <c r="E5007" i="1"/>
  <c r="G5007" i="1"/>
  <c r="J5007" i="1"/>
  <c r="K5007" i="1"/>
  <c r="BE5007" i="1"/>
  <c r="BF5007" i="1"/>
  <c r="BG5007" i="1"/>
  <c r="E5008" i="1"/>
  <c r="G5008" i="1"/>
  <c r="J5008" i="1"/>
  <c r="K5008" i="1"/>
  <c r="BE5008" i="1"/>
  <c r="BF5008" i="1"/>
  <c r="BG5008" i="1"/>
  <c r="E5009" i="1"/>
  <c r="G5009" i="1"/>
  <c r="J5009" i="1"/>
  <c r="K5009" i="1"/>
  <c r="BE5009" i="1"/>
  <c r="BF5009" i="1"/>
  <c r="BG5009" i="1"/>
  <c r="E496" i="1"/>
  <c r="G496" i="1"/>
  <c r="J496" i="1"/>
  <c r="K496" i="1"/>
  <c r="BE496" i="1"/>
  <c r="BF496" i="1"/>
  <c r="BG496" i="1"/>
  <c r="E497" i="1"/>
  <c r="G497" i="1"/>
  <c r="J497" i="1"/>
  <c r="K497" i="1"/>
  <c r="BE497" i="1"/>
  <c r="BF497" i="1"/>
  <c r="BG497" i="1"/>
  <c r="E5010" i="1"/>
  <c r="G5010" i="1"/>
  <c r="J5010" i="1"/>
  <c r="K5010" i="1"/>
  <c r="BE5010" i="1"/>
  <c r="BF5010" i="1"/>
  <c r="BG5010" i="1"/>
  <c r="E5011" i="1"/>
  <c r="G5011" i="1"/>
  <c r="J5011" i="1"/>
  <c r="K5011" i="1"/>
  <c r="BE5011" i="1"/>
  <c r="BF5011" i="1"/>
  <c r="BG5011" i="1"/>
  <c r="E5012" i="1"/>
  <c r="G5012" i="1"/>
  <c r="J5012" i="1"/>
  <c r="K5012" i="1"/>
  <c r="BE5012" i="1"/>
  <c r="BF5012" i="1"/>
  <c r="BG5012" i="1"/>
  <c r="E5013" i="1"/>
  <c r="G5013" i="1"/>
  <c r="J5013" i="1"/>
  <c r="K5013" i="1"/>
  <c r="BE5013" i="1"/>
  <c r="BF5013" i="1"/>
  <c r="BG5013" i="1"/>
  <c r="E6557" i="1"/>
  <c r="G6557" i="1"/>
  <c r="J6557" i="1"/>
  <c r="K6557" i="1"/>
  <c r="BE6557" i="1"/>
  <c r="BF6557" i="1"/>
  <c r="BG6557" i="1"/>
  <c r="E5014" i="1"/>
  <c r="G5014" i="1"/>
  <c r="J5014" i="1"/>
  <c r="K5014" i="1"/>
  <c r="BE5014" i="1"/>
  <c r="BF5014" i="1"/>
  <c r="BG5014" i="1"/>
  <c r="E5015" i="1"/>
  <c r="G5015" i="1"/>
  <c r="J5015" i="1"/>
  <c r="K5015" i="1"/>
  <c r="BE5015" i="1"/>
  <c r="BF5015" i="1"/>
  <c r="BG5015" i="1"/>
  <c r="E5016" i="1"/>
  <c r="G5016" i="1"/>
  <c r="J5016" i="1"/>
  <c r="K5016" i="1"/>
  <c r="BE5016" i="1"/>
  <c r="BF5016" i="1"/>
  <c r="BG5016" i="1"/>
  <c r="E5017" i="1"/>
  <c r="G5017" i="1"/>
  <c r="J5017" i="1"/>
  <c r="K5017" i="1"/>
  <c r="BE5017" i="1"/>
  <c r="BF5017" i="1"/>
  <c r="BG5017" i="1"/>
  <c r="E5018" i="1"/>
  <c r="G5018" i="1"/>
  <c r="J5018" i="1"/>
  <c r="K5018" i="1"/>
  <c r="BE5018" i="1"/>
  <c r="BF5018" i="1"/>
  <c r="BG5018" i="1"/>
  <c r="E5019" i="1"/>
  <c r="G5019" i="1"/>
  <c r="J5019" i="1"/>
  <c r="K5019" i="1"/>
  <c r="BE5019" i="1"/>
  <c r="BF5019" i="1"/>
  <c r="BG5019" i="1"/>
  <c r="E5020" i="1"/>
  <c r="G5020" i="1"/>
  <c r="J5020" i="1"/>
  <c r="K5020" i="1"/>
  <c r="BE5020" i="1"/>
  <c r="BF5020" i="1"/>
  <c r="BG5020" i="1"/>
  <c r="E5021" i="1"/>
  <c r="G5021" i="1"/>
  <c r="J5021" i="1"/>
  <c r="K5021" i="1"/>
  <c r="BE5021" i="1"/>
  <c r="BF5021" i="1"/>
  <c r="BG5021" i="1"/>
  <c r="E854" i="1"/>
  <c r="G854" i="1"/>
  <c r="J854" i="1"/>
  <c r="K854" i="1"/>
  <c r="BE854" i="1"/>
  <c r="BF854" i="1"/>
  <c r="BG854" i="1"/>
  <c r="E5022" i="1"/>
  <c r="G5022" i="1"/>
  <c r="J5022" i="1"/>
  <c r="K5022" i="1"/>
  <c r="BE5022" i="1"/>
  <c r="BF5022" i="1"/>
  <c r="BG5022" i="1"/>
  <c r="E87" i="1"/>
  <c r="G87" i="1"/>
  <c r="J87" i="1"/>
  <c r="K87" i="1"/>
  <c r="BE87" i="1"/>
  <c r="BF87" i="1"/>
  <c r="BG87" i="1"/>
  <c r="E3453" i="1"/>
  <c r="G3453" i="1"/>
  <c r="J3453" i="1"/>
  <c r="K3453" i="1"/>
  <c r="BE3453" i="1"/>
  <c r="BF3453" i="1"/>
  <c r="BG3453" i="1"/>
  <c r="E3454" i="1"/>
  <c r="G3454" i="1"/>
  <c r="J3454" i="1"/>
  <c r="K3454" i="1"/>
  <c r="BE3454" i="1"/>
  <c r="BF3454" i="1"/>
  <c r="BG3454" i="1"/>
  <c r="E3455" i="1"/>
  <c r="G3455" i="1"/>
  <c r="J3455" i="1"/>
  <c r="K3455" i="1"/>
  <c r="BE3455" i="1"/>
  <c r="BF3455" i="1"/>
  <c r="BG3455" i="1"/>
  <c r="E3456" i="1"/>
  <c r="G3456" i="1"/>
  <c r="J3456" i="1"/>
  <c r="K3456" i="1"/>
  <c r="BE3456" i="1"/>
  <c r="BF3456" i="1"/>
  <c r="BG3456" i="1"/>
  <c r="E3457" i="1"/>
  <c r="G3457" i="1"/>
  <c r="J3457" i="1"/>
  <c r="K3457" i="1"/>
  <c r="BE3457" i="1"/>
  <c r="BF3457" i="1"/>
  <c r="BG3457" i="1"/>
  <c r="E3458" i="1"/>
  <c r="G3458" i="1"/>
  <c r="J3458" i="1"/>
  <c r="K3458" i="1"/>
  <c r="BE3458" i="1"/>
  <c r="BF3458" i="1"/>
  <c r="BG3458" i="1"/>
  <c r="E3459" i="1"/>
  <c r="G3459" i="1"/>
  <c r="J3459" i="1"/>
  <c r="K3459" i="1"/>
  <c r="BE3459" i="1"/>
  <c r="BF3459" i="1"/>
  <c r="BG3459" i="1"/>
  <c r="E550" i="1"/>
  <c r="G550" i="1"/>
  <c r="J550" i="1"/>
  <c r="K550" i="1"/>
  <c r="BE550" i="1"/>
  <c r="BF550" i="1"/>
  <c r="BG550" i="1"/>
  <c r="E551" i="1"/>
  <c r="G551" i="1"/>
  <c r="J551" i="1"/>
  <c r="K551" i="1"/>
  <c r="BE551" i="1"/>
  <c r="BF551" i="1"/>
  <c r="BG551" i="1"/>
  <c r="E552" i="1"/>
  <c r="G552" i="1"/>
  <c r="J552" i="1"/>
  <c r="K552" i="1"/>
  <c r="BE552" i="1"/>
  <c r="BF552" i="1"/>
  <c r="BG552" i="1"/>
  <c r="E553" i="1"/>
  <c r="G553" i="1"/>
  <c r="J553" i="1"/>
  <c r="K553" i="1"/>
  <c r="BE553" i="1"/>
  <c r="BF553" i="1"/>
  <c r="BG553" i="1"/>
  <c r="E3394" i="1"/>
  <c r="G3394" i="1"/>
  <c r="J3394" i="1"/>
  <c r="K3394" i="1"/>
  <c r="BE3394" i="1"/>
  <c r="BF3394" i="1"/>
  <c r="BG3394" i="1"/>
  <c r="E3395" i="1"/>
  <c r="G3395" i="1"/>
  <c r="J3395" i="1"/>
  <c r="K3395" i="1"/>
  <c r="BE3395" i="1"/>
  <c r="BF3395" i="1"/>
  <c r="BG3395" i="1"/>
  <c r="E3396" i="1"/>
  <c r="G3396" i="1"/>
  <c r="J3396" i="1"/>
  <c r="K3396" i="1"/>
  <c r="BE3396" i="1"/>
  <c r="BF3396" i="1"/>
  <c r="BG3396" i="1"/>
  <c r="E3397" i="1"/>
  <c r="G3397" i="1"/>
  <c r="J3397" i="1"/>
  <c r="K3397" i="1"/>
  <c r="BE3397" i="1"/>
  <c r="BF3397" i="1"/>
  <c r="BG3397" i="1"/>
  <c r="E698" i="1"/>
  <c r="G698" i="1"/>
  <c r="J698" i="1"/>
  <c r="K698" i="1"/>
  <c r="BE698" i="1"/>
  <c r="BF698" i="1"/>
  <c r="BG698" i="1"/>
  <c r="E4713" i="1"/>
  <c r="G4713" i="1"/>
  <c r="J4713" i="1"/>
  <c r="K4713" i="1"/>
  <c r="BE4713" i="1"/>
  <c r="BF4713" i="1"/>
  <c r="BG4713" i="1"/>
  <c r="E4714" i="1"/>
  <c r="G4714" i="1"/>
  <c r="J4714" i="1"/>
  <c r="K4714" i="1"/>
  <c r="BE4714" i="1"/>
  <c r="BF4714" i="1"/>
  <c r="BG4714" i="1"/>
  <c r="E4715" i="1"/>
  <c r="G4715" i="1"/>
  <c r="J4715" i="1"/>
  <c r="K4715" i="1"/>
  <c r="BE4715" i="1"/>
  <c r="BF4715" i="1"/>
  <c r="BG4715" i="1"/>
  <c r="E4716" i="1"/>
  <c r="G4716" i="1"/>
  <c r="J4716" i="1"/>
  <c r="K4716" i="1"/>
  <c r="BE4716" i="1"/>
  <c r="BF4716" i="1"/>
  <c r="BG4716" i="1"/>
  <c r="E4717" i="1"/>
  <c r="G4717" i="1"/>
  <c r="J4717" i="1"/>
  <c r="K4717" i="1"/>
  <c r="BE4717" i="1"/>
  <c r="BF4717" i="1"/>
  <c r="BG4717" i="1"/>
  <c r="E4718" i="1"/>
  <c r="G4718" i="1"/>
  <c r="J4718" i="1"/>
  <c r="K4718" i="1"/>
  <c r="BE4718" i="1"/>
  <c r="BF4718" i="1"/>
  <c r="BG4718" i="1"/>
  <c r="E4719" i="1"/>
  <c r="G4719" i="1"/>
  <c r="J4719" i="1"/>
  <c r="K4719" i="1"/>
  <c r="BE4719" i="1"/>
  <c r="BF4719" i="1"/>
  <c r="BG4719" i="1"/>
  <c r="E4720" i="1"/>
  <c r="G4720" i="1"/>
  <c r="J4720" i="1"/>
  <c r="K4720" i="1"/>
  <c r="BE4720" i="1"/>
  <c r="BF4720" i="1"/>
  <c r="BG4720" i="1"/>
  <c r="E4721" i="1"/>
  <c r="G4721" i="1"/>
  <c r="J4721" i="1"/>
  <c r="K4721" i="1"/>
  <c r="BE4721" i="1"/>
  <c r="BF4721" i="1"/>
  <c r="BG4721" i="1"/>
  <c r="E4722" i="1"/>
  <c r="G4722" i="1"/>
  <c r="J4722" i="1"/>
  <c r="K4722" i="1"/>
  <c r="BE4722" i="1"/>
  <c r="BF4722" i="1"/>
  <c r="BG4722" i="1"/>
  <c r="E4723" i="1"/>
  <c r="G4723" i="1"/>
  <c r="J4723" i="1"/>
  <c r="K4723" i="1"/>
  <c r="BE4723" i="1"/>
  <c r="BF4723" i="1"/>
  <c r="BG4723" i="1"/>
  <c r="E4724" i="1"/>
  <c r="G4724" i="1"/>
  <c r="J4724" i="1"/>
  <c r="K4724" i="1"/>
  <c r="BE4724" i="1"/>
  <c r="BF4724" i="1"/>
  <c r="BG4724" i="1"/>
  <c r="E4725" i="1"/>
  <c r="G4725" i="1"/>
  <c r="J4725" i="1"/>
  <c r="K4725" i="1"/>
  <c r="BE4725" i="1"/>
  <c r="BF4725" i="1"/>
  <c r="BG4725" i="1"/>
  <c r="E4726" i="1"/>
  <c r="G4726" i="1"/>
  <c r="J4726" i="1"/>
  <c r="K4726" i="1"/>
  <c r="BE4726" i="1"/>
  <c r="BF4726" i="1"/>
  <c r="BG4726" i="1"/>
  <c r="E4727" i="1"/>
  <c r="G4727" i="1"/>
  <c r="J4727" i="1"/>
  <c r="K4727" i="1"/>
  <c r="BE4727" i="1"/>
  <c r="BF4727" i="1"/>
  <c r="BG4727" i="1"/>
  <c r="E4728" i="1"/>
  <c r="G4728" i="1"/>
  <c r="J4728" i="1"/>
  <c r="K4728" i="1"/>
  <c r="BE4728" i="1"/>
  <c r="BF4728" i="1"/>
  <c r="BG4728" i="1"/>
  <c r="E4729" i="1"/>
  <c r="G4729" i="1"/>
  <c r="J4729" i="1"/>
  <c r="K4729" i="1"/>
  <c r="BE4729" i="1"/>
  <c r="BF4729" i="1"/>
  <c r="BG4729" i="1"/>
  <c r="E4730" i="1"/>
  <c r="G4730" i="1"/>
  <c r="J4730" i="1"/>
  <c r="K4730" i="1"/>
  <c r="BE4730" i="1"/>
  <c r="BF4730" i="1"/>
  <c r="BG4730" i="1"/>
  <c r="E4731" i="1"/>
  <c r="G4731" i="1"/>
  <c r="J4731" i="1"/>
  <c r="K4731" i="1"/>
  <c r="BE4731" i="1"/>
  <c r="BF4731" i="1"/>
  <c r="BG4731" i="1"/>
  <c r="E4732" i="1"/>
  <c r="G4732" i="1"/>
  <c r="J4732" i="1"/>
  <c r="K4732" i="1"/>
  <c r="BE4732" i="1"/>
  <c r="BF4732" i="1"/>
  <c r="BG4732" i="1"/>
  <c r="E4733" i="1"/>
  <c r="G4733" i="1"/>
  <c r="J4733" i="1"/>
  <c r="K4733" i="1"/>
  <c r="BE4733" i="1"/>
  <c r="BF4733" i="1"/>
  <c r="BG4733" i="1"/>
  <c r="E4734" i="1"/>
  <c r="G4734" i="1"/>
  <c r="J4734" i="1"/>
  <c r="K4734" i="1"/>
  <c r="BE4734" i="1"/>
  <c r="BF4734" i="1"/>
  <c r="BG4734" i="1"/>
  <c r="E4735" i="1"/>
  <c r="G4735" i="1"/>
  <c r="J4735" i="1"/>
  <c r="K4735" i="1"/>
  <c r="BE4735" i="1"/>
  <c r="BF4735" i="1"/>
  <c r="BG4735" i="1"/>
  <c r="E4736" i="1"/>
  <c r="G4736" i="1"/>
  <c r="J4736" i="1"/>
  <c r="K4736" i="1"/>
  <c r="BE4736" i="1"/>
  <c r="BF4736" i="1"/>
  <c r="BG4736" i="1"/>
  <c r="E4737" i="1"/>
  <c r="G4737" i="1"/>
  <c r="J4737" i="1"/>
  <c r="K4737" i="1"/>
  <c r="BE4737" i="1"/>
  <c r="BF4737" i="1"/>
  <c r="BG4737" i="1"/>
  <c r="E4738" i="1"/>
  <c r="G4738" i="1"/>
  <c r="J4738" i="1"/>
  <c r="K4738" i="1"/>
  <c r="BE4738" i="1"/>
  <c r="BF4738" i="1"/>
  <c r="BG4738" i="1"/>
  <c r="E4739" i="1"/>
  <c r="G4739" i="1"/>
  <c r="J4739" i="1"/>
  <c r="K4739" i="1"/>
  <c r="BE4739" i="1"/>
  <c r="BF4739" i="1"/>
  <c r="BG4739" i="1"/>
  <c r="E4740" i="1"/>
  <c r="G4740" i="1"/>
  <c r="J4740" i="1"/>
  <c r="K4740" i="1"/>
  <c r="BE4740" i="1"/>
  <c r="BF4740" i="1"/>
  <c r="BG4740" i="1"/>
  <c r="E4741" i="1"/>
  <c r="G4741" i="1"/>
  <c r="J4741" i="1"/>
  <c r="K4741" i="1"/>
  <c r="BE4741" i="1"/>
  <c r="BF4741" i="1"/>
  <c r="BG4741" i="1"/>
  <c r="E4742" i="1"/>
  <c r="G4742" i="1"/>
  <c r="J4742" i="1"/>
  <c r="K4742" i="1"/>
  <c r="BE4742" i="1"/>
  <c r="BF4742" i="1"/>
  <c r="BG4742" i="1"/>
  <c r="E4743" i="1"/>
  <c r="G4743" i="1"/>
  <c r="J4743" i="1"/>
  <c r="K4743" i="1"/>
  <c r="BE4743" i="1"/>
  <c r="BF4743" i="1"/>
  <c r="BG4743" i="1"/>
  <c r="E4744" i="1"/>
  <c r="G4744" i="1"/>
  <c r="J4744" i="1"/>
  <c r="K4744" i="1"/>
  <c r="BE4744" i="1"/>
  <c r="BF4744" i="1"/>
  <c r="BG4744" i="1"/>
  <c r="E4745" i="1"/>
  <c r="G4745" i="1"/>
  <c r="J4745" i="1"/>
  <c r="K4745" i="1"/>
  <c r="BE4745" i="1"/>
  <c r="BF4745" i="1"/>
  <c r="BG4745" i="1"/>
  <c r="E4746" i="1"/>
  <c r="G4746" i="1"/>
  <c r="J4746" i="1"/>
  <c r="K4746" i="1"/>
  <c r="BE4746" i="1"/>
  <c r="BF4746" i="1"/>
  <c r="BG4746" i="1"/>
  <c r="E4747" i="1"/>
  <c r="G4747" i="1"/>
  <c r="J4747" i="1"/>
  <c r="K4747" i="1"/>
  <c r="BE4747" i="1"/>
  <c r="BF4747" i="1"/>
  <c r="BG4747" i="1"/>
  <c r="E4748" i="1"/>
  <c r="G4748" i="1"/>
  <c r="J4748" i="1"/>
  <c r="K4748" i="1"/>
  <c r="BE4748" i="1"/>
  <c r="BF4748" i="1"/>
  <c r="BG4748" i="1"/>
  <c r="E4749" i="1"/>
  <c r="G4749" i="1"/>
  <c r="J4749" i="1"/>
  <c r="K4749" i="1"/>
  <c r="BE4749" i="1"/>
  <c r="BF4749" i="1"/>
  <c r="BG4749" i="1"/>
  <c r="E4750" i="1"/>
  <c r="G4750" i="1"/>
  <c r="J4750" i="1"/>
  <c r="K4750" i="1"/>
  <c r="BE4750" i="1"/>
  <c r="BF4750" i="1"/>
  <c r="BG4750" i="1"/>
  <c r="E4751" i="1"/>
  <c r="G4751" i="1"/>
  <c r="J4751" i="1"/>
  <c r="K4751" i="1"/>
  <c r="BE4751" i="1"/>
  <c r="BF4751" i="1"/>
  <c r="BG4751" i="1"/>
  <c r="E4752" i="1"/>
  <c r="G4752" i="1"/>
  <c r="J4752" i="1"/>
  <c r="K4752" i="1"/>
  <c r="BE4752" i="1"/>
  <c r="BF4752" i="1"/>
  <c r="BG4752" i="1"/>
  <c r="E4753" i="1"/>
  <c r="G4753" i="1"/>
  <c r="J4753" i="1"/>
  <c r="K4753" i="1"/>
  <c r="BE4753" i="1"/>
  <c r="BF4753" i="1"/>
  <c r="BG4753" i="1"/>
  <c r="E4754" i="1"/>
  <c r="G4754" i="1"/>
  <c r="J4754" i="1"/>
  <c r="K4754" i="1"/>
  <c r="BE4754" i="1"/>
  <c r="BF4754" i="1"/>
  <c r="BG4754" i="1"/>
  <c r="E4755" i="1"/>
  <c r="G4755" i="1"/>
  <c r="J4755" i="1"/>
  <c r="K4755" i="1"/>
  <c r="BE4755" i="1"/>
  <c r="BF4755" i="1"/>
  <c r="BG4755" i="1"/>
  <c r="E4756" i="1"/>
  <c r="G4756" i="1"/>
  <c r="J4756" i="1"/>
  <c r="K4756" i="1"/>
  <c r="BE4756" i="1"/>
  <c r="BF4756" i="1"/>
  <c r="BG4756" i="1"/>
  <c r="E4757" i="1"/>
  <c r="G4757" i="1"/>
  <c r="J4757" i="1"/>
  <c r="K4757" i="1"/>
  <c r="BE4757" i="1"/>
  <c r="BF4757" i="1"/>
  <c r="BG4757" i="1"/>
  <c r="E4758" i="1"/>
  <c r="G4758" i="1"/>
  <c r="J4758" i="1"/>
  <c r="K4758" i="1"/>
  <c r="BE4758" i="1"/>
  <c r="BF4758" i="1"/>
  <c r="BG4758" i="1"/>
  <c r="E4759" i="1"/>
  <c r="G4759" i="1"/>
  <c r="J4759" i="1"/>
  <c r="K4759" i="1"/>
  <c r="BE4759" i="1"/>
  <c r="BF4759" i="1"/>
  <c r="BG4759" i="1"/>
  <c r="E4760" i="1"/>
  <c r="G4760" i="1"/>
  <c r="J4760" i="1"/>
  <c r="K4760" i="1"/>
  <c r="BE4760" i="1"/>
  <c r="BF4760" i="1"/>
  <c r="BG4760" i="1"/>
  <c r="E4761" i="1"/>
  <c r="G4761" i="1"/>
  <c r="J4761" i="1"/>
  <c r="K4761" i="1"/>
  <c r="BE4761" i="1"/>
  <c r="BF4761" i="1"/>
  <c r="BG4761" i="1"/>
  <c r="E4762" i="1"/>
  <c r="G4762" i="1"/>
  <c r="J4762" i="1"/>
  <c r="K4762" i="1"/>
  <c r="BE4762" i="1"/>
  <c r="BF4762" i="1"/>
  <c r="BG4762" i="1"/>
  <c r="E4763" i="1"/>
  <c r="G4763" i="1"/>
  <c r="J4763" i="1"/>
  <c r="K4763" i="1"/>
  <c r="BE4763" i="1"/>
  <c r="BF4763" i="1"/>
  <c r="BG4763" i="1"/>
  <c r="E4255" i="1"/>
  <c r="G4255" i="1"/>
  <c r="J4255" i="1"/>
  <c r="K4255" i="1"/>
  <c r="BE4255" i="1"/>
  <c r="BF4255" i="1"/>
  <c r="BG4255" i="1"/>
  <c r="E4256" i="1"/>
  <c r="G4256" i="1"/>
  <c r="J4256" i="1"/>
  <c r="K4256" i="1"/>
  <c r="BE4256" i="1"/>
  <c r="BF4256" i="1"/>
  <c r="BG4256" i="1"/>
  <c r="E4257" i="1"/>
  <c r="G4257" i="1"/>
  <c r="J4257" i="1"/>
  <c r="K4257" i="1"/>
  <c r="BE4257" i="1"/>
  <c r="BF4257" i="1"/>
  <c r="BG4257" i="1"/>
  <c r="E4258" i="1"/>
  <c r="G4258" i="1"/>
  <c r="J4258" i="1"/>
  <c r="K4258" i="1"/>
  <c r="BE4258" i="1"/>
  <c r="BF4258" i="1"/>
  <c r="BG4258" i="1"/>
  <c r="E4259" i="1"/>
  <c r="G4259" i="1"/>
  <c r="J4259" i="1"/>
  <c r="K4259" i="1"/>
  <c r="BE4259" i="1"/>
  <c r="BF4259" i="1"/>
  <c r="BG4259" i="1"/>
  <c r="E4260" i="1"/>
  <c r="G4260" i="1"/>
  <c r="J4260" i="1"/>
  <c r="K4260" i="1"/>
  <c r="BE4260" i="1"/>
  <c r="BF4260" i="1"/>
  <c r="BG4260" i="1"/>
  <c r="E4261" i="1"/>
  <c r="G4261" i="1"/>
  <c r="J4261" i="1"/>
  <c r="K4261" i="1"/>
  <c r="BE4261" i="1"/>
  <c r="BF4261" i="1"/>
  <c r="BG4261" i="1"/>
  <c r="E4764" i="1"/>
  <c r="G4764" i="1"/>
  <c r="J4764" i="1"/>
  <c r="K4764" i="1"/>
  <c r="BE4764" i="1"/>
  <c r="BF4764" i="1"/>
  <c r="BG4764" i="1"/>
  <c r="E4765" i="1"/>
  <c r="G4765" i="1"/>
  <c r="J4765" i="1"/>
  <c r="K4765" i="1"/>
  <c r="BE4765" i="1"/>
  <c r="BF4765" i="1"/>
  <c r="BG4765" i="1"/>
  <c r="E4766" i="1"/>
  <c r="G4766" i="1"/>
  <c r="J4766" i="1"/>
  <c r="K4766" i="1"/>
  <c r="BE4766" i="1"/>
  <c r="BF4766" i="1"/>
  <c r="BG4766" i="1"/>
  <c r="E4767" i="1"/>
  <c r="G4767" i="1"/>
  <c r="J4767" i="1"/>
  <c r="K4767" i="1"/>
  <c r="BE4767" i="1"/>
  <c r="BF4767" i="1"/>
  <c r="BG4767" i="1"/>
  <c r="E4768" i="1"/>
  <c r="G4768" i="1"/>
  <c r="J4768" i="1"/>
  <c r="K4768" i="1"/>
  <c r="BE4768" i="1"/>
  <c r="BF4768" i="1"/>
  <c r="BG4768" i="1"/>
  <c r="E4769" i="1"/>
  <c r="G4769" i="1"/>
  <c r="J4769" i="1"/>
  <c r="K4769" i="1"/>
  <c r="BE4769" i="1"/>
  <c r="BF4769" i="1"/>
  <c r="BG4769" i="1"/>
  <c r="E4770" i="1"/>
  <c r="G4770" i="1"/>
  <c r="J4770" i="1"/>
  <c r="K4770" i="1"/>
  <c r="BE4770" i="1"/>
  <c r="BF4770" i="1"/>
  <c r="BG4770" i="1"/>
  <c r="E825" i="1"/>
  <c r="G825" i="1"/>
  <c r="J825" i="1"/>
  <c r="K825" i="1"/>
  <c r="BE825" i="1"/>
  <c r="BF825" i="1"/>
  <c r="BG825" i="1"/>
  <c r="E826" i="1"/>
  <c r="G826" i="1"/>
  <c r="J826" i="1"/>
  <c r="K826" i="1"/>
  <c r="BE826" i="1"/>
  <c r="BF826" i="1"/>
  <c r="BG826" i="1"/>
  <c r="E335" i="1"/>
  <c r="G335" i="1"/>
  <c r="J335" i="1"/>
  <c r="K335" i="1"/>
  <c r="BE335" i="1"/>
  <c r="BF335" i="1"/>
  <c r="BG335" i="1"/>
  <c r="E336" i="1"/>
  <c r="G336" i="1"/>
  <c r="J336" i="1"/>
  <c r="K336" i="1"/>
  <c r="BE336" i="1"/>
  <c r="BF336" i="1"/>
  <c r="BG336" i="1"/>
  <c r="E6861" i="1"/>
  <c r="G6861" i="1"/>
  <c r="J6861" i="1"/>
  <c r="BE6861" i="1"/>
  <c r="BF6861" i="1"/>
  <c r="BG6861" i="1"/>
  <c r="E6862" i="1"/>
  <c r="G6862" i="1"/>
  <c r="J6862" i="1"/>
  <c r="BE6862" i="1"/>
  <c r="BF6862" i="1"/>
  <c r="BG6862" i="1"/>
  <c r="E575" i="1"/>
  <c r="G575" i="1"/>
  <c r="J575" i="1"/>
  <c r="K575" i="1"/>
  <c r="BE575" i="1"/>
  <c r="BF575" i="1"/>
  <c r="BG575" i="1"/>
  <c r="E6863" i="1"/>
  <c r="G6863" i="1"/>
  <c r="J6863" i="1"/>
  <c r="BE6863" i="1"/>
  <c r="BF6863" i="1"/>
  <c r="BG6863" i="1"/>
  <c r="E6864" i="1"/>
  <c r="G6864" i="1"/>
  <c r="J6864" i="1"/>
  <c r="BE6864" i="1"/>
  <c r="BF6864" i="1"/>
  <c r="BG6864" i="1"/>
  <c r="E4068" i="1"/>
  <c r="G4068" i="1"/>
  <c r="J4068" i="1"/>
  <c r="K4068" i="1"/>
  <c r="BE4068" i="1"/>
  <c r="BF4068" i="1"/>
  <c r="BG4068" i="1"/>
  <c r="E4069" i="1"/>
  <c r="G4069" i="1"/>
  <c r="J4069" i="1"/>
  <c r="K4069" i="1"/>
  <c r="BE4069" i="1"/>
  <c r="BF4069" i="1"/>
  <c r="BG4069" i="1"/>
  <c r="E4070" i="1"/>
  <c r="G4070" i="1"/>
  <c r="J4070" i="1"/>
  <c r="K4070" i="1"/>
  <c r="BE4070" i="1"/>
  <c r="BF4070" i="1"/>
  <c r="BG4070" i="1"/>
  <c r="E4071" i="1"/>
  <c r="G4071" i="1"/>
  <c r="J4071" i="1"/>
  <c r="K4071" i="1"/>
  <c r="BE4071" i="1"/>
  <c r="BF4071" i="1"/>
  <c r="BG4071" i="1"/>
  <c r="E4072" i="1"/>
  <c r="G4072" i="1"/>
  <c r="J4072" i="1"/>
  <c r="K4072" i="1"/>
  <c r="BE4072" i="1"/>
  <c r="BF4072" i="1"/>
  <c r="BG4072" i="1"/>
  <c r="E4073" i="1"/>
  <c r="G4073" i="1"/>
  <c r="J4073" i="1"/>
  <c r="K4073" i="1"/>
  <c r="BE4073" i="1"/>
  <c r="BF4073" i="1"/>
  <c r="BG4073" i="1"/>
  <c r="E4074" i="1"/>
  <c r="G4074" i="1"/>
  <c r="J4074" i="1"/>
  <c r="K4074" i="1"/>
  <c r="BE4074" i="1"/>
  <c r="BF4074" i="1"/>
  <c r="BG4074" i="1"/>
  <c r="E4075" i="1"/>
  <c r="G4075" i="1"/>
  <c r="J4075" i="1"/>
  <c r="K4075" i="1"/>
  <c r="BE4075" i="1"/>
  <c r="BF4075" i="1"/>
  <c r="BG4075" i="1"/>
  <c r="E4076" i="1"/>
  <c r="G4076" i="1"/>
  <c r="J4076" i="1"/>
  <c r="K4076" i="1"/>
  <c r="BE4076" i="1"/>
  <c r="BF4076" i="1"/>
  <c r="BG4076" i="1"/>
  <c r="E4077" i="1"/>
  <c r="G4077" i="1"/>
  <c r="J4077" i="1"/>
  <c r="K4077" i="1"/>
  <c r="BE4077" i="1"/>
  <c r="BF4077" i="1"/>
  <c r="BG4077" i="1"/>
  <c r="E4078" i="1"/>
  <c r="G4078" i="1"/>
  <c r="J4078" i="1"/>
  <c r="K4078" i="1"/>
  <c r="BE4078" i="1"/>
  <c r="BF4078" i="1"/>
  <c r="BG4078" i="1"/>
  <c r="E4079" i="1"/>
  <c r="G4079" i="1"/>
  <c r="J4079" i="1"/>
  <c r="K4079" i="1"/>
  <c r="BE4079" i="1"/>
  <c r="BF4079" i="1"/>
  <c r="BG4079" i="1"/>
  <c r="E4080" i="1"/>
  <c r="G4080" i="1"/>
  <c r="J4080" i="1"/>
  <c r="K4080" i="1"/>
  <c r="BE4080" i="1"/>
  <c r="BF4080" i="1"/>
  <c r="BG4080" i="1"/>
  <c r="E4081" i="1"/>
  <c r="G4081" i="1"/>
  <c r="J4081" i="1"/>
  <c r="K4081" i="1"/>
  <c r="BE4081" i="1"/>
  <c r="BF4081" i="1"/>
  <c r="BG4081" i="1"/>
  <c r="E4082" i="1"/>
  <c r="G4082" i="1"/>
  <c r="J4082" i="1"/>
  <c r="K4082" i="1"/>
  <c r="BE4082" i="1"/>
  <c r="BF4082" i="1"/>
  <c r="BG4082" i="1"/>
  <c r="E4083" i="1"/>
  <c r="G4083" i="1"/>
  <c r="J4083" i="1"/>
  <c r="K4083" i="1"/>
  <c r="BE4083" i="1"/>
  <c r="BF4083" i="1"/>
  <c r="BG4083" i="1"/>
  <c r="E4084" i="1"/>
  <c r="G4084" i="1"/>
  <c r="J4084" i="1"/>
  <c r="K4084" i="1"/>
  <c r="BE4084" i="1"/>
  <c r="BF4084" i="1"/>
  <c r="BG4084" i="1"/>
  <c r="E4085" i="1"/>
  <c r="G4085" i="1"/>
  <c r="J4085" i="1"/>
  <c r="K4085" i="1"/>
  <c r="BE4085" i="1"/>
  <c r="BF4085" i="1"/>
  <c r="BG4085" i="1"/>
  <c r="E4086" i="1"/>
  <c r="G4086" i="1"/>
  <c r="J4086" i="1"/>
  <c r="K4086" i="1"/>
  <c r="BE4086" i="1"/>
  <c r="BF4086" i="1"/>
  <c r="BG4086" i="1"/>
  <c r="E4087" i="1"/>
  <c r="G4087" i="1"/>
  <c r="J4087" i="1"/>
  <c r="K4087" i="1"/>
  <c r="BE4087" i="1"/>
  <c r="BF4087" i="1"/>
  <c r="BG4087" i="1"/>
  <c r="E4088" i="1"/>
  <c r="G4088" i="1"/>
  <c r="J4088" i="1"/>
  <c r="K4088" i="1"/>
  <c r="BE4088" i="1"/>
  <c r="BF4088" i="1"/>
  <c r="BG4088" i="1"/>
  <c r="E6865" i="1"/>
  <c r="G6865" i="1"/>
  <c r="J6865" i="1"/>
  <c r="BE6865" i="1"/>
  <c r="BF6865" i="1"/>
  <c r="BG6865" i="1"/>
  <c r="E4273" i="1"/>
  <c r="G4273" i="1"/>
  <c r="J4273" i="1"/>
  <c r="K4273" i="1"/>
  <c r="BE4273" i="1"/>
  <c r="BF4273" i="1"/>
  <c r="BG4273" i="1"/>
  <c r="E6156" i="1"/>
  <c r="G6156" i="1"/>
  <c r="J6156" i="1"/>
  <c r="K6156" i="1"/>
  <c r="BE6156" i="1"/>
  <c r="BF6156" i="1"/>
  <c r="BG6156" i="1"/>
  <c r="E6157" i="1"/>
  <c r="G6157" i="1"/>
  <c r="J6157" i="1"/>
  <c r="K6157" i="1"/>
  <c r="BE6157" i="1"/>
  <c r="BF6157" i="1"/>
  <c r="BG6157" i="1"/>
  <c r="E6158" i="1"/>
  <c r="G6158" i="1"/>
  <c r="J6158" i="1"/>
  <c r="K6158" i="1"/>
  <c r="BE6158" i="1"/>
  <c r="BF6158" i="1"/>
  <c r="BG6158" i="1"/>
  <c r="E6159" i="1"/>
  <c r="G6159" i="1"/>
  <c r="J6159" i="1"/>
  <c r="K6159" i="1"/>
  <c r="BE6159" i="1"/>
  <c r="BF6159" i="1"/>
  <c r="BG6159" i="1"/>
  <c r="E6160" i="1"/>
  <c r="G6160" i="1"/>
  <c r="J6160" i="1"/>
  <c r="K6160" i="1"/>
  <c r="BE6160" i="1"/>
  <c r="BF6160" i="1"/>
  <c r="BG6160" i="1"/>
  <c r="E6161" i="1"/>
  <c r="G6161" i="1"/>
  <c r="J6161" i="1"/>
  <c r="K6161" i="1"/>
  <c r="BE6161" i="1"/>
  <c r="BF6161" i="1"/>
  <c r="BG6161" i="1"/>
  <c r="E6162" i="1"/>
  <c r="G6162" i="1"/>
  <c r="J6162" i="1"/>
  <c r="K6162" i="1"/>
  <c r="BE6162" i="1"/>
  <c r="BF6162" i="1"/>
  <c r="BG6162" i="1"/>
  <c r="E6163" i="1"/>
  <c r="G6163" i="1"/>
  <c r="J6163" i="1"/>
  <c r="K6163" i="1"/>
  <c r="BE6163" i="1"/>
  <c r="BF6163" i="1"/>
  <c r="BG6163" i="1"/>
  <c r="E6164" i="1"/>
  <c r="G6164" i="1"/>
  <c r="J6164" i="1"/>
  <c r="K6164" i="1"/>
  <c r="BE6164" i="1"/>
  <c r="BF6164" i="1"/>
  <c r="BG6164" i="1"/>
  <c r="E6165" i="1"/>
  <c r="G6165" i="1"/>
  <c r="J6165" i="1"/>
  <c r="K6165" i="1"/>
  <c r="BE6165" i="1"/>
  <c r="BF6165" i="1"/>
  <c r="BG6165" i="1"/>
  <c r="E6166" i="1"/>
  <c r="G6166" i="1"/>
  <c r="J6166" i="1"/>
  <c r="K6166" i="1"/>
  <c r="BE6166" i="1"/>
  <c r="BF6166" i="1"/>
  <c r="BG6166" i="1"/>
  <c r="E6167" i="1"/>
  <c r="G6167" i="1"/>
  <c r="J6167" i="1"/>
  <c r="K6167" i="1"/>
  <c r="BE6167" i="1"/>
  <c r="BF6167" i="1"/>
  <c r="BG6167" i="1"/>
  <c r="E6168" i="1"/>
  <c r="G6168" i="1"/>
  <c r="J6168" i="1"/>
  <c r="K6168" i="1"/>
  <c r="BE6168" i="1"/>
  <c r="BF6168" i="1"/>
  <c r="BG6168" i="1"/>
  <c r="E6169" i="1"/>
  <c r="G6169" i="1"/>
  <c r="J6169" i="1"/>
  <c r="K6169" i="1"/>
  <c r="BE6169" i="1"/>
  <c r="BF6169" i="1"/>
  <c r="BG6169" i="1"/>
  <c r="E6170" i="1"/>
  <c r="G6170" i="1"/>
  <c r="J6170" i="1"/>
  <c r="K6170" i="1"/>
  <c r="BE6170" i="1"/>
  <c r="BF6170" i="1"/>
  <c r="BG6170" i="1"/>
  <c r="E6171" i="1"/>
  <c r="G6171" i="1"/>
  <c r="J6171" i="1"/>
  <c r="K6171" i="1"/>
  <c r="BE6171" i="1"/>
  <c r="BF6171" i="1"/>
  <c r="BG6171" i="1"/>
  <c r="E6172" i="1"/>
  <c r="G6172" i="1"/>
  <c r="J6172" i="1"/>
  <c r="K6172" i="1"/>
  <c r="BE6172" i="1"/>
  <c r="BF6172" i="1"/>
  <c r="BG6172" i="1"/>
  <c r="E6173" i="1"/>
  <c r="G6173" i="1"/>
  <c r="J6173" i="1"/>
  <c r="K6173" i="1"/>
  <c r="BE6173" i="1"/>
  <c r="BF6173" i="1"/>
  <c r="BG6173" i="1"/>
  <c r="E601" i="1"/>
  <c r="G601" i="1"/>
  <c r="J601" i="1"/>
  <c r="K601" i="1"/>
  <c r="BE601" i="1"/>
  <c r="BF601" i="1"/>
  <c r="BG601" i="1"/>
  <c r="BH601" i="1"/>
  <c r="E6174" i="1"/>
  <c r="G6174" i="1"/>
  <c r="J6174" i="1"/>
  <c r="K6174" i="1"/>
  <c r="BE6174" i="1"/>
  <c r="BF6174" i="1"/>
  <c r="BG6174" i="1"/>
  <c r="E6175" i="1"/>
  <c r="G6175" i="1"/>
  <c r="J6175" i="1"/>
  <c r="K6175" i="1"/>
  <c r="BE6175" i="1"/>
  <c r="BF6175" i="1"/>
  <c r="BG6175" i="1"/>
  <c r="E6001" i="1"/>
  <c r="G6001" i="1"/>
  <c r="J6001" i="1"/>
  <c r="K6001" i="1"/>
  <c r="BE6001" i="1"/>
  <c r="BG6001" i="1"/>
  <c r="E6002" i="1"/>
  <c r="G6002" i="1"/>
  <c r="J6002" i="1"/>
  <c r="K6002" i="1"/>
  <c r="BE6002" i="1"/>
  <c r="BG6002" i="1"/>
  <c r="E6003" i="1"/>
  <c r="G6003" i="1"/>
  <c r="J6003" i="1"/>
  <c r="K6003" i="1"/>
  <c r="BE6003" i="1"/>
  <c r="BG6003" i="1"/>
  <c r="E6004" i="1"/>
  <c r="G6004" i="1"/>
  <c r="J6004" i="1"/>
  <c r="K6004" i="1"/>
  <c r="BE6004" i="1"/>
  <c r="BG6004" i="1"/>
  <c r="E6005" i="1"/>
  <c r="G6005" i="1"/>
  <c r="J6005" i="1"/>
  <c r="K6005" i="1"/>
  <c r="BE6005" i="1"/>
  <c r="BG6005" i="1"/>
  <c r="E6006" i="1"/>
  <c r="G6006" i="1"/>
  <c r="J6006" i="1"/>
  <c r="K6006" i="1"/>
  <c r="BE6006" i="1"/>
  <c r="BG6006" i="1"/>
  <c r="E6007" i="1"/>
  <c r="G6007" i="1"/>
  <c r="J6007" i="1"/>
  <c r="K6007" i="1"/>
  <c r="BE6007" i="1"/>
  <c r="BG6007" i="1"/>
  <c r="E6008" i="1"/>
  <c r="G6008" i="1"/>
  <c r="J6008" i="1"/>
  <c r="K6008" i="1"/>
  <c r="BE6008" i="1"/>
  <c r="BG6008" i="1"/>
  <c r="E6009" i="1"/>
  <c r="G6009" i="1"/>
  <c r="J6009" i="1"/>
  <c r="K6009" i="1"/>
  <c r="BE6009" i="1"/>
  <c r="BG6009" i="1"/>
  <c r="E6010" i="1"/>
  <c r="G6010" i="1"/>
  <c r="J6010" i="1"/>
  <c r="K6010" i="1"/>
  <c r="BE6010" i="1"/>
  <c r="BG6010" i="1"/>
  <c r="E6011" i="1"/>
  <c r="G6011" i="1"/>
  <c r="J6011" i="1"/>
  <c r="K6011" i="1"/>
  <c r="BE6011" i="1"/>
  <c r="BG6011" i="1"/>
  <c r="E6012" i="1"/>
  <c r="G6012" i="1"/>
  <c r="J6012" i="1"/>
  <c r="K6012" i="1"/>
  <c r="BE6012" i="1"/>
  <c r="BG6012" i="1"/>
  <c r="E4089" i="1"/>
  <c r="G4089" i="1"/>
  <c r="J4089" i="1"/>
  <c r="K4089" i="1"/>
  <c r="BE4089" i="1"/>
  <c r="BF4089" i="1"/>
  <c r="BG4089" i="1"/>
  <c r="E5023" i="1"/>
  <c r="G5023" i="1"/>
  <c r="J5023" i="1"/>
  <c r="K5023" i="1"/>
  <c r="BE5023" i="1"/>
  <c r="BF5023" i="1"/>
  <c r="BG5023" i="1"/>
  <c r="E5024" i="1"/>
  <c r="G5024" i="1"/>
  <c r="J5024" i="1"/>
  <c r="K5024" i="1"/>
  <c r="BE5024" i="1"/>
  <c r="BF5024" i="1"/>
  <c r="BG5024" i="1"/>
  <c r="E6176" i="1"/>
  <c r="G6176" i="1"/>
  <c r="J6176" i="1"/>
  <c r="K6176" i="1"/>
  <c r="BE6176" i="1"/>
  <c r="BF6176" i="1"/>
  <c r="BG6176" i="1"/>
  <c r="E6177" i="1"/>
  <c r="G6177" i="1"/>
  <c r="J6177" i="1"/>
  <c r="K6177" i="1"/>
  <c r="BE6177" i="1"/>
  <c r="BF6177" i="1"/>
  <c r="BG6177" i="1"/>
  <c r="E6178" i="1"/>
  <c r="G6178" i="1"/>
  <c r="J6178" i="1"/>
  <c r="K6178" i="1"/>
  <c r="BE6178" i="1"/>
  <c r="BF6178" i="1"/>
  <c r="BG6178" i="1"/>
  <c r="E6179" i="1"/>
  <c r="G6179" i="1"/>
  <c r="J6179" i="1"/>
  <c r="K6179" i="1"/>
  <c r="BE6179" i="1"/>
  <c r="BF6179" i="1"/>
  <c r="BG6179" i="1"/>
  <c r="E6180" i="1"/>
  <c r="G6180" i="1"/>
  <c r="J6180" i="1"/>
  <c r="K6180" i="1"/>
  <c r="BE6180" i="1"/>
  <c r="BF6180" i="1"/>
  <c r="BG6180" i="1"/>
  <c r="E6181" i="1"/>
  <c r="G6181" i="1"/>
  <c r="J6181" i="1"/>
  <c r="K6181" i="1"/>
  <c r="BE6181" i="1"/>
  <c r="BF6181" i="1"/>
  <c r="BG6181" i="1"/>
  <c r="E6182" i="1"/>
  <c r="G6182" i="1"/>
  <c r="J6182" i="1"/>
  <c r="K6182" i="1"/>
  <c r="BE6182" i="1"/>
  <c r="BF6182" i="1"/>
  <c r="BG6182" i="1"/>
  <c r="E5025" i="1"/>
  <c r="G5025" i="1"/>
  <c r="J5025" i="1"/>
  <c r="K5025" i="1"/>
  <c r="BE5025" i="1"/>
  <c r="BF5025" i="1"/>
  <c r="BG5025" i="1"/>
  <c r="E5026" i="1"/>
  <c r="G5026" i="1"/>
  <c r="J5026" i="1"/>
  <c r="K5026" i="1"/>
  <c r="BE5026" i="1"/>
  <c r="BF5026" i="1"/>
  <c r="BG5026" i="1"/>
  <c r="E5027" i="1"/>
  <c r="G5027" i="1"/>
  <c r="J5027" i="1"/>
  <c r="K5027" i="1"/>
  <c r="BE5027" i="1"/>
  <c r="BF5027" i="1"/>
  <c r="BG5027" i="1"/>
  <c r="E5028" i="1"/>
  <c r="G5028" i="1"/>
  <c r="J5028" i="1"/>
  <c r="K5028" i="1"/>
  <c r="BE5028" i="1"/>
  <c r="BF5028" i="1"/>
  <c r="BG5028" i="1"/>
  <c r="E5029" i="1"/>
  <c r="G5029" i="1"/>
  <c r="J5029" i="1"/>
  <c r="K5029" i="1"/>
  <c r="BE5029" i="1"/>
  <c r="BF5029" i="1"/>
  <c r="BG5029" i="1"/>
  <c r="E6183" i="1"/>
  <c r="G6183" i="1"/>
  <c r="J6183" i="1"/>
  <c r="K6183" i="1"/>
  <c r="BE6183" i="1"/>
  <c r="BF6183" i="1"/>
  <c r="BG6183" i="1"/>
  <c r="E6184" i="1"/>
  <c r="G6184" i="1"/>
  <c r="J6184" i="1"/>
  <c r="K6184" i="1"/>
  <c r="BE6184" i="1"/>
  <c r="BF6184" i="1"/>
  <c r="BG6184" i="1"/>
  <c r="E5030" i="1"/>
  <c r="G5030" i="1"/>
  <c r="J5030" i="1"/>
  <c r="K5030" i="1"/>
  <c r="BE5030" i="1"/>
  <c r="BF5030" i="1"/>
  <c r="BG5030" i="1"/>
  <c r="E5031" i="1"/>
  <c r="G5031" i="1"/>
  <c r="J5031" i="1"/>
  <c r="K5031" i="1"/>
  <c r="BE5031" i="1"/>
  <c r="BF5031" i="1"/>
  <c r="BG5031" i="1"/>
  <c r="E5032" i="1"/>
  <c r="G5032" i="1"/>
  <c r="J5032" i="1"/>
  <c r="K5032" i="1"/>
  <c r="BE5032" i="1"/>
  <c r="BF5032" i="1"/>
  <c r="BG5032" i="1"/>
  <c r="E6838" i="1"/>
  <c r="G6838" i="1"/>
  <c r="J6838" i="1"/>
  <c r="K6838" i="1"/>
  <c r="BE6838" i="1"/>
  <c r="BF6838" i="1"/>
  <c r="BG6838" i="1"/>
  <c r="E6839" i="1"/>
  <c r="G6839" i="1"/>
  <c r="J6839" i="1"/>
  <c r="K6839" i="1"/>
  <c r="BE6839" i="1"/>
  <c r="BF6839" i="1"/>
  <c r="BG6839" i="1"/>
  <c r="E6840" i="1"/>
  <c r="G6840" i="1"/>
  <c r="J6840" i="1"/>
  <c r="K6840" i="1"/>
  <c r="BE6840" i="1"/>
  <c r="BF6840" i="1"/>
  <c r="BG6840" i="1"/>
  <c r="E6841" i="1"/>
  <c r="G6841" i="1"/>
  <c r="J6841" i="1"/>
  <c r="K6841" i="1"/>
  <c r="BE6841" i="1"/>
  <c r="BF6841" i="1"/>
  <c r="BG6841" i="1"/>
  <c r="E6842" i="1"/>
  <c r="G6842" i="1"/>
  <c r="J6842" i="1"/>
  <c r="K6842" i="1"/>
  <c r="BE6842" i="1"/>
  <c r="BF6842" i="1"/>
  <c r="BG6842" i="1"/>
  <c r="E6843" i="1"/>
  <c r="G6843" i="1"/>
  <c r="J6843" i="1"/>
  <c r="K6843" i="1"/>
  <c r="BE6843" i="1"/>
  <c r="BF6843" i="1"/>
  <c r="BG6843" i="1"/>
  <c r="E6844" i="1"/>
  <c r="G6844" i="1"/>
  <c r="J6844" i="1"/>
  <c r="K6844" i="1"/>
  <c r="BE6844" i="1"/>
  <c r="BF6844" i="1"/>
  <c r="BG6844" i="1"/>
  <c r="E6845" i="1"/>
  <c r="G6845" i="1"/>
  <c r="J6845" i="1"/>
  <c r="K6845" i="1"/>
  <c r="BE6845" i="1"/>
  <c r="BF6845" i="1"/>
  <c r="BG6845" i="1"/>
  <c r="E6846" i="1"/>
  <c r="G6846" i="1"/>
  <c r="J6846" i="1"/>
  <c r="K6846" i="1"/>
  <c r="BE6846" i="1"/>
  <c r="BF6846" i="1"/>
  <c r="BG6846" i="1"/>
  <c r="E6847" i="1"/>
  <c r="G6847" i="1"/>
  <c r="J6847" i="1"/>
  <c r="K6847" i="1"/>
  <c r="BE6847" i="1"/>
  <c r="BF6847" i="1"/>
  <c r="BG6847" i="1"/>
  <c r="E6848" i="1"/>
  <c r="G6848" i="1"/>
  <c r="J6848" i="1"/>
  <c r="K6848" i="1"/>
  <c r="BE6848" i="1"/>
  <c r="BF6848" i="1"/>
  <c r="BG6848" i="1"/>
  <c r="E6849" i="1"/>
  <c r="G6849" i="1"/>
  <c r="J6849" i="1"/>
  <c r="K6849" i="1"/>
  <c r="BE6849" i="1"/>
  <c r="BF6849" i="1"/>
  <c r="BG6849" i="1"/>
  <c r="E6850" i="1"/>
  <c r="G6850" i="1"/>
  <c r="J6850" i="1"/>
  <c r="K6850" i="1"/>
  <c r="BE6850" i="1"/>
  <c r="BF6850" i="1"/>
  <c r="BG6850" i="1"/>
  <c r="E6851" i="1"/>
  <c r="G6851" i="1"/>
  <c r="J6851" i="1"/>
  <c r="K6851" i="1"/>
  <c r="BE6851" i="1"/>
  <c r="BF6851" i="1"/>
  <c r="BG6851" i="1"/>
  <c r="E6852" i="1"/>
  <c r="G6852" i="1"/>
  <c r="J6852" i="1"/>
  <c r="K6852" i="1"/>
  <c r="BE6852" i="1"/>
  <c r="BF6852" i="1"/>
  <c r="BG6852" i="1"/>
  <c r="E6853" i="1"/>
  <c r="G6853" i="1"/>
  <c r="J6853" i="1"/>
  <c r="K6853" i="1"/>
  <c r="BE6853" i="1"/>
  <c r="BF6853" i="1"/>
  <c r="BG6853" i="1"/>
  <c r="E6854" i="1"/>
  <c r="G6854" i="1"/>
  <c r="J6854" i="1"/>
  <c r="K6854" i="1"/>
  <c r="BE6854" i="1"/>
  <c r="BF6854" i="1"/>
  <c r="BG6854" i="1"/>
  <c r="E6185" i="1"/>
  <c r="G6185" i="1"/>
  <c r="J6185" i="1"/>
  <c r="K6185" i="1"/>
  <c r="BE6185" i="1"/>
  <c r="BF6185" i="1"/>
  <c r="BG6185" i="1"/>
  <c r="E6186" i="1"/>
  <c r="G6186" i="1"/>
  <c r="J6186" i="1"/>
  <c r="K6186" i="1"/>
  <c r="BE6186" i="1"/>
  <c r="BF6186" i="1"/>
  <c r="BG6186" i="1"/>
  <c r="E6187" i="1"/>
  <c r="G6187" i="1"/>
  <c r="J6187" i="1"/>
  <c r="K6187" i="1"/>
  <c r="BE6187" i="1"/>
  <c r="BF6187" i="1"/>
  <c r="BG6187" i="1"/>
  <c r="E6188" i="1"/>
  <c r="G6188" i="1"/>
  <c r="J6188" i="1"/>
  <c r="K6188" i="1"/>
  <c r="BE6188" i="1"/>
  <c r="BF6188" i="1"/>
  <c r="BG6188" i="1"/>
  <c r="E5033" i="1"/>
  <c r="G5033" i="1"/>
  <c r="J5033" i="1"/>
  <c r="K5033" i="1"/>
  <c r="BE5033" i="1"/>
  <c r="BF5033" i="1"/>
  <c r="BG5033" i="1"/>
  <c r="E5034" i="1"/>
  <c r="G5034" i="1"/>
  <c r="J5034" i="1"/>
  <c r="K5034" i="1"/>
  <c r="BE5034" i="1"/>
  <c r="BF5034" i="1"/>
  <c r="BG5034" i="1"/>
  <c r="E6189" i="1"/>
  <c r="G6189" i="1"/>
  <c r="J6189" i="1"/>
  <c r="K6189" i="1"/>
  <c r="BE6189" i="1"/>
  <c r="BF6189" i="1"/>
  <c r="BG6189" i="1"/>
  <c r="E6190" i="1"/>
  <c r="G6190" i="1"/>
  <c r="J6190" i="1"/>
  <c r="K6190" i="1"/>
  <c r="BE6190" i="1"/>
  <c r="BF6190" i="1"/>
  <c r="BG6190" i="1"/>
  <c r="E6191" i="1"/>
  <c r="G6191" i="1"/>
  <c r="J6191" i="1"/>
  <c r="K6191" i="1"/>
  <c r="BE6191" i="1"/>
  <c r="BF6191" i="1"/>
  <c r="BG6191" i="1"/>
  <c r="E2486" i="1"/>
  <c r="G2486" i="1"/>
  <c r="J2486" i="1"/>
  <c r="K2486" i="1"/>
  <c r="BE2486" i="1"/>
  <c r="BF2486" i="1"/>
  <c r="BG2486" i="1"/>
  <c r="E6192" i="1"/>
  <c r="G6192" i="1"/>
  <c r="J6192" i="1"/>
  <c r="K6192" i="1"/>
  <c r="BE6192" i="1"/>
  <c r="BF6192" i="1"/>
  <c r="BG6192" i="1"/>
  <c r="E6193" i="1"/>
  <c r="G6193" i="1"/>
  <c r="J6193" i="1"/>
  <c r="K6193" i="1"/>
  <c r="BE6193" i="1"/>
  <c r="BF6193" i="1"/>
  <c r="BG6193" i="1"/>
  <c r="E6194" i="1"/>
  <c r="G6194" i="1"/>
  <c r="J6194" i="1"/>
  <c r="K6194" i="1"/>
  <c r="BE6194" i="1"/>
  <c r="BF6194" i="1"/>
  <c r="BG6194" i="1"/>
  <c r="E6195" i="1"/>
  <c r="G6195" i="1"/>
  <c r="J6195" i="1"/>
  <c r="K6195" i="1"/>
  <c r="BE6195" i="1"/>
  <c r="BF6195" i="1"/>
  <c r="BG6195" i="1"/>
  <c r="E6196" i="1"/>
  <c r="G6196" i="1"/>
  <c r="J6196" i="1"/>
  <c r="K6196" i="1"/>
  <c r="BE6196" i="1"/>
  <c r="BF6196" i="1"/>
  <c r="BG6196" i="1"/>
  <c r="E6197" i="1"/>
  <c r="G6197" i="1"/>
  <c r="J6197" i="1"/>
  <c r="K6197" i="1"/>
  <c r="BE6197" i="1"/>
  <c r="BF6197" i="1"/>
  <c r="BG6197" i="1"/>
  <c r="E3760" i="1"/>
  <c r="G3760" i="1"/>
  <c r="J3760" i="1"/>
  <c r="K3760" i="1"/>
  <c r="BE3760" i="1"/>
  <c r="BF3760" i="1"/>
  <c r="BG3760" i="1"/>
  <c r="E3761" i="1"/>
  <c r="G3761" i="1"/>
  <c r="J3761" i="1"/>
  <c r="K3761" i="1"/>
  <c r="BE3761" i="1"/>
  <c r="BF3761" i="1"/>
  <c r="BG3761" i="1"/>
  <c r="E3762" i="1"/>
  <c r="G3762" i="1"/>
  <c r="J3762" i="1"/>
  <c r="K3762" i="1"/>
  <c r="BE3762" i="1"/>
  <c r="BF3762" i="1"/>
  <c r="BG3762" i="1"/>
  <c r="E3763" i="1"/>
  <c r="G3763" i="1"/>
  <c r="J3763" i="1"/>
  <c r="K3763" i="1"/>
  <c r="BE3763" i="1"/>
  <c r="BF3763" i="1"/>
  <c r="BG3763" i="1"/>
  <c r="E3764" i="1"/>
  <c r="G3764" i="1"/>
  <c r="J3764" i="1"/>
  <c r="K3764" i="1"/>
  <c r="BE3764" i="1"/>
  <c r="BF3764" i="1"/>
  <c r="BG3764" i="1"/>
  <c r="E3765" i="1"/>
  <c r="G3765" i="1"/>
  <c r="J3765" i="1"/>
  <c r="K3765" i="1"/>
  <c r="BE3765" i="1"/>
  <c r="BF3765" i="1"/>
  <c r="BG3765" i="1"/>
  <c r="E3766" i="1"/>
  <c r="G3766" i="1"/>
  <c r="J3766" i="1"/>
  <c r="K3766" i="1"/>
  <c r="BE3766" i="1"/>
  <c r="BF3766" i="1"/>
  <c r="BG3766" i="1"/>
  <c r="E3767" i="1"/>
  <c r="G3767" i="1"/>
  <c r="J3767" i="1"/>
  <c r="K3767" i="1"/>
  <c r="BE3767" i="1"/>
  <c r="BF3767" i="1"/>
  <c r="BG3767" i="1"/>
  <c r="E3768" i="1"/>
  <c r="G3768" i="1"/>
  <c r="J3768" i="1"/>
  <c r="K3768" i="1"/>
  <c r="BE3768" i="1"/>
  <c r="BF3768" i="1"/>
  <c r="BG3768" i="1"/>
  <c r="E3769" i="1"/>
  <c r="G3769" i="1"/>
  <c r="J3769" i="1"/>
  <c r="K3769" i="1"/>
  <c r="BE3769" i="1"/>
  <c r="BF3769" i="1"/>
  <c r="BG3769" i="1"/>
  <c r="E3770" i="1"/>
  <c r="G3770" i="1"/>
  <c r="J3770" i="1"/>
  <c r="K3770" i="1"/>
  <c r="BE3770" i="1"/>
  <c r="BF3770" i="1"/>
  <c r="BG3770" i="1"/>
  <c r="E3771" i="1"/>
  <c r="G3771" i="1"/>
  <c r="J3771" i="1"/>
  <c r="K3771" i="1"/>
  <c r="BE3771" i="1"/>
  <c r="BF3771" i="1"/>
  <c r="BG3771" i="1"/>
  <c r="E3772" i="1"/>
  <c r="G3772" i="1"/>
  <c r="J3772" i="1"/>
  <c r="K3772" i="1"/>
  <c r="BE3772" i="1"/>
  <c r="BF3772" i="1"/>
  <c r="BG3772" i="1"/>
  <c r="E3773" i="1"/>
  <c r="G3773" i="1"/>
  <c r="J3773" i="1"/>
  <c r="K3773" i="1"/>
  <c r="BE3773" i="1"/>
  <c r="BF3773" i="1"/>
  <c r="BG3773" i="1"/>
  <c r="E3774" i="1"/>
  <c r="G3774" i="1"/>
  <c r="J3774" i="1"/>
  <c r="K3774" i="1"/>
  <c r="BE3774" i="1"/>
  <c r="BF3774" i="1"/>
  <c r="BG3774" i="1"/>
  <c r="E3775" i="1"/>
  <c r="G3775" i="1"/>
  <c r="J3775" i="1"/>
  <c r="K3775" i="1"/>
  <c r="BE3775" i="1"/>
  <c r="BF3775" i="1"/>
  <c r="BG3775" i="1"/>
  <c r="E3776" i="1"/>
  <c r="G3776" i="1"/>
  <c r="J3776" i="1"/>
  <c r="K3776" i="1"/>
  <c r="BE3776" i="1"/>
  <c r="BF3776" i="1"/>
  <c r="BG3776" i="1"/>
  <c r="E3777" i="1"/>
  <c r="G3777" i="1"/>
  <c r="J3777" i="1"/>
  <c r="K3777" i="1"/>
  <c r="BE3777" i="1"/>
  <c r="BF3777" i="1"/>
  <c r="BG3777" i="1"/>
  <c r="E3778" i="1"/>
  <c r="G3778" i="1"/>
  <c r="J3778" i="1"/>
  <c r="K3778" i="1"/>
  <c r="BE3778" i="1"/>
  <c r="BF3778" i="1"/>
  <c r="BG3778" i="1"/>
  <c r="E3779" i="1"/>
  <c r="G3779" i="1"/>
  <c r="J3779" i="1"/>
  <c r="K3779" i="1"/>
  <c r="BE3779" i="1"/>
  <c r="BF3779" i="1"/>
  <c r="BG3779" i="1"/>
  <c r="E3780" i="1"/>
  <c r="G3780" i="1"/>
  <c r="J3780" i="1"/>
  <c r="K3780" i="1"/>
  <c r="BE3780" i="1"/>
  <c r="BF3780" i="1"/>
  <c r="BG3780" i="1"/>
  <c r="E3781" i="1"/>
  <c r="G3781" i="1"/>
  <c r="J3781" i="1"/>
  <c r="K3781" i="1"/>
  <c r="BE3781" i="1"/>
  <c r="BF3781" i="1"/>
  <c r="BG3781" i="1"/>
  <c r="E3782" i="1"/>
  <c r="G3782" i="1"/>
  <c r="J3782" i="1"/>
  <c r="K3782" i="1"/>
  <c r="BE3782" i="1"/>
  <c r="BF3782" i="1"/>
  <c r="BG3782" i="1"/>
  <c r="E3783" i="1"/>
  <c r="G3783" i="1"/>
  <c r="J3783" i="1"/>
  <c r="K3783" i="1"/>
  <c r="BE3783" i="1"/>
  <c r="BF3783" i="1"/>
  <c r="BG3783" i="1"/>
  <c r="E3784" i="1"/>
  <c r="G3784" i="1"/>
  <c r="J3784" i="1"/>
  <c r="K3784" i="1"/>
  <c r="BE3784" i="1"/>
  <c r="BF3784" i="1"/>
  <c r="BG3784" i="1"/>
  <c r="E6198" i="1"/>
  <c r="G6198" i="1"/>
  <c r="J6198" i="1"/>
  <c r="K6198" i="1"/>
  <c r="BE6198" i="1"/>
  <c r="BF6198" i="1"/>
  <c r="BG6198" i="1"/>
  <c r="E6199" i="1"/>
  <c r="G6199" i="1"/>
  <c r="J6199" i="1"/>
  <c r="K6199" i="1"/>
  <c r="BE6199" i="1"/>
  <c r="BF6199" i="1"/>
  <c r="BG6199" i="1"/>
  <c r="E6200" i="1"/>
  <c r="G6200" i="1"/>
  <c r="J6200" i="1"/>
  <c r="K6200" i="1"/>
  <c r="BE6200" i="1"/>
  <c r="BF6200" i="1"/>
  <c r="BG6200" i="1"/>
  <c r="E3703" i="1"/>
  <c r="G3703" i="1"/>
  <c r="J3703" i="1"/>
  <c r="K3703" i="1"/>
  <c r="BE3703" i="1"/>
  <c r="BF3703" i="1"/>
  <c r="BG3703" i="1"/>
  <c r="E6201" i="1"/>
  <c r="G6201" i="1"/>
  <c r="J6201" i="1"/>
  <c r="K6201" i="1"/>
  <c r="BE6201" i="1"/>
  <c r="BF6201" i="1"/>
  <c r="BG6201" i="1"/>
  <c r="E6202" i="1"/>
  <c r="G6202" i="1"/>
  <c r="J6202" i="1"/>
  <c r="K6202" i="1"/>
  <c r="BE6202" i="1"/>
  <c r="BF6202" i="1"/>
  <c r="BG6202" i="1"/>
  <c r="E6203" i="1"/>
  <c r="G6203" i="1"/>
  <c r="J6203" i="1"/>
  <c r="K6203" i="1"/>
  <c r="BE6203" i="1"/>
  <c r="BF6203" i="1"/>
  <c r="BG6203" i="1"/>
  <c r="E6204" i="1"/>
  <c r="G6204" i="1"/>
  <c r="J6204" i="1"/>
  <c r="K6204" i="1"/>
  <c r="BE6204" i="1"/>
  <c r="BF6204" i="1"/>
  <c r="BG6204" i="1"/>
  <c r="E6205" i="1"/>
  <c r="G6205" i="1"/>
  <c r="J6205" i="1"/>
  <c r="K6205" i="1"/>
  <c r="BE6205" i="1"/>
  <c r="BF6205" i="1"/>
  <c r="BG6205" i="1"/>
  <c r="E139" i="1"/>
  <c r="G139" i="1"/>
  <c r="J139" i="1"/>
  <c r="K139" i="1"/>
  <c r="BE139" i="1"/>
  <c r="BF139" i="1"/>
  <c r="BG139" i="1"/>
  <c r="E140" i="1"/>
  <c r="G140" i="1"/>
  <c r="J140" i="1"/>
  <c r="K140" i="1"/>
  <c r="BE140" i="1"/>
  <c r="BF140" i="1"/>
  <c r="BG140" i="1"/>
  <c r="E845" i="1"/>
  <c r="G845" i="1"/>
  <c r="J845" i="1"/>
  <c r="K845" i="1"/>
  <c r="BE845" i="1"/>
  <c r="BF845" i="1"/>
  <c r="BG845" i="1"/>
  <c r="E6206" i="1"/>
  <c r="G6206" i="1"/>
  <c r="J6206" i="1"/>
  <c r="K6206" i="1"/>
  <c r="BE6206" i="1"/>
  <c r="BF6206" i="1"/>
  <c r="BG6206" i="1"/>
  <c r="E6207" i="1"/>
  <c r="G6207" i="1"/>
  <c r="J6207" i="1"/>
  <c r="K6207" i="1"/>
  <c r="BE6207" i="1"/>
  <c r="BF6207" i="1"/>
  <c r="BG6207" i="1"/>
  <c r="E6208" i="1"/>
  <c r="G6208" i="1"/>
  <c r="J6208" i="1"/>
  <c r="K6208" i="1"/>
  <c r="BE6208" i="1"/>
  <c r="BF6208" i="1"/>
  <c r="BG6208" i="1"/>
  <c r="E6209" i="1"/>
  <c r="G6209" i="1"/>
  <c r="J6209" i="1"/>
  <c r="K6209" i="1"/>
  <c r="BE6209" i="1"/>
  <c r="BF6209" i="1"/>
  <c r="BG6209" i="1"/>
  <c r="E4660" i="1"/>
  <c r="G4660" i="1"/>
  <c r="J4660" i="1"/>
  <c r="K4660" i="1"/>
  <c r="BE4660" i="1"/>
  <c r="BF4660" i="1"/>
  <c r="BG4660" i="1"/>
  <c r="E6210" i="1"/>
  <c r="G6210" i="1"/>
  <c r="J6210" i="1"/>
  <c r="K6210" i="1"/>
  <c r="BE6210" i="1"/>
  <c r="BF6210" i="1"/>
  <c r="BG6210" i="1"/>
  <c r="E6211" i="1"/>
  <c r="G6211" i="1"/>
  <c r="J6211" i="1"/>
  <c r="K6211" i="1"/>
  <c r="BE6211" i="1"/>
  <c r="BF6211" i="1"/>
  <c r="BG6211" i="1"/>
  <c r="E6212" i="1"/>
  <c r="G6212" i="1"/>
  <c r="J6212" i="1"/>
  <c r="K6212" i="1"/>
  <c r="BE6212" i="1"/>
  <c r="BF6212" i="1"/>
  <c r="BG6212" i="1"/>
  <c r="E6213" i="1"/>
  <c r="G6213" i="1"/>
  <c r="J6213" i="1"/>
  <c r="K6213" i="1"/>
  <c r="BE6213" i="1"/>
  <c r="BF6213" i="1"/>
  <c r="BG6213" i="1"/>
  <c r="E6214" i="1"/>
  <c r="G6214" i="1"/>
  <c r="J6214" i="1"/>
  <c r="K6214" i="1"/>
  <c r="BE6214" i="1"/>
  <c r="BF6214" i="1"/>
  <c r="BG6214" i="1"/>
  <c r="E6215" i="1"/>
  <c r="G6215" i="1"/>
  <c r="J6215" i="1"/>
  <c r="K6215" i="1"/>
  <c r="BE6215" i="1"/>
  <c r="BF6215" i="1"/>
  <c r="BG6215" i="1"/>
  <c r="E6216" i="1"/>
  <c r="G6216" i="1"/>
  <c r="J6216" i="1"/>
  <c r="K6216" i="1"/>
  <c r="BE6216" i="1"/>
  <c r="BF6216" i="1"/>
  <c r="BG6216" i="1"/>
  <c r="E6217" i="1"/>
  <c r="G6217" i="1"/>
  <c r="J6217" i="1"/>
  <c r="K6217" i="1"/>
  <c r="BE6217" i="1"/>
  <c r="BF6217" i="1"/>
  <c r="BG6217" i="1"/>
  <c r="E6218" i="1"/>
  <c r="G6218" i="1"/>
  <c r="J6218" i="1"/>
  <c r="K6218" i="1"/>
  <c r="BE6218" i="1"/>
  <c r="BF6218" i="1"/>
  <c r="BG6218" i="1"/>
  <c r="E6219" i="1"/>
  <c r="G6219" i="1"/>
  <c r="J6219" i="1"/>
  <c r="K6219" i="1"/>
  <c r="BE6219" i="1"/>
  <c r="BF6219" i="1"/>
  <c r="BG6219" i="1"/>
  <c r="E6220" i="1"/>
  <c r="G6220" i="1"/>
  <c r="J6220" i="1"/>
  <c r="K6220" i="1"/>
  <c r="BE6220" i="1"/>
  <c r="BF6220" i="1"/>
  <c r="BG6220" i="1"/>
  <c r="E260" i="1"/>
  <c r="G260" i="1"/>
  <c r="J260" i="1"/>
  <c r="K260" i="1"/>
  <c r="BE260" i="1"/>
  <c r="BF260" i="1"/>
  <c r="BG260" i="1"/>
  <c r="E261" i="1"/>
  <c r="G261" i="1"/>
  <c r="J261" i="1"/>
  <c r="K261" i="1"/>
  <c r="BE261" i="1"/>
  <c r="BF261" i="1"/>
  <c r="BG261" i="1"/>
  <c r="E262" i="1"/>
  <c r="G262" i="1"/>
  <c r="J262" i="1"/>
  <c r="K262" i="1"/>
  <c r="BE262" i="1"/>
  <c r="BF262" i="1"/>
  <c r="BG262" i="1"/>
  <c r="E263" i="1"/>
  <c r="G263" i="1"/>
  <c r="J263" i="1"/>
  <c r="K263" i="1"/>
  <c r="BE263" i="1"/>
  <c r="BF263" i="1"/>
  <c r="BG263" i="1"/>
  <c r="E264" i="1"/>
  <c r="G264" i="1"/>
  <c r="J264" i="1"/>
  <c r="K264" i="1"/>
  <c r="BE264" i="1"/>
  <c r="BF264" i="1"/>
  <c r="BG264" i="1"/>
  <c r="E265" i="1"/>
  <c r="G265" i="1"/>
  <c r="J265" i="1"/>
  <c r="K265" i="1"/>
  <c r="BE265" i="1"/>
  <c r="BF265" i="1"/>
  <c r="BG265" i="1"/>
  <c r="E266" i="1"/>
  <c r="G266" i="1"/>
  <c r="J266" i="1"/>
  <c r="K266" i="1"/>
  <c r="BE266" i="1"/>
  <c r="BF266" i="1"/>
  <c r="BG266" i="1"/>
  <c r="E267" i="1"/>
  <c r="G267" i="1"/>
  <c r="J267" i="1"/>
  <c r="K267" i="1"/>
  <c r="BE267" i="1"/>
  <c r="BF267" i="1"/>
  <c r="BG267" i="1"/>
  <c r="E268" i="1"/>
  <c r="G268" i="1"/>
  <c r="J268" i="1"/>
  <c r="K268" i="1"/>
  <c r="BE268" i="1"/>
  <c r="BF268" i="1"/>
  <c r="BG268" i="1"/>
  <c r="E269" i="1"/>
  <c r="G269" i="1"/>
  <c r="J269" i="1"/>
  <c r="K269" i="1"/>
  <c r="BE269" i="1"/>
  <c r="BF269" i="1"/>
  <c r="BG269" i="1"/>
  <c r="E270" i="1"/>
  <c r="G270" i="1"/>
  <c r="J270" i="1"/>
  <c r="K270" i="1"/>
  <c r="BE270" i="1"/>
  <c r="BF270" i="1"/>
  <c r="BG270" i="1"/>
  <c r="E4090" i="1"/>
  <c r="G4090" i="1"/>
  <c r="J4090" i="1"/>
  <c r="K4090" i="1"/>
  <c r="BE4090" i="1"/>
  <c r="BF4090" i="1"/>
  <c r="BG4090" i="1"/>
  <c r="E6866" i="1"/>
  <c r="G6866" i="1"/>
  <c r="J6866" i="1"/>
  <c r="BE6866" i="1"/>
  <c r="BF6866" i="1"/>
  <c r="BG6866" i="1"/>
  <c r="E554" i="1"/>
  <c r="G554" i="1"/>
  <c r="J554" i="1"/>
  <c r="K554" i="1"/>
  <c r="BE554" i="1"/>
  <c r="BF554" i="1"/>
  <c r="BG554" i="1"/>
  <c r="E2244" i="1"/>
  <c r="G2244" i="1"/>
  <c r="J2244" i="1"/>
  <c r="K2244" i="1"/>
  <c r="BE2244" i="1"/>
  <c r="BF2244" i="1"/>
  <c r="BG2244" i="1"/>
  <c r="E2245" i="1"/>
  <c r="G2245" i="1"/>
  <c r="J2245" i="1"/>
  <c r="K2245" i="1"/>
  <c r="BE2245" i="1"/>
  <c r="BF2245" i="1"/>
  <c r="BG2245" i="1"/>
  <c r="E2246" i="1"/>
  <c r="G2246" i="1"/>
  <c r="J2246" i="1"/>
  <c r="K2246" i="1"/>
  <c r="BE2246" i="1"/>
  <c r="BF2246" i="1"/>
  <c r="BG2246" i="1"/>
  <c r="E2247" i="1"/>
  <c r="G2247" i="1"/>
  <c r="J2247" i="1"/>
  <c r="K2247" i="1"/>
  <c r="BE2247" i="1"/>
  <c r="BF2247" i="1"/>
  <c r="BG2247" i="1"/>
  <c r="E2248" i="1"/>
  <c r="G2248" i="1"/>
  <c r="J2248" i="1"/>
  <c r="K2248" i="1"/>
  <c r="BE2248" i="1"/>
  <c r="BF2248" i="1"/>
  <c r="BG2248" i="1"/>
  <c r="E4452" i="1"/>
  <c r="G4452" i="1"/>
  <c r="J4452" i="1"/>
  <c r="K4452" i="1"/>
  <c r="BE4452" i="1"/>
  <c r="BF4452" i="1"/>
  <c r="BG4452" i="1"/>
  <c r="E4453" i="1"/>
  <c r="G4453" i="1"/>
  <c r="J4453" i="1"/>
  <c r="K4453" i="1"/>
  <c r="BE4453" i="1"/>
  <c r="BF4453" i="1"/>
  <c r="BG4453" i="1"/>
  <c r="E4454" i="1"/>
  <c r="G4454" i="1"/>
  <c r="J4454" i="1"/>
  <c r="K4454" i="1"/>
  <c r="BE4454" i="1"/>
  <c r="BF4454" i="1"/>
  <c r="BG4454" i="1"/>
  <c r="E4455" i="1"/>
  <c r="G4455" i="1"/>
  <c r="J4455" i="1"/>
  <c r="K4455" i="1"/>
  <c r="BE4455" i="1"/>
  <c r="BF4455" i="1"/>
  <c r="BG4455" i="1"/>
  <c r="E4456" i="1"/>
  <c r="G4456" i="1"/>
  <c r="J4456" i="1"/>
  <c r="K4456" i="1"/>
  <c r="BE4456" i="1"/>
  <c r="BF4456" i="1"/>
  <c r="BG4456" i="1"/>
  <c r="E4457" i="1"/>
  <c r="G4457" i="1"/>
  <c r="J4457" i="1"/>
  <c r="K4457" i="1"/>
  <c r="BE4457" i="1"/>
  <c r="BF4457" i="1"/>
  <c r="BG4457" i="1"/>
  <c r="E4458" i="1"/>
  <c r="G4458" i="1"/>
  <c r="J4458" i="1"/>
  <c r="K4458" i="1"/>
  <c r="BE4458" i="1"/>
  <c r="BF4458" i="1"/>
  <c r="BG4458" i="1"/>
  <c r="E4459" i="1"/>
  <c r="G4459" i="1"/>
  <c r="J4459" i="1"/>
  <c r="K4459" i="1"/>
  <c r="BE4459" i="1"/>
  <c r="BF4459" i="1"/>
  <c r="BG4459" i="1"/>
  <c r="E4460" i="1"/>
  <c r="G4460" i="1"/>
  <c r="J4460" i="1"/>
  <c r="K4460" i="1"/>
  <c r="BE4460" i="1"/>
  <c r="BF4460" i="1"/>
  <c r="BG4460" i="1"/>
  <c r="E4461" i="1"/>
  <c r="G4461" i="1"/>
  <c r="J4461" i="1"/>
  <c r="K4461" i="1"/>
  <c r="BE4461" i="1"/>
  <c r="BF4461" i="1"/>
  <c r="BG4461" i="1"/>
  <c r="E4462" i="1"/>
  <c r="G4462" i="1"/>
  <c r="J4462" i="1"/>
  <c r="K4462" i="1"/>
  <c r="BE4462" i="1"/>
  <c r="BF4462" i="1"/>
  <c r="BG4462" i="1"/>
  <c r="E4463" i="1"/>
  <c r="G4463" i="1"/>
  <c r="J4463" i="1"/>
  <c r="K4463" i="1"/>
  <c r="BE4463" i="1"/>
  <c r="BF4463" i="1"/>
  <c r="BG4463" i="1"/>
  <c r="E4464" i="1"/>
  <c r="G4464" i="1"/>
  <c r="J4464" i="1"/>
  <c r="K4464" i="1"/>
  <c r="BE4464" i="1"/>
  <c r="BF4464" i="1"/>
  <c r="BG4464" i="1"/>
  <c r="E4465" i="1"/>
  <c r="G4465" i="1"/>
  <c r="J4465" i="1"/>
  <c r="K4465" i="1"/>
  <c r="BE4465" i="1"/>
  <c r="BF4465" i="1"/>
  <c r="BG4465" i="1"/>
  <c r="E4466" i="1"/>
  <c r="G4466" i="1"/>
  <c r="J4466" i="1"/>
  <c r="K4466" i="1"/>
  <c r="BE4466" i="1"/>
  <c r="BF4466" i="1"/>
  <c r="BG4466" i="1"/>
  <c r="E4467" i="1"/>
  <c r="G4467" i="1"/>
  <c r="J4467" i="1"/>
  <c r="K4467" i="1"/>
  <c r="BE4467" i="1"/>
  <c r="BF4467" i="1"/>
  <c r="BG4467" i="1"/>
  <c r="E4468" i="1"/>
  <c r="G4468" i="1"/>
  <c r="J4468" i="1"/>
  <c r="K4468" i="1"/>
  <c r="BE4468" i="1"/>
  <c r="BF4468" i="1"/>
  <c r="BG4468" i="1"/>
  <c r="E4469" i="1"/>
  <c r="G4469" i="1"/>
  <c r="J4469" i="1"/>
  <c r="K4469" i="1"/>
  <c r="BE4469" i="1"/>
  <c r="BF4469" i="1"/>
  <c r="BG4469" i="1"/>
  <c r="E4470" i="1"/>
  <c r="G4470" i="1"/>
  <c r="J4470" i="1"/>
  <c r="K4470" i="1"/>
  <c r="BE4470" i="1"/>
  <c r="BF4470" i="1"/>
  <c r="BG4470" i="1"/>
  <c r="E4471" i="1"/>
  <c r="G4471" i="1"/>
  <c r="J4471" i="1"/>
  <c r="K4471" i="1"/>
  <c r="BE4471" i="1"/>
  <c r="BF4471" i="1"/>
  <c r="BG4471" i="1"/>
  <c r="E4472" i="1"/>
  <c r="G4472" i="1"/>
  <c r="J4472" i="1"/>
  <c r="K4472" i="1"/>
  <c r="BE4472" i="1"/>
  <c r="BF4472" i="1"/>
  <c r="BG4472" i="1"/>
  <c r="E4473" i="1"/>
  <c r="G4473" i="1"/>
  <c r="J4473" i="1"/>
  <c r="K4473" i="1"/>
  <c r="BE4473" i="1"/>
  <c r="BF4473" i="1"/>
  <c r="BG4473" i="1"/>
  <c r="E4474" i="1"/>
  <c r="G4474" i="1"/>
  <c r="J4474" i="1"/>
  <c r="K4474" i="1"/>
  <c r="BE4474" i="1"/>
  <c r="BF4474" i="1"/>
  <c r="BG4474" i="1"/>
  <c r="E4475" i="1"/>
  <c r="G4475" i="1"/>
  <c r="J4475" i="1"/>
  <c r="K4475" i="1"/>
  <c r="BE4475" i="1"/>
  <c r="BF4475" i="1"/>
  <c r="BG4475" i="1"/>
  <c r="E4476" i="1"/>
  <c r="G4476" i="1"/>
  <c r="J4476" i="1"/>
  <c r="K4476" i="1"/>
  <c r="BE4476" i="1"/>
  <c r="BF4476" i="1"/>
  <c r="BG4476" i="1"/>
  <c r="E5035" i="1"/>
  <c r="G5035" i="1"/>
  <c r="J5035" i="1"/>
  <c r="K5035" i="1"/>
  <c r="BE5035" i="1"/>
  <c r="BF5035" i="1"/>
  <c r="BG5035" i="1"/>
  <c r="E5036" i="1"/>
  <c r="G5036" i="1"/>
  <c r="J5036" i="1"/>
  <c r="K5036" i="1"/>
  <c r="BE5036" i="1"/>
  <c r="BF5036" i="1"/>
  <c r="BG5036" i="1"/>
  <c r="E839" i="1"/>
  <c r="G839" i="1"/>
  <c r="J839" i="1"/>
  <c r="K839" i="1"/>
  <c r="BE839" i="1"/>
  <c r="BF839" i="1"/>
  <c r="BG839" i="1"/>
  <c r="E840" i="1"/>
  <c r="G840" i="1"/>
  <c r="J840" i="1"/>
  <c r="K840" i="1"/>
  <c r="BE840" i="1"/>
  <c r="BF840" i="1"/>
  <c r="BG840" i="1"/>
  <c r="E841" i="1"/>
  <c r="G841" i="1"/>
  <c r="J841" i="1"/>
  <c r="K841" i="1"/>
  <c r="BE841" i="1"/>
  <c r="BF841" i="1"/>
  <c r="BG841" i="1"/>
  <c r="E5037" i="1"/>
  <c r="G5037" i="1"/>
  <c r="J5037" i="1"/>
  <c r="K5037" i="1"/>
  <c r="BE5037" i="1"/>
  <c r="BF5037" i="1"/>
  <c r="BG5037" i="1"/>
  <c r="E5038" i="1"/>
  <c r="G5038" i="1"/>
  <c r="J5038" i="1"/>
  <c r="K5038" i="1"/>
  <c r="BE5038" i="1"/>
  <c r="BF5038" i="1"/>
  <c r="BG5038" i="1"/>
  <c r="E5039" i="1"/>
  <c r="G5039" i="1"/>
  <c r="J5039" i="1"/>
  <c r="K5039" i="1"/>
  <c r="BE5039" i="1"/>
  <c r="BF5039" i="1"/>
  <c r="BG5039" i="1"/>
  <c r="E5040" i="1"/>
  <c r="G5040" i="1"/>
  <c r="J5040" i="1"/>
  <c r="K5040" i="1"/>
  <c r="BE5040" i="1"/>
  <c r="BF5040" i="1"/>
  <c r="BG5040" i="1"/>
  <c r="E4477" i="1"/>
  <c r="G4477" i="1"/>
  <c r="J4477" i="1"/>
  <c r="K4477" i="1"/>
  <c r="BE4477" i="1"/>
  <c r="BF4477" i="1"/>
  <c r="BG4477" i="1"/>
  <c r="E5041" i="1"/>
  <c r="G5041" i="1"/>
  <c r="J5041" i="1"/>
  <c r="K5041" i="1"/>
  <c r="BE5041" i="1"/>
  <c r="BF5041" i="1"/>
  <c r="BG5041" i="1"/>
  <c r="E5042" i="1"/>
  <c r="G5042" i="1"/>
  <c r="J5042" i="1"/>
  <c r="K5042" i="1"/>
  <c r="BE5042" i="1"/>
  <c r="BF5042" i="1"/>
  <c r="BG5042" i="1"/>
  <c r="E4478" i="1"/>
  <c r="G4478" i="1"/>
  <c r="J4478" i="1"/>
  <c r="K4478" i="1"/>
  <c r="BE4478" i="1"/>
  <c r="BF4478" i="1"/>
  <c r="BG4478" i="1"/>
  <c r="E5043" i="1"/>
  <c r="G5043" i="1"/>
  <c r="J5043" i="1"/>
  <c r="K5043" i="1"/>
  <c r="BE5043" i="1"/>
  <c r="BF5043" i="1"/>
  <c r="BG5043" i="1"/>
  <c r="E5044" i="1"/>
  <c r="G5044" i="1"/>
  <c r="J5044" i="1"/>
  <c r="K5044" i="1"/>
  <c r="BE5044" i="1"/>
  <c r="BF5044" i="1"/>
  <c r="BG5044" i="1"/>
  <c r="E5045" i="1"/>
  <c r="G5045" i="1"/>
  <c r="J5045" i="1"/>
  <c r="K5045" i="1"/>
  <c r="BE5045" i="1"/>
  <c r="BF5045" i="1"/>
  <c r="BG5045" i="1"/>
  <c r="E124" i="1"/>
  <c r="G124" i="1"/>
  <c r="J124" i="1"/>
  <c r="K124" i="1"/>
  <c r="BE124" i="1"/>
  <c r="BF124" i="1"/>
  <c r="BG124" i="1"/>
  <c r="E836" i="1"/>
  <c r="G836" i="1"/>
  <c r="J836" i="1"/>
  <c r="K836" i="1"/>
  <c r="BE836" i="1"/>
  <c r="BF836" i="1"/>
  <c r="BG836" i="1"/>
  <c r="E77" i="1"/>
  <c r="G77" i="1"/>
  <c r="J77" i="1"/>
  <c r="K77" i="1"/>
  <c r="BE77" i="1"/>
  <c r="BF77" i="1"/>
  <c r="BG77" i="1"/>
  <c r="E78" i="1"/>
  <c r="G78" i="1"/>
  <c r="J78" i="1"/>
  <c r="K78" i="1"/>
  <c r="BE78" i="1"/>
  <c r="BF78" i="1"/>
  <c r="BG78" i="1"/>
  <c r="E5046" i="1"/>
  <c r="G5046" i="1"/>
  <c r="J5046" i="1"/>
  <c r="K5046" i="1"/>
  <c r="BE5046" i="1"/>
  <c r="BF5046" i="1"/>
  <c r="BG5046" i="1"/>
  <c r="E4479" i="1"/>
  <c r="G4479" i="1"/>
  <c r="J4479" i="1"/>
  <c r="K4479" i="1"/>
  <c r="BE4479" i="1"/>
  <c r="BF4479" i="1"/>
  <c r="BG4479" i="1"/>
  <c r="E5047" i="1"/>
  <c r="G5047" i="1"/>
  <c r="J5047" i="1"/>
  <c r="K5047" i="1"/>
  <c r="BE5047" i="1"/>
  <c r="BF5047" i="1"/>
  <c r="BG5047" i="1"/>
  <c r="E5048" i="1"/>
  <c r="G5048" i="1"/>
  <c r="J5048" i="1"/>
  <c r="K5048" i="1"/>
  <c r="BE5048" i="1"/>
  <c r="BF5048" i="1"/>
  <c r="BG5048" i="1"/>
  <c r="E5049" i="1"/>
  <c r="G5049" i="1"/>
  <c r="J5049" i="1"/>
  <c r="K5049" i="1"/>
  <c r="BE5049" i="1"/>
  <c r="BF5049" i="1"/>
  <c r="BG5049" i="1"/>
  <c r="E5050" i="1"/>
  <c r="G5050" i="1"/>
  <c r="J5050" i="1"/>
  <c r="K5050" i="1"/>
  <c r="BE5050" i="1"/>
  <c r="BF5050" i="1"/>
  <c r="BG5050" i="1"/>
  <c r="E4480" i="1"/>
  <c r="G4480" i="1"/>
  <c r="J4480" i="1"/>
  <c r="K4480" i="1"/>
  <c r="BE4480" i="1"/>
  <c r="BF4480" i="1"/>
  <c r="BG4480" i="1"/>
  <c r="E4481" i="1"/>
  <c r="G4481" i="1"/>
  <c r="J4481" i="1"/>
  <c r="K4481" i="1"/>
  <c r="BE4481" i="1"/>
  <c r="BF4481" i="1"/>
  <c r="BG4481" i="1"/>
  <c r="E380" i="1"/>
  <c r="G380" i="1"/>
  <c r="J380" i="1"/>
  <c r="K380" i="1"/>
  <c r="BF380" i="1"/>
  <c r="BG380" i="1"/>
  <c r="E381" i="1"/>
  <c r="G381" i="1"/>
  <c r="J381" i="1"/>
  <c r="K381" i="1"/>
  <c r="BF381" i="1"/>
  <c r="BG381" i="1"/>
  <c r="E382" i="1"/>
  <c r="G382" i="1"/>
  <c r="J382" i="1"/>
  <c r="K382" i="1"/>
  <c r="BF382" i="1"/>
  <c r="BG382" i="1"/>
  <c r="E383" i="1"/>
  <c r="G383" i="1"/>
  <c r="J383" i="1"/>
  <c r="K383" i="1"/>
  <c r="BF383" i="1"/>
  <c r="BG383" i="1"/>
  <c r="E384" i="1"/>
  <c r="G384" i="1"/>
  <c r="J384" i="1"/>
  <c r="K384" i="1"/>
  <c r="BF384" i="1"/>
  <c r="BG384" i="1"/>
  <c r="E385" i="1"/>
  <c r="G385" i="1"/>
  <c r="J385" i="1"/>
  <c r="K385" i="1"/>
  <c r="BF385" i="1"/>
  <c r="BG385" i="1"/>
  <c r="E386" i="1"/>
  <c r="G386" i="1"/>
  <c r="J386" i="1"/>
  <c r="K386" i="1"/>
  <c r="BF386" i="1"/>
  <c r="BG386" i="1"/>
  <c r="E387" i="1"/>
  <c r="G387" i="1"/>
  <c r="J387" i="1"/>
  <c r="K387" i="1"/>
  <c r="BF387" i="1"/>
  <c r="BG387" i="1"/>
  <c r="E388" i="1"/>
  <c r="G388" i="1"/>
  <c r="J388" i="1"/>
  <c r="K388" i="1"/>
  <c r="BF388" i="1"/>
  <c r="BG388" i="1"/>
  <c r="E4482" i="1"/>
  <c r="G4482" i="1"/>
  <c r="J4482" i="1"/>
  <c r="K4482" i="1"/>
  <c r="BE4482" i="1"/>
  <c r="BF4482" i="1"/>
  <c r="BG4482" i="1"/>
  <c r="E4483" i="1"/>
  <c r="G4483" i="1"/>
  <c r="J4483" i="1"/>
  <c r="K4483" i="1"/>
  <c r="BE4483" i="1"/>
  <c r="BF4483" i="1"/>
  <c r="BG4483" i="1"/>
  <c r="E5051" i="1"/>
  <c r="G5051" i="1"/>
  <c r="J5051" i="1"/>
  <c r="K5051" i="1"/>
  <c r="BE5051" i="1"/>
  <c r="BF5051" i="1"/>
  <c r="BG5051" i="1"/>
  <c r="E5052" i="1"/>
  <c r="G5052" i="1"/>
  <c r="J5052" i="1"/>
  <c r="K5052" i="1"/>
  <c r="BE5052" i="1"/>
  <c r="BF5052" i="1"/>
  <c r="BG5052" i="1"/>
  <c r="E5053" i="1"/>
  <c r="G5053" i="1"/>
  <c r="J5053" i="1"/>
  <c r="K5053" i="1"/>
  <c r="BE5053" i="1"/>
  <c r="BF5053" i="1"/>
  <c r="BG5053" i="1"/>
  <c r="E5054" i="1"/>
  <c r="G5054" i="1"/>
  <c r="J5054" i="1"/>
  <c r="K5054" i="1"/>
  <c r="BE5054" i="1"/>
  <c r="BF5054" i="1"/>
  <c r="BG5054" i="1"/>
  <c r="E4484" i="1"/>
  <c r="G4484" i="1"/>
  <c r="J4484" i="1"/>
  <c r="K4484" i="1"/>
  <c r="BE4484" i="1"/>
  <c r="BF4484" i="1"/>
  <c r="BG4484" i="1"/>
  <c r="E4485" i="1"/>
  <c r="G4485" i="1"/>
  <c r="J4485" i="1"/>
  <c r="K4485" i="1"/>
  <c r="BE4485" i="1"/>
  <c r="BF4485" i="1"/>
  <c r="BG4485" i="1"/>
  <c r="E5055" i="1"/>
  <c r="G5055" i="1"/>
  <c r="J5055" i="1"/>
  <c r="K5055" i="1"/>
  <c r="BE5055" i="1"/>
  <c r="BF5055" i="1"/>
  <c r="BG5055" i="1"/>
  <c r="E5056" i="1"/>
  <c r="G5056" i="1"/>
  <c r="J5056" i="1"/>
  <c r="K5056" i="1"/>
  <c r="BE5056" i="1"/>
  <c r="BF5056" i="1"/>
  <c r="BG5056" i="1"/>
  <c r="E4486" i="1"/>
  <c r="G4486" i="1"/>
  <c r="J4486" i="1"/>
  <c r="K4486" i="1"/>
  <c r="BE4486" i="1"/>
  <c r="BF4486" i="1"/>
  <c r="BG4486" i="1"/>
  <c r="E6867" i="1"/>
  <c r="G6867" i="1"/>
  <c r="J6867" i="1"/>
  <c r="BE6867" i="1"/>
  <c r="BF6867" i="1"/>
  <c r="BG6867" i="1"/>
  <c r="E5057" i="1"/>
  <c r="G5057" i="1"/>
  <c r="J5057" i="1"/>
  <c r="K5057" i="1"/>
  <c r="BE5057" i="1"/>
  <c r="BF5057" i="1"/>
  <c r="BG5057" i="1"/>
  <c r="E5058" i="1"/>
  <c r="G5058" i="1"/>
  <c r="J5058" i="1"/>
  <c r="K5058" i="1"/>
  <c r="BE5058" i="1"/>
  <c r="BF5058" i="1"/>
  <c r="BG5058" i="1"/>
  <c r="E5059" i="1"/>
  <c r="G5059" i="1"/>
  <c r="J5059" i="1"/>
  <c r="K5059" i="1"/>
  <c r="BE5059" i="1"/>
  <c r="BF5059" i="1"/>
  <c r="BG5059" i="1"/>
  <c r="E6221" i="1"/>
  <c r="G6221" i="1"/>
  <c r="J6221" i="1"/>
  <c r="K6221" i="1"/>
  <c r="BE6221" i="1"/>
  <c r="BF6221" i="1"/>
  <c r="BG6221" i="1"/>
  <c r="E6222" i="1"/>
  <c r="G6222" i="1"/>
  <c r="J6222" i="1"/>
  <c r="K6222" i="1"/>
  <c r="BE6222" i="1"/>
  <c r="BF6222" i="1"/>
  <c r="BG6222" i="1"/>
  <c r="E6223" i="1"/>
  <c r="G6223" i="1"/>
  <c r="J6223" i="1"/>
  <c r="K6223" i="1"/>
  <c r="BE6223" i="1"/>
  <c r="BF6223" i="1"/>
  <c r="BG6223" i="1"/>
  <c r="E6224" i="1"/>
  <c r="G6224" i="1"/>
  <c r="J6224" i="1"/>
  <c r="K6224" i="1"/>
  <c r="BE6224" i="1"/>
  <c r="BF6224" i="1"/>
  <c r="BG6224" i="1"/>
  <c r="E6225" i="1"/>
  <c r="G6225" i="1"/>
  <c r="J6225" i="1"/>
  <c r="K6225" i="1"/>
  <c r="BE6225" i="1"/>
  <c r="BF6225" i="1"/>
  <c r="BG6225" i="1"/>
  <c r="E6226" i="1"/>
  <c r="G6226" i="1"/>
  <c r="J6226" i="1"/>
  <c r="K6226" i="1"/>
  <c r="BE6226" i="1"/>
  <c r="BF6226" i="1"/>
  <c r="BG6226" i="1"/>
  <c r="E6227" i="1"/>
  <c r="G6227" i="1"/>
  <c r="J6227" i="1"/>
  <c r="K6227" i="1"/>
  <c r="BE6227" i="1"/>
  <c r="BF6227" i="1"/>
  <c r="BG6227" i="1"/>
  <c r="E6228" i="1"/>
  <c r="G6228" i="1"/>
  <c r="J6228" i="1"/>
  <c r="K6228" i="1"/>
  <c r="BE6228" i="1"/>
  <c r="BF6228" i="1"/>
  <c r="BG6228" i="1"/>
  <c r="E6229" i="1"/>
  <c r="G6229" i="1"/>
  <c r="J6229" i="1"/>
  <c r="K6229" i="1"/>
  <c r="BE6229" i="1"/>
  <c r="BF6229" i="1"/>
  <c r="BG6229" i="1"/>
  <c r="E6230" i="1"/>
  <c r="G6230" i="1"/>
  <c r="J6230" i="1"/>
  <c r="K6230" i="1"/>
  <c r="BE6230" i="1"/>
  <c r="BF6230" i="1"/>
  <c r="BG6230" i="1"/>
  <c r="E5060" i="1"/>
  <c r="G5060" i="1"/>
  <c r="J5060" i="1"/>
  <c r="K5060" i="1"/>
  <c r="BE5060" i="1"/>
  <c r="BF5060" i="1"/>
  <c r="BG5060" i="1"/>
  <c r="E5061" i="1"/>
  <c r="G5061" i="1"/>
  <c r="J5061" i="1"/>
  <c r="K5061" i="1"/>
  <c r="BE5061" i="1"/>
  <c r="BF5061" i="1"/>
  <c r="BG5061" i="1"/>
  <c r="E770" i="1"/>
  <c r="G770" i="1"/>
  <c r="J770" i="1"/>
  <c r="K770" i="1"/>
  <c r="BE770" i="1"/>
  <c r="BF770" i="1"/>
  <c r="BG770" i="1"/>
  <c r="E5062" i="1"/>
  <c r="G5062" i="1"/>
  <c r="J5062" i="1"/>
  <c r="K5062" i="1"/>
  <c r="BE5062" i="1"/>
  <c r="BF5062" i="1"/>
  <c r="BG5062" i="1"/>
  <c r="E5063" i="1"/>
  <c r="G5063" i="1"/>
  <c r="J5063" i="1"/>
  <c r="K5063" i="1"/>
  <c r="BE5063" i="1"/>
  <c r="BF5063" i="1"/>
  <c r="BG5063" i="1"/>
  <c r="E5064" i="1"/>
  <c r="G5064" i="1"/>
  <c r="J5064" i="1"/>
  <c r="K5064" i="1"/>
  <c r="BE5064" i="1"/>
  <c r="BF5064" i="1"/>
  <c r="BG5064" i="1"/>
  <c r="E5065" i="1"/>
  <c r="G5065" i="1"/>
  <c r="J5065" i="1"/>
  <c r="K5065" i="1"/>
  <c r="BE5065" i="1"/>
  <c r="BF5065" i="1"/>
  <c r="BG5065" i="1"/>
  <c r="E5066" i="1"/>
  <c r="G5066" i="1"/>
  <c r="J5066" i="1"/>
  <c r="K5066" i="1"/>
  <c r="BE5066" i="1"/>
  <c r="BF5066" i="1"/>
  <c r="BG5066" i="1"/>
  <c r="E5067" i="1"/>
  <c r="G5067" i="1"/>
  <c r="J5067" i="1"/>
  <c r="K5067" i="1"/>
  <c r="BE5067" i="1"/>
  <c r="BF5067" i="1"/>
  <c r="BG5067" i="1"/>
  <c r="E870" i="1"/>
  <c r="G870" i="1"/>
  <c r="J870" i="1"/>
  <c r="K870" i="1"/>
  <c r="BE870" i="1"/>
  <c r="BF870" i="1"/>
  <c r="BG870" i="1"/>
  <c r="E871" i="1"/>
  <c r="G871" i="1"/>
  <c r="J871" i="1"/>
  <c r="K871" i="1"/>
  <c r="BE871" i="1"/>
  <c r="BF871" i="1"/>
  <c r="BG871" i="1"/>
  <c r="E872" i="1"/>
  <c r="G872" i="1"/>
  <c r="J872" i="1"/>
  <c r="K872" i="1"/>
  <c r="BE872" i="1"/>
  <c r="BF872" i="1"/>
  <c r="BG872" i="1"/>
  <c r="E873" i="1"/>
  <c r="G873" i="1"/>
  <c r="J873" i="1"/>
  <c r="K873" i="1"/>
  <c r="BE873" i="1"/>
  <c r="BF873" i="1"/>
  <c r="BG873" i="1"/>
  <c r="E874" i="1"/>
  <c r="G874" i="1"/>
  <c r="J874" i="1"/>
  <c r="K874" i="1"/>
  <c r="BE874" i="1"/>
  <c r="BF874" i="1"/>
  <c r="BG874" i="1"/>
  <c r="E875" i="1"/>
  <c r="G875" i="1"/>
  <c r="J875" i="1"/>
  <c r="K875" i="1"/>
  <c r="BE875" i="1"/>
  <c r="BF875" i="1"/>
  <c r="BG875" i="1"/>
  <c r="E876" i="1"/>
  <c r="G876" i="1"/>
  <c r="J876" i="1"/>
  <c r="K876" i="1"/>
  <c r="BE876" i="1"/>
  <c r="BF876" i="1"/>
  <c r="BG876" i="1"/>
  <c r="E877" i="1"/>
  <c r="G877" i="1"/>
  <c r="J877" i="1"/>
  <c r="K877" i="1"/>
  <c r="BE877" i="1"/>
  <c r="BF877" i="1"/>
  <c r="BG877" i="1"/>
  <c r="E878" i="1"/>
  <c r="G878" i="1"/>
  <c r="J878" i="1"/>
  <c r="K878" i="1"/>
  <c r="BE878" i="1"/>
  <c r="BF878" i="1"/>
  <c r="BG878" i="1"/>
  <c r="E879" i="1"/>
  <c r="G879" i="1"/>
  <c r="J879" i="1"/>
  <c r="K879" i="1"/>
  <c r="BE879" i="1"/>
  <c r="BF879" i="1"/>
  <c r="BG879" i="1"/>
  <c r="E880" i="1"/>
  <c r="G880" i="1"/>
  <c r="J880" i="1"/>
  <c r="K880" i="1"/>
  <c r="BE880" i="1"/>
  <c r="BF880" i="1"/>
  <c r="BG880" i="1"/>
  <c r="E881" i="1"/>
  <c r="G881" i="1"/>
  <c r="J881" i="1"/>
  <c r="K881" i="1"/>
  <c r="BE881" i="1"/>
  <c r="BF881" i="1"/>
  <c r="BG881" i="1"/>
  <c r="E882" i="1"/>
  <c r="G882" i="1"/>
  <c r="J882" i="1"/>
  <c r="K882" i="1"/>
  <c r="BE882" i="1"/>
  <c r="BF882" i="1"/>
  <c r="BG882" i="1"/>
  <c r="E883" i="1"/>
  <c r="G883" i="1"/>
  <c r="J883" i="1"/>
  <c r="K883" i="1"/>
  <c r="BE883" i="1"/>
  <c r="BF883" i="1"/>
  <c r="BG883" i="1"/>
  <c r="E884" i="1"/>
  <c r="G884" i="1"/>
  <c r="J884" i="1"/>
  <c r="K884" i="1"/>
  <c r="BE884" i="1"/>
  <c r="BF884" i="1"/>
  <c r="BG884" i="1"/>
  <c r="E885" i="1"/>
  <c r="G885" i="1"/>
  <c r="J885" i="1"/>
  <c r="K885" i="1"/>
  <c r="BE885" i="1"/>
  <c r="BF885" i="1"/>
  <c r="BG885" i="1"/>
  <c r="E886" i="1"/>
  <c r="G886" i="1"/>
  <c r="J886" i="1"/>
  <c r="K886" i="1"/>
  <c r="BE886" i="1"/>
  <c r="BF886" i="1"/>
  <c r="BG886" i="1"/>
  <c r="E887" i="1"/>
  <c r="G887" i="1"/>
  <c r="J887" i="1"/>
  <c r="K887" i="1"/>
  <c r="BE887" i="1"/>
  <c r="BF887" i="1"/>
  <c r="BG887" i="1"/>
  <c r="E888" i="1"/>
  <c r="G888" i="1"/>
  <c r="J888" i="1"/>
  <c r="K888" i="1"/>
  <c r="BE888" i="1"/>
  <c r="BF888" i="1"/>
  <c r="BG888" i="1"/>
  <c r="E889" i="1"/>
  <c r="G889" i="1"/>
  <c r="J889" i="1"/>
  <c r="K889" i="1"/>
  <c r="BE889" i="1"/>
  <c r="BF889" i="1"/>
  <c r="BG889" i="1"/>
  <c r="E890" i="1"/>
  <c r="G890" i="1"/>
  <c r="J890" i="1"/>
  <c r="K890" i="1"/>
  <c r="BE890" i="1"/>
  <c r="BF890" i="1"/>
  <c r="BG890" i="1"/>
  <c r="E891" i="1"/>
  <c r="G891" i="1"/>
  <c r="J891" i="1"/>
  <c r="K891" i="1"/>
  <c r="BE891" i="1"/>
  <c r="BF891" i="1"/>
  <c r="BG891" i="1"/>
  <c r="E892" i="1"/>
  <c r="G892" i="1"/>
  <c r="J892" i="1"/>
  <c r="K892" i="1"/>
  <c r="BE892" i="1"/>
  <c r="BF892" i="1"/>
  <c r="BG892" i="1"/>
  <c r="E893" i="1"/>
  <c r="G893" i="1"/>
  <c r="J893" i="1"/>
  <c r="K893" i="1"/>
  <c r="BE893" i="1"/>
  <c r="BF893" i="1"/>
  <c r="BG893" i="1"/>
  <c r="E894" i="1"/>
  <c r="G894" i="1"/>
  <c r="J894" i="1"/>
  <c r="K894" i="1"/>
  <c r="BE894" i="1"/>
  <c r="BF894" i="1"/>
  <c r="BG894" i="1"/>
  <c r="E895" i="1"/>
  <c r="G895" i="1"/>
  <c r="J895" i="1"/>
  <c r="K895" i="1"/>
  <c r="BE895" i="1"/>
  <c r="BF895" i="1"/>
  <c r="BG895" i="1"/>
  <c r="E896" i="1"/>
  <c r="G896" i="1"/>
  <c r="J896" i="1"/>
  <c r="K896" i="1"/>
  <c r="BE896" i="1"/>
  <c r="BF896" i="1"/>
  <c r="BG896" i="1"/>
  <c r="E897" i="1"/>
  <c r="G897" i="1"/>
  <c r="J897" i="1"/>
  <c r="K897" i="1"/>
  <c r="BE897" i="1"/>
  <c r="BF897" i="1"/>
  <c r="BG897" i="1"/>
  <c r="E898" i="1"/>
  <c r="G898" i="1"/>
  <c r="J898" i="1"/>
  <c r="K898" i="1"/>
  <c r="BE898" i="1"/>
  <c r="BF898" i="1"/>
  <c r="BG898" i="1"/>
  <c r="E899" i="1"/>
  <c r="G899" i="1"/>
  <c r="J899" i="1"/>
  <c r="K899" i="1"/>
  <c r="BE899" i="1"/>
  <c r="BF899" i="1"/>
  <c r="BG899" i="1"/>
  <c r="E900" i="1"/>
  <c r="G900" i="1"/>
  <c r="J900" i="1"/>
  <c r="K900" i="1"/>
  <c r="BE900" i="1"/>
  <c r="BF900" i="1"/>
  <c r="BG900" i="1"/>
  <c r="E901" i="1"/>
  <c r="G901" i="1"/>
  <c r="J901" i="1"/>
  <c r="K901" i="1"/>
  <c r="BE901" i="1"/>
  <c r="BF901" i="1"/>
  <c r="BG901" i="1"/>
  <c r="E902" i="1"/>
  <c r="G902" i="1"/>
  <c r="J902" i="1"/>
  <c r="K902" i="1"/>
  <c r="BE902" i="1"/>
  <c r="BF902" i="1"/>
  <c r="BG902" i="1"/>
  <c r="E903" i="1"/>
  <c r="G903" i="1"/>
  <c r="J903" i="1"/>
  <c r="K903" i="1"/>
  <c r="BE903" i="1"/>
  <c r="BF903" i="1"/>
  <c r="BG903" i="1"/>
  <c r="E904" i="1"/>
  <c r="G904" i="1"/>
  <c r="J904" i="1"/>
  <c r="K904" i="1"/>
  <c r="BE904" i="1"/>
  <c r="BF904" i="1"/>
  <c r="BG904" i="1"/>
  <c r="E905" i="1"/>
  <c r="G905" i="1"/>
  <c r="J905" i="1"/>
  <c r="K905" i="1"/>
  <c r="BE905" i="1"/>
  <c r="BF905" i="1"/>
  <c r="BG905" i="1"/>
  <c r="E906" i="1"/>
  <c r="G906" i="1"/>
  <c r="J906" i="1"/>
  <c r="K906" i="1"/>
  <c r="BE906" i="1"/>
  <c r="BF906" i="1"/>
  <c r="BG906" i="1"/>
  <c r="E907" i="1"/>
  <c r="G907" i="1"/>
  <c r="J907" i="1"/>
  <c r="K907" i="1"/>
  <c r="BE907" i="1"/>
  <c r="BF907" i="1"/>
  <c r="BG907" i="1"/>
  <c r="E908" i="1"/>
  <c r="G908" i="1"/>
  <c r="J908" i="1"/>
  <c r="K908" i="1"/>
  <c r="BE908" i="1"/>
  <c r="BF908" i="1"/>
  <c r="BG908" i="1"/>
  <c r="E909" i="1"/>
  <c r="G909" i="1"/>
  <c r="J909" i="1"/>
  <c r="K909" i="1"/>
  <c r="BE909" i="1"/>
  <c r="BF909" i="1"/>
  <c r="BG909" i="1"/>
  <c r="E910" i="1"/>
  <c r="G910" i="1"/>
  <c r="J910" i="1"/>
  <c r="K910" i="1"/>
  <c r="BE910" i="1"/>
  <c r="BF910" i="1"/>
  <c r="BG910" i="1"/>
  <c r="E911" i="1"/>
  <c r="G911" i="1"/>
  <c r="J911" i="1"/>
  <c r="K911" i="1"/>
  <c r="BE911" i="1"/>
  <c r="BF911" i="1"/>
  <c r="BG911" i="1"/>
  <c r="E912" i="1"/>
  <c r="G912" i="1"/>
  <c r="J912" i="1"/>
  <c r="K912" i="1"/>
  <c r="BE912" i="1"/>
  <c r="BF912" i="1"/>
  <c r="BG912" i="1"/>
  <c r="E913" i="1"/>
  <c r="G913" i="1"/>
  <c r="J913" i="1"/>
  <c r="K913" i="1"/>
  <c r="BE913" i="1"/>
  <c r="BF913" i="1"/>
  <c r="BG913" i="1"/>
  <c r="E914" i="1"/>
  <c r="G914" i="1"/>
  <c r="J914" i="1"/>
  <c r="K914" i="1"/>
  <c r="BE914" i="1"/>
  <c r="BF914" i="1"/>
  <c r="BG914" i="1"/>
  <c r="E915" i="1"/>
  <c r="G915" i="1"/>
  <c r="J915" i="1"/>
  <c r="K915" i="1"/>
  <c r="BE915" i="1"/>
  <c r="BF915" i="1"/>
  <c r="BG915" i="1"/>
  <c r="E916" i="1"/>
  <c r="G916" i="1"/>
  <c r="J916" i="1"/>
  <c r="K916" i="1"/>
  <c r="BE916" i="1"/>
  <c r="BF916" i="1"/>
  <c r="BG916" i="1"/>
  <c r="E917" i="1"/>
  <c r="G917" i="1"/>
  <c r="J917" i="1"/>
  <c r="K917" i="1"/>
  <c r="BE917" i="1"/>
  <c r="BF917" i="1"/>
  <c r="BG917" i="1"/>
  <c r="E918" i="1"/>
  <c r="G918" i="1"/>
  <c r="J918" i="1"/>
  <c r="K918" i="1"/>
  <c r="BE918" i="1"/>
  <c r="BF918" i="1"/>
  <c r="BG918" i="1"/>
  <c r="E919" i="1"/>
  <c r="G919" i="1"/>
  <c r="J919" i="1"/>
  <c r="K919" i="1"/>
  <c r="BE919" i="1"/>
  <c r="BF919" i="1"/>
  <c r="BG919" i="1"/>
  <c r="E920" i="1"/>
  <c r="G920" i="1"/>
  <c r="J920" i="1"/>
  <c r="K920" i="1"/>
  <c r="BE920" i="1"/>
  <c r="BF920" i="1"/>
  <c r="BG920" i="1"/>
  <c r="E921" i="1"/>
  <c r="G921" i="1"/>
  <c r="J921" i="1"/>
  <c r="K921" i="1"/>
  <c r="BE921" i="1"/>
  <c r="BF921" i="1"/>
  <c r="BG921" i="1"/>
  <c r="E922" i="1"/>
  <c r="G922" i="1"/>
  <c r="J922" i="1"/>
  <c r="K922" i="1"/>
  <c r="BE922" i="1"/>
  <c r="BF922" i="1"/>
  <c r="BG922" i="1"/>
  <c r="E923" i="1"/>
  <c r="G923" i="1"/>
  <c r="J923" i="1"/>
  <c r="K923" i="1"/>
  <c r="BE923" i="1"/>
  <c r="BF923" i="1"/>
  <c r="BG923" i="1"/>
  <c r="E924" i="1"/>
  <c r="G924" i="1"/>
  <c r="J924" i="1"/>
  <c r="K924" i="1"/>
  <c r="BE924" i="1"/>
  <c r="BF924" i="1"/>
  <c r="BG924" i="1"/>
  <c r="E925" i="1"/>
  <c r="G925" i="1"/>
  <c r="J925" i="1"/>
  <c r="K925" i="1"/>
  <c r="BE925" i="1"/>
  <c r="BF925" i="1"/>
  <c r="BG925" i="1"/>
  <c r="E926" i="1"/>
  <c r="G926" i="1"/>
  <c r="J926" i="1"/>
  <c r="K926" i="1"/>
  <c r="BE926" i="1"/>
  <c r="BF926" i="1"/>
  <c r="BG926" i="1"/>
  <c r="E927" i="1"/>
  <c r="G927" i="1"/>
  <c r="J927" i="1"/>
  <c r="K927" i="1"/>
  <c r="BE927" i="1"/>
  <c r="BF927" i="1"/>
  <c r="BG927" i="1"/>
  <c r="E928" i="1"/>
  <c r="G928" i="1"/>
  <c r="J928" i="1"/>
  <c r="K928" i="1"/>
  <c r="BE928" i="1"/>
  <c r="BF928" i="1"/>
  <c r="BG928" i="1"/>
  <c r="E929" i="1"/>
  <c r="G929" i="1"/>
  <c r="J929" i="1"/>
  <c r="K929" i="1"/>
  <c r="BE929" i="1"/>
  <c r="BF929" i="1"/>
  <c r="BG929" i="1"/>
  <c r="E930" i="1"/>
  <c r="G930" i="1"/>
  <c r="J930" i="1"/>
  <c r="K930" i="1"/>
  <c r="BE930" i="1"/>
  <c r="BF930" i="1"/>
  <c r="BG930" i="1"/>
  <c r="E931" i="1"/>
  <c r="G931" i="1"/>
  <c r="J931" i="1"/>
  <c r="K931" i="1"/>
  <c r="BE931" i="1"/>
  <c r="BF931" i="1"/>
  <c r="BG931" i="1"/>
  <c r="E932" i="1"/>
  <c r="G932" i="1"/>
  <c r="J932" i="1"/>
  <c r="K932" i="1"/>
  <c r="BE932" i="1"/>
  <c r="BF932" i="1"/>
  <c r="BG932" i="1"/>
  <c r="E933" i="1"/>
  <c r="G933" i="1"/>
  <c r="J933" i="1"/>
  <c r="K933" i="1"/>
  <c r="BE933" i="1"/>
  <c r="BF933" i="1"/>
  <c r="BG933" i="1"/>
  <c r="E934" i="1"/>
  <c r="G934" i="1"/>
  <c r="J934" i="1"/>
  <c r="K934" i="1"/>
  <c r="BE934" i="1"/>
  <c r="BF934" i="1"/>
  <c r="BG934" i="1"/>
  <c r="E935" i="1"/>
  <c r="G935" i="1"/>
  <c r="J935" i="1"/>
  <c r="K935" i="1"/>
  <c r="BE935" i="1"/>
  <c r="BF935" i="1"/>
  <c r="BG935" i="1"/>
  <c r="E5068" i="1"/>
  <c r="G5068" i="1"/>
  <c r="J5068" i="1"/>
  <c r="K5068" i="1"/>
  <c r="BE5068" i="1"/>
  <c r="BF5068" i="1"/>
  <c r="BG5068" i="1"/>
  <c r="E5069" i="1"/>
  <c r="G5069" i="1"/>
  <c r="J5069" i="1"/>
  <c r="K5069" i="1"/>
  <c r="BE5069" i="1"/>
  <c r="BF5069" i="1"/>
  <c r="BG5069" i="1"/>
  <c r="E5070" i="1"/>
  <c r="G5070" i="1"/>
  <c r="J5070" i="1"/>
  <c r="K5070" i="1"/>
  <c r="BE5070" i="1"/>
  <c r="BF5070" i="1"/>
  <c r="BG5070" i="1"/>
  <c r="E348" i="1"/>
  <c r="G348" i="1"/>
  <c r="J348" i="1"/>
  <c r="K348" i="1"/>
  <c r="BE348" i="1"/>
  <c r="BF348" i="1"/>
  <c r="BG348" i="1"/>
  <c r="E4487" i="1"/>
  <c r="G4487" i="1"/>
  <c r="J4487" i="1"/>
  <c r="K4487" i="1"/>
  <c r="BE4487" i="1"/>
  <c r="BF4487" i="1"/>
  <c r="BG4487" i="1"/>
  <c r="E4488" i="1"/>
  <c r="G4488" i="1"/>
  <c r="J4488" i="1"/>
  <c r="K4488" i="1"/>
  <c r="BE4488" i="1"/>
  <c r="BF4488" i="1"/>
  <c r="BG4488" i="1"/>
  <c r="E6868" i="1"/>
  <c r="G6868" i="1"/>
  <c r="J6868" i="1"/>
  <c r="BF6868" i="1"/>
  <c r="BG6868" i="1"/>
  <c r="E5071" i="1"/>
  <c r="G5071" i="1"/>
  <c r="J5071" i="1"/>
  <c r="K5071" i="1"/>
  <c r="BE5071" i="1"/>
  <c r="BF5071" i="1"/>
  <c r="BG5071" i="1"/>
  <c r="E5072" i="1"/>
  <c r="G5072" i="1"/>
  <c r="J5072" i="1"/>
  <c r="K5072" i="1"/>
  <c r="BE5072" i="1"/>
  <c r="BF5072" i="1"/>
  <c r="BG5072" i="1"/>
  <c r="E5073" i="1"/>
  <c r="G5073" i="1"/>
  <c r="J5073" i="1"/>
  <c r="K5073" i="1"/>
  <c r="BE5073" i="1"/>
  <c r="BF5073" i="1"/>
  <c r="BG5073" i="1"/>
  <c r="E5074" i="1"/>
  <c r="G5074" i="1"/>
  <c r="J5074" i="1"/>
  <c r="K5074" i="1"/>
  <c r="BE5074" i="1"/>
  <c r="BF5074" i="1"/>
  <c r="BG5074" i="1"/>
  <c r="E5075" i="1"/>
  <c r="G5075" i="1"/>
  <c r="J5075" i="1"/>
  <c r="K5075" i="1"/>
  <c r="BE5075" i="1"/>
  <c r="BF5075" i="1"/>
  <c r="BG5075" i="1"/>
  <c r="E5076" i="1"/>
  <c r="G5076" i="1"/>
  <c r="J5076" i="1"/>
  <c r="K5076" i="1"/>
  <c r="BE5076" i="1"/>
  <c r="BF5076" i="1"/>
  <c r="BG5076" i="1"/>
  <c r="E5077" i="1"/>
  <c r="G5077" i="1"/>
  <c r="J5077" i="1"/>
  <c r="K5077" i="1"/>
  <c r="BE5077" i="1"/>
  <c r="BF5077" i="1"/>
  <c r="BG5077" i="1"/>
  <c r="E5078" i="1"/>
  <c r="G5078" i="1"/>
  <c r="J5078" i="1"/>
  <c r="K5078" i="1"/>
  <c r="BE5078" i="1"/>
  <c r="BF5078" i="1"/>
  <c r="BG5078" i="1"/>
  <c r="E778" i="1"/>
  <c r="G778" i="1"/>
  <c r="J778" i="1"/>
  <c r="K778" i="1"/>
  <c r="BE778" i="1"/>
  <c r="BF778" i="1"/>
  <c r="BG778" i="1"/>
  <c r="E5079" i="1"/>
  <c r="G5079" i="1"/>
  <c r="J5079" i="1"/>
  <c r="K5079" i="1"/>
  <c r="BE5079" i="1"/>
  <c r="BF5079" i="1"/>
  <c r="BG5079" i="1"/>
  <c r="E5080" i="1"/>
  <c r="G5080" i="1"/>
  <c r="J5080" i="1"/>
  <c r="K5080" i="1"/>
  <c r="BE5080" i="1"/>
  <c r="BF5080" i="1"/>
  <c r="BG5080" i="1"/>
  <c r="E5081" i="1"/>
  <c r="G5081" i="1"/>
  <c r="J5081" i="1"/>
  <c r="K5081" i="1"/>
  <c r="BE5081" i="1"/>
  <c r="BF5081" i="1"/>
  <c r="BG5081" i="1"/>
  <c r="E5082" i="1"/>
  <c r="G5082" i="1"/>
  <c r="J5082" i="1"/>
  <c r="K5082" i="1"/>
  <c r="BE5082" i="1"/>
  <c r="BF5082" i="1"/>
  <c r="BG5082" i="1"/>
  <c r="E439" i="1"/>
  <c r="G439" i="1"/>
  <c r="J439" i="1"/>
  <c r="K439" i="1"/>
  <c r="BF439" i="1"/>
  <c r="BG439" i="1"/>
  <c r="E440" i="1"/>
  <c r="G440" i="1"/>
  <c r="J440" i="1"/>
  <c r="K440" i="1"/>
  <c r="BF440" i="1"/>
  <c r="BG440" i="1"/>
  <c r="E441" i="1"/>
  <c r="G441" i="1"/>
  <c r="J441" i="1"/>
  <c r="K441" i="1"/>
  <c r="BF441" i="1"/>
  <c r="BG441" i="1"/>
  <c r="E530" i="1"/>
  <c r="G530" i="1"/>
  <c r="J530" i="1"/>
  <c r="K530" i="1"/>
  <c r="BF530" i="1"/>
  <c r="BG530" i="1"/>
  <c r="E5083" i="1"/>
  <c r="G5083" i="1"/>
  <c r="J5083" i="1"/>
  <c r="K5083" i="1"/>
  <c r="BE5083" i="1"/>
  <c r="BF5083" i="1"/>
  <c r="BG5083" i="1"/>
  <c r="E5084" i="1"/>
  <c r="G5084" i="1"/>
  <c r="J5084" i="1"/>
  <c r="K5084" i="1"/>
  <c r="BE5084" i="1"/>
  <c r="BF5084" i="1"/>
  <c r="BG5084" i="1"/>
  <c r="E5085" i="1"/>
  <c r="G5085" i="1"/>
  <c r="J5085" i="1"/>
  <c r="K5085" i="1"/>
  <c r="BE5085" i="1"/>
  <c r="BF5085" i="1"/>
  <c r="BG5085" i="1"/>
  <c r="E5086" i="1"/>
  <c r="G5086" i="1"/>
  <c r="J5086" i="1"/>
  <c r="K5086" i="1"/>
  <c r="BE5086" i="1"/>
  <c r="BF5086" i="1"/>
  <c r="BG5086" i="1"/>
  <c r="E5087" i="1"/>
  <c r="G5087" i="1"/>
  <c r="J5087" i="1"/>
  <c r="K5087" i="1"/>
  <c r="BE5087" i="1"/>
  <c r="BF5087" i="1"/>
  <c r="BG5087" i="1"/>
  <c r="E5088" i="1"/>
  <c r="G5088" i="1"/>
  <c r="J5088" i="1"/>
  <c r="K5088" i="1"/>
  <c r="BE5088" i="1"/>
  <c r="BF5088" i="1"/>
  <c r="BG5088" i="1"/>
  <c r="E5089" i="1"/>
  <c r="G5089" i="1"/>
  <c r="J5089" i="1"/>
  <c r="K5089" i="1"/>
  <c r="BE5089" i="1"/>
  <c r="BF5089" i="1"/>
  <c r="BG5089" i="1"/>
  <c r="E5090" i="1"/>
  <c r="G5090" i="1"/>
  <c r="J5090" i="1"/>
  <c r="K5090" i="1"/>
  <c r="BE5090" i="1"/>
  <c r="BF5090" i="1"/>
  <c r="BG5090" i="1"/>
  <c r="E578" i="1"/>
  <c r="G578" i="1"/>
  <c r="J578" i="1"/>
  <c r="K578" i="1"/>
  <c r="BF578" i="1"/>
  <c r="BG578" i="1"/>
  <c r="BH578" i="1"/>
  <c r="E5091" i="1"/>
  <c r="G5091" i="1"/>
  <c r="J5091" i="1"/>
  <c r="K5091" i="1"/>
  <c r="BE5091" i="1"/>
  <c r="BF5091" i="1"/>
  <c r="BG5091" i="1"/>
  <c r="E5092" i="1"/>
  <c r="G5092" i="1"/>
  <c r="J5092" i="1"/>
  <c r="K5092" i="1"/>
  <c r="BE5092" i="1"/>
  <c r="BF5092" i="1"/>
  <c r="BG5092" i="1"/>
  <c r="E5093" i="1"/>
  <c r="G5093" i="1"/>
  <c r="J5093" i="1"/>
  <c r="K5093" i="1"/>
  <c r="BE5093" i="1"/>
  <c r="BF5093" i="1"/>
  <c r="BG5093" i="1"/>
  <c r="E5094" i="1"/>
  <c r="G5094" i="1"/>
  <c r="J5094" i="1"/>
  <c r="K5094" i="1"/>
  <c r="BE5094" i="1"/>
  <c r="BF5094" i="1"/>
  <c r="BG5094" i="1"/>
  <c r="E641" i="1"/>
  <c r="G641" i="1"/>
  <c r="J641" i="1"/>
  <c r="K641" i="1"/>
  <c r="BF641" i="1"/>
  <c r="BG641" i="1"/>
  <c r="E185" i="1"/>
  <c r="G185" i="1"/>
  <c r="J185" i="1"/>
  <c r="K185" i="1"/>
  <c r="BF185" i="1"/>
  <c r="BG185" i="1"/>
  <c r="E144" i="1"/>
  <c r="G144" i="1"/>
  <c r="J144" i="1"/>
  <c r="K144" i="1"/>
  <c r="BF144" i="1"/>
  <c r="BG144" i="1"/>
  <c r="E145" i="1"/>
  <c r="G145" i="1"/>
  <c r="J145" i="1"/>
  <c r="K145" i="1"/>
  <c r="BF145" i="1"/>
  <c r="BG145" i="1"/>
  <c r="E146" i="1"/>
  <c r="G146" i="1"/>
  <c r="J146" i="1"/>
  <c r="K146" i="1"/>
  <c r="BF146" i="1"/>
  <c r="BG146" i="1"/>
  <c r="E147" i="1"/>
  <c r="G147" i="1"/>
  <c r="J147" i="1"/>
  <c r="K147" i="1"/>
  <c r="BF147" i="1"/>
  <c r="BG147" i="1"/>
  <c r="E148" i="1"/>
  <c r="G148" i="1"/>
  <c r="J148" i="1"/>
  <c r="K148" i="1"/>
  <c r="BF148" i="1"/>
  <c r="BG148" i="1"/>
  <c r="E149" i="1"/>
  <c r="G149" i="1"/>
  <c r="J149" i="1"/>
  <c r="K149" i="1"/>
  <c r="BF149" i="1"/>
  <c r="BG149" i="1"/>
  <c r="E150" i="1"/>
  <c r="G150" i="1"/>
  <c r="J150" i="1"/>
  <c r="K150" i="1"/>
  <c r="BF150" i="1"/>
  <c r="BG150" i="1"/>
  <c r="E151" i="1"/>
  <c r="G151" i="1"/>
  <c r="J151" i="1"/>
  <c r="K151" i="1"/>
  <c r="BF151" i="1"/>
  <c r="BG151" i="1"/>
  <c r="E152" i="1"/>
  <c r="G152" i="1"/>
  <c r="J152" i="1"/>
  <c r="K152" i="1"/>
  <c r="BF152" i="1"/>
  <c r="BG152" i="1"/>
  <c r="E153" i="1"/>
  <c r="G153" i="1"/>
  <c r="J153" i="1"/>
  <c r="K153" i="1"/>
  <c r="BF153" i="1"/>
  <c r="BG153" i="1"/>
  <c r="E154" i="1"/>
  <c r="G154" i="1"/>
  <c r="J154" i="1"/>
  <c r="K154" i="1"/>
  <c r="BF154" i="1"/>
  <c r="BG154" i="1"/>
  <c r="E23" i="1"/>
  <c r="G23" i="1"/>
  <c r="J23" i="1"/>
  <c r="K23" i="1"/>
  <c r="BF23" i="1"/>
  <c r="BG23" i="1"/>
  <c r="E24" i="1"/>
  <c r="G24" i="1"/>
  <c r="J24" i="1"/>
  <c r="K24" i="1"/>
  <c r="BF24" i="1"/>
  <c r="BG24" i="1"/>
  <c r="E25" i="1"/>
  <c r="G25" i="1"/>
  <c r="J25" i="1"/>
  <c r="K25" i="1"/>
  <c r="BF25" i="1"/>
  <c r="BG25" i="1"/>
  <c r="E26" i="1"/>
  <c r="G26" i="1"/>
  <c r="J26" i="1"/>
  <c r="K26" i="1"/>
  <c r="BF26" i="1"/>
  <c r="BG26" i="1"/>
  <c r="E27" i="1"/>
  <c r="G27" i="1"/>
  <c r="J27" i="1"/>
  <c r="K27" i="1"/>
  <c r="BF27" i="1"/>
  <c r="BG27" i="1"/>
  <c r="E28" i="1"/>
  <c r="G28" i="1"/>
  <c r="J28" i="1"/>
  <c r="K28" i="1"/>
  <c r="BF28" i="1"/>
  <c r="BG28" i="1"/>
  <c r="E29" i="1"/>
  <c r="G29" i="1"/>
  <c r="J29" i="1"/>
  <c r="K29" i="1"/>
  <c r="BF29" i="1"/>
  <c r="BG29" i="1"/>
  <c r="E30" i="1"/>
  <c r="G30" i="1"/>
  <c r="J30" i="1"/>
  <c r="K30" i="1"/>
  <c r="BF30" i="1"/>
  <c r="BG30" i="1"/>
  <c r="E5095" i="1"/>
  <c r="G5095" i="1"/>
  <c r="J5095" i="1"/>
  <c r="K5095" i="1"/>
  <c r="BE5095" i="1"/>
  <c r="BF5095" i="1"/>
  <c r="BG5095" i="1"/>
  <c r="E5096" i="1"/>
  <c r="G5096" i="1"/>
  <c r="J5096" i="1"/>
  <c r="K5096" i="1"/>
  <c r="BE5096" i="1"/>
  <c r="BF5096" i="1"/>
  <c r="BG5096" i="1"/>
  <c r="E5097" i="1"/>
  <c r="G5097" i="1"/>
  <c r="J5097" i="1"/>
  <c r="K5097" i="1"/>
  <c r="BE5097" i="1"/>
  <c r="BF5097" i="1"/>
  <c r="BG5097" i="1"/>
  <c r="E5098" i="1"/>
  <c r="G5098" i="1"/>
  <c r="J5098" i="1"/>
  <c r="K5098" i="1"/>
  <c r="BE5098" i="1"/>
  <c r="BF5098" i="1"/>
  <c r="BG5098" i="1"/>
  <c r="E389" i="1"/>
  <c r="G389" i="1"/>
  <c r="J389" i="1"/>
  <c r="K389" i="1"/>
  <c r="BF389" i="1"/>
  <c r="BG389" i="1"/>
  <c r="E390" i="1"/>
  <c r="G390" i="1"/>
  <c r="J390" i="1"/>
  <c r="K390" i="1"/>
  <c r="BF390" i="1"/>
  <c r="BG390" i="1"/>
  <c r="E391" i="1"/>
  <c r="G391" i="1"/>
  <c r="J391" i="1"/>
  <c r="K391" i="1"/>
  <c r="BF391" i="1"/>
  <c r="BG391" i="1"/>
  <c r="E392" i="1"/>
  <c r="G392" i="1"/>
  <c r="J392" i="1"/>
  <c r="K392" i="1"/>
  <c r="BF392" i="1"/>
  <c r="BG392" i="1"/>
  <c r="E393" i="1"/>
  <c r="G393" i="1"/>
  <c r="J393" i="1"/>
  <c r="K393" i="1"/>
  <c r="BF393" i="1"/>
  <c r="BG393" i="1"/>
  <c r="E394" i="1"/>
  <c r="G394" i="1"/>
  <c r="J394" i="1"/>
  <c r="K394" i="1"/>
  <c r="BF394" i="1"/>
  <c r="BG394" i="1"/>
  <c r="E5099" i="1"/>
  <c r="G5099" i="1"/>
  <c r="J5099" i="1"/>
  <c r="K5099" i="1"/>
  <c r="BE5099" i="1"/>
  <c r="BF5099" i="1"/>
  <c r="BG5099" i="1"/>
  <c r="E5100" i="1"/>
  <c r="G5100" i="1"/>
  <c r="J5100" i="1"/>
  <c r="K5100" i="1"/>
  <c r="BE5100" i="1"/>
  <c r="BF5100" i="1"/>
  <c r="BG5100" i="1"/>
  <c r="E5101" i="1"/>
  <c r="G5101" i="1"/>
  <c r="J5101" i="1"/>
  <c r="K5101" i="1"/>
  <c r="BE5101" i="1"/>
  <c r="BF5101" i="1"/>
  <c r="BG5101" i="1"/>
  <c r="E5102" i="1"/>
  <c r="G5102" i="1"/>
  <c r="J5102" i="1"/>
  <c r="K5102" i="1"/>
  <c r="BE5102" i="1"/>
  <c r="BF5102" i="1"/>
  <c r="BG5102" i="1"/>
  <c r="E5103" i="1"/>
  <c r="G5103" i="1"/>
  <c r="J5103" i="1"/>
  <c r="K5103" i="1"/>
  <c r="BE5103" i="1"/>
  <c r="BF5103" i="1"/>
  <c r="BG5103" i="1"/>
  <c r="E5104" i="1"/>
  <c r="G5104" i="1"/>
  <c r="J5104" i="1"/>
  <c r="K5104" i="1"/>
  <c r="BE5104" i="1"/>
  <c r="BF5104" i="1"/>
  <c r="BG5104" i="1"/>
  <c r="E5105" i="1"/>
  <c r="G5105" i="1"/>
  <c r="J5105" i="1"/>
  <c r="K5105" i="1"/>
  <c r="BE5105" i="1"/>
  <c r="BF5105" i="1"/>
  <c r="BG5105" i="1"/>
  <c r="E5106" i="1"/>
  <c r="G5106" i="1"/>
  <c r="J5106" i="1"/>
  <c r="K5106" i="1"/>
  <c r="BE5106" i="1"/>
  <c r="BF5106" i="1"/>
  <c r="BG5106" i="1"/>
  <c r="E60" i="1"/>
  <c r="G60" i="1"/>
  <c r="J60" i="1"/>
  <c r="K60" i="1"/>
  <c r="BF60" i="1"/>
  <c r="BG60" i="1"/>
  <c r="E61" i="1"/>
  <c r="G61" i="1"/>
  <c r="J61" i="1"/>
  <c r="K61" i="1"/>
  <c r="BF61" i="1"/>
  <c r="BG61" i="1"/>
  <c r="E5107" i="1"/>
  <c r="G5107" i="1"/>
  <c r="J5107" i="1"/>
  <c r="K5107" i="1"/>
  <c r="BE5107" i="1"/>
  <c r="BF5107" i="1"/>
  <c r="BG5107" i="1"/>
  <c r="E5108" i="1"/>
  <c r="G5108" i="1"/>
  <c r="J5108" i="1"/>
  <c r="K5108" i="1"/>
  <c r="BE5108" i="1"/>
  <c r="BF5108" i="1"/>
  <c r="BG5108" i="1"/>
  <c r="E5109" i="1"/>
  <c r="G5109" i="1"/>
  <c r="J5109" i="1"/>
  <c r="K5109" i="1"/>
  <c r="BE5109" i="1"/>
  <c r="BF5109" i="1"/>
  <c r="BG5109" i="1"/>
  <c r="E5110" i="1"/>
  <c r="G5110" i="1"/>
  <c r="J5110" i="1"/>
  <c r="K5110" i="1"/>
  <c r="BE5110" i="1"/>
  <c r="BF5110" i="1"/>
  <c r="BG5110" i="1"/>
  <c r="E1698" i="1"/>
  <c r="G1698" i="1"/>
  <c r="J1698" i="1"/>
  <c r="K1698" i="1"/>
  <c r="BF1698" i="1"/>
  <c r="BG1698" i="1"/>
  <c r="E1699" i="1"/>
  <c r="G1699" i="1"/>
  <c r="J1699" i="1"/>
  <c r="K1699" i="1"/>
  <c r="BF1699" i="1"/>
  <c r="BG1699" i="1"/>
  <c r="E1700" i="1"/>
  <c r="G1700" i="1"/>
  <c r="J1700" i="1"/>
  <c r="K1700" i="1"/>
  <c r="BF1700" i="1"/>
  <c r="BG1700" i="1"/>
  <c r="E1701" i="1"/>
  <c r="G1701" i="1"/>
  <c r="J1701" i="1"/>
  <c r="K1701" i="1"/>
  <c r="BF1701" i="1"/>
  <c r="BG1701" i="1"/>
  <c r="E1702" i="1"/>
  <c r="G1702" i="1"/>
  <c r="J1702" i="1"/>
  <c r="K1702" i="1"/>
  <c r="BF1702" i="1"/>
  <c r="BG1702" i="1"/>
  <c r="E1703" i="1"/>
  <c r="G1703" i="1"/>
  <c r="J1703" i="1"/>
  <c r="K1703" i="1"/>
  <c r="BF1703" i="1"/>
  <c r="BG1703" i="1"/>
  <c r="E1704" i="1"/>
  <c r="G1704" i="1"/>
  <c r="J1704" i="1"/>
  <c r="K1704" i="1"/>
  <c r="BF1704" i="1"/>
  <c r="BG1704" i="1"/>
  <c r="E1705" i="1"/>
  <c r="G1705" i="1"/>
  <c r="J1705" i="1"/>
  <c r="K1705" i="1"/>
  <c r="BF1705" i="1"/>
  <c r="BG1705" i="1"/>
  <c r="E1706" i="1"/>
  <c r="G1706" i="1"/>
  <c r="J1706" i="1"/>
  <c r="K1706" i="1"/>
  <c r="BF1706" i="1"/>
  <c r="BG1706" i="1"/>
  <c r="E1707" i="1"/>
  <c r="G1707" i="1"/>
  <c r="J1707" i="1"/>
  <c r="K1707" i="1"/>
  <c r="BF1707" i="1"/>
  <c r="BG1707" i="1"/>
  <c r="E1708" i="1"/>
  <c r="G1708" i="1"/>
  <c r="J1708" i="1"/>
  <c r="K1708" i="1"/>
  <c r="BF1708" i="1"/>
  <c r="BG1708" i="1"/>
  <c r="E1709" i="1"/>
  <c r="G1709" i="1"/>
  <c r="J1709" i="1"/>
  <c r="K1709" i="1"/>
  <c r="BF1709" i="1"/>
  <c r="BG1709" i="1"/>
  <c r="E1710" i="1"/>
  <c r="G1710" i="1"/>
  <c r="J1710" i="1"/>
  <c r="K1710" i="1"/>
  <c r="BF1710" i="1"/>
  <c r="BG1710" i="1"/>
  <c r="E1711" i="1"/>
  <c r="G1711" i="1"/>
  <c r="J1711" i="1"/>
  <c r="K1711" i="1"/>
  <c r="BF1711" i="1"/>
  <c r="BG1711" i="1"/>
  <c r="E1712" i="1"/>
  <c r="G1712" i="1"/>
  <c r="J1712" i="1"/>
  <c r="K1712" i="1"/>
  <c r="BF1712" i="1"/>
  <c r="BG1712" i="1"/>
  <c r="E1713" i="1"/>
  <c r="G1713" i="1"/>
  <c r="J1713" i="1"/>
  <c r="K1713" i="1"/>
  <c r="BF1713" i="1"/>
  <c r="BG1713" i="1"/>
  <c r="E1714" i="1"/>
  <c r="G1714" i="1"/>
  <c r="J1714" i="1"/>
  <c r="K1714" i="1"/>
  <c r="BF1714" i="1"/>
  <c r="BG1714" i="1"/>
  <c r="E1715" i="1"/>
  <c r="G1715" i="1"/>
  <c r="J1715" i="1"/>
  <c r="K1715" i="1"/>
  <c r="BF1715" i="1"/>
  <c r="BG1715" i="1"/>
  <c r="E1716" i="1"/>
  <c r="G1716" i="1"/>
  <c r="J1716" i="1"/>
  <c r="K1716" i="1"/>
  <c r="BF1716" i="1"/>
  <c r="BG1716" i="1"/>
  <c r="E1717" i="1"/>
  <c r="G1717" i="1"/>
  <c r="J1717" i="1"/>
  <c r="K1717" i="1"/>
  <c r="BF1717" i="1"/>
  <c r="BG1717" i="1"/>
  <c r="E1718" i="1"/>
  <c r="G1718" i="1"/>
  <c r="J1718" i="1"/>
  <c r="K1718" i="1"/>
  <c r="BF1718" i="1"/>
  <c r="BG1718" i="1"/>
  <c r="E1719" i="1"/>
  <c r="G1719" i="1"/>
  <c r="J1719" i="1"/>
  <c r="K1719" i="1"/>
  <c r="BF1719" i="1"/>
  <c r="BG1719" i="1"/>
  <c r="E1720" i="1"/>
  <c r="G1720" i="1"/>
  <c r="J1720" i="1"/>
  <c r="K1720" i="1"/>
  <c r="BF1720" i="1"/>
  <c r="BG1720" i="1"/>
  <c r="E1721" i="1"/>
  <c r="G1721" i="1"/>
  <c r="J1721" i="1"/>
  <c r="K1721" i="1"/>
  <c r="BF1721" i="1"/>
  <c r="BG1721" i="1"/>
  <c r="E1722" i="1"/>
  <c r="G1722" i="1"/>
  <c r="J1722" i="1"/>
  <c r="K1722" i="1"/>
  <c r="BF1722" i="1"/>
  <c r="BG1722" i="1"/>
  <c r="E1723" i="1"/>
  <c r="G1723" i="1"/>
  <c r="J1723" i="1"/>
  <c r="K1723" i="1"/>
  <c r="BF1723" i="1"/>
  <c r="BG1723" i="1"/>
  <c r="E1724" i="1"/>
  <c r="G1724" i="1"/>
  <c r="J1724" i="1"/>
  <c r="K1724" i="1"/>
  <c r="BF1724" i="1"/>
  <c r="BG1724" i="1"/>
  <c r="E1725" i="1"/>
  <c r="G1725" i="1"/>
  <c r="J1725" i="1"/>
  <c r="K1725" i="1"/>
  <c r="BF1725" i="1"/>
  <c r="BG1725" i="1"/>
  <c r="E1726" i="1"/>
  <c r="G1726" i="1"/>
  <c r="J1726" i="1"/>
  <c r="K1726" i="1"/>
  <c r="BF1726" i="1"/>
  <c r="BG1726" i="1"/>
  <c r="E1727" i="1"/>
  <c r="G1727" i="1"/>
  <c r="J1727" i="1"/>
  <c r="K1727" i="1"/>
  <c r="BF1727" i="1"/>
  <c r="BG1727" i="1"/>
  <c r="E1728" i="1"/>
  <c r="G1728" i="1"/>
  <c r="J1728" i="1"/>
  <c r="K1728" i="1"/>
  <c r="BF1728" i="1"/>
  <c r="BG1728" i="1"/>
  <c r="E1729" i="1"/>
  <c r="G1729" i="1"/>
  <c r="J1729" i="1"/>
  <c r="K1729" i="1"/>
  <c r="BF1729" i="1"/>
  <c r="BG1729" i="1"/>
  <c r="E1730" i="1"/>
  <c r="G1730" i="1"/>
  <c r="J1730" i="1"/>
  <c r="K1730" i="1"/>
  <c r="BF1730" i="1"/>
  <c r="BG1730" i="1"/>
  <c r="E1731" i="1"/>
  <c r="G1731" i="1"/>
  <c r="J1731" i="1"/>
  <c r="K1731" i="1"/>
  <c r="BF1731" i="1"/>
  <c r="BG1731" i="1"/>
  <c r="E1732" i="1"/>
  <c r="G1732" i="1"/>
  <c r="J1732" i="1"/>
  <c r="K1732" i="1"/>
  <c r="BF1732" i="1"/>
  <c r="BG1732" i="1"/>
  <c r="E1733" i="1"/>
  <c r="G1733" i="1"/>
  <c r="J1733" i="1"/>
  <c r="K1733" i="1"/>
  <c r="BF1733" i="1"/>
  <c r="BG1733" i="1"/>
  <c r="E1734" i="1"/>
  <c r="G1734" i="1"/>
  <c r="J1734" i="1"/>
  <c r="K1734" i="1"/>
  <c r="BF1734" i="1"/>
  <c r="BG1734" i="1"/>
  <c r="E1735" i="1"/>
  <c r="G1735" i="1"/>
  <c r="J1735" i="1"/>
  <c r="K1735" i="1"/>
  <c r="BF1735" i="1"/>
  <c r="BG1735" i="1"/>
  <c r="E1736" i="1"/>
  <c r="G1736" i="1"/>
  <c r="J1736" i="1"/>
  <c r="K1736" i="1"/>
  <c r="BF1736" i="1"/>
  <c r="BG1736" i="1"/>
  <c r="E1737" i="1"/>
  <c r="G1737" i="1"/>
  <c r="J1737" i="1"/>
  <c r="K1737" i="1"/>
  <c r="BF1737" i="1"/>
  <c r="BG1737" i="1"/>
  <c r="E1738" i="1"/>
  <c r="G1738" i="1"/>
  <c r="J1738" i="1"/>
  <c r="K1738" i="1"/>
  <c r="BF1738" i="1"/>
  <c r="BG1738" i="1"/>
  <c r="E1739" i="1"/>
  <c r="G1739" i="1"/>
  <c r="J1739" i="1"/>
  <c r="K1739" i="1"/>
  <c r="BF1739" i="1"/>
  <c r="BG1739" i="1"/>
  <c r="E1740" i="1"/>
  <c r="G1740" i="1"/>
  <c r="J1740" i="1"/>
  <c r="K1740" i="1"/>
  <c r="BF1740" i="1"/>
  <c r="BG1740" i="1"/>
  <c r="E1741" i="1"/>
  <c r="G1741" i="1"/>
  <c r="J1741" i="1"/>
  <c r="K1741" i="1"/>
  <c r="BF1741" i="1"/>
  <c r="BG1741" i="1"/>
  <c r="E1742" i="1"/>
  <c r="G1742" i="1"/>
  <c r="J1742" i="1"/>
  <c r="K1742" i="1"/>
  <c r="BF1742" i="1"/>
  <c r="BG1742" i="1"/>
  <c r="E1743" i="1"/>
  <c r="G1743" i="1"/>
  <c r="J1743" i="1"/>
  <c r="K1743" i="1"/>
  <c r="BF1743" i="1"/>
  <c r="BG1743" i="1"/>
  <c r="E1744" i="1"/>
  <c r="G1744" i="1"/>
  <c r="J1744" i="1"/>
  <c r="K1744" i="1"/>
  <c r="BF1744" i="1"/>
  <c r="BG1744" i="1"/>
  <c r="E1745" i="1"/>
  <c r="G1745" i="1"/>
  <c r="J1745" i="1"/>
  <c r="K1745" i="1"/>
  <c r="BF1745" i="1"/>
  <c r="BG1745" i="1"/>
  <c r="E1746" i="1"/>
  <c r="G1746" i="1"/>
  <c r="J1746" i="1"/>
  <c r="K1746" i="1"/>
  <c r="BF1746" i="1"/>
  <c r="BG1746" i="1"/>
  <c r="E1747" i="1"/>
  <c r="G1747" i="1"/>
  <c r="J1747" i="1"/>
  <c r="K1747" i="1"/>
  <c r="BF1747" i="1"/>
  <c r="BG1747" i="1"/>
  <c r="E1748" i="1"/>
  <c r="G1748" i="1"/>
  <c r="J1748" i="1"/>
  <c r="K1748" i="1"/>
  <c r="BF1748" i="1"/>
  <c r="BG1748" i="1"/>
  <c r="E1749" i="1"/>
  <c r="G1749" i="1"/>
  <c r="J1749" i="1"/>
  <c r="K1749" i="1"/>
  <c r="BF1749" i="1"/>
  <c r="BG1749" i="1"/>
  <c r="E1750" i="1"/>
  <c r="G1750" i="1"/>
  <c r="J1750" i="1"/>
  <c r="K1750" i="1"/>
  <c r="BF1750" i="1"/>
  <c r="BG1750" i="1"/>
  <c r="E1751" i="1"/>
  <c r="G1751" i="1"/>
  <c r="J1751" i="1"/>
  <c r="K1751" i="1"/>
  <c r="BF1751" i="1"/>
  <c r="BG1751" i="1"/>
  <c r="E1752" i="1"/>
  <c r="G1752" i="1"/>
  <c r="J1752" i="1"/>
  <c r="K1752" i="1"/>
  <c r="BF1752" i="1"/>
  <c r="BG1752" i="1"/>
  <c r="E1753" i="1"/>
  <c r="G1753" i="1"/>
  <c r="J1753" i="1"/>
  <c r="K1753" i="1"/>
  <c r="BF1753" i="1"/>
  <c r="BG1753" i="1"/>
  <c r="E1754" i="1"/>
  <c r="G1754" i="1"/>
  <c r="J1754" i="1"/>
  <c r="K1754" i="1"/>
  <c r="BF1754" i="1"/>
  <c r="BG1754" i="1"/>
  <c r="E1755" i="1"/>
  <c r="G1755" i="1"/>
  <c r="J1755" i="1"/>
  <c r="K1755" i="1"/>
  <c r="BF1755" i="1"/>
  <c r="BG1755" i="1"/>
  <c r="E1756" i="1"/>
  <c r="G1756" i="1"/>
  <c r="J1756" i="1"/>
  <c r="K1756" i="1"/>
  <c r="BF1756" i="1"/>
  <c r="BG1756" i="1"/>
  <c r="E1757" i="1"/>
  <c r="G1757" i="1"/>
  <c r="J1757" i="1"/>
  <c r="K1757" i="1"/>
  <c r="BF1757" i="1"/>
  <c r="BG1757" i="1"/>
  <c r="E1892" i="1"/>
  <c r="G1892" i="1"/>
  <c r="J1892" i="1"/>
  <c r="K1892" i="1"/>
  <c r="BF1892" i="1"/>
  <c r="BG1892" i="1"/>
  <c r="E1758" i="1"/>
  <c r="G1758" i="1"/>
  <c r="J1758" i="1"/>
  <c r="K1758" i="1"/>
  <c r="BF1758" i="1"/>
  <c r="BG1758" i="1"/>
  <c r="E1759" i="1"/>
  <c r="G1759" i="1"/>
  <c r="J1759" i="1"/>
  <c r="K1759" i="1"/>
  <c r="BF1759" i="1"/>
  <c r="BG1759" i="1"/>
  <c r="E1760" i="1"/>
  <c r="G1760" i="1"/>
  <c r="J1760" i="1"/>
  <c r="K1760" i="1"/>
  <c r="BF1760" i="1"/>
  <c r="BG1760" i="1"/>
  <c r="E1761" i="1"/>
  <c r="G1761" i="1"/>
  <c r="J1761" i="1"/>
  <c r="K1761" i="1"/>
  <c r="BF1761" i="1"/>
  <c r="BG1761" i="1"/>
  <c r="E6231" i="1"/>
  <c r="G6231" i="1"/>
  <c r="J6231" i="1"/>
  <c r="K6231" i="1"/>
  <c r="BE6231" i="1"/>
  <c r="BF6231" i="1"/>
  <c r="BG6231" i="1"/>
  <c r="E2002" i="1"/>
  <c r="G2002" i="1"/>
  <c r="J2002" i="1"/>
  <c r="K2002" i="1"/>
  <c r="BF2002" i="1"/>
  <c r="BG2002" i="1"/>
  <c r="E6869" i="1"/>
  <c r="G6869" i="1"/>
  <c r="J6869" i="1"/>
  <c r="BE6869" i="1"/>
  <c r="BF6869" i="1"/>
  <c r="BG6869" i="1"/>
  <c r="E458" i="1"/>
  <c r="G458" i="1"/>
  <c r="J458" i="1"/>
  <c r="K458" i="1"/>
  <c r="BC458" i="1"/>
  <c r="BE458" i="1"/>
  <c r="BF458" i="1"/>
  <c r="BG458" i="1"/>
  <c r="E395" i="1"/>
  <c r="G395" i="1"/>
  <c r="J395" i="1"/>
  <c r="K395" i="1"/>
  <c r="BE395" i="1"/>
  <c r="BF395" i="1"/>
  <c r="BG395" i="1"/>
  <c r="E2003" i="1"/>
  <c r="G2003" i="1"/>
  <c r="J2003" i="1"/>
  <c r="K2003" i="1"/>
  <c r="BF2003" i="1"/>
  <c r="BG2003" i="1"/>
  <c r="E2004" i="1"/>
  <c r="G2004" i="1"/>
  <c r="J2004" i="1"/>
  <c r="K2004" i="1"/>
  <c r="BF2004" i="1"/>
  <c r="BG2004" i="1"/>
  <c r="E2005" i="1"/>
  <c r="G2005" i="1"/>
  <c r="J2005" i="1"/>
  <c r="K2005" i="1"/>
  <c r="BF2005" i="1"/>
  <c r="BG2005" i="1"/>
  <c r="E396" i="1"/>
  <c r="G396" i="1"/>
  <c r="J396" i="1"/>
  <c r="K396" i="1"/>
  <c r="BF396" i="1"/>
  <c r="BG396" i="1"/>
  <c r="E397" i="1"/>
  <c r="G397" i="1"/>
  <c r="J397" i="1"/>
  <c r="K397" i="1"/>
  <c r="BF397" i="1"/>
  <c r="BG397" i="1"/>
  <c r="E2006" i="1"/>
  <c r="G2006" i="1"/>
  <c r="J2006" i="1"/>
  <c r="K2006" i="1"/>
  <c r="BF2006" i="1"/>
  <c r="BG2006" i="1"/>
  <c r="E2007" i="1"/>
  <c r="G2007" i="1"/>
  <c r="J2007" i="1"/>
  <c r="K2007" i="1"/>
  <c r="BF2007" i="1"/>
  <c r="BG2007" i="1"/>
  <c r="E1231" i="1"/>
  <c r="G1231" i="1"/>
  <c r="J1231" i="1"/>
  <c r="K1231" i="1"/>
  <c r="BE1231" i="1"/>
  <c r="BF1231" i="1"/>
  <c r="BG1231" i="1"/>
  <c r="E2008" i="1"/>
  <c r="G2008" i="1"/>
  <c r="J2008" i="1"/>
  <c r="K2008" i="1"/>
  <c r="BF2008" i="1"/>
  <c r="BG2008" i="1"/>
  <c r="E223" i="1"/>
  <c r="G223" i="1"/>
  <c r="J223" i="1"/>
  <c r="K223" i="1"/>
  <c r="BE223" i="1"/>
  <c r="BF223" i="1"/>
  <c r="BG223" i="1"/>
  <c r="E398" i="1"/>
  <c r="G398" i="1"/>
  <c r="J398" i="1"/>
  <c r="K398" i="1"/>
  <c r="BF398" i="1"/>
  <c r="BG398" i="1"/>
  <c r="E2009" i="1"/>
  <c r="G2009" i="1"/>
  <c r="J2009" i="1"/>
  <c r="K2009" i="1"/>
  <c r="BF2009" i="1"/>
  <c r="BG2009" i="1"/>
  <c r="E5111" i="1"/>
  <c r="G5111" i="1"/>
  <c r="J5111" i="1"/>
  <c r="K5111" i="1"/>
  <c r="BE5111" i="1"/>
  <c r="BF5111" i="1"/>
  <c r="BG5111" i="1"/>
  <c r="E5112" i="1"/>
  <c r="G5112" i="1"/>
  <c r="J5112" i="1"/>
  <c r="K5112" i="1"/>
  <c r="BE5112" i="1"/>
  <c r="BF5112" i="1"/>
  <c r="BG5112" i="1"/>
  <c r="E2010" i="1"/>
  <c r="G2010" i="1"/>
  <c r="J2010" i="1"/>
  <c r="K2010" i="1"/>
  <c r="BF2010" i="1"/>
  <c r="BG2010" i="1"/>
  <c r="E2011" i="1"/>
  <c r="G2011" i="1"/>
  <c r="J2011" i="1"/>
  <c r="K2011" i="1"/>
  <c r="BF2011" i="1"/>
  <c r="BG2011" i="1"/>
  <c r="E2012" i="1"/>
  <c r="G2012" i="1"/>
  <c r="J2012" i="1"/>
  <c r="K2012" i="1"/>
  <c r="BF2012" i="1"/>
  <c r="BG2012" i="1"/>
  <c r="E88" i="1"/>
  <c r="G88" i="1"/>
  <c r="J88" i="1"/>
  <c r="K88" i="1"/>
  <c r="BE88" i="1"/>
  <c r="BF88" i="1"/>
  <c r="BG88" i="1"/>
  <c r="E6232" i="1"/>
  <c r="G6232" i="1"/>
  <c r="J6232" i="1"/>
  <c r="K6232" i="1"/>
  <c r="BE6232" i="1"/>
  <c r="BF6232" i="1"/>
  <c r="BG6232" i="1"/>
  <c r="E2013" i="1"/>
  <c r="G2013" i="1"/>
  <c r="J2013" i="1"/>
  <c r="K2013" i="1"/>
  <c r="BF2013" i="1"/>
  <c r="BG2013" i="1"/>
  <c r="E2014" i="1"/>
  <c r="G2014" i="1"/>
  <c r="J2014" i="1"/>
  <c r="K2014" i="1"/>
  <c r="BF2014" i="1"/>
  <c r="BG2014" i="1"/>
  <c r="E2015" i="1"/>
  <c r="G2015" i="1"/>
  <c r="J2015" i="1"/>
  <c r="K2015" i="1"/>
  <c r="BF2015" i="1"/>
  <c r="BG2015" i="1"/>
  <c r="E112" i="1"/>
  <c r="G112" i="1"/>
  <c r="J112" i="1"/>
  <c r="K112" i="1"/>
  <c r="BE112" i="1"/>
  <c r="BF112" i="1"/>
  <c r="BG112" i="1"/>
  <c r="E2016" i="1"/>
  <c r="G2016" i="1"/>
  <c r="J2016" i="1"/>
  <c r="K2016" i="1"/>
  <c r="BF2016" i="1"/>
  <c r="BG2016" i="1"/>
  <c r="E2017" i="1"/>
  <c r="G2017" i="1"/>
  <c r="J2017" i="1"/>
  <c r="K2017" i="1"/>
  <c r="BF2017" i="1"/>
  <c r="BG2017" i="1"/>
  <c r="E399" i="1"/>
  <c r="G399" i="1"/>
  <c r="J399" i="1"/>
  <c r="K399" i="1"/>
  <c r="BE399" i="1"/>
  <c r="BF399" i="1"/>
  <c r="BG399" i="1"/>
  <c r="E31" i="1"/>
  <c r="G31" i="1"/>
  <c r="J31" i="1"/>
  <c r="K31" i="1"/>
  <c r="BF31" i="1"/>
  <c r="BG31" i="1"/>
  <c r="E3286" i="1"/>
  <c r="G3286" i="1"/>
  <c r="J3286" i="1"/>
  <c r="K3286" i="1"/>
  <c r="BE3286" i="1"/>
  <c r="BF3286" i="1"/>
  <c r="BG3286" i="1"/>
  <c r="E2018" i="1"/>
  <c r="G2018" i="1"/>
  <c r="J2018" i="1"/>
  <c r="K2018" i="1"/>
  <c r="BF2018" i="1"/>
  <c r="BG2018" i="1"/>
  <c r="E2019" i="1"/>
  <c r="G2019" i="1"/>
  <c r="J2019" i="1"/>
  <c r="K2019" i="1"/>
  <c r="BF2019" i="1"/>
  <c r="BG2019" i="1"/>
  <c r="E2020" i="1"/>
  <c r="G2020" i="1"/>
  <c r="J2020" i="1"/>
  <c r="K2020" i="1"/>
  <c r="BF2020" i="1"/>
  <c r="BG2020" i="1"/>
  <c r="E2021" i="1"/>
  <c r="G2021" i="1"/>
  <c r="J2021" i="1"/>
  <c r="K2021" i="1"/>
  <c r="BF2021" i="1"/>
  <c r="BG2021" i="1"/>
  <c r="E5113" i="1"/>
  <c r="G5113" i="1"/>
  <c r="J5113" i="1"/>
  <c r="K5113" i="1"/>
  <c r="BE5113" i="1"/>
  <c r="BF5113" i="1"/>
  <c r="BG5113" i="1"/>
  <c r="E400" i="1"/>
  <c r="G400" i="1"/>
  <c r="J400" i="1"/>
  <c r="K400" i="1"/>
  <c r="BF400" i="1"/>
  <c r="BG400" i="1"/>
  <c r="E2022" i="1"/>
  <c r="G2022" i="1"/>
  <c r="J2022" i="1"/>
  <c r="K2022" i="1"/>
  <c r="BF2022" i="1"/>
  <c r="BG2022" i="1"/>
  <c r="E2023" i="1"/>
  <c r="G2023" i="1"/>
  <c r="J2023" i="1"/>
  <c r="K2023" i="1"/>
  <c r="BF2023" i="1"/>
  <c r="BG2023" i="1"/>
  <c r="E2024" i="1"/>
  <c r="G2024" i="1"/>
  <c r="J2024" i="1"/>
  <c r="K2024" i="1"/>
  <c r="BF2024" i="1"/>
  <c r="BG2024" i="1"/>
  <c r="E2025" i="1"/>
  <c r="G2025" i="1"/>
  <c r="J2025" i="1"/>
  <c r="K2025" i="1"/>
  <c r="BF2025" i="1"/>
  <c r="BG2025" i="1"/>
  <c r="E2026" i="1"/>
  <c r="G2026" i="1"/>
  <c r="J2026" i="1"/>
  <c r="K2026" i="1"/>
  <c r="BF2026" i="1"/>
  <c r="BG2026" i="1"/>
  <c r="E2027" i="1"/>
  <c r="G2027" i="1"/>
  <c r="J2027" i="1"/>
  <c r="K2027" i="1"/>
  <c r="BF2027" i="1"/>
  <c r="BG2027" i="1"/>
  <c r="E2028" i="1"/>
  <c r="G2028" i="1"/>
  <c r="J2028" i="1"/>
  <c r="K2028" i="1"/>
  <c r="BF2028" i="1"/>
  <c r="BG2028" i="1"/>
  <c r="E2029" i="1"/>
  <c r="G2029" i="1"/>
  <c r="J2029" i="1"/>
  <c r="K2029" i="1"/>
  <c r="BF2029" i="1"/>
  <c r="BG2029" i="1"/>
  <c r="E602" i="1"/>
  <c r="G602" i="1"/>
  <c r="J602" i="1"/>
  <c r="K602" i="1"/>
  <c r="BE602" i="1"/>
  <c r="BF602" i="1"/>
  <c r="BG602" i="1"/>
  <c r="BH602" i="1"/>
  <c r="E2030" i="1"/>
  <c r="G2030" i="1"/>
  <c r="J2030" i="1"/>
  <c r="K2030" i="1"/>
  <c r="BF2030" i="1"/>
  <c r="BG2030" i="1"/>
  <c r="E642" i="1"/>
  <c r="G642" i="1"/>
  <c r="J642" i="1"/>
  <c r="K642" i="1"/>
  <c r="BE642" i="1"/>
  <c r="BF642" i="1"/>
  <c r="BG642" i="1"/>
  <c r="E643" i="1"/>
  <c r="G643" i="1"/>
  <c r="J643" i="1"/>
  <c r="K643" i="1"/>
  <c r="BF643" i="1"/>
  <c r="BG643" i="1"/>
  <c r="E827" i="1"/>
  <c r="G827" i="1"/>
  <c r="J827" i="1"/>
  <c r="K827" i="1"/>
  <c r="BE827" i="1"/>
  <c r="BF827" i="1"/>
  <c r="BG827" i="1"/>
  <c r="E5114" i="1"/>
  <c r="G5114" i="1"/>
  <c r="J5114" i="1"/>
  <c r="K5114" i="1"/>
  <c r="BE5114" i="1"/>
  <c r="BF5114" i="1"/>
  <c r="BG5114" i="1"/>
  <c r="E2031" i="1"/>
  <c r="G2031" i="1"/>
  <c r="J2031" i="1"/>
  <c r="K2031" i="1"/>
  <c r="BF2031" i="1"/>
  <c r="BG2031" i="1"/>
  <c r="E113" i="1"/>
  <c r="G113" i="1"/>
  <c r="J113" i="1"/>
  <c r="K113" i="1"/>
  <c r="BE113" i="1"/>
  <c r="BF113" i="1"/>
  <c r="BG113" i="1"/>
  <c r="E753" i="1"/>
  <c r="G753" i="1"/>
  <c r="J753" i="1"/>
  <c r="K753" i="1"/>
  <c r="BC753" i="1"/>
  <c r="BE753" i="1"/>
  <c r="BF753" i="1"/>
  <c r="BG753" i="1"/>
  <c r="E603" i="1"/>
  <c r="G603" i="1"/>
  <c r="J603" i="1"/>
  <c r="K603" i="1"/>
  <c r="BE603" i="1"/>
  <c r="BF603" i="1"/>
  <c r="BG603" i="1"/>
  <c r="BH603" i="1"/>
  <c r="E2032" i="1"/>
  <c r="G2032" i="1"/>
  <c r="J2032" i="1"/>
  <c r="K2032" i="1"/>
  <c r="BF2032" i="1"/>
  <c r="BG2032" i="1"/>
  <c r="E2033" i="1"/>
  <c r="G2033" i="1"/>
  <c r="J2033" i="1"/>
  <c r="K2033" i="1"/>
  <c r="BF2033" i="1"/>
  <c r="BG2033" i="1"/>
  <c r="E5115" i="1"/>
  <c r="G5115" i="1"/>
  <c r="J5115" i="1"/>
  <c r="K5115" i="1"/>
  <c r="BE5115" i="1"/>
  <c r="BF5115" i="1"/>
  <c r="BG5115" i="1"/>
  <c r="E2034" i="1"/>
  <c r="G2034" i="1"/>
  <c r="J2034" i="1"/>
  <c r="K2034" i="1"/>
  <c r="BF2034" i="1"/>
  <c r="BG2034" i="1"/>
  <c r="E224" i="1"/>
  <c r="G224" i="1"/>
  <c r="J224" i="1"/>
  <c r="K224" i="1"/>
  <c r="BE224" i="1"/>
  <c r="BF224" i="1"/>
  <c r="BG224" i="1"/>
  <c r="E2035" i="1"/>
  <c r="G2035" i="1"/>
  <c r="J2035" i="1"/>
  <c r="K2035" i="1"/>
  <c r="BF2035" i="1"/>
  <c r="BG2035" i="1"/>
  <c r="E2036" i="1"/>
  <c r="G2036" i="1"/>
  <c r="J2036" i="1"/>
  <c r="K2036" i="1"/>
  <c r="BF2036" i="1"/>
  <c r="BG2036" i="1"/>
  <c r="E2725" i="1"/>
  <c r="G2725" i="1"/>
  <c r="J2725" i="1"/>
  <c r="K2725" i="1"/>
  <c r="BE2725" i="1"/>
  <c r="BF2725" i="1"/>
  <c r="BG2725" i="1"/>
  <c r="E2037" i="1"/>
  <c r="G2037" i="1"/>
  <c r="J2037" i="1"/>
  <c r="K2037" i="1"/>
  <c r="BF2037" i="1"/>
  <c r="BG2037" i="1"/>
  <c r="E2038" i="1"/>
  <c r="G2038" i="1"/>
  <c r="J2038" i="1"/>
  <c r="K2038" i="1"/>
  <c r="BF2038" i="1"/>
  <c r="BG2038" i="1"/>
  <c r="E2039" i="1"/>
  <c r="G2039" i="1"/>
  <c r="J2039" i="1"/>
  <c r="K2039" i="1"/>
  <c r="BF2039" i="1"/>
  <c r="BG2039" i="1"/>
  <c r="E723" i="1"/>
  <c r="G723" i="1"/>
  <c r="J723" i="1"/>
  <c r="K723" i="1"/>
  <c r="BE723" i="1"/>
  <c r="BF723" i="1"/>
  <c r="BG723" i="1"/>
  <c r="E3287" i="1"/>
  <c r="G3287" i="1"/>
  <c r="J3287" i="1"/>
  <c r="K3287" i="1"/>
  <c r="BE3287" i="1"/>
  <c r="BF3287" i="1"/>
  <c r="BG3287" i="1"/>
  <c r="E2726" i="1"/>
  <c r="G2726" i="1"/>
  <c r="J2726" i="1"/>
  <c r="K2726" i="1"/>
  <c r="BC2726" i="1"/>
  <c r="BE2726" i="1"/>
  <c r="BF2726" i="1"/>
  <c r="BG2726" i="1"/>
  <c r="E2727" i="1"/>
  <c r="G2727" i="1"/>
  <c r="J2727" i="1"/>
  <c r="K2727" i="1"/>
  <c r="BC2727" i="1"/>
  <c r="BE2727" i="1"/>
  <c r="BF2727" i="1"/>
  <c r="BG2727" i="1"/>
  <c r="E2728" i="1"/>
  <c r="G2728" i="1"/>
  <c r="J2728" i="1"/>
  <c r="K2728" i="1"/>
  <c r="BC2728" i="1"/>
  <c r="BE2728" i="1"/>
  <c r="BF2728" i="1"/>
  <c r="BG2728" i="1"/>
  <c r="E2729" i="1"/>
  <c r="G2729" i="1"/>
  <c r="J2729" i="1"/>
  <c r="K2729" i="1"/>
  <c r="BC2729" i="1"/>
  <c r="BE2729" i="1"/>
  <c r="BF2729" i="1"/>
  <c r="BG2729" i="1"/>
  <c r="E2730" i="1"/>
  <c r="G2730" i="1"/>
  <c r="J2730" i="1"/>
  <c r="K2730" i="1"/>
  <c r="BC2730" i="1"/>
  <c r="BE2730" i="1"/>
  <c r="BF2730" i="1"/>
  <c r="BG2730" i="1"/>
  <c r="E2731" i="1"/>
  <c r="G2731" i="1"/>
  <c r="J2731" i="1"/>
  <c r="K2731" i="1"/>
  <c r="BC2731" i="1"/>
  <c r="BE2731" i="1"/>
  <c r="BF2731" i="1"/>
  <c r="BG2731" i="1"/>
  <c r="E2732" i="1"/>
  <c r="G2732" i="1"/>
  <c r="J2732" i="1"/>
  <c r="K2732" i="1"/>
  <c r="BC2732" i="1"/>
  <c r="BE2732" i="1"/>
  <c r="BF2732" i="1"/>
  <c r="BG2732" i="1"/>
  <c r="E2733" i="1"/>
  <c r="G2733" i="1"/>
  <c r="J2733" i="1"/>
  <c r="K2733" i="1"/>
  <c r="BC2733" i="1"/>
  <c r="BE2733" i="1"/>
  <c r="BF2733" i="1"/>
  <c r="BG2733" i="1"/>
  <c r="E2734" i="1"/>
  <c r="G2734" i="1"/>
  <c r="J2734" i="1"/>
  <c r="K2734" i="1"/>
  <c r="BC2734" i="1"/>
  <c r="BE2734" i="1"/>
  <c r="BF2734" i="1"/>
  <c r="BG2734" i="1"/>
  <c r="E2735" i="1"/>
  <c r="G2735" i="1"/>
  <c r="J2735" i="1"/>
  <c r="K2735" i="1"/>
  <c r="BC2735" i="1"/>
  <c r="BE2735" i="1"/>
  <c r="BF2735" i="1"/>
  <c r="BG2735" i="1"/>
  <c r="E2736" i="1"/>
  <c r="G2736" i="1"/>
  <c r="J2736" i="1"/>
  <c r="K2736" i="1"/>
  <c r="BC2736" i="1"/>
  <c r="BE2736" i="1"/>
  <c r="BF2736" i="1"/>
  <c r="BG2736" i="1"/>
  <c r="E2737" i="1"/>
  <c r="G2737" i="1"/>
  <c r="J2737" i="1"/>
  <c r="K2737" i="1"/>
  <c r="BC2737" i="1"/>
  <c r="BE2737" i="1"/>
  <c r="BF2737" i="1"/>
  <c r="BG2737" i="1"/>
  <c r="E2738" i="1"/>
  <c r="G2738" i="1"/>
  <c r="J2738" i="1"/>
  <c r="K2738" i="1"/>
  <c r="BC2738" i="1"/>
  <c r="BE2738" i="1"/>
  <c r="BF2738" i="1"/>
  <c r="BG2738" i="1"/>
  <c r="E2739" i="1"/>
  <c r="G2739" i="1"/>
  <c r="J2739" i="1"/>
  <c r="K2739" i="1"/>
  <c r="BC2739" i="1"/>
  <c r="BE2739" i="1"/>
  <c r="BF2739" i="1"/>
  <c r="BG2739" i="1"/>
  <c r="E2740" i="1"/>
  <c r="G2740" i="1"/>
  <c r="J2740" i="1"/>
  <c r="K2740" i="1"/>
  <c r="BC2740" i="1"/>
  <c r="BE2740" i="1"/>
  <c r="BF2740" i="1"/>
  <c r="BG2740" i="1"/>
  <c r="E2741" i="1"/>
  <c r="G2741" i="1"/>
  <c r="J2741" i="1"/>
  <c r="K2741" i="1"/>
  <c r="BC2741" i="1"/>
  <c r="BE2741" i="1"/>
  <c r="BF2741" i="1"/>
  <c r="BG2741" i="1"/>
  <c r="E2742" i="1"/>
  <c r="G2742" i="1"/>
  <c r="J2742" i="1"/>
  <c r="K2742" i="1"/>
  <c r="BC2742" i="1"/>
  <c r="BE2742" i="1"/>
  <c r="BF2742" i="1"/>
  <c r="BG2742" i="1"/>
  <c r="E2743" i="1"/>
  <c r="G2743" i="1"/>
  <c r="J2743" i="1"/>
  <c r="K2743" i="1"/>
  <c r="BC2743" i="1"/>
  <c r="BE2743" i="1"/>
  <c r="BF2743" i="1"/>
  <c r="BG2743" i="1"/>
  <c r="E2744" i="1"/>
  <c r="G2744" i="1"/>
  <c r="J2744" i="1"/>
  <c r="K2744" i="1"/>
  <c r="BC2744" i="1"/>
  <c r="BE2744" i="1"/>
  <c r="BF2744" i="1"/>
  <c r="BG2744" i="1"/>
  <c r="E2745" i="1"/>
  <c r="G2745" i="1"/>
  <c r="J2745" i="1"/>
  <c r="K2745" i="1"/>
  <c r="BC2745" i="1"/>
  <c r="BE2745" i="1"/>
  <c r="BF2745" i="1"/>
  <c r="BG2745" i="1"/>
  <c r="E2746" i="1"/>
  <c r="G2746" i="1"/>
  <c r="J2746" i="1"/>
  <c r="K2746" i="1"/>
  <c r="BC2746" i="1"/>
  <c r="BE2746" i="1"/>
  <c r="BF2746" i="1"/>
  <c r="BG2746" i="1"/>
  <c r="E2747" i="1"/>
  <c r="G2747" i="1"/>
  <c r="J2747" i="1"/>
  <c r="K2747" i="1"/>
  <c r="BC2747" i="1"/>
  <c r="BE2747" i="1"/>
  <c r="BF2747" i="1"/>
  <c r="BG2747" i="1"/>
  <c r="E2748" i="1"/>
  <c r="G2748" i="1"/>
  <c r="J2748" i="1"/>
  <c r="K2748" i="1"/>
  <c r="BC2748" i="1"/>
  <c r="BE2748" i="1"/>
  <c r="BF2748" i="1"/>
  <c r="BG2748" i="1"/>
  <c r="E2749" i="1"/>
  <c r="G2749" i="1"/>
  <c r="J2749" i="1"/>
  <c r="K2749" i="1"/>
  <c r="BC2749" i="1"/>
  <c r="BE2749" i="1"/>
  <c r="BF2749" i="1"/>
  <c r="BG2749" i="1"/>
  <c r="E2750" i="1"/>
  <c r="G2750" i="1"/>
  <c r="J2750" i="1"/>
  <c r="K2750" i="1"/>
  <c r="BC2750" i="1"/>
  <c r="BE2750" i="1"/>
  <c r="BF2750" i="1"/>
  <c r="BG2750" i="1"/>
  <c r="E2751" i="1"/>
  <c r="G2751" i="1"/>
  <c r="J2751" i="1"/>
  <c r="K2751" i="1"/>
  <c r="BC2751" i="1"/>
  <c r="BE2751" i="1"/>
  <c r="BF2751" i="1"/>
  <c r="BG2751" i="1"/>
  <c r="E2752" i="1"/>
  <c r="G2752" i="1"/>
  <c r="J2752" i="1"/>
  <c r="K2752" i="1"/>
  <c r="BC2752" i="1"/>
  <c r="BE2752" i="1"/>
  <c r="BF2752" i="1"/>
  <c r="BG2752" i="1"/>
  <c r="E2753" i="1"/>
  <c r="G2753" i="1"/>
  <c r="J2753" i="1"/>
  <c r="K2753" i="1"/>
  <c r="BC2753" i="1"/>
  <c r="BE2753" i="1"/>
  <c r="BF2753" i="1"/>
  <c r="BG2753" i="1"/>
  <c r="E2754" i="1"/>
  <c r="G2754" i="1"/>
  <c r="J2754" i="1"/>
  <c r="K2754" i="1"/>
  <c r="BC2754" i="1"/>
  <c r="BE2754" i="1"/>
  <c r="BF2754" i="1"/>
  <c r="BG2754" i="1"/>
  <c r="E2755" i="1"/>
  <c r="G2755" i="1"/>
  <c r="J2755" i="1"/>
  <c r="K2755" i="1"/>
  <c r="BC2755" i="1"/>
  <c r="BE2755" i="1"/>
  <c r="BF2755" i="1"/>
  <c r="BG2755" i="1"/>
  <c r="E2756" i="1"/>
  <c r="G2756" i="1"/>
  <c r="J2756" i="1"/>
  <c r="K2756" i="1"/>
  <c r="BC2756" i="1"/>
  <c r="BE2756" i="1"/>
  <c r="BF2756" i="1"/>
  <c r="BG2756" i="1"/>
  <c r="E2757" i="1"/>
  <c r="G2757" i="1"/>
  <c r="J2757" i="1"/>
  <c r="K2757" i="1"/>
  <c r="BC2757" i="1"/>
  <c r="BE2757" i="1"/>
  <c r="BF2757" i="1"/>
  <c r="BG2757" i="1"/>
  <c r="E2758" i="1"/>
  <c r="G2758" i="1"/>
  <c r="J2758" i="1"/>
  <c r="K2758" i="1"/>
  <c r="BC2758" i="1"/>
  <c r="BE2758" i="1"/>
  <c r="BF2758" i="1"/>
  <c r="BG2758" i="1"/>
  <c r="E2759" i="1"/>
  <c r="G2759" i="1"/>
  <c r="J2759" i="1"/>
  <c r="K2759" i="1"/>
  <c r="BC2759" i="1"/>
  <c r="BE2759" i="1"/>
  <c r="BF2759" i="1"/>
  <c r="BG2759" i="1"/>
  <c r="E2760" i="1"/>
  <c r="G2760" i="1"/>
  <c r="J2760" i="1"/>
  <c r="K2760" i="1"/>
  <c r="BC2760" i="1"/>
  <c r="BE2760" i="1"/>
  <c r="BF2760" i="1"/>
  <c r="BG2760" i="1"/>
  <c r="E2761" i="1"/>
  <c r="G2761" i="1"/>
  <c r="J2761" i="1"/>
  <c r="K2761" i="1"/>
  <c r="BC2761" i="1"/>
  <c r="BE2761" i="1"/>
  <c r="BF2761" i="1"/>
  <c r="BG2761" i="1"/>
  <c r="E2762" i="1"/>
  <c r="G2762" i="1"/>
  <c r="J2762" i="1"/>
  <c r="K2762" i="1"/>
  <c r="BC2762" i="1"/>
  <c r="BE2762" i="1"/>
  <c r="BF2762" i="1"/>
  <c r="BG2762" i="1"/>
  <c r="E2763" i="1"/>
  <c r="G2763" i="1"/>
  <c r="J2763" i="1"/>
  <c r="K2763" i="1"/>
  <c r="BC2763" i="1"/>
  <c r="BE2763" i="1"/>
  <c r="BF2763" i="1"/>
  <c r="BG2763" i="1"/>
  <c r="E2764" i="1"/>
  <c r="G2764" i="1"/>
  <c r="J2764" i="1"/>
  <c r="K2764" i="1"/>
  <c r="BC2764" i="1"/>
  <c r="BE2764" i="1"/>
  <c r="BF2764" i="1"/>
  <c r="BG2764" i="1"/>
  <c r="E2765" i="1"/>
  <c r="G2765" i="1"/>
  <c r="J2765" i="1"/>
  <c r="K2765" i="1"/>
  <c r="BC2765" i="1"/>
  <c r="BE2765" i="1"/>
  <c r="BF2765" i="1"/>
  <c r="BG2765" i="1"/>
  <c r="E2766" i="1"/>
  <c r="G2766" i="1"/>
  <c r="J2766" i="1"/>
  <c r="K2766" i="1"/>
  <c r="BC2766" i="1"/>
  <c r="BE2766" i="1"/>
  <c r="BF2766" i="1"/>
  <c r="BG2766" i="1"/>
  <c r="E2767" i="1"/>
  <c r="G2767" i="1"/>
  <c r="J2767" i="1"/>
  <c r="K2767" i="1"/>
  <c r="BC2767" i="1"/>
  <c r="BE2767" i="1"/>
  <c r="BF2767" i="1"/>
  <c r="BG2767" i="1"/>
  <c r="E6233" i="1"/>
  <c r="G6233" i="1"/>
  <c r="J6233" i="1"/>
  <c r="K6233" i="1"/>
  <c r="BE6233" i="1"/>
  <c r="BF6233" i="1"/>
  <c r="BG6233" i="1"/>
  <c r="E2040" i="1"/>
  <c r="G2040" i="1"/>
  <c r="J2040" i="1"/>
  <c r="K2040" i="1"/>
  <c r="BF2040" i="1"/>
  <c r="BG2040" i="1"/>
  <c r="E1762" i="1"/>
  <c r="G1762" i="1"/>
  <c r="J1762" i="1"/>
  <c r="K1762" i="1"/>
  <c r="BF1762" i="1"/>
  <c r="BG1762" i="1"/>
  <c r="E6234" i="1"/>
  <c r="G6234" i="1"/>
  <c r="J6234" i="1"/>
  <c r="K6234" i="1"/>
  <c r="BE6234" i="1"/>
  <c r="BF6234" i="1"/>
  <c r="BG6234" i="1"/>
  <c r="E6595" i="1"/>
  <c r="G6595" i="1"/>
  <c r="J6595" i="1"/>
  <c r="K6595" i="1"/>
  <c r="BE6595" i="1"/>
  <c r="BF6595" i="1"/>
  <c r="BG6595" i="1"/>
  <c r="E769" i="1"/>
  <c r="G769" i="1"/>
  <c r="J769" i="1"/>
  <c r="K769" i="1"/>
  <c r="BE769" i="1"/>
  <c r="BF769" i="1"/>
  <c r="BG769" i="1"/>
  <c r="E450" i="1"/>
  <c r="G450" i="1"/>
  <c r="J450" i="1"/>
  <c r="K450" i="1"/>
  <c r="BC450" i="1"/>
  <c r="BE450" i="1"/>
  <c r="BF450" i="1"/>
  <c r="BG450" i="1"/>
  <c r="E451" i="1"/>
  <c r="G451" i="1"/>
  <c r="J451" i="1"/>
  <c r="K451" i="1"/>
  <c r="BC451" i="1"/>
  <c r="BE451" i="1"/>
  <c r="BF451" i="1"/>
  <c r="BG451" i="1"/>
  <c r="E452" i="1"/>
  <c r="G452" i="1"/>
  <c r="J452" i="1"/>
  <c r="K452" i="1"/>
  <c r="BC452" i="1"/>
  <c r="BE452" i="1"/>
  <c r="BF452" i="1"/>
  <c r="BG452" i="1"/>
  <c r="E4771" i="1"/>
  <c r="G4771" i="1"/>
  <c r="J4771" i="1"/>
  <c r="K4771" i="1"/>
  <c r="BE4771" i="1"/>
  <c r="BF4771" i="1"/>
  <c r="BG4771" i="1"/>
  <c r="E6235" i="1"/>
  <c r="G6235" i="1"/>
  <c r="J6235" i="1"/>
  <c r="K6235" i="1"/>
  <c r="BE6235" i="1"/>
  <c r="BF6235" i="1"/>
  <c r="BG6235" i="1"/>
  <c r="E6236" i="1"/>
  <c r="G6236" i="1"/>
  <c r="J6236" i="1"/>
  <c r="K6236" i="1"/>
  <c r="BE6236" i="1"/>
  <c r="BF6236" i="1"/>
  <c r="BG6236" i="1"/>
  <c r="E459" i="1"/>
  <c r="G459" i="1"/>
  <c r="J459" i="1"/>
  <c r="K459" i="1"/>
  <c r="BC459" i="1"/>
  <c r="BE459" i="1"/>
  <c r="BF459" i="1"/>
  <c r="BG459" i="1"/>
  <c r="E2041" i="1"/>
  <c r="G2041" i="1"/>
  <c r="J2041" i="1"/>
  <c r="K2041" i="1"/>
  <c r="BF2041" i="1"/>
  <c r="BG2041" i="1"/>
  <c r="E2042" i="1"/>
  <c r="G2042" i="1"/>
  <c r="J2042" i="1"/>
  <c r="K2042" i="1"/>
  <c r="BF2042" i="1"/>
  <c r="BG2042" i="1"/>
  <c r="E2043" i="1"/>
  <c r="G2043" i="1"/>
  <c r="J2043" i="1"/>
  <c r="K2043" i="1"/>
  <c r="BF2043" i="1"/>
  <c r="BG2043" i="1"/>
  <c r="E2044" i="1"/>
  <c r="G2044" i="1"/>
  <c r="J2044" i="1"/>
  <c r="K2044" i="1"/>
  <c r="BF2044" i="1"/>
  <c r="BG2044" i="1"/>
  <c r="E2045" i="1"/>
  <c r="G2045" i="1"/>
  <c r="J2045" i="1"/>
  <c r="K2045" i="1"/>
  <c r="BF2045" i="1"/>
  <c r="BG2045" i="1"/>
  <c r="E2046" i="1"/>
  <c r="G2046" i="1"/>
  <c r="J2046" i="1"/>
  <c r="K2046" i="1"/>
  <c r="BF2046" i="1"/>
  <c r="BG2046" i="1"/>
  <c r="E2047" i="1"/>
  <c r="G2047" i="1"/>
  <c r="J2047" i="1"/>
  <c r="K2047" i="1"/>
  <c r="BF2047" i="1"/>
  <c r="BG2047" i="1"/>
  <c r="E6237" i="1"/>
  <c r="G6237" i="1"/>
  <c r="J6237" i="1"/>
  <c r="K6237" i="1"/>
  <c r="BE6237" i="1"/>
  <c r="BF6237" i="1"/>
  <c r="BG6237" i="1"/>
  <c r="E4091" i="1"/>
  <c r="G4091" i="1"/>
  <c r="J4091" i="1"/>
  <c r="K4091" i="1"/>
  <c r="BE4091" i="1"/>
  <c r="BF4091" i="1"/>
  <c r="BG4091" i="1"/>
  <c r="E4092" i="1"/>
  <c r="G4092" i="1"/>
  <c r="J4092" i="1"/>
  <c r="K4092" i="1"/>
  <c r="BE4092" i="1"/>
  <c r="BF4092" i="1"/>
  <c r="BG4092" i="1"/>
  <c r="E4093" i="1"/>
  <c r="G4093" i="1"/>
  <c r="J4093" i="1"/>
  <c r="K4093" i="1"/>
  <c r="BE4093" i="1"/>
  <c r="BF4093" i="1"/>
  <c r="BG4093" i="1"/>
  <c r="E1763" i="1"/>
  <c r="G1763" i="1"/>
  <c r="J1763" i="1"/>
  <c r="K1763" i="1"/>
  <c r="BF1763" i="1"/>
  <c r="BG1763" i="1"/>
  <c r="E89" i="1"/>
  <c r="G89" i="1"/>
  <c r="J89" i="1"/>
  <c r="K89" i="1"/>
  <c r="BE89" i="1"/>
  <c r="BF89" i="1"/>
  <c r="BG89" i="1"/>
  <c r="E2048" i="1"/>
  <c r="G2048" i="1"/>
  <c r="J2048" i="1"/>
  <c r="K2048" i="1"/>
  <c r="BF2048" i="1"/>
  <c r="BG2048" i="1"/>
  <c r="E4772" i="1"/>
  <c r="G4772" i="1"/>
  <c r="J4772" i="1"/>
  <c r="K4772" i="1"/>
  <c r="BE4772" i="1"/>
  <c r="BG4772" i="1"/>
  <c r="E62" i="1"/>
  <c r="G62" i="1"/>
  <c r="J62" i="1"/>
  <c r="K62" i="1"/>
  <c r="BF62" i="1"/>
  <c r="BG62" i="1"/>
  <c r="E6596" i="1"/>
  <c r="G6596" i="1"/>
  <c r="J6596" i="1"/>
  <c r="K6596" i="1"/>
  <c r="BE6596" i="1"/>
  <c r="BF6596" i="1"/>
  <c r="BG6596" i="1"/>
  <c r="E539" i="1"/>
  <c r="G539" i="1"/>
  <c r="J539" i="1"/>
  <c r="K539" i="1"/>
  <c r="BE539" i="1"/>
  <c r="BF539" i="1"/>
  <c r="BG539" i="1"/>
  <c r="E652" i="1"/>
  <c r="G652" i="1"/>
  <c r="J652" i="1"/>
  <c r="K652" i="1"/>
  <c r="BF652" i="1"/>
  <c r="BG652" i="1"/>
  <c r="E1232" i="1"/>
  <c r="G1232" i="1"/>
  <c r="J1232" i="1"/>
  <c r="K1232" i="1"/>
  <c r="BE1232" i="1"/>
  <c r="BF1232" i="1"/>
  <c r="BG1232" i="1"/>
  <c r="E2049" i="1"/>
  <c r="G2049" i="1"/>
  <c r="J2049" i="1"/>
  <c r="K2049" i="1"/>
  <c r="BF2049" i="1"/>
  <c r="BG2049" i="1"/>
  <c r="E2050" i="1"/>
  <c r="G2050" i="1"/>
  <c r="J2050" i="1"/>
  <c r="K2050" i="1"/>
  <c r="BF2050" i="1"/>
  <c r="BG2050" i="1"/>
  <c r="E301" i="1"/>
  <c r="G301" i="1"/>
  <c r="J301" i="1"/>
  <c r="K301" i="1"/>
  <c r="BF301" i="1"/>
  <c r="BG301" i="1"/>
  <c r="E302" i="1"/>
  <c r="G302" i="1"/>
  <c r="J302" i="1"/>
  <c r="K302" i="1"/>
  <c r="BF302" i="1"/>
  <c r="BG302" i="1"/>
  <c r="E303" i="1"/>
  <c r="G303" i="1"/>
  <c r="J303" i="1"/>
  <c r="K303" i="1"/>
  <c r="BF303" i="1"/>
  <c r="BG303" i="1"/>
  <c r="E304" i="1"/>
  <c r="G304" i="1"/>
  <c r="J304" i="1"/>
  <c r="K304" i="1"/>
  <c r="BF304" i="1"/>
  <c r="BG304" i="1"/>
  <c r="E305" i="1"/>
  <c r="G305" i="1"/>
  <c r="J305" i="1"/>
  <c r="K305" i="1"/>
  <c r="BF305" i="1"/>
  <c r="BG305" i="1"/>
  <c r="E306" i="1"/>
  <c r="G306" i="1"/>
  <c r="J306" i="1"/>
  <c r="K306" i="1"/>
  <c r="BF306" i="1"/>
  <c r="BG306" i="1"/>
  <c r="E307" i="1"/>
  <c r="G307" i="1"/>
  <c r="J307" i="1"/>
  <c r="K307" i="1"/>
  <c r="BF307" i="1"/>
  <c r="BG307" i="1"/>
  <c r="E308" i="1"/>
  <c r="G308" i="1"/>
  <c r="J308" i="1"/>
  <c r="K308" i="1"/>
  <c r="BF308" i="1"/>
  <c r="BG308" i="1"/>
  <c r="E309" i="1"/>
  <c r="G309" i="1"/>
  <c r="J309" i="1"/>
  <c r="K309" i="1"/>
  <c r="BF309" i="1"/>
  <c r="BG309" i="1"/>
  <c r="E567" i="1"/>
  <c r="G567" i="1"/>
  <c r="J567" i="1"/>
  <c r="K567" i="1"/>
  <c r="BE567" i="1"/>
  <c r="BF567" i="1"/>
  <c r="BG567" i="1"/>
  <c r="E555" i="1"/>
  <c r="G555" i="1"/>
  <c r="J555" i="1"/>
  <c r="K555" i="1"/>
  <c r="BE555" i="1"/>
  <c r="BF555" i="1"/>
  <c r="BG555" i="1"/>
  <c r="E4489" i="1"/>
  <c r="G4489" i="1"/>
  <c r="J4489" i="1"/>
  <c r="K4489" i="1"/>
  <c r="BE4489" i="1"/>
  <c r="BF4489" i="1"/>
  <c r="BG4489" i="1"/>
  <c r="E401" i="1"/>
  <c r="G401" i="1"/>
  <c r="J401" i="1"/>
  <c r="K401" i="1"/>
  <c r="BE401" i="1"/>
  <c r="BF401" i="1"/>
  <c r="BG401" i="1"/>
  <c r="E90" i="1"/>
  <c r="G90" i="1"/>
  <c r="J90" i="1"/>
  <c r="K90" i="1"/>
  <c r="BE90" i="1"/>
  <c r="BF90" i="1"/>
  <c r="BG90" i="1"/>
  <c r="E2051" i="1"/>
  <c r="G2051" i="1"/>
  <c r="J2051" i="1"/>
  <c r="K2051" i="1"/>
  <c r="BF2051" i="1"/>
  <c r="BG2051" i="1"/>
  <c r="E779" i="1"/>
  <c r="G779" i="1"/>
  <c r="J779" i="1"/>
  <c r="K779" i="1"/>
  <c r="BE779" i="1"/>
  <c r="BF779" i="1"/>
  <c r="BG779" i="1"/>
  <c r="E107" i="1"/>
  <c r="G107" i="1"/>
  <c r="J107" i="1"/>
  <c r="K107" i="1"/>
  <c r="BE107" i="1"/>
  <c r="BF107" i="1"/>
  <c r="BG107" i="1"/>
  <c r="BH107" i="1"/>
  <c r="E108" i="1"/>
  <c r="G108" i="1"/>
  <c r="J108" i="1"/>
  <c r="K108" i="1"/>
  <c r="BE108" i="1"/>
  <c r="BF108" i="1"/>
  <c r="BG108" i="1"/>
  <c r="BH108" i="1"/>
  <c r="E109" i="1"/>
  <c r="G109" i="1"/>
  <c r="J109" i="1"/>
  <c r="K109" i="1"/>
  <c r="BE109" i="1"/>
  <c r="BF109" i="1"/>
  <c r="BG109" i="1"/>
  <c r="BH109" i="1"/>
  <c r="E2052" i="1"/>
  <c r="G2052" i="1"/>
  <c r="J2052" i="1"/>
  <c r="K2052" i="1"/>
  <c r="BF2052" i="1"/>
  <c r="BG2052" i="1"/>
  <c r="E4490" i="1"/>
  <c r="G4490" i="1"/>
  <c r="J4490" i="1"/>
  <c r="K4490" i="1"/>
  <c r="BE4490" i="1"/>
  <c r="BF4490" i="1"/>
  <c r="BG4490" i="1"/>
  <c r="E4491" i="1"/>
  <c r="G4491" i="1"/>
  <c r="J4491" i="1"/>
  <c r="K4491" i="1"/>
  <c r="BE4491" i="1"/>
  <c r="BF4491" i="1"/>
  <c r="BG4491" i="1"/>
  <c r="E4492" i="1"/>
  <c r="G4492" i="1"/>
  <c r="J4492" i="1"/>
  <c r="K4492" i="1"/>
  <c r="BE4492" i="1"/>
  <c r="BF4492" i="1"/>
  <c r="BG4492" i="1"/>
  <c r="E4493" i="1"/>
  <c r="G4493" i="1"/>
  <c r="J4493" i="1"/>
  <c r="K4493" i="1"/>
  <c r="BE4493" i="1"/>
  <c r="BF4493" i="1"/>
  <c r="BG4493" i="1"/>
  <c r="E4494" i="1"/>
  <c r="G4494" i="1"/>
  <c r="J4494" i="1"/>
  <c r="K4494" i="1"/>
  <c r="BE4494" i="1"/>
  <c r="BF4494" i="1"/>
  <c r="BG4494" i="1"/>
  <c r="E1493" i="1"/>
  <c r="G1493" i="1"/>
  <c r="J1493" i="1"/>
  <c r="K1493" i="1"/>
  <c r="BE1493" i="1"/>
  <c r="BF1493" i="1"/>
  <c r="BG1493" i="1"/>
  <c r="E1494" i="1"/>
  <c r="G1494" i="1"/>
  <c r="J1494" i="1"/>
  <c r="K1494" i="1"/>
  <c r="BE1494" i="1"/>
  <c r="BF1494" i="1"/>
  <c r="BG1494" i="1"/>
  <c r="E1495" i="1"/>
  <c r="G1495" i="1"/>
  <c r="J1495" i="1"/>
  <c r="K1495" i="1"/>
  <c r="BE1495" i="1"/>
  <c r="BF1495" i="1"/>
  <c r="BG1495" i="1"/>
  <c r="E1496" i="1"/>
  <c r="G1496" i="1"/>
  <c r="J1496" i="1"/>
  <c r="K1496" i="1"/>
  <c r="BE1496" i="1"/>
  <c r="BF1496" i="1"/>
  <c r="BG1496" i="1"/>
  <c r="E1497" i="1"/>
  <c r="G1497" i="1"/>
  <c r="J1497" i="1"/>
  <c r="K1497" i="1"/>
  <c r="BE1497" i="1"/>
  <c r="BF1497" i="1"/>
  <c r="BG1497" i="1"/>
  <c r="E1498" i="1"/>
  <c r="G1498" i="1"/>
  <c r="J1498" i="1"/>
  <c r="K1498" i="1"/>
  <c r="BE1498" i="1"/>
  <c r="BF1498" i="1"/>
  <c r="BG1498" i="1"/>
  <c r="E1499" i="1"/>
  <c r="G1499" i="1"/>
  <c r="J1499" i="1"/>
  <c r="K1499" i="1"/>
  <c r="BE1499" i="1"/>
  <c r="BF1499" i="1"/>
  <c r="BG1499" i="1"/>
  <c r="E1500" i="1"/>
  <c r="G1500" i="1"/>
  <c r="J1500" i="1"/>
  <c r="K1500" i="1"/>
  <c r="BE1500" i="1"/>
  <c r="BF1500" i="1"/>
  <c r="BG1500" i="1"/>
  <c r="E1501" i="1"/>
  <c r="G1501" i="1"/>
  <c r="J1501" i="1"/>
  <c r="K1501" i="1"/>
  <c r="BE1501" i="1"/>
  <c r="BF1501" i="1"/>
  <c r="BG1501" i="1"/>
  <c r="E1502" i="1"/>
  <c r="G1502" i="1"/>
  <c r="J1502" i="1"/>
  <c r="K1502" i="1"/>
  <c r="BE1502" i="1"/>
  <c r="BF1502" i="1"/>
  <c r="BG1502" i="1"/>
  <c r="E1503" i="1"/>
  <c r="G1503" i="1"/>
  <c r="J1503" i="1"/>
  <c r="K1503" i="1"/>
  <c r="BE1503" i="1"/>
  <c r="BF1503" i="1"/>
  <c r="BG1503" i="1"/>
  <c r="E1504" i="1"/>
  <c r="G1504" i="1"/>
  <c r="J1504" i="1"/>
  <c r="K1504" i="1"/>
  <c r="BE1504" i="1"/>
  <c r="BF1504" i="1"/>
  <c r="BG1504" i="1"/>
  <c r="E1505" i="1"/>
  <c r="G1505" i="1"/>
  <c r="J1505" i="1"/>
  <c r="K1505" i="1"/>
  <c r="BE1505" i="1"/>
  <c r="BF1505" i="1"/>
  <c r="BG1505" i="1"/>
  <c r="E1506" i="1"/>
  <c r="G1506" i="1"/>
  <c r="J1506" i="1"/>
  <c r="K1506" i="1"/>
  <c r="BE1506" i="1"/>
  <c r="BF1506" i="1"/>
  <c r="BG1506" i="1"/>
  <c r="E1507" i="1"/>
  <c r="G1507" i="1"/>
  <c r="J1507" i="1"/>
  <c r="K1507" i="1"/>
  <c r="BE1507" i="1"/>
  <c r="BF1507" i="1"/>
  <c r="BG1507" i="1"/>
  <c r="E1508" i="1"/>
  <c r="G1508" i="1"/>
  <c r="J1508" i="1"/>
  <c r="K1508" i="1"/>
  <c r="BE1508" i="1"/>
  <c r="BF1508" i="1"/>
  <c r="BG1508" i="1"/>
  <c r="E1509" i="1"/>
  <c r="G1509" i="1"/>
  <c r="J1509" i="1"/>
  <c r="K1509" i="1"/>
  <c r="BE1509" i="1"/>
  <c r="BF1509" i="1"/>
  <c r="BG1509" i="1"/>
  <c r="E1510" i="1"/>
  <c r="G1510" i="1"/>
  <c r="J1510" i="1"/>
  <c r="K1510" i="1"/>
  <c r="BE1510" i="1"/>
  <c r="BF1510" i="1"/>
  <c r="BG1510" i="1"/>
  <c r="E1511" i="1"/>
  <c r="G1511" i="1"/>
  <c r="J1511" i="1"/>
  <c r="K1511" i="1"/>
  <c r="BE1511" i="1"/>
  <c r="BF1511" i="1"/>
  <c r="BG1511" i="1"/>
  <c r="E1512" i="1"/>
  <c r="G1512" i="1"/>
  <c r="J1512" i="1"/>
  <c r="K1512" i="1"/>
  <c r="BE1512" i="1"/>
  <c r="BF1512" i="1"/>
  <c r="BG1512" i="1"/>
  <c r="E1513" i="1"/>
  <c r="G1513" i="1"/>
  <c r="J1513" i="1"/>
  <c r="K1513" i="1"/>
  <c r="BE1513" i="1"/>
  <c r="BF1513" i="1"/>
  <c r="BG1513" i="1"/>
  <c r="E1514" i="1"/>
  <c r="G1514" i="1"/>
  <c r="J1514" i="1"/>
  <c r="K1514" i="1"/>
  <c r="BE1514" i="1"/>
  <c r="BF1514" i="1"/>
  <c r="BG1514" i="1"/>
  <c r="E1515" i="1"/>
  <c r="G1515" i="1"/>
  <c r="J1515" i="1"/>
  <c r="K1515" i="1"/>
  <c r="BE1515" i="1"/>
  <c r="BF1515" i="1"/>
  <c r="BG1515" i="1"/>
  <c r="E1516" i="1"/>
  <c r="G1516" i="1"/>
  <c r="J1516" i="1"/>
  <c r="K1516" i="1"/>
  <c r="BE1516" i="1"/>
  <c r="BF1516" i="1"/>
  <c r="BG1516" i="1"/>
  <c r="E1517" i="1"/>
  <c r="G1517" i="1"/>
  <c r="J1517" i="1"/>
  <c r="K1517" i="1"/>
  <c r="BE1517" i="1"/>
  <c r="BF1517" i="1"/>
  <c r="BG1517" i="1"/>
  <c r="E1518" i="1"/>
  <c r="G1518" i="1"/>
  <c r="J1518" i="1"/>
  <c r="K1518" i="1"/>
  <c r="BE1518" i="1"/>
  <c r="BF1518" i="1"/>
  <c r="BG1518" i="1"/>
  <c r="E1519" i="1"/>
  <c r="G1519" i="1"/>
  <c r="J1519" i="1"/>
  <c r="K1519" i="1"/>
  <c r="BE1519" i="1"/>
  <c r="BF1519" i="1"/>
  <c r="BG1519" i="1"/>
  <c r="E1520" i="1"/>
  <c r="G1520" i="1"/>
  <c r="J1520" i="1"/>
  <c r="K1520" i="1"/>
  <c r="BE1520" i="1"/>
  <c r="BF1520" i="1"/>
  <c r="BG1520" i="1"/>
  <c r="E1521" i="1"/>
  <c r="G1521" i="1"/>
  <c r="J1521" i="1"/>
  <c r="K1521" i="1"/>
  <c r="BE1521" i="1"/>
  <c r="BF1521" i="1"/>
  <c r="BG1521" i="1"/>
  <c r="E1522" i="1"/>
  <c r="G1522" i="1"/>
  <c r="J1522" i="1"/>
  <c r="K1522" i="1"/>
  <c r="BE1522" i="1"/>
  <c r="BF1522" i="1"/>
  <c r="BG1522" i="1"/>
  <c r="E1523" i="1"/>
  <c r="G1523" i="1"/>
  <c r="J1523" i="1"/>
  <c r="K1523" i="1"/>
  <c r="BE1523" i="1"/>
  <c r="BF1523" i="1"/>
  <c r="BG1523" i="1"/>
  <c r="E1524" i="1"/>
  <c r="G1524" i="1"/>
  <c r="J1524" i="1"/>
  <c r="K1524" i="1"/>
  <c r="BE1524" i="1"/>
  <c r="BF1524" i="1"/>
  <c r="BG1524" i="1"/>
  <c r="E1525" i="1"/>
  <c r="G1525" i="1"/>
  <c r="J1525" i="1"/>
  <c r="K1525" i="1"/>
  <c r="BE1525" i="1"/>
  <c r="BF1525" i="1"/>
  <c r="BG1525" i="1"/>
  <c r="E1526" i="1"/>
  <c r="G1526" i="1"/>
  <c r="J1526" i="1"/>
  <c r="K1526" i="1"/>
  <c r="BE1526" i="1"/>
  <c r="BF1526" i="1"/>
  <c r="BG1526" i="1"/>
  <c r="E1527" i="1"/>
  <c r="G1527" i="1"/>
  <c r="J1527" i="1"/>
  <c r="K1527" i="1"/>
  <c r="BE1527" i="1"/>
  <c r="BF1527" i="1"/>
  <c r="BG1527" i="1"/>
  <c r="E1528" i="1"/>
  <c r="G1528" i="1"/>
  <c r="J1528" i="1"/>
  <c r="K1528" i="1"/>
  <c r="BE1528" i="1"/>
  <c r="BF1528" i="1"/>
  <c r="BG1528" i="1"/>
  <c r="E1529" i="1"/>
  <c r="G1529" i="1"/>
  <c r="J1529" i="1"/>
  <c r="K1529" i="1"/>
  <c r="BE1529" i="1"/>
  <c r="BF1529" i="1"/>
  <c r="BG1529" i="1"/>
  <c r="E1530" i="1"/>
  <c r="G1530" i="1"/>
  <c r="J1530" i="1"/>
  <c r="K1530" i="1"/>
  <c r="BE1530" i="1"/>
  <c r="BF1530" i="1"/>
  <c r="BG1530" i="1"/>
  <c r="E1531" i="1"/>
  <c r="G1531" i="1"/>
  <c r="J1531" i="1"/>
  <c r="K1531" i="1"/>
  <c r="BE1531" i="1"/>
  <c r="BF1531" i="1"/>
  <c r="BG1531" i="1"/>
  <c r="E1532" i="1"/>
  <c r="G1532" i="1"/>
  <c r="J1532" i="1"/>
  <c r="K1532" i="1"/>
  <c r="BE1532" i="1"/>
  <c r="BF1532" i="1"/>
  <c r="BG1532" i="1"/>
  <c r="E1533" i="1"/>
  <c r="G1533" i="1"/>
  <c r="J1533" i="1"/>
  <c r="K1533" i="1"/>
  <c r="BE1533" i="1"/>
  <c r="BF1533" i="1"/>
  <c r="BG1533" i="1"/>
  <c r="E1534" i="1"/>
  <c r="G1534" i="1"/>
  <c r="J1534" i="1"/>
  <c r="K1534" i="1"/>
  <c r="BE1534" i="1"/>
  <c r="BF1534" i="1"/>
  <c r="BG1534" i="1"/>
  <c r="E1535" i="1"/>
  <c r="G1535" i="1"/>
  <c r="J1535" i="1"/>
  <c r="K1535" i="1"/>
  <c r="BE1535" i="1"/>
  <c r="BF1535" i="1"/>
  <c r="BG1535" i="1"/>
  <c r="E1536" i="1"/>
  <c r="G1536" i="1"/>
  <c r="J1536" i="1"/>
  <c r="K1536" i="1"/>
  <c r="BE1536" i="1"/>
  <c r="BF1536" i="1"/>
  <c r="BG1536" i="1"/>
  <c r="E1537" i="1"/>
  <c r="G1537" i="1"/>
  <c r="J1537" i="1"/>
  <c r="K1537" i="1"/>
  <c r="BE1537" i="1"/>
  <c r="BF1537" i="1"/>
  <c r="BG1537" i="1"/>
  <c r="E1538" i="1"/>
  <c r="G1538" i="1"/>
  <c r="J1538" i="1"/>
  <c r="K1538" i="1"/>
  <c r="BE1538" i="1"/>
  <c r="BF1538" i="1"/>
  <c r="BG1538" i="1"/>
  <c r="E1539" i="1"/>
  <c r="G1539" i="1"/>
  <c r="J1539" i="1"/>
  <c r="K1539" i="1"/>
  <c r="BE1539" i="1"/>
  <c r="BF1539" i="1"/>
  <c r="BG1539" i="1"/>
  <c r="E1540" i="1"/>
  <c r="G1540" i="1"/>
  <c r="J1540" i="1"/>
  <c r="K1540" i="1"/>
  <c r="BE1540" i="1"/>
  <c r="BF1540" i="1"/>
  <c r="BG1540" i="1"/>
  <c r="E1541" i="1"/>
  <c r="G1541" i="1"/>
  <c r="J1541" i="1"/>
  <c r="K1541" i="1"/>
  <c r="BE1541" i="1"/>
  <c r="BF1541" i="1"/>
  <c r="BG1541" i="1"/>
  <c r="E1542" i="1"/>
  <c r="G1542" i="1"/>
  <c r="J1542" i="1"/>
  <c r="K1542" i="1"/>
  <c r="BE1542" i="1"/>
  <c r="BF1542" i="1"/>
  <c r="BG1542" i="1"/>
  <c r="E1543" i="1"/>
  <c r="G1543" i="1"/>
  <c r="J1543" i="1"/>
  <c r="K1543" i="1"/>
  <c r="BE1543" i="1"/>
  <c r="BF1543" i="1"/>
  <c r="BG1543" i="1"/>
  <c r="E1544" i="1"/>
  <c r="G1544" i="1"/>
  <c r="J1544" i="1"/>
  <c r="K1544" i="1"/>
  <c r="BE1544" i="1"/>
  <c r="BF1544" i="1"/>
  <c r="BG1544" i="1"/>
  <c r="E1545" i="1"/>
  <c r="G1545" i="1"/>
  <c r="J1545" i="1"/>
  <c r="K1545" i="1"/>
  <c r="BE1545" i="1"/>
  <c r="BF1545" i="1"/>
  <c r="BG1545" i="1"/>
  <c r="E1546" i="1"/>
  <c r="G1546" i="1"/>
  <c r="J1546" i="1"/>
  <c r="K1546" i="1"/>
  <c r="BE1546" i="1"/>
  <c r="BF1546" i="1"/>
  <c r="BG1546" i="1"/>
  <c r="E1547" i="1"/>
  <c r="G1547" i="1"/>
  <c r="J1547" i="1"/>
  <c r="K1547" i="1"/>
  <c r="BE1547" i="1"/>
  <c r="BF1547" i="1"/>
  <c r="BG1547" i="1"/>
  <c r="E1548" i="1"/>
  <c r="G1548" i="1"/>
  <c r="J1548" i="1"/>
  <c r="K1548" i="1"/>
  <c r="BE1548" i="1"/>
  <c r="BF1548" i="1"/>
  <c r="BG1548" i="1"/>
  <c r="E1549" i="1"/>
  <c r="G1549" i="1"/>
  <c r="J1549" i="1"/>
  <c r="K1549" i="1"/>
  <c r="BE1549" i="1"/>
  <c r="BF1549" i="1"/>
  <c r="BG1549" i="1"/>
  <c r="E1550" i="1"/>
  <c r="G1550" i="1"/>
  <c r="J1550" i="1"/>
  <c r="K1550" i="1"/>
  <c r="BE1550" i="1"/>
  <c r="BF1550" i="1"/>
  <c r="BG1550" i="1"/>
  <c r="E1551" i="1"/>
  <c r="G1551" i="1"/>
  <c r="J1551" i="1"/>
  <c r="K1551" i="1"/>
  <c r="BE1551" i="1"/>
  <c r="BF1551" i="1"/>
  <c r="BG1551" i="1"/>
  <c r="E1552" i="1"/>
  <c r="G1552" i="1"/>
  <c r="J1552" i="1"/>
  <c r="K1552" i="1"/>
  <c r="BE1552" i="1"/>
  <c r="BF1552" i="1"/>
  <c r="BG1552" i="1"/>
  <c r="E1553" i="1"/>
  <c r="G1553" i="1"/>
  <c r="J1553" i="1"/>
  <c r="K1553" i="1"/>
  <c r="BE1553" i="1"/>
  <c r="BF1553" i="1"/>
  <c r="BG1553" i="1"/>
  <c r="E1554" i="1"/>
  <c r="G1554" i="1"/>
  <c r="J1554" i="1"/>
  <c r="K1554" i="1"/>
  <c r="BE1554" i="1"/>
  <c r="BF1554" i="1"/>
  <c r="BG1554" i="1"/>
  <c r="E1555" i="1"/>
  <c r="G1555" i="1"/>
  <c r="J1555" i="1"/>
  <c r="K1555" i="1"/>
  <c r="BE1555" i="1"/>
  <c r="BF1555" i="1"/>
  <c r="BG1555" i="1"/>
  <c r="E1556" i="1"/>
  <c r="G1556" i="1"/>
  <c r="J1556" i="1"/>
  <c r="K1556" i="1"/>
  <c r="BE1556" i="1"/>
  <c r="BF1556" i="1"/>
  <c r="BG1556" i="1"/>
  <c r="E1557" i="1"/>
  <c r="G1557" i="1"/>
  <c r="J1557" i="1"/>
  <c r="K1557" i="1"/>
  <c r="BE1557" i="1"/>
  <c r="BF1557" i="1"/>
  <c r="BG1557" i="1"/>
  <c r="E1558" i="1"/>
  <c r="G1558" i="1"/>
  <c r="J1558" i="1"/>
  <c r="K1558" i="1"/>
  <c r="BE1558" i="1"/>
  <c r="BF1558" i="1"/>
  <c r="BG1558" i="1"/>
  <c r="E1559" i="1"/>
  <c r="G1559" i="1"/>
  <c r="J1559" i="1"/>
  <c r="K1559" i="1"/>
  <c r="BE1559" i="1"/>
  <c r="BF1559" i="1"/>
  <c r="BG1559" i="1"/>
  <c r="E1560" i="1"/>
  <c r="G1560" i="1"/>
  <c r="J1560" i="1"/>
  <c r="K1560" i="1"/>
  <c r="BE1560" i="1"/>
  <c r="BF1560" i="1"/>
  <c r="BG1560" i="1"/>
  <c r="E1561" i="1"/>
  <c r="G1561" i="1"/>
  <c r="J1561" i="1"/>
  <c r="K1561" i="1"/>
  <c r="BE1561" i="1"/>
  <c r="BF1561" i="1"/>
  <c r="BG1561" i="1"/>
  <c r="E1562" i="1"/>
  <c r="G1562" i="1"/>
  <c r="J1562" i="1"/>
  <c r="K1562" i="1"/>
  <c r="BE1562" i="1"/>
  <c r="BF1562" i="1"/>
  <c r="BG1562" i="1"/>
  <c r="E1563" i="1"/>
  <c r="G1563" i="1"/>
  <c r="J1563" i="1"/>
  <c r="K1563" i="1"/>
  <c r="BE1563" i="1"/>
  <c r="BF1563" i="1"/>
  <c r="BG1563" i="1"/>
  <c r="E1564" i="1"/>
  <c r="G1564" i="1"/>
  <c r="J1564" i="1"/>
  <c r="K1564" i="1"/>
  <c r="BE1564" i="1"/>
  <c r="BF1564" i="1"/>
  <c r="BG1564" i="1"/>
  <c r="E1565" i="1"/>
  <c r="G1565" i="1"/>
  <c r="J1565" i="1"/>
  <c r="K1565" i="1"/>
  <c r="BE1565" i="1"/>
  <c r="BF1565" i="1"/>
  <c r="BG1565" i="1"/>
  <c r="E1566" i="1"/>
  <c r="G1566" i="1"/>
  <c r="J1566" i="1"/>
  <c r="K1566" i="1"/>
  <c r="BE1566" i="1"/>
  <c r="BF1566" i="1"/>
  <c r="BG1566" i="1"/>
  <c r="E1567" i="1"/>
  <c r="G1567" i="1"/>
  <c r="J1567" i="1"/>
  <c r="K1567" i="1"/>
  <c r="BE1567" i="1"/>
  <c r="BF1567" i="1"/>
  <c r="BG1567" i="1"/>
  <c r="E1568" i="1"/>
  <c r="G1568" i="1"/>
  <c r="J1568" i="1"/>
  <c r="K1568" i="1"/>
  <c r="BE1568" i="1"/>
  <c r="BF1568" i="1"/>
  <c r="BG1568" i="1"/>
  <c r="E1569" i="1"/>
  <c r="G1569" i="1"/>
  <c r="J1569" i="1"/>
  <c r="K1569" i="1"/>
  <c r="BE1569" i="1"/>
  <c r="BF1569" i="1"/>
  <c r="BG1569" i="1"/>
  <c r="E1570" i="1"/>
  <c r="G1570" i="1"/>
  <c r="J1570" i="1"/>
  <c r="K1570" i="1"/>
  <c r="BE1570" i="1"/>
  <c r="BF1570" i="1"/>
  <c r="BG1570" i="1"/>
  <c r="E1571" i="1"/>
  <c r="G1571" i="1"/>
  <c r="J1571" i="1"/>
  <c r="K1571" i="1"/>
  <c r="BE1571" i="1"/>
  <c r="BF1571" i="1"/>
  <c r="BG1571" i="1"/>
  <c r="E1572" i="1"/>
  <c r="G1572" i="1"/>
  <c r="J1572" i="1"/>
  <c r="K1572" i="1"/>
  <c r="BE1572" i="1"/>
  <c r="BF1572" i="1"/>
  <c r="BG1572" i="1"/>
  <c r="E1573" i="1"/>
  <c r="G1573" i="1"/>
  <c r="J1573" i="1"/>
  <c r="K1573" i="1"/>
  <c r="BE1573" i="1"/>
  <c r="BF1573" i="1"/>
  <c r="BG1573" i="1"/>
  <c r="E1574" i="1"/>
  <c r="G1574" i="1"/>
  <c r="J1574" i="1"/>
  <c r="K1574" i="1"/>
  <c r="BE1574" i="1"/>
  <c r="BF1574" i="1"/>
  <c r="BG1574" i="1"/>
  <c r="E1575" i="1"/>
  <c r="G1575" i="1"/>
  <c r="J1575" i="1"/>
  <c r="K1575" i="1"/>
  <c r="BE1575" i="1"/>
  <c r="BF1575" i="1"/>
  <c r="BG1575" i="1"/>
  <c r="E1576" i="1"/>
  <c r="G1576" i="1"/>
  <c r="J1576" i="1"/>
  <c r="K1576" i="1"/>
  <c r="BE1576" i="1"/>
  <c r="BF1576" i="1"/>
  <c r="BG1576" i="1"/>
  <c r="E1577" i="1"/>
  <c r="G1577" i="1"/>
  <c r="J1577" i="1"/>
  <c r="K1577" i="1"/>
  <c r="BE1577" i="1"/>
  <c r="BF1577" i="1"/>
  <c r="BG1577" i="1"/>
  <c r="E1578" i="1"/>
  <c r="G1578" i="1"/>
  <c r="J1578" i="1"/>
  <c r="K1578" i="1"/>
  <c r="BE1578" i="1"/>
  <c r="BF1578" i="1"/>
  <c r="BG1578" i="1"/>
  <c r="E1579" i="1"/>
  <c r="G1579" i="1"/>
  <c r="J1579" i="1"/>
  <c r="K1579" i="1"/>
  <c r="BE1579" i="1"/>
  <c r="BF1579" i="1"/>
  <c r="BG1579" i="1"/>
  <c r="E1580" i="1"/>
  <c r="G1580" i="1"/>
  <c r="J1580" i="1"/>
  <c r="K1580" i="1"/>
  <c r="BE1580" i="1"/>
  <c r="BF1580" i="1"/>
  <c r="BG1580" i="1"/>
  <c r="E1581" i="1"/>
  <c r="G1581" i="1"/>
  <c r="J1581" i="1"/>
  <c r="K1581" i="1"/>
  <c r="BE1581" i="1"/>
  <c r="BF1581" i="1"/>
  <c r="BG1581" i="1"/>
  <c r="E1582" i="1"/>
  <c r="G1582" i="1"/>
  <c r="J1582" i="1"/>
  <c r="K1582" i="1"/>
  <c r="BE1582" i="1"/>
  <c r="BF1582" i="1"/>
  <c r="BG1582" i="1"/>
  <c r="E1583" i="1"/>
  <c r="G1583" i="1"/>
  <c r="J1583" i="1"/>
  <c r="K1583" i="1"/>
  <c r="BE1583" i="1"/>
  <c r="BF1583" i="1"/>
  <c r="BG1583" i="1"/>
  <c r="E1584" i="1"/>
  <c r="G1584" i="1"/>
  <c r="J1584" i="1"/>
  <c r="K1584" i="1"/>
  <c r="BE1584" i="1"/>
  <c r="BF1584" i="1"/>
  <c r="BG1584" i="1"/>
  <c r="E1585" i="1"/>
  <c r="G1585" i="1"/>
  <c r="J1585" i="1"/>
  <c r="K1585" i="1"/>
  <c r="BE1585" i="1"/>
  <c r="BF1585" i="1"/>
  <c r="BG1585" i="1"/>
  <c r="E1586" i="1"/>
  <c r="G1586" i="1"/>
  <c r="J1586" i="1"/>
  <c r="K1586" i="1"/>
  <c r="BE1586" i="1"/>
  <c r="BF1586" i="1"/>
  <c r="BG1586" i="1"/>
  <c r="E1587" i="1"/>
  <c r="G1587" i="1"/>
  <c r="J1587" i="1"/>
  <c r="K1587" i="1"/>
  <c r="BE1587" i="1"/>
  <c r="BF1587" i="1"/>
  <c r="BG1587" i="1"/>
  <c r="E1588" i="1"/>
  <c r="G1588" i="1"/>
  <c r="J1588" i="1"/>
  <c r="K1588" i="1"/>
  <c r="BE1588" i="1"/>
  <c r="BF1588" i="1"/>
  <c r="BG1588" i="1"/>
  <c r="E1589" i="1"/>
  <c r="G1589" i="1"/>
  <c r="J1589" i="1"/>
  <c r="K1589" i="1"/>
  <c r="BE1589" i="1"/>
  <c r="BF1589" i="1"/>
  <c r="BG1589" i="1"/>
  <c r="E1590" i="1"/>
  <c r="G1590" i="1"/>
  <c r="J1590" i="1"/>
  <c r="K1590" i="1"/>
  <c r="BE1590" i="1"/>
  <c r="BF1590" i="1"/>
  <c r="BG1590" i="1"/>
  <c r="E1591" i="1"/>
  <c r="G1591" i="1"/>
  <c r="J1591" i="1"/>
  <c r="K1591" i="1"/>
  <c r="BE1591" i="1"/>
  <c r="BF1591" i="1"/>
  <c r="BG1591" i="1"/>
  <c r="E1592" i="1"/>
  <c r="G1592" i="1"/>
  <c r="J1592" i="1"/>
  <c r="K1592" i="1"/>
  <c r="BE1592" i="1"/>
  <c r="BF1592" i="1"/>
  <c r="BG1592" i="1"/>
  <c r="E1593" i="1"/>
  <c r="G1593" i="1"/>
  <c r="J1593" i="1"/>
  <c r="K1593" i="1"/>
  <c r="BE1593" i="1"/>
  <c r="BF1593" i="1"/>
  <c r="BG1593" i="1"/>
  <c r="E1594" i="1"/>
  <c r="G1594" i="1"/>
  <c r="J1594" i="1"/>
  <c r="K1594" i="1"/>
  <c r="BE1594" i="1"/>
  <c r="BF1594" i="1"/>
  <c r="BG1594" i="1"/>
  <c r="E1595" i="1"/>
  <c r="G1595" i="1"/>
  <c r="J1595" i="1"/>
  <c r="K1595" i="1"/>
  <c r="BE1595" i="1"/>
  <c r="BF1595" i="1"/>
  <c r="BG1595" i="1"/>
  <c r="E1596" i="1"/>
  <c r="G1596" i="1"/>
  <c r="J1596" i="1"/>
  <c r="K1596" i="1"/>
  <c r="BE1596" i="1"/>
  <c r="BF1596" i="1"/>
  <c r="BG1596" i="1"/>
  <c r="E1597" i="1"/>
  <c r="G1597" i="1"/>
  <c r="J1597" i="1"/>
  <c r="K1597" i="1"/>
  <c r="BE1597" i="1"/>
  <c r="BF1597" i="1"/>
  <c r="BG1597" i="1"/>
  <c r="E1598" i="1"/>
  <c r="G1598" i="1"/>
  <c r="J1598" i="1"/>
  <c r="K1598" i="1"/>
  <c r="BE1598" i="1"/>
  <c r="BF1598" i="1"/>
  <c r="BG1598" i="1"/>
  <c r="E1599" i="1"/>
  <c r="G1599" i="1"/>
  <c r="J1599" i="1"/>
  <c r="K1599" i="1"/>
  <c r="BE1599" i="1"/>
  <c r="BF1599" i="1"/>
  <c r="BG1599" i="1"/>
  <c r="E1600" i="1"/>
  <c r="G1600" i="1"/>
  <c r="J1600" i="1"/>
  <c r="K1600" i="1"/>
  <c r="BE1600" i="1"/>
  <c r="BF1600" i="1"/>
  <c r="BG1600" i="1"/>
  <c r="E1601" i="1"/>
  <c r="G1601" i="1"/>
  <c r="J1601" i="1"/>
  <c r="K1601" i="1"/>
  <c r="BE1601" i="1"/>
  <c r="BF1601" i="1"/>
  <c r="BG1601" i="1"/>
  <c r="E1602" i="1"/>
  <c r="G1602" i="1"/>
  <c r="J1602" i="1"/>
  <c r="K1602" i="1"/>
  <c r="BE1602" i="1"/>
  <c r="BF1602" i="1"/>
  <c r="BG1602" i="1"/>
  <c r="E1603" i="1"/>
  <c r="G1603" i="1"/>
  <c r="J1603" i="1"/>
  <c r="K1603" i="1"/>
  <c r="BE1603" i="1"/>
  <c r="BF1603" i="1"/>
  <c r="BG1603" i="1"/>
  <c r="E1604" i="1"/>
  <c r="G1604" i="1"/>
  <c r="J1604" i="1"/>
  <c r="K1604" i="1"/>
  <c r="BE1604" i="1"/>
  <c r="BF1604" i="1"/>
  <c r="BG1604" i="1"/>
  <c r="E1605" i="1"/>
  <c r="G1605" i="1"/>
  <c r="J1605" i="1"/>
  <c r="K1605" i="1"/>
  <c r="BE1605" i="1"/>
  <c r="BF1605" i="1"/>
  <c r="BG1605" i="1"/>
  <c r="E1606" i="1"/>
  <c r="G1606" i="1"/>
  <c r="J1606" i="1"/>
  <c r="K1606" i="1"/>
  <c r="BE1606" i="1"/>
  <c r="BF1606" i="1"/>
  <c r="BG1606" i="1"/>
  <c r="E1607" i="1"/>
  <c r="G1607" i="1"/>
  <c r="J1607" i="1"/>
  <c r="K1607" i="1"/>
  <c r="BE1607" i="1"/>
  <c r="BF1607" i="1"/>
  <c r="BG1607" i="1"/>
  <c r="E1608" i="1"/>
  <c r="G1608" i="1"/>
  <c r="J1608" i="1"/>
  <c r="K1608" i="1"/>
  <c r="BE1608" i="1"/>
  <c r="BF1608" i="1"/>
  <c r="BG1608" i="1"/>
  <c r="E1609" i="1"/>
  <c r="G1609" i="1"/>
  <c r="J1609" i="1"/>
  <c r="K1609" i="1"/>
  <c r="BE1609" i="1"/>
  <c r="BF1609" i="1"/>
  <c r="BG1609" i="1"/>
  <c r="E1610" i="1"/>
  <c r="G1610" i="1"/>
  <c r="J1610" i="1"/>
  <c r="K1610" i="1"/>
  <c r="BE1610" i="1"/>
  <c r="BF1610" i="1"/>
  <c r="BG1610" i="1"/>
  <c r="E1611" i="1"/>
  <c r="G1611" i="1"/>
  <c r="J1611" i="1"/>
  <c r="K1611" i="1"/>
  <c r="BE1611" i="1"/>
  <c r="BF1611" i="1"/>
  <c r="BG1611" i="1"/>
  <c r="E1612" i="1"/>
  <c r="G1612" i="1"/>
  <c r="J1612" i="1"/>
  <c r="K1612" i="1"/>
  <c r="BE1612" i="1"/>
  <c r="BF1612" i="1"/>
  <c r="BG1612" i="1"/>
  <c r="E1613" i="1"/>
  <c r="G1613" i="1"/>
  <c r="J1613" i="1"/>
  <c r="K1613" i="1"/>
  <c r="BE1613" i="1"/>
  <c r="BF1613" i="1"/>
  <c r="BG1613" i="1"/>
  <c r="E1614" i="1"/>
  <c r="G1614" i="1"/>
  <c r="J1614" i="1"/>
  <c r="K1614" i="1"/>
  <c r="BE1614" i="1"/>
  <c r="BF1614" i="1"/>
  <c r="BG1614" i="1"/>
  <c r="E1615" i="1"/>
  <c r="G1615" i="1"/>
  <c r="J1615" i="1"/>
  <c r="K1615" i="1"/>
  <c r="BE1615" i="1"/>
  <c r="BF1615" i="1"/>
  <c r="BG1615" i="1"/>
  <c r="E1616" i="1"/>
  <c r="G1616" i="1"/>
  <c r="J1616" i="1"/>
  <c r="K1616" i="1"/>
  <c r="BE1616" i="1"/>
  <c r="BF1616" i="1"/>
  <c r="BG1616" i="1"/>
  <c r="E1617" i="1"/>
  <c r="G1617" i="1"/>
  <c r="J1617" i="1"/>
  <c r="K1617" i="1"/>
  <c r="BE1617" i="1"/>
  <c r="BF1617" i="1"/>
  <c r="BG1617" i="1"/>
  <c r="E1618" i="1"/>
  <c r="G1618" i="1"/>
  <c r="J1618" i="1"/>
  <c r="K1618" i="1"/>
  <c r="BE1618" i="1"/>
  <c r="BF1618" i="1"/>
  <c r="BG1618" i="1"/>
  <c r="E1619" i="1"/>
  <c r="G1619" i="1"/>
  <c r="J1619" i="1"/>
  <c r="K1619" i="1"/>
  <c r="BE1619" i="1"/>
  <c r="BF1619" i="1"/>
  <c r="BG1619" i="1"/>
  <c r="E1620" i="1"/>
  <c r="G1620" i="1"/>
  <c r="J1620" i="1"/>
  <c r="K1620" i="1"/>
  <c r="BE1620" i="1"/>
  <c r="BF1620" i="1"/>
  <c r="BG1620" i="1"/>
  <c r="E1621" i="1"/>
  <c r="G1621" i="1"/>
  <c r="J1621" i="1"/>
  <c r="K1621" i="1"/>
  <c r="BE1621" i="1"/>
  <c r="BF1621" i="1"/>
  <c r="BG1621" i="1"/>
  <c r="E1622" i="1"/>
  <c r="G1622" i="1"/>
  <c r="J1622" i="1"/>
  <c r="K1622" i="1"/>
  <c r="BE1622" i="1"/>
  <c r="BF1622" i="1"/>
  <c r="BG1622" i="1"/>
  <c r="E1623" i="1"/>
  <c r="G1623" i="1"/>
  <c r="J1623" i="1"/>
  <c r="K1623" i="1"/>
  <c r="BE1623" i="1"/>
  <c r="BF1623" i="1"/>
  <c r="BG1623" i="1"/>
  <c r="E1624" i="1"/>
  <c r="G1624" i="1"/>
  <c r="J1624" i="1"/>
  <c r="K1624" i="1"/>
  <c r="BE1624" i="1"/>
  <c r="BF1624" i="1"/>
  <c r="BG1624" i="1"/>
  <c r="E1625" i="1"/>
  <c r="G1625" i="1"/>
  <c r="J1625" i="1"/>
  <c r="K1625" i="1"/>
  <c r="BE1625" i="1"/>
  <c r="BF1625" i="1"/>
  <c r="BG1625" i="1"/>
  <c r="E1626" i="1"/>
  <c r="G1626" i="1"/>
  <c r="J1626" i="1"/>
  <c r="K1626" i="1"/>
  <c r="BE1626" i="1"/>
  <c r="BF1626" i="1"/>
  <c r="BG1626" i="1"/>
  <c r="E1627" i="1"/>
  <c r="G1627" i="1"/>
  <c r="J1627" i="1"/>
  <c r="K1627" i="1"/>
  <c r="BE1627" i="1"/>
  <c r="BF1627" i="1"/>
  <c r="BG1627" i="1"/>
  <c r="E1628" i="1"/>
  <c r="G1628" i="1"/>
  <c r="J1628" i="1"/>
  <c r="K1628" i="1"/>
  <c r="BE1628" i="1"/>
  <c r="BF1628" i="1"/>
  <c r="BG1628" i="1"/>
  <c r="E1629" i="1"/>
  <c r="G1629" i="1"/>
  <c r="J1629" i="1"/>
  <c r="K1629" i="1"/>
  <c r="BE1629" i="1"/>
  <c r="BF1629" i="1"/>
  <c r="BG1629" i="1"/>
  <c r="E1630" i="1"/>
  <c r="G1630" i="1"/>
  <c r="J1630" i="1"/>
  <c r="K1630" i="1"/>
  <c r="BE1630" i="1"/>
  <c r="BF1630" i="1"/>
  <c r="BG1630" i="1"/>
  <c r="E1631" i="1"/>
  <c r="G1631" i="1"/>
  <c r="J1631" i="1"/>
  <c r="K1631" i="1"/>
  <c r="BE1631" i="1"/>
  <c r="BF1631" i="1"/>
  <c r="BG1631" i="1"/>
  <c r="E1632" i="1"/>
  <c r="G1632" i="1"/>
  <c r="J1632" i="1"/>
  <c r="K1632" i="1"/>
  <c r="BE1632" i="1"/>
  <c r="BF1632" i="1"/>
  <c r="BG1632" i="1"/>
  <c r="E1633" i="1"/>
  <c r="G1633" i="1"/>
  <c r="J1633" i="1"/>
  <c r="K1633" i="1"/>
  <c r="BE1633" i="1"/>
  <c r="BF1633" i="1"/>
  <c r="BG1633" i="1"/>
  <c r="E1634" i="1"/>
  <c r="G1634" i="1"/>
  <c r="J1634" i="1"/>
  <c r="K1634" i="1"/>
  <c r="BE1634" i="1"/>
  <c r="BF1634" i="1"/>
  <c r="BG1634" i="1"/>
  <c r="E1635" i="1"/>
  <c r="G1635" i="1"/>
  <c r="J1635" i="1"/>
  <c r="K1635" i="1"/>
  <c r="BE1635" i="1"/>
  <c r="BF1635" i="1"/>
  <c r="BG1635" i="1"/>
  <c r="E1636" i="1"/>
  <c r="G1636" i="1"/>
  <c r="J1636" i="1"/>
  <c r="K1636" i="1"/>
  <c r="BE1636" i="1"/>
  <c r="BF1636" i="1"/>
  <c r="BG1636" i="1"/>
  <c r="E1637" i="1"/>
  <c r="G1637" i="1"/>
  <c r="J1637" i="1"/>
  <c r="K1637" i="1"/>
  <c r="BE1637" i="1"/>
  <c r="BF1637" i="1"/>
  <c r="BG1637" i="1"/>
  <c r="E1638" i="1"/>
  <c r="G1638" i="1"/>
  <c r="J1638" i="1"/>
  <c r="K1638" i="1"/>
  <c r="BE1638" i="1"/>
  <c r="BF1638" i="1"/>
  <c r="BG1638" i="1"/>
  <c r="E1639" i="1"/>
  <c r="G1639" i="1"/>
  <c r="J1639" i="1"/>
  <c r="K1639" i="1"/>
  <c r="BE1639" i="1"/>
  <c r="BF1639" i="1"/>
  <c r="BG1639" i="1"/>
  <c r="E1640" i="1"/>
  <c r="G1640" i="1"/>
  <c r="J1640" i="1"/>
  <c r="K1640" i="1"/>
  <c r="BE1640" i="1"/>
  <c r="BF1640" i="1"/>
  <c r="BG1640" i="1"/>
  <c r="E1641" i="1"/>
  <c r="G1641" i="1"/>
  <c r="J1641" i="1"/>
  <c r="K1641" i="1"/>
  <c r="BE1641" i="1"/>
  <c r="BF1641" i="1"/>
  <c r="BG1641" i="1"/>
  <c r="E1642" i="1"/>
  <c r="G1642" i="1"/>
  <c r="J1642" i="1"/>
  <c r="K1642" i="1"/>
  <c r="BE1642" i="1"/>
  <c r="BF1642" i="1"/>
  <c r="BG1642" i="1"/>
  <c r="E1643" i="1"/>
  <c r="G1643" i="1"/>
  <c r="J1643" i="1"/>
  <c r="K1643" i="1"/>
  <c r="BE1643" i="1"/>
  <c r="BF1643" i="1"/>
  <c r="BG1643" i="1"/>
  <c r="E1644" i="1"/>
  <c r="G1644" i="1"/>
  <c r="J1644" i="1"/>
  <c r="K1644" i="1"/>
  <c r="BE1644" i="1"/>
  <c r="BF1644" i="1"/>
  <c r="BG1644" i="1"/>
  <c r="E1645" i="1"/>
  <c r="G1645" i="1"/>
  <c r="J1645" i="1"/>
  <c r="K1645" i="1"/>
  <c r="BE1645" i="1"/>
  <c r="BF1645" i="1"/>
  <c r="BG1645" i="1"/>
  <c r="E1646" i="1"/>
  <c r="G1646" i="1"/>
  <c r="J1646" i="1"/>
  <c r="K1646" i="1"/>
  <c r="BE1646" i="1"/>
  <c r="BF1646" i="1"/>
  <c r="BG1646" i="1"/>
  <c r="E1647" i="1"/>
  <c r="G1647" i="1"/>
  <c r="J1647" i="1"/>
  <c r="K1647" i="1"/>
  <c r="BE1647" i="1"/>
  <c r="BF1647" i="1"/>
  <c r="BG1647" i="1"/>
  <c r="E1648" i="1"/>
  <c r="G1648" i="1"/>
  <c r="J1648" i="1"/>
  <c r="K1648" i="1"/>
  <c r="BE1648" i="1"/>
  <c r="BF1648" i="1"/>
  <c r="BG1648" i="1"/>
  <c r="E1649" i="1"/>
  <c r="G1649" i="1"/>
  <c r="J1649" i="1"/>
  <c r="K1649" i="1"/>
  <c r="BE1649" i="1"/>
  <c r="BF1649" i="1"/>
  <c r="BG1649" i="1"/>
  <c r="E1650" i="1"/>
  <c r="G1650" i="1"/>
  <c r="J1650" i="1"/>
  <c r="K1650" i="1"/>
  <c r="BE1650" i="1"/>
  <c r="BF1650" i="1"/>
  <c r="BG1650" i="1"/>
  <c r="E1651" i="1"/>
  <c r="G1651" i="1"/>
  <c r="J1651" i="1"/>
  <c r="K1651" i="1"/>
  <c r="BE1651" i="1"/>
  <c r="BF1651" i="1"/>
  <c r="BG1651" i="1"/>
  <c r="E1652" i="1"/>
  <c r="G1652" i="1"/>
  <c r="J1652" i="1"/>
  <c r="K1652" i="1"/>
  <c r="BE1652" i="1"/>
  <c r="BF1652" i="1"/>
  <c r="BG1652" i="1"/>
  <c r="E1653" i="1"/>
  <c r="G1653" i="1"/>
  <c r="J1653" i="1"/>
  <c r="K1653" i="1"/>
  <c r="BE1653" i="1"/>
  <c r="BF1653" i="1"/>
  <c r="BG1653" i="1"/>
  <c r="E1654" i="1"/>
  <c r="G1654" i="1"/>
  <c r="J1654" i="1"/>
  <c r="K1654" i="1"/>
  <c r="BE1654" i="1"/>
  <c r="BF1654" i="1"/>
  <c r="BG1654" i="1"/>
  <c r="E1655" i="1"/>
  <c r="G1655" i="1"/>
  <c r="J1655" i="1"/>
  <c r="K1655" i="1"/>
  <c r="BE1655" i="1"/>
  <c r="BF1655" i="1"/>
  <c r="BG1655" i="1"/>
  <c r="E1656" i="1"/>
  <c r="G1656" i="1"/>
  <c r="J1656" i="1"/>
  <c r="K1656" i="1"/>
  <c r="BE1656" i="1"/>
  <c r="BF1656" i="1"/>
  <c r="BG1656" i="1"/>
  <c r="E1657" i="1"/>
  <c r="G1657" i="1"/>
  <c r="J1657" i="1"/>
  <c r="K1657" i="1"/>
  <c r="BE1657" i="1"/>
  <c r="BF1657" i="1"/>
  <c r="BG1657" i="1"/>
  <c r="E1658" i="1"/>
  <c r="G1658" i="1"/>
  <c r="J1658" i="1"/>
  <c r="K1658" i="1"/>
  <c r="BE1658" i="1"/>
  <c r="BF1658" i="1"/>
  <c r="BG1658" i="1"/>
  <c r="E1659" i="1"/>
  <c r="G1659" i="1"/>
  <c r="J1659" i="1"/>
  <c r="K1659" i="1"/>
  <c r="BE1659" i="1"/>
  <c r="BF1659" i="1"/>
  <c r="BG1659" i="1"/>
  <c r="E1660" i="1"/>
  <c r="G1660" i="1"/>
  <c r="J1660" i="1"/>
  <c r="K1660" i="1"/>
  <c r="BE1660" i="1"/>
  <c r="BF1660" i="1"/>
  <c r="BG1660" i="1"/>
  <c r="E1661" i="1"/>
  <c r="G1661" i="1"/>
  <c r="J1661" i="1"/>
  <c r="K1661" i="1"/>
  <c r="BE1661" i="1"/>
  <c r="BF1661" i="1"/>
  <c r="BG1661" i="1"/>
  <c r="E1662" i="1"/>
  <c r="G1662" i="1"/>
  <c r="J1662" i="1"/>
  <c r="K1662" i="1"/>
  <c r="BE1662" i="1"/>
  <c r="BF1662" i="1"/>
  <c r="BG1662" i="1"/>
  <c r="E1663" i="1"/>
  <c r="G1663" i="1"/>
  <c r="J1663" i="1"/>
  <c r="K1663" i="1"/>
  <c r="BE1663" i="1"/>
  <c r="BF1663" i="1"/>
  <c r="BG1663" i="1"/>
  <c r="E1664" i="1"/>
  <c r="G1664" i="1"/>
  <c r="J1664" i="1"/>
  <c r="K1664" i="1"/>
  <c r="BE1664" i="1"/>
  <c r="BF1664" i="1"/>
  <c r="BG1664" i="1"/>
  <c r="E1665" i="1"/>
  <c r="G1665" i="1"/>
  <c r="J1665" i="1"/>
  <c r="K1665" i="1"/>
  <c r="BE1665" i="1"/>
  <c r="BF1665" i="1"/>
  <c r="BG1665" i="1"/>
  <c r="E1666" i="1"/>
  <c r="G1666" i="1"/>
  <c r="J1666" i="1"/>
  <c r="K1666" i="1"/>
  <c r="BE1666" i="1"/>
  <c r="BF1666" i="1"/>
  <c r="BG1666" i="1"/>
  <c r="E1667" i="1"/>
  <c r="G1667" i="1"/>
  <c r="J1667" i="1"/>
  <c r="K1667" i="1"/>
  <c r="BE1667" i="1"/>
  <c r="BF1667" i="1"/>
  <c r="BG1667" i="1"/>
  <c r="E1668" i="1"/>
  <c r="G1668" i="1"/>
  <c r="J1668" i="1"/>
  <c r="K1668" i="1"/>
  <c r="BE1668" i="1"/>
  <c r="BF1668" i="1"/>
  <c r="BG1668" i="1"/>
  <c r="E1669" i="1"/>
  <c r="G1669" i="1"/>
  <c r="J1669" i="1"/>
  <c r="K1669" i="1"/>
  <c r="BE1669" i="1"/>
  <c r="BF1669" i="1"/>
  <c r="BG1669" i="1"/>
  <c r="E1670" i="1"/>
  <c r="G1670" i="1"/>
  <c r="J1670" i="1"/>
  <c r="K1670" i="1"/>
  <c r="BE1670" i="1"/>
  <c r="BF1670" i="1"/>
  <c r="BG1670" i="1"/>
  <c r="E1671" i="1"/>
  <c r="G1671" i="1"/>
  <c r="J1671" i="1"/>
  <c r="K1671" i="1"/>
  <c r="BE1671" i="1"/>
  <c r="BF1671" i="1"/>
  <c r="BG1671" i="1"/>
  <c r="E1672" i="1"/>
  <c r="G1672" i="1"/>
  <c r="J1672" i="1"/>
  <c r="K1672" i="1"/>
  <c r="BE1672" i="1"/>
  <c r="BF1672" i="1"/>
  <c r="BG1672" i="1"/>
  <c r="E1673" i="1"/>
  <c r="G1673" i="1"/>
  <c r="J1673" i="1"/>
  <c r="K1673" i="1"/>
  <c r="BE1673" i="1"/>
  <c r="BF1673" i="1"/>
  <c r="BG1673" i="1"/>
  <c r="E1674" i="1"/>
  <c r="G1674" i="1"/>
  <c r="J1674" i="1"/>
  <c r="K1674" i="1"/>
  <c r="BE1674" i="1"/>
  <c r="BF1674" i="1"/>
  <c r="BG1674" i="1"/>
  <c r="E1675" i="1"/>
  <c r="G1675" i="1"/>
  <c r="J1675" i="1"/>
  <c r="K1675" i="1"/>
  <c r="BE1675" i="1"/>
  <c r="BF1675" i="1"/>
  <c r="BG1675" i="1"/>
  <c r="E1676" i="1"/>
  <c r="G1676" i="1"/>
  <c r="J1676" i="1"/>
  <c r="K1676" i="1"/>
  <c r="BE1676" i="1"/>
  <c r="BF1676" i="1"/>
  <c r="BG1676" i="1"/>
  <c r="E1677" i="1"/>
  <c r="G1677" i="1"/>
  <c r="J1677" i="1"/>
  <c r="K1677" i="1"/>
  <c r="BE1677" i="1"/>
  <c r="BF1677" i="1"/>
  <c r="BG1677" i="1"/>
  <c r="E1678" i="1"/>
  <c r="G1678" i="1"/>
  <c r="J1678" i="1"/>
  <c r="K1678" i="1"/>
  <c r="BE1678" i="1"/>
  <c r="BF1678" i="1"/>
  <c r="BG1678" i="1"/>
  <c r="E1679" i="1"/>
  <c r="G1679" i="1"/>
  <c r="J1679" i="1"/>
  <c r="K1679" i="1"/>
  <c r="BE1679" i="1"/>
  <c r="BF1679" i="1"/>
  <c r="BG1679" i="1"/>
  <c r="E1680" i="1"/>
  <c r="G1680" i="1"/>
  <c r="J1680" i="1"/>
  <c r="K1680" i="1"/>
  <c r="BE1680" i="1"/>
  <c r="BF1680" i="1"/>
  <c r="BG1680" i="1"/>
  <c r="E1681" i="1"/>
  <c r="G1681" i="1"/>
  <c r="J1681" i="1"/>
  <c r="K1681" i="1"/>
  <c r="BE1681" i="1"/>
  <c r="BF1681" i="1"/>
  <c r="BG1681" i="1"/>
  <c r="E1682" i="1"/>
  <c r="G1682" i="1"/>
  <c r="J1682" i="1"/>
  <c r="K1682" i="1"/>
  <c r="BE1682" i="1"/>
  <c r="BF1682" i="1"/>
  <c r="BG1682" i="1"/>
  <c r="E1683" i="1"/>
  <c r="G1683" i="1"/>
  <c r="J1683" i="1"/>
  <c r="K1683" i="1"/>
  <c r="BE1683" i="1"/>
  <c r="BF1683" i="1"/>
  <c r="BG1683" i="1"/>
  <c r="E1684" i="1"/>
  <c r="G1684" i="1"/>
  <c r="J1684" i="1"/>
  <c r="K1684" i="1"/>
  <c r="BE1684" i="1"/>
  <c r="BF1684" i="1"/>
  <c r="BG1684" i="1"/>
  <c r="E1685" i="1"/>
  <c r="G1685" i="1"/>
  <c r="J1685" i="1"/>
  <c r="K1685" i="1"/>
  <c r="BE1685" i="1"/>
  <c r="BF1685" i="1"/>
  <c r="BG1685" i="1"/>
  <c r="E1686" i="1"/>
  <c r="G1686" i="1"/>
  <c r="J1686" i="1"/>
  <c r="K1686" i="1"/>
  <c r="BE1686" i="1"/>
  <c r="BF1686" i="1"/>
  <c r="BG1686" i="1"/>
  <c r="E1687" i="1"/>
  <c r="G1687" i="1"/>
  <c r="J1687" i="1"/>
  <c r="K1687" i="1"/>
  <c r="BE1687" i="1"/>
  <c r="BF1687" i="1"/>
  <c r="BG1687" i="1"/>
  <c r="E1688" i="1"/>
  <c r="G1688" i="1"/>
  <c r="J1688" i="1"/>
  <c r="K1688" i="1"/>
  <c r="BE1688" i="1"/>
  <c r="BF1688" i="1"/>
  <c r="BG1688" i="1"/>
  <c r="E1689" i="1"/>
  <c r="G1689" i="1"/>
  <c r="J1689" i="1"/>
  <c r="K1689" i="1"/>
  <c r="BE1689" i="1"/>
  <c r="BF1689" i="1"/>
  <c r="BG1689" i="1"/>
  <c r="E1690" i="1"/>
  <c r="G1690" i="1"/>
  <c r="J1690" i="1"/>
  <c r="K1690" i="1"/>
  <c r="BE1690" i="1"/>
  <c r="BF1690" i="1"/>
  <c r="BG1690" i="1"/>
  <c r="E1691" i="1"/>
  <c r="G1691" i="1"/>
  <c r="J1691" i="1"/>
  <c r="K1691" i="1"/>
  <c r="BE1691" i="1"/>
  <c r="BF1691" i="1"/>
  <c r="BG1691" i="1"/>
  <c r="E1692" i="1"/>
  <c r="G1692" i="1"/>
  <c r="J1692" i="1"/>
  <c r="K1692" i="1"/>
  <c r="BE1692" i="1"/>
  <c r="BF1692" i="1"/>
  <c r="BG1692" i="1"/>
  <c r="E1693" i="1"/>
  <c r="G1693" i="1"/>
  <c r="J1693" i="1"/>
  <c r="K1693" i="1"/>
  <c r="BE1693" i="1"/>
  <c r="BF1693" i="1"/>
  <c r="BG1693" i="1"/>
  <c r="E1694" i="1"/>
  <c r="G1694" i="1"/>
  <c r="J1694" i="1"/>
  <c r="K1694" i="1"/>
  <c r="BE1694" i="1"/>
  <c r="BF1694" i="1"/>
  <c r="BG1694" i="1"/>
  <c r="E1695" i="1"/>
  <c r="G1695" i="1"/>
  <c r="J1695" i="1"/>
  <c r="K1695" i="1"/>
  <c r="BE1695" i="1"/>
  <c r="BF1695" i="1"/>
  <c r="BG1695" i="1"/>
  <c r="E4495" i="1"/>
  <c r="G4495" i="1"/>
  <c r="J4495" i="1"/>
  <c r="K4495" i="1"/>
  <c r="BE4495" i="1"/>
  <c r="BF4495" i="1"/>
  <c r="BG4495" i="1"/>
  <c r="E4496" i="1"/>
  <c r="G4496" i="1"/>
  <c r="J4496" i="1"/>
  <c r="K4496" i="1"/>
  <c r="BE4496" i="1"/>
  <c r="BF4496" i="1"/>
  <c r="BG4496" i="1"/>
  <c r="E4497" i="1"/>
  <c r="G4497" i="1"/>
  <c r="J4497" i="1"/>
  <c r="K4497" i="1"/>
  <c r="BE4497" i="1"/>
  <c r="BF4497" i="1"/>
  <c r="BG4497" i="1"/>
  <c r="E780" i="1"/>
  <c r="G780" i="1"/>
  <c r="J780" i="1"/>
  <c r="K780" i="1"/>
  <c r="BE780" i="1"/>
  <c r="BF780" i="1"/>
  <c r="BG780" i="1"/>
  <c r="E4498" i="1"/>
  <c r="G4498" i="1"/>
  <c r="J4498" i="1"/>
  <c r="K4498" i="1"/>
  <c r="BE4498" i="1"/>
  <c r="BF4498" i="1"/>
  <c r="BG4498" i="1"/>
  <c r="E4499" i="1"/>
  <c r="G4499" i="1"/>
  <c r="J4499" i="1"/>
  <c r="K4499" i="1"/>
  <c r="BE4499" i="1"/>
  <c r="BF4499" i="1"/>
  <c r="BG4499" i="1"/>
  <c r="E4500" i="1"/>
  <c r="G4500" i="1"/>
  <c r="J4500" i="1"/>
  <c r="K4500" i="1"/>
  <c r="BE4500" i="1"/>
  <c r="BF4500" i="1"/>
  <c r="BG4500" i="1"/>
  <c r="E10" i="1"/>
  <c r="G10" i="1"/>
  <c r="J10" i="1"/>
  <c r="K10" i="1"/>
  <c r="BE10" i="1"/>
  <c r="BF10" i="1"/>
  <c r="BG10" i="1"/>
  <c r="E91" i="1"/>
  <c r="G91" i="1"/>
  <c r="J91" i="1"/>
  <c r="K91" i="1"/>
  <c r="BE91" i="1"/>
  <c r="BF91" i="1"/>
  <c r="BG91" i="1"/>
  <c r="E2053" i="1"/>
  <c r="G2053" i="1"/>
  <c r="J2053" i="1"/>
  <c r="K2053" i="1"/>
  <c r="BF2053" i="1"/>
  <c r="BG2053" i="1"/>
  <c r="E4501" i="1"/>
  <c r="G4501" i="1"/>
  <c r="J4501" i="1"/>
  <c r="K4501" i="1"/>
  <c r="BE4501" i="1"/>
  <c r="BF4501" i="1"/>
  <c r="BG4501" i="1"/>
  <c r="E6870" i="1"/>
  <c r="G6870" i="1"/>
  <c r="J6870" i="1"/>
  <c r="BC6870" i="1"/>
  <c r="BE6870" i="1"/>
  <c r="BF6870" i="1"/>
  <c r="BG6870" i="1"/>
  <c r="BH6870" i="1"/>
  <c r="E4502" i="1"/>
  <c r="G4502" i="1"/>
  <c r="J4502" i="1"/>
  <c r="K4502" i="1"/>
  <c r="BE4502" i="1"/>
  <c r="BF4502" i="1"/>
  <c r="BG4502" i="1"/>
  <c r="E4503" i="1"/>
  <c r="G4503" i="1"/>
  <c r="J4503" i="1"/>
  <c r="K4503" i="1"/>
  <c r="BE4503" i="1"/>
  <c r="BF4503" i="1"/>
  <c r="BG4503" i="1"/>
  <c r="E6238" i="1"/>
  <c r="G6238" i="1"/>
  <c r="J6238" i="1"/>
  <c r="K6238" i="1"/>
  <c r="BE6238" i="1"/>
  <c r="BF6238" i="1"/>
  <c r="BG6238" i="1"/>
  <c r="E4504" i="1"/>
  <c r="G4504" i="1"/>
  <c r="J4504" i="1"/>
  <c r="K4504" i="1"/>
  <c r="BE4504" i="1"/>
  <c r="BF4504" i="1"/>
  <c r="BG4504" i="1"/>
  <c r="E460" i="1"/>
  <c r="G460" i="1"/>
  <c r="J460" i="1"/>
  <c r="K460" i="1"/>
  <c r="BC460" i="1"/>
  <c r="BE460" i="1"/>
  <c r="BF460" i="1"/>
  <c r="BG460" i="1"/>
  <c r="E4505" i="1"/>
  <c r="G4505" i="1"/>
  <c r="J4505" i="1"/>
  <c r="K4505" i="1"/>
  <c r="BE4505" i="1"/>
  <c r="BF4505" i="1"/>
  <c r="BG4505" i="1"/>
  <c r="E4506" i="1"/>
  <c r="G4506" i="1"/>
  <c r="J4506" i="1"/>
  <c r="K4506" i="1"/>
  <c r="BE4506" i="1"/>
  <c r="BF4506" i="1"/>
  <c r="BG4506" i="1"/>
  <c r="E4507" i="1"/>
  <c r="G4507" i="1"/>
  <c r="J4507" i="1"/>
  <c r="K4507" i="1"/>
  <c r="BE4507" i="1"/>
  <c r="BF4507" i="1"/>
  <c r="BG4507" i="1"/>
  <c r="E4508" i="1"/>
  <c r="G4508" i="1"/>
  <c r="J4508" i="1"/>
  <c r="K4508" i="1"/>
  <c r="BE4508" i="1"/>
  <c r="BF4508" i="1"/>
  <c r="BG4508" i="1"/>
  <c r="E6871" i="1"/>
  <c r="G6871" i="1"/>
  <c r="J6871" i="1"/>
  <c r="BE6871" i="1"/>
  <c r="BG6871" i="1"/>
  <c r="E4509" i="1"/>
  <c r="G4509" i="1"/>
  <c r="J4509" i="1"/>
  <c r="K4509" i="1"/>
  <c r="BE4509" i="1"/>
  <c r="BF4509" i="1"/>
  <c r="BG4509" i="1"/>
  <c r="E6239" i="1"/>
  <c r="G6239" i="1"/>
  <c r="J6239" i="1"/>
  <c r="K6239" i="1"/>
  <c r="BE6239" i="1"/>
  <c r="BF6239" i="1"/>
  <c r="BG6239" i="1"/>
  <c r="E4510" i="1"/>
  <c r="G4510" i="1"/>
  <c r="J4510" i="1"/>
  <c r="K4510" i="1"/>
  <c r="BE4510" i="1"/>
  <c r="BF4510" i="1"/>
  <c r="BG4510" i="1"/>
  <c r="E5116" i="1"/>
  <c r="G5116" i="1"/>
  <c r="J5116" i="1"/>
  <c r="K5116" i="1"/>
  <c r="BE5116" i="1"/>
  <c r="BF5116" i="1"/>
  <c r="BG5116" i="1"/>
  <c r="E6240" i="1"/>
  <c r="G6240" i="1"/>
  <c r="J6240" i="1"/>
  <c r="K6240" i="1"/>
  <c r="BE6240" i="1"/>
  <c r="BF6240" i="1"/>
  <c r="BG6240" i="1"/>
  <c r="E4511" i="1"/>
  <c r="G4511" i="1"/>
  <c r="J4511" i="1"/>
  <c r="K4511" i="1"/>
  <c r="BE4511" i="1"/>
  <c r="BF4511" i="1"/>
  <c r="BG4511" i="1"/>
  <c r="E92" i="1"/>
  <c r="G92" i="1"/>
  <c r="J92" i="1"/>
  <c r="K92" i="1"/>
  <c r="BE92" i="1"/>
  <c r="BF92" i="1"/>
  <c r="BG92" i="1"/>
  <c r="E4512" i="1"/>
  <c r="G4512" i="1"/>
  <c r="J4512" i="1"/>
  <c r="K4512" i="1"/>
  <c r="BE4512" i="1"/>
  <c r="BF4512" i="1"/>
  <c r="BG4512" i="1"/>
  <c r="E4773" i="1"/>
  <c r="G4773" i="1"/>
  <c r="J4773" i="1"/>
  <c r="K4773" i="1"/>
  <c r="BE4773" i="1"/>
  <c r="BF4773" i="1"/>
  <c r="BG4773" i="1"/>
  <c r="E4513" i="1"/>
  <c r="G4513" i="1"/>
  <c r="J4513" i="1"/>
  <c r="K4513" i="1"/>
  <c r="BE4513" i="1"/>
  <c r="BF4513" i="1"/>
  <c r="BG4513" i="1"/>
  <c r="E4514" i="1"/>
  <c r="G4514" i="1"/>
  <c r="J4514" i="1"/>
  <c r="K4514" i="1"/>
  <c r="BE4514" i="1"/>
  <c r="BF4514" i="1"/>
  <c r="BG4514" i="1"/>
  <c r="E4515" i="1"/>
  <c r="G4515" i="1"/>
  <c r="J4515" i="1"/>
  <c r="K4515" i="1"/>
  <c r="BE4515" i="1"/>
  <c r="BF4515" i="1"/>
  <c r="BG4515" i="1"/>
  <c r="E4516" i="1"/>
  <c r="G4516" i="1"/>
  <c r="J4516" i="1"/>
  <c r="K4516" i="1"/>
  <c r="BE4516" i="1"/>
  <c r="BF4516" i="1"/>
  <c r="BG4516" i="1"/>
  <c r="E6241" i="1"/>
  <c r="G6241" i="1"/>
  <c r="J6241" i="1"/>
  <c r="K6241" i="1"/>
  <c r="BE6241" i="1"/>
  <c r="BF6241" i="1"/>
  <c r="BG6241" i="1"/>
  <c r="E4517" i="1"/>
  <c r="G4517" i="1"/>
  <c r="J4517" i="1"/>
  <c r="K4517" i="1"/>
  <c r="BE4517" i="1"/>
  <c r="BF4517" i="1"/>
  <c r="BG4517" i="1"/>
  <c r="E4518" i="1"/>
  <c r="G4518" i="1"/>
  <c r="J4518" i="1"/>
  <c r="K4518" i="1"/>
  <c r="BE4518" i="1"/>
  <c r="BF4518" i="1"/>
  <c r="BG4518" i="1"/>
  <c r="E2054" i="1"/>
  <c r="G2054" i="1"/>
  <c r="J2054" i="1"/>
  <c r="K2054" i="1"/>
  <c r="BF2054" i="1"/>
  <c r="BG2054" i="1"/>
  <c r="E4519" i="1"/>
  <c r="G4519" i="1"/>
  <c r="J4519" i="1"/>
  <c r="K4519" i="1"/>
  <c r="BE4519" i="1"/>
  <c r="BF4519" i="1"/>
  <c r="BG4519" i="1"/>
  <c r="E4520" i="1"/>
  <c r="G4520" i="1"/>
  <c r="J4520" i="1"/>
  <c r="K4520" i="1"/>
  <c r="BE4520" i="1"/>
  <c r="BF4520" i="1"/>
  <c r="BG4520" i="1"/>
  <c r="E4521" i="1"/>
  <c r="G4521" i="1"/>
  <c r="J4521" i="1"/>
  <c r="K4521" i="1"/>
  <c r="BE4521" i="1"/>
  <c r="BF4521" i="1"/>
  <c r="BG4521" i="1"/>
  <c r="E3710" i="1"/>
  <c r="G3710" i="1"/>
  <c r="J3710" i="1"/>
  <c r="K3710" i="1"/>
  <c r="BE3710" i="1"/>
  <c r="BF3710" i="1"/>
  <c r="BG3710" i="1"/>
  <c r="E4522" i="1"/>
  <c r="G4522" i="1"/>
  <c r="J4522" i="1"/>
  <c r="K4522" i="1"/>
  <c r="BE4522" i="1"/>
  <c r="BF4522" i="1"/>
  <c r="BG4522" i="1"/>
  <c r="E3711" i="1"/>
  <c r="G3711" i="1"/>
  <c r="J3711" i="1"/>
  <c r="K3711" i="1"/>
  <c r="BE3711" i="1"/>
  <c r="BF3711" i="1"/>
  <c r="BG3711" i="1"/>
  <c r="E6242" i="1"/>
  <c r="G6242" i="1"/>
  <c r="J6242" i="1"/>
  <c r="K6242" i="1"/>
  <c r="BE6242" i="1"/>
  <c r="BF6242" i="1"/>
  <c r="BG6242" i="1"/>
  <c r="E4523" i="1"/>
  <c r="G4523" i="1"/>
  <c r="J4523" i="1"/>
  <c r="K4523" i="1"/>
  <c r="BE4523" i="1"/>
  <c r="BF4523" i="1"/>
  <c r="BG4523" i="1"/>
  <c r="E6243" i="1"/>
  <c r="G6243" i="1"/>
  <c r="J6243" i="1"/>
  <c r="K6243" i="1"/>
  <c r="BE6243" i="1"/>
  <c r="BF6243" i="1"/>
  <c r="BG6243" i="1"/>
  <c r="E4524" i="1"/>
  <c r="G4524" i="1"/>
  <c r="J4524" i="1"/>
  <c r="K4524" i="1"/>
  <c r="BE4524" i="1"/>
  <c r="BF4524" i="1"/>
  <c r="BG4524" i="1"/>
  <c r="E6244" i="1"/>
  <c r="G6244" i="1"/>
  <c r="J6244" i="1"/>
  <c r="K6244" i="1"/>
  <c r="BE6244" i="1"/>
  <c r="BF6244" i="1"/>
  <c r="BG6244" i="1"/>
  <c r="E2055" i="1"/>
  <c r="G2055" i="1"/>
  <c r="J2055" i="1"/>
  <c r="K2055" i="1"/>
  <c r="BF2055" i="1"/>
  <c r="BG2055" i="1"/>
  <c r="E6245" i="1"/>
  <c r="G6245" i="1"/>
  <c r="J6245" i="1"/>
  <c r="K6245" i="1"/>
  <c r="BE6245" i="1"/>
  <c r="BF6245" i="1"/>
  <c r="BG6245" i="1"/>
  <c r="E4525" i="1"/>
  <c r="G4525" i="1"/>
  <c r="J4525" i="1"/>
  <c r="K4525" i="1"/>
  <c r="BE4525" i="1"/>
  <c r="BF4525" i="1"/>
  <c r="BG4525" i="1"/>
  <c r="E4526" i="1"/>
  <c r="G4526" i="1"/>
  <c r="J4526" i="1"/>
  <c r="K4526" i="1"/>
  <c r="BE4526" i="1"/>
  <c r="BF4526" i="1"/>
  <c r="BG4526" i="1"/>
  <c r="E6246" i="1"/>
  <c r="G6246" i="1"/>
  <c r="J6246" i="1"/>
  <c r="K6246" i="1"/>
  <c r="BE6246" i="1"/>
  <c r="BF6246" i="1"/>
  <c r="BG6246" i="1"/>
  <c r="E155" i="1"/>
  <c r="G155" i="1"/>
  <c r="J155" i="1"/>
  <c r="K155" i="1"/>
  <c r="BF155" i="1"/>
  <c r="BG155" i="1"/>
  <c r="E4527" i="1"/>
  <c r="G4527" i="1"/>
  <c r="J4527" i="1"/>
  <c r="K4527" i="1"/>
  <c r="BE4527" i="1"/>
  <c r="BF4527" i="1"/>
  <c r="BG4527" i="1"/>
  <c r="E498" i="1"/>
  <c r="G498" i="1"/>
  <c r="J498" i="1"/>
  <c r="K498" i="1"/>
  <c r="BE498" i="1"/>
  <c r="BF498" i="1"/>
  <c r="BG498" i="1"/>
  <c r="E3712" i="1"/>
  <c r="G3712" i="1"/>
  <c r="J3712" i="1"/>
  <c r="K3712" i="1"/>
  <c r="BE3712" i="1"/>
  <c r="BF3712" i="1"/>
  <c r="BG3712" i="1"/>
  <c r="E6247" i="1"/>
  <c r="G6247" i="1"/>
  <c r="J6247" i="1"/>
  <c r="K6247" i="1"/>
  <c r="BE6247" i="1"/>
  <c r="BF6247" i="1"/>
  <c r="BG6247" i="1"/>
  <c r="E6248" i="1"/>
  <c r="G6248" i="1"/>
  <c r="J6248" i="1"/>
  <c r="K6248" i="1"/>
  <c r="BE6248" i="1"/>
  <c r="BF6248" i="1"/>
  <c r="BG6248" i="1"/>
  <c r="E2056" i="1"/>
  <c r="G2056" i="1"/>
  <c r="J2056" i="1"/>
  <c r="K2056" i="1"/>
  <c r="BF2056" i="1"/>
  <c r="BG2056" i="1"/>
  <c r="E6249" i="1"/>
  <c r="G6249" i="1"/>
  <c r="J6249" i="1"/>
  <c r="K6249" i="1"/>
  <c r="BE6249" i="1"/>
  <c r="BF6249" i="1"/>
  <c r="BG6249" i="1"/>
  <c r="E402" i="1"/>
  <c r="G402" i="1"/>
  <c r="J402" i="1"/>
  <c r="K402" i="1"/>
  <c r="BF402" i="1"/>
  <c r="BG402" i="1"/>
  <c r="E4774" i="1"/>
  <c r="G4774" i="1"/>
  <c r="J4774" i="1"/>
  <c r="K4774" i="1"/>
  <c r="BE4774" i="1"/>
  <c r="BF4774" i="1"/>
  <c r="BG4774" i="1"/>
  <c r="E2057" i="1"/>
  <c r="G2057" i="1"/>
  <c r="J2057" i="1"/>
  <c r="K2057" i="1"/>
  <c r="BF2057" i="1"/>
  <c r="BG2057" i="1"/>
  <c r="E2058" i="1"/>
  <c r="G2058" i="1"/>
  <c r="J2058" i="1"/>
  <c r="K2058" i="1"/>
  <c r="BF2058" i="1"/>
  <c r="BG2058" i="1"/>
  <c r="E2059" i="1"/>
  <c r="G2059" i="1"/>
  <c r="J2059" i="1"/>
  <c r="K2059" i="1"/>
  <c r="BF2059" i="1"/>
  <c r="BG2059" i="1"/>
  <c r="E2060" i="1"/>
  <c r="G2060" i="1"/>
  <c r="J2060" i="1"/>
  <c r="K2060" i="1"/>
  <c r="BF2060" i="1"/>
  <c r="BG2060" i="1"/>
  <c r="E2061" i="1"/>
  <c r="G2061" i="1"/>
  <c r="J2061" i="1"/>
  <c r="K2061" i="1"/>
  <c r="BF2061" i="1"/>
  <c r="BG2061" i="1"/>
  <c r="E2062" i="1"/>
  <c r="G2062" i="1"/>
  <c r="J2062" i="1"/>
  <c r="K2062" i="1"/>
  <c r="BF2062" i="1"/>
  <c r="BG2062" i="1"/>
  <c r="E4775" i="1"/>
  <c r="G4775" i="1"/>
  <c r="J4775" i="1"/>
  <c r="K4775" i="1"/>
  <c r="BE4775" i="1"/>
  <c r="BF4775" i="1"/>
  <c r="BG4775" i="1"/>
  <c r="E2063" i="1"/>
  <c r="G2063" i="1"/>
  <c r="J2063" i="1"/>
  <c r="K2063" i="1"/>
  <c r="BF2063" i="1"/>
  <c r="BG2063" i="1"/>
  <c r="E2064" i="1"/>
  <c r="G2064" i="1"/>
  <c r="J2064" i="1"/>
  <c r="K2064" i="1"/>
  <c r="BF2064" i="1"/>
  <c r="BG2064" i="1"/>
  <c r="E2065" i="1"/>
  <c r="G2065" i="1"/>
  <c r="J2065" i="1"/>
  <c r="K2065" i="1"/>
  <c r="BF2065" i="1"/>
  <c r="BG2065" i="1"/>
  <c r="E93" i="1"/>
  <c r="G93" i="1"/>
  <c r="J93" i="1"/>
  <c r="K93" i="1"/>
  <c r="BE93" i="1"/>
  <c r="BF93" i="1"/>
  <c r="BG93" i="1"/>
  <c r="E2066" i="1"/>
  <c r="G2066" i="1"/>
  <c r="J2066" i="1"/>
  <c r="K2066" i="1"/>
  <c r="BF2066" i="1"/>
  <c r="BG2066" i="1"/>
  <c r="E2067" i="1"/>
  <c r="G2067" i="1"/>
  <c r="J2067" i="1"/>
  <c r="K2067" i="1"/>
  <c r="BF2067" i="1"/>
  <c r="BG2067" i="1"/>
  <c r="E186" i="1"/>
  <c r="G186" i="1"/>
  <c r="J186" i="1"/>
  <c r="K186" i="1"/>
  <c r="BF186" i="1"/>
  <c r="BG186" i="1"/>
  <c r="E2068" i="1"/>
  <c r="G2068" i="1"/>
  <c r="J2068" i="1"/>
  <c r="K2068" i="1"/>
  <c r="BF2068" i="1"/>
  <c r="BG2068" i="1"/>
  <c r="E368" i="1"/>
  <c r="G368" i="1"/>
  <c r="J368" i="1"/>
  <c r="K368" i="1"/>
  <c r="BE368" i="1"/>
  <c r="BF368" i="1"/>
  <c r="BG368" i="1"/>
  <c r="E369" i="1"/>
  <c r="G369" i="1"/>
  <c r="J369" i="1"/>
  <c r="K369" i="1"/>
  <c r="BE369" i="1"/>
  <c r="BF369" i="1"/>
  <c r="BG369" i="1"/>
  <c r="E370" i="1"/>
  <c r="G370" i="1"/>
  <c r="J370" i="1"/>
  <c r="K370" i="1"/>
  <c r="BE370" i="1"/>
  <c r="BF370" i="1"/>
  <c r="BG370" i="1"/>
  <c r="E349" i="1"/>
  <c r="G349" i="1"/>
  <c r="J349" i="1"/>
  <c r="K349" i="1"/>
  <c r="BE349" i="1"/>
  <c r="BF349" i="1"/>
  <c r="BG349" i="1"/>
  <c r="E6250" i="1"/>
  <c r="G6250" i="1"/>
  <c r="J6250" i="1"/>
  <c r="K6250" i="1"/>
  <c r="BE6250" i="1"/>
  <c r="BF6250" i="1"/>
  <c r="BG6250" i="1"/>
  <c r="E6251" i="1"/>
  <c r="G6251" i="1"/>
  <c r="J6251" i="1"/>
  <c r="K6251" i="1"/>
  <c r="BE6251" i="1"/>
  <c r="BF6251" i="1"/>
  <c r="BG6251" i="1"/>
  <c r="E6252" i="1"/>
  <c r="G6252" i="1"/>
  <c r="J6252" i="1"/>
  <c r="K6252" i="1"/>
  <c r="BE6252" i="1"/>
  <c r="BF6252" i="1"/>
  <c r="BG6252" i="1"/>
  <c r="E6253" i="1"/>
  <c r="G6253" i="1"/>
  <c r="J6253" i="1"/>
  <c r="K6253" i="1"/>
  <c r="BE6253" i="1"/>
  <c r="BF6253" i="1"/>
  <c r="BG6253" i="1"/>
  <c r="E271" i="1"/>
  <c r="G271" i="1"/>
  <c r="J271" i="1"/>
  <c r="K271" i="1"/>
  <c r="BE271" i="1"/>
  <c r="BF271" i="1"/>
  <c r="BG271" i="1"/>
  <c r="E2069" i="1"/>
  <c r="G2069" i="1"/>
  <c r="J2069" i="1"/>
  <c r="K2069" i="1"/>
  <c r="BF2069" i="1"/>
  <c r="BG2069" i="1"/>
  <c r="E156" i="1"/>
  <c r="G156" i="1"/>
  <c r="J156" i="1"/>
  <c r="K156" i="1"/>
  <c r="BF156" i="1"/>
  <c r="BG156" i="1"/>
  <c r="E4776" i="1"/>
  <c r="G4776" i="1"/>
  <c r="J4776" i="1"/>
  <c r="K4776" i="1"/>
  <c r="BE4776" i="1"/>
  <c r="BF4776" i="1"/>
  <c r="BG4776" i="1"/>
  <c r="E2768" i="1"/>
  <c r="G2768" i="1"/>
  <c r="J2768" i="1"/>
  <c r="K2768" i="1"/>
  <c r="BE2768" i="1"/>
  <c r="BF2768" i="1"/>
  <c r="BG2768" i="1"/>
  <c r="E704" i="1"/>
  <c r="G704" i="1"/>
  <c r="J704" i="1"/>
  <c r="K704" i="1"/>
  <c r="BE704" i="1"/>
  <c r="BF704" i="1"/>
  <c r="BG704" i="1"/>
  <c r="E3596" i="1"/>
  <c r="G3596" i="1"/>
  <c r="J3596" i="1"/>
  <c r="K3596" i="1"/>
  <c r="BE3596" i="1"/>
  <c r="BF3596" i="1"/>
  <c r="BG3596" i="1"/>
  <c r="E6254" i="1"/>
  <c r="G6254" i="1"/>
  <c r="J6254" i="1"/>
  <c r="K6254" i="1"/>
  <c r="BE6254" i="1"/>
  <c r="BF6254" i="1"/>
  <c r="BG6254" i="1"/>
  <c r="E4274" i="1"/>
  <c r="G4274" i="1"/>
  <c r="J4274" i="1"/>
  <c r="K4274" i="1"/>
  <c r="BE4274" i="1"/>
  <c r="BF4274" i="1"/>
  <c r="BG4274" i="1"/>
  <c r="E936" i="1"/>
  <c r="G936" i="1"/>
  <c r="J936" i="1"/>
  <c r="K936" i="1"/>
  <c r="BE936" i="1"/>
  <c r="BF936" i="1"/>
  <c r="BG936" i="1"/>
  <c r="E3744" i="1"/>
  <c r="G3744" i="1"/>
  <c r="J3744" i="1"/>
  <c r="K3744" i="1"/>
  <c r="BE3744" i="1"/>
  <c r="BF3744" i="1"/>
  <c r="BG3744" i="1"/>
  <c r="E3484" i="1"/>
  <c r="G3484" i="1"/>
  <c r="J3484" i="1"/>
  <c r="K3484" i="1"/>
  <c r="BE3484" i="1"/>
  <c r="BF3484" i="1"/>
  <c r="BG3484" i="1"/>
  <c r="E864" i="1"/>
  <c r="G864" i="1"/>
  <c r="J864" i="1"/>
  <c r="K864" i="1"/>
  <c r="BE864" i="1"/>
  <c r="BF864" i="1"/>
  <c r="BG864" i="1"/>
  <c r="E4275" i="1"/>
  <c r="G4275" i="1"/>
  <c r="J4275" i="1"/>
  <c r="K4275" i="1"/>
  <c r="BE4275" i="1"/>
  <c r="BF4275" i="1"/>
  <c r="BG4275" i="1"/>
  <c r="E2541" i="1"/>
  <c r="G2541" i="1"/>
  <c r="J2541" i="1"/>
  <c r="K2541" i="1"/>
  <c r="BE2541" i="1"/>
  <c r="BF2541" i="1"/>
  <c r="BG2541" i="1"/>
  <c r="E478" i="1"/>
  <c r="G478" i="1"/>
  <c r="J478" i="1"/>
  <c r="K478" i="1"/>
  <c r="BE478" i="1"/>
  <c r="BF478" i="1"/>
  <c r="BG478" i="1"/>
  <c r="E2249" i="1"/>
  <c r="G2249" i="1"/>
  <c r="J2249" i="1"/>
  <c r="K2249" i="1"/>
  <c r="BE2249" i="1"/>
  <c r="BF2249" i="1"/>
  <c r="BG2249" i="1"/>
  <c r="E2250" i="1"/>
  <c r="G2250" i="1"/>
  <c r="J2250" i="1"/>
  <c r="K2250" i="1"/>
  <c r="BE2250" i="1"/>
  <c r="BF2250" i="1"/>
  <c r="BG2250" i="1"/>
  <c r="E2251" i="1"/>
  <c r="G2251" i="1"/>
  <c r="J2251" i="1"/>
  <c r="K2251" i="1"/>
  <c r="BE2251" i="1"/>
  <c r="BF2251" i="1"/>
  <c r="BG2251" i="1"/>
  <c r="E2252" i="1"/>
  <c r="G2252" i="1"/>
  <c r="J2252" i="1"/>
  <c r="K2252" i="1"/>
  <c r="BE2252" i="1"/>
  <c r="BF2252" i="1"/>
  <c r="BG2252" i="1"/>
  <c r="E2253" i="1"/>
  <c r="G2253" i="1"/>
  <c r="J2253" i="1"/>
  <c r="K2253" i="1"/>
  <c r="BE2253" i="1"/>
  <c r="BF2253" i="1"/>
  <c r="BG2253" i="1"/>
  <c r="E2254" i="1"/>
  <c r="G2254" i="1"/>
  <c r="J2254" i="1"/>
  <c r="K2254" i="1"/>
  <c r="BE2254" i="1"/>
  <c r="BF2254" i="1"/>
  <c r="BG2254" i="1"/>
  <c r="E2255" i="1"/>
  <c r="G2255" i="1"/>
  <c r="J2255" i="1"/>
  <c r="K2255" i="1"/>
  <c r="BE2255" i="1"/>
  <c r="BF2255" i="1"/>
  <c r="BG2255" i="1"/>
  <c r="E2256" i="1"/>
  <c r="G2256" i="1"/>
  <c r="J2256" i="1"/>
  <c r="K2256" i="1"/>
  <c r="BE2256" i="1"/>
  <c r="BF2256" i="1"/>
  <c r="BG2256" i="1"/>
  <c r="E2257" i="1"/>
  <c r="G2257" i="1"/>
  <c r="J2257" i="1"/>
  <c r="K2257" i="1"/>
  <c r="BE2257" i="1"/>
  <c r="BF2257" i="1"/>
  <c r="BG2257" i="1"/>
  <c r="E2258" i="1"/>
  <c r="G2258" i="1"/>
  <c r="J2258" i="1"/>
  <c r="K2258" i="1"/>
  <c r="BE2258" i="1"/>
  <c r="BF2258" i="1"/>
  <c r="BG2258" i="1"/>
  <c r="E2259" i="1"/>
  <c r="G2259" i="1"/>
  <c r="J2259" i="1"/>
  <c r="K2259" i="1"/>
  <c r="BE2259" i="1"/>
  <c r="BF2259" i="1"/>
  <c r="BG2259" i="1"/>
  <c r="E2260" i="1"/>
  <c r="G2260" i="1"/>
  <c r="J2260" i="1"/>
  <c r="K2260" i="1"/>
  <c r="BE2260" i="1"/>
  <c r="BF2260" i="1"/>
  <c r="BG2260" i="1"/>
  <c r="E2261" i="1"/>
  <c r="G2261" i="1"/>
  <c r="J2261" i="1"/>
  <c r="K2261" i="1"/>
  <c r="BE2261" i="1"/>
  <c r="BF2261" i="1"/>
  <c r="BG2261" i="1"/>
  <c r="E2262" i="1"/>
  <c r="G2262" i="1"/>
  <c r="J2262" i="1"/>
  <c r="K2262" i="1"/>
  <c r="BE2262" i="1"/>
  <c r="BF2262" i="1"/>
  <c r="BG2262" i="1"/>
  <c r="E2263" i="1"/>
  <c r="G2263" i="1"/>
  <c r="J2263" i="1"/>
  <c r="K2263" i="1"/>
  <c r="BE2263" i="1"/>
  <c r="BG2263" i="1"/>
  <c r="E2264" i="1"/>
  <c r="G2264" i="1"/>
  <c r="J2264" i="1"/>
  <c r="K2264" i="1"/>
  <c r="BE2264" i="1"/>
  <c r="BF2264" i="1"/>
  <c r="BG2264" i="1"/>
  <c r="E2265" i="1"/>
  <c r="G2265" i="1"/>
  <c r="J2265" i="1"/>
  <c r="K2265" i="1"/>
  <c r="BE2265" i="1"/>
  <c r="BF2265" i="1"/>
  <c r="BG2265" i="1"/>
  <c r="E2266" i="1"/>
  <c r="G2266" i="1"/>
  <c r="J2266" i="1"/>
  <c r="K2266" i="1"/>
  <c r="BE2266" i="1"/>
  <c r="BF2266" i="1"/>
  <c r="BG2266" i="1"/>
  <c r="E2267" i="1"/>
  <c r="G2267" i="1"/>
  <c r="J2267" i="1"/>
  <c r="K2267" i="1"/>
  <c r="BE2267" i="1"/>
  <c r="BF2267" i="1"/>
  <c r="BG2267" i="1"/>
  <c r="E2268" i="1"/>
  <c r="G2268" i="1"/>
  <c r="J2268" i="1"/>
  <c r="K2268" i="1"/>
  <c r="BE2268" i="1"/>
  <c r="BF2268" i="1"/>
  <c r="BG2268" i="1"/>
  <c r="E2269" i="1"/>
  <c r="G2269" i="1"/>
  <c r="J2269" i="1"/>
  <c r="K2269" i="1"/>
  <c r="BE2269" i="1"/>
  <c r="BF2269" i="1"/>
  <c r="BG2269" i="1"/>
  <c r="E2270" i="1"/>
  <c r="G2270" i="1"/>
  <c r="J2270" i="1"/>
  <c r="K2270" i="1"/>
  <c r="BE2270" i="1"/>
  <c r="BF2270" i="1"/>
  <c r="BG2270" i="1"/>
  <c r="E2271" i="1"/>
  <c r="G2271" i="1"/>
  <c r="J2271" i="1"/>
  <c r="K2271" i="1"/>
  <c r="BE2271" i="1"/>
  <c r="BF2271" i="1"/>
  <c r="BG2271" i="1"/>
  <c r="E2272" i="1"/>
  <c r="G2272" i="1"/>
  <c r="J2272" i="1"/>
  <c r="K2272" i="1"/>
  <c r="BE2272" i="1"/>
  <c r="BF2272" i="1"/>
  <c r="BG2272" i="1"/>
  <c r="E2273" i="1"/>
  <c r="G2273" i="1"/>
  <c r="J2273" i="1"/>
  <c r="K2273" i="1"/>
  <c r="BE2273" i="1"/>
  <c r="BF2273" i="1"/>
  <c r="BG2273" i="1"/>
  <c r="E2274" i="1"/>
  <c r="G2274" i="1"/>
  <c r="J2274" i="1"/>
  <c r="K2274" i="1"/>
  <c r="BE2274" i="1"/>
  <c r="BF2274" i="1"/>
  <c r="BG2274" i="1"/>
  <c r="E2275" i="1"/>
  <c r="G2275" i="1"/>
  <c r="J2275" i="1"/>
  <c r="K2275" i="1"/>
  <c r="BE2275" i="1"/>
  <c r="BF2275" i="1"/>
  <c r="BG2275" i="1"/>
  <c r="E2276" i="1"/>
  <c r="G2276" i="1"/>
  <c r="J2276" i="1"/>
  <c r="K2276" i="1"/>
  <c r="BE2276" i="1"/>
  <c r="BF2276" i="1"/>
  <c r="BG2276" i="1"/>
  <c r="E2277" i="1"/>
  <c r="G2277" i="1"/>
  <c r="J2277" i="1"/>
  <c r="K2277" i="1"/>
  <c r="BE2277" i="1"/>
  <c r="BF2277" i="1"/>
  <c r="BG2277" i="1"/>
  <c r="E2278" i="1"/>
  <c r="G2278" i="1"/>
  <c r="J2278" i="1"/>
  <c r="K2278" i="1"/>
  <c r="BE2278" i="1"/>
  <c r="BF2278" i="1"/>
  <c r="BG2278" i="1"/>
  <c r="E2279" i="1"/>
  <c r="G2279" i="1"/>
  <c r="J2279" i="1"/>
  <c r="K2279" i="1"/>
  <c r="BE2279" i="1"/>
  <c r="BF2279" i="1"/>
  <c r="BG2279" i="1"/>
  <c r="E2280" i="1"/>
  <c r="G2280" i="1"/>
  <c r="J2280" i="1"/>
  <c r="K2280" i="1"/>
  <c r="BE2280" i="1"/>
  <c r="BF2280" i="1"/>
  <c r="BG2280" i="1"/>
  <c r="E2281" i="1"/>
  <c r="G2281" i="1"/>
  <c r="J2281" i="1"/>
  <c r="K2281" i="1"/>
  <c r="BE2281" i="1"/>
  <c r="BF2281" i="1"/>
  <c r="BG2281" i="1"/>
  <c r="E2282" i="1"/>
  <c r="G2282" i="1"/>
  <c r="J2282" i="1"/>
  <c r="K2282" i="1"/>
  <c r="BE2282" i="1"/>
  <c r="BF2282" i="1"/>
  <c r="BG2282" i="1"/>
  <c r="E2283" i="1"/>
  <c r="G2283" i="1"/>
  <c r="J2283" i="1"/>
  <c r="K2283" i="1"/>
  <c r="BE2283" i="1"/>
  <c r="BF2283" i="1"/>
  <c r="BG2283" i="1"/>
  <c r="E2284" i="1"/>
  <c r="G2284" i="1"/>
  <c r="J2284" i="1"/>
  <c r="K2284" i="1"/>
  <c r="BE2284" i="1"/>
  <c r="BF2284" i="1"/>
  <c r="BG2284" i="1"/>
  <c r="E2285" i="1"/>
  <c r="G2285" i="1"/>
  <c r="J2285" i="1"/>
  <c r="K2285" i="1"/>
  <c r="BE2285" i="1"/>
  <c r="BF2285" i="1"/>
  <c r="BG2285" i="1"/>
  <c r="E2286" i="1"/>
  <c r="G2286" i="1"/>
  <c r="J2286" i="1"/>
  <c r="K2286" i="1"/>
  <c r="BE2286" i="1"/>
  <c r="BF2286" i="1"/>
  <c r="BG2286" i="1"/>
  <c r="E2287" i="1"/>
  <c r="G2287" i="1"/>
  <c r="J2287" i="1"/>
  <c r="K2287" i="1"/>
  <c r="BE2287" i="1"/>
  <c r="BF2287" i="1"/>
  <c r="BG2287" i="1"/>
  <c r="E2288" i="1"/>
  <c r="G2288" i="1"/>
  <c r="J2288" i="1"/>
  <c r="K2288" i="1"/>
  <c r="BE2288" i="1"/>
  <c r="BF2288" i="1"/>
  <c r="BG2288" i="1"/>
  <c r="E2289" i="1"/>
  <c r="G2289" i="1"/>
  <c r="J2289" i="1"/>
  <c r="K2289" i="1"/>
  <c r="BE2289" i="1"/>
  <c r="BF2289" i="1"/>
  <c r="BG2289" i="1"/>
  <c r="E2290" i="1"/>
  <c r="G2290" i="1"/>
  <c r="J2290" i="1"/>
  <c r="K2290" i="1"/>
  <c r="BE2290" i="1"/>
  <c r="BF2290" i="1"/>
  <c r="BG2290" i="1"/>
  <c r="E2291" i="1"/>
  <c r="G2291" i="1"/>
  <c r="J2291" i="1"/>
  <c r="K2291" i="1"/>
  <c r="BE2291" i="1"/>
  <c r="BF2291" i="1"/>
  <c r="BG2291" i="1"/>
  <c r="E2292" i="1"/>
  <c r="G2292" i="1"/>
  <c r="J2292" i="1"/>
  <c r="K2292" i="1"/>
  <c r="BE2292" i="1"/>
  <c r="BF2292" i="1"/>
  <c r="BG2292" i="1"/>
  <c r="E2293" i="1"/>
  <c r="G2293" i="1"/>
  <c r="J2293" i="1"/>
  <c r="K2293" i="1"/>
  <c r="BE2293" i="1"/>
  <c r="BF2293" i="1"/>
  <c r="BG2293" i="1"/>
  <c r="E2294" i="1"/>
  <c r="G2294" i="1"/>
  <c r="J2294" i="1"/>
  <c r="K2294" i="1"/>
  <c r="BE2294" i="1"/>
  <c r="BF2294" i="1"/>
  <c r="BG2294" i="1"/>
  <c r="E2295" i="1"/>
  <c r="G2295" i="1"/>
  <c r="J2295" i="1"/>
  <c r="K2295" i="1"/>
  <c r="BE2295" i="1"/>
  <c r="BF2295" i="1"/>
  <c r="BG2295" i="1"/>
  <c r="E2296" i="1"/>
  <c r="G2296" i="1"/>
  <c r="J2296" i="1"/>
  <c r="K2296" i="1"/>
  <c r="BE2296" i="1"/>
  <c r="BF2296" i="1"/>
  <c r="BG2296" i="1"/>
  <c r="E2297" i="1"/>
  <c r="G2297" i="1"/>
  <c r="J2297" i="1"/>
  <c r="K2297" i="1"/>
  <c r="BE2297" i="1"/>
  <c r="BF2297" i="1"/>
  <c r="BG2297" i="1"/>
  <c r="E2298" i="1"/>
  <c r="G2298" i="1"/>
  <c r="J2298" i="1"/>
  <c r="K2298" i="1"/>
  <c r="BE2298" i="1"/>
  <c r="BF2298" i="1"/>
  <c r="BG2298" i="1"/>
  <c r="E2299" i="1"/>
  <c r="G2299" i="1"/>
  <c r="J2299" i="1"/>
  <c r="K2299" i="1"/>
  <c r="BE2299" i="1"/>
  <c r="BF2299" i="1"/>
  <c r="BG2299" i="1"/>
  <c r="E2300" i="1"/>
  <c r="G2300" i="1"/>
  <c r="J2300" i="1"/>
  <c r="K2300" i="1"/>
  <c r="BE2300" i="1"/>
  <c r="BF2300" i="1"/>
  <c r="BG2300" i="1"/>
  <c r="E2301" i="1"/>
  <c r="G2301" i="1"/>
  <c r="J2301" i="1"/>
  <c r="K2301" i="1"/>
  <c r="BE2301" i="1"/>
  <c r="BF2301" i="1"/>
  <c r="BG2301" i="1"/>
  <c r="E3745" i="1"/>
  <c r="G3745" i="1"/>
  <c r="J3745" i="1"/>
  <c r="K3745" i="1"/>
  <c r="BE3745" i="1"/>
  <c r="BF3745" i="1"/>
  <c r="BG3745" i="1"/>
  <c r="E2542" i="1"/>
  <c r="G2542" i="1"/>
  <c r="J2542" i="1"/>
  <c r="K2542" i="1"/>
  <c r="BE2542" i="1"/>
  <c r="BF2542" i="1"/>
  <c r="BG2542" i="1"/>
  <c r="E350" i="1"/>
  <c r="G350" i="1"/>
  <c r="J350" i="1"/>
  <c r="K350" i="1"/>
  <c r="BE350" i="1"/>
  <c r="BF350" i="1"/>
  <c r="BG350" i="1"/>
  <c r="E3597" i="1"/>
  <c r="G3597" i="1"/>
  <c r="J3597" i="1"/>
  <c r="K3597" i="1"/>
  <c r="BE3597" i="1"/>
  <c r="BF3597" i="1"/>
  <c r="BG3597" i="1"/>
  <c r="E4276" i="1"/>
  <c r="G4276" i="1"/>
  <c r="J4276" i="1"/>
  <c r="K4276" i="1"/>
  <c r="BE4276" i="1"/>
  <c r="BF4276" i="1"/>
  <c r="BG4276" i="1"/>
  <c r="E4528" i="1"/>
  <c r="G4528" i="1"/>
  <c r="J4528" i="1"/>
  <c r="K4528" i="1"/>
  <c r="BE4528" i="1"/>
  <c r="BF4528" i="1"/>
  <c r="BG4528" i="1"/>
  <c r="E4529" i="1"/>
  <c r="G4529" i="1"/>
  <c r="J4529" i="1"/>
  <c r="K4529" i="1"/>
  <c r="BE4529" i="1"/>
  <c r="BF4529" i="1"/>
  <c r="BG4529" i="1"/>
  <c r="E3922" i="1"/>
  <c r="G3922" i="1"/>
  <c r="J3922" i="1"/>
  <c r="K3922" i="1"/>
  <c r="BE3922" i="1"/>
  <c r="BF3922" i="1"/>
  <c r="BG3922" i="1"/>
  <c r="E4530" i="1"/>
  <c r="G4530" i="1"/>
  <c r="J4530" i="1"/>
  <c r="K4530" i="1"/>
  <c r="BE4530" i="1"/>
  <c r="BF4530" i="1"/>
  <c r="BG4530" i="1"/>
  <c r="E63" i="1"/>
  <c r="G63" i="1"/>
  <c r="J63" i="1"/>
  <c r="K63" i="1"/>
  <c r="BE63" i="1"/>
  <c r="BF63" i="1"/>
  <c r="BG63" i="1"/>
  <c r="E4531" i="1"/>
  <c r="G4531" i="1"/>
  <c r="J4531" i="1"/>
  <c r="K4531" i="1"/>
  <c r="BE4531" i="1"/>
  <c r="BF4531" i="1"/>
  <c r="BG4531" i="1"/>
  <c r="E4532" i="1"/>
  <c r="G4532" i="1"/>
  <c r="J4532" i="1"/>
  <c r="K4532" i="1"/>
  <c r="BE4532" i="1"/>
  <c r="BF4532" i="1"/>
  <c r="BG4532" i="1"/>
  <c r="E4277" i="1"/>
  <c r="G4277" i="1"/>
  <c r="J4277" i="1"/>
  <c r="K4277" i="1"/>
  <c r="BE4277" i="1"/>
  <c r="BF4277" i="1"/>
  <c r="BG4277" i="1"/>
  <c r="E3598" i="1"/>
  <c r="G3598" i="1"/>
  <c r="J3598" i="1"/>
  <c r="K3598" i="1"/>
  <c r="BE3598" i="1"/>
  <c r="BF3598" i="1"/>
  <c r="BG3598" i="1"/>
  <c r="E6679" i="1"/>
  <c r="G6679" i="1"/>
  <c r="J6679" i="1"/>
  <c r="K6679" i="1"/>
  <c r="BE6679" i="1"/>
  <c r="BF6679" i="1"/>
  <c r="BG6679" i="1"/>
  <c r="E157" i="1"/>
  <c r="G157" i="1"/>
  <c r="J157" i="1"/>
  <c r="K157" i="1"/>
  <c r="BF157" i="1"/>
  <c r="BG157" i="1"/>
  <c r="E2769" i="1"/>
  <c r="G2769" i="1"/>
  <c r="J2769" i="1"/>
  <c r="K2769" i="1"/>
  <c r="BE2769" i="1"/>
  <c r="BF2769" i="1"/>
  <c r="BG2769" i="1"/>
  <c r="E4777" i="1"/>
  <c r="G4777" i="1"/>
  <c r="J4777" i="1"/>
  <c r="K4777" i="1"/>
  <c r="BE4777" i="1"/>
  <c r="BF4777" i="1"/>
  <c r="BG4777" i="1"/>
  <c r="E188" i="1"/>
  <c r="G188" i="1"/>
  <c r="J188" i="1"/>
  <c r="K188" i="1"/>
  <c r="BE188" i="1"/>
  <c r="BF188" i="1"/>
  <c r="BG188" i="1"/>
  <c r="E937" i="1"/>
  <c r="G937" i="1"/>
  <c r="J937" i="1"/>
  <c r="K937" i="1"/>
  <c r="BE937" i="1"/>
  <c r="BF937" i="1"/>
  <c r="BG937" i="1"/>
  <c r="E743" i="1"/>
  <c r="G743" i="1"/>
  <c r="J743" i="1"/>
  <c r="K743" i="1"/>
  <c r="BC743" i="1"/>
  <c r="BE743" i="1"/>
  <c r="BF743" i="1"/>
  <c r="BG743" i="1"/>
  <c r="E764" i="1"/>
  <c r="G764" i="1"/>
  <c r="J764" i="1"/>
  <c r="K764" i="1"/>
  <c r="BE764" i="1"/>
  <c r="BF764" i="1"/>
  <c r="BG764" i="1"/>
  <c r="E351" i="1"/>
  <c r="G351" i="1"/>
  <c r="J351" i="1"/>
  <c r="K351" i="1"/>
  <c r="BE351" i="1"/>
  <c r="BF351" i="1"/>
  <c r="BG351" i="1"/>
  <c r="E3288" i="1"/>
  <c r="G3288" i="1"/>
  <c r="J3288" i="1"/>
  <c r="K3288" i="1"/>
  <c r="BE3288" i="1"/>
  <c r="BF3288" i="1"/>
  <c r="BG3288" i="1"/>
  <c r="E4533" i="1"/>
  <c r="G4533" i="1"/>
  <c r="J4533" i="1"/>
  <c r="K4533" i="1"/>
  <c r="BE4533" i="1"/>
  <c r="BF4533" i="1"/>
  <c r="BG4533" i="1"/>
  <c r="E938" i="1"/>
  <c r="G938" i="1"/>
  <c r="J938" i="1"/>
  <c r="K938" i="1"/>
  <c r="BE938" i="1"/>
  <c r="BF938" i="1"/>
  <c r="BG938" i="1"/>
  <c r="E787" i="1"/>
  <c r="G787" i="1"/>
  <c r="J787" i="1"/>
  <c r="K787" i="1"/>
  <c r="BE787" i="1"/>
  <c r="BF787" i="1"/>
  <c r="BG787" i="1"/>
  <c r="E788" i="1"/>
  <c r="G788" i="1"/>
  <c r="J788" i="1"/>
  <c r="K788" i="1"/>
  <c r="BE788" i="1"/>
  <c r="BF788" i="1"/>
  <c r="BG788" i="1"/>
  <c r="E789" i="1"/>
  <c r="G789" i="1"/>
  <c r="J789" i="1"/>
  <c r="K789" i="1"/>
  <c r="BE789" i="1"/>
  <c r="BF789" i="1"/>
  <c r="BG789" i="1"/>
  <c r="E790" i="1"/>
  <c r="G790" i="1"/>
  <c r="J790" i="1"/>
  <c r="K790" i="1"/>
  <c r="BE790" i="1"/>
  <c r="BF790" i="1"/>
  <c r="BG790" i="1"/>
  <c r="E2770" i="1"/>
  <c r="G2770" i="1"/>
  <c r="J2770" i="1"/>
  <c r="K2770" i="1"/>
  <c r="BE2770" i="1"/>
  <c r="BF2770" i="1"/>
  <c r="BG2770" i="1"/>
  <c r="E515" i="1"/>
  <c r="G515" i="1"/>
  <c r="J515" i="1"/>
  <c r="K515" i="1"/>
  <c r="BE515" i="1"/>
  <c r="BF515" i="1"/>
  <c r="BG515" i="1"/>
  <c r="E837" i="1"/>
  <c r="G837" i="1"/>
  <c r="J837" i="1"/>
  <c r="K837" i="1"/>
  <c r="BE837" i="1"/>
  <c r="BF837" i="1"/>
  <c r="BG837" i="1"/>
  <c r="E310" i="1"/>
  <c r="G310" i="1"/>
  <c r="J310" i="1"/>
  <c r="K310" i="1"/>
  <c r="BF310" i="1"/>
  <c r="BG310" i="1"/>
  <c r="E579" i="1"/>
  <c r="G579" i="1"/>
  <c r="J579" i="1"/>
  <c r="K579" i="1"/>
  <c r="BF579" i="1"/>
  <c r="BG579" i="1"/>
  <c r="BH579" i="1"/>
  <c r="E4778" i="1"/>
  <c r="G4778" i="1"/>
  <c r="J4778" i="1"/>
  <c r="K4778" i="1"/>
  <c r="BE4778" i="1"/>
  <c r="BF4778" i="1"/>
  <c r="BG4778" i="1"/>
  <c r="E939" i="1"/>
  <c r="G939" i="1"/>
  <c r="J939" i="1"/>
  <c r="K939" i="1"/>
  <c r="BE939" i="1"/>
  <c r="BF939" i="1"/>
  <c r="BG939" i="1"/>
  <c r="E2771" i="1"/>
  <c r="G2771" i="1"/>
  <c r="J2771" i="1"/>
  <c r="K2771" i="1"/>
  <c r="BE2771" i="1"/>
  <c r="BF2771" i="1"/>
  <c r="BG2771" i="1"/>
  <c r="E4695" i="1"/>
  <c r="G4695" i="1"/>
  <c r="J4695" i="1"/>
  <c r="K4695" i="1"/>
  <c r="BE4695" i="1"/>
  <c r="BF4695" i="1"/>
  <c r="BG4695" i="1"/>
  <c r="E4534" i="1"/>
  <c r="G4534" i="1"/>
  <c r="J4534" i="1"/>
  <c r="K4534" i="1"/>
  <c r="BE4534" i="1"/>
  <c r="BF4534" i="1"/>
  <c r="BG4534" i="1"/>
  <c r="E2772" i="1"/>
  <c r="G2772" i="1"/>
  <c r="J2772" i="1"/>
  <c r="K2772" i="1"/>
  <c r="BC2772" i="1"/>
  <c r="BE2772" i="1"/>
  <c r="BF2772" i="1"/>
  <c r="BG2772" i="1"/>
  <c r="E3289" i="1"/>
  <c r="G3289" i="1"/>
  <c r="J3289" i="1"/>
  <c r="K3289" i="1"/>
  <c r="BE3289" i="1"/>
  <c r="BF3289" i="1"/>
  <c r="BG3289" i="1"/>
  <c r="E4696" i="1"/>
  <c r="G4696" i="1"/>
  <c r="J4696" i="1"/>
  <c r="K4696" i="1"/>
  <c r="BE4696" i="1"/>
  <c r="BF4696" i="1"/>
  <c r="BG4696" i="1"/>
  <c r="E4535" i="1"/>
  <c r="G4535" i="1"/>
  <c r="J4535" i="1"/>
  <c r="K4535" i="1"/>
  <c r="BE4535" i="1"/>
  <c r="BF4535" i="1"/>
  <c r="BG4535" i="1"/>
  <c r="E4779" i="1"/>
  <c r="G4779" i="1"/>
  <c r="J4779" i="1"/>
  <c r="K4779" i="1"/>
  <c r="BE4779" i="1"/>
  <c r="BF4779" i="1"/>
  <c r="BG4779" i="1"/>
  <c r="E4697" i="1"/>
  <c r="G4697" i="1"/>
  <c r="J4697" i="1"/>
  <c r="K4697" i="1"/>
  <c r="BE4697" i="1"/>
  <c r="BF4697" i="1"/>
  <c r="BG4697" i="1"/>
  <c r="E371" i="1"/>
  <c r="G371" i="1"/>
  <c r="J371" i="1"/>
  <c r="K371" i="1"/>
  <c r="BE371" i="1"/>
  <c r="BF371" i="1"/>
  <c r="BG371" i="1"/>
  <c r="E3290" i="1"/>
  <c r="G3290" i="1"/>
  <c r="J3290" i="1"/>
  <c r="K3290" i="1"/>
  <c r="BE3290" i="1"/>
  <c r="BF3290" i="1"/>
  <c r="BG3290" i="1"/>
  <c r="E4536" i="1"/>
  <c r="G4536" i="1"/>
  <c r="J4536" i="1"/>
  <c r="K4536" i="1"/>
  <c r="BE4536" i="1"/>
  <c r="BF4536" i="1"/>
  <c r="BG4536" i="1"/>
  <c r="E940" i="1"/>
  <c r="G940" i="1"/>
  <c r="J940" i="1"/>
  <c r="K940" i="1"/>
  <c r="BE940" i="1"/>
  <c r="BF940" i="1"/>
  <c r="BG940" i="1"/>
  <c r="E2070" i="1"/>
  <c r="G2070" i="1"/>
  <c r="J2070" i="1"/>
  <c r="K2070" i="1"/>
  <c r="BF2070" i="1"/>
  <c r="BG2070" i="1"/>
  <c r="E2071" i="1"/>
  <c r="G2071" i="1"/>
  <c r="J2071" i="1"/>
  <c r="K2071" i="1"/>
  <c r="BF2071" i="1"/>
  <c r="BG2071" i="1"/>
  <c r="E2773" i="1"/>
  <c r="G2773" i="1"/>
  <c r="J2773" i="1"/>
  <c r="K2773" i="1"/>
  <c r="BC2773" i="1"/>
  <c r="BE2773" i="1"/>
  <c r="BF2773" i="1"/>
  <c r="BG2773" i="1"/>
  <c r="E4537" i="1"/>
  <c r="G4537" i="1"/>
  <c r="J4537" i="1"/>
  <c r="K4537" i="1"/>
  <c r="BE4537" i="1"/>
  <c r="BF4537" i="1"/>
  <c r="BG4537" i="1"/>
  <c r="E3291" i="1"/>
  <c r="G3291" i="1"/>
  <c r="J3291" i="1"/>
  <c r="K3291" i="1"/>
  <c r="BE3291" i="1"/>
  <c r="BF3291" i="1"/>
  <c r="BG3291" i="1"/>
  <c r="E941" i="1"/>
  <c r="G941" i="1"/>
  <c r="J941" i="1"/>
  <c r="K941" i="1"/>
  <c r="BE941" i="1"/>
  <c r="BF941" i="1"/>
  <c r="BG941" i="1"/>
  <c r="E4538" i="1"/>
  <c r="G4538" i="1"/>
  <c r="J4538" i="1"/>
  <c r="K4538" i="1"/>
  <c r="BE4538" i="1"/>
  <c r="BF4538" i="1"/>
  <c r="BG4538" i="1"/>
  <c r="E828" i="1"/>
  <c r="G828" i="1"/>
  <c r="J828" i="1"/>
  <c r="K828" i="1"/>
  <c r="BF828" i="1"/>
  <c r="BG828" i="1"/>
  <c r="E829" i="1"/>
  <c r="G829" i="1"/>
  <c r="J829" i="1"/>
  <c r="K829" i="1"/>
  <c r="BF829" i="1"/>
  <c r="BG829" i="1"/>
  <c r="E830" i="1"/>
  <c r="G830" i="1"/>
  <c r="J830" i="1"/>
  <c r="K830" i="1"/>
  <c r="BF830" i="1"/>
  <c r="BG830" i="1"/>
  <c r="E831" i="1"/>
  <c r="G831" i="1"/>
  <c r="J831" i="1"/>
  <c r="K831" i="1"/>
  <c r="BF831" i="1"/>
  <c r="BG831" i="1"/>
  <c r="E832" i="1"/>
  <c r="G832" i="1"/>
  <c r="J832" i="1"/>
  <c r="K832" i="1"/>
  <c r="BF832" i="1"/>
  <c r="BG832" i="1"/>
  <c r="E833" i="1"/>
  <c r="G833" i="1"/>
  <c r="J833" i="1"/>
  <c r="K833" i="1"/>
  <c r="BF833" i="1"/>
  <c r="BG833" i="1"/>
  <c r="E834" i="1"/>
  <c r="G834" i="1"/>
  <c r="J834" i="1"/>
  <c r="K834" i="1"/>
  <c r="BF834" i="1"/>
  <c r="BG834" i="1"/>
  <c r="E835" i="1"/>
  <c r="G835" i="1"/>
  <c r="J835" i="1"/>
  <c r="K835" i="1"/>
  <c r="BF835" i="1"/>
  <c r="BG835" i="1"/>
  <c r="E2774" i="1"/>
  <c r="G2774" i="1"/>
  <c r="J2774" i="1"/>
  <c r="K2774" i="1"/>
  <c r="BE2774" i="1"/>
  <c r="BF2774" i="1"/>
  <c r="BG2774" i="1"/>
  <c r="E5117" i="1"/>
  <c r="G5117" i="1"/>
  <c r="J5117" i="1"/>
  <c r="K5117" i="1"/>
  <c r="BE5117" i="1"/>
  <c r="BF5117" i="1"/>
  <c r="BG5117" i="1"/>
  <c r="E2775" i="1"/>
  <c r="G2775" i="1"/>
  <c r="J2775" i="1"/>
  <c r="K2775" i="1"/>
  <c r="BC2775" i="1"/>
  <c r="BE2775" i="1"/>
  <c r="BF2775" i="1"/>
  <c r="BG2775" i="1"/>
  <c r="E4539" i="1"/>
  <c r="G4539" i="1"/>
  <c r="J4539" i="1"/>
  <c r="K4539" i="1"/>
  <c r="BE4539" i="1"/>
  <c r="BF4539" i="1"/>
  <c r="BG4539" i="1"/>
  <c r="E5118" i="1"/>
  <c r="G5118" i="1"/>
  <c r="J5118" i="1"/>
  <c r="K5118" i="1"/>
  <c r="BE5118" i="1"/>
  <c r="BF5118" i="1"/>
  <c r="BG5118" i="1"/>
  <c r="E5119" i="1"/>
  <c r="G5119" i="1"/>
  <c r="J5119" i="1"/>
  <c r="K5119" i="1"/>
  <c r="BE5119" i="1"/>
  <c r="BF5119" i="1"/>
  <c r="BG5119" i="1"/>
  <c r="E781" i="1"/>
  <c r="G781" i="1"/>
  <c r="J781" i="1"/>
  <c r="K781" i="1"/>
  <c r="BE781" i="1"/>
  <c r="BF781" i="1"/>
  <c r="BG781" i="1"/>
  <c r="E4698" i="1"/>
  <c r="G4698" i="1"/>
  <c r="J4698" i="1"/>
  <c r="K4698" i="1"/>
  <c r="BE4698" i="1"/>
  <c r="BF4698" i="1"/>
  <c r="BG4698" i="1"/>
  <c r="E942" i="1"/>
  <c r="G942" i="1"/>
  <c r="J942" i="1"/>
  <c r="K942" i="1"/>
  <c r="BE942" i="1"/>
  <c r="BF942" i="1"/>
  <c r="BG942" i="1"/>
  <c r="E2776" i="1"/>
  <c r="G2776" i="1"/>
  <c r="J2776" i="1"/>
  <c r="K2776" i="1"/>
  <c r="BE2776" i="1"/>
  <c r="BF2776" i="1"/>
  <c r="BG2776" i="1"/>
  <c r="E6680" i="1"/>
  <c r="G6680" i="1"/>
  <c r="J6680" i="1"/>
  <c r="K6680" i="1"/>
  <c r="BE6680" i="1"/>
  <c r="BF6680" i="1"/>
  <c r="BG6680" i="1"/>
  <c r="E855" i="1"/>
  <c r="G855" i="1"/>
  <c r="J855" i="1"/>
  <c r="K855" i="1"/>
  <c r="BE855" i="1"/>
  <c r="BF855" i="1"/>
  <c r="BG855" i="1"/>
  <c r="E6872" i="1"/>
  <c r="G6872" i="1"/>
  <c r="J6872" i="1"/>
  <c r="BE6872" i="1"/>
  <c r="BF6872" i="1"/>
  <c r="BG6872" i="1"/>
  <c r="E2777" i="1"/>
  <c r="G2777" i="1"/>
  <c r="J2777" i="1"/>
  <c r="K2777" i="1"/>
  <c r="BC2777" i="1"/>
  <c r="BE2777" i="1"/>
  <c r="BF2777" i="1"/>
  <c r="BG2777" i="1"/>
  <c r="E4699" i="1"/>
  <c r="G4699" i="1"/>
  <c r="J4699" i="1"/>
  <c r="K4699" i="1"/>
  <c r="BE4699" i="1"/>
  <c r="BF4699" i="1"/>
  <c r="BG4699" i="1"/>
  <c r="E679" i="1"/>
  <c r="G679" i="1"/>
  <c r="J679" i="1"/>
  <c r="K679" i="1"/>
  <c r="BC679" i="1"/>
  <c r="BE679" i="1"/>
  <c r="BF679" i="1"/>
  <c r="BG679" i="1"/>
  <c r="BH679" i="1"/>
  <c r="E943" i="1"/>
  <c r="G943" i="1"/>
  <c r="J943" i="1"/>
  <c r="K943" i="1"/>
  <c r="BE943" i="1"/>
  <c r="BF943" i="1"/>
  <c r="BG943" i="1"/>
  <c r="E580" i="1"/>
  <c r="G580" i="1"/>
  <c r="J580" i="1"/>
  <c r="K580" i="1"/>
  <c r="BC580" i="1"/>
  <c r="BE580" i="1"/>
  <c r="BF580" i="1"/>
  <c r="BG580" i="1"/>
  <c r="BH580" i="1"/>
  <c r="E6681" i="1"/>
  <c r="G6681" i="1"/>
  <c r="J6681" i="1"/>
  <c r="K6681" i="1"/>
  <c r="BE6681" i="1"/>
  <c r="BF6681" i="1"/>
  <c r="BG6681" i="1"/>
  <c r="E4540" i="1"/>
  <c r="G4540" i="1"/>
  <c r="J4540" i="1"/>
  <c r="K4540" i="1"/>
  <c r="BE4540" i="1"/>
  <c r="BF4540" i="1"/>
  <c r="BG4540" i="1"/>
  <c r="E4700" i="1"/>
  <c r="G4700" i="1"/>
  <c r="J4700" i="1"/>
  <c r="K4700" i="1"/>
  <c r="BE4700" i="1"/>
  <c r="BF4700" i="1"/>
  <c r="BG4700" i="1"/>
  <c r="E6255" i="1"/>
  <c r="G6255" i="1"/>
  <c r="J6255" i="1"/>
  <c r="K6255" i="1"/>
  <c r="BE6255" i="1"/>
  <c r="BF6255" i="1"/>
  <c r="BG6255" i="1"/>
  <c r="E2778" i="1"/>
  <c r="G2778" i="1"/>
  <c r="J2778" i="1"/>
  <c r="K2778" i="1"/>
  <c r="BC2778" i="1"/>
  <c r="BE2778" i="1"/>
  <c r="BF2778" i="1"/>
  <c r="BG2778" i="1"/>
  <c r="E944" i="1"/>
  <c r="G944" i="1"/>
  <c r="J944" i="1"/>
  <c r="K944" i="1"/>
  <c r="BE944" i="1"/>
  <c r="BF944" i="1"/>
  <c r="BG944" i="1"/>
  <c r="E3292" i="1"/>
  <c r="G3292" i="1"/>
  <c r="J3292" i="1"/>
  <c r="K3292" i="1"/>
  <c r="BE3292" i="1"/>
  <c r="BF3292" i="1"/>
  <c r="BG3292" i="1"/>
  <c r="E4701" i="1"/>
  <c r="G4701" i="1"/>
  <c r="J4701" i="1"/>
  <c r="K4701" i="1"/>
  <c r="BE4701" i="1"/>
  <c r="BF4701" i="1"/>
  <c r="BG4701" i="1"/>
  <c r="E6682" i="1"/>
  <c r="G6682" i="1"/>
  <c r="J6682" i="1"/>
  <c r="K6682" i="1"/>
  <c r="BE6682" i="1"/>
  <c r="BF6682" i="1"/>
  <c r="BG6682" i="1"/>
  <c r="E4541" i="1"/>
  <c r="G4541" i="1"/>
  <c r="J4541" i="1"/>
  <c r="K4541" i="1"/>
  <c r="BE4541" i="1"/>
  <c r="BF4541" i="1"/>
  <c r="BG4541" i="1"/>
  <c r="E2779" i="1"/>
  <c r="G2779" i="1"/>
  <c r="J2779" i="1"/>
  <c r="K2779" i="1"/>
  <c r="BC2779" i="1"/>
  <c r="BE2779" i="1"/>
  <c r="BF2779" i="1"/>
  <c r="BG2779" i="1"/>
  <c r="E225" i="1"/>
  <c r="G225" i="1"/>
  <c r="J225" i="1"/>
  <c r="K225" i="1"/>
  <c r="BE225" i="1"/>
  <c r="BF225" i="1"/>
  <c r="BG225" i="1"/>
  <c r="E865" i="1"/>
  <c r="G865" i="1"/>
  <c r="J865" i="1"/>
  <c r="K865" i="1"/>
  <c r="BE865" i="1"/>
  <c r="BF865" i="1"/>
  <c r="BG865" i="1"/>
  <c r="E3293" i="1"/>
  <c r="G3293" i="1"/>
  <c r="J3293" i="1"/>
  <c r="K3293" i="1"/>
  <c r="BE3293" i="1"/>
  <c r="BF3293" i="1"/>
  <c r="BG3293" i="1"/>
  <c r="E2780" i="1"/>
  <c r="G2780" i="1"/>
  <c r="J2780" i="1"/>
  <c r="K2780" i="1"/>
  <c r="BC2780" i="1"/>
  <c r="BE2780" i="1"/>
  <c r="BF2780" i="1"/>
  <c r="BG2780" i="1"/>
  <c r="E4542" i="1"/>
  <c r="G4542" i="1"/>
  <c r="J4542" i="1"/>
  <c r="K4542" i="1"/>
  <c r="BE4542" i="1"/>
  <c r="BF4542" i="1"/>
  <c r="BG4542" i="1"/>
  <c r="E2781" i="1"/>
  <c r="G2781" i="1"/>
  <c r="J2781" i="1"/>
  <c r="K2781" i="1"/>
  <c r="BC2781" i="1"/>
  <c r="BE2781" i="1"/>
  <c r="BF2781" i="1"/>
  <c r="BG2781" i="1"/>
  <c r="E2782" i="1"/>
  <c r="G2782" i="1"/>
  <c r="J2782" i="1"/>
  <c r="K2782" i="1"/>
  <c r="BC2782" i="1"/>
  <c r="BE2782" i="1"/>
  <c r="BF2782" i="1"/>
  <c r="BG2782" i="1"/>
  <c r="E3294" i="1"/>
  <c r="G3294" i="1"/>
  <c r="J3294" i="1"/>
  <c r="K3294" i="1"/>
  <c r="BE3294" i="1"/>
  <c r="BF3294" i="1"/>
  <c r="BG3294" i="1"/>
  <c r="E3485" i="1"/>
  <c r="G3485" i="1"/>
  <c r="J3485" i="1"/>
  <c r="K3485" i="1"/>
  <c r="BE3485" i="1"/>
  <c r="BF3485" i="1"/>
  <c r="BG3485" i="1"/>
  <c r="E945" i="1"/>
  <c r="G945" i="1"/>
  <c r="J945" i="1"/>
  <c r="K945" i="1"/>
  <c r="BE945" i="1"/>
  <c r="BF945" i="1"/>
  <c r="BG945" i="1"/>
  <c r="E1052" i="1"/>
  <c r="G1052" i="1"/>
  <c r="J1052" i="1"/>
  <c r="K1052" i="1"/>
  <c r="BE1052" i="1"/>
  <c r="BF1052" i="1"/>
  <c r="BG1052" i="1"/>
  <c r="E1053" i="1"/>
  <c r="G1053" i="1"/>
  <c r="J1053" i="1"/>
  <c r="K1053" i="1"/>
  <c r="BE1053" i="1"/>
  <c r="BF1053" i="1"/>
  <c r="BG1053" i="1"/>
  <c r="E1054" i="1"/>
  <c r="G1054" i="1"/>
  <c r="J1054" i="1"/>
  <c r="K1054" i="1"/>
  <c r="BE1054" i="1"/>
  <c r="BF1054" i="1"/>
  <c r="BG1054" i="1"/>
  <c r="E1055" i="1"/>
  <c r="G1055" i="1"/>
  <c r="J1055" i="1"/>
  <c r="K1055" i="1"/>
  <c r="BE1055" i="1"/>
  <c r="BF1055" i="1"/>
  <c r="BG1055" i="1"/>
  <c r="E1056" i="1"/>
  <c r="G1056" i="1"/>
  <c r="J1056" i="1"/>
  <c r="K1056" i="1"/>
  <c r="BE1056" i="1"/>
  <c r="BF1056" i="1"/>
  <c r="BG1056" i="1"/>
  <c r="E1057" i="1"/>
  <c r="G1057" i="1"/>
  <c r="J1057" i="1"/>
  <c r="K1057" i="1"/>
  <c r="BE1057" i="1"/>
  <c r="BF1057" i="1"/>
  <c r="BG1057" i="1"/>
  <c r="E1058" i="1"/>
  <c r="G1058" i="1"/>
  <c r="J1058" i="1"/>
  <c r="K1058" i="1"/>
  <c r="BE1058" i="1"/>
  <c r="BF1058" i="1"/>
  <c r="BG1058" i="1"/>
  <c r="E1059" i="1"/>
  <c r="G1059" i="1"/>
  <c r="J1059" i="1"/>
  <c r="K1059" i="1"/>
  <c r="BE1059" i="1"/>
  <c r="BF1059" i="1"/>
  <c r="BG1059" i="1"/>
  <c r="E1060" i="1"/>
  <c r="G1060" i="1"/>
  <c r="J1060" i="1"/>
  <c r="K1060" i="1"/>
  <c r="BE1060" i="1"/>
  <c r="BF1060" i="1"/>
  <c r="BG1060" i="1"/>
  <c r="E1061" i="1"/>
  <c r="G1061" i="1"/>
  <c r="J1061" i="1"/>
  <c r="K1061" i="1"/>
  <c r="BE1061" i="1"/>
  <c r="BF1061" i="1"/>
  <c r="BG1061" i="1"/>
  <c r="E2783" i="1"/>
  <c r="G2783" i="1"/>
  <c r="J2783" i="1"/>
  <c r="K2783" i="1"/>
  <c r="BC2783" i="1"/>
  <c r="BE2783" i="1"/>
  <c r="BF2783" i="1"/>
  <c r="BG2783" i="1"/>
  <c r="E3295" i="1"/>
  <c r="G3295" i="1"/>
  <c r="J3295" i="1"/>
  <c r="K3295" i="1"/>
  <c r="BE3295" i="1"/>
  <c r="BF3295" i="1"/>
  <c r="BG3295" i="1"/>
  <c r="E4543" i="1"/>
  <c r="G4543" i="1"/>
  <c r="J4543" i="1"/>
  <c r="K4543" i="1"/>
  <c r="BE4543" i="1"/>
  <c r="BF4543" i="1"/>
  <c r="BG4543" i="1"/>
  <c r="E2784" i="1"/>
  <c r="G2784" i="1"/>
  <c r="J2784" i="1"/>
  <c r="K2784" i="1"/>
  <c r="BC2784" i="1"/>
  <c r="BE2784" i="1"/>
  <c r="BF2784" i="1"/>
  <c r="BG2784" i="1"/>
  <c r="E94" i="1"/>
  <c r="G94" i="1"/>
  <c r="J94" i="1"/>
  <c r="K94" i="1"/>
  <c r="BE94" i="1"/>
  <c r="BF94" i="1"/>
  <c r="BG94" i="1"/>
  <c r="E2785" i="1"/>
  <c r="G2785" i="1"/>
  <c r="J2785" i="1"/>
  <c r="K2785" i="1"/>
  <c r="BC2785" i="1"/>
  <c r="BE2785" i="1"/>
  <c r="BF2785" i="1"/>
  <c r="BG2785" i="1"/>
  <c r="E799" i="1"/>
  <c r="G799" i="1"/>
  <c r="J799" i="1"/>
  <c r="K799" i="1"/>
  <c r="BE799" i="1"/>
  <c r="BF799" i="1"/>
  <c r="BG799" i="1"/>
  <c r="E6683" i="1"/>
  <c r="G6683" i="1"/>
  <c r="J6683" i="1"/>
  <c r="K6683" i="1"/>
  <c r="BE6683" i="1"/>
  <c r="BF6683" i="1"/>
  <c r="BG6683" i="1"/>
  <c r="E3296" i="1"/>
  <c r="G3296" i="1"/>
  <c r="J3296" i="1"/>
  <c r="K3296" i="1"/>
  <c r="BE3296" i="1"/>
  <c r="BF3296" i="1"/>
  <c r="BG3296" i="1"/>
  <c r="E158" i="1"/>
  <c r="G158" i="1"/>
  <c r="J158" i="1"/>
  <c r="K158" i="1"/>
  <c r="BF158" i="1"/>
  <c r="BG158" i="1"/>
  <c r="E4544" i="1"/>
  <c r="G4544" i="1"/>
  <c r="J4544" i="1"/>
  <c r="K4544" i="1"/>
  <c r="BE4544" i="1"/>
  <c r="BF4544" i="1"/>
  <c r="BG4544" i="1"/>
  <c r="E4780" i="1"/>
  <c r="G4780" i="1"/>
  <c r="J4780" i="1"/>
  <c r="K4780" i="1"/>
  <c r="BE4780" i="1"/>
  <c r="BF4780" i="1"/>
  <c r="BG4780" i="1"/>
  <c r="E2786" i="1"/>
  <c r="G2786" i="1"/>
  <c r="J2786" i="1"/>
  <c r="K2786" i="1"/>
  <c r="BE2786" i="1"/>
  <c r="BF2786" i="1"/>
  <c r="BG2786" i="1"/>
  <c r="E341" i="1"/>
  <c r="G341" i="1"/>
  <c r="J341" i="1"/>
  <c r="K341" i="1"/>
  <c r="BC341" i="1"/>
  <c r="BE341" i="1"/>
  <c r="BF341" i="1"/>
  <c r="BG341" i="1"/>
  <c r="BH341" i="1"/>
  <c r="E6684" i="1"/>
  <c r="G6684" i="1"/>
  <c r="J6684" i="1"/>
  <c r="K6684" i="1"/>
  <c r="BE6684" i="1"/>
  <c r="BF6684" i="1"/>
  <c r="BG6684" i="1"/>
  <c r="E6013" i="1"/>
  <c r="G6013" i="1"/>
  <c r="J6013" i="1"/>
  <c r="K6013" i="1"/>
  <c r="BE6013" i="1"/>
  <c r="BG6013" i="1"/>
  <c r="E2787" i="1"/>
  <c r="G2787" i="1"/>
  <c r="J2787" i="1"/>
  <c r="K2787" i="1"/>
  <c r="BC2787" i="1"/>
  <c r="BE2787" i="1"/>
  <c r="BF2787" i="1"/>
  <c r="BG2787" i="1"/>
  <c r="E3297" i="1"/>
  <c r="G3297" i="1"/>
  <c r="J3297" i="1"/>
  <c r="K3297" i="1"/>
  <c r="BE3297" i="1"/>
  <c r="BF3297" i="1"/>
  <c r="BG3297" i="1"/>
  <c r="E4702" i="1"/>
  <c r="G4702" i="1"/>
  <c r="J4702" i="1"/>
  <c r="K4702" i="1"/>
  <c r="BE4702" i="1"/>
  <c r="BF4702" i="1"/>
  <c r="BG4702" i="1"/>
  <c r="E2302" i="1"/>
  <c r="G2302" i="1"/>
  <c r="J2302" i="1"/>
  <c r="K2302" i="1"/>
  <c r="BE2302" i="1"/>
  <c r="BF2302" i="1"/>
  <c r="BG2302" i="1"/>
  <c r="E4545" i="1"/>
  <c r="G4545" i="1"/>
  <c r="J4545" i="1"/>
  <c r="K4545" i="1"/>
  <c r="BE4545" i="1"/>
  <c r="BF4545" i="1"/>
  <c r="BG4545" i="1"/>
  <c r="E2788" i="1"/>
  <c r="G2788" i="1"/>
  <c r="J2788" i="1"/>
  <c r="K2788" i="1"/>
  <c r="BE2788" i="1"/>
  <c r="BF2788" i="1"/>
  <c r="BG2788" i="1"/>
  <c r="E4781" i="1"/>
  <c r="G4781" i="1"/>
  <c r="J4781" i="1"/>
  <c r="K4781" i="1"/>
  <c r="BE4781" i="1"/>
  <c r="BF4781" i="1"/>
  <c r="BG4781" i="1"/>
  <c r="E568" i="1"/>
  <c r="G568" i="1"/>
  <c r="J568" i="1"/>
  <c r="K568" i="1"/>
  <c r="BE568" i="1"/>
  <c r="BF568" i="1"/>
  <c r="BG568" i="1"/>
  <c r="E4546" i="1"/>
  <c r="G4546" i="1"/>
  <c r="J4546" i="1"/>
  <c r="K4546" i="1"/>
  <c r="BE4546" i="1"/>
  <c r="BF4546" i="1"/>
  <c r="BG4546" i="1"/>
  <c r="E6685" i="1"/>
  <c r="G6685" i="1"/>
  <c r="J6685" i="1"/>
  <c r="K6685" i="1"/>
  <c r="BE6685" i="1"/>
  <c r="BF6685" i="1"/>
  <c r="BG6685" i="1"/>
  <c r="E3298" i="1"/>
  <c r="G3298" i="1"/>
  <c r="J3298" i="1"/>
  <c r="K3298" i="1"/>
  <c r="BE3298" i="1"/>
  <c r="BF3298" i="1"/>
  <c r="BG3298" i="1"/>
  <c r="E6256" i="1"/>
  <c r="G6256" i="1"/>
  <c r="J6256" i="1"/>
  <c r="K6256" i="1"/>
  <c r="BE6256" i="1"/>
  <c r="BF6256" i="1"/>
  <c r="BG6256" i="1"/>
  <c r="E119" i="1"/>
  <c r="G119" i="1"/>
  <c r="J119" i="1"/>
  <c r="K119" i="1"/>
  <c r="BE119" i="1"/>
  <c r="BF119" i="1"/>
  <c r="BG119" i="1"/>
  <c r="E4782" i="1"/>
  <c r="G4782" i="1"/>
  <c r="J4782" i="1"/>
  <c r="K4782" i="1"/>
  <c r="BE4782" i="1"/>
  <c r="BF4782" i="1"/>
  <c r="BG4782" i="1"/>
  <c r="E6686" i="1"/>
  <c r="G6686" i="1"/>
  <c r="J6686" i="1"/>
  <c r="K6686" i="1"/>
  <c r="BE6686" i="1"/>
  <c r="BF6686" i="1"/>
  <c r="BG6686" i="1"/>
  <c r="E3299" i="1"/>
  <c r="G3299" i="1"/>
  <c r="J3299" i="1"/>
  <c r="K3299" i="1"/>
  <c r="BE3299" i="1"/>
  <c r="BF3299" i="1"/>
  <c r="BG3299" i="1"/>
  <c r="E6597" i="1"/>
  <c r="G6597" i="1"/>
  <c r="J6597" i="1"/>
  <c r="K6597" i="1"/>
  <c r="BE6597" i="1"/>
  <c r="BF6597" i="1"/>
  <c r="BG6597" i="1"/>
  <c r="E6873" i="1"/>
  <c r="G6873" i="1"/>
  <c r="J6873" i="1"/>
  <c r="BE6873" i="1"/>
  <c r="BF6873" i="1"/>
  <c r="BG6873" i="1"/>
  <c r="E2789" i="1"/>
  <c r="G2789" i="1"/>
  <c r="J2789" i="1"/>
  <c r="K2789" i="1"/>
  <c r="BC2789" i="1"/>
  <c r="BE2789" i="1"/>
  <c r="BF2789" i="1"/>
  <c r="BG2789" i="1"/>
  <c r="E3300" i="1"/>
  <c r="G3300" i="1"/>
  <c r="J3300" i="1"/>
  <c r="K3300" i="1"/>
  <c r="BE3300" i="1"/>
  <c r="BF3300" i="1"/>
  <c r="BG3300" i="1"/>
  <c r="E2790" i="1"/>
  <c r="G2790" i="1"/>
  <c r="J2790" i="1"/>
  <c r="K2790" i="1"/>
  <c r="BE2790" i="1"/>
  <c r="BF2790" i="1"/>
  <c r="BG2790" i="1"/>
  <c r="E2791" i="1"/>
  <c r="G2791" i="1"/>
  <c r="J2791" i="1"/>
  <c r="K2791" i="1"/>
  <c r="BC2791" i="1"/>
  <c r="BE2791" i="1"/>
  <c r="BF2791" i="1"/>
  <c r="BG2791" i="1"/>
  <c r="E6598" i="1"/>
  <c r="G6598" i="1"/>
  <c r="J6598" i="1"/>
  <c r="K6598" i="1"/>
  <c r="BE6598" i="1"/>
  <c r="BF6598" i="1"/>
  <c r="BG6598" i="1"/>
  <c r="E2792" i="1"/>
  <c r="G2792" i="1"/>
  <c r="J2792" i="1"/>
  <c r="K2792" i="1"/>
  <c r="BC2792" i="1"/>
  <c r="BE2792" i="1"/>
  <c r="BF2792" i="1"/>
  <c r="BG2792" i="1"/>
  <c r="E6687" i="1"/>
  <c r="G6687" i="1"/>
  <c r="J6687" i="1"/>
  <c r="K6687" i="1"/>
  <c r="BE6687" i="1"/>
  <c r="BF6687" i="1"/>
  <c r="BG6687" i="1"/>
  <c r="E3" i="1"/>
  <c r="G3" i="1"/>
  <c r="J3" i="1"/>
  <c r="K3" i="1"/>
  <c r="BC3" i="1"/>
  <c r="BE3" i="1"/>
  <c r="BF3" i="1"/>
  <c r="BG3" i="1"/>
  <c r="E159" i="1"/>
  <c r="G159" i="1"/>
  <c r="J159" i="1"/>
  <c r="K159" i="1"/>
  <c r="BF159" i="1"/>
  <c r="BG159" i="1"/>
  <c r="E852" i="1"/>
  <c r="G852" i="1"/>
  <c r="J852" i="1"/>
  <c r="K852" i="1"/>
  <c r="BF852" i="1"/>
  <c r="BG852" i="1"/>
  <c r="E3301" i="1"/>
  <c r="G3301" i="1"/>
  <c r="J3301" i="1"/>
  <c r="K3301" i="1"/>
  <c r="BE3301" i="1"/>
  <c r="BF3301" i="1"/>
  <c r="BG3301" i="1"/>
  <c r="E2793" i="1"/>
  <c r="G2793" i="1"/>
  <c r="J2793" i="1"/>
  <c r="K2793" i="1"/>
  <c r="BC2793" i="1"/>
  <c r="BE2793" i="1"/>
  <c r="BF2793" i="1"/>
  <c r="BG2793" i="1"/>
  <c r="E6688" i="1"/>
  <c r="G6688" i="1"/>
  <c r="J6688" i="1"/>
  <c r="K6688" i="1"/>
  <c r="BE6688" i="1"/>
  <c r="BF6688" i="1"/>
  <c r="BG6688" i="1"/>
  <c r="E6599" i="1"/>
  <c r="G6599" i="1"/>
  <c r="J6599" i="1"/>
  <c r="K6599" i="1"/>
  <c r="BE6599" i="1"/>
  <c r="BF6599" i="1"/>
  <c r="BG6599" i="1"/>
  <c r="E547" i="1"/>
  <c r="G547" i="1"/>
  <c r="J547" i="1"/>
  <c r="K547" i="1"/>
  <c r="BE547" i="1"/>
  <c r="BF547" i="1"/>
  <c r="BG547" i="1"/>
  <c r="E3302" i="1"/>
  <c r="G3302" i="1"/>
  <c r="J3302" i="1"/>
  <c r="K3302" i="1"/>
  <c r="BE3302" i="1"/>
  <c r="BF3302" i="1"/>
  <c r="BG3302" i="1"/>
  <c r="E6689" i="1"/>
  <c r="G6689" i="1"/>
  <c r="J6689" i="1"/>
  <c r="K6689" i="1"/>
  <c r="BE6689" i="1"/>
  <c r="BF6689" i="1"/>
  <c r="BG6689" i="1"/>
  <c r="E735" i="1"/>
  <c r="G735" i="1"/>
  <c r="J735" i="1"/>
  <c r="K735" i="1"/>
  <c r="BE735" i="1"/>
  <c r="BF735" i="1"/>
  <c r="BG735" i="1"/>
  <c r="E2794" i="1"/>
  <c r="G2794" i="1"/>
  <c r="J2794" i="1"/>
  <c r="K2794" i="1"/>
  <c r="BC2794" i="1"/>
  <c r="BE2794" i="1"/>
  <c r="BF2794" i="1"/>
  <c r="BG2794" i="1"/>
  <c r="E311" i="1"/>
  <c r="G311" i="1"/>
  <c r="J311" i="1"/>
  <c r="K311" i="1"/>
  <c r="BF311" i="1"/>
  <c r="BG311" i="1"/>
  <c r="E3303" i="1"/>
  <c r="G3303" i="1"/>
  <c r="J3303" i="1"/>
  <c r="K3303" i="1"/>
  <c r="BE3303" i="1"/>
  <c r="BF3303" i="1"/>
  <c r="BG3303" i="1"/>
  <c r="E256" i="1"/>
  <c r="G256" i="1"/>
  <c r="J256" i="1"/>
  <c r="K256" i="1"/>
  <c r="BC256" i="1"/>
  <c r="BE256" i="1"/>
  <c r="BF256" i="1"/>
  <c r="BG256" i="1"/>
  <c r="E226" i="1"/>
  <c r="G226" i="1"/>
  <c r="J226" i="1"/>
  <c r="K226" i="1"/>
  <c r="BE226" i="1"/>
  <c r="BF226" i="1"/>
  <c r="BG226" i="1"/>
  <c r="E705" i="1"/>
  <c r="G705" i="1"/>
  <c r="J705" i="1"/>
  <c r="K705" i="1"/>
  <c r="BE705" i="1"/>
  <c r="BF705" i="1"/>
  <c r="BG705" i="1"/>
  <c r="E863" i="1"/>
  <c r="G863" i="1"/>
  <c r="J863" i="1"/>
  <c r="K863" i="1"/>
  <c r="BE863" i="1"/>
  <c r="BF863" i="1"/>
  <c r="BG863" i="1"/>
  <c r="E2795" i="1"/>
  <c r="G2795" i="1"/>
  <c r="J2795" i="1"/>
  <c r="K2795" i="1"/>
  <c r="BC2795" i="1"/>
  <c r="BE2795" i="1"/>
  <c r="BF2795" i="1"/>
  <c r="BG2795" i="1"/>
  <c r="E4271" i="1"/>
  <c r="G4271" i="1"/>
  <c r="J4271" i="1"/>
  <c r="K4271" i="1"/>
  <c r="BE4271" i="1"/>
  <c r="BF4271" i="1"/>
  <c r="BG4271" i="1"/>
  <c r="E6874" i="1"/>
  <c r="G6874" i="1"/>
  <c r="H6874" i="1"/>
  <c r="J6874" i="1"/>
  <c r="BE6874" i="1"/>
  <c r="BF6874" i="1"/>
  <c r="BG6874" i="1"/>
  <c r="E3304" i="1"/>
  <c r="G3304" i="1"/>
  <c r="J3304" i="1"/>
  <c r="K3304" i="1"/>
  <c r="BE3304" i="1"/>
  <c r="BF3304" i="1"/>
  <c r="BG3304" i="1"/>
  <c r="E4547" i="1"/>
  <c r="G4547" i="1"/>
  <c r="J4547" i="1"/>
  <c r="K4547" i="1"/>
  <c r="BE4547" i="1"/>
  <c r="BF4547" i="1"/>
  <c r="BG4547" i="1"/>
  <c r="E2796" i="1"/>
  <c r="G2796" i="1"/>
  <c r="J2796" i="1"/>
  <c r="K2796" i="1"/>
  <c r="BE2796" i="1"/>
  <c r="BF2796" i="1"/>
  <c r="BG2796" i="1"/>
  <c r="E800" i="1"/>
  <c r="G800" i="1"/>
  <c r="J800" i="1"/>
  <c r="K800" i="1"/>
  <c r="BE800" i="1"/>
  <c r="BF800" i="1"/>
  <c r="BG800" i="1"/>
  <c r="E801" i="1"/>
  <c r="G801" i="1"/>
  <c r="J801" i="1"/>
  <c r="K801" i="1"/>
  <c r="BE801" i="1"/>
  <c r="BF801" i="1"/>
  <c r="BG801" i="1"/>
  <c r="E802" i="1"/>
  <c r="G802" i="1"/>
  <c r="J802" i="1"/>
  <c r="K802" i="1"/>
  <c r="BE802" i="1"/>
  <c r="BF802" i="1"/>
  <c r="BG802" i="1"/>
  <c r="E803" i="1"/>
  <c r="G803" i="1"/>
  <c r="J803" i="1"/>
  <c r="K803" i="1"/>
  <c r="BE803" i="1"/>
  <c r="BF803" i="1"/>
  <c r="BG803" i="1"/>
  <c r="E804" i="1"/>
  <c r="G804" i="1"/>
  <c r="J804" i="1"/>
  <c r="K804" i="1"/>
  <c r="BE804" i="1"/>
  <c r="BF804" i="1"/>
  <c r="BG804" i="1"/>
  <c r="E805" i="1"/>
  <c r="G805" i="1"/>
  <c r="J805" i="1"/>
  <c r="K805" i="1"/>
  <c r="BE805" i="1"/>
  <c r="BF805" i="1"/>
  <c r="BG805" i="1"/>
  <c r="E806" i="1"/>
  <c r="G806" i="1"/>
  <c r="J806" i="1"/>
  <c r="K806" i="1"/>
  <c r="BE806" i="1"/>
  <c r="BF806" i="1"/>
  <c r="BG806" i="1"/>
  <c r="E807" i="1"/>
  <c r="G807" i="1"/>
  <c r="J807" i="1"/>
  <c r="K807" i="1"/>
  <c r="BE807" i="1"/>
  <c r="BF807" i="1"/>
  <c r="BG807" i="1"/>
  <c r="E808" i="1"/>
  <c r="G808" i="1"/>
  <c r="J808" i="1"/>
  <c r="K808" i="1"/>
  <c r="BF808" i="1"/>
  <c r="BG808" i="1"/>
  <c r="E2797" i="1"/>
  <c r="G2797" i="1"/>
  <c r="J2797" i="1"/>
  <c r="K2797" i="1"/>
  <c r="BE2797" i="1"/>
  <c r="BF2797" i="1"/>
  <c r="BG2797" i="1"/>
  <c r="E2798" i="1"/>
  <c r="G2798" i="1"/>
  <c r="J2798" i="1"/>
  <c r="K2798" i="1"/>
  <c r="BE2798" i="1"/>
  <c r="BF2798" i="1"/>
  <c r="BG2798" i="1"/>
  <c r="E3305" i="1"/>
  <c r="G3305" i="1"/>
  <c r="J3305" i="1"/>
  <c r="K3305" i="1"/>
  <c r="BE3305" i="1"/>
  <c r="BF3305" i="1"/>
  <c r="BG3305" i="1"/>
  <c r="E2799" i="1"/>
  <c r="G2799" i="1"/>
  <c r="J2799" i="1"/>
  <c r="K2799" i="1"/>
  <c r="BC2799" i="1"/>
  <c r="BE2799" i="1"/>
  <c r="BF2799" i="1"/>
  <c r="BG2799" i="1"/>
  <c r="E6690" i="1"/>
  <c r="G6690" i="1"/>
  <c r="J6690" i="1"/>
  <c r="K6690" i="1"/>
  <c r="BE6690" i="1"/>
  <c r="BF6690" i="1"/>
  <c r="BG6690" i="1"/>
  <c r="E6000" i="1"/>
  <c r="G6000" i="1"/>
  <c r="J6000" i="1"/>
  <c r="K6000" i="1"/>
  <c r="BE6000" i="1"/>
  <c r="BF6000" i="1"/>
  <c r="BG6000" i="1"/>
  <c r="E21" i="1"/>
  <c r="G21" i="1"/>
  <c r="J21" i="1"/>
  <c r="K21" i="1"/>
  <c r="BE21" i="1"/>
  <c r="BF21" i="1"/>
  <c r="BG21" i="1"/>
  <c r="E2800" i="1"/>
  <c r="G2800" i="1"/>
  <c r="J2800" i="1"/>
  <c r="K2800" i="1"/>
  <c r="BC2800" i="1"/>
  <c r="BE2800" i="1"/>
  <c r="BF2800" i="1"/>
  <c r="BG2800" i="1"/>
  <c r="E6600" i="1"/>
  <c r="G6600" i="1"/>
  <c r="J6600" i="1"/>
  <c r="K6600" i="1"/>
  <c r="BE6600" i="1"/>
  <c r="BF6600" i="1"/>
  <c r="BG6600" i="1"/>
  <c r="E3785" i="1"/>
  <c r="G3785" i="1"/>
  <c r="J3785" i="1"/>
  <c r="K3785" i="1"/>
  <c r="BE3785" i="1"/>
  <c r="BF3785" i="1"/>
  <c r="BG3785" i="1"/>
  <c r="E3306" i="1"/>
  <c r="G3306" i="1"/>
  <c r="J3306" i="1"/>
  <c r="K3306" i="1"/>
  <c r="BE3306" i="1"/>
  <c r="BF3306" i="1"/>
  <c r="BG3306" i="1"/>
  <c r="E3786" i="1"/>
  <c r="G3786" i="1"/>
  <c r="J3786" i="1"/>
  <c r="K3786" i="1"/>
  <c r="BE3786" i="1"/>
  <c r="BF3786" i="1"/>
  <c r="BG3786" i="1"/>
  <c r="E2801" i="1"/>
  <c r="G2801" i="1"/>
  <c r="J2801" i="1"/>
  <c r="K2801" i="1"/>
  <c r="BC2801" i="1"/>
  <c r="BE2801" i="1"/>
  <c r="BF2801" i="1"/>
  <c r="BG2801" i="1"/>
  <c r="E6257" i="1"/>
  <c r="G6257" i="1"/>
  <c r="J6257" i="1"/>
  <c r="K6257" i="1"/>
  <c r="BE6257" i="1"/>
  <c r="BF6257" i="1"/>
  <c r="BG6257" i="1"/>
  <c r="E3787" i="1"/>
  <c r="G3787" i="1"/>
  <c r="J3787" i="1"/>
  <c r="K3787" i="1"/>
  <c r="BE3787" i="1"/>
  <c r="BF3787" i="1"/>
  <c r="BG3787" i="1"/>
  <c r="E3716" i="1"/>
  <c r="G3716" i="1"/>
  <c r="J3716" i="1"/>
  <c r="K3716" i="1"/>
  <c r="BE3716" i="1"/>
  <c r="BF3716" i="1"/>
  <c r="BG3716" i="1"/>
  <c r="E3717" i="1"/>
  <c r="G3717" i="1"/>
  <c r="J3717" i="1"/>
  <c r="K3717" i="1"/>
  <c r="BE3717" i="1"/>
  <c r="BF3717" i="1"/>
  <c r="BG3717" i="1"/>
  <c r="E3718" i="1"/>
  <c r="G3718" i="1"/>
  <c r="J3718" i="1"/>
  <c r="K3718" i="1"/>
  <c r="BE3718" i="1"/>
  <c r="BF3718" i="1"/>
  <c r="BG3718" i="1"/>
  <c r="E3719" i="1"/>
  <c r="G3719" i="1"/>
  <c r="J3719" i="1"/>
  <c r="K3719" i="1"/>
  <c r="BE3719" i="1"/>
  <c r="BF3719" i="1"/>
  <c r="BG3719" i="1"/>
  <c r="E3720" i="1"/>
  <c r="G3720" i="1"/>
  <c r="J3720" i="1"/>
  <c r="K3720" i="1"/>
  <c r="BE3720" i="1"/>
  <c r="BF3720" i="1"/>
  <c r="BG3720" i="1"/>
  <c r="E3721" i="1"/>
  <c r="G3721" i="1"/>
  <c r="J3721" i="1"/>
  <c r="K3721" i="1"/>
  <c r="BE3721" i="1"/>
  <c r="BF3721" i="1"/>
  <c r="BG3721" i="1"/>
  <c r="E3722" i="1"/>
  <c r="G3722" i="1"/>
  <c r="J3722" i="1"/>
  <c r="K3722" i="1"/>
  <c r="BE3722" i="1"/>
  <c r="BF3722" i="1"/>
  <c r="BG3722" i="1"/>
  <c r="E3723" i="1"/>
  <c r="G3723" i="1"/>
  <c r="J3723" i="1"/>
  <c r="K3723" i="1"/>
  <c r="BE3723" i="1"/>
  <c r="BF3723" i="1"/>
  <c r="BG3723" i="1"/>
  <c r="E3724" i="1"/>
  <c r="G3724" i="1"/>
  <c r="J3724" i="1"/>
  <c r="K3724" i="1"/>
  <c r="BE3724" i="1"/>
  <c r="BF3724" i="1"/>
  <c r="BG3724" i="1"/>
  <c r="E3725" i="1"/>
  <c r="G3725" i="1"/>
  <c r="J3725" i="1"/>
  <c r="K3725" i="1"/>
  <c r="BE3725" i="1"/>
  <c r="BF3725" i="1"/>
  <c r="BG3725" i="1"/>
  <c r="E3726" i="1"/>
  <c r="G3726" i="1"/>
  <c r="J3726" i="1"/>
  <c r="K3726" i="1"/>
  <c r="BE3726" i="1"/>
  <c r="BF3726" i="1"/>
  <c r="BG3726" i="1"/>
  <c r="E3727" i="1"/>
  <c r="G3727" i="1"/>
  <c r="J3727" i="1"/>
  <c r="K3727" i="1"/>
  <c r="BE3727" i="1"/>
  <c r="BF3727" i="1"/>
  <c r="BG3727" i="1"/>
  <c r="E3728" i="1"/>
  <c r="G3728" i="1"/>
  <c r="J3728" i="1"/>
  <c r="K3728" i="1"/>
  <c r="BE3728" i="1"/>
  <c r="BF3728" i="1"/>
  <c r="BG3728" i="1"/>
  <c r="E3729" i="1"/>
  <c r="G3729" i="1"/>
  <c r="J3729" i="1"/>
  <c r="K3729" i="1"/>
  <c r="BE3729" i="1"/>
  <c r="BF3729" i="1"/>
  <c r="BG3729" i="1"/>
  <c r="E3730" i="1"/>
  <c r="G3730" i="1"/>
  <c r="J3730" i="1"/>
  <c r="K3730" i="1"/>
  <c r="BE3730" i="1"/>
  <c r="BF3730" i="1"/>
  <c r="BG3730" i="1"/>
  <c r="E3731" i="1"/>
  <c r="G3731" i="1"/>
  <c r="J3731" i="1"/>
  <c r="K3731" i="1"/>
  <c r="BE3731" i="1"/>
  <c r="BF3731" i="1"/>
  <c r="BG3731" i="1"/>
  <c r="E3732" i="1"/>
  <c r="G3732" i="1"/>
  <c r="J3732" i="1"/>
  <c r="K3732" i="1"/>
  <c r="BE3732" i="1"/>
  <c r="BF3732" i="1"/>
  <c r="BG3732" i="1"/>
  <c r="E3733" i="1"/>
  <c r="G3733" i="1"/>
  <c r="J3733" i="1"/>
  <c r="K3733" i="1"/>
  <c r="BE3733" i="1"/>
  <c r="BF3733" i="1"/>
  <c r="BG3733" i="1"/>
  <c r="E3734" i="1"/>
  <c r="G3734" i="1"/>
  <c r="J3734" i="1"/>
  <c r="K3734" i="1"/>
  <c r="BE3734" i="1"/>
  <c r="BF3734" i="1"/>
  <c r="BG3734" i="1"/>
  <c r="E3735" i="1"/>
  <c r="G3735" i="1"/>
  <c r="J3735" i="1"/>
  <c r="K3735" i="1"/>
  <c r="BE3735" i="1"/>
  <c r="BF3735" i="1"/>
  <c r="BG3735" i="1"/>
  <c r="E3736" i="1"/>
  <c r="G3736" i="1"/>
  <c r="J3736" i="1"/>
  <c r="K3736" i="1"/>
  <c r="BE3736" i="1"/>
  <c r="BF3736" i="1"/>
  <c r="BG3736" i="1"/>
  <c r="E3737" i="1"/>
  <c r="G3737" i="1"/>
  <c r="J3737" i="1"/>
  <c r="K3737" i="1"/>
  <c r="BE3737" i="1"/>
  <c r="BF3737" i="1"/>
  <c r="BG3737" i="1"/>
  <c r="E3738" i="1"/>
  <c r="G3738" i="1"/>
  <c r="J3738" i="1"/>
  <c r="K3738" i="1"/>
  <c r="BE3738" i="1"/>
  <c r="BF3738" i="1"/>
  <c r="BG3738" i="1"/>
  <c r="E3739" i="1"/>
  <c r="G3739" i="1"/>
  <c r="J3739" i="1"/>
  <c r="K3739" i="1"/>
  <c r="BE3739" i="1"/>
  <c r="BF3739" i="1"/>
  <c r="BG3739" i="1"/>
  <c r="E3740" i="1"/>
  <c r="G3740" i="1"/>
  <c r="J3740" i="1"/>
  <c r="K3740" i="1"/>
  <c r="BE3740" i="1"/>
  <c r="BF3740" i="1"/>
  <c r="BG3740" i="1"/>
  <c r="E1233" i="1"/>
  <c r="G1233" i="1"/>
  <c r="J1233" i="1"/>
  <c r="K1233" i="1"/>
  <c r="BE1233" i="1"/>
  <c r="BF1233" i="1"/>
  <c r="BG1233" i="1"/>
  <c r="E4548" i="1"/>
  <c r="G4548" i="1"/>
  <c r="J4548" i="1"/>
  <c r="K4548" i="1"/>
  <c r="BE4548" i="1"/>
  <c r="BF4548" i="1"/>
  <c r="BG4548" i="1"/>
  <c r="E3923" i="1"/>
  <c r="G3923" i="1"/>
  <c r="J3923" i="1"/>
  <c r="K3923" i="1"/>
  <c r="BE3923" i="1"/>
  <c r="BF3923" i="1"/>
  <c r="BG3923" i="1"/>
  <c r="E6258" i="1"/>
  <c r="G6258" i="1"/>
  <c r="J6258" i="1"/>
  <c r="K6258" i="1"/>
  <c r="BE6258" i="1"/>
  <c r="BF6258" i="1"/>
  <c r="BG6258" i="1"/>
  <c r="E6691" i="1"/>
  <c r="G6691" i="1"/>
  <c r="J6691" i="1"/>
  <c r="K6691" i="1"/>
  <c r="BE6691" i="1"/>
  <c r="BF6691" i="1"/>
  <c r="BG6691" i="1"/>
  <c r="E5120" i="1"/>
  <c r="G5120" i="1"/>
  <c r="J5120" i="1"/>
  <c r="K5120" i="1"/>
  <c r="BE5120" i="1"/>
  <c r="BF5120" i="1"/>
  <c r="BG5120" i="1"/>
  <c r="E5121" i="1"/>
  <c r="G5121" i="1"/>
  <c r="J5121" i="1"/>
  <c r="K5121" i="1"/>
  <c r="BE5121" i="1"/>
  <c r="BF5121" i="1"/>
  <c r="BG5121" i="1"/>
  <c r="E5122" i="1"/>
  <c r="G5122" i="1"/>
  <c r="J5122" i="1"/>
  <c r="K5122" i="1"/>
  <c r="BE5122" i="1"/>
  <c r="BF5122" i="1"/>
  <c r="BG5122" i="1"/>
  <c r="E5123" i="1"/>
  <c r="G5123" i="1"/>
  <c r="J5123" i="1"/>
  <c r="K5123" i="1"/>
  <c r="BE5123" i="1"/>
  <c r="BF5123" i="1"/>
  <c r="BG5123" i="1"/>
  <c r="E5124" i="1"/>
  <c r="G5124" i="1"/>
  <c r="J5124" i="1"/>
  <c r="K5124" i="1"/>
  <c r="BE5124" i="1"/>
  <c r="BF5124" i="1"/>
  <c r="BG5124" i="1"/>
  <c r="E5125" i="1"/>
  <c r="G5125" i="1"/>
  <c r="J5125" i="1"/>
  <c r="K5125" i="1"/>
  <c r="BE5125" i="1"/>
  <c r="BF5125" i="1"/>
  <c r="BG5125" i="1"/>
  <c r="E5126" i="1"/>
  <c r="G5126" i="1"/>
  <c r="J5126" i="1"/>
  <c r="K5126" i="1"/>
  <c r="BE5126" i="1"/>
  <c r="BF5126" i="1"/>
  <c r="BG5126" i="1"/>
  <c r="E5127" i="1"/>
  <c r="G5127" i="1"/>
  <c r="J5127" i="1"/>
  <c r="K5127" i="1"/>
  <c r="BE5127" i="1"/>
  <c r="BF5127" i="1"/>
  <c r="BG5127" i="1"/>
  <c r="E5128" i="1"/>
  <c r="G5128" i="1"/>
  <c r="J5128" i="1"/>
  <c r="K5128" i="1"/>
  <c r="BE5128" i="1"/>
  <c r="BF5128" i="1"/>
  <c r="BG5128" i="1"/>
  <c r="E5129" i="1"/>
  <c r="G5129" i="1"/>
  <c r="J5129" i="1"/>
  <c r="K5129" i="1"/>
  <c r="BE5129" i="1"/>
  <c r="BF5129" i="1"/>
  <c r="BG5129" i="1"/>
  <c r="E5130" i="1"/>
  <c r="G5130" i="1"/>
  <c r="J5130" i="1"/>
  <c r="K5130" i="1"/>
  <c r="BE5130" i="1"/>
  <c r="BF5130" i="1"/>
  <c r="BG5130" i="1"/>
  <c r="E5131" i="1"/>
  <c r="G5131" i="1"/>
  <c r="J5131" i="1"/>
  <c r="K5131" i="1"/>
  <c r="BE5131" i="1"/>
  <c r="BF5131" i="1"/>
  <c r="BG5131" i="1"/>
  <c r="E5132" i="1"/>
  <c r="G5132" i="1"/>
  <c r="J5132" i="1"/>
  <c r="K5132" i="1"/>
  <c r="BE5132" i="1"/>
  <c r="BF5132" i="1"/>
  <c r="BG5132" i="1"/>
  <c r="E5133" i="1"/>
  <c r="G5133" i="1"/>
  <c r="J5133" i="1"/>
  <c r="K5133" i="1"/>
  <c r="BE5133" i="1"/>
  <c r="BF5133" i="1"/>
  <c r="BG5133" i="1"/>
  <c r="E5134" i="1"/>
  <c r="G5134" i="1"/>
  <c r="J5134" i="1"/>
  <c r="K5134" i="1"/>
  <c r="BE5134" i="1"/>
  <c r="BF5134" i="1"/>
  <c r="BG5134" i="1"/>
  <c r="E5135" i="1"/>
  <c r="G5135" i="1"/>
  <c r="J5135" i="1"/>
  <c r="K5135" i="1"/>
  <c r="BE5135" i="1"/>
  <c r="BF5135" i="1"/>
  <c r="BG5135" i="1"/>
  <c r="E5136" i="1"/>
  <c r="G5136" i="1"/>
  <c r="J5136" i="1"/>
  <c r="K5136" i="1"/>
  <c r="BE5136" i="1"/>
  <c r="BF5136" i="1"/>
  <c r="BG5136" i="1"/>
  <c r="E5137" i="1"/>
  <c r="G5137" i="1"/>
  <c r="J5137" i="1"/>
  <c r="K5137" i="1"/>
  <c r="BE5137" i="1"/>
  <c r="BF5137" i="1"/>
  <c r="BG5137" i="1"/>
  <c r="E5138" i="1"/>
  <c r="G5138" i="1"/>
  <c r="J5138" i="1"/>
  <c r="K5138" i="1"/>
  <c r="BE5138" i="1"/>
  <c r="BF5138" i="1"/>
  <c r="BG5138" i="1"/>
  <c r="E5139" i="1"/>
  <c r="G5139" i="1"/>
  <c r="J5139" i="1"/>
  <c r="K5139" i="1"/>
  <c r="BE5139" i="1"/>
  <c r="BF5139" i="1"/>
  <c r="BG5139" i="1"/>
  <c r="E5140" i="1"/>
  <c r="G5140" i="1"/>
  <c r="J5140" i="1"/>
  <c r="K5140" i="1"/>
  <c r="BE5140" i="1"/>
  <c r="BF5140" i="1"/>
  <c r="BG5140" i="1"/>
  <c r="E5141" i="1"/>
  <c r="G5141" i="1"/>
  <c r="J5141" i="1"/>
  <c r="K5141" i="1"/>
  <c r="BE5141" i="1"/>
  <c r="BF5141" i="1"/>
  <c r="BG5141" i="1"/>
  <c r="E5142" i="1"/>
  <c r="G5142" i="1"/>
  <c r="J5142" i="1"/>
  <c r="K5142" i="1"/>
  <c r="BE5142" i="1"/>
  <c r="BF5142" i="1"/>
  <c r="BG5142" i="1"/>
  <c r="E5143" i="1"/>
  <c r="G5143" i="1"/>
  <c r="J5143" i="1"/>
  <c r="K5143" i="1"/>
  <c r="BE5143" i="1"/>
  <c r="BF5143" i="1"/>
  <c r="BG5143" i="1"/>
  <c r="E5144" i="1"/>
  <c r="G5144" i="1"/>
  <c r="J5144" i="1"/>
  <c r="K5144" i="1"/>
  <c r="BE5144" i="1"/>
  <c r="BF5144" i="1"/>
  <c r="BG5144" i="1"/>
  <c r="E5145" i="1"/>
  <c r="G5145" i="1"/>
  <c r="J5145" i="1"/>
  <c r="K5145" i="1"/>
  <c r="BE5145" i="1"/>
  <c r="BF5145" i="1"/>
  <c r="BG5145" i="1"/>
  <c r="E5146" i="1"/>
  <c r="G5146" i="1"/>
  <c r="J5146" i="1"/>
  <c r="K5146" i="1"/>
  <c r="BE5146" i="1"/>
  <c r="BF5146" i="1"/>
  <c r="BG5146" i="1"/>
  <c r="E5147" i="1"/>
  <c r="G5147" i="1"/>
  <c r="J5147" i="1"/>
  <c r="K5147" i="1"/>
  <c r="BE5147" i="1"/>
  <c r="BF5147" i="1"/>
  <c r="BG5147" i="1"/>
  <c r="E5148" i="1"/>
  <c r="G5148" i="1"/>
  <c r="J5148" i="1"/>
  <c r="K5148" i="1"/>
  <c r="BE5148" i="1"/>
  <c r="BF5148" i="1"/>
  <c r="BG5148" i="1"/>
  <c r="E5149" i="1"/>
  <c r="G5149" i="1"/>
  <c r="J5149" i="1"/>
  <c r="K5149" i="1"/>
  <c r="BE5149" i="1"/>
  <c r="BF5149" i="1"/>
  <c r="BG5149" i="1"/>
  <c r="E5150" i="1"/>
  <c r="G5150" i="1"/>
  <c r="J5150" i="1"/>
  <c r="K5150" i="1"/>
  <c r="BE5150" i="1"/>
  <c r="BF5150" i="1"/>
  <c r="BG5150" i="1"/>
  <c r="E5151" i="1"/>
  <c r="G5151" i="1"/>
  <c r="J5151" i="1"/>
  <c r="K5151" i="1"/>
  <c r="BE5151" i="1"/>
  <c r="BF5151" i="1"/>
  <c r="BG5151" i="1"/>
  <c r="E5152" i="1"/>
  <c r="G5152" i="1"/>
  <c r="J5152" i="1"/>
  <c r="K5152" i="1"/>
  <c r="BE5152" i="1"/>
  <c r="BF5152" i="1"/>
  <c r="BG5152" i="1"/>
  <c r="E5153" i="1"/>
  <c r="G5153" i="1"/>
  <c r="J5153" i="1"/>
  <c r="K5153" i="1"/>
  <c r="BE5153" i="1"/>
  <c r="BF5153" i="1"/>
  <c r="BG5153" i="1"/>
  <c r="E5154" i="1"/>
  <c r="G5154" i="1"/>
  <c r="J5154" i="1"/>
  <c r="K5154" i="1"/>
  <c r="BE5154" i="1"/>
  <c r="BF5154" i="1"/>
  <c r="BG5154" i="1"/>
  <c r="E5155" i="1"/>
  <c r="G5155" i="1"/>
  <c r="J5155" i="1"/>
  <c r="K5155" i="1"/>
  <c r="BE5155" i="1"/>
  <c r="BF5155" i="1"/>
  <c r="BG5155" i="1"/>
  <c r="E5156" i="1"/>
  <c r="G5156" i="1"/>
  <c r="J5156" i="1"/>
  <c r="K5156" i="1"/>
  <c r="BE5156" i="1"/>
  <c r="BF5156" i="1"/>
  <c r="BG5156" i="1"/>
  <c r="E5157" i="1"/>
  <c r="G5157" i="1"/>
  <c r="J5157" i="1"/>
  <c r="K5157" i="1"/>
  <c r="BE5157" i="1"/>
  <c r="BF5157" i="1"/>
  <c r="BG5157" i="1"/>
  <c r="E5158" i="1"/>
  <c r="G5158" i="1"/>
  <c r="J5158" i="1"/>
  <c r="K5158" i="1"/>
  <c r="BE5158" i="1"/>
  <c r="BF5158" i="1"/>
  <c r="BG5158" i="1"/>
  <c r="E5159" i="1"/>
  <c r="G5159" i="1"/>
  <c r="J5159" i="1"/>
  <c r="K5159" i="1"/>
  <c r="BE5159" i="1"/>
  <c r="BF5159" i="1"/>
  <c r="BG5159" i="1"/>
  <c r="E5160" i="1"/>
  <c r="G5160" i="1"/>
  <c r="J5160" i="1"/>
  <c r="K5160" i="1"/>
  <c r="BE5160" i="1"/>
  <c r="BF5160" i="1"/>
  <c r="BG5160" i="1"/>
  <c r="E5161" i="1"/>
  <c r="G5161" i="1"/>
  <c r="J5161" i="1"/>
  <c r="K5161" i="1"/>
  <c r="BE5161" i="1"/>
  <c r="BF5161" i="1"/>
  <c r="BG5161" i="1"/>
  <c r="E5162" i="1"/>
  <c r="G5162" i="1"/>
  <c r="J5162" i="1"/>
  <c r="K5162" i="1"/>
  <c r="BE5162" i="1"/>
  <c r="BF5162" i="1"/>
  <c r="BG5162" i="1"/>
  <c r="E5163" i="1"/>
  <c r="G5163" i="1"/>
  <c r="J5163" i="1"/>
  <c r="K5163" i="1"/>
  <c r="BE5163" i="1"/>
  <c r="BF5163" i="1"/>
  <c r="BG5163" i="1"/>
  <c r="E5164" i="1"/>
  <c r="G5164" i="1"/>
  <c r="J5164" i="1"/>
  <c r="K5164" i="1"/>
  <c r="BE5164" i="1"/>
  <c r="BF5164" i="1"/>
  <c r="BG5164" i="1"/>
  <c r="E5165" i="1"/>
  <c r="G5165" i="1"/>
  <c r="J5165" i="1"/>
  <c r="K5165" i="1"/>
  <c r="BE5165" i="1"/>
  <c r="BF5165" i="1"/>
  <c r="BG5165" i="1"/>
  <c r="E5166" i="1"/>
  <c r="G5166" i="1"/>
  <c r="J5166" i="1"/>
  <c r="K5166" i="1"/>
  <c r="BE5166" i="1"/>
  <c r="BF5166" i="1"/>
  <c r="BG5166" i="1"/>
  <c r="E5167" i="1"/>
  <c r="G5167" i="1"/>
  <c r="J5167" i="1"/>
  <c r="K5167" i="1"/>
  <c r="BE5167" i="1"/>
  <c r="BF5167" i="1"/>
  <c r="BG5167" i="1"/>
  <c r="E5168" i="1"/>
  <c r="G5168" i="1"/>
  <c r="J5168" i="1"/>
  <c r="K5168" i="1"/>
  <c r="BE5168" i="1"/>
  <c r="BF5168" i="1"/>
  <c r="BG5168" i="1"/>
  <c r="E5169" i="1"/>
  <c r="G5169" i="1"/>
  <c r="J5169" i="1"/>
  <c r="K5169" i="1"/>
  <c r="BE5169" i="1"/>
  <c r="BF5169" i="1"/>
  <c r="BG5169" i="1"/>
  <c r="E5170" i="1"/>
  <c r="G5170" i="1"/>
  <c r="J5170" i="1"/>
  <c r="K5170" i="1"/>
  <c r="BE5170" i="1"/>
  <c r="BF5170" i="1"/>
  <c r="BG5170" i="1"/>
  <c r="E5171" i="1"/>
  <c r="G5171" i="1"/>
  <c r="J5171" i="1"/>
  <c r="K5171" i="1"/>
  <c r="BE5171" i="1"/>
  <c r="BF5171" i="1"/>
  <c r="BG5171" i="1"/>
  <c r="E5172" i="1"/>
  <c r="G5172" i="1"/>
  <c r="J5172" i="1"/>
  <c r="K5172" i="1"/>
  <c r="BE5172" i="1"/>
  <c r="BF5172" i="1"/>
  <c r="BG5172" i="1"/>
  <c r="E5173" i="1"/>
  <c r="G5173" i="1"/>
  <c r="J5173" i="1"/>
  <c r="K5173" i="1"/>
  <c r="BE5173" i="1"/>
  <c r="BF5173" i="1"/>
  <c r="BG5173" i="1"/>
  <c r="E5174" i="1"/>
  <c r="G5174" i="1"/>
  <c r="J5174" i="1"/>
  <c r="K5174" i="1"/>
  <c r="BE5174" i="1"/>
  <c r="BF5174" i="1"/>
  <c r="BG5174" i="1"/>
  <c r="E5175" i="1"/>
  <c r="G5175" i="1"/>
  <c r="J5175" i="1"/>
  <c r="K5175" i="1"/>
  <c r="BE5175" i="1"/>
  <c r="BF5175" i="1"/>
  <c r="BG5175" i="1"/>
  <c r="E5176" i="1"/>
  <c r="G5176" i="1"/>
  <c r="J5176" i="1"/>
  <c r="K5176" i="1"/>
  <c r="BE5176" i="1"/>
  <c r="BF5176" i="1"/>
  <c r="BG5176" i="1"/>
  <c r="E5177" i="1"/>
  <c r="G5177" i="1"/>
  <c r="J5177" i="1"/>
  <c r="K5177" i="1"/>
  <c r="BE5177" i="1"/>
  <c r="BF5177" i="1"/>
  <c r="BG5177" i="1"/>
  <c r="E5178" i="1"/>
  <c r="G5178" i="1"/>
  <c r="J5178" i="1"/>
  <c r="K5178" i="1"/>
  <c r="BE5178" i="1"/>
  <c r="BF5178" i="1"/>
  <c r="BG5178" i="1"/>
  <c r="E5179" i="1"/>
  <c r="G5179" i="1"/>
  <c r="J5179" i="1"/>
  <c r="K5179" i="1"/>
  <c r="BE5179" i="1"/>
  <c r="BF5179" i="1"/>
  <c r="BG5179" i="1"/>
  <c r="E5180" i="1"/>
  <c r="G5180" i="1"/>
  <c r="J5180" i="1"/>
  <c r="K5180" i="1"/>
  <c r="BE5180" i="1"/>
  <c r="BF5180" i="1"/>
  <c r="BG5180" i="1"/>
  <c r="E5181" i="1"/>
  <c r="G5181" i="1"/>
  <c r="J5181" i="1"/>
  <c r="K5181" i="1"/>
  <c r="BE5181" i="1"/>
  <c r="BF5181" i="1"/>
  <c r="BG5181" i="1"/>
  <c r="E5182" i="1"/>
  <c r="G5182" i="1"/>
  <c r="J5182" i="1"/>
  <c r="K5182" i="1"/>
  <c r="BE5182" i="1"/>
  <c r="BF5182" i="1"/>
  <c r="BG5182" i="1"/>
  <c r="E5183" i="1"/>
  <c r="G5183" i="1"/>
  <c r="J5183" i="1"/>
  <c r="K5183" i="1"/>
  <c r="BE5183" i="1"/>
  <c r="BF5183" i="1"/>
  <c r="BG5183" i="1"/>
  <c r="E5184" i="1"/>
  <c r="G5184" i="1"/>
  <c r="J5184" i="1"/>
  <c r="K5184" i="1"/>
  <c r="BE5184" i="1"/>
  <c r="BF5184" i="1"/>
  <c r="BG5184" i="1"/>
  <c r="E5185" i="1"/>
  <c r="G5185" i="1"/>
  <c r="J5185" i="1"/>
  <c r="K5185" i="1"/>
  <c r="BE5185" i="1"/>
  <c r="BF5185" i="1"/>
  <c r="BG5185" i="1"/>
  <c r="E5186" i="1"/>
  <c r="G5186" i="1"/>
  <c r="J5186" i="1"/>
  <c r="K5186" i="1"/>
  <c r="BE5186" i="1"/>
  <c r="BF5186" i="1"/>
  <c r="BG5186" i="1"/>
  <c r="E5187" i="1"/>
  <c r="G5187" i="1"/>
  <c r="J5187" i="1"/>
  <c r="K5187" i="1"/>
  <c r="BE5187" i="1"/>
  <c r="BF5187" i="1"/>
  <c r="BG5187" i="1"/>
  <c r="E5188" i="1"/>
  <c r="G5188" i="1"/>
  <c r="J5188" i="1"/>
  <c r="K5188" i="1"/>
  <c r="BE5188" i="1"/>
  <c r="BF5188" i="1"/>
  <c r="BG5188" i="1"/>
  <c r="E5189" i="1"/>
  <c r="G5189" i="1"/>
  <c r="J5189" i="1"/>
  <c r="K5189" i="1"/>
  <c r="BE5189" i="1"/>
  <c r="BF5189" i="1"/>
  <c r="BG5189" i="1"/>
  <c r="E5190" i="1"/>
  <c r="G5190" i="1"/>
  <c r="J5190" i="1"/>
  <c r="K5190" i="1"/>
  <c r="BE5190" i="1"/>
  <c r="BF5190" i="1"/>
  <c r="BG5190" i="1"/>
  <c r="E5191" i="1"/>
  <c r="G5191" i="1"/>
  <c r="J5191" i="1"/>
  <c r="K5191" i="1"/>
  <c r="BE5191" i="1"/>
  <c r="BF5191" i="1"/>
  <c r="BG5191" i="1"/>
  <c r="E5192" i="1"/>
  <c r="G5192" i="1"/>
  <c r="J5192" i="1"/>
  <c r="K5192" i="1"/>
  <c r="BE5192" i="1"/>
  <c r="BF5192" i="1"/>
  <c r="BG5192" i="1"/>
  <c r="E5193" i="1"/>
  <c r="G5193" i="1"/>
  <c r="J5193" i="1"/>
  <c r="K5193" i="1"/>
  <c r="BE5193" i="1"/>
  <c r="BF5193" i="1"/>
  <c r="BG5193" i="1"/>
  <c r="E5194" i="1"/>
  <c r="G5194" i="1"/>
  <c r="J5194" i="1"/>
  <c r="K5194" i="1"/>
  <c r="BE5194" i="1"/>
  <c r="BF5194" i="1"/>
  <c r="BG5194" i="1"/>
  <c r="E5195" i="1"/>
  <c r="G5195" i="1"/>
  <c r="J5195" i="1"/>
  <c r="K5195" i="1"/>
  <c r="BE5195" i="1"/>
  <c r="BF5195" i="1"/>
  <c r="BG5195" i="1"/>
  <c r="E5196" i="1"/>
  <c r="G5196" i="1"/>
  <c r="J5196" i="1"/>
  <c r="K5196" i="1"/>
  <c r="BE5196" i="1"/>
  <c r="BF5196" i="1"/>
  <c r="BG5196" i="1"/>
  <c r="E5197" i="1"/>
  <c r="G5197" i="1"/>
  <c r="J5197" i="1"/>
  <c r="K5197" i="1"/>
  <c r="BE5197" i="1"/>
  <c r="BF5197" i="1"/>
  <c r="BG5197" i="1"/>
  <c r="E5198" i="1"/>
  <c r="G5198" i="1"/>
  <c r="J5198" i="1"/>
  <c r="K5198" i="1"/>
  <c r="BE5198" i="1"/>
  <c r="BF5198" i="1"/>
  <c r="BG5198" i="1"/>
  <c r="E5199" i="1"/>
  <c r="G5199" i="1"/>
  <c r="J5199" i="1"/>
  <c r="K5199" i="1"/>
  <c r="BE5199" i="1"/>
  <c r="BF5199" i="1"/>
  <c r="BG5199" i="1"/>
  <c r="E5200" i="1"/>
  <c r="G5200" i="1"/>
  <c r="J5200" i="1"/>
  <c r="K5200" i="1"/>
  <c r="BE5200" i="1"/>
  <c r="BF5200" i="1"/>
  <c r="BG5200" i="1"/>
  <c r="E5201" i="1"/>
  <c r="G5201" i="1"/>
  <c r="J5201" i="1"/>
  <c r="K5201" i="1"/>
  <c r="BE5201" i="1"/>
  <c r="BF5201" i="1"/>
  <c r="BG5201" i="1"/>
  <c r="E5202" i="1"/>
  <c r="G5202" i="1"/>
  <c r="J5202" i="1"/>
  <c r="K5202" i="1"/>
  <c r="BE5202" i="1"/>
  <c r="BF5202" i="1"/>
  <c r="BG5202" i="1"/>
  <c r="E5203" i="1"/>
  <c r="G5203" i="1"/>
  <c r="J5203" i="1"/>
  <c r="K5203" i="1"/>
  <c r="BE5203" i="1"/>
  <c r="BF5203" i="1"/>
  <c r="BG5203" i="1"/>
  <c r="E5204" i="1"/>
  <c r="G5204" i="1"/>
  <c r="J5204" i="1"/>
  <c r="K5204" i="1"/>
  <c r="BE5204" i="1"/>
  <c r="BF5204" i="1"/>
  <c r="BG5204" i="1"/>
  <c r="E5205" i="1"/>
  <c r="G5205" i="1"/>
  <c r="J5205" i="1"/>
  <c r="K5205" i="1"/>
  <c r="BE5205" i="1"/>
  <c r="BF5205" i="1"/>
  <c r="BG5205" i="1"/>
  <c r="E5206" i="1"/>
  <c r="G5206" i="1"/>
  <c r="J5206" i="1"/>
  <c r="K5206" i="1"/>
  <c r="BE5206" i="1"/>
  <c r="BF5206" i="1"/>
  <c r="BG5206" i="1"/>
  <c r="E5207" i="1"/>
  <c r="G5207" i="1"/>
  <c r="J5207" i="1"/>
  <c r="K5207" i="1"/>
  <c r="BE5207" i="1"/>
  <c r="BF5207" i="1"/>
  <c r="BG5207" i="1"/>
  <c r="E5208" i="1"/>
  <c r="G5208" i="1"/>
  <c r="J5208" i="1"/>
  <c r="K5208" i="1"/>
  <c r="BE5208" i="1"/>
  <c r="BF5208" i="1"/>
  <c r="BG5208" i="1"/>
  <c r="E5209" i="1"/>
  <c r="G5209" i="1"/>
  <c r="J5209" i="1"/>
  <c r="K5209" i="1"/>
  <c r="BE5209" i="1"/>
  <c r="BF5209" i="1"/>
  <c r="BG5209" i="1"/>
  <c r="E5210" i="1"/>
  <c r="G5210" i="1"/>
  <c r="J5210" i="1"/>
  <c r="K5210" i="1"/>
  <c r="BE5210" i="1"/>
  <c r="BF5210" i="1"/>
  <c r="BG5210" i="1"/>
  <c r="E5211" i="1"/>
  <c r="G5211" i="1"/>
  <c r="J5211" i="1"/>
  <c r="K5211" i="1"/>
  <c r="BE5211" i="1"/>
  <c r="BF5211" i="1"/>
  <c r="BG5211" i="1"/>
  <c r="E5212" i="1"/>
  <c r="G5212" i="1"/>
  <c r="J5212" i="1"/>
  <c r="K5212" i="1"/>
  <c r="BE5212" i="1"/>
  <c r="BF5212" i="1"/>
  <c r="BG5212" i="1"/>
  <c r="E5213" i="1"/>
  <c r="G5213" i="1"/>
  <c r="J5213" i="1"/>
  <c r="K5213" i="1"/>
  <c r="BE5213" i="1"/>
  <c r="BF5213" i="1"/>
  <c r="BG5213" i="1"/>
  <c r="E5214" i="1"/>
  <c r="G5214" i="1"/>
  <c r="J5214" i="1"/>
  <c r="K5214" i="1"/>
  <c r="BE5214" i="1"/>
  <c r="BF5214" i="1"/>
  <c r="BG5214" i="1"/>
  <c r="E5215" i="1"/>
  <c r="G5215" i="1"/>
  <c r="J5215" i="1"/>
  <c r="K5215" i="1"/>
  <c r="BE5215" i="1"/>
  <c r="BF5215" i="1"/>
  <c r="BG5215" i="1"/>
  <c r="E4783" i="1"/>
  <c r="G4783" i="1"/>
  <c r="J4783" i="1"/>
  <c r="K4783" i="1"/>
  <c r="BE4783" i="1"/>
  <c r="BF4783" i="1"/>
  <c r="BG4783" i="1"/>
  <c r="E2802" i="1"/>
  <c r="G2802" i="1"/>
  <c r="J2802" i="1"/>
  <c r="K2802" i="1"/>
  <c r="BC2802" i="1"/>
  <c r="BE2802" i="1"/>
  <c r="BF2802" i="1"/>
  <c r="BG2802" i="1"/>
  <c r="E3307" i="1"/>
  <c r="G3307" i="1"/>
  <c r="J3307" i="1"/>
  <c r="K3307" i="1"/>
  <c r="BE3307" i="1"/>
  <c r="BF3307" i="1"/>
  <c r="BG3307" i="1"/>
  <c r="E71" i="1"/>
  <c r="G71" i="1"/>
  <c r="J71" i="1"/>
  <c r="K71" i="1"/>
  <c r="BE71" i="1"/>
  <c r="BF71" i="1"/>
  <c r="BG71" i="1"/>
  <c r="E4703" i="1"/>
  <c r="G4703" i="1"/>
  <c r="J4703" i="1"/>
  <c r="K4703" i="1"/>
  <c r="BE4703" i="1"/>
  <c r="BF4703" i="1"/>
  <c r="BG4703" i="1"/>
  <c r="E2196" i="1"/>
  <c r="G2196" i="1"/>
  <c r="J2196" i="1"/>
  <c r="K2196" i="1"/>
  <c r="BE2196" i="1"/>
  <c r="BF2196" i="1"/>
  <c r="BG2196" i="1"/>
  <c r="E6692" i="1"/>
  <c r="G6692" i="1"/>
  <c r="J6692" i="1"/>
  <c r="K6692" i="1"/>
  <c r="BE6692" i="1"/>
  <c r="BF6692" i="1"/>
  <c r="BG6692" i="1"/>
  <c r="E6014" i="1"/>
  <c r="G6014" i="1"/>
  <c r="J6014" i="1"/>
  <c r="K6014" i="1"/>
  <c r="BE6014" i="1"/>
  <c r="BG6014" i="1"/>
  <c r="E4704" i="1"/>
  <c r="G4704" i="1"/>
  <c r="J4704" i="1"/>
  <c r="K4704" i="1"/>
  <c r="BE4704" i="1"/>
  <c r="BF4704" i="1"/>
  <c r="BG4704" i="1"/>
  <c r="E2197" i="1"/>
  <c r="G2197" i="1"/>
  <c r="J2197" i="1"/>
  <c r="K2197" i="1"/>
  <c r="BE2197" i="1"/>
  <c r="BF2197" i="1"/>
  <c r="BG2197" i="1"/>
  <c r="E3308" i="1"/>
  <c r="G3308" i="1"/>
  <c r="J3308" i="1"/>
  <c r="K3308" i="1"/>
  <c r="BE3308" i="1"/>
  <c r="BF3308" i="1"/>
  <c r="BG3308" i="1"/>
  <c r="E160" i="1"/>
  <c r="G160" i="1"/>
  <c r="J160" i="1"/>
  <c r="K160" i="1"/>
  <c r="BF160" i="1"/>
  <c r="BG160" i="1"/>
  <c r="E4705" i="1"/>
  <c r="G4705" i="1"/>
  <c r="J4705" i="1"/>
  <c r="K4705" i="1"/>
  <c r="BE4705" i="1"/>
  <c r="BF4705" i="1"/>
  <c r="BG4705" i="1"/>
  <c r="E2803" i="1"/>
  <c r="G2803" i="1"/>
  <c r="J2803" i="1"/>
  <c r="K2803" i="1"/>
  <c r="BC2803" i="1"/>
  <c r="BE2803" i="1"/>
  <c r="BF2803" i="1"/>
  <c r="BG2803" i="1"/>
  <c r="E1234" i="1"/>
  <c r="G1234" i="1"/>
  <c r="J1234" i="1"/>
  <c r="K1234" i="1"/>
  <c r="BE1234" i="1"/>
  <c r="BF1234" i="1"/>
  <c r="BG1234" i="1"/>
  <c r="E4549" i="1"/>
  <c r="G4549" i="1"/>
  <c r="J4549" i="1"/>
  <c r="K4549" i="1"/>
  <c r="BE4549" i="1"/>
  <c r="BF4549" i="1"/>
  <c r="BG4549" i="1"/>
  <c r="E1235" i="1"/>
  <c r="G1235" i="1"/>
  <c r="J1235" i="1"/>
  <c r="K1235" i="1"/>
  <c r="BE1235" i="1"/>
  <c r="BF1235" i="1"/>
  <c r="BG1235" i="1"/>
  <c r="E4706" i="1"/>
  <c r="G4706" i="1"/>
  <c r="J4706" i="1"/>
  <c r="K4706" i="1"/>
  <c r="BE4706" i="1"/>
  <c r="BF4706" i="1"/>
  <c r="BG4706" i="1"/>
  <c r="E1236" i="1"/>
  <c r="G1236" i="1"/>
  <c r="J1236" i="1"/>
  <c r="K1236" i="1"/>
  <c r="BE1236" i="1"/>
  <c r="BF1236" i="1"/>
  <c r="BG1236" i="1"/>
  <c r="E1065" i="1"/>
  <c r="G1065" i="1"/>
  <c r="J1065" i="1"/>
  <c r="K1065" i="1"/>
  <c r="BE1065" i="1"/>
  <c r="BF1065" i="1"/>
  <c r="BG1065" i="1"/>
  <c r="E1066" i="1"/>
  <c r="G1066" i="1"/>
  <c r="J1066" i="1"/>
  <c r="K1066" i="1"/>
  <c r="BE1066" i="1"/>
  <c r="BF1066" i="1"/>
  <c r="BG1066" i="1"/>
  <c r="E3309" i="1"/>
  <c r="G3309" i="1"/>
  <c r="J3309" i="1"/>
  <c r="K3309" i="1"/>
  <c r="BE3309" i="1"/>
  <c r="BF3309" i="1"/>
  <c r="BG3309" i="1"/>
  <c r="E4707" i="1"/>
  <c r="G4707" i="1"/>
  <c r="J4707" i="1"/>
  <c r="K4707" i="1"/>
  <c r="BE4707" i="1"/>
  <c r="BF4707" i="1"/>
  <c r="BG4707" i="1"/>
  <c r="E1067" i="1"/>
  <c r="G1067" i="1"/>
  <c r="J1067" i="1"/>
  <c r="K1067" i="1"/>
  <c r="BE1067" i="1"/>
  <c r="BF1067" i="1"/>
  <c r="BG1067" i="1"/>
  <c r="E6693" i="1"/>
  <c r="G6693" i="1"/>
  <c r="J6693" i="1"/>
  <c r="K6693" i="1"/>
  <c r="BE6693" i="1"/>
  <c r="BF6693" i="1"/>
  <c r="BG6693" i="1"/>
  <c r="E2804" i="1"/>
  <c r="G2804" i="1"/>
  <c r="J2804" i="1"/>
  <c r="K2804" i="1"/>
  <c r="BC2804" i="1"/>
  <c r="BE2804" i="1"/>
  <c r="BF2804" i="1"/>
  <c r="BG2804" i="1"/>
  <c r="E1237" i="1"/>
  <c r="G1237" i="1"/>
  <c r="J1237" i="1"/>
  <c r="K1237" i="1"/>
  <c r="BE1237" i="1"/>
  <c r="BF1237" i="1"/>
  <c r="BG1237" i="1"/>
  <c r="E1068" i="1"/>
  <c r="G1068" i="1"/>
  <c r="J1068" i="1"/>
  <c r="K1068" i="1"/>
  <c r="BE1068" i="1"/>
  <c r="BF1068" i="1"/>
  <c r="BG1068" i="1"/>
  <c r="E6015" i="1"/>
  <c r="G6015" i="1"/>
  <c r="J6015" i="1"/>
  <c r="K6015" i="1"/>
  <c r="BE6015" i="1"/>
  <c r="BG6015" i="1"/>
  <c r="E6601" i="1"/>
  <c r="G6601" i="1"/>
  <c r="J6601" i="1"/>
  <c r="K6601" i="1"/>
  <c r="BE6601" i="1"/>
  <c r="BF6601" i="1"/>
  <c r="BG6601" i="1"/>
  <c r="E1238" i="1"/>
  <c r="G1238" i="1"/>
  <c r="J1238" i="1"/>
  <c r="K1238" i="1"/>
  <c r="BE1238" i="1"/>
  <c r="BF1238" i="1"/>
  <c r="BG1238" i="1"/>
  <c r="E1069" i="1"/>
  <c r="G1069" i="1"/>
  <c r="J1069" i="1"/>
  <c r="K1069" i="1"/>
  <c r="BE1069" i="1"/>
  <c r="BF1069" i="1"/>
  <c r="BG1069" i="1"/>
  <c r="E2805" i="1"/>
  <c r="G2805" i="1"/>
  <c r="J2805" i="1"/>
  <c r="K2805" i="1"/>
  <c r="BC2805" i="1"/>
  <c r="BE2805" i="1"/>
  <c r="BF2805" i="1"/>
  <c r="BG2805" i="1"/>
  <c r="E6694" i="1"/>
  <c r="G6694" i="1"/>
  <c r="J6694" i="1"/>
  <c r="K6694" i="1"/>
  <c r="BE6694" i="1"/>
  <c r="BF6694" i="1"/>
  <c r="BG6694" i="1"/>
  <c r="E1070" i="1"/>
  <c r="G1070" i="1"/>
  <c r="J1070" i="1"/>
  <c r="K1070" i="1"/>
  <c r="BE1070" i="1"/>
  <c r="BF1070" i="1"/>
  <c r="BG1070" i="1"/>
  <c r="E3310" i="1"/>
  <c r="G3310" i="1"/>
  <c r="J3310" i="1"/>
  <c r="K3310" i="1"/>
  <c r="BE3310" i="1"/>
  <c r="BF3310" i="1"/>
  <c r="BG3310" i="1"/>
  <c r="E1239" i="1"/>
  <c r="G1239" i="1"/>
  <c r="J1239" i="1"/>
  <c r="K1239" i="1"/>
  <c r="BE1239" i="1"/>
  <c r="BF1239" i="1"/>
  <c r="BG1239" i="1"/>
  <c r="E1071" i="1"/>
  <c r="G1071" i="1"/>
  <c r="J1071" i="1"/>
  <c r="K1071" i="1"/>
  <c r="BE1071" i="1"/>
  <c r="BF1071" i="1"/>
  <c r="BG1071" i="1"/>
  <c r="E4708" i="1"/>
  <c r="G4708" i="1"/>
  <c r="J4708" i="1"/>
  <c r="K4708" i="1"/>
  <c r="BE4708" i="1"/>
  <c r="BF4708" i="1"/>
  <c r="BG4708" i="1"/>
  <c r="E6016" i="1"/>
  <c r="G6016" i="1"/>
  <c r="J6016" i="1"/>
  <c r="K6016" i="1"/>
  <c r="BE6016" i="1"/>
  <c r="BG6016" i="1"/>
  <c r="E492" i="1"/>
  <c r="G492" i="1"/>
  <c r="J492" i="1"/>
  <c r="K492" i="1"/>
  <c r="BE492" i="1"/>
  <c r="BF492" i="1"/>
  <c r="BG492" i="1"/>
  <c r="E1072" i="1"/>
  <c r="G1072" i="1"/>
  <c r="J1072" i="1"/>
  <c r="K1072" i="1"/>
  <c r="BE1072" i="1"/>
  <c r="BF1072" i="1"/>
  <c r="BG1072" i="1"/>
  <c r="E272" i="1"/>
  <c r="G272" i="1"/>
  <c r="J272" i="1"/>
  <c r="K272" i="1"/>
  <c r="BE272" i="1"/>
  <c r="BF272" i="1"/>
  <c r="BG272" i="1"/>
  <c r="E4709" i="1"/>
  <c r="G4709" i="1"/>
  <c r="J4709" i="1"/>
  <c r="K4709" i="1"/>
  <c r="BE4709" i="1"/>
  <c r="BF4709" i="1"/>
  <c r="BG4709" i="1"/>
  <c r="E3311" i="1"/>
  <c r="G3311" i="1"/>
  <c r="J3311" i="1"/>
  <c r="K3311" i="1"/>
  <c r="BE3311" i="1"/>
  <c r="BF3311" i="1"/>
  <c r="BG3311" i="1"/>
  <c r="E2213" i="1"/>
  <c r="G2213" i="1"/>
  <c r="J2213" i="1"/>
  <c r="K2213" i="1"/>
  <c r="BE2213" i="1"/>
  <c r="BF2213" i="1"/>
  <c r="BG2213" i="1"/>
  <c r="E1073" i="1"/>
  <c r="G1073" i="1"/>
  <c r="J1073" i="1"/>
  <c r="K1073" i="1"/>
  <c r="BE1073" i="1"/>
  <c r="BF1073" i="1"/>
  <c r="BG1073" i="1"/>
  <c r="E4" i="1"/>
  <c r="G4" i="1"/>
  <c r="J4" i="1"/>
  <c r="K4" i="1"/>
  <c r="BC4" i="1"/>
  <c r="BE4" i="1"/>
  <c r="BF4" i="1"/>
  <c r="BG4" i="1"/>
  <c r="E4710" i="1"/>
  <c r="G4710" i="1"/>
  <c r="J4710" i="1"/>
  <c r="K4710" i="1"/>
  <c r="BE4710" i="1"/>
  <c r="BF4710" i="1"/>
  <c r="BG4710" i="1"/>
  <c r="E2499" i="1"/>
  <c r="G2499" i="1"/>
  <c r="J2499" i="1"/>
  <c r="K2499" i="1"/>
  <c r="BE2499" i="1"/>
  <c r="BF2499" i="1"/>
  <c r="BG2499" i="1"/>
  <c r="E3741" i="1"/>
  <c r="G3741" i="1"/>
  <c r="J3741" i="1"/>
  <c r="K3741" i="1"/>
  <c r="BE3741" i="1"/>
  <c r="BF3741" i="1"/>
  <c r="BG3741" i="1"/>
  <c r="E2500" i="1"/>
  <c r="G2500" i="1"/>
  <c r="J2500" i="1"/>
  <c r="K2500" i="1"/>
  <c r="BE2500" i="1"/>
  <c r="BF2500" i="1"/>
  <c r="BG2500" i="1"/>
  <c r="E120" i="1"/>
  <c r="G120" i="1"/>
  <c r="J120" i="1"/>
  <c r="K120" i="1"/>
  <c r="BE120" i="1"/>
  <c r="BF120" i="1"/>
  <c r="BG120" i="1"/>
  <c r="E2501" i="1"/>
  <c r="G2501" i="1"/>
  <c r="J2501" i="1"/>
  <c r="K2501" i="1"/>
  <c r="BE2501" i="1"/>
  <c r="BF2501" i="1"/>
  <c r="BG2501" i="1"/>
  <c r="E4711" i="1"/>
  <c r="G4711" i="1"/>
  <c r="J4711" i="1"/>
  <c r="K4711" i="1"/>
  <c r="BE4711" i="1"/>
  <c r="BF4711" i="1"/>
  <c r="BG4711" i="1"/>
  <c r="E1074" i="1"/>
  <c r="G1074" i="1"/>
  <c r="J1074" i="1"/>
  <c r="K1074" i="1"/>
  <c r="BE1074" i="1"/>
  <c r="BF1074" i="1"/>
  <c r="BG1074" i="1"/>
  <c r="E3312" i="1"/>
  <c r="G3312" i="1"/>
  <c r="J3312" i="1"/>
  <c r="K3312" i="1"/>
  <c r="BE3312" i="1"/>
  <c r="BF3312" i="1"/>
  <c r="BG3312" i="1"/>
  <c r="E2502" i="1"/>
  <c r="G2502" i="1"/>
  <c r="J2502" i="1"/>
  <c r="K2502" i="1"/>
  <c r="BE2502" i="1"/>
  <c r="BF2502" i="1"/>
  <c r="BG2502" i="1"/>
  <c r="E2806" i="1"/>
  <c r="G2806" i="1"/>
  <c r="J2806" i="1"/>
  <c r="K2806" i="1"/>
  <c r="BC2806" i="1"/>
  <c r="BE2806" i="1"/>
  <c r="BF2806" i="1"/>
  <c r="BG2806" i="1"/>
  <c r="E4712" i="1"/>
  <c r="G4712" i="1"/>
  <c r="J4712" i="1"/>
  <c r="K4712" i="1"/>
  <c r="BE4712" i="1"/>
  <c r="BF4712" i="1"/>
  <c r="BG4712" i="1"/>
  <c r="E2503" i="1"/>
  <c r="G2503" i="1"/>
  <c r="J2503" i="1"/>
  <c r="K2503" i="1"/>
  <c r="BE2503" i="1"/>
  <c r="BF2503" i="1"/>
  <c r="BG2503" i="1"/>
  <c r="E2504" i="1"/>
  <c r="G2504" i="1"/>
  <c r="J2504" i="1"/>
  <c r="K2504" i="1"/>
  <c r="BE2504" i="1"/>
  <c r="BF2504" i="1"/>
  <c r="BG2504" i="1"/>
  <c r="E747" i="1"/>
  <c r="G747" i="1"/>
  <c r="J747" i="1"/>
  <c r="K747" i="1"/>
  <c r="BE747" i="1"/>
  <c r="BF747" i="1"/>
  <c r="BG747" i="1"/>
  <c r="E2505" i="1"/>
  <c r="G2505" i="1"/>
  <c r="J2505" i="1"/>
  <c r="K2505" i="1"/>
  <c r="BE2505" i="1"/>
  <c r="BF2505" i="1"/>
  <c r="BG2505" i="1"/>
  <c r="E6695" i="1"/>
  <c r="G6695" i="1"/>
  <c r="J6695" i="1"/>
  <c r="K6695" i="1"/>
  <c r="BE6695" i="1"/>
  <c r="BF6695" i="1"/>
  <c r="BG6695" i="1"/>
  <c r="E2506" i="1"/>
  <c r="G2506" i="1"/>
  <c r="J2506" i="1"/>
  <c r="K2506" i="1"/>
  <c r="BE2506" i="1"/>
  <c r="BF2506" i="1"/>
  <c r="BG2506" i="1"/>
  <c r="E1075" i="1"/>
  <c r="G1075" i="1"/>
  <c r="J1075" i="1"/>
  <c r="K1075" i="1"/>
  <c r="BE1075" i="1"/>
  <c r="BF1075" i="1"/>
  <c r="BG1075" i="1"/>
  <c r="E2507" i="1"/>
  <c r="G2507" i="1"/>
  <c r="J2507" i="1"/>
  <c r="K2507" i="1"/>
  <c r="BE2507" i="1"/>
  <c r="BF2507" i="1"/>
  <c r="BG2507" i="1"/>
  <c r="E2508" i="1"/>
  <c r="G2508" i="1"/>
  <c r="J2508" i="1"/>
  <c r="K2508" i="1"/>
  <c r="BE2508" i="1"/>
  <c r="BF2508" i="1"/>
  <c r="BG2508" i="1"/>
  <c r="E3313" i="1"/>
  <c r="G3313" i="1"/>
  <c r="J3313" i="1"/>
  <c r="K3313" i="1"/>
  <c r="BE3313" i="1"/>
  <c r="BF3313" i="1"/>
  <c r="BG3313" i="1"/>
  <c r="E488" i="1"/>
  <c r="G488" i="1"/>
  <c r="J488" i="1"/>
  <c r="K488" i="1"/>
  <c r="BC488" i="1"/>
  <c r="BE488" i="1"/>
  <c r="BF488" i="1"/>
  <c r="BG488" i="1"/>
  <c r="E1076" i="1"/>
  <c r="G1076" i="1"/>
  <c r="J1076" i="1"/>
  <c r="K1076" i="1"/>
  <c r="BE1076" i="1"/>
  <c r="BF1076" i="1"/>
  <c r="BG1076" i="1"/>
  <c r="E4784" i="1"/>
  <c r="G4784" i="1"/>
  <c r="J4784" i="1"/>
  <c r="K4784" i="1"/>
  <c r="BE4784" i="1"/>
  <c r="BF4784" i="1"/>
  <c r="BG4784" i="1"/>
  <c r="E11" i="1"/>
  <c r="G11" i="1"/>
  <c r="J11" i="1"/>
  <c r="K11" i="1"/>
  <c r="BE11" i="1"/>
  <c r="BF11" i="1"/>
  <c r="BG11" i="1"/>
  <c r="E6696" i="1"/>
  <c r="G6696" i="1"/>
  <c r="J6696" i="1"/>
  <c r="K6696" i="1"/>
  <c r="BE6696" i="1"/>
  <c r="BF6696" i="1"/>
  <c r="BG6696" i="1"/>
  <c r="E2807" i="1"/>
  <c r="G2807" i="1"/>
  <c r="J2807" i="1"/>
  <c r="K2807" i="1"/>
  <c r="BC2807" i="1"/>
  <c r="BE2807" i="1"/>
  <c r="BF2807" i="1"/>
  <c r="BG2807" i="1"/>
  <c r="E2808" i="1"/>
  <c r="G2808" i="1"/>
  <c r="J2808" i="1"/>
  <c r="K2808" i="1"/>
  <c r="BE2808" i="1"/>
  <c r="BF2808" i="1"/>
  <c r="BG2808" i="1"/>
  <c r="E3314" i="1"/>
  <c r="G3314" i="1"/>
  <c r="J3314" i="1"/>
  <c r="K3314" i="1"/>
  <c r="BE3314" i="1"/>
  <c r="BF3314" i="1"/>
  <c r="BG3314" i="1"/>
  <c r="E161" i="1"/>
  <c r="G161" i="1"/>
  <c r="J161" i="1"/>
  <c r="K161" i="1"/>
  <c r="BF161" i="1"/>
  <c r="BG161" i="1"/>
  <c r="E1077" i="1"/>
  <c r="G1077" i="1"/>
  <c r="J1077" i="1"/>
  <c r="K1077" i="1"/>
  <c r="BE1077" i="1"/>
  <c r="BF1077" i="1"/>
  <c r="BG1077" i="1"/>
  <c r="E2809" i="1"/>
  <c r="G2809" i="1"/>
  <c r="J2809" i="1"/>
  <c r="K2809" i="1"/>
  <c r="BC2809" i="1"/>
  <c r="BE2809" i="1"/>
  <c r="BF2809" i="1"/>
  <c r="BG2809" i="1"/>
  <c r="E6697" i="1"/>
  <c r="G6697" i="1"/>
  <c r="J6697" i="1"/>
  <c r="K6697" i="1"/>
  <c r="BE6697" i="1"/>
  <c r="BF6697" i="1"/>
  <c r="BG6697" i="1"/>
  <c r="E2810" i="1"/>
  <c r="G2810" i="1"/>
  <c r="J2810" i="1"/>
  <c r="K2810" i="1"/>
  <c r="BC2810" i="1"/>
  <c r="BE2810" i="1"/>
  <c r="BF2810" i="1"/>
  <c r="BG2810" i="1"/>
  <c r="E3315" i="1"/>
  <c r="G3315" i="1"/>
  <c r="J3315" i="1"/>
  <c r="K3315" i="1"/>
  <c r="BE3315" i="1"/>
  <c r="BF3315" i="1"/>
  <c r="BG3315" i="1"/>
  <c r="E1078" i="1"/>
  <c r="G1078" i="1"/>
  <c r="J1078" i="1"/>
  <c r="K1078" i="1"/>
  <c r="BE1078" i="1"/>
  <c r="BF1078" i="1"/>
  <c r="BG1078" i="1"/>
  <c r="E1079" i="1"/>
  <c r="G1079" i="1"/>
  <c r="J1079" i="1"/>
  <c r="K1079" i="1"/>
  <c r="BE1079" i="1"/>
  <c r="BF1079" i="1"/>
  <c r="BG1079" i="1"/>
  <c r="E2811" i="1"/>
  <c r="G2811" i="1"/>
  <c r="J2811" i="1"/>
  <c r="K2811" i="1"/>
  <c r="BC2811" i="1"/>
  <c r="BE2811" i="1"/>
  <c r="BF2811" i="1"/>
  <c r="BG2811" i="1"/>
  <c r="E5" i="1"/>
  <c r="G5" i="1"/>
  <c r="J5" i="1"/>
  <c r="K5" i="1"/>
  <c r="BC5" i="1"/>
  <c r="BE5" i="1"/>
  <c r="BF5" i="1"/>
  <c r="BG5" i="1"/>
  <c r="E6259" i="1"/>
  <c r="G6259" i="1"/>
  <c r="J6259" i="1"/>
  <c r="K6259" i="1"/>
  <c r="BE6259" i="1"/>
  <c r="BF6259" i="1"/>
  <c r="BG6259" i="1"/>
  <c r="E3486" i="1"/>
  <c r="G3486" i="1"/>
  <c r="J3486" i="1"/>
  <c r="K3486" i="1"/>
  <c r="BE3486" i="1"/>
  <c r="BF3486" i="1"/>
  <c r="BG3486" i="1"/>
  <c r="E6698" i="1"/>
  <c r="G6698" i="1"/>
  <c r="J6698" i="1"/>
  <c r="K6698" i="1"/>
  <c r="BE6698" i="1"/>
  <c r="BF6698" i="1"/>
  <c r="BG6698" i="1"/>
  <c r="E3487" i="1"/>
  <c r="G3487" i="1"/>
  <c r="J3487" i="1"/>
  <c r="K3487" i="1"/>
  <c r="BE3487" i="1"/>
  <c r="BF3487" i="1"/>
  <c r="BG3487" i="1"/>
  <c r="E1080" i="1"/>
  <c r="G1080" i="1"/>
  <c r="J1080" i="1"/>
  <c r="K1080" i="1"/>
  <c r="BE1080" i="1"/>
  <c r="BF1080" i="1"/>
  <c r="BG1080" i="1"/>
  <c r="E3488" i="1"/>
  <c r="G3488" i="1"/>
  <c r="J3488" i="1"/>
  <c r="K3488" i="1"/>
  <c r="BE3488" i="1"/>
  <c r="BF3488" i="1"/>
  <c r="BG3488" i="1"/>
  <c r="E68" i="1"/>
  <c r="G68" i="1"/>
  <c r="J68" i="1"/>
  <c r="K68" i="1"/>
  <c r="BE68" i="1"/>
  <c r="BF68" i="1"/>
  <c r="BG68" i="1"/>
  <c r="E3489" i="1"/>
  <c r="G3489" i="1"/>
  <c r="J3489" i="1"/>
  <c r="K3489" i="1"/>
  <c r="BE3489" i="1"/>
  <c r="BF3489" i="1"/>
  <c r="BG3489" i="1"/>
  <c r="E3316" i="1"/>
  <c r="G3316" i="1"/>
  <c r="J3316" i="1"/>
  <c r="K3316" i="1"/>
  <c r="BE3316" i="1"/>
  <c r="BF3316" i="1"/>
  <c r="BG3316" i="1"/>
  <c r="E1081" i="1"/>
  <c r="G1081" i="1"/>
  <c r="J1081" i="1"/>
  <c r="K1081" i="1"/>
  <c r="BE1081" i="1"/>
  <c r="BF1081" i="1"/>
  <c r="BG1081" i="1"/>
  <c r="E3599" i="1"/>
  <c r="G3599" i="1"/>
  <c r="J3599" i="1"/>
  <c r="K3599" i="1"/>
  <c r="BE3599" i="1"/>
  <c r="BF3599" i="1"/>
  <c r="BG3599" i="1"/>
  <c r="E3490" i="1"/>
  <c r="G3490" i="1"/>
  <c r="J3490" i="1"/>
  <c r="K3490" i="1"/>
  <c r="BE3490" i="1"/>
  <c r="BF3490" i="1"/>
  <c r="BG3490" i="1"/>
  <c r="E6260" i="1"/>
  <c r="G6260" i="1"/>
  <c r="J6260" i="1"/>
  <c r="K6260" i="1"/>
  <c r="BE6260" i="1"/>
  <c r="BF6260" i="1"/>
  <c r="BG6260" i="1"/>
  <c r="E3600" i="1"/>
  <c r="G3600" i="1"/>
  <c r="J3600" i="1"/>
  <c r="K3600" i="1"/>
  <c r="BE3600" i="1"/>
  <c r="BF3600" i="1"/>
  <c r="BG3600" i="1"/>
  <c r="E6699" i="1"/>
  <c r="G6699" i="1"/>
  <c r="J6699" i="1"/>
  <c r="K6699" i="1"/>
  <c r="BE6699" i="1"/>
  <c r="BF6699" i="1"/>
  <c r="BG6699" i="1"/>
  <c r="E3491" i="1"/>
  <c r="G3491" i="1"/>
  <c r="J3491" i="1"/>
  <c r="K3491" i="1"/>
  <c r="BE3491" i="1"/>
  <c r="BF3491" i="1"/>
  <c r="BG3491" i="1"/>
  <c r="E3601" i="1"/>
  <c r="G3601" i="1"/>
  <c r="J3601" i="1"/>
  <c r="K3601" i="1"/>
  <c r="BE3601" i="1"/>
  <c r="BF3601" i="1"/>
  <c r="BG3601" i="1"/>
  <c r="E2812" i="1"/>
  <c r="G2812" i="1"/>
  <c r="J2812" i="1"/>
  <c r="K2812" i="1"/>
  <c r="BC2812" i="1"/>
  <c r="BE2812" i="1"/>
  <c r="BF2812" i="1"/>
  <c r="BG2812" i="1"/>
  <c r="E3492" i="1"/>
  <c r="G3492" i="1"/>
  <c r="J3492" i="1"/>
  <c r="K3492" i="1"/>
  <c r="BE3492" i="1"/>
  <c r="BF3492" i="1"/>
  <c r="BG3492" i="1"/>
  <c r="E3493" i="1"/>
  <c r="G3493" i="1"/>
  <c r="J3493" i="1"/>
  <c r="K3493" i="1"/>
  <c r="BE3493" i="1"/>
  <c r="BF3493" i="1"/>
  <c r="BG3493" i="1"/>
  <c r="E3602" i="1"/>
  <c r="G3602" i="1"/>
  <c r="J3602" i="1"/>
  <c r="K3602" i="1"/>
  <c r="BE3602" i="1"/>
  <c r="BF3602" i="1"/>
  <c r="BG3602" i="1"/>
  <c r="E3603" i="1"/>
  <c r="G3603" i="1"/>
  <c r="J3603" i="1"/>
  <c r="K3603" i="1"/>
  <c r="BE3603" i="1"/>
  <c r="BF3603" i="1"/>
  <c r="BG3603" i="1"/>
  <c r="E668" i="1"/>
  <c r="G668" i="1"/>
  <c r="J668" i="1"/>
  <c r="K668" i="1"/>
  <c r="BE668" i="1"/>
  <c r="BF668" i="1"/>
  <c r="BG668" i="1"/>
  <c r="E3604" i="1"/>
  <c r="G3604" i="1"/>
  <c r="J3604" i="1"/>
  <c r="K3604" i="1"/>
  <c r="BE3604" i="1"/>
  <c r="BF3604" i="1"/>
  <c r="BG3604" i="1"/>
  <c r="E3605" i="1"/>
  <c r="G3605" i="1"/>
  <c r="J3605" i="1"/>
  <c r="K3605" i="1"/>
  <c r="BE3605" i="1"/>
  <c r="BF3605" i="1"/>
  <c r="BG3605" i="1"/>
  <c r="E3494" i="1"/>
  <c r="G3494" i="1"/>
  <c r="J3494" i="1"/>
  <c r="K3494" i="1"/>
  <c r="BE3494" i="1"/>
  <c r="BF3494" i="1"/>
  <c r="BG3494" i="1"/>
  <c r="E3606" i="1"/>
  <c r="G3606" i="1"/>
  <c r="J3606" i="1"/>
  <c r="K3606" i="1"/>
  <c r="BE3606" i="1"/>
  <c r="BF3606" i="1"/>
  <c r="BG3606" i="1"/>
  <c r="E3924" i="1"/>
  <c r="G3924" i="1"/>
  <c r="J3924" i="1"/>
  <c r="K3924" i="1"/>
  <c r="BE3924" i="1"/>
  <c r="BF3924" i="1"/>
  <c r="BG3924" i="1"/>
  <c r="E6261" i="1"/>
  <c r="G6261" i="1"/>
  <c r="J6261" i="1"/>
  <c r="K6261" i="1"/>
  <c r="BE6261" i="1"/>
  <c r="BF6261" i="1"/>
  <c r="BG6261" i="1"/>
  <c r="E3607" i="1"/>
  <c r="G3607" i="1"/>
  <c r="J3607" i="1"/>
  <c r="K3607" i="1"/>
  <c r="BE3607" i="1"/>
  <c r="BF3607" i="1"/>
  <c r="BG3607" i="1"/>
  <c r="E3608" i="1"/>
  <c r="G3608" i="1"/>
  <c r="J3608" i="1"/>
  <c r="K3608" i="1"/>
  <c r="BE3608" i="1"/>
  <c r="BF3608" i="1"/>
  <c r="BG3608" i="1"/>
  <c r="E2813" i="1"/>
  <c r="G2813" i="1"/>
  <c r="J2813" i="1"/>
  <c r="K2813" i="1"/>
  <c r="BC2813" i="1"/>
  <c r="BE2813" i="1"/>
  <c r="BF2813" i="1"/>
  <c r="BG2813" i="1"/>
  <c r="E3495" i="1"/>
  <c r="G3495" i="1"/>
  <c r="J3495" i="1"/>
  <c r="K3495" i="1"/>
  <c r="BE3495" i="1"/>
  <c r="BF3495" i="1"/>
  <c r="BG3495" i="1"/>
  <c r="E3317" i="1"/>
  <c r="G3317" i="1"/>
  <c r="J3317" i="1"/>
  <c r="K3317" i="1"/>
  <c r="BE3317" i="1"/>
  <c r="BF3317" i="1"/>
  <c r="BG3317" i="1"/>
  <c r="E3496" i="1"/>
  <c r="G3496" i="1"/>
  <c r="J3496" i="1"/>
  <c r="K3496" i="1"/>
  <c r="BE3496" i="1"/>
  <c r="BF3496" i="1"/>
  <c r="BG3496" i="1"/>
  <c r="E3497" i="1"/>
  <c r="G3497" i="1"/>
  <c r="J3497" i="1"/>
  <c r="K3497" i="1"/>
  <c r="BE3497" i="1"/>
  <c r="BF3497" i="1"/>
  <c r="BG3497" i="1"/>
  <c r="E3498" i="1"/>
  <c r="G3498" i="1"/>
  <c r="J3498" i="1"/>
  <c r="K3498" i="1"/>
  <c r="BE3498" i="1"/>
  <c r="BF3498" i="1"/>
  <c r="BG3498" i="1"/>
  <c r="E3499" i="1"/>
  <c r="G3499" i="1"/>
  <c r="J3499" i="1"/>
  <c r="K3499" i="1"/>
  <c r="BE3499" i="1"/>
  <c r="BF3499" i="1"/>
  <c r="BG3499" i="1"/>
  <c r="E3500" i="1"/>
  <c r="G3500" i="1"/>
  <c r="J3500" i="1"/>
  <c r="K3500" i="1"/>
  <c r="BE3500" i="1"/>
  <c r="BF3500" i="1"/>
  <c r="BG3500" i="1"/>
  <c r="E3501" i="1"/>
  <c r="G3501" i="1"/>
  <c r="J3501" i="1"/>
  <c r="K3501" i="1"/>
  <c r="BE3501" i="1"/>
  <c r="BF3501" i="1"/>
  <c r="BG3501" i="1"/>
  <c r="E3502" i="1"/>
  <c r="G3502" i="1"/>
  <c r="J3502" i="1"/>
  <c r="K3502" i="1"/>
  <c r="BE3502" i="1"/>
  <c r="BF3502" i="1"/>
  <c r="BG3502" i="1"/>
  <c r="E3503" i="1"/>
  <c r="G3503" i="1"/>
  <c r="J3503" i="1"/>
  <c r="K3503" i="1"/>
  <c r="BE3503" i="1"/>
  <c r="BF3503" i="1"/>
  <c r="BG3503" i="1"/>
  <c r="E3504" i="1"/>
  <c r="G3504" i="1"/>
  <c r="J3504" i="1"/>
  <c r="K3504" i="1"/>
  <c r="BE3504" i="1"/>
  <c r="BF3504" i="1"/>
  <c r="BG3504" i="1"/>
  <c r="E3505" i="1"/>
  <c r="G3505" i="1"/>
  <c r="J3505" i="1"/>
  <c r="K3505" i="1"/>
  <c r="BE3505" i="1"/>
  <c r="BF3505" i="1"/>
  <c r="BG3505" i="1"/>
  <c r="E3506" i="1"/>
  <c r="G3506" i="1"/>
  <c r="J3506" i="1"/>
  <c r="K3506" i="1"/>
  <c r="BE3506" i="1"/>
  <c r="BF3506" i="1"/>
  <c r="BG3506" i="1"/>
  <c r="E3507" i="1"/>
  <c r="G3507" i="1"/>
  <c r="J3507" i="1"/>
  <c r="K3507" i="1"/>
  <c r="BE3507" i="1"/>
  <c r="BF3507" i="1"/>
  <c r="BG3507" i="1"/>
  <c r="E3508" i="1"/>
  <c r="G3508" i="1"/>
  <c r="J3508" i="1"/>
  <c r="K3508" i="1"/>
  <c r="BE3508" i="1"/>
  <c r="BF3508" i="1"/>
  <c r="BG3508" i="1"/>
  <c r="E3609" i="1"/>
  <c r="G3609" i="1"/>
  <c r="J3609" i="1"/>
  <c r="K3609" i="1"/>
  <c r="BE3609" i="1"/>
  <c r="BF3609" i="1"/>
  <c r="BG3609" i="1"/>
  <c r="E6700" i="1"/>
  <c r="G6700" i="1"/>
  <c r="J6700" i="1"/>
  <c r="K6700" i="1"/>
  <c r="BE6700" i="1"/>
  <c r="BF6700" i="1"/>
  <c r="BG6700" i="1"/>
  <c r="E3610" i="1"/>
  <c r="G3610" i="1"/>
  <c r="J3610" i="1"/>
  <c r="K3610" i="1"/>
  <c r="BE3610" i="1"/>
  <c r="BF3610" i="1"/>
  <c r="BG3610" i="1"/>
  <c r="E3509" i="1"/>
  <c r="G3509" i="1"/>
  <c r="J3509" i="1"/>
  <c r="K3509" i="1"/>
  <c r="BE3509" i="1"/>
  <c r="BF3509" i="1"/>
  <c r="BG3509" i="1"/>
  <c r="E3611" i="1"/>
  <c r="G3611" i="1"/>
  <c r="J3611" i="1"/>
  <c r="K3611" i="1"/>
  <c r="BE3611" i="1"/>
  <c r="BF3611" i="1"/>
  <c r="BG3611" i="1"/>
  <c r="E3612" i="1"/>
  <c r="G3612" i="1"/>
  <c r="J3612" i="1"/>
  <c r="K3612" i="1"/>
  <c r="BE3612" i="1"/>
  <c r="BF3612" i="1"/>
  <c r="BG3612" i="1"/>
  <c r="E3925" i="1"/>
  <c r="G3925" i="1"/>
  <c r="J3925" i="1"/>
  <c r="K3925" i="1"/>
  <c r="BE3925" i="1"/>
  <c r="BF3925" i="1"/>
  <c r="BG3925" i="1"/>
  <c r="E3510" i="1"/>
  <c r="G3510" i="1"/>
  <c r="J3510" i="1"/>
  <c r="K3510" i="1"/>
  <c r="BE3510" i="1"/>
  <c r="BF3510" i="1"/>
  <c r="BG3510" i="1"/>
  <c r="E3613" i="1"/>
  <c r="G3613" i="1"/>
  <c r="J3613" i="1"/>
  <c r="K3613" i="1"/>
  <c r="BE3613" i="1"/>
  <c r="BF3613" i="1"/>
  <c r="BG3613" i="1"/>
  <c r="E3614" i="1"/>
  <c r="G3614" i="1"/>
  <c r="J3614" i="1"/>
  <c r="K3614" i="1"/>
  <c r="BE3614" i="1"/>
  <c r="BF3614" i="1"/>
  <c r="BG3614" i="1"/>
  <c r="E3615" i="1"/>
  <c r="G3615" i="1"/>
  <c r="J3615" i="1"/>
  <c r="K3615" i="1"/>
  <c r="BE3615" i="1"/>
  <c r="BF3615" i="1"/>
  <c r="BG3615" i="1"/>
  <c r="E3511" i="1"/>
  <c r="G3511" i="1"/>
  <c r="J3511" i="1"/>
  <c r="K3511" i="1"/>
  <c r="BE3511" i="1"/>
  <c r="BF3511" i="1"/>
  <c r="BG3511" i="1"/>
  <c r="E1082" i="1"/>
  <c r="G1082" i="1"/>
  <c r="J1082" i="1"/>
  <c r="K1082" i="1"/>
  <c r="BE1082" i="1"/>
  <c r="BF1082" i="1"/>
  <c r="BG1082" i="1"/>
  <c r="E3616" i="1"/>
  <c r="G3616" i="1"/>
  <c r="J3616" i="1"/>
  <c r="K3616" i="1"/>
  <c r="BE3616" i="1"/>
  <c r="BF3616" i="1"/>
  <c r="BG3616" i="1"/>
  <c r="E6262" i="1"/>
  <c r="G6262" i="1"/>
  <c r="J6262" i="1"/>
  <c r="K6262" i="1"/>
  <c r="BE6262" i="1"/>
  <c r="BF6262" i="1"/>
  <c r="BG6262" i="1"/>
  <c r="E3617" i="1"/>
  <c r="G3617" i="1"/>
  <c r="J3617" i="1"/>
  <c r="K3617" i="1"/>
  <c r="BE3617" i="1"/>
  <c r="BF3617" i="1"/>
  <c r="BG3617" i="1"/>
  <c r="E3618" i="1"/>
  <c r="G3618" i="1"/>
  <c r="J3618" i="1"/>
  <c r="K3618" i="1"/>
  <c r="BE3618" i="1"/>
  <c r="BF3618" i="1"/>
  <c r="BG3618" i="1"/>
  <c r="E6263" i="1"/>
  <c r="G6263" i="1"/>
  <c r="J6263" i="1"/>
  <c r="K6263" i="1"/>
  <c r="BE6263" i="1"/>
  <c r="BF6263" i="1"/>
  <c r="BG6263" i="1"/>
  <c r="E2487" i="1"/>
  <c r="G2487" i="1"/>
  <c r="J2487" i="1"/>
  <c r="K2487" i="1"/>
  <c r="BE2487" i="1"/>
  <c r="BF2487" i="1"/>
  <c r="BG2487" i="1"/>
  <c r="E1083" i="1"/>
  <c r="G1083" i="1"/>
  <c r="J1083" i="1"/>
  <c r="K1083" i="1"/>
  <c r="BE1083" i="1"/>
  <c r="BF1083" i="1"/>
  <c r="BG1083" i="1"/>
  <c r="E4785" i="1"/>
  <c r="G4785" i="1"/>
  <c r="J4785" i="1"/>
  <c r="K4785" i="1"/>
  <c r="BE4785" i="1"/>
  <c r="BF4785" i="1"/>
  <c r="BG4785" i="1"/>
  <c r="E3619" i="1"/>
  <c r="G3619" i="1"/>
  <c r="J3619" i="1"/>
  <c r="K3619" i="1"/>
  <c r="BE3619" i="1"/>
  <c r="BF3619" i="1"/>
  <c r="BG3619" i="1"/>
  <c r="E3620" i="1"/>
  <c r="G3620" i="1"/>
  <c r="J3620" i="1"/>
  <c r="K3620" i="1"/>
  <c r="BE3620" i="1"/>
  <c r="BF3620" i="1"/>
  <c r="BG3620" i="1"/>
  <c r="E531" i="1"/>
  <c r="G531" i="1"/>
  <c r="J531" i="1"/>
  <c r="K531" i="1"/>
  <c r="BF531" i="1"/>
  <c r="BG531" i="1"/>
  <c r="E532" i="1"/>
  <c r="G532" i="1"/>
  <c r="J532" i="1"/>
  <c r="K532" i="1"/>
  <c r="BF532" i="1"/>
  <c r="BG532" i="1"/>
  <c r="E533" i="1"/>
  <c r="G533" i="1"/>
  <c r="J533" i="1"/>
  <c r="K533" i="1"/>
  <c r="BF533" i="1"/>
  <c r="BG533" i="1"/>
  <c r="E3621" i="1"/>
  <c r="G3621" i="1"/>
  <c r="J3621" i="1"/>
  <c r="K3621" i="1"/>
  <c r="BE3621" i="1"/>
  <c r="BF3621" i="1"/>
  <c r="BG3621" i="1"/>
  <c r="E946" i="1"/>
  <c r="G946" i="1"/>
  <c r="J946" i="1"/>
  <c r="K946" i="1"/>
  <c r="BE946" i="1"/>
  <c r="BF946" i="1"/>
  <c r="BG946" i="1"/>
  <c r="E3622" i="1"/>
  <c r="G3622" i="1"/>
  <c r="J3622" i="1"/>
  <c r="K3622" i="1"/>
  <c r="BE3622" i="1"/>
  <c r="BF3622" i="1"/>
  <c r="BG3622" i="1"/>
  <c r="E2814" i="1"/>
  <c r="G2814" i="1"/>
  <c r="J2814" i="1"/>
  <c r="K2814" i="1"/>
  <c r="BC2814" i="1"/>
  <c r="BE2814" i="1"/>
  <c r="BF2814" i="1"/>
  <c r="BG2814" i="1"/>
  <c r="E3623" i="1"/>
  <c r="G3623" i="1"/>
  <c r="J3623" i="1"/>
  <c r="K3623" i="1"/>
  <c r="BE3623" i="1"/>
  <c r="BF3623" i="1"/>
  <c r="BG3623" i="1"/>
  <c r="E3624" i="1"/>
  <c r="G3624" i="1"/>
  <c r="J3624" i="1"/>
  <c r="K3624" i="1"/>
  <c r="BE3624" i="1"/>
  <c r="BF3624" i="1"/>
  <c r="BG3624" i="1"/>
  <c r="E3625" i="1"/>
  <c r="G3625" i="1"/>
  <c r="J3625" i="1"/>
  <c r="K3625" i="1"/>
  <c r="BE3625" i="1"/>
  <c r="BF3625" i="1"/>
  <c r="BG3625" i="1"/>
  <c r="E6701" i="1"/>
  <c r="G6701" i="1"/>
  <c r="J6701" i="1"/>
  <c r="K6701" i="1"/>
  <c r="BE6701" i="1"/>
  <c r="BF6701" i="1"/>
  <c r="BG6701" i="1"/>
  <c r="E3626" i="1"/>
  <c r="G3626" i="1"/>
  <c r="J3626" i="1"/>
  <c r="K3626" i="1"/>
  <c r="BE3626" i="1"/>
  <c r="BF3626" i="1"/>
  <c r="BG3626" i="1"/>
  <c r="E3627" i="1"/>
  <c r="G3627" i="1"/>
  <c r="J3627" i="1"/>
  <c r="K3627" i="1"/>
  <c r="BE3627" i="1"/>
  <c r="BF3627" i="1"/>
  <c r="BG3627" i="1"/>
  <c r="E1084" i="1"/>
  <c r="G1084" i="1"/>
  <c r="J1084" i="1"/>
  <c r="K1084" i="1"/>
  <c r="BE1084" i="1"/>
  <c r="BF1084" i="1"/>
  <c r="BG1084" i="1"/>
  <c r="E286" i="1"/>
  <c r="G286" i="1"/>
  <c r="J286" i="1"/>
  <c r="K286" i="1"/>
  <c r="BE286" i="1"/>
  <c r="BF286" i="1"/>
  <c r="BG286" i="1"/>
  <c r="E6264" i="1"/>
  <c r="G6264" i="1"/>
  <c r="J6264" i="1"/>
  <c r="K6264" i="1"/>
  <c r="BE6264" i="1"/>
  <c r="BF6264" i="1"/>
  <c r="BG6264" i="1"/>
  <c r="E6702" i="1"/>
  <c r="G6702" i="1"/>
  <c r="J6702" i="1"/>
  <c r="K6702" i="1"/>
  <c r="BE6702" i="1"/>
  <c r="BF6702" i="1"/>
  <c r="BG6702" i="1"/>
  <c r="E1085" i="1"/>
  <c r="G1085" i="1"/>
  <c r="J1085" i="1"/>
  <c r="K1085" i="1"/>
  <c r="BE1085" i="1"/>
  <c r="BF1085" i="1"/>
  <c r="BG1085" i="1"/>
  <c r="E1086" i="1"/>
  <c r="G1086" i="1"/>
  <c r="J1086" i="1"/>
  <c r="K1086" i="1"/>
  <c r="BE1086" i="1"/>
  <c r="BF1086" i="1"/>
  <c r="BG1086" i="1"/>
  <c r="E1087" i="1"/>
  <c r="G1087" i="1"/>
  <c r="J1087" i="1"/>
  <c r="K1087" i="1"/>
  <c r="BE1087" i="1"/>
  <c r="BF1087" i="1"/>
  <c r="BG1087" i="1"/>
  <c r="E3512" i="1"/>
  <c r="G3512" i="1"/>
  <c r="J3512" i="1"/>
  <c r="K3512" i="1"/>
  <c r="BE3512" i="1"/>
  <c r="BF3512" i="1"/>
  <c r="BG3512" i="1"/>
  <c r="E1088" i="1"/>
  <c r="G1088" i="1"/>
  <c r="J1088" i="1"/>
  <c r="K1088" i="1"/>
  <c r="BE1088" i="1"/>
  <c r="BF1088" i="1"/>
  <c r="BG1088" i="1"/>
  <c r="E6703" i="1"/>
  <c r="G6703" i="1"/>
  <c r="J6703" i="1"/>
  <c r="K6703" i="1"/>
  <c r="BE6703" i="1"/>
  <c r="BF6703" i="1"/>
  <c r="BG6703" i="1"/>
  <c r="E6265" i="1"/>
  <c r="G6265" i="1"/>
  <c r="J6265" i="1"/>
  <c r="K6265" i="1"/>
  <c r="BE6265" i="1"/>
  <c r="BF6265" i="1"/>
  <c r="BG6265" i="1"/>
  <c r="E672" i="1"/>
  <c r="G672" i="1"/>
  <c r="J672" i="1"/>
  <c r="K672" i="1"/>
  <c r="BE672" i="1"/>
  <c r="BF672" i="1"/>
  <c r="BG672" i="1"/>
  <c r="E466" i="1"/>
  <c r="G466" i="1"/>
  <c r="J466" i="1"/>
  <c r="K466" i="1"/>
  <c r="BE466" i="1"/>
  <c r="BF466" i="1"/>
  <c r="BG466" i="1"/>
  <c r="E4550" i="1"/>
  <c r="G4550" i="1"/>
  <c r="J4550" i="1"/>
  <c r="K4550" i="1"/>
  <c r="BE4550" i="1"/>
  <c r="BF4550" i="1"/>
  <c r="BG4550" i="1"/>
  <c r="E3318" i="1"/>
  <c r="G3318" i="1"/>
  <c r="J3318" i="1"/>
  <c r="K3318" i="1"/>
  <c r="BE3318" i="1"/>
  <c r="BF3318" i="1"/>
  <c r="BG3318" i="1"/>
  <c r="E4551" i="1"/>
  <c r="G4551" i="1"/>
  <c r="J4551" i="1"/>
  <c r="K4551" i="1"/>
  <c r="BE4551" i="1"/>
  <c r="BF4551" i="1"/>
  <c r="BG4551" i="1"/>
  <c r="E6602" i="1"/>
  <c r="G6602" i="1"/>
  <c r="J6602" i="1"/>
  <c r="K6602" i="1"/>
  <c r="BE6602" i="1"/>
  <c r="BF6602" i="1"/>
  <c r="BG6602" i="1"/>
  <c r="E6266" i="1"/>
  <c r="G6266" i="1"/>
  <c r="J6266" i="1"/>
  <c r="K6266" i="1"/>
  <c r="BE6266" i="1"/>
  <c r="BF6266" i="1"/>
  <c r="BG6266" i="1"/>
  <c r="E3513" i="1"/>
  <c r="G3513" i="1"/>
  <c r="J3513" i="1"/>
  <c r="K3513" i="1"/>
  <c r="BE3513" i="1"/>
  <c r="BF3513" i="1"/>
  <c r="BG3513" i="1"/>
  <c r="E3514" i="1"/>
  <c r="G3514" i="1"/>
  <c r="J3514" i="1"/>
  <c r="K3514" i="1"/>
  <c r="BE3514" i="1"/>
  <c r="BF3514" i="1"/>
  <c r="BG3514" i="1"/>
  <c r="E3515" i="1"/>
  <c r="G3515" i="1"/>
  <c r="J3515" i="1"/>
  <c r="K3515" i="1"/>
  <c r="BE3515" i="1"/>
  <c r="BF3515" i="1"/>
  <c r="BG3515" i="1"/>
  <c r="E6835" i="1"/>
  <c r="G6835" i="1"/>
  <c r="J6835" i="1"/>
  <c r="K6835" i="1"/>
  <c r="BC6835" i="1"/>
  <c r="BE6835" i="1"/>
  <c r="BG6835" i="1"/>
  <c r="E3516" i="1"/>
  <c r="G3516" i="1"/>
  <c r="J3516" i="1"/>
  <c r="K3516" i="1"/>
  <c r="BE3516" i="1"/>
  <c r="BF3516" i="1"/>
  <c r="BG3516" i="1"/>
  <c r="E744" i="1"/>
  <c r="G744" i="1"/>
  <c r="J744" i="1"/>
  <c r="K744" i="1"/>
  <c r="BC744" i="1"/>
  <c r="BE744" i="1"/>
  <c r="BF744" i="1"/>
  <c r="BG744" i="1"/>
  <c r="E3517" i="1"/>
  <c r="G3517" i="1"/>
  <c r="J3517" i="1"/>
  <c r="K3517" i="1"/>
  <c r="BE3517" i="1"/>
  <c r="BF3517" i="1"/>
  <c r="BG3517" i="1"/>
  <c r="E6267" i="1"/>
  <c r="G6267" i="1"/>
  <c r="J6267" i="1"/>
  <c r="K6267" i="1"/>
  <c r="BE6267" i="1"/>
  <c r="BF6267" i="1"/>
  <c r="BG6267" i="1"/>
  <c r="E6704" i="1"/>
  <c r="G6704" i="1"/>
  <c r="J6704" i="1"/>
  <c r="K6704" i="1"/>
  <c r="BE6704" i="1"/>
  <c r="BF6704" i="1"/>
  <c r="BG6704" i="1"/>
  <c r="E3518" i="1"/>
  <c r="G3518" i="1"/>
  <c r="J3518" i="1"/>
  <c r="K3518" i="1"/>
  <c r="BE3518" i="1"/>
  <c r="BF3518" i="1"/>
  <c r="BG3518" i="1"/>
  <c r="E2072" i="1"/>
  <c r="G2072" i="1"/>
  <c r="J2072" i="1"/>
  <c r="K2072" i="1"/>
  <c r="BF2072" i="1"/>
  <c r="BG2072" i="1"/>
  <c r="E3519" i="1"/>
  <c r="G3519" i="1"/>
  <c r="J3519" i="1"/>
  <c r="K3519" i="1"/>
  <c r="BE3519" i="1"/>
  <c r="BF3519" i="1"/>
  <c r="BG3519" i="1"/>
  <c r="E3319" i="1"/>
  <c r="G3319" i="1"/>
  <c r="J3319" i="1"/>
  <c r="K3319" i="1"/>
  <c r="BE3319" i="1"/>
  <c r="BF3319" i="1"/>
  <c r="BG3319" i="1"/>
  <c r="E3520" i="1"/>
  <c r="G3520" i="1"/>
  <c r="J3520" i="1"/>
  <c r="K3520" i="1"/>
  <c r="BE3520" i="1"/>
  <c r="BF3520" i="1"/>
  <c r="BG3520" i="1"/>
  <c r="E540" i="1"/>
  <c r="G540" i="1"/>
  <c r="J540" i="1"/>
  <c r="K540" i="1"/>
  <c r="BE540" i="1"/>
  <c r="BF540" i="1"/>
  <c r="BG540" i="1"/>
  <c r="E3926" i="1"/>
  <c r="G3926" i="1"/>
  <c r="J3926" i="1"/>
  <c r="K3926" i="1"/>
  <c r="BE3926" i="1"/>
  <c r="BF3926" i="1"/>
  <c r="BG3926" i="1"/>
  <c r="E3521" i="1"/>
  <c r="G3521" i="1"/>
  <c r="J3521" i="1"/>
  <c r="K3521" i="1"/>
  <c r="BE3521" i="1"/>
  <c r="BF3521" i="1"/>
  <c r="BG3521" i="1"/>
  <c r="E636" i="1"/>
  <c r="G636" i="1"/>
  <c r="J636" i="1"/>
  <c r="K636" i="1"/>
  <c r="BE636" i="1"/>
  <c r="BF636" i="1"/>
  <c r="BG636" i="1"/>
  <c r="E484" i="1"/>
  <c r="G484" i="1"/>
  <c r="J484" i="1"/>
  <c r="K484" i="1"/>
  <c r="BE484" i="1"/>
  <c r="BF484" i="1"/>
  <c r="BG484" i="1"/>
  <c r="E3927" i="1"/>
  <c r="G3927" i="1"/>
  <c r="J3927" i="1"/>
  <c r="K3927" i="1"/>
  <c r="BE3927" i="1"/>
  <c r="BF3927" i="1"/>
  <c r="BG3927" i="1"/>
  <c r="E4786" i="1"/>
  <c r="G4786" i="1"/>
  <c r="J4786" i="1"/>
  <c r="K4786" i="1"/>
  <c r="BE4786" i="1"/>
  <c r="BF4786" i="1"/>
  <c r="BG4786" i="1"/>
  <c r="E2815" i="1"/>
  <c r="G2815" i="1"/>
  <c r="J2815" i="1"/>
  <c r="K2815" i="1"/>
  <c r="BC2815" i="1"/>
  <c r="BE2815" i="1"/>
  <c r="BF2815" i="1"/>
  <c r="BG2815" i="1"/>
  <c r="E6603" i="1"/>
  <c r="G6603" i="1"/>
  <c r="J6603" i="1"/>
  <c r="K6603" i="1"/>
  <c r="BE6603" i="1"/>
  <c r="BF6603" i="1"/>
  <c r="BG6603" i="1"/>
  <c r="E3320" i="1"/>
  <c r="G3320" i="1"/>
  <c r="J3320" i="1"/>
  <c r="K3320" i="1"/>
  <c r="BE3320" i="1"/>
  <c r="BF3320" i="1"/>
  <c r="BG3320" i="1"/>
  <c r="E3928" i="1"/>
  <c r="G3928" i="1"/>
  <c r="J3928" i="1"/>
  <c r="K3928" i="1"/>
  <c r="BE3928" i="1"/>
  <c r="BF3928" i="1"/>
  <c r="BG3928" i="1"/>
  <c r="E162" i="1"/>
  <c r="G162" i="1"/>
  <c r="J162" i="1"/>
  <c r="K162" i="1"/>
  <c r="BF162" i="1"/>
  <c r="BG162" i="1"/>
  <c r="E6268" i="1"/>
  <c r="G6268" i="1"/>
  <c r="J6268" i="1"/>
  <c r="K6268" i="1"/>
  <c r="BE6268" i="1"/>
  <c r="BF6268" i="1"/>
  <c r="BG6268" i="1"/>
  <c r="E3929" i="1"/>
  <c r="G3929" i="1"/>
  <c r="J3929" i="1"/>
  <c r="K3929" i="1"/>
  <c r="BE3929" i="1"/>
  <c r="BF3929" i="1"/>
  <c r="BG3929" i="1"/>
  <c r="E2816" i="1"/>
  <c r="G2816" i="1"/>
  <c r="J2816" i="1"/>
  <c r="K2816" i="1"/>
  <c r="BC2816" i="1"/>
  <c r="BE2816" i="1"/>
  <c r="BF2816" i="1"/>
  <c r="BG2816" i="1"/>
  <c r="E132" i="1"/>
  <c r="G132" i="1"/>
  <c r="J132" i="1"/>
  <c r="K132" i="1"/>
  <c r="BC132" i="1"/>
  <c r="BE132" i="1"/>
  <c r="BG132" i="1"/>
  <c r="E3930" i="1"/>
  <c r="G3930" i="1"/>
  <c r="J3930" i="1"/>
  <c r="K3930" i="1"/>
  <c r="BE3930" i="1"/>
  <c r="BF3930" i="1"/>
  <c r="BG3930" i="1"/>
  <c r="E163" i="1"/>
  <c r="G163" i="1"/>
  <c r="J163" i="1"/>
  <c r="K163" i="1"/>
  <c r="BF163" i="1"/>
  <c r="BG163" i="1"/>
  <c r="E4787" i="1"/>
  <c r="G4787" i="1"/>
  <c r="J4787" i="1"/>
  <c r="K4787" i="1"/>
  <c r="BE4787" i="1"/>
  <c r="BF4787" i="1"/>
  <c r="BG4787" i="1"/>
  <c r="E6269" i="1"/>
  <c r="G6269" i="1"/>
  <c r="J6269" i="1"/>
  <c r="K6269" i="1"/>
  <c r="BE6269" i="1"/>
  <c r="BF6269" i="1"/>
  <c r="BG6269" i="1"/>
  <c r="E6270" i="1"/>
  <c r="G6270" i="1"/>
  <c r="J6270" i="1"/>
  <c r="K6270" i="1"/>
  <c r="BE6270" i="1"/>
  <c r="BF6270" i="1"/>
  <c r="BG6270" i="1"/>
  <c r="E133" i="1"/>
  <c r="G133" i="1"/>
  <c r="J133" i="1"/>
  <c r="K133" i="1"/>
  <c r="BC133" i="1"/>
  <c r="BE133" i="1"/>
  <c r="BG133" i="1"/>
  <c r="E3931" i="1"/>
  <c r="G3931" i="1"/>
  <c r="J3931" i="1"/>
  <c r="K3931" i="1"/>
  <c r="BE3931" i="1"/>
  <c r="BF3931" i="1"/>
  <c r="BG3931" i="1"/>
  <c r="E6604" i="1"/>
  <c r="G6604" i="1"/>
  <c r="J6604" i="1"/>
  <c r="K6604" i="1"/>
  <c r="BE6604" i="1"/>
  <c r="BF6604" i="1"/>
  <c r="BG6604" i="1"/>
  <c r="E6271" i="1"/>
  <c r="G6271" i="1"/>
  <c r="J6271" i="1"/>
  <c r="K6271" i="1"/>
  <c r="BE6271" i="1"/>
  <c r="BF6271" i="1"/>
  <c r="BG6271" i="1"/>
  <c r="E3932" i="1"/>
  <c r="G3932" i="1"/>
  <c r="J3932" i="1"/>
  <c r="K3932" i="1"/>
  <c r="BE3932" i="1"/>
  <c r="BF3932" i="1"/>
  <c r="BG3932" i="1"/>
  <c r="E4788" i="1"/>
  <c r="G4788" i="1"/>
  <c r="J4788" i="1"/>
  <c r="K4788" i="1"/>
  <c r="BE4788" i="1"/>
  <c r="BF4788" i="1"/>
  <c r="BG4788" i="1"/>
  <c r="E3933" i="1"/>
  <c r="G3933" i="1"/>
  <c r="J3933" i="1"/>
  <c r="K3933" i="1"/>
  <c r="BE3933" i="1"/>
  <c r="BF3933" i="1"/>
  <c r="BG3933" i="1"/>
  <c r="E6272" i="1"/>
  <c r="G6272" i="1"/>
  <c r="J6272" i="1"/>
  <c r="K6272" i="1"/>
  <c r="BE6272" i="1"/>
  <c r="BF6272" i="1"/>
  <c r="BG6272" i="1"/>
  <c r="E332" i="1"/>
  <c r="G332" i="1"/>
  <c r="J332" i="1"/>
  <c r="K332" i="1"/>
  <c r="BE332" i="1"/>
  <c r="BF332" i="1"/>
  <c r="BG332" i="1"/>
  <c r="E227" i="1"/>
  <c r="G227" i="1"/>
  <c r="J227" i="1"/>
  <c r="K227" i="1"/>
  <c r="BE227" i="1"/>
  <c r="BF227" i="1"/>
  <c r="BG227" i="1"/>
  <c r="E228" i="1"/>
  <c r="G228" i="1"/>
  <c r="J228" i="1"/>
  <c r="K228" i="1"/>
  <c r="BE228" i="1"/>
  <c r="BF228" i="1"/>
  <c r="BG228" i="1"/>
  <c r="E229" i="1"/>
  <c r="G229" i="1"/>
  <c r="J229" i="1"/>
  <c r="K229" i="1"/>
  <c r="BE229" i="1"/>
  <c r="BF229" i="1"/>
  <c r="BG229" i="1"/>
  <c r="E230" i="1"/>
  <c r="G230" i="1"/>
  <c r="J230" i="1"/>
  <c r="K230" i="1"/>
  <c r="BE230" i="1"/>
  <c r="BF230" i="1"/>
  <c r="BG230" i="1"/>
  <c r="E231" i="1"/>
  <c r="G231" i="1"/>
  <c r="J231" i="1"/>
  <c r="K231" i="1"/>
  <c r="BE231" i="1"/>
  <c r="BF231" i="1"/>
  <c r="BG231" i="1"/>
  <c r="E232" i="1"/>
  <c r="G232" i="1"/>
  <c r="J232" i="1"/>
  <c r="K232" i="1"/>
  <c r="BE232" i="1"/>
  <c r="BF232" i="1"/>
  <c r="BG232" i="1"/>
  <c r="E233" i="1"/>
  <c r="G233" i="1"/>
  <c r="J233" i="1"/>
  <c r="K233" i="1"/>
  <c r="BE233" i="1"/>
  <c r="BF233" i="1"/>
  <c r="BG233" i="1"/>
  <c r="E234" i="1"/>
  <c r="G234" i="1"/>
  <c r="J234" i="1"/>
  <c r="K234" i="1"/>
  <c r="BE234" i="1"/>
  <c r="BF234" i="1"/>
  <c r="BG234" i="1"/>
  <c r="E3934" i="1"/>
  <c r="G3934" i="1"/>
  <c r="J3934" i="1"/>
  <c r="K3934" i="1"/>
  <c r="BE3934" i="1"/>
  <c r="BF3934" i="1"/>
  <c r="BG3934" i="1"/>
  <c r="E235" i="1"/>
  <c r="G235" i="1"/>
  <c r="J235" i="1"/>
  <c r="K235" i="1"/>
  <c r="BE235" i="1"/>
  <c r="BF235" i="1"/>
  <c r="BG235" i="1"/>
  <c r="E3321" i="1"/>
  <c r="G3321" i="1"/>
  <c r="J3321" i="1"/>
  <c r="K3321" i="1"/>
  <c r="BE3321" i="1"/>
  <c r="BF3321" i="1"/>
  <c r="BG3321" i="1"/>
  <c r="E3935" i="1"/>
  <c r="G3935" i="1"/>
  <c r="J3935" i="1"/>
  <c r="K3935" i="1"/>
  <c r="BE3935" i="1"/>
  <c r="BF3935" i="1"/>
  <c r="BG3935" i="1"/>
  <c r="E3522" i="1"/>
  <c r="G3522" i="1"/>
  <c r="J3522" i="1"/>
  <c r="K3522" i="1"/>
  <c r="BE3522" i="1"/>
  <c r="BF3522" i="1"/>
  <c r="BG3522" i="1"/>
  <c r="E6017" i="1"/>
  <c r="G6017" i="1"/>
  <c r="J6017" i="1"/>
  <c r="K6017" i="1"/>
  <c r="BE6017" i="1"/>
  <c r="BG6017" i="1"/>
  <c r="E3523" i="1"/>
  <c r="G3523" i="1"/>
  <c r="J3523" i="1"/>
  <c r="K3523" i="1"/>
  <c r="BE3523" i="1"/>
  <c r="BF3523" i="1"/>
  <c r="BG3523" i="1"/>
  <c r="E3524" i="1"/>
  <c r="G3524" i="1"/>
  <c r="J3524" i="1"/>
  <c r="K3524" i="1"/>
  <c r="BE3524" i="1"/>
  <c r="BF3524" i="1"/>
  <c r="BG3524" i="1"/>
  <c r="E134" i="1"/>
  <c r="G134" i="1"/>
  <c r="J134" i="1"/>
  <c r="K134" i="1"/>
  <c r="BC134" i="1"/>
  <c r="BE134" i="1"/>
  <c r="BG134" i="1"/>
  <c r="E2515" i="1"/>
  <c r="G2515" i="1"/>
  <c r="J2515" i="1"/>
  <c r="K2515" i="1"/>
  <c r="BE2515" i="1"/>
  <c r="BF2515" i="1"/>
  <c r="BG2515" i="1"/>
  <c r="E3322" i="1"/>
  <c r="G3322" i="1"/>
  <c r="J3322" i="1"/>
  <c r="K3322" i="1"/>
  <c r="BE3322" i="1"/>
  <c r="BF3322" i="1"/>
  <c r="BG3322" i="1"/>
  <c r="E3525" i="1"/>
  <c r="G3525" i="1"/>
  <c r="J3525" i="1"/>
  <c r="K3525" i="1"/>
  <c r="BE3525" i="1"/>
  <c r="BF3525" i="1"/>
  <c r="BG3525" i="1"/>
  <c r="E2817" i="1"/>
  <c r="G2817" i="1"/>
  <c r="J2817" i="1"/>
  <c r="K2817" i="1"/>
  <c r="BC2817" i="1"/>
  <c r="BE2817" i="1"/>
  <c r="BF2817" i="1"/>
  <c r="BG2817" i="1"/>
  <c r="E3526" i="1"/>
  <c r="G3526" i="1"/>
  <c r="J3526" i="1"/>
  <c r="K3526" i="1"/>
  <c r="BE3526" i="1"/>
  <c r="BF3526" i="1"/>
  <c r="BG3526" i="1"/>
  <c r="E70" i="1"/>
  <c r="G70" i="1"/>
  <c r="J70" i="1"/>
  <c r="K70" i="1"/>
  <c r="BE70" i="1"/>
  <c r="BF70" i="1"/>
  <c r="BG70" i="1"/>
  <c r="E2516" i="1"/>
  <c r="G2516" i="1"/>
  <c r="J2516" i="1"/>
  <c r="K2516" i="1"/>
  <c r="BE2516" i="1"/>
  <c r="BF2516" i="1"/>
  <c r="BG2516" i="1"/>
  <c r="E3527" i="1"/>
  <c r="G3527" i="1"/>
  <c r="J3527" i="1"/>
  <c r="K3527" i="1"/>
  <c r="BE3527" i="1"/>
  <c r="BF3527" i="1"/>
  <c r="BG3527" i="1"/>
  <c r="E164" i="1"/>
  <c r="G164" i="1"/>
  <c r="J164" i="1"/>
  <c r="K164" i="1"/>
  <c r="BF164" i="1"/>
  <c r="BG164" i="1"/>
  <c r="E3528" i="1"/>
  <c r="G3528" i="1"/>
  <c r="J3528" i="1"/>
  <c r="K3528" i="1"/>
  <c r="BE3528" i="1"/>
  <c r="BF3528" i="1"/>
  <c r="BG3528" i="1"/>
  <c r="E3746" i="1"/>
  <c r="G3746" i="1"/>
  <c r="J3746" i="1"/>
  <c r="K3746" i="1"/>
  <c r="BE3746" i="1"/>
  <c r="BF3746" i="1"/>
  <c r="BG3746" i="1"/>
  <c r="E3747" i="1"/>
  <c r="G3747" i="1"/>
  <c r="J3747" i="1"/>
  <c r="K3747" i="1"/>
  <c r="BE3747" i="1"/>
  <c r="BF3747" i="1"/>
  <c r="BG3747" i="1"/>
  <c r="E3748" i="1"/>
  <c r="G3748" i="1"/>
  <c r="J3748" i="1"/>
  <c r="K3748" i="1"/>
  <c r="BE3748" i="1"/>
  <c r="BF3748" i="1"/>
  <c r="BG3748" i="1"/>
  <c r="E3749" i="1"/>
  <c r="G3749" i="1"/>
  <c r="J3749" i="1"/>
  <c r="K3749" i="1"/>
  <c r="BE3749" i="1"/>
  <c r="BF3749" i="1"/>
  <c r="BG3749" i="1"/>
  <c r="E3750" i="1"/>
  <c r="G3750" i="1"/>
  <c r="J3750" i="1"/>
  <c r="K3750" i="1"/>
  <c r="BE3750" i="1"/>
  <c r="BF3750" i="1"/>
  <c r="BG3750" i="1"/>
  <c r="E3751" i="1"/>
  <c r="G3751" i="1"/>
  <c r="J3751" i="1"/>
  <c r="K3751" i="1"/>
  <c r="BE3751" i="1"/>
  <c r="BF3751" i="1"/>
  <c r="BG3751" i="1"/>
  <c r="E3752" i="1"/>
  <c r="G3752" i="1"/>
  <c r="J3752" i="1"/>
  <c r="K3752" i="1"/>
  <c r="BE3752" i="1"/>
  <c r="BF3752" i="1"/>
  <c r="BG3752" i="1"/>
  <c r="E3753" i="1"/>
  <c r="G3753" i="1"/>
  <c r="J3753" i="1"/>
  <c r="K3753" i="1"/>
  <c r="BE3753" i="1"/>
  <c r="BF3753" i="1"/>
  <c r="BG3753" i="1"/>
  <c r="E3754" i="1"/>
  <c r="G3754" i="1"/>
  <c r="J3754" i="1"/>
  <c r="K3754" i="1"/>
  <c r="BE3754" i="1"/>
  <c r="BF3754" i="1"/>
  <c r="BG3754" i="1"/>
  <c r="E3755" i="1"/>
  <c r="G3755" i="1"/>
  <c r="J3755" i="1"/>
  <c r="K3755" i="1"/>
  <c r="BE3755" i="1"/>
  <c r="BF3755" i="1"/>
  <c r="BG3755" i="1"/>
  <c r="E3628" i="1"/>
  <c r="G3628" i="1"/>
  <c r="J3628" i="1"/>
  <c r="K3628" i="1"/>
  <c r="BE3628" i="1"/>
  <c r="BF3628" i="1"/>
  <c r="BG3628" i="1"/>
  <c r="E6273" i="1"/>
  <c r="G6273" i="1"/>
  <c r="J6273" i="1"/>
  <c r="K6273" i="1"/>
  <c r="BE6273" i="1"/>
  <c r="BF6273" i="1"/>
  <c r="BG6273" i="1"/>
  <c r="E3529" i="1"/>
  <c r="G3529" i="1"/>
  <c r="J3529" i="1"/>
  <c r="K3529" i="1"/>
  <c r="BE3529" i="1"/>
  <c r="BF3529" i="1"/>
  <c r="BG3529" i="1"/>
  <c r="E6274" i="1"/>
  <c r="G6274" i="1"/>
  <c r="J6274" i="1"/>
  <c r="K6274" i="1"/>
  <c r="BE6274" i="1"/>
  <c r="BF6274" i="1"/>
  <c r="BG6274" i="1"/>
  <c r="E6275" i="1"/>
  <c r="G6275" i="1"/>
  <c r="J6275" i="1"/>
  <c r="K6275" i="1"/>
  <c r="BE6275" i="1"/>
  <c r="BF6275" i="1"/>
  <c r="BG6275" i="1"/>
  <c r="E6276" i="1"/>
  <c r="G6276" i="1"/>
  <c r="J6276" i="1"/>
  <c r="K6276" i="1"/>
  <c r="BE6276" i="1"/>
  <c r="BF6276" i="1"/>
  <c r="BG6276" i="1"/>
  <c r="E6605" i="1"/>
  <c r="G6605" i="1"/>
  <c r="J6605" i="1"/>
  <c r="K6605" i="1"/>
  <c r="BE6605" i="1"/>
  <c r="BF6605" i="1"/>
  <c r="BG6605" i="1"/>
  <c r="E6277" i="1"/>
  <c r="G6277" i="1"/>
  <c r="J6277" i="1"/>
  <c r="K6277" i="1"/>
  <c r="BE6277" i="1"/>
  <c r="BF6277" i="1"/>
  <c r="BG6277" i="1"/>
  <c r="E3629" i="1"/>
  <c r="G3629" i="1"/>
  <c r="J3629" i="1"/>
  <c r="K3629" i="1"/>
  <c r="BE3629" i="1"/>
  <c r="BF3629" i="1"/>
  <c r="BG3629" i="1"/>
  <c r="E6278" i="1"/>
  <c r="G6278" i="1"/>
  <c r="J6278" i="1"/>
  <c r="K6278" i="1"/>
  <c r="BE6278" i="1"/>
  <c r="BF6278" i="1"/>
  <c r="BG6278" i="1"/>
  <c r="E6279" i="1"/>
  <c r="G6279" i="1"/>
  <c r="J6279" i="1"/>
  <c r="K6279" i="1"/>
  <c r="BE6279" i="1"/>
  <c r="BF6279" i="1"/>
  <c r="BG6279" i="1"/>
  <c r="E3630" i="1"/>
  <c r="G3630" i="1"/>
  <c r="J3630" i="1"/>
  <c r="K3630" i="1"/>
  <c r="BE3630" i="1"/>
  <c r="BF3630" i="1"/>
  <c r="BG3630" i="1"/>
  <c r="E6280" i="1"/>
  <c r="G6280" i="1"/>
  <c r="J6280" i="1"/>
  <c r="K6280" i="1"/>
  <c r="BE6280" i="1"/>
  <c r="BF6280" i="1"/>
  <c r="BG6280" i="1"/>
  <c r="E3631" i="1"/>
  <c r="G3631" i="1"/>
  <c r="J3631" i="1"/>
  <c r="K3631" i="1"/>
  <c r="BE3631" i="1"/>
  <c r="BF3631" i="1"/>
  <c r="BG3631" i="1"/>
  <c r="E947" i="1"/>
  <c r="G947" i="1"/>
  <c r="J947" i="1"/>
  <c r="K947" i="1"/>
  <c r="BE947" i="1"/>
  <c r="BF947" i="1"/>
  <c r="BG947" i="1"/>
  <c r="E6606" i="1"/>
  <c r="G6606" i="1"/>
  <c r="J6606" i="1"/>
  <c r="K6606" i="1"/>
  <c r="BE6606" i="1"/>
  <c r="BF6606" i="1"/>
  <c r="BG6606" i="1"/>
  <c r="E3632" i="1"/>
  <c r="G3632" i="1"/>
  <c r="J3632" i="1"/>
  <c r="K3632" i="1"/>
  <c r="BE3632" i="1"/>
  <c r="BF3632" i="1"/>
  <c r="BG3632" i="1"/>
  <c r="E236" i="1"/>
  <c r="G236" i="1"/>
  <c r="J236" i="1"/>
  <c r="K236" i="1"/>
  <c r="BE236" i="1"/>
  <c r="BF236" i="1"/>
  <c r="BG236" i="1"/>
  <c r="E6281" i="1"/>
  <c r="G6281" i="1"/>
  <c r="J6281" i="1"/>
  <c r="K6281" i="1"/>
  <c r="BE6281" i="1"/>
  <c r="BF6281" i="1"/>
  <c r="BG6281" i="1"/>
  <c r="E4552" i="1"/>
  <c r="G4552" i="1"/>
  <c r="J4552" i="1"/>
  <c r="K4552" i="1"/>
  <c r="BE4552" i="1"/>
  <c r="BF4552" i="1"/>
  <c r="BG4552" i="1"/>
  <c r="E4553" i="1"/>
  <c r="G4553" i="1"/>
  <c r="J4553" i="1"/>
  <c r="K4553" i="1"/>
  <c r="BE4553" i="1"/>
  <c r="BF4553" i="1"/>
  <c r="BG4553" i="1"/>
  <c r="E948" i="1"/>
  <c r="G948" i="1"/>
  <c r="J948" i="1"/>
  <c r="K948" i="1"/>
  <c r="BE948" i="1"/>
  <c r="BF948" i="1"/>
  <c r="BG948" i="1"/>
  <c r="E4554" i="1"/>
  <c r="G4554" i="1"/>
  <c r="J4554" i="1"/>
  <c r="K4554" i="1"/>
  <c r="BE4554" i="1"/>
  <c r="BF4554" i="1"/>
  <c r="BG4554" i="1"/>
  <c r="E6282" i="1"/>
  <c r="G6282" i="1"/>
  <c r="J6282" i="1"/>
  <c r="K6282" i="1"/>
  <c r="BE6282" i="1"/>
  <c r="BF6282" i="1"/>
  <c r="BG6282" i="1"/>
  <c r="E4555" i="1"/>
  <c r="G4555" i="1"/>
  <c r="J4555" i="1"/>
  <c r="K4555" i="1"/>
  <c r="BE4555" i="1"/>
  <c r="BF4555" i="1"/>
  <c r="BG4555" i="1"/>
  <c r="E4556" i="1"/>
  <c r="G4556" i="1"/>
  <c r="J4556" i="1"/>
  <c r="K4556" i="1"/>
  <c r="BE4556" i="1"/>
  <c r="BF4556" i="1"/>
  <c r="BG4556" i="1"/>
  <c r="E4557" i="1"/>
  <c r="G4557" i="1"/>
  <c r="J4557" i="1"/>
  <c r="K4557" i="1"/>
  <c r="BE4557" i="1"/>
  <c r="BF4557" i="1"/>
  <c r="BG4557" i="1"/>
  <c r="E6607" i="1"/>
  <c r="G6607" i="1"/>
  <c r="J6607" i="1"/>
  <c r="K6607" i="1"/>
  <c r="BE6607" i="1"/>
  <c r="BF6607" i="1"/>
  <c r="BG6607" i="1"/>
  <c r="E4558" i="1"/>
  <c r="G4558" i="1"/>
  <c r="J4558" i="1"/>
  <c r="K4558" i="1"/>
  <c r="BE4558" i="1"/>
  <c r="BF4558" i="1"/>
  <c r="BG4558" i="1"/>
  <c r="E949" i="1"/>
  <c r="G949" i="1"/>
  <c r="J949" i="1"/>
  <c r="K949" i="1"/>
  <c r="BE949" i="1"/>
  <c r="BF949" i="1"/>
  <c r="BG949" i="1"/>
  <c r="E6283" i="1"/>
  <c r="G6283" i="1"/>
  <c r="J6283" i="1"/>
  <c r="K6283" i="1"/>
  <c r="BE6283" i="1"/>
  <c r="BF6283" i="1"/>
  <c r="BG6283" i="1"/>
  <c r="E135" i="1"/>
  <c r="G135" i="1"/>
  <c r="J135" i="1"/>
  <c r="K135" i="1"/>
  <c r="BC135" i="1"/>
  <c r="BE135" i="1"/>
  <c r="BG135" i="1"/>
  <c r="E2818" i="1"/>
  <c r="G2818" i="1"/>
  <c r="J2818" i="1"/>
  <c r="K2818" i="1"/>
  <c r="BC2818" i="1"/>
  <c r="BE2818" i="1"/>
  <c r="BF2818" i="1"/>
  <c r="BG2818" i="1"/>
  <c r="E4559" i="1"/>
  <c r="G4559" i="1"/>
  <c r="J4559" i="1"/>
  <c r="K4559" i="1"/>
  <c r="BE4559" i="1"/>
  <c r="BF4559" i="1"/>
  <c r="BG4559" i="1"/>
  <c r="E5216" i="1"/>
  <c r="G5216" i="1"/>
  <c r="J5216" i="1"/>
  <c r="K5216" i="1"/>
  <c r="BE5216" i="1"/>
  <c r="BF5216" i="1"/>
  <c r="BG5216" i="1"/>
  <c r="E5217" i="1"/>
  <c r="G5217" i="1"/>
  <c r="J5217" i="1"/>
  <c r="K5217" i="1"/>
  <c r="BE5217" i="1"/>
  <c r="BF5217" i="1"/>
  <c r="BG5217" i="1"/>
  <c r="E5218" i="1"/>
  <c r="G5218" i="1"/>
  <c r="J5218" i="1"/>
  <c r="K5218" i="1"/>
  <c r="BE5218" i="1"/>
  <c r="BF5218" i="1"/>
  <c r="BG5218" i="1"/>
  <c r="E5219" i="1"/>
  <c r="G5219" i="1"/>
  <c r="J5219" i="1"/>
  <c r="K5219" i="1"/>
  <c r="BE5219" i="1"/>
  <c r="BF5219" i="1"/>
  <c r="BG5219" i="1"/>
  <c r="E5220" i="1"/>
  <c r="G5220" i="1"/>
  <c r="J5220" i="1"/>
  <c r="K5220" i="1"/>
  <c r="BE5220" i="1"/>
  <c r="BF5220" i="1"/>
  <c r="BG5220" i="1"/>
  <c r="E5221" i="1"/>
  <c r="G5221" i="1"/>
  <c r="J5221" i="1"/>
  <c r="K5221" i="1"/>
  <c r="BE5221" i="1"/>
  <c r="BF5221" i="1"/>
  <c r="BG5221" i="1"/>
  <c r="E5222" i="1"/>
  <c r="G5222" i="1"/>
  <c r="J5222" i="1"/>
  <c r="K5222" i="1"/>
  <c r="BE5222" i="1"/>
  <c r="BF5222" i="1"/>
  <c r="BG5222" i="1"/>
  <c r="E5223" i="1"/>
  <c r="G5223" i="1"/>
  <c r="J5223" i="1"/>
  <c r="K5223" i="1"/>
  <c r="BE5223" i="1"/>
  <c r="BF5223" i="1"/>
  <c r="BG5223" i="1"/>
  <c r="E5224" i="1"/>
  <c r="G5224" i="1"/>
  <c r="J5224" i="1"/>
  <c r="K5224" i="1"/>
  <c r="BE5224" i="1"/>
  <c r="BF5224" i="1"/>
  <c r="BG5224" i="1"/>
  <c r="E5225" i="1"/>
  <c r="G5225" i="1"/>
  <c r="J5225" i="1"/>
  <c r="K5225" i="1"/>
  <c r="BE5225" i="1"/>
  <c r="BF5225" i="1"/>
  <c r="BG5225" i="1"/>
  <c r="E5226" i="1"/>
  <c r="G5226" i="1"/>
  <c r="J5226" i="1"/>
  <c r="K5226" i="1"/>
  <c r="BE5226" i="1"/>
  <c r="BF5226" i="1"/>
  <c r="BG5226" i="1"/>
  <c r="E5227" i="1"/>
  <c r="G5227" i="1"/>
  <c r="J5227" i="1"/>
  <c r="K5227" i="1"/>
  <c r="BE5227" i="1"/>
  <c r="BF5227" i="1"/>
  <c r="BG5227" i="1"/>
  <c r="E5228" i="1"/>
  <c r="G5228" i="1"/>
  <c r="J5228" i="1"/>
  <c r="K5228" i="1"/>
  <c r="BE5228" i="1"/>
  <c r="BF5228" i="1"/>
  <c r="BG5228" i="1"/>
  <c r="E5229" i="1"/>
  <c r="G5229" i="1"/>
  <c r="J5229" i="1"/>
  <c r="K5229" i="1"/>
  <c r="BE5229" i="1"/>
  <c r="BF5229" i="1"/>
  <c r="BG5229" i="1"/>
  <c r="E5230" i="1"/>
  <c r="G5230" i="1"/>
  <c r="J5230" i="1"/>
  <c r="K5230" i="1"/>
  <c r="BE5230" i="1"/>
  <c r="BF5230" i="1"/>
  <c r="BG5230" i="1"/>
  <c r="E5231" i="1"/>
  <c r="G5231" i="1"/>
  <c r="J5231" i="1"/>
  <c r="K5231" i="1"/>
  <c r="BE5231" i="1"/>
  <c r="BF5231" i="1"/>
  <c r="BG5231" i="1"/>
  <c r="E5232" i="1"/>
  <c r="G5232" i="1"/>
  <c r="J5232" i="1"/>
  <c r="K5232" i="1"/>
  <c r="BE5232" i="1"/>
  <c r="BF5232" i="1"/>
  <c r="BG5232" i="1"/>
  <c r="E5233" i="1"/>
  <c r="G5233" i="1"/>
  <c r="J5233" i="1"/>
  <c r="K5233" i="1"/>
  <c r="BE5233" i="1"/>
  <c r="BF5233" i="1"/>
  <c r="BG5233" i="1"/>
  <c r="E5234" i="1"/>
  <c r="G5234" i="1"/>
  <c r="J5234" i="1"/>
  <c r="K5234" i="1"/>
  <c r="BE5234" i="1"/>
  <c r="BF5234" i="1"/>
  <c r="BG5234" i="1"/>
  <c r="E5235" i="1"/>
  <c r="G5235" i="1"/>
  <c r="J5235" i="1"/>
  <c r="K5235" i="1"/>
  <c r="BE5235" i="1"/>
  <c r="BF5235" i="1"/>
  <c r="BG5235" i="1"/>
  <c r="E5236" i="1"/>
  <c r="G5236" i="1"/>
  <c r="J5236" i="1"/>
  <c r="K5236" i="1"/>
  <c r="BE5236" i="1"/>
  <c r="BF5236" i="1"/>
  <c r="BG5236" i="1"/>
  <c r="E5237" i="1"/>
  <c r="G5237" i="1"/>
  <c r="J5237" i="1"/>
  <c r="K5237" i="1"/>
  <c r="BE5237" i="1"/>
  <c r="BF5237" i="1"/>
  <c r="BG5237" i="1"/>
  <c r="E5238" i="1"/>
  <c r="G5238" i="1"/>
  <c r="J5238" i="1"/>
  <c r="K5238" i="1"/>
  <c r="BE5238" i="1"/>
  <c r="BF5238" i="1"/>
  <c r="BG5238" i="1"/>
  <c r="E5239" i="1"/>
  <c r="G5239" i="1"/>
  <c r="J5239" i="1"/>
  <c r="K5239" i="1"/>
  <c r="BE5239" i="1"/>
  <c r="BF5239" i="1"/>
  <c r="BG5239" i="1"/>
  <c r="E5240" i="1"/>
  <c r="G5240" i="1"/>
  <c r="J5240" i="1"/>
  <c r="K5240" i="1"/>
  <c r="BE5240" i="1"/>
  <c r="BF5240" i="1"/>
  <c r="BG5240" i="1"/>
  <c r="E5241" i="1"/>
  <c r="G5241" i="1"/>
  <c r="J5241" i="1"/>
  <c r="K5241" i="1"/>
  <c r="BE5241" i="1"/>
  <c r="BF5241" i="1"/>
  <c r="BG5241" i="1"/>
  <c r="E5242" i="1"/>
  <c r="G5242" i="1"/>
  <c r="J5242" i="1"/>
  <c r="K5242" i="1"/>
  <c r="BE5242" i="1"/>
  <c r="BF5242" i="1"/>
  <c r="BG5242" i="1"/>
  <c r="E5243" i="1"/>
  <c r="G5243" i="1"/>
  <c r="J5243" i="1"/>
  <c r="K5243" i="1"/>
  <c r="BE5243" i="1"/>
  <c r="BF5243" i="1"/>
  <c r="BG5243" i="1"/>
  <c r="E5244" i="1"/>
  <c r="G5244" i="1"/>
  <c r="J5244" i="1"/>
  <c r="K5244" i="1"/>
  <c r="BE5244" i="1"/>
  <c r="BF5244" i="1"/>
  <c r="BG5244" i="1"/>
  <c r="E5245" i="1"/>
  <c r="G5245" i="1"/>
  <c r="J5245" i="1"/>
  <c r="K5245" i="1"/>
  <c r="BE5245" i="1"/>
  <c r="BF5245" i="1"/>
  <c r="BG5245" i="1"/>
  <c r="E5246" i="1"/>
  <c r="G5246" i="1"/>
  <c r="J5246" i="1"/>
  <c r="K5246" i="1"/>
  <c r="BE5246" i="1"/>
  <c r="BF5246" i="1"/>
  <c r="BG5246" i="1"/>
  <c r="E5247" i="1"/>
  <c r="G5247" i="1"/>
  <c r="J5247" i="1"/>
  <c r="K5247" i="1"/>
  <c r="BE5247" i="1"/>
  <c r="BF5247" i="1"/>
  <c r="BG5247" i="1"/>
  <c r="E5248" i="1"/>
  <c r="G5248" i="1"/>
  <c r="J5248" i="1"/>
  <c r="K5248" i="1"/>
  <c r="BE5248" i="1"/>
  <c r="BF5248" i="1"/>
  <c r="BG5248" i="1"/>
  <c r="E5249" i="1"/>
  <c r="G5249" i="1"/>
  <c r="J5249" i="1"/>
  <c r="K5249" i="1"/>
  <c r="BE5249" i="1"/>
  <c r="BF5249" i="1"/>
  <c r="BG5249" i="1"/>
  <c r="E5250" i="1"/>
  <c r="G5250" i="1"/>
  <c r="J5250" i="1"/>
  <c r="K5250" i="1"/>
  <c r="BE5250" i="1"/>
  <c r="BF5250" i="1"/>
  <c r="BG5250" i="1"/>
  <c r="E5251" i="1"/>
  <c r="G5251" i="1"/>
  <c r="J5251" i="1"/>
  <c r="K5251" i="1"/>
  <c r="BE5251" i="1"/>
  <c r="BF5251" i="1"/>
  <c r="BG5251" i="1"/>
  <c r="E5252" i="1"/>
  <c r="G5252" i="1"/>
  <c r="J5252" i="1"/>
  <c r="K5252" i="1"/>
  <c r="BE5252" i="1"/>
  <c r="BF5252" i="1"/>
  <c r="BG5252" i="1"/>
  <c r="E5253" i="1"/>
  <c r="G5253" i="1"/>
  <c r="J5253" i="1"/>
  <c r="K5253" i="1"/>
  <c r="BE5253" i="1"/>
  <c r="BF5253" i="1"/>
  <c r="BG5253" i="1"/>
  <c r="E5254" i="1"/>
  <c r="G5254" i="1"/>
  <c r="J5254" i="1"/>
  <c r="K5254" i="1"/>
  <c r="BE5254" i="1"/>
  <c r="BF5254" i="1"/>
  <c r="BG5254" i="1"/>
  <c r="E5255" i="1"/>
  <c r="G5255" i="1"/>
  <c r="J5255" i="1"/>
  <c r="K5255" i="1"/>
  <c r="BE5255" i="1"/>
  <c r="BF5255" i="1"/>
  <c r="BG5255" i="1"/>
  <c r="E5256" i="1"/>
  <c r="G5256" i="1"/>
  <c r="J5256" i="1"/>
  <c r="K5256" i="1"/>
  <c r="BE5256" i="1"/>
  <c r="BF5256" i="1"/>
  <c r="BG5256" i="1"/>
  <c r="E5257" i="1"/>
  <c r="G5257" i="1"/>
  <c r="J5257" i="1"/>
  <c r="K5257" i="1"/>
  <c r="BE5257" i="1"/>
  <c r="BF5257" i="1"/>
  <c r="BG5257" i="1"/>
  <c r="E5258" i="1"/>
  <c r="G5258" i="1"/>
  <c r="J5258" i="1"/>
  <c r="K5258" i="1"/>
  <c r="BE5258" i="1"/>
  <c r="BF5258" i="1"/>
  <c r="BG5258" i="1"/>
  <c r="E5259" i="1"/>
  <c r="G5259" i="1"/>
  <c r="J5259" i="1"/>
  <c r="K5259" i="1"/>
  <c r="BE5259" i="1"/>
  <c r="BF5259" i="1"/>
  <c r="BG5259" i="1"/>
  <c r="E5260" i="1"/>
  <c r="G5260" i="1"/>
  <c r="J5260" i="1"/>
  <c r="K5260" i="1"/>
  <c r="BE5260" i="1"/>
  <c r="BF5260" i="1"/>
  <c r="BG5260" i="1"/>
  <c r="E5261" i="1"/>
  <c r="G5261" i="1"/>
  <c r="J5261" i="1"/>
  <c r="K5261" i="1"/>
  <c r="BE5261" i="1"/>
  <c r="BF5261" i="1"/>
  <c r="BG5261" i="1"/>
  <c r="E5262" i="1"/>
  <c r="G5262" i="1"/>
  <c r="J5262" i="1"/>
  <c r="K5262" i="1"/>
  <c r="BE5262" i="1"/>
  <c r="BF5262" i="1"/>
  <c r="BG5262" i="1"/>
  <c r="E5263" i="1"/>
  <c r="G5263" i="1"/>
  <c r="J5263" i="1"/>
  <c r="K5263" i="1"/>
  <c r="BE5263" i="1"/>
  <c r="BF5263" i="1"/>
  <c r="BG5263" i="1"/>
  <c r="E5264" i="1"/>
  <c r="G5264" i="1"/>
  <c r="J5264" i="1"/>
  <c r="K5264" i="1"/>
  <c r="BE5264" i="1"/>
  <c r="BF5264" i="1"/>
  <c r="BG5264" i="1"/>
  <c r="E5265" i="1"/>
  <c r="G5265" i="1"/>
  <c r="J5265" i="1"/>
  <c r="K5265" i="1"/>
  <c r="BE5265" i="1"/>
  <c r="BF5265" i="1"/>
  <c r="BG5265" i="1"/>
  <c r="E5266" i="1"/>
  <c r="G5266" i="1"/>
  <c r="J5266" i="1"/>
  <c r="K5266" i="1"/>
  <c r="BE5266" i="1"/>
  <c r="BF5266" i="1"/>
  <c r="BG5266" i="1"/>
  <c r="E5267" i="1"/>
  <c r="G5267" i="1"/>
  <c r="J5267" i="1"/>
  <c r="K5267" i="1"/>
  <c r="BE5267" i="1"/>
  <c r="BF5267" i="1"/>
  <c r="BG5267" i="1"/>
  <c r="E5268" i="1"/>
  <c r="G5268" i="1"/>
  <c r="J5268" i="1"/>
  <c r="K5268" i="1"/>
  <c r="BE5268" i="1"/>
  <c r="BF5268" i="1"/>
  <c r="BG5268" i="1"/>
  <c r="E5269" i="1"/>
  <c r="G5269" i="1"/>
  <c r="J5269" i="1"/>
  <c r="K5269" i="1"/>
  <c r="BE5269" i="1"/>
  <c r="BF5269" i="1"/>
  <c r="BG5269" i="1"/>
  <c r="E5270" i="1"/>
  <c r="G5270" i="1"/>
  <c r="J5270" i="1"/>
  <c r="K5270" i="1"/>
  <c r="BE5270" i="1"/>
  <c r="BF5270" i="1"/>
  <c r="BG5270" i="1"/>
  <c r="E5271" i="1"/>
  <c r="G5271" i="1"/>
  <c r="J5271" i="1"/>
  <c r="K5271" i="1"/>
  <c r="BE5271" i="1"/>
  <c r="BF5271" i="1"/>
  <c r="BG5271" i="1"/>
  <c r="E5272" i="1"/>
  <c r="G5272" i="1"/>
  <c r="J5272" i="1"/>
  <c r="K5272" i="1"/>
  <c r="BE5272" i="1"/>
  <c r="BF5272" i="1"/>
  <c r="BG5272" i="1"/>
  <c r="E5273" i="1"/>
  <c r="G5273" i="1"/>
  <c r="J5273" i="1"/>
  <c r="K5273" i="1"/>
  <c r="BE5273" i="1"/>
  <c r="BF5273" i="1"/>
  <c r="BG5273" i="1"/>
  <c r="E5274" i="1"/>
  <c r="G5274" i="1"/>
  <c r="J5274" i="1"/>
  <c r="K5274" i="1"/>
  <c r="BE5274" i="1"/>
  <c r="BF5274" i="1"/>
  <c r="BG5274" i="1"/>
  <c r="E5275" i="1"/>
  <c r="G5275" i="1"/>
  <c r="J5275" i="1"/>
  <c r="K5275" i="1"/>
  <c r="BE5275" i="1"/>
  <c r="BF5275" i="1"/>
  <c r="BG5275" i="1"/>
  <c r="E5276" i="1"/>
  <c r="G5276" i="1"/>
  <c r="J5276" i="1"/>
  <c r="K5276" i="1"/>
  <c r="BE5276" i="1"/>
  <c r="BF5276" i="1"/>
  <c r="BG5276" i="1"/>
  <c r="E5277" i="1"/>
  <c r="G5277" i="1"/>
  <c r="J5277" i="1"/>
  <c r="K5277" i="1"/>
  <c r="BE5277" i="1"/>
  <c r="BF5277" i="1"/>
  <c r="BG5277" i="1"/>
  <c r="E5278" i="1"/>
  <c r="G5278" i="1"/>
  <c r="J5278" i="1"/>
  <c r="K5278" i="1"/>
  <c r="BE5278" i="1"/>
  <c r="BF5278" i="1"/>
  <c r="BG5278" i="1"/>
  <c r="E5279" i="1"/>
  <c r="G5279" i="1"/>
  <c r="J5279" i="1"/>
  <c r="K5279" i="1"/>
  <c r="BE5279" i="1"/>
  <c r="BF5279" i="1"/>
  <c r="BG5279" i="1"/>
  <c r="E5280" i="1"/>
  <c r="G5280" i="1"/>
  <c r="J5280" i="1"/>
  <c r="K5280" i="1"/>
  <c r="BE5280" i="1"/>
  <c r="BF5280" i="1"/>
  <c r="BG5280" i="1"/>
  <c r="E5281" i="1"/>
  <c r="G5281" i="1"/>
  <c r="J5281" i="1"/>
  <c r="K5281" i="1"/>
  <c r="BE5281" i="1"/>
  <c r="BF5281" i="1"/>
  <c r="BG5281" i="1"/>
  <c r="E5282" i="1"/>
  <c r="G5282" i="1"/>
  <c r="J5282" i="1"/>
  <c r="K5282" i="1"/>
  <c r="BE5282" i="1"/>
  <c r="BF5282" i="1"/>
  <c r="BG5282" i="1"/>
  <c r="E5283" i="1"/>
  <c r="G5283" i="1"/>
  <c r="J5283" i="1"/>
  <c r="K5283" i="1"/>
  <c r="BE5283" i="1"/>
  <c r="BF5283" i="1"/>
  <c r="BG5283" i="1"/>
  <c r="E5284" i="1"/>
  <c r="G5284" i="1"/>
  <c r="J5284" i="1"/>
  <c r="K5284" i="1"/>
  <c r="BE5284" i="1"/>
  <c r="BF5284" i="1"/>
  <c r="BG5284" i="1"/>
  <c r="E5285" i="1"/>
  <c r="G5285" i="1"/>
  <c r="J5285" i="1"/>
  <c r="K5285" i="1"/>
  <c r="BE5285" i="1"/>
  <c r="BF5285" i="1"/>
  <c r="BG5285" i="1"/>
  <c r="E5286" i="1"/>
  <c r="G5286" i="1"/>
  <c r="J5286" i="1"/>
  <c r="K5286" i="1"/>
  <c r="BE5286" i="1"/>
  <c r="BF5286" i="1"/>
  <c r="BG5286" i="1"/>
  <c r="E5287" i="1"/>
  <c r="G5287" i="1"/>
  <c r="J5287" i="1"/>
  <c r="K5287" i="1"/>
  <c r="BE5287" i="1"/>
  <c r="BF5287" i="1"/>
  <c r="BG5287" i="1"/>
  <c r="E5288" i="1"/>
  <c r="G5288" i="1"/>
  <c r="J5288" i="1"/>
  <c r="K5288" i="1"/>
  <c r="BE5288" i="1"/>
  <c r="BF5288" i="1"/>
  <c r="BG5288" i="1"/>
  <c r="E5289" i="1"/>
  <c r="G5289" i="1"/>
  <c r="J5289" i="1"/>
  <c r="K5289" i="1"/>
  <c r="BE5289" i="1"/>
  <c r="BF5289" i="1"/>
  <c r="BG5289" i="1"/>
  <c r="E5290" i="1"/>
  <c r="G5290" i="1"/>
  <c r="J5290" i="1"/>
  <c r="K5290" i="1"/>
  <c r="BE5290" i="1"/>
  <c r="BF5290" i="1"/>
  <c r="BG5290" i="1"/>
  <c r="E5291" i="1"/>
  <c r="G5291" i="1"/>
  <c r="J5291" i="1"/>
  <c r="K5291" i="1"/>
  <c r="BE5291" i="1"/>
  <c r="BF5291" i="1"/>
  <c r="BG5291" i="1"/>
  <c r="E5292" i="1"/>
  <c r="G5292" i="1"/>
  <c r="J5292" i="1"/>
  <c r="K5292" i="1"/>
  <c r="BE5292" i="1"/>
  <c r="BF5292" i="1"/>
  <c r="BG5292" i="1"/>
  <c r="E5293" i="1"/>
  <c r="G5293" i="1"/>
  <c r="J5293" i="1"/>
  <c r="K5293" i="1"/>
  <c r="BE5293" i="1"/>
  <c r="BF5293" i="1"/>
  <c r="BG5293" i="1"/>
  <c r="E5294" i="1"/>
  <c r="G5294" i="1"/>
  <c r="J5294" i="1"/>
  <c r="K5294" i="1"/>
  <c r="BE5294" i="1"/>
  <c r="BF5294" i="1"/>
  <c r="BG5294" i="1"/>
  <c r="E5295" i="1"/>
  <c r="G5295" i="1"/>
  <c r="J5295" i="1"/>
  <c r="K5295" i="1"/>
  <c r="BE5295" i="1"/>
  <c r="BF5295" i="1"/>
  <c r="BG5295" i="1"/>
  <c r="E5296" i="1"/>
  <c r="G5296" i="1"/>
  <c r="J5296" i="1"/>
  <c r="K5296" i="1"/>
  <c r="BE5296" i="1"/>
  <c r="BF5296" i="1"/>
  <c r="BG5296" i="1"/>
  <c r="E5297" i="1"/>
  <c r="G5297" i="1"/>
  <c r="J5297" i="1"/>
  <c r="K5297" i="1"/>
  <c r="BE5297" i="1"/>
  <c r="BF5297" i="1"/>
  <c r="BG5297" i="1"/>
  <c r="E5298" i="1"/>
  <c r="G5298" i="1"/>
  <c r="J5298" i="1"/>
  <c r="K5298" i="1"/>
  <c r="BE5298" i="1"/>
  <c r="BF5298" i="1"/>
  <c r="BG5298" i="1"/>
  <c r="E5299" i="1"/>
  <c r="G5299" i="1"/>
  <c r="J5299" i="1"/>
  <c r="K5299" i="1"/>
  <c r="BE5299" i="1"/>
  <c r="BF5299" i="1"/>
  <c r="BG5299" i="1"/>
  <c r="E5300" i="1"/>
  <c r="G5300" i="1"/>
  <c r="J5300" i="1"/>
  <c r="K5300" i="1"/>
  <c r="BE5300" i="1"/>
  <c r="BF5300" i="1"/>
  <c r="BG5300" i="1"/>
  <c r="E5301" i="1"/>
  <c r="G5301" i="1"/>
  <c r="J5301" i="1"/>
  <c r="K5301" i="1"/>
  <c r="BE5301" i="1"/>
  <c r="BF5301" i="1"/>
  <c r="BG5301" i="1"/>
  <c r="E5302" i="1"/>
  <c r="G5302" i="1"/>
  <c r="J5302" i="1"/>
  <c r="K5302" i="1"/>
  <c r="BE5302" i="1"/>
  <c r="BF5302" i="1"/>
  <c r="BG5302" i="1"/>
  <c r="E5303" i="1"/>
  <c r="G5303" i="1"/>
  <c r="J5303" i="1"/>
  <c r="K5303" i="1"/>
  <c r="BE5303" i="1"/>
  <c r="BF5303" i="1"/>
  <c r="BG5303" i="1"/>
  <c r="E5304" i="1"/>
  <c r="G5304" i="1"/>
  <c r="J5304" i="1"/>
  <c r="K5304" i="1"/>
  <c r="BE5304" i="1"/>
  <c r="BF5304" i="1"/>
  <c r="BG5304" i="1"/>
  <c r="E5305" i="1"/>
  <c r="G5305" i="1"/>
  <c r="J5305" i="1"/>
  <c r="K5305" i="1"/>
  <c r="BE5305" i="1"/>
  <c r="BF5305" i="1"/>
  <c r="BG5305" i="1"/>
  <c r="E5306" i="1"/>
  <c r="G5306" i="1"/>
  <c r="J5306" i="1"/>
  <c r="K5306" i="1"/>
  <c r="BE5306" i="1"/>
  <c r="BF5306" i="1"/>
  <c r="BG5306" i="1"/>
  <c r="E5307" i="1"/>
  <c r="G5307" i="1"/>
  <c r="J5307" i="1"/>
  <c r="K5307" i="1"/>
  <c r="BE5307" i="1"/>
  <c r="BF5307" i="1"/>
  <c r="BG5307" i="1"/>
  <c r="E5308" i="1"/>
  <c r="G5308" i="1"/>
  <c r="J5308" i="1"/>
  <c r="K5308" i="1"/>
  <c r="BE5308" i="1"/>
  <c r="BF5308" i="1"/>
  <c r="BG5308" i="1"/>
  <c r="E5309" i="1"/>
  <c r="G5309" i="1"/>
  <c r="J5309" i="1"/>
  <c r="K5309" i="1"/>
  <c r="BE5309" i="1"/>
  <c r="BF5309" i="1"/>
  <c r="BG5309" i="1"/>
  <c r="E5310" i="1"/>
  <c r="G5310" i="1"/>
  <c r="J5310" i="1"/>
  <c r="K5310" i="1"/>
  <c r="BE5310" i="1"/>
  <c r="BF5310" i="1"/>
  <c r="BG5310" i="1"/>
  <c r="E5311" i="1"/>
  <c r="G5311" i="1"/>
  <c r="J5311" i="1"/>
  <c r="K5311" i="1"/>
  <c r="BE5311" i="1"/>
  <c r="BF5311" i="1"/>
  <c r="BG5311" i="1"/>
  <c r="E5312" i="1"/>
  <c r="G5312" i="1"/>
  <c r="J5312" i="1"/>
  <c r="K5312" i="1"/>
  <c r="BE5312" i="1"/>
  <c r="BF5312" i="1"/>
  <c r="BG5312" i="1"/>
  <c r="E5313" i="1"/>
  <c r="G5313" i="1"/>
  <c r="J5313" i="1"/>
  <c r="K5313" i="1"/>
  <c r="BE5313" i="1"/>
  <c r="BF5313" i="1"/>
  <c r="BG5313" i="1"/>
  <c r="E5314" i="1"/>
  <c r="G5314" i="1"/>
  <c r="J5314" i="1"/>
  <c r="K5314" i="1"/>
  <c r="BE5314" i="1"/>
  <c r="BF5314" i="1"/>
  <c r="BG5314" i="1"/>
  <c r="E5315" i="1"/>
  <c r="G5315" i="1"/>
  <c r="J5315" i="1"/>
  <c r="K5315" i="1"/>
  <c r="BE5315" i="1"/>
  <c r="BF5315" i="1"/>
  <c r="BG5315" i="1"/>
  <c r="E5316" i="1"/>
  <c r="G5316" i="1"/>
  <c r="J5316" i="1"/>
  <c r="K5316" i="1"/>
  <c r="BE5316" i="1"/>
  <c r="BF5316" i="1"/>
  <c r="BG5316" i="1"/>
  <c r="E5317" i="1"/>
  <c r="G5317" i="1"/>
  <c r="J5317" i="1"/>
  <c r="K5317" i="1"/>
  <c r="BE5317" i="1"/>
  <c r="BF5317" i="1"/>
  <c r="BG5317" i="1"/>
  <c r="E5318" i="1"/>
  <c r="G5318" i="1"/>
  <c r="J5318" i="1"/>
  <c r="K5318" i="1"/>
  <c r="BE5318" i="1"/>
  <c r="BF5318" i="1"/>
  <c r="BG5318" i="1"/>
  <c r="E5319" i="1"/>
  <c r="G5319" i="1"/>
  <c r="J5319" i="1"/>
  <c r="K5319" i="1"/>
  <c r="BE5319" i="1"/>
  <c r="BF5319" i="1"/>
  <c r="BG5319" i="1"/>
  <c r="E5320" i="1"/>
  <c r="G5320" i="1"/>
  <c r="J5320" i="1"/>
  <c r="K5320" i="1"/>
  <c r="BE5320" i="1"/>
  <c r="BF5320" i="1"/>
  <c r="BG5320" i="1"/>
  <c r="E5321" i="1"/>
  <c r="G5321" i="1"/>
  <c r="J5321" i="1"/>
  <c r="K5321" i="1"/>
  <c r="BE5321" i="1"/>
  <c r="BF5321" i="1"/>
  <c r="BG5321" i="1"/>
  <c r="E5322" i="1"/>
  <c r="G5322" i="1"/>
  <c r="J5322" i="1"/>
  <c r="K5322" i="1"/>
  <c r="BE5322" i="1"/>
  <c r="BF5322" i="1"/>
  <c r="BG5322" i="1"/>
  <c r="E5323" i="1"/>
  <c r="G5323" i="1"/>
  <c r="J5323" i="1"/>
  <c r="K5323" i="1"/>
  <c r="BE5323" i="1"/>
  <c r="BF5323" i="1"/>
  <c r="BG5323" i="1"/>
  <c r="E5324" i="1"/>
  <c r="G5324" i="1"/>
  <c r="J5324" i="1"/>
  <c r="K5324" i="1"/>
  <c r="BE5324" i="1"/>
  <c r="BF5324" i="1"/>
  <c r="BG5324" i="1"/>
  <c r="E5325" i="1"/>
  <c r="G5325" i="1"/>
  <c r="J5325" i="1"/>
  <c r="K5325" i="1"/>
  <c r="BE5325" i="1"/>
  <c r="BF5325" i="1"/>
  <c r="BG5325" i="1"/>
  <c r="E5326" i="1"/>
  <c r="G5326" i="1"/>
  <c r="J5326" i="1"/>
  <c r="K5326" i="1"/>
  <c r="BE5326" i="1"/>
  <c r="BF5326" i="1"/>
  <c r="BG5326" i="1"/>
  <c r="E5327" i="1"/>
  <c r="G5327" i="1"/>
  <c r="J5327" i="1"/>
  <c r="K5327" i="1"/>
  <c r="BE5327" i="1"/>
  <c r="BF5327" i="1"/>
  <c r="BG5327" i="1"/>
  <c r="E5328" i="1"/>
  <c r="G5328" i="1"/>
  <c r="J5328" i="1"/>
  <c r="K5328" i="1"/>
  <c r="BE5328" i="1"/>
  <c r="BF5328" i="1"/>
  <c r="BG5328" i="1"/>
  <c r="E5329" i="1"/>
  <c r="G5329" i="1"/>
  <c r="J5329" i="1"/>
  <c r="K5329" i="1"/>
  <c r="BE5329" i="1"/>
  <c r="BF5329" i="1"/>
  <c r="BG5329" i="1"/>
  <c r="E5330" i="1"/>
  <c r="G5330" i="1"/>
  <c r="J5330" i="1"/>
  <c r="K5330" i="1"/>
  <c r="BE5330" i="1"/>
  <c r="BF5330" i="1"/>
  <c r="BG5330" i="1"/>
  <c r="E5331" i="1"/>
  <c r="G5331" i="1"/>
  <c r="J5331" i="1"/>
  <c r="K5331" i="1"/>
  <c r="BE5331" i="1"/>
  <c r="BF5331" i="1"/>
  <c r="BG5331" i="1"/>
  <c r="E5332" i="1"/>
  <c r="G5332" i="1"/>
  <c r="J5332" i="1"/>
  <c r="K5332" i="1"/>
  <c r="BE5332" i="1"/>
  <c r="BF5332" i="1"/>
  <c r="BG5332" i="1"/>
  <c r="E5333" i="1"/>
  <c r="G5333" i="1"/>
  <c r="J5333" i="1"/>
  <c r="K5333" i="1"/>
  <c r="BE5333" i="1"/>
  <c r="BF5333" i="1"/>
  <c r="BG5333" i="1"/>
  <c r="E5334" i="1"/>
  <c r="G5334" i="1"/>
  <c r="J5334" i="1"/>
  <c r="K5334" i="1"/>
  <c r="BE5334" i="1"/>
  <c r="BF5334" i="1"/>
  <c r="BG5334" i="1"/>
  <c r="E5335" i="1"/>
  <c r="G5335" i="1"/>
  <c r="J5335" i="1"/>
  <c r="K5335" i="1"/>
  <c r="BE5335" i="1"/>
  <c r="BF5335" i="1"/>
  <c r="BG5335" i="1"/>
  <c r="E5336" i="1"/>
  <c r="G5336" i="1"/>
  <c r="J5336" i="1"/>
  <c r="K5336" i="1"/>
  <c r="BE5336" i="1"/>
  <c r="BF5336" i="1"/>
  <c r="BG5336" i="1"/>
  <c r="E5337" i="1"/>
  <c r="G5337" i="1"/>
  <c r="J5337" i="1"/>
  <c r="K5337" i="1"/>
  <c r="BE5337" i="1"/>
  <c r="BF5337" i="1"/>
  <c r="BG5337" i="1"/>
  <c r="E5338" i="1"/>
  <c r="G5338" i="1"/>
  <c r="J5338" i="1"/>
  <c r="K5338" i="1"/>
  <c r="BE5338" i="1"/>
  <c r="BF5338" i="1"/>
  <c r="BG5338" i="1"/>
  <c r="E5339" i="1"/>
  <c r="G5339" i="1"/>
  <c r="J5339" i="1"/>
  <c r="K5339" i="1"/>
  <c r="BE5339" i="1"/>
  <c r="BF5339" i="1"/>
  <c r="BG5339" i="1"/>
  <c r="E5340" i="1"/>
  <c r="G5340" i="1"/>
  <c r="J5340" i="1"/>
  <c r="K5340" i="1"/>
  <c r="BE5340" i="1"/>
  <c r="BF5340" i="1"/>
  <c r="BG5340" i="1"/>
  <c r="E5341" i="1"/>
  <c r="G5341" i="1"/>
  <c r="J5341" i="1"/>
  <c r="K5341" i="1"/>
  <c r="BE5341" i="1"/>
  <c r="BF5341" i="1"/>
  <c r="BG5341" i="1"/>
  <c r="E5342" i="1"/>
  <c r="G5342" i="1"/>
  <c r="J5342" i="1"/>
  <c r="K5342" i="1"/>
  <c r="BE5342" i="1"/>
  <c r="BF5342" i="1"/>
  <c r="BG5342" i="1"/>
  <c r="E5343" i="1"/>
  <c r="G5343" i="1"/>
  <c r="J5343" i="1"/>
  <c r="K5343" i="1"/>
  <c r="BE5343" i="1"/>
  <c r="BF5343" i="1"/>
  <c r="BG5343" i="1"/>
  <c r="E5344" i="1"/>
  <c r="G5344" i="1"/>
  <c r="J5344" i="1"/>
  <c r="K5344" i="1"/>
  <c r="BE5344" i="1"/>
  <c r="BF5344" i="1"/>
  <c r="BG5344" i="1"/>
  <c r="E5345" i="1"/>
  <c r="G5345" i="1"/>
  <c r="J5345" i="1"/>
  <c r="K5345" i="1"/>
  <c r="BE5345" i="1"/>
  <c r="BF5345" i="1"/>
  <c r="BG5345" i="1"/>
  <c r="E5346" i="1"/>
  <c r="G5346" i="1"/>
  <c r="J5346" i="1"/>
  <c r="K5346" i="1"/>
  <c r="BE5346" i="1"/>
  <c r="BF5346" i="1"/>
  <c r="BG5346" i="1"/>
  <c r="E5347" i="1"/>
  <c r="G5347" i="1"/>
  <c r="J5347" i="1"/>
  <c r="K5347" i="1"/>
  <c r="BE5347" i="1"/>
  <c r="BF5347" i="1"/>
  <c r="BG5347" i="1"/>
  <c r="E5348" i="1"/>
  <c r="G5348" i="1"/>
  <c r="J5348" i="1"/>
  <c r="K5348" i="1"/>
  <c r="BE5348" i="1"/>
  <c r="BF5348" i="1"/>
  <c r="BG5348" i="1"/>
  <c r="E5349" i="1"/>
  <c r="G5349" i="1"/>
  <c r="J5349" i="1"/>
  <c r="K5349" i="1"/>
  <c r="BE5349" i="1"/>
  <c r="BF5349" i="1"/>
  <c r="BG5349" i="1"/>
  <c r="E5350" i="1"/>
  <c r="G5350" i="1"/>
  <c r="J5350" i="1"/>
  <c r="K5350" i="1"/>
  <c r="BE5350" i="1"/>
  <c r="BF5350" i="1"/>
  <c r="BG5350" i="1"/>
  <c r="E5351" i="1"/>
  <c r="G5351" i="1"/>
  <c r="J5351" i="1"/>
  <c r="K5351" i="1"/>
  <c r="BE5351" i="1"/>
  <c r="BF5351" i="1"/>
  <c r="BG5351" i="1"/>
  <c r="E5352" i="1"/>
  <c r="G5352" i="1"/>
  <c r="J5352" i="1"/>
  <c r="K5352" i="1"/>
  <c r="BE5352" i="1"/>
  <c r="BF5352" i="1"/>
  <c r="BG5352" i="1"/>
  <c r="E5353" i="1"/>
  <c r="G5353" i="1"/>
  <c r="J5353" i="1"/>
  <c r="K5353" i="1"/>
  <c r="BE5353" i="1"/>
  <c r="BF5353" i="1"/>
  <c r="BG5353" i="1"/>
  <c r="E5354" i="1"/>
  <c r="G5354" i="1"/>
  <c r="J5354" i="1"/>
  <c r="K5354" i="1"/>
  <c r="BE5354" i="1"/>
  <c r="BF5354" i="1"/>
  <c r="BG5354" i="1"/>
  <c r="E5355" i="1"/>
  <c r="G5355" i="1"/>
  <c r="J5355" i="1"/>
  <c r="K5355" i="1"/>
  <c r="BE5355" i="1"/>
  <c r="BF5355" i="1"/>
  <c r="BG5355" i="1"/>
  <c r="E5356" i="1"/>
  <c r="G5356" i="1"/>
  <c r="J5356" i="1"/>
  <c r="K5356" i="1"/>
  <c r="BE5356" i="1"/>
  <c r="BF5356" i="1"/>
  <c r="BG5356" i="1"/>
  <c r="E5357" i="1"/>
  <c r="G5357" i="1"/>
  <c r="J5357" i="1"/>
  <c r="K5357" i="1"/>
  <c r="BE5357" i="1"/>
  <c r="BF5357" i="1"/>
  <c r="BG5357" i="1"/>
  <c r="E5358" i="1"/>
  <c r="G5358" i="1"/>
  <c r="J5358" i="1"/>
  <c r="K5358" i="1"/>
  <c r="BE5358" i="1"/>
  <c r="BF5358" i="1"/>
  <c r="BG5358" i="1"/>
  <c r="E5359" i="1"/>
  <c r="G5359" i="1"/>
  <c r="J5359" i="1"/>
  <c r="K5359" i="1"/>
  <c r="BE5359" i="1"/>
  <c r="BF5359" i="1"/>
  <c r="BG5359" i="1"/>
  <c r="E5360" i="1"/>
  <c r="G5360" i="1"/>
  <c r="J5360" i="1"/>
  <c r="K5360" i="1"/>
  <c r="BE5360" i="1"/>
  <c r="BF5360" i="1"/>
  <c r="BG5360" i="1"/>
  <c r="E5361" i="1"/>
  <c r="G5361" i="1"/>
  <c r="J5361" i="1"/>
  <c r="K5361" i="1"/>
  <c r="BE5361" i="1"/>
  <c r="BF5361" i="1"/>
  <c r="BG5361" i="1"/>
  <c r="E5362" i="1"/>
  <c r="G5362" i="1"/>
  <c r="J5362" i="1"/>
  <c r="K5362" i="1"/>
  <c r="BE5362" i="1"/>
  <c r="BF5362" i="1"/>
  <c r="BG5362" i="1"/>
  <c r="E5363" i="1"/>
  <c r="G5363" i="1"/>
  <c r="J5363" i="1"/>
  <c r="K5363" i="1"/>
  <c r="BE5363" i="1"/>
  <c r="BF5363" i="1"/>
  <c r="BG5363" i="1"/>
  <c r="E5364" i="1"/>
  <c r="G5364" i="1"/>
  <c r="J5364" i="1"/>
  <c r="K5364" i="1"/>
  <c r="BE5364" i="1"/>
  <c r="BF5364" i="1"/>
  <c r="BG5364" i="1"/>
  <c r="E5365" i="1"/>
  <c r="G5365" i="1"/>
  <c r="J5365" i="1"/>
  <c r="K5365" i="1"/>
  <c r="BE5365" i="1"/>
  <c r="BF5365" i="1"/>
  <c r="BG5365" i="1"/>
  <c r="E5366" i="1"/>
  <c r="G5366" i="1"/>
  <c r="J5366" i="1"/>
  <c r="K5366" i="1"/>
  <c r="BE5366" i="1"/>
  <c r="BF5366" i="1"/>
  <c r="BG5366" i="1"/>
  <c r="E5367" i="1"/>
  <c r="G5367" i="1"/>
  <c r="J5367" i="1"/>
  <c r="K5367" i="1"/>
  <c r="BE5367" i="1"/>
  <c r="BF5367" i="1"/>
  <c r="BG5367" i="1"/>
  <c r="E5368" i="1"/>
  <c r="G5368" i="1"/>
  <c r="J5368" i="1"/>
  <c r="K5368" i="1"/>
  <c r="BE5368" i="1"/>
  <c r="BF5368" i="1"/>
  <c r="BG5368" i="1"/>
  <c r="E5369" i="1"/>
  <c r="G5369" i="1"/>
  <c r="J5369" i="1"/>
  <c r="K5369" i="1"/>
  <c r="BE5369" i="1"/>
  <c r="BF5369" i="1"/>
  <c r="BG5369" i="1"/>
  <c r="E5370" i="1"/>
  <c r="G5370" i="1"/>
  <c r="J5370" i="1"/>
  <c r="K5370" i="1"/>
  <c r="BE5370" i="1"/>
  <c r="BF5370" i="1"/>
  <c r="BG5370" i="1"/>
  <c r="E5371" i="1"/>
  <c r="G5371" i="1"/>
  <c r="J5371" i="1"/>
  <c r="K5371" i="1"/>
  <c r="BE5371" i="1"/>
  <c r="BG5371" i="1"/>
  <c r="E5372" i="1"/>
  <c r="G5372" i="1"/>
  <c r="J5372" i="1"/>
  <c r="K5372" i="1"/>
  <c r="BE5372" i="1"/>
  <c r="BF5372" i="1"/>
  <c r="BG5372" i="1"/>
  <c r="E5373" i="1"/>
  <c r="G5373" i="1"/>
  <c r="J5373" i="1"/>
  <c r="K5373" i="1"/>
  <c r="BE5373" i="1"/>
  <c r="BF5373" i="1"/>
  <c r="BG5373" i="1"/>
  <c r="E5374" i="1"/>
  <c r="G5374" i="1"/>
  <c r="J5374" i="1"/>
  <c r="K5374" i="1"/>
  <c r="BE5374" i="1"/>
  <c r="BF5374" i="1"/>
  <c r="BG5374" i="1"/>
  <c r="E5375" i="1"/>
  <c r="G5375" i="1"/>
  <c r="J5375" i="1"/>
  <c r="K5375" i="1"/>
  <c r="BE5375" i="1"/>
  <c r="BF5375" i="1"/>
  <c r="BG5375" i="1"/>
  <c r="E5376" i="1"/>
  <c r="G5376" i="1"/>
  <c r="J5376" i="1"/>
  <c r="K5376" i="1"/>
  <c r="BE5376" i="1"/>
  <c r="BF5376" i="1"/>
  <c r="BG5376" i="1"/>
  <c r="E5377" i="1"/>
  <c r="G5377" i="1"/>
  <c r="J5377" i="1"/>
  <c r="K5377" i="1"/>
  <c r="BE5377" i="1"/>
  <c r="BF5377" i="1"/>
  <c r="BG5377" i="1"/>
  <c r="E5378" i="1"/>
  <c r="G5378" i="1"/>
  <c r="J5378" i="1"/>
  <c r="K5378" i="1"/>
  <c r="BE5378" i="1"/>
  <c r="BF5378" i="1"/>
  <c r="BG5378" i="1"/>
  <c r="E5379" i="1"/>
  <c r="G5379" i="1"/>
  <c r="J5379" i="1"/>
  <c r="K5379" i="1"/>
  <c r="BE5379" i="1"/>
  <c r="BF5379" i="1"/>
  <c r="BG5379" i="1"/>
  <c r="E5380" i="1"/>
  <c r="G5380" i="1"/>
  <c r="J5380" i="1"/>
  <c r="K5380" i="1"/>
  <c r="BE5380" i="1"/>
  <c r="BF5380" i="1"/>
  <c r="BG5380" i="1"/>
  <c r="E5381" i="1"/>
  <c r="G5381" i="1"/>
  <c r="J5381" i="1"/>
  <c r="K5381" i="1"/>
  <c r="BE5381" i="1"/>
  <c r="BF5381" i="1"/>
  <c r="BG5381" i="1"/>
  <c r="E5382" i="1"/>
  <c r="G5382" i="1"/>
  <c r="J5382" i="1"/>
  <c r="K5382" i="1"/>
  <c r="BE5382" i="1"/>
  <c r="BF5382" i="1"/>
  <c r="BG5382" i="1"/>
  <c r="E5383" i="1"/>
  <c r="G5383" i="1"/>
  <c r="J5383" i="1"/>
  <c r="K5383" i="1"/>
  <c r="BE5383" i="1"/>
  <c r="BF5383" i="1"/>
  <c r="BG5383" i="1"/>
  <c r="E5384" i="1"/>
  <c r="G5384" i="1"/>
  <c r="J5384" i="1"/>
  <c r="K5384" i="1"/>
  <c r="BE5384" i="1"/>
  <c r="BF5384" i="1"/>
  <c r="BG5384" i="1"/>
  <c r="E5385" i="1"/>
  <c r="G5385" i="1"/>
  <c r="J5385" i="1"/>
  <c r="K5385" i="1"/>
  <c r="BE5385" i="1"/>
  <c r="BF5385" i="1"/>
  <c r="BG5385" i="1"/>
  <c r="E5386" i="1"/>
  <c r="G5386" i="1"/>
  <c r="J5386" i="1"/>
  <c r="K5386" i="1"/>
  <c r="BE5386" i="1"/>
  <c r="BF5386" i="1"/>
  <c r="BG5386" i="1"/>
  <c r="E5387" i="1"/>
  <c r="G5387" i="1"/>
  <c r="J5387" i="1"/>
  <c r="K5387" i="1"/>
  <c r="BE5387" i="1"/>
  <c r="BF5387" i="1"/>
  <c r="BG5387" i="1"/>
  <c r="E5388" i="1"/>
  <c r="G5388" i="1"/>
  <c r="J5388" i="1"/>
  <c r="K5388" i="1"/>
  <c r="BE5388" i="1"/>
  <c r="BF5388" i="1"/>
  <c r="BG5388" i="1"/>
  <c r="E5389" i="1"/>
  <c r="G5389" i="1"/>
  <c r="J5389" i="1"/>
  <c r="K5389" i="1"/>
  <c r="BE5389" i="1"/>
  <c r="BF5389" i="1"/>
  <c r="BG5389" i="1"/>
  <c r="E5390" i="1"/>
  <c r="G5390" i="1"/>
  <c r="J5390" i="1"/>
  <c r="K5390" i="1"/>
  <c r="BE5390" i="1"/>
  <c r="BF5390" i="1"/>
  <c r="BG5390" i="1"/>
  <c r="E5391" i="1"/>
  <c r="G5391" i="1"/>
  <c r="J5391" i="1"/>
  <c r="K5391" i="1"/>
  <c r="BE5391" i="1"/>
  <c r="BF5391" i="1"/>
  <c r="BG5391" i="1"/>
  <c r="E5392" i="1"/>
  <c r="G5392" i="1"/>
  <c r="J5392" i="1"/>
  <c r="K5392" i="1"/>
  <c r="BE5392" i="1"/>
  <c r="BF5392" i="1"/>
  <c r="BG5392" i="1"/>
  <c r="E5393" i="1"/>
  <c r="G5393" i="1"/>
  <c r="J5393" i="1"/>
  <c r="K5393" i="1"/>
  <c r="BE5393" i="1"/>
  <c r="BF5393" i="1"/>
  <c r="BG5393" i="1"/>
  <c r="E5394" i="1"/>
  <c r="G5394" i="1"/>
  <c r="J5394" i="1"/>
  <c r="K5394" i="1"/>
  <c r="BE5394" i="1"/>
  <c r="BF5394" i="1"/>
  <c r="BG5394" i="1"/>
  <c r="E5395" i="1"/>
  <c r="G5395" i="1"/>
  <c r="J5395" i="1"/>
  <c r="K5395" i="1"/>
  <c r="BE5395" i="1"/>
  <c r="BF5395" i="1"/>
  <c r="BG5395" i="1"/>
  <c r="E5396" i="1"/>
  <c r="G5396" i="1"/>
  <c r="J5396" i="1"/>
  <c r="K5396" i="1"/>
  <c r="BE5396" i="1"/>
  <c r="BF5396" i="1"/>
  <c r="BG5396" i="1"/>
  <c r="E5397" i="1"/>
  <c r="G5397" i="1"/>
  <c r="J5397" i="1"/>
  <c r="K5397" i="1"/>
  <c r="BE5397" i="1"/>
  <c r="BF5397" i="1"/>
  <c r="BG5397" i="1"/>
  <c r="E5398" i="1"/>
  <c r="G5398" i="1"/>
  <c r="J5398" i="1"/>
  <c r="K5398" i="1"/>
  <c r="BE5398" i="1"/>
  <c r="BF5398" i="1"/>
  <c r="BG5398" i="1"/>
  <c r="E5399" i="1"/>
  <c r="G5399" i="1"/>
  <c r="J5399" i="1"/>
  <c r="K5399" i="1"/>
  <c r="BE5399" i="1"/>
  <c r="BF5399" i="1"/>
  <c r="BG5399" i="1"/>
  <c r="E5400" i="1"/>
  <c r="G5400" i="1"/>
  <c r="J5400" i="1"/>
  <c r="K5400" i="1"/>
  <c r="BE5400" i="1"/>
  <c r="BF5400" i="1"/>
  <c r="BG5400" i="1"/>
  <c r="E5401" i="1"/>
  <c r="G5401" i="1"/>
  <c r="J5401" i="1"/>
  <c r="K5401" i="1"/>
  <c r="BE5401" i="1"/>
  <c r="BF5401" i="1"/>
  <c r="BG5401" i="1"/>
  <c r="E5402" i="1"/>
  <c r="G5402" i="1"/>
  <c r="J5402" i="1"/>
  <c r="K5402" i="1"/>
  <c r="BE5402" i="1"/>
  <c r="BF5402" i="1"/>
  <c r="BG5402" i="1"/>
  <c r="E5403" i="1"/>
  <c r="G5403" i="1"/>
  <c r="J5403" i="1"/>
  <c r="K5403" i="1"/>
  <c r="BE5403" i="1"/>
  <c r="BF5403" i="1"/>
  <c r="BG5403" i="1"/>
  <c r="E5404" i="1"/>
  <c r="G5404" i="1"/>
  <c r="J5404" i="1"/>
  <c r="K5404" i="1"/>
  <c r="BE5404" i="1"/>
  <c r="BF5404" i="1"/>
  <c r="BG5404" i="1"/>
  <c r="E5405" i="1"/>
  <c r="G5405" i="1"/>
  <c r="J5405" i="1"/>
  <c r="K5405" i="1"/>
  <c r="BE5405" i="1"/>
  <c r="BF5405" i="1"/>
  <c r="BG5405" i="1"/>
  <c r="E5406" i="1"/>
  <c r="G5406" i="1"/>
  <c r="J5406" i="1"/>
  <c r="K5406" i="1"/>
  <c r="BE5406" i="1"/>
  <c r="BF5406" i="1"/>
  <c r="BG5406" i="1"/>
  <c r="E5407" i="1"/>
  <c r="G5407" i="1"/>
  <c r="J5407" i="1"/>
  <c r="K5407" i="1"/>
  <c r="BE5407" i="1"/>
  <c r="BF5407" i="1"/>
  <c r="BG5407" i="1"/>
  <c r="E5408" i="1"/>
  <c r="G5408" i="1"/>
  <c r="J5408" i="1"/>
  <c r="K5408" i="1"/>
  <c r="BE5408" i="1"/>
  <c r="BF5408" i="1"/>
  <c r="BG5408" i="1"/>
  <c r="E5409" i="1"/>
  <c r="G5409" i="1"/>
  <c r="J5409" i="1"/>
  <c r="K5409" i="1"/>
  <c r="BE5409" i="1"/>
  <c r="BF5409" i="1"/>
  <c r="BG5409" i="1"/>
  <c r="E5410" i="1"/>
  <c r="G5410" i="1"/>
  <c r="J5410" i="1"/>
  <c r="K5410" i="1"/>
  <c r="BE5410" i="1"/>
  <c r="BF5410" i="1"/>
  <c r="BG5410" i="1"/>
  <c r="E5411" i="1"/>
  <c r="G5411" i="1"/>
  <c r="J5411" i="1"/>
  <c r="K5411" i="1"/>
  <c r="BE5411" i="1"/>
  <c r="BF5411" i="1"/>
  <c r="BG5411" i="1"/>
  <c r="E5412" i="1"/>
  <c r="G5412" i="1"/>
  <c r="J5412" i="1"/>
  <c r="K5412" i="1"/>
  <c r="BE5412" i="1"/>
  <c r="BF5412" i="1"/>
  <c r="BG5412" i="1"/>
  <c r="E5413" i="1"/>
  <c r="G5413" i="1"/>
  <c r="J5413" i="1"/>
  <c r="K5413" i="1"/>
  <c r="BE5413" i="1"/>
  <c r="BF5413" i="1"/>
  <c r="BG5413" i="1"/>
  <c r="E5414" i="1"/>
  <c r="G5414" i="1"/>
  <c r="J5414" i="1"/>
  <c r="K5414" i="1"/>
  <c r="BE5414" i="1"/>
  <c r="BF5414" i="1"/>
  <c r="BG5414" i="1"/>
  <c r="E5415" i="1"/>
  <c r="G5415" i="1"/>
  <c r="J5415" i="1"/>
  <c r="K5415" i="1"/>
  <c r="BE5415" i="1"/>
  <c r="BF5415" i="1"/>
  <c r="BG5415" i="1"/>
  <c r="E5416" i="1"/>
  <c r="G5416" i="1"/>
  <c r="J5416" i="1"/>
  <c r="K5416" i="1"/>
  <c r="BE5416" i="1"/>
  <c r="BG5416" i="1"/>
  <c r="E5417" i="1"/>
  <c r="G5417" i="1"/>
  <c r="J5417" i="1"/>
  <c r="K5417" i="1"/>
  <c r="BE5417" i="1"/>
  <c r="BF5417" i="1"/>
  <c r="BG5417" i="1"/>
  <c r="E5418" i="1"/>
  <c r="G5418" i="1"/>
  <c r="J5418" i="1"/>
  <c r="K5418" i="1"/>
  <c r="BE5418" i="1"/>
  <c r="BF5418" i="1"/>
  <c r="BG5418" i="1"/>
  <c r="E5419" i="1"/>
  <c r="G5419" i="1"/>
  <c r="J5419" i="1"/>
  <c r="K5419" i="1"/>
  <c r="BE5419" i="1"/>
  <c r="BF5419" i="1"/>
  <c r="BG5419" i="1"/>
  <c r="E5420" i="1"/>
  <c r="G5420" i="1"/>
  <c r="J5420" i="1"/>
  <c r="K5420" i="1"/>
  <c r="BE5420" i="1"/>
  <c r="BF5420" i="1"/>
  <c r="BG5420" i="1"/>
  <c r="E5421" i="1"/>
  <c r="G5421" i="1"/>
  <c r="J5421" i="1"/>
  <c r="K5421" i="1"/>
  <c r="BE5421" i="1"/>
  <c r="BF5421" i="1"/>
  <c r="BG5421" i="1"/>
  <c r="E5422" i="1"/>
  <c r="G5422" i="1"/>
  <c r="J5422" i="1"/>
  <c r="K5422" i="1"/>
  <c r="BE5422" i="1"/>
  <c r="BF5422" i="1"/>
  <c r="BG5422" i="1"/>
  <c r="E5423" i="1"/>
  <c r="G5423" i="1"/>
  <c r="J5423" i="1"/>
  <c r="K5423" i="1"/>
  <c r="BE5423" i="1"/>
  <c r="BF5423" i="1"/>
  <c r="BG5423" i="1"/>
  <c r="E5424" i="1"/>
  <c r="G5424" i="1"/>
  <c r="J5424" i="1"/>
  <c r="K5424" i="1"/>
  <c r="BE5424" i="1"/>
  <c r="BF5424" i="1"/>
  <c r="BG5424" i="1"/>
  <c r="E5425" i="1"/>
  <c r="G5425" i="1"/>
  <c r="J5425" i="1"/>
  <c r="K5425" i="1"/>
  <c r="BE5425" i="1"/>
  <c r="BF5425" i="1"/>
  <c r="BG5425" i="1"/>
  <c r="E5426" i="1"/>
  <c r="G5426" i="1"/>
  <c r="J5426" i="1"/>
  <c r="K5426" i="1"/>
  <c r="BE5426" i="1"/>
  <c r="BF5426" i="1"/>
  <c r="BG5426" i="1"/>
  <c r="E5427" i="1"/>
  <c r="G5427" i="1"/>
  <c r="J5427" i="1"/>
  <c r="K5427" i="1"/>
  <c r="BE5427" i="1"/>
  <c r="BF5427" i="1"/>
  <c r="BG5427" i="1"/>
  <c r="E5428" i="1"/>
  <c r="G5428" i="1"/>
  <c r="J5428" i="1"/>
  <c r="K5428" i="1"/>
  <c r="BE5428" i="1"/>
  <c r="BF5428" i="1"/>
  <c r="BG5428" i="1"/>
  <c r="E5429" i="1"/>
  <c r="G5429" i="1"/>
  <c r="J5429" i="1"/>
  <c r="K5429" i="1"/>
  <c r="BE5429" i="1"/>
  <c r="BF5429" i="1"/>
  <c r="BG5429" i="1"/>
  <c r="E5430" i="1"/>
  <c r="G5430" i="1"/>
  <c r="J5430" i="1"/>
  <c r="K5430" i="1"/>
  <c r="BE5430" i="1"/>
  <c r="BF5430" i="1"/>
  <c r="BG5430" i="1"/>
  <c r="E5431" i="1"/>
  <c r="G5431" i="1"/>
  <c r="J5431" i="1"/>
  <c r="K5431" i="1"/>
  <c r="BE5431" i="1"/>
  <c r="BF5431" i="1"/>
  <c r="BG5431" i="1"/>
  <c r="E5432" i="1"/>
  <c r="G5432" i="1"/>
  <c r="J5432" i="1"/>
  <c r="K5432" i="1"/>
  <c r="BE5432" i="1"/>
  <c r="BF5432" i="1"/>
  <c r="BG5432" i="1"/>
  <c r="E5433" i="1"/>
  <c r="G5433" i="1"/>
  <c r="J5433" i="1"/>
  <c r="K5433" i="1"/>
  <c r="BE5433" i="1"/>
  <c r="BF5433" i="1"/>
  <c r="BG5433" i="1"/>
  <c r="E5434" i="1"/>
  <c r="G5434" i="1"/>
  <c r="J5434" i="1"/>
  <c r="K5434" i="1"/>
  <c r="BE5434" i="1"/>
  <c r="BF5434" i="1"/>
  <c r="BG5434" i="1"/>
  <c r="E5435" i="1"/>
  <c r="G5435" i="1"/>
  <c r="J5435" i="1"/>
  <c r="K5435" i="1"/>
  <c r="BE5435" i="1"/>
  <c r="BF5435" i="1"/>
  <c r="BG5435" i="1"/>
  <c r="E5436" i="1"/>
  <c r="G5436" i="1"/>
  <c r="J5436" i="1"/>
  <c r="K5436" i="1"/>
  <c r="BE5436" i="1"/>
  <c r="BF5436" i="1"/>
  <c r="BG5436" i="1"/>
  <c r="E5437" i="1"/>
  <c r="G5437" i="1"/>
  <c r="J5437" i="1"/>
  <c r="K5437" i="1"/>
  <c r="BE5437" i="1"/>
  <c r="BF5437" i="1"/>
  <c r="BG5437" i="1"/>
  <c r="E5438" i="1"/>
  <c r="G5438" i="1"/>
  <c r="J5438" i="1"/>
  <c r="K5438" i="1"/>
  <c r="BE5438" i="1"/>
  <c r="BF5438" i="1"/>
  <c r="BG5438" i="1"/>
  <c r="E5439" i="1"/>
  <c r="G5439" i="1"/>
  <c r="J5439" i="1"/>
  <c r="K5439" i="1"/>
  <c r="BE5439" i="1"/>
  <c r="BF5439" i="1"/>
  <c r="BG5439" i="1"/>
  <c r="E5440" i="1"/>
  <c r="G5440" i="1"/>
  <c r="J5440" i="1"/>
  <c r="K5440" i="1"/>
  <c r="BE5440" i="1"/>
  <c r="BF5440" i="1"/>
  <c r="BG5440" i="1"/>
  <c r="E5441" i="1"/>
  <c r="G5441" i="1"/>
  <c r="J5441" i="1"/>
  <c r="K5441" i="1"/>
  <c r="BE5441" i="1"/>
  <c r="BF5441" i="1"/>
  <c r="BG5441" i="1"/>
  <c r="E5442" i="1"/>
  <c r="G5442" i="1"/>
  <c r="J5442" i="1"/>
  <c r="K5442" i="1"/>
  <c r="BE5442" i="1"/>
  <c r="BF5442" i="1"/>
  <c r="BG5442" i="1"/>
  <c r="E5443" i="1"/>
  <c r="G5443" i="1"/>
  <c r="J5443" i="1"/>
  <c r="K5443" i="1"/>
  <c r="BE5443" i="1"/>
  <c r="BF5443" i="1"/>
  <c r="BG5443" i="1"/>
  <c r="E5444" i="1"/>
  <c r="G5444" i="1"/>
  <c r="J5444" i="1"/>
  <c r="K5444" i="1"/>
  <c r="BE5444" i="1"/>
  <c r="BF5444" i="1"/>
  <c r="BG5444" i="1"/>
  <c r="E5445" i="1"/>
  <c r="G5445" i="1"/>
  <c r="J5445" i="1"/>
  <c r="K5445" i="1"/>
  <c r="BE5445" i="1"/>
  <c r="BF5445" i="1"/>
  <c r="BG5445" i="1"/>
  <c r="E5446" i="1"/>
  <c r="G5446" i="1"/>
  <c r="J5446" i="1"/>
  <c r="K5446" i="1"/>
  <c r="BE5446" i="1"/>
  <c r="BF5446" i="1"/>
  <c r="BG5446" i="1"/>
  <c r="E5447" i="1"/>
  <c r="G5447" i="1"/>
  <c r="J5447" i="1"/>
  <c r="K5447" i="1"/>
  <c r="BE5447" i="1"/>
  <c r="BF5447" i="1"/>
  <c r="BG5447" i="1"/>
  <c r="E5448" i="1"/>
  <c r="G5448" i="1"/>
  <c r="J5448" i="1"/>
  <c r="K5448" i="1"/>
  <c r="BE5448" i="1"/>
  <c r="BF5448" i="1"/>
  <c r="BG5448" i="1"/>
  <c r="E5449" i="1"/>
  <c r="G5449" i="1"/>
  <c r="J5449" i="1"/>
  <c r="K5449" i="1"/>
  <c r="BE5449" i="1"/>
  <c r="BF5449" i="1"/>
  <c r="BG5449" i="1"/>
  <c r="E5450" i="1"/>
  <c r="G5450" i="1"/>
  <c r="J5450" i="1"/>
  <c r="K5450" i="1"/>
  <c r="BE5450" i="1"/>
  <c r="BF5450" i="1"/>
  <c r="BG5450" i="1"/>
  <c r="E5451" i="1"/>
  <c r="G5451" i="1"/>
  <c r="J5451" i="1"/>
  <c r="K5451" i="1"/>
  <c r="BE5451" i="1"/>
  <c r="BF5451" i="1"/>
  <c r="BG5451" i="1"/>
  <c r="E5452" i="1"/>
  <c r="G5452" i="1"/>
  <c r="J5452" i="1"/>
  <c r="K5452" i="1"/>
  <c r="BE5452" i="1"/>
  <c r="BF5452" i="1"/>
  <c r="BG5452" i="1"/>
  <c r="E5453" i="1"/>
  <c r="G5453" i="1"/>
  <c r="J5453" i="1"/>
  <c r="K5453" i="1"/>
  <c r="BE5453" i="1"/>
  <c r="BF5453" i="1"/>
  <c r="BG5453" i="1"/>
  <c r="E5454" i="1"/>
  <c r="G5454" i="1"/>
  <c r="J5454" i="1"/>
  <c r="K5454" i="1"/>
  <c r="BE5454" i="1"/>
  <c r="BF5454" i="1"/>
  <c r="BG5454" i="1"/>
  <c r="E5455" i="1"/>
  <c r="G5455" i="1"/>
  <c r="J5455" i="1"/>
  <c r="K5455" i="1"/>
  <c r="BE5455" i="1"/>
  <c r="BF5455" i="1"/>
  <c r="BG5455" i="1"/>
  <c r="E5456" i="1"/>
  <c r="G5456" i="1"/>
  <c r="J5456" i="1"/>
  <c r="K5456" i="1"/>
  <c r="BE5456" i="1"/>
  <c r="BF5456" i="1"/>
  <c r="BG5456" i="1"/>
  <c r="E5457" i="1"/>
  <c r="G5457" i="1"/>
  <c r="J5457" i="1"/>
  <c r="K5457" i="1"/>
  <c r="BE5457" i="1"/>
  <c r="BF5457" i="1"/>
  <c r="BG5457" i="1"/>
  <c r="E5458" i="1"/>
  <c r="G5458" i="1"/>
  <c r="J5458" i="1"/>
  <c r="K5458" i="1"/>
  <c r="BE5458" i="1"/>
  <c r="BF5458" i="1"/>
  <c r="BG5458" i="1"/>
  <c r="E5459" i="1"/>
  <c r="G5459" i="1"/>
  <c r="J5459" i="1"/>
  <c r="K5459" i="1"/>
  <c r="BE5459" i="1"/>
  <c r="BF5459" i="1"/>
  <c r="BG5459" i="1"/>
  <c r="E5460" i="1"/>
  <c r="G5460" i="1"/>
  <c r="J5460" i="1"/>
  <c r="K5460" i="1"/>
  <c r="BE5460" i="1"/>
  <c r="BF5460" i="1"/>
  <c r="BG5460" i="1"/>
  <c r="E5461" i="1"/>
  <c r="G5461" i="1"/>
  <c r="J5461" i="1"/>
  <c r="K5461" i="1"/>
  <c r="BE5461" i="1"/>
  <c r="BF5461" i="1"/>
  <c r="BG5461" i="1"/>
  <c r="E5462" i="1"/>
  <c r="G5462" i="1"/>
  <c r="J5462" i="1"/>
  <c r="K5462" i="1"/>
  <c r="BE5462" i="1"/>
  <c r="BF5462" i="1"/>
  <c r="BG5462" i="1"/>
  <c r="E5463" i="1"/>
  <c r="G5463" i="1"/>
  <c r="J5463" i="1"/>
  <c r="K5463" i="1"/>
  <c r="BE5463" i="1"/>
  <c r="BF5463" i="1"/>
  <c r="BG5463" i="1"/>
  <c r="E5464" i="1"/>
  <c r="G5464" i="1"/>
  <c r="J5464" i="1"/>
  <c r="K5464" i="1"/>
  <c r="BE5464" i="1"/>
  <c r="BF5464" i="1"/>
  <c r="BG5464" i="1"/>
  <c r="E5465" i="1"/>
  <c r="G5465" i="1"/>
  <c r="J5465" i="1"/>
  <c r="K5465" i="1"/>
  <c r="BE5465" i="1"/>
  <c r="BF5465" i="1"/>
  <c r="BG5465" i="1"/>
  <c r="E5466" i="1"/>
  <c r="G5466" i="1"/>
  <c r="J5466" i="1"/>
  <c r="K5466" i="1"/>
  <c r="BE5466" i="1"/>
  <c r="BF5466" i="1"/>
  <c r="BG5466" i="1"/>
  <c r="E5467" i="1"/>
  <c r="G5467" i="1"/>
  <c r="J5467" i="1"/>
  <c r="K5467" i="1"/>
  <c r="BE5467" i="1"/>
  <c r="BF5467" i="1"/>
  <c r="BG5467" i="1"/>
  <c r="E5468" i="1"/>
  <c r="G5468" i="1"/>
  <c r="J5468" i="1"/>
  <c r="K5468" i="1"/>
  <c r="BE5468" i="1"/>
  <c r="BF5468" i="1"/>
  <c r="BG5468" i="1"/>
  <c r="E5469" i="1"/>
  <c r="G5469" i="1"/>
  <c r="J5469" i="1"/>
  <c r="K5469" i="1"/>
  <c r="BE5469" i="1"/>
  <c r="BF5469" i="1"/>
  <c r="BG5469" i="1"/>
  <c r="E5470" i="1"/>
  <c r="G5470" i="1"/>
  <c r="J5470" i="1"/>
  <c r="K5470" i="1"/>
  <c r="BE5470" i="1"/>
  <c r="BF5470" i="1"/>
  <c r="BG5470" i="1"/>
  <c r="E5471" i="1"/>
  <c r="G5471" i="1"/>
  <c r="J5471" i="1"/>
  <c r="K5471" i="1"/>
  <c r="BE5471" i="1"/>
  <c r="BF5471" i="1"/>
  <c r="BG5471" i="1"/>
  <c r="E5472" i="1"/>
  <c r="G5472" i="1"/>
  <c r="J5472" i="1"/>
  <c r="K5472" i="1"/>
  <c r="BE5472" i="1"/>
  <c r="BF5472" i="1"/>
  <c r="BG5472" i="1"/>
  <c r="E5473" i="1"/>
  <c r="G5473" i="1"/>
  <c r="J5473" i="1"/>
  <c r="K5473" i="1"/>
  <c r="BE5473" i="1"/>
  <c r="BF5473" i="1"/>
  <c r="BG5473" i="1"/>
  <c r="E5474" i="1"/>
  <c r="G5474" i="1"/>
  <c r="J5474" i="1"/>
  <c r="K5474" i="1"/>
  <c r="BE5474" i="1"/>
  <c r="BF5474" i="1"/>
  <c r="BG5474" i="1"/>
  <c r="E5475" i="1"/>
  <c r="G5475" i="1"/>
  <c r="J5475" i="1"/>
  <c r="K5475" i="1"/>
  <c r="BE5475" i="1"/>
  <c r="BF5475" i="1"/>
  <c r="BG5475" i="1"/>
  <c r="E5476" i="1"/>
  <c r="G5476" i="1"/>
  <c r="J5476" i="1"/>
  <c r="K5476" i="1"/>
  <c r="BE5476" i="1"/>
  <c r="BF5476" i="1"/>
  <c r="BG5476" i="1"/>
  <c r="E5477" i="1"/>
  <c r="G5477" i="1"/>
  <c r="J5477" i="1"/>
  <c r="K5477" i="1"/>
  <c r="BE5477" i="1"/>
  <c r="BF5477" i="1"/>
  <c r="BG5477" i="1"/>
  <c r="E5478" i="1"/>
  <c r="G5478" i="1"/>
  <c r="J5478" i="1"/>
  <c r="K5478" i="1"/>
  <c r="BE5478" i="1"/>
  <c r="BF5478" i="1"/>
  <c r="BG5478" i="1"/>
  <c r="E5479" i="1"/>
  <c r="G5479" i="1"/>
  <c r="J5479" i="1"/>
  <c r="K5479" i="1"/>
  <c r="BE5479" i="1"/>
  <c r="BF5479" i="1"/>
  <c r="BG5479" i="1"/>
  <c r="E5480" i="1"/>
  <c r="G5480" i="1"/>
  <c r="J5480" i="1"/>
  <c r="K5480" i="1"/>
  <c r="BE5480" i="1"/>
  <c r="BF5480" i="1"/>
  <c r="BG5480" i="1"/>
  <c r="E5481" i="1"/>
  <c r="G5481" i="1"/>
  <c r="J5481" i="1"/>
  <c r="K5481" i="1"/>
  <c r="BE5481" i="1"/>
  <c r="BF5481" i="1"/>
  <c r="BG5481" i="1"/>
  <c r="E5482" i="1"/>
  <c r="G5482" i="1"/>
  <c r="J5482" i="1"/>
  <c r="K5482" i="1"/>
  <c r="BE5482" i="1"/>
  <c r="BF5482" i="1"/>
  <c r="BG5482" i="1"/>
  <c r="E5483" i="1"/>
  <c r="G5483" i="1"/>
  <c r="J5483" i="1"/>
  <c r="K5483" i="1"/>
  <c r="BE5483" i="1"/>
  <c r="BF5483" i="1"/>
  <c r="BG5483" i="1"/>
  <c r="E5484" i="1"/>
  <c r="G5484" i="1"/>
  <c r="J5484" i="1"/>
  <c r="K5484" i="1"/>
  <c r="BE5484" i="1"/>
  <c r="BF5484" i="1"/>
  <c r="BG5484" i="1"/>
  <c r="E5485" i="1"/>
  <c r="G5485" i="1"/>
  <c r="J5485" i="1"/>
  <c r="K5485" i="1"/>
  <c r="BE5485" i="1"/>
  <c r="BF5485" i="1"/>
  <c r="BG5485" i="1"/>
  <c r="E5486" i="1"/>
  <c r="G5486" i="1"/>
  <c r="J5486" i="1"/>
  <c r="K5486" i="1"/>
  <c r="BE5486" i="1"/>
  <c r="BF5486" i="1"/>
  <c r="BG5486" i="1"/>
  <c r="E5487" i="1"/>
  <c r="G5487" i="1"/>
  <c r="J5487" i="1"/>
  <c r="K5487" i="1"/>
  <c r="BE5487" i="1"/>
  <c r="BF5487" i="1"/>
  <c r="BG5487" i="1"/>
  <c r="E5488" i="1"/>
  <c r="G5488" i="1"/>
  <c r="J5488" i="1"/>
  <c r="K5488" i="1"/>
  <c r="BE5488" i="1"/>
  <c r="BF5488" i="1"/>
  <c r="BG5488" i="1"/>
  <c r="E5489" i="1"/>
  <c r="G5489" i="1"/>
  <c r="J5489" i="1"/>
  <c r="K5489" i="1"/>
  <c r="BE5489" i="1"/>
  <c r="BF5489" i="1"/>
  <c r="BG5489" i="1"/>
  <c r="E5490" i="1"/>
  <c r="G5490" i="1"/>
  <c r="J5490" i="1"/>
  <c r="K5490" i="1"/>
  <c r="BE5490" i="1"/>
  <c r="BF5490" i="1"/>
  <c r="BG5490" i="1"/>
  <c r="E5491" i="1"/>
  <c r="G5491" i="1"/>
  <c r="J5491" i="1"/>
  <c r="K5491" i="1"/>
  <c r="BE5491" i="1"/>
  <c r="BF5491" i="1"/>
  <c r="BG5491" i="1"/>
  <c r="E5492" i="1"/>
  <c r="G5492" i="1"/>
  <c r="J5492" i="1"/>
  <c r="K5492" i="1"/>
  <c r="BE5492" i="1"/>
  <c r="BF5492" i="1"/>
  <c r="BG5492" i="1"/>
  <c r="E5493" i="1"/>
  <c r="G5493" i="1"/>
  <c r="J5493" i="1"/>
  <c r="K5493" i="1"/>
  <c r="BE5493" i="1"/>
  <c r="BF5493" i="1"/>
  <c r="BG5493" i="1"/>
  <c r="E5494" i="1"/>
  <c r="G5494" i="1"/>
  <c r="J5494" i="1"/>
  <c r="K5494" i="1"/>
  <c r="BE5494" i="1"/>
  <c r="BF5494" i="1"/>
  <c r="BG5494" i="1"/>
  <c r="E5495" i="1"/>
  <c r="G5495" i="1"/>
  <c r="J5495" i="1"/>
  <c r="K5495" i="1"/>
  <c r="BE5495" i="1"/>
  <c r="BF5495" i="1"/>
  <c r="BG5495" i="1"/>
  <c r="E5496" i="1"/>
  <c r="G5496" i="1"/>
  <c r="J5496" i="1"/>
  <c r="K5496" i="1"/>
  <c r="BE5496" i="1"/>
  <c r="BF5496" i="1"/>
  <c r="BG5496" i="1"/>
  <c r="E5497" i="1"/>
  <c r="G5497" i="1"/>
  <c r="J5497" i="1"/>
  <c r="K5497" i="1"/>
  <c r="BE5497" i="1"/>
  <c r="BF5497" i="1"/>
  <c r="BG5497" i="1"/>
  <c r="E5498" i="1"/>
  <c r="G5498" i="1"/>
  <c r="J5498" i="1"/>
  <c r="K5498" i="1"/>
  <c r="BE5498" i="1"/>
  <c r="BF5498" i="1"/>
  <c r="BG5498" i="1"/>
  <c r="E5499" i="1"/>
  <c r="G5499" i="1"/>
  <c r="J5499" i="1"/>
  <c r="K5499" i="1"/>
  <c r="BE5499" i="1"/>
  <c r="BF5499" i="1"/>
  <c r="BG5499" i="1"/>
  <c r="E5500" i="1"/>
  <c r="G5500" i="1"/>
  <c r="J5500" i="1"/>
  <c r="K5500" i="1"/>
  <c r="BE5500" i="1"/>
  <c r="BF5500" i="1"/>
  <c r="BG5500" i="1"/>
  <c r="E5501" i="1"/>
  <c r="G5501" i="1"/>
  <c r="J5501" i="1"/>
  <c r="K5501" i="1"/>
  <c r="BE5501" i="1"/>
  <c r="BF5501" i="1"/>
  <c r="BG5501" i="1"/>
  <c r="E5502" i="1"/>
  <c r="G5502" i="1"/>
  <c r="J5502" i="1"/>
  <c r="K5502" i="1"/>
  <c r="BE5502" i="1"/>
  <c r="BF5502" i="1"/>
  <c r="BG5502" i="1"/>
  <c r="E5503" i="1"/>
  <c r="G5503" i="1"/>
  <c r="J5503" i="1"/>
  <c r="K5503" i="1"/>
  <c r="BE5503" i="1"/>
  <c r="BF5503" i="1"/>
  <c r="BG5503" i="1"/>
  <c r="E5504" i="1"/>
  <c r="G5504" i="1"/>
  <c r="J5504" i="1"/>
  <c r="K5504" i="1"/>
  <c r="BE5504" i="1"/>
  <c r="BF5504" i="1"/>
  <c r="BG5504" i="1"/>
  <c r="E5505" i="1"/>
  <c r="G5505" i="1"/>
  <c r="J5505" i="1"/>
  <c r="K5505" i="1"/>
  <c r="BE5505" i="1"/>
  <c r="BF5505" i="1"/>
  <c r="BG5505" i="1"/>
  <c r="E5506" i="1"/>
  <c r="G5506" i="1"/>
  <c r="J5506" i="1"/>
  <c r="K5506" i="1"/>
  <c r="BE5506" i="1"/>
  <c r="BF5506" i="1"/>
  <c r="BG5506" i="1"/>
  <c r="E5507" i="1"/>
  <c r="G5507" i="1"/>
  <c r="J5507" i="1"/>
  <c r="K5507" i="1"/>
  <c r="BE5507" i="1"/>
  <c r="BF5507" i="1"/>
  <c r="BG5507" i="1"/>
  <c r="E5508" i="1"/>
  <c r="G5508" i="1"/>
  <c r="J5508" i="1"/>
  <c r="K5508" i="1"/>
  <c r="BE5508" i="1"/>
  <c r="BF5508" i="1"/>
  <c r="BG5508" i="1"/>
  <c r="E5509" i="1"/>
  <c r="G5509" i="1"/>
  <c r="J5509" i="1"/>
  <c r="K5509" i="1"/>
  <c r="BE5509" i="1"/>
  <c r="BF5509" i="1"/>
  <c r="BG5509" i="1"/>
  <c r="E5510" i="1"/>
  <c r="G5510" i="1"/>
  <c r="J5510" i="1"/>
  <c r="K5510" i="1"/>
  <c r="BE5510" i="1"/>
  <c r="BF5510" i="1"/>
  <c r="BG5510" i="1"/>
  <c r="E5511" i="1"/>
  <c r="G5511" i="1"/>
  <c r="J5511" i="1"/>
  <c r="K5511" i="1"/>
  <c r="BE5511" i="1"/>
  <c r="BF5511" i="1"/>
  <c r="BG5511" i="1"/>
  <c r="E5512" i="1"/>
  <c r="G5512" i="1"/>
  <c r="J5512" i="1"/>
  <c r="K5512" i="1"/>
  <c r="BE5512" i="1"/>
  <c r="BF5512" i="1"/>
  <c r="BG5512" i="1"/>
  <c r="E5513" i="1"/>
  <c r="G5513" i="1"/>
  <c r="J5513" i="1"/>
  <c r="K5513" i="1"/>
  <c r="BE5513" i="1"/>
  <c r="BF5513" i="1"/>
  <c r="BG5513" i="1"/>
  <c r="E5514" i="1"/>
  <c r="G5514" i="1"/>
  <c r="J5514" i="1"/>
  <c r="K5514" i="1"/>
  <c r="BE5514" i="1"/>
  <c r="BF5514" i="1"/>
  <c r="BG5514" i="1"/>
  <c r="E5515" i="1"/>
  <c r="G5515" i="1"/>
  <c r="J5515" i="1"/>
  <c r="K5515" i="1"/>
  <c r="BE5515" i="1"/>
  <c r="BF5515" i="1"/>
  <c r="BG5515" i="1"/>
  <c r="E5516" i="1"/>
  <c r="G5516" i="1"/>
  <c r="J5516" i="1"/>
  <c r="K5516" i="1"/>
  <c r="BE5516" i="1"/>
  <c r="BF5516" i="1"/>
  <c r="BG5516" i="1"/>
  <c r="E5517" i="1"/>
  <c r="G5517" i="1"/>
  <c r="J5517" i="1"/>
  <c r="K5517" i="1"/>
  <c r="BE5517" i="1"/>
  <c r="BF5517" i="1"/>
  <c r="BG5517" i="1"/>
  <c r="E5518" i="1"/>
  <c r="G5518" i="1"/>
  <c r="J5518" i="1"/>
  <c r="K5518" i="1"/>
  <c r="BE5518" i="1"/>
  <c r="BF5518" i="1"/>
  <c r="BG5518" i="1"/>
  <c r="E5519" i="1"/>
  <c r="G5519" i="1"/>
  <c r="J5519" i="1"/>
  <c r="K5519" i="1"/>
  <c r="BE5519" i="1"/>
  <c r="BF5519" i="1"/>
  <c r="BG5519" i="1"/>
  <c r="E5520" i="1"/>
  <c r="G5520" i="1"/>
  <c r="J5520" i="1"/>
  <c r="K5520" i="1"/>
  <c r="BE5520" i="1"/>
  <c r="BF5520" i="1"/>
  <c r="BG5520" i="1"/>
  <c r="E5521" i="1"/>
  <c r="G5521" i="1"/>
  <c r="J5521" i="1"/>
  <c r="K5521" i="1"/>
  <c r="BE5521" i="1"/>
  <c r="BF5521" i="1"/>
  <c r="BG5521" i="1"/>
  <c r="E5522" i="1"/>
  <c r="G5522" i="1"/>
  <c r="J5522" i="1"/>
  <c r="K5522" i="1"/>
  <c r="BE5522" i="1"/>
  <c r="BF5522" i="1"/>
  <c r="BG5522" i="1"/>
  <c r="E5523" i="1"/>
  <c r="G5523" i="1"/>
  <c r="J5523" i="1"/>
  <c r="K5523" i="1"/>
  <c r="BE5523" i="1"/>
  <c r="BF5523" i="1"/>
  <c r="BG5523" i="1"/>
  <c r="E5524" i="1"/>
  <c r="G5524" i="1"/>
  <c r="J5524" i="1"/>
  <c r="K5524" i="1"/>
  <c r="BE5524" i="1"/>
  <c r="BF5524" i="1"/>
  <c r="BG5524" i="1"/>
  <c r="E5525" i="1"/>
  <c r="G5525" i="1"/>
  <c r="J5525" i="1"/>
  <c r="K5525" i="1"/>
  <c r="BE5525" i="1"/>
  <c r="BF5525" i="1"/>
  <c r="BG5525" i="1"/>
  <c r="E5526" i="1"/>
  <c r="G5526" i="1"/>
  <c r="J5526" i="1"/>
  <c r="K5526" i="1"/>
  <c r="BE5526" i="1"/>
  <c r="BF5526" i="1"/>
  <c r="BG5526" i="1"/>
  <c r="E5527" i="1"/>
  <c r="G5527" i="1"/>
  <c r="J5527" i="1"/>
  <c r="K5527" i="1"/>
  <c r="BE5527" i="1"/>
  <c r="BF5527" i="1"/>
  <c r="BG5527" i="1"/>
  <c r="E5528" i="1"/>
  <c r="G5528" i="1"/>
  <c r="J5528" i="1"/>
  <c r="K5528" i="1"/>
  <c r="BE5528" i="1"/>
  <c r="BF5528" i="1"/>
  <c r="BG5528" i="1"/>
  <c r="E5529" i="1"/>
  <c r="G5529" i="1"/>
  <c r="J5529" i="1"/>
  <c r="K5529" i="1"/>
  <c r="BE5529" i="1"/>
  <c r="BF5529" i="1"/>
  <c r="BG5529" i="1"/>
  <c r="E5530" i="1"/>
  <c r="G5530" i="1"/>
  <c r="J5530" i="1"/>
  <c r="K5530" i="1"/>
  <c r="BE5530" i="1"/>
  <c r="BF5530" i="1"/>
  <c r="BG5530" i="1"/>
  <c r="E5531" i="1"/>
  <c r="G5531" i="1"/>
  <c r="J5531" i="1"/>
  <c r="K5531" i="1"/>
  <c r="BE5531" i="1"/>
  <c r="BF5531" i="1"/>
  <c r="BG5531" i="1"/>
  <c r="E5532" i="1"/>
  <c r="G5532" i="1"/>
  <c r="J5532" i="1"/>
  <c r="K5532" i="1"/>
  <c r="BE5532" i="1"/>
  <c r="BF5532" i="1"/>
  <c r="BG5532" i="1"/>
  <c r="E5533" i="1"/>
  <c r="G5533" i="1"/>
  <c r="J5533" i="1"/>
  <c r="K5533" i="1"/>
  <c r="BE5533" i="1"/>
  <c r="BF5533" i="1"/>
  <c r="BG5533" i="1"/>
  <c r="E5534" i="1"/>
  <c r="G5534" i="1"/>
  <c r="J5534" i="1"/>
  <c r="K5534" i="1"/>
  <c r="BE5534" i="1"/>
  <c r="BF5534" i="1"/>
  <c r="BG5534" i="1"/>
  <c r="E5535" i="1"/>
  <c r="G5535" i="1"/>
  <c r="J5535" i="1"/>
  <c r="K5535" i="1"/>
  <c r="BE5535" i="1"/>
  <c r="BF5535" i="1"/>
  <c r="BG5535" i="1"/>
  <c r="E5536" i="1"/>
  <c r="G5536" i="1"/>
  <c r="J5536" i="1"/>
  <c r="K5536" i="1"/>
  <c r="BE5536" i="1"/>
  <c r="BF5536" i="1"/>
  <c r="BG5536" i="1"/>
  <c r="E5537" i="1"/>
  <c r="G5537" i="1"/>
  <c r="J5537" i="1"/>
  <c r="K5537" i="1"/>
  <c r="BE5537" i="1"/>
  <c r="BF5537" i="1"/>
  <c r="BG5537" i="1"/>
  <c r="E5538" i="1"/>
  <c r="G5538" i="1"/>
  <c r="J5538" i="1"/>
  <c r="K5538" i="1"/>
  <c r="BE5538" i="1"/>
  <c r="BF5538" i="1"/>
  <c r="BG5538" i="1"/>
  <c r="E5539" i="1"/>
  <c r="G5539" i="1"/>
  <c r="J5539" i="1"/>
  <c r="K5539" i="1"/>
  <c r="BE5539" i="1"/>
  <c r="BF5539" i="1"/>
  <c r="BG5539" i="1"/>
  <c r="E5540" i="1"/>
  <c r="G5540" i="1"/>
  <c r="J5540" i="1"/>
  <c r="K5540" i="1"/>
  <c r="BE5540" i="1"/>
  <c r="BF5540" i="1"/>
  <c r="BG5540" i="1"/>
  <c r="E5541" i="1"/>
  <c r="G5541" i="1"/>
  <c r="J5541" i="1"/>
  <c r="K5541" i="1"/>
  <c r="BE5541" i="1"/>
  <c r="BF5541" i="1"/>
  <c r="BG5541" i="1"/>
  <c r="E5542" i="1"/>
  <c r="G5542" i="1"/>
  <c r="J5542" i="1"/>
  <c r="K5542" i="1"/>
  <c r="BE5542" i="1"/>
  <c r="BF5542" i="1"/>
  <c r="BG5542" i="1"/>
  <c r="E5543" i="1"/>
  <c r="G5543" i="1"/>
  <c r="J5543" i="1"/>
  <c r="K5543" i="1"/>
  <c r="BE5543" i="1"/>
  <c r="BF5543" i="1"/>
  <c r="BG5543" i="1"/>
  <c r="E5544" i="1"/>
  <c r="G5544" i="1"/>
  <c r="J5544" i="1"/>
  <c r="K5544" i="1"/>
  <c r="BE5544" i="1"/>
  <c r="BF5544" i="1"/>
  <c r="BG5544" i="1"/>
  <c r="E5545" i="1"/>
  <c r="G5545" i="1"/>
  <c r="J5545" i="1"/>
  <c r="K5545" i="1"/>
  <c r="BE5545" i="1"/>
  <c r="BF5545" i="1"/>
  <c r="BG5545" i="1"/>
  <c r="E5546" i="1"/>
  <c r="G5546" i="1"/>
  <c r="J5546" i="1"/>
  <c r="K5546" i="1"/>
  <c r="BE5546" i="1"/>
  <c r="BF5546" i="1"/>
  <c r="BG5546" i="1"/>
  <c r="E5547" i="1"/>
  <c r="G5547" i="1"/>
  <c r="J5547" i="1"/>
  <c r="K5547" i="1"/>
  <c r="BE5547" i="1"/>
  <c r="BF5547" i="1"/>
  <c r="BG5547" i="1"/>
  <c r="E5548" i="1"/>
  <c r="G5548" i="1"/>
  <c r="J5548" i="1"/>
  <c r="K5548" i="1"/>
  <c r="BE5548" i="1"/>
  <c r="BF5548" i="1"/>
  <c r="BG5548" i="1"/>
  <c r="E5549" i="1"/>
  <c r="G5549" i="1"/>
  <c r="J5549" i="1"/>
  <c r="K5549" i="1"/>
  <c r="BE5549" i="1"/>
  <c r="BF5549" i="1"/>
  <c r="BG5549" i="1"/>
  <c r="E5550" i="1"/>
  <c r="G5550" i="1"/>
  <c r="J5550" i="1"/>
  <c r="K5550" i="1"/>
  <c r="BE5550" i="1"/>
  <c r="BF5550" i="1"/>
  <c r="BG5550" i="1"/>
  <c r="E5551" i="1"/>
  <c r="G5551" i="1"/>
  <c r="J5551" i="1"/>
  <c r="K5551" i="1"/>
  <c r="BE5551" i="1"/>
  <c r="BF5551" i="1"/>
  <c r="BG5551" i="1"/>
  <c r="E5552" i="1"/>
  <c r="G5552" i="1"/>
  <c r="J5552" i="1"/>
  <c r="K5552" i="1"/>
  <c r="BE5552" i="1"/>
  <c r="BF5552" i="1"/>
  <c r="BG5552" i="1"/>
  <c r="E5553" i="1"/>
  <c r="G5553" i="1"/>
  <c r="J5553" i="1"/>
  <c r="K5553" i="1"/>
  <c r="BE5553" i="1"/>
  <c r="BF5553" i="1"/>
  <c r="BG5553" i="1"/>
  <c r="E5554" i="1"/>
  <c r="G5554" i="1"/>
  <c r="J5554" i="1"/>
  <c r="K5554" i="1"/>
  <c r="BE5554" i="1"/>
  <c r="BF5554" i="1"/>
  <c r="BG5554" i="1"/>
  <c r="E5555" i="1"/>
  <c r="G5555" i="1"/>
  <c r="J5555" i="1"/>
  <c r="K5555" i="1"/>
  <c r="BE5555" i="1"/>
  <c r="BF5555" i="1"/>
  <c r="BG5555" i="1"/>
  <c r="E5556" i="1"/>
  <c r="G5556" i="1"/>
  <c r="J5556" i="1"/>
  <c r="K5556" i="1"/>
  <c r="BE5556" i="1"/>
  <c r="BF5556" i="1"/>
  <c r="BG5556" i="1"/>
  <c r="E5557" i="1"/>
  <c r="G5557" i="1"/>
  <c r="J5557" i="1"/>
  <c r="K5557" i="1"/>
  <c r="BE5557" i="1"/>
  <c r="BF5557" i="1"/>
  <c r="BG5557" i="1"/>
  <c r="E5558" i="1"/>
  <c r="G5558" i="1"/>
  <c r="J5558" i="1"/>
  <c r="K5558" i="1"/>
  <c r="BE5558" i="1"/>
  <c r="BF5558" i="1"/>
  <c r="BG5558" i="1"/>
  <c r="E5559" i="1"/>
  <c r="G5559" i="1"/>
  <c r="J5559" i="1"/>
  <c r="K5559" i="1"/>
  <c r="BE5559" i="1"/>
  <c r="BF5559" i="1"/>
  <c r="BG5559" i="1"/>
  <c r="E5560" i="1"/>
  <c r="G5560" i="1"/>
  <c r="J5560" i="1"/>
  <c r="K5560" i="1"/>
  <c r="BE5560" i="1"/>
  <c r="BF5560" i="1"/>
  <c r="BG5560" i="1"/>
  <c r="E5561" i="1"/>
  <c r="G5561" i="1"/>
  <c r="J5561" i="1"/>
  <c r="K5561" i="1"/>
  <c r="BE5561" i="1"/>
  <c r="BF5561" i="1"/>
  <c r="BG5561" i="1"/>
  <c r="E5562" i="1"/>
  <c r="G5562" i="1"/>
  <c r="J5562" i="1"/>
  <c r="K5562" i="1"/>
  <c r="BE5562" i="1"/>
  <c r="BF5562" i="1"/>
  <c r="BG5562" i="1"/>
  <c r="E5563" i="1"/>
  <c r="G5563" i="1"/>
  <c r="J5563" i="1"/>
  <c r="K5563" i="1"/>
  <c r="BE5563" i="1"/>
  <c r="BF5563" i="1"/>
  <c r="BG5563" i="1"/>
  <c r="E5564" i="1"/>
  <c r="G5564" i="1"/>
  <c r="J5564" i="1"/>
  <c r="K5564" i="1"/>
  <c r="BE5564" i="1"/>
  <c r="BF5564" i="1"/>
  <c r="BG5564" i="1"/>
  <c r="E5565" i="1"/>
  <c r="G5565" i="1"/>
  <c r="J5565" i="1"/>
  <c r="K5565" i="1"/>
  <c r="BE5565" i="1"/>
  <c r="BF5565" i="1"/>
  <c r="BG5565" i="1"/>
  <c r="E5566" i="1"/>
  <c r="G5566" i="1"/>
  <c r="J5566" i="1"/>
  <c r="K5566" i="1"/>
  <c r="BE5566" i="1"/>
  <c r="BF5566" i="1"/>
  <c r="BG5566" i="1"/>
  <c r="E5567" i="1"/>
  <c r="G5567" i="1"/>
  <c r="J5567" i="1"/>
  <c r="K5567" i="1"/>
  <c r="BE5567" i="1"/>
  <c r="BF5567" i="1"/>
  <c r="BG5567" i="1"/>
  <c r="E5568" i="1"/>
  <c r="G5568" i="1"/>
  <c r="J5568" i="1"/>
  <c r="K5568" i="1"/>
  <c r="BE5568" i="1"/>
  <c r="BF5568" i="1"/>
  <c r="BG5568" i="1"/>
  <c r="E2303" i="1"/>
  <c r="G2303" i="1"/>
  <c r="J2303" i="1"/>
  <c r="K2303" i="1"/>
  <c r="BE2303" i="1"/>
  <c r="BF2303" i="1"/>
  <c r="BG2303" i="1"/>
  <c r="E2304" i="1"/>
  <c r="G2304" i="1"/>
  <c r="J2304" i="1"/>
  <c r="K2304" i="1"/>
  <c r="BE2304" i="1"/>
  <c r="BF2304" i="1"/>
  <c r="BG2304" i="1"/>
  <c r="E2305" i="1"/>
  <c r="G2305" i="1"/>
  <c r="J2305" i="1"/>
  <c r="K2305" i="1"/>
  <c r="BE2305" i="1"/>
  <c r="BF2305" i="1"/>
  <c r="BG2305" i="1"/>
  <c r="E165" i="1"/>
  <c r="G165" i="1"/>
  <c r="J165" i="1"/>
  <c r="K165" i="1"/>
  <c r="BF165" i="1"/>
  <c r="BG165" i="1"/>
  <c r="E3323" i="1"/>
  <c r="G3323" i="1"/>
  <c r="J3323" i="1"/>
  <c r="K3323" i="1"/>
  <c r="BE3323" i="1"/>
  <c r="BF3323" i="1"/>
  <c r="BG3323" i="1"/>
  <c r="E706" i="1"/>
  <c r="G706" i="1"/>
  <c r="J706" i="1"/>
  <c r="K706" i="1"/>
  <c r="BE706" i="1"/>
  <c r="BF706" i="1"/>
  <c r="BG706" i="1"/>
  <c r="E2306" i="1"/>
  <c r="G2306" i="1"/>
  <c r="J2306" i="1"/>
  <c r="K2306" i="1"/>
  <c r="BE2306" i="1"/>
  <c r="BF2306" i="1"/>
  <c r="BG2306" i="1"/>
  <c r="E6608" i="1"/>
  <c r="G6608" i="1"/>
  <c r="J6608" i="1"/>
  <c r="K6608" i="1"/>
  <c r="BE6608" i="1"/>
  <c r="BF6608" i="1"/>
  <c r="BG6608" i="1"/>
  <c r="E312" i="1"/>
  <c r="G312" i="1"/>
  <c r="J312" i="1"/>
  <c r="K312" i="1"/>
  <c r="BF312" i="1"/>
  <c r="BG312" i="1"/>
  <c r="E2307" i="1"/>
  <c r="G2307" i="1"/>
  <c r="J2307" i="1"/>
  <c r="K2307" i="1"/>
  <c r="BE2307" i="1"/>
  <c r="BF2307" i="1"/>
  <c r="BG2307" i="1"/>
  <c r="E664" i="1"/>
  <c r="G664" i="1"/>
  <c r="J664" i="1"/>
  <c r="K664" i="1"/>
  <c r="BC664" i="1"/>
  <c r="BE664" i="1"/>
  <c r="BF664" i="1"/>
  <c r="BG664" i="1"/>
  <c r="E584" i="1"/>
  <c r="G584" i="1"/>
  <c r="J584" i="1"/>
  <c r="K584" i="1"/>
  <c r="BE584" i="1"/>
  <c r="BF584" i="1"/>
  <c r="BG584" i="1"/>
  <c r="E585" i="1"/>
  <c r="G585" i="1"/>
  <c r="J585" i="1"/>
  <c r="K585" i="1"/>
  <c r="BE585" i="1"/>
  <c r="BF585" i="1"/>
  <c r="BG585" i="1"/>
  <c r="E586" i="1"/>
  <c r="G586" i="1"/>
  <c r="J586" i="1"/>
  <c r="K586" i="1"/>
  <c r="BE586" i="1"/>
  <c r="BF586" i="1"/>
  <c r="BG586" i="1"/>
  <c r="E587" i="1"/>
  <c r="G587" i="1"/>
  <c r="J587" i="1"/>
  <c r="K587" i="1"/>
  <c r="BE587" i="1"/>
  <c r="BF587" i="1"/>
  <c r="BG587" i="1"/>
  <c r="E588" i="1"/>
  <c r="G588" i="1"/>
  <c r="J588" i="1"/>
  <c r="K588" i="1"/>
  <c r="BE588" i="1"/>
  <c r="BF588" i="1"/>
  <c r="BG588" i="1"/>
  <c r="E589" i="1"/>
  <c r="G589" i="1"/>
  <c r="J589" i="1"/>
  <c r="K589" i="1"/>
  <c r="BE589" i="1"/>
  <c r="BF589" i="1"/>
  <c r="BG589" i="1"/>
  <c r="E3324" i="1"/>
  <c r="G3324" i="1"/>
  <c r="J3324" i="1"/>
  <c r="K3324" i="1"/>
  <c r="BE3324" i="1"/>
  <c r="BF3324" i="1"/>
  <c r="BG3324" i="1"/>
  <c r="E2517" i="1"/>
  <c r="G2517" i="1"/>
  <c r="J2517" i="1"/>
  <c r="K2517" i="1"/>
  <c r="BE2517" i="1"/>
  <c r="BF2517" i="1"/>
  <c r="BG2517" i="1"/>
  <c r="E2308" i="1"/>
  <c r="G2308" i="1"/>
  <c r="J2308" i="1"/>
  <c r="K2308" i="1"/>
  <c r="BE2308" i="1"/>
  <c r="BF2308" i="1"/>
  <c r="BG2308" i="1"/>
  <c r="E2518" i="1"/>
  <c r="G2518" i="1"/>
  <c r="J2518" i="1"/>
  <c r="K2518" i="1"/>
  <c r="BE2518" i="1"/>
  <c r="BF2518" i="1"/>
  <c r="BG2518" i="1"/>
  <c r="E4560" i="1"/>
  <c r="G4560" i="1"/>
  <c r="J4560" i="1"/>
  <c r="K4560" i="1"/>
  <c r="BE4560" i="1"/>
  <c r="BF4560" i="1"/>
  <c r="BG4560" i="1"/>
  <c r="E2519" i="1"/>
  <c r="G2519" i="1"/>
  <c r="J2519" i="1"/>
  <c r="K2519" i="1"/>
  <c r="BE2519" i="1"/>
  <c r="BF2519" i="1"/>
  <c r="BG2519" i="1"/>
  <c r="E6609" i="1"/>
  <c r="G6609" i="1"/>
  <c r="J6609" i="1"/>
  <c r="K6609" i="1"/>
  <c r="BE6609" i="1"/>
  <c r="BF6609" i="1"/>
  <c r="BG6609" i="1"/>
  <c r="E2309" i="1"/>
  <c r="G2309" i="1"/>
  <c r="J2309" i="1"/>
  <c r="K2309" i="1"/>
  <c r="BE2309" i="1"/>
  <c r="BF2309" i="1"/>
  <c r="BG2309" i="1"/>
  <c r="E2520" i="1"/>
  <c r="G2520" i="1"/>
  <c r="J2520" i="1"/>
  <c r="K2520" i="1"/>
  <c r="BE2520" i="1"/>
  <c r="BF2520" i="1"/>
  <c r="BG2520" i="1"/>
  <c r="E3325" i="1"/>
  <c r="G3325" i="1"/>
  <c r="J3325" i="1"/>
  <c r="K3325" i="1"/>
  <c r="BE3325" i="1"/>
  <c r="BF3325" i="1"/>
  <c r="BG3325" i="1"/>
  <c r="E2073" i="1"/>
  <c r="G2073" i="1"/>
  <c r="J2073" i="1"/>
  <c r="K2073" i="1"/>
  <c r="BF2073" i="1"/>
  <c r="BG2073" i="1"/>
  <c r="E2521" i="1"/>
  <c r="G2521" i="1"/>
  <c r="J2521" i="1"/>
  <c r="K2521" i="1"/>
  <c r="BE2521" i="1"/>
  <c r="BF2521" i="1"/>
  <c r="BG2521" i="1"/>
  <c r="E4561" i="1"/>
  <c r="G4561" i="1"/>
  <c r="J4561" i="1"/>
  <c r="K4561" i="1"/>
  <c r="BE4561" i="1"/>
  <c r="BF4561" i="1"/>
  <c r="BG4561" i="1"/>
  <c r="E2522" i="1"/>
  <c r="G2522" i="1"/>
  <c r="J2522" i="1"/>
  <c r="K2522" i="1"/>
  <c r="BE2522" i="1"/>
  <c r="BF2522" i="1"/>
  <c r="BG2522" i="1"/>
  <c r="E2523" i="1"/>
  <c r="G2523" i="1"/>
  <c r="J2523" i="1"/>
  <c r="K2523" i="1"/>
  <c r="BE2523" i="1"/>
  <c r="BF2523" i="1"/>
  <c r="BG2523" i="1"/>
  <c r="E4789" i="1"/>
  <c r="G4789" i="1"/>
  <c r="J4789" i="1"/>
  <c r="K4789" i="1"/>
  <c r="BE4789" i="1"/>
  <c r="BF4789" i="1"/>
  <c r="BG4789" i="1"/>
  <c r="E4562" i="1"/>
  <c r="G4562" i="1"/>
  <c r="J4562" i="1"/>
  <c r="K4562" i="1"/>
  <c r="BE4562" i="1"/>
  <c r="BF4562" i="1"/>
  <c r="BG4562" i="1"/>
  <c r="E6610" i="1"/>
  <c r="G6610" i="1"/>
  <c r="J6610" i="1"/>
  <c r="K6610" i="1"/>
  <c r="BE6610" i="1"/>
  <c r="BF6610" i="1"/>
  <c r="BG6610" i="1"/>
  <c r="E2524" i="1"/>
  <c r="G2524" i="1"/>
  <c r="J2524" i="1"/>
  <c r="K2524" i="1"/>
  <c r="BE2524" i="1"/>
  <c r="BF2524" i="1"/>
  <c r="BG2524" i="1"/>
  <c r="E950" i="1"/>
  <c r="G950" i="1"/>
  <c r="J950" i="1"/>
  <c r="K950" i="1"/>
  <c r="BE950" i="1"/>
  <c r="BF950" i="1"/>
  <c r="BG950" i="1"/>
  <c r="E3326" i="1"/>
  <c r="G3326" i="1"/>
  <c r="J3326" i="1"/>
  <c r="K3326" i="1"/>
  <c r="BE3326" i="1"/>
  <c r="BF3326" i="1"/>
  <c r="BG3326" i="1"/>
  <c r="E2525" i="1"/>
  <c r="G2525" i="1"/>
  <c r="J2525" i="1"/>
  <c r="K2525" i="1"/>
  <c r="BE2525" i="1"/>
  <c r="BF2525" i="1"/>
  <c r="BG2525" i="1"/>
  <c r="E32" i="1"/>
  <c r="G32" i="1"/>
  <c r="J32" i="1"/>
  <c r="K32" i="1"/>
  <c r="BF32" i="1"/>
  <c r="BG32" i="1"/>
  <c r="E461" i="1"/>
  <c r="G461" i="1"/>
  <c r="J461" i="1"/>
  <c r="K461" i="1"/>
  <c r="BC461" i="1"/>
  <c r="BE461" i="1"/>
  <c r="BF461" i="1"/>
  <c r="BG461" i="1"/>
  <c r="E4563" i="1"/>
  <c r="G4563" i="1"/>
  <c r="J4563" i="1"/>
  <c r="K4563" i="1"/>
  <c r="BE4563" i="1"/>
  <c r="BF4563" i="1"/>
  <c r="BG4563" i="1"/>
  <c r="E951" i="1"/>
  <c r="G951" i="1"/>
  <c r="J951" i="1"/>
  <c r="K951" i="1"/>
  <c r="BE951" i="1"/>
  <c r="BF951" i="1"/>
  <c r="BG951" i="1"/>
  <c r="E446" i="1"/>
  <c r="G446" i="1"/>
  <c r="J446" i="1"/>
  <c r="K446" i="1"/>
  <c r="BF446" i="1"/>
  <c r="BG446" i="1"/>
  <c r="E447" i="1"/>
  <c r="G447" i="1"/>
  <c r="J447" i="1"/>
  <c r="K447" i="1"/>
  <c r="BF447" i="1"/>
  <c r="BG447" i="1"/>
  <c r="E952" i="1"/>
  <c r="G952" i="1"/>
  <c r="J952" i="1"/>
  <c r="K952" i="1"/>
  <c r="BE952" i="1"/>
  <c r="BF952" i="1"/>
  <c r="BG952" i="1"/>
  <c r="E4564" i="1"/>
  <c r="G4564" i="1"/>
  <c r="J4564" i="1"/>
  <c r="K4564" i="1"/>
  <c r="BE4564" i="1"/>
  <c r="BF4564" i="1"/>
  <c r="BG4564" i="1"/>
  <c r="E6611" i="1"/>
  <c r="G6611" i="1"/>
  <c r="J6611" i="1"/>
  <c r="K6611" i="1"/>
  <c r="BE6611" i="1"/>
  <c r="BF6611" i="1"/>
  <c r="BG6611" i="1"/>
  <c r="E953" i="1"/>
  <c r="G953" i="1"/>
  <c r="J953" i="1"/>
  <c r="K953" i="1"/>
  <c r="BE953" i="1"/>
  <c r="BF953" i="1"/>
  <c r="BG953" i="1"/>
  <c r="E2526" i="1"/>
  <c r="G2526" i="1"/>
  <c r="J2526" i="1"/>
  <c r="K2526" i="1"/>
  <c r="BE2526" i="1"/>
  <c r="BF2526" i="1"/>
  <c r="BG2526" i="1"/>
  <c r="E4565" i="1"/>
  <c r="G4565" i="1"/>
  <c r="J4565" i="1"/>
  <c r="K4565" i="1"/>
  <c r="BE4565" i="1"/>
  <c r="BF4565" i="1"/>
  <c r="BG4565" i="1"/>
  <c r="E954" i="1"/>
  <c r="G954" i="1"/>
  <c r="J954" i="1"/>
  <c r="K954" i="1"/>
  <c r="BE954" i="1"/>
  <c r="BF954" i="1"/>
  <c r="BG954" i="1"/>
  <c r="E333" i="1"/>
  <c r="G333" i="1"/>
  <c r="J333" i="1"/>
  <c r="K333" i="1"/>
  <c r="BE333" i="1"/>
  <c r="BF333" i="1"/>
  <c r="BG333" i="1"/>
  <c r="E2527" i="1"/>
  <c r="G2527" i="1"/>
  <c r="J2527" i="1"/>
  <c r="K2527" i="1"/>
  <c r="BE2527" i="1"/>
  <c r="BF2527" i="1"/>
  <c r="BG2527" i="1"/>
  <c r="E6284" i="1"/>
  <c r="G6284" i="1"/>
  <c r="J6284" i="1"/>
  <c r="K6284" i="1"/>
  <c r="BE6284" i="1"/>
  <c r="BF6284" i="1"/>
  <c r="BG6284" i="1"/>
  <c r="E2528" i="1"/>
  <c r="G2528" i="1"/>
  <c r="J2528" i="1"/>
  <c r="K2528" i="1"/>
  <c r="BE2528" i="1"/>
  <c r="BF2528" i="1"/>
  <c r="BG2528" i="1"/>
  <c r="E955" i="1"/>
  <c r="G955" i="1"/>
  <c r="J955" i="1"/>
  <c r="K955" i="1"/>
  <c r="BE955" i="1"/>
  <c r="BF955" i="1"/>
  <c r="BG955" i="1"/>
  <c r="E6285" i="1"/>
  <c r="G6285" i="1"/>
  <c r="J6285" i="1"/>
  <c r="K6285" i="1"/>
  <c r="BE6285" i="1"/>
  <c r="BF6285" i="1"/>
  <c r="BG6285" i="1"/>
  <c r="E4094" i="1"/>
  <c r="G4094" i="1"/>
  <c r="J4094" i="1"/>
  <c r="K4094" i="1"/>
  <c r="BE4094" i="1"/>
  <c r="BF4094" i="1"/>
  <c r="BG4094" i="1"/>
  <c r="E765" i="1"/>
  <c r="G765" i="1"/>
  <c r="J765" i="1"/>
  <c r="K765" i="1"/>
  <c r="BE765" i="1"/>
  <c r="BF765" i="1"/>
  <c r="BG765" i="1"/>
  <c r="E6018" i="1"/>
  <c r="G6018" i="1"/>
  <c r="J6018" i="1"/>
  <c r="K6018" i="1"/>
  <c r="BE6018" i="1"/>
  <c r="BG6018" i="1"/>
  <c r="E6286" i="1"/>
  <c r="G6286" i="1"/>
  <c r="J6286" i="1"/>
  <c r="K6286" i="1"/>
  <c r="BE6286" i="1"/>
  <c r="BF6286" i="1"/>
  <c r="BG6286" i="1"/>
  <c r="E2529" i="1"/>
  <c r="G2529" i="1"/>
  <c r="J2529" i="1"/>
  <c r="K2529" i="1"/>
  <c r="BE2529" i="1"/>
  <c r="BF2529" i="1"/>
  <c r="BG2529" i="1"/>
  <c r="E6287" i="1"/>
  <c r="G6287" i="1"/>
  <c r="J6287" i="1"/>
  <c r="K6287" i="1"/>
  <c r="BE6287" i="1"/>
  <c r="BF6287" i="1"/>
  <c r="BG6287" i="1"/>
  <c r="E6288" i="1"/>
  <c r="G6288" i="1"/>
  <c r="J6288" i="1"/>
  <c r="K6288" i="1"/>
  <c r="BE6288" i="1"/>
  <c r="BF6288" i="1"/>
  <c r="BG6288" i="1"/>
  <c r="E637" i="1"/>
  <c r="G637" i="1"/>
  <c r="J637" i="1"/>
  <c r="K637" i="1"/>
  <c r="BE637" i="1"/>
  <c r="BF637" i="1"/>
  <c r="BG637" i="1"/>
  <c r="E6289" i="1"/>
  <c r="G6289" i="1"/>
  <c r="J6289" i="1"/>
  <c r="K6289" i="1"/>
  <c r="BE6289" i="1"/>
  <c r="BF6289" i="1"/>
  <c r="BG6289" i="1"/>
  <c r="E956" i="1"/>
  <c r="G956" i="1"/>
  <c r="J956" i="1"/>
  <c r="K956" i="1"/>
  <c r="BE956" i="1"/>
  <c r="BF956" i="1"/>
  <c r="BG956" i="1"/>
  <c r="E313" i="1"/>
  <c r="G313" i="1"/>
  <c r="J313" i="1"/>
  <c r="K313" i="1"/>
  <c r="BF313" i="1"/>
  <c r="BG313" i="1"/>
  <c r="E6290" i="1"/>
  <c r="G6290" i="1"/>
  <c r="J6290" i="1"/>
  <c r="K6290" i="1"/>
  <c r="BE6290" i="1"/>
  <c r="BF6290" i="1"/>
  <c r="BG6290" i="1"/>
  <c r="E6291" i="1"/>
  <c r="G6291" i="1"/>
  <c r="J6291" i="1"/>
  <c r="K6291" i="1"/>
  <c r="BE6291" i="1"/>
  <c r="BF6291" i="1"/>
  <c r="BG6291" i="1"/>
  <c r="E6292" i="1"/>
  <c r="G6292" i="1"/>
  <c r="J6292" i="1"/>
  <c r="K6292" i="1"/>
  <c r="BE6292" i="1"/>
  <c r="BF6292" i="1"/>
  <c r="BG6292" i="1"/>
  <c r="E3713" i="1"/>
  <c r="G3713" i="1"/>
  <c r="J3713" i="1"/>
  <c r="K3713" i="1"/>
  <c r="BE3713" i="1"/>
  <c r="BF3713" i="1"/>
  <c r="BG3713" i="1"/>
  <c r="E2488" i="1"/>
  <c r="G2488" i="1"/>
  <c r="J2488" i="1"/>
  <c r="K2488" i="1"/>
  <c r="BE2488" i="1"/>
  <c r="BF2488" i="1"/>
  <c r="BG2488" i="1"/>
  <c r="E957" i="1"/>
  <c r="G957" i="1"/>
  <c r="J957" i="1"/>
  <c r="K957" i="1"/>
  <c r="BE957" i="1"/>
  <c r="BF957" i="1"/>
  <c r="BG957" i="1"/>
  <c r="E6293" i="1"/>
  <c r="G6293" i="1"/>
  <c r="J6293" i="1"/>
  <c r="K6293" i="1"/>
  <c r="BE6293" i="1"/>
  <c r="BF6293" i="1"/>
  <c r="BG6293" i="1"/>
  <c r="E6294" i="1"/>
  <c r="G6294" i="1"/>
  <c r="J6294" i="1"/>
  <c r="K6294" i="1"/>
  <c r="BE6294" i="1"/>
  <c r="BF6294" i="1"/>
  <c r="BG6294" i="1"/>
  <c r="E958" i="1"/>
  <c r="G958" i="1"/>
  <c r="J958" i="1"/>
  <c r="K958" i="1"/>
  <c r="BE958" i="1"/>
  <c r="BF958" i="1"/>
  <c r="BG958" i="1"/>
  <c r="E6612" i="1"/>
  <c r="G6612" i="1"/>
  <c r="J6612" i="1"/>
  <c r="K6612" i="1"/>
  <c r="BE6612" i="1"/>
  <c r="BF6612" i="1"/>
  <c r="BG6612" i="1"/>
  <c r="E724" i="1"/>
  <c r="G724" i="1"/>
  <c r="J724" i="1"/>
  <c r="K724" i="1"/>
  <c r="BE724" i="1"/>
  <c r="BF724" i="1"/>
  <c r="BG724" i="1"/>
  <c r="E725" i="1"/>
  <c r="G725" i="1"/>
  <c r="J725" i="1"/>
  <c r="K725" i="1"/>
  <c r="BE725" i="1"/>
  <c r="BF725" i="1"/>
  <c r="BG725" i="1"/>
  <c r="E726" i="1"/>
  <c r="G726" i="1"/>
  <c r="J726" i="1"/>
  <c r="K726" i="1"/>
  <c r="BE726" i="1"/>
  <c r="BF726" i="1"/>
  <c r="BG726" i="1"/>
  <c r="E727" i="1"/>
  <c r="G727" i="1"/>
  <c r="J727" i="1"/>
  <c r="K727" i="1"/>
  <c r="BE727" i="1"/>
  <c r="BF727" i="1"/>
  <c r="BG727" i="1"/>
  <c r="E352" i="1"/>
  <c r="G352" i="1"/>
  <c r="J352" i="1"/>
  <c r="K352" i="1"/>
  <c r="BE352" i="1"/>
  <c r="BF352" i="1"/>
  <c r="BG352" i="1"/>
  <c r="E6295" i="1"/>
  <c r="G6295" i="1"/>
  <c r="J6295" i="1"/>
  <c r="K6295" i="1"/>
  <c r="BE6295" i="1"/>
  <c r="BF6295" i="1"/>
  <c r="BG6295" i="1"/>
  <c r="E483" i="1"/>
  <c r="G483" i="1"/>
  <c r="J483" i="1"/>
  <c r="K483" i="1"/>
  <c r="BE483" i="1"/>
  <c r="BF483" i="1"/>
  <c r="BG483" i="1"/>
  <c r="E959" i="1"/>
  <c r="G959" i="1"/>
  <c r="J959" i="1"/>
  <c r="K959" i="1"/>
  <c r="BE959" i="1"/>
  <c r="BF959" i="1"/>
  <c r="BG959" i="1"/>
  <c r="E403" i="1"/>
  <c r="G403" i="1"/>
  <c r="J403" i="1"/>
  <c r="K403" i="1"/>
  <c r="BE403" i="1"/>
  <c r="BF403" i="1"/>
  <c r="BG403" i="1"/>
  <c r="E404" i="1"/>
  <c r="G404" i="1"/>
  <c r="J404" i="1"/>
  <c r="K404" i="1"/>
  <c r="BE404" i="1"/>
  <c r="BF404" i="1"/>
  <c r="BG404" i="1"/>
  <c r="E405" i="1"/>
  <c r="G405" i="1"/>
  <c r="J405" i="1"/>
  <c r="K405" i="1"/>
  <c r="BE405" i="1"/>
  <c r="BF405" i="1"/>
  <c r="BG405" i="1"/>
  <c r="E406" i="1"/>
  <c r="G406" i="1"/>
  <c r="J406" i="1"/>
  <c r="K406" i="1"/>
  <c r="BE406" i="1"/>
  <c r="BF406" i="1"/>
  <c r="BG406" i="1"/>
  <c r="E407" i="1"/>
  <c r="G407" i="1"/>
  <c r="J407" i="1"/>
  <c r="K407" i="1"/>
  <c r="BF407" i="1"/>
  <c r="BG407" i="1"/>
  <c r="E408" i="1"/>
  <c r="G408" i="1"/>
  <c r="J408" i="1"/>
  <c r="K408" i="1"/>
  <c r="BF408" i="1"/>
  <c r="BG408" i="1"/>
  <c r="E409" i="1"/>
  <c r="G409" i="1"/>
  <c r="J409" i="1"/>
  <c r="K409" i="1"/>
  <c r="BF409" i="1"/>
  <c r="BG409" i="1"/>
  <c r="E410" i="1"/>
  <c r="G410" i="1"/>
  <c r="J410" i="1"/>
  <c r="K410" i="1"/>
  <c r="BF410" i="1"/>
  <c r="BG410" i="1"/>
  <c r="E411" i="1"/>
  <c r="G411" i="1"/>
  <c r="J411" i="1"/>
  <c r="K411" i="1"/>
  <c r="BF411" i="1"/>
  <c r="BG411" i="1"/>
  <c r="E412" i="1"/>
  <c r="G412" i="1"/>
  <c r="J412" i="1"/>
  <c r="K412" i="1"/>
  <c r="BF412" i="1"/>
  <c r="BG412" i="1"/>
  <c r="E413" i="1"/>
  <c r="G413" i="1"/>
  <c r="J413" i="1"/>
  <c r="K413" i="1"/>
  <c r="BF413" i="1"/>
  <c r="BG413" i="1"/>
  <c r="E414" i="1"/>
  <c r="G414" i="1"/>
  <c r="J414" i="1"/>
  <c r="K414" i="1"/>
  <c r="BF414" i="1"/>
  <c r="BG414" i="1"/>
  <c r="E2310" i="1"/>
  <c r="G2310" i="1"/>
  <c r="J2310" i="1"/>
  <c r="K2310" i="1"/>
  <c r="BE2310" i="1"/>
  <c r="BF2310" i="1"/>
  <c r="BG2310" i="1"/>
  <c r="E4790" i="1"/>
  <c r="G4790" i="1"/>
  <c r="J4790" i="1"/>
  <c r="K4790" i="1"/>
  <c r="BE4790" i="1"/>
  <c r="BF4790" i="1"/>
  <c r="BG4790" i="1"/>
  <c r="E653" i="1"/>
  <c r="G653" i="1"/>
  <c r="J653" i="1"/>
  <c r="K653" i="1"/>
  <c r="BF653" i="1"/>
  <c r="BG653" i="1"/>
  <c r="E654" i="1"/>
  <c r="G654" i="1"/>
  <c r="J654" i="1"/>
  <c r="K654" i="1"/>
  <c r="BF654" i="1"/>
  <c r="BG654" i="1"/>
  <c r="E655" i="1"/>
  <c r="G655" i="1"/>
  <c r="J655" i="1"/>
  <c r="K655" i="1"/>
  <c r="BF655" i="1"/>
  <c r="BG655" i="1"/>
  <c r="E656" i="1"/>
  <c r="G656" i="1"/>
  <c r="J656" i="1"/>
  <c r="K656" i="1"/>
  <c r="BF656" i="1"/>
  <c r="BG656" i="1"/>
  <c r="E6613" i="1"/>
  <c r="G6613" i="1"/>
  <c r="J6613" i="1"/>
  <c r="K6613" i="1"/>
  <c r="BE6613" i="1"/>
  <c r="BF6613" i="1"/>
  <c r="BG6613" i="1"/>
  <c r="E842" i="1"/>
  <c r="G842" i="1"/>
  <c r="J842" i="1"/>
  <c r="K842" i="1"/>
  <c r="BE842" i="1"/>
  <c r="BF842" i="1"/>
  <c r="BG842" i="1"/>
  <c r="E843" i="1"/>
  <c r="G843" i="1"/>
  <c r="J843" i="1"/>
  <c r="K843" i="1"/>
  <c r="BE843" i="1"/>
  <c r="BF843" i="1"/>
  <c r="BG843" i="1"/>
  <c r="E844" i="1"/>
  <c r="G844" i="1"/>
  <c r="J844" i="1"/>
  <c r="K844" i="1"/>
  <c r="BE844" i="1"/>
  <c r="BF844" i="1"/>
  <c r="BG844" i="1"/>
  <c r="E960" i="1"/>
  <c r="G960" i="1"/>
  <c r="J960" i="1"/>
  <c r="K960" i="1"/>
  <c r="BE960" i="1"/>
  <c r="BF960" i="1"/>
  <c r="BG960" i="1"/>
  <c r="E4278" i="1"/>
  <c r="G4278" i="1"/>
  <c r="J4278" i="1"/>
  <c r="K4278" i="1"/>
  <c r="BE4278" i="1"/>
  <c r="BF4278" i="1"/>
  <c r="BG4278" i="1"/>
  <c r="E4279" i="1"/>
  <c r="G4279" i="1"/>
  <c r="J4279" i="1"/>
  <c r="K4279" i="1"/>
  <c r="BE4279" i="1"/>
  <c r="BF4279" i="1"/>
  <c r="BG4279" i="1"/>
  <c r="E33" i="1"/>
  <c r="G33" i="1"/>
  <c r="J33" i="1"/>
  <c r="K33" i="1"/>
  <c r="BF33" i="1"/>
  <c r="BG33" i="1"/>
  <c r="E961" i="1"/>
  <c r="G961" i="1"/>
  <c r="J961" i="1"/>
  <c r="K961" i="1"/>
  <c r="BE961" i="1"/>
  <c r="BF961" i="1"/>
  <c r="BG961" i="1"/>
  <c r="E2074" i="1"/>
  <c r="G2074" i="1"/>
  <c r="J2074" i="1"/>
  <c r="K2074" i="1"/>
  <c r="BF2074" i="1"/>
  <c r="BG2074" i="1"/>
  <c r="E6875" i="1"/>
  <c r="G6875" i="1"/>
  <c r="J6875" i="1"/>
  <c r="BC6875" i="1"/>
  <c r="BE6875" i="1"/>
  <c r="BF6875" i="1"/>
  <c r="BG6875" i="1"/>
  <c r="BH6875" i="1"/>
  <c r="E6296" i="1"/>
  <c r="G6296" i="1"/>
  <c r="J6296" i="1"/>
  <c r="K6296" i="1"/>
  <c r="BE6296" i="1"/>
  <c r="BF6296" i="1"/>
  <c r="BG6296" i="1"/>
  <c r="E481" i="1"/>
  <c r="G481" i="1"/>
  <c r="J481" i="1"/>
  <c r="K481" i="1"/>
  <c r="BE481" i="1"/>
  <c r="BF481" i="1"/>
  <c r="BG481" i="1"/>
  <c r="E1696" i="1"/>
  <c r="G1696" i="1"/>
  <c r="J1696" i="1"/>
  <c r="K1696" i="1"/>
  <c r="BE1696" i="1"/>
  <c r="BF1696" i="1"/>
  <c r="BG1696" i="1"/>
  <c r="E4791" i="1"/>
  <c r="G4791" i="1"/>
  <c r="J4791" i="1"/>
  <c r="K4791" i="1"/>
  <c r="BE4791" i="1"/>
  <c r="BF4791" i="1"/>
  <c r="BG4791" i="1"/>
  <c r="E6614" i="1"/>
  <c r="G6614" i="1"/>
  <c r="J6614" i="1"/>
  <c r="K6614" i="1"/>
  <c r="BE6614" i="1"/>
  <c r="BF6614" i="1"/>
  <c r="BG6614" i="1"/>
  <c r="E6019" i="1"/>
  <c r="G6019" i="1"/>
  <c r="J6019" i="1"/>
  <c r="K6019" i="1"/>
  <c r="BE6019" i="1"/>
  <c r="BG6019" i="1"/>
  <c r="E6297" i="1"/>
  <c r="G6297" i="1"/>
  <c r="J6297" i="1"/>
  <c r="K6297" i="1"/>
  <c r="BE6297" i="1"/>
  <c r="BF6297" i="1"/>
  <c r="BG6297" i="1"/>
  <c r="E358" i="1"/>
  <c r="G358" i="1"/>
  <c r="J358" i="1"/>
  <c r="K358" i="1"/>
  <c r="BC358" i="1"/>
  <c r="BE358" i="1"/>
  <c r="BF358" i="1"/>
  <c r="BG358" i="1"/>
  <c r="BH358" i="1"/>
  <c r="E6020" i="1"/>
  <c r="G6020" i="1"/>
  <c r="J6020" i="1"/>
  <c r="K6020" i="1"/>
  <c r="BE6020" i="1"/>
  <c r="BG6020" i="1"/>
  <c r="E809" i="1"/>
  <c r="G809" i="1"/>
  <c r="J809" i="1"/>
  <c r="K809" i="1"/>
  <c r="BE809" i="1"/>
  <c r="BF809" i="1"/>
  <c r="BG809" i="1"/>
  <c r="E1764" i="1"/>
  <c r="G1764" i="1"/>
  <c r="J1764" i="1"/>
  <c r="K1764" i="1"/>
  <c r="BF1764" i="1"/>
  <c r="BG1764" i="1"/>
  <c r="E1765" i="1"/>
  <c r="G1765" i="1"/>
  <c r="J1765" i="1"/>
  <c r="K1765" i="1"/>
  <c r="BF1765" i="1"/>
  <c r="BG1765" i="1"/>
  <c r="E1766" i="1"/>
  <c r="G1766" i="1"/>
  <c r="J1766" i="1"/>
  <c r="K1766" i="1"/>
  <c r="BF1766" i="1"/>
  <c r="BG1766" i="1"/>
  <c r="E1767" i="1"/>
  <c r="G1767" i="1"/>
  <c r="J1767" i="1"/>
  <c r="K1767" i="1"/>
  <c r="BF1767" i="1"/>
  <c r="BG1767" i="1"/>
  <c r="E1768" i="1"/>
  <c r="G1768" i="1"/>
  <c r="J1768" i="1"/>
  <c r="K1768" i="1"/>
  <c r="BF1768" i="1"/>
  <c r="BG1768" i="1"/>
  <c r="E1769" i="1"/>
  <c r="G1769" i="1"/>
  <c r="J1769" i="1"/>
  <c r="K1769" i="1"/>
  <c r="BF1769" i="1"/>
  <c r="BG1769" i="1"/>
  <c r="E1770" i="1"/>
  <c r="G1770" i="1"/>
  <c r="J1770" i="1"/>
  <c r="K1770" i="1"/>
  <c r="BF1770" i="1"/>
  <c r="BG1770" i="1"/>
  <c r="E1771" i="1"/>
  <c r="G1771" i="1"/>
  <c r="J1771" i="1"/>
  <c r="K1771" i="1"/>
  <c r="BF1771" i="1"/>
  <c r="BG1771" i="1"/>
  <c r="E1772" i="1"/>
  <c r="G1772" i="1"/>
  <c r="J1772" i="1"/>
  <c r="K1772" i="1"/>
  <c r="BF1772" i="1"/>
  <c r="BG1772" i="1"/>
  <c r="E1773" i="1"/>
  <c r="G1773" i="1"/>
  <c r="J1773" i="1"/>
  <c r="K1773" i="1"/>
  <c r="BF1773" i="1"/>
  <c r="BG1773" i="1"/>
  <c r="E1774" i="1"/>
  <c r="G1774" i="1"/>
  <c r="J1774" i="1"/>
  <c r="K1774" i="1"/>
  <c r="BF1774" i="1"/>
  <c r="BG1774" i="1"/>
  <c r="E1775" i="1"/>
  <c r="G1775" i="1"/>
  <c r="J1775" i="1"/>
  <c r="K1775" i="1"/>
  <c r="BF1775" i="1"/>
  <c r="BG1775" i="1"/>
  <c r="E1776" i="1"/>
  <c r="G1776" i="1"/>
  <c r="J1776" i="1"/>
  <c r="K1776" i="1"/>
  <c r="BF1776" i="1"/>
  <c r="BG1776" i="1"/>
  <c r="E1777" i="1"/>
  <c r="G1777" i="1"/>
  <c r="J1777" i="1"/>
  <c r="K1777" i="1"/>
  <c r="BF1777" i="1"/>
  <c r="BG1777" i="1"/>
  <c r="E1778" i="1"/>
  <c r="G1778" i="1"/>
  <c r="J1778" i="1"/>
  <c r="K1778" i="1"/>
  <c r="BF1778" i="1"/>
  <c r="BG1778" i="1"/>
  <c r="E1779" i="1"/>
  <c r="G1779" i="1"/>
  <c r="J1779" i="1"/>
  <c r="K1779" i="1"/>
  <c r="BF1779" i="1"/>
  <c r="BG1779" i="1"/>
  <c r="E1780" i="1"/>
  <c r="G1780" i="1"/>
  <c r="J1780" i="1"/>
  <c r="K1780" i="1"/>
  <c r="BF1780" i="1"/>
  <c r="BG1780" i="1"/>
  <c r="E1781" i="1"/>
  <c r="G1781" i="1"/>
  <c r="J1781" i="1"/>
  <c r="K1781" i="1"/>
  <c r="BF1781" i="1"/>
  <c r="BG1781" i="1"/>
  <c r="E1782" i="1"/>
  <c r="G1782" i="1"/>
  <c r="J1782" i="1"/>
  <c r="K1782" i="1"/>
  <c r="BF1782" i="1"/>
  <c r="BG1782" i="1"/>
  <c r="E1783" i="1"/>
  <c r="G1783" i="1"/>
  <c r="J1783" i="1"/>
  <c r="K1783" i="1"/>
  <c r="BF1783" i="1"/>
  <c r="BG1783" i="1"/>
  <c r="E1784" i="1"/>
  <c r="G1784" i="1"/>
  <c r="J1784" i="1"/>
  <c r="K1784" i="1"/>
  <c r="BF1784" i="1"/>
  <c r="BG1784" i="1"/>
  <c r="E1785" i="1"/>
  <c r="G1785" i="1"/>
  <c r="J1785" i="1"/>
  <c r="K1785" i="1"/>
  <c r="BF1785" i="1"/>
  <c r="BG1785" i="1"/>
  <c r="E1786" i="1"/>
  <c r="G1786" i="1"/>
  <c r="J1786" i="1"/>
  <c r="K1786" i="1"/>
  <c r="BF1786" i="1"/>
  <c r="BG1786" i="1"/>
  <c r="E1787" i="1"/>
  <c r="G1787" i="1"/>
  <c r="J1787" i="1"/>
  <c r="K1787" i="1"/>
  <c r="BF1787" i="1"/>
  <c r="BG1787" i="1"/>
  <c r="E1788" i="1"/>
  <c r="G1788" i="1"/>
  <c r="J1788" i="1"/>
  <c r="K1788" i="1"/>
  <c r="BF1788" i="1"/>
  <c r="BG1788" i="1"/>
  <c r="E1789" i="1"/>
  <c r="G1789" i="1"/>
  <c r="J1789" i="1"/>
  <c r="K1789" i="1"/>
  <c r="BF1789" i="1"/>
  <c r="BG1789" i="1"/>
  <c r="E1790" i="1"/>
  <c r="G1790" i="1"/>
  <c r="J1790" i="1"/>
  <c r="K1790" i="1"/>
  <c r="BF1790" i="1"/>
  <c r="BG1790" i="1"/>
  <c r="E1791" i="1"/>
  <c r="G1791" i="1"/>
  <c r="J1791" i="1"/>
  <c r="K1791" i="1"/>
  <c r="BF1791" i="1"/>
  <c r="BG1791" i="1"/>
  <c r="E1792" i="1"/>
  <c r="G1792" i="1"/>
  <c r="J1792" i="1"/>
  <c r="K1792" i="1"/>
  <c r="BF1792" i="1"/>
  <c r="BG1792" i="1"/>
  <c r="E1793" i="1"/>
  <c r="G1793" i="1"/>
  <c r="J1793" i="1"/>
  <c r="K1793" i="1"/>
  <c r="BF1793" i="1"/>
  <c r="BG1793" i="1"/>
  <c r="E1794" i="1"/>
  <c r="G1794" i="1"/>
  <c r="J1794" i="1"/>
  <c r="K1794" i="1"/>
  <c r="BF1794" i="1"/>
  <c r="BG1794" i="1"/>
  <c r="E1795" i="1"/>
  <c r="G1795" i="1"/>
  <c r="J1795" i="1"/>
  <c r="K1795" i="1"/>
  <c r="BF1795" i="1"/>
  <c r="BG1795" i="1"/>
  <c r="E1796" i="1"/>
  <c r="G1796" i="1"/>
  <c r="J1796" i="1"/>
  <c r="K1796" i="1"/>
  <c r="BF1796" i="1"/>
  <c r="BG1796" i="1"/>
  <c r="E1797" i="1"/>
  <c r="G1797" i="1"/>
  <c r="J1797" i="1"/>
  <c r="K1797" i="1"/>
  <c r="BF1797" i="1"/>
  <c r="BG1797" i="1"/>
  <c r="E1798" i="1"/>
  <c r="G1798" i="1"/>
  <c r="J1798" i="1"/>
  <c r="K1798" i="1"/>
  <c r="BF1798" i="1"/>
  <c r="BG1798" i="1"/>
  <c r="E1799" i="1"/>
  <c r="G1799" i="1"/>
  <c r="J1799" i="1"/>
  <c r="K1799" i="1"/>
  <c r="BF1799" i="1"/>
  <c r="BG1799" i="1"/>
  <c r="E1800" i="1"/>
  <c r="G1800" i="1"/>
  <c r="J1800" i="1"/>
  <c r="K1800" i="1"/>
  <c r="BF1800" i="1"/>
  <c r="BG1800" i="1"/>
  <c r="E1801" i="1"/>
  <c r="G1801" i="1"/>
  <c r="J1801" i="1"/>
  <c r="K1801" i="1"/>
  <c r="BF1801" i="1"/>
  <c r="BG1801" i="1"/>
  <c r="E1802" i="1"/>
  <c r="G1802" i="1"/>
  <c r="J1802" i="1"/>
  <c r="K1802" i="1"/>
  <c r="BF1802" i="1"/>
  <c r="BG1802" i="1"/>
  <c r="E1803" i="1"/>
  <c r="G1803" i="1"/>
  <c r="J1803" i="1"/>
  <c r="K1803" i="1"/>
  <c r="BF1803" i="1"/>
  <c r="BG1803" i="1"/>
  <c r="E1804" i="1"/>
  <c r="G1804" i="1"/>
  <c r="J1804" i="1"/>
  <c r="K1804" i="1"/>
  <c r="BF1804" i="1"/>
  <c r="BG1804" i="1"/>
  <c r="E1805" i="1"/>
  <c r="G1805" i="1"/>
  <c r="J1805" i="1"/>
  <c r="K1805" i="1"/>
  <c r="BF1805" i="1"/>
  <c r="BG1805" i="1"/>
  <c r="E1806" i="1"/>
  <c r="G1806" i="1"/>
  <c r="J1806" i="1"/>
  <c r="K1806" i="1"/>
  <c r="BF1806" i="1"/>
  <c r="BG1806" i="1"/>
  <c r="E1807" i="1"/>
  <c r="G1807" i="1"/>
  <c r="J1807" i="1"/>
  <c r="K1807" i="1"/>
  <c r="BF1807" i="1"/>
  <c r="BG1807" i="1"/>
  <c r="E1808" i="1"/>
  <c r="G1808" i="1"/>
  <c r="J1808" i="1"/>
  <c r="K1808" i="1"/>
  <c r="BF1808" i="1"/>
  <c r="BG1808" i="1"/>
  <c r="E1809" i="1"/>
  <c r="G1809" i="1"/>
  <c r="J1809" i="1"/>
  <c r="K1809" i="1"/>
  <c r="BF1809" i="1"/>
  <c r="BG1809" i="1"/>
  <c r="E1810" i="1"/>
  <c r="G1810" i="1"/>
  <c r="J1810" i="1"/>
  <c r="K1810" i="1"/>
  <c r="BF1810" i="1"/>
  <c r="BG1810" i="1"/>
  <c r="E1811" i="1"/>
  <c r="G1811" i="1"/>
  <c r="J1811" i="1"/>
  <c r="K1811" i="1"/>
  <c r="BF1811" i="1"/>
  <c r="BG1811" i="1"/>
  <c r="E1812" i="1"/>
  <c r="G1812" i="1"/>
  <c r="J1812" i="1"/>
  <c r="K1812" i="1"/>
  <c r="BF1812" i="1"/>
  <c r="BG1812" i="1"/>
  <c r="E1813" i="1"/>
  <c r="G1813" i="1"/>
  <c r="J1813" i="1"/>
  <c r="K1813" i="1"/>
  <c r="BF1813" i="1"/>
  <c r="BG1813" i="1"/>
  <c r="E1814" i="1"/>
  <c r="G1814" i="1"/>
  <c r="J1814" i="1"/>
  <c r="K1814" i="1"/>
  <c r="BF1814" i="1"/>
  <c r="BG1814" i="1"/>
  <c r="E1815" i="1"/>
  <c r="G1815" i="1"/>
  <c r="J1815" i="1"/>
  <c r="K1815" i="1"/>
  <c r="BF1815" i="1"/>
  <c r="BG1815" i="1"/>
  <c r="E1816" i="1"/>
  <c r="G1816" i="1"/>
  <c r="J1816" i="1"/>
  <c r="K1816" i="1"/>
  <c r="BF1816" i="1"/>
  <c r="BG1816" i="1"/>
  <c r="E1817" i="1"/>
  <c r="G1817" i="1"/>
  <c r="J1817" i="1"/>
  <c r="K1817" i="1"/>
  <c r="BF1817" i="1"/>
  <c r="BG1817" i="1"/>
  <c r="E1818" i="1"/>
  <c r="G1818" i="1"/>
  <c r="J1818" i="1"/>
  <c r="K1818" i="1"/>
  <c r="BF1818" i="1"/>
  <c r="BG1818" i="1"/>
  <c r="E1819" i="1"/>
  <c r="G1819" i="1"/>
  <c r="J1819" i="1"/>
  <c r="K1819" i="1"/>
  <c r="BF1819" i="1"/>
  <c r="BG1819" i="1"/>
  <c r="E1820" i="1"/>
  <c r="G1820" i="1"/>
  <c r="J1820" i="1"/>
  <c r="K1820" i="1"/>
  <c r="BF1820" i="1"/>
  <c r="BG1820" i="1"/>
  <c r="E1821" i="1"/>
  <c r="G1821" i="1"/>
  <c r="J1821" i="1"/>
  <c r="K1821" i="1"/>
  <c r="BF1821" i="1"/>
  <c r="BG1821" i="1"/>
  <c r="E1822" i="1"/>
  <c r="G1822" i="1"/>
  <c r="J1822" i="1"/>
  <c r="K1822" i="1"/>
  <c r="BF1822" i="1"/>
  <c r="BG1822" i="1"/>
  <c r="E1823" i="1"/>
  <c r="G1823" i="1"/>
  <c r="J1823" i="1"/>
  <c r="K1823" i="1"/>
  <c r="BF1823" i="1"/>
  <c r="BG1823" i="1"/>
  <c r="E1824" i="1"/>
  <c r="G1824" i="1"/>
  <c r="J1824" i="1"/>
  <c r="K1824" i="1"/>
  <c r="BF1824" i="1"/>
  <c r="BG1824" i="1"/>
  <c r="E4792" i="1"/>
  <c r="G4792" i="1"/>
  <c r="J4792" i="1"/>
  <c r="K4792" i="1"/>
  <c r="BE4792" i="1"/>
  <c r="BF4792" i="1"/>
  <c r="BG4792" i="1"/>
  <c r="E5569" i="1"/>
  <c r="G5569" i="1"/>
  <c r="J5569" i="1"/>
  <c r="K5569" i="1"/>
  <c r="BE5569" i="1"/>
  <c r="BF5569" i="1"/>
  <c r="BG5569" i="1"/>
  <c r="E5570" i="1"/>
  <c r="G5570" i="1"/>
  <c r="J5570" i="1"/>
  <c r="K5570" i="1"/>
  <c r="BE5570" i="1"/>
  <c r="BF5570" i="1"/>
  <c r="BG5570" i="1"/>
  <c r="E5571" i="1"/>
  <c r="G5571" i="1"/>
  <c r="J5571" i="1"/>
  <c r="K5571" i="1"/>
  <c r="BE5571" i="1"/>
  <c r="BF5571" i="1"/>
  <c r="BG5571" i="1"/>
  <c r="E5572" i="1"/>
  <c r="G5572" i="1"/>
  <c r="J5572" i="1"/>
  <c r="K5572" i="1"/>
  <c r="BE5572" i="1"/>
  <c r="BF5572" i="1"/>
  <c r="BG5572" i="1"/>
  <c r="E5573" i="1"/>
  <c r="G5573" i="1"/>
  <c r="J5573" i="1"/>
  <c r="K5573" i="1"/>
  <c r="BE5573" i="1"/>
  <c r="BF5573" i="1"/>
  <c r="BG5573" i="1"/>
  <c r="E5574" i="1"/>
  <c r="G5574" i="1"/>
  <c r="J5574" i="1"/>
  <c r="K5574" i="1"/>
  <c r="BE5574" i="1"/>
  <c r="BF5574" i="1"/>
  <c r="BG5574" i="1"/>
  <c r="E5575" i="1"/>
  <c r="G5575" i="1"/>
  <c r="J5575" i="1"/>
  <c r="K5575" i="1"/>
  <c r="BE5575" i="1"/>
  <c r="BF5575" i="1"/>
  <c r="BG5575" i="1"/>
  <c r="E5576" i="1"/>
  <c r="G5576" i="1"/>
  <c r="J5576" i="1"/>
  <c r="K5576" i="1"/>
  <c r="BE5576" i="1"/>
  <c r="BF5576" i="1"/>
  <c r="BG5576" i="1"/>
  <c r="E5577" i="1"/>
  <c r="G5577" i="1"/>
  <c r="J5577" i="1"/>
  <c r="K5577" i="1"/>
  <c r="BE5577" i="1"/>
  <c r="BF5577" i="1"/>
  <c r="BG5577" i="1"/>
  <c r="E5578" i="1"/>
  <c r="G5578" i="1"/>
  <c r="J5578" i="1"/>
  <c r="K5578" i="1"/>
  <c r="BE5578" i="1"/>
  <c r="BF5578" i="1"/>
  <c r="BG5578" i="1"/>
  <c r="E5579" i="1"/>
  <c r="G5579" i="1"/>
  <c r="J5579" i="1"/>
  <c r="K5579" i="1"/>
  <c r="BE5579" i="1"/>
  <c r="BF5579" i="1"/>
  <c r="BG5579" i="1"/>
  <c r="E5580" i="1"/>
  <c r="G5580" i="1"/>
  <c r="J5580" i="1"/>
  <c r="K5580" i="1"/>
  <c r="BE5580" i="1"/>
  <c r="BF5580" i="1"/>
  <c r="BG5580" i="1"/>
  <c r="E5581" i="1"/>
  <c r="G5581" i="1"/>
  <c r="J5581" i="1"/>
  <c r="K5581" i="1"/>
  <c r="BE5581" i="1"/>
  <c r="BF5581" i="1"/>
  <c r="BG5581" i="1"/>
  <c r="E5582" i="1"/>
  <c r="G5582" i="1"/>
  <c r="J5582" i="1"/>
  <c r="K5582" i="1"/>
  <c r="BE5582" i="1"/>
  <c r="BF5582" i="1"/>
  <c r="BG5582" i="1"/>
  <c r="E5583" i="1"/>
  <c r="G5583" i="1"/>
  <c r="J5583" i="1"/>
  <c r="K5583" i="1"/>
  <c r="BE5583" i="1"/>
  <c r="BF5583" i="1"/>
  <c r="BG5583" i="1"/>
  <c r="E728" i="1"/>
  <c r="G728" i="1"/>
  <c r="J728" i="1"/>
  <c r="K728" i="1"/>
  <c r="BE728" i="1"/>
  <c r="BF728" i="1"/>
  <c r="BG728" i="1"/>
  <c r="E114" i="1"/>
  <c r="G114" i="1"/>
  <c r="J114" i="1"/>
  <c r="K114" i="1"/>
  <c r="BE114" i="1"/>
  <c r="BF114" i="1"/>
  <c r="BG114" i="1"/>
  <c r="E6615" i="1"/>
  <c r="G6615" i="1"/>
  <c r="J6615" i="1"/>
  <c r="K6615" i="1"/>
  <c r="BE6615" i="1"/>
  <c r="BF6615" i="1"/>
  <c r="BG6615" i="1"/>
  <c r="E4566" i="1"/>
  <c r="G4566" i="1"/>
  <c r="J4566" i="1"/>
  <c r="K4566" i="1"/>
  <c r="BE4566" i="1"/>
  <c r="BF4566" i="1"/>
  <c r="BG4566" i="1"/>
  <c r="E6021" i="1"/>
  <c r="G6021" i="1"/>
  <c r="J6021" i="1"/>
  <c r="K6021" i="1"/>
  <c r="BE6021" i="1"/>
  <c r="BG6021" i="1"/>
  <c r="E2819" i="1"/>
  <c r="G2819" i="1"/>
  <c r="J2819" i="1"/>
  <c r="K2819" i="1"/>
  <c r="BC2819" i="1"/>
  <c r="BE2819" i="1"/>
  <c r="BF2819" i="1"/>
  <c r="BG2819" i="1"/>
  <c r="E2075" i="1"/>
  <c r="G2075" i="1"/>
  <c r="J2075" i="1"/>
  <c r="K2075" i="1"/>
  <c r="BF2075" i="1"/>
  <c r="BG2075" i="1"/>
  <c r="E6022" i="1"/>
  <c r="G6022" i="1"/>
  <c r="J6022" i="1"/>
  <c r="K6022" i="1"/>
  <c r="BE6022" i="1"/>
  <c r="BG6022" i="1"/>
  <c r="E2076" i="1"/>
  <c r="G2076" i="1"/>
  <c r="J2076" i="1"/>
  <c r="K2076" i="1"/>
  <c r="BF2076" i="1"/>
  <c r="BG2076" i="1"/>
  <c r="E782" i="1"/>
  <c r="G782" i="1"/>
  <c r="J782" i="1"/>
  <c r="K782" i="1"/>
  <c r="BE782" i="1"/>
  <c r="BF782" i="1"/>
  <c r="BG782" i="1"/>
  <c r="E4567" i="1"/>
  <c r="G4567" i="1"/>
  <c r="J4567" i="1"/>
  <c r="K4567" i="1"/>
  <c r="BE4567" i="1"/>
  <c r="BF4567" i="1"/>
  <c r="BG4567" i="1"/>
  <c r="E314" i="1"/>
  <c r="G314" i="1"/>
  <c r="J314" i="1"/>
  <c r="K314" i="1"/>
  <c r="BF314" i="1"/>
  <c r="BG314" i="1"/>
  <c r="E4095" i="1"/>
  <c r="G4095" i="1"/>
  <c r="J4095" i="1"/>
  <c r="K4095" i="1"/>
  <c r="BE4095" i="1"/>
  <c r="BF4095" i="1"/>
  <c r="BG4095" i="1"/>
  <c r="E2820" i="1"/>
  <c r="G2820" i="1"/>
  <c r="J2820" i="1"/>
  <c r="K2820" i="1"/>
  <c r="BC2820" i="1"/>
  <c r="BE2820" i="1"/>
  <c r="BF2820" i="1"/>
  <c r="BG2820" i="1"/>
  <c r="E2489" i="1"/>
  <c r="G2489" i="1"/>
  <c r="J2489" i="1"/>
  <c r="K2489" i="1"/>
  <c r="BE2489" i="1"/>
  <c r="BF2489" i="1"/>
  <c r="BG2489" i="1"/>
  <c r="E6298" i="1"/>
  <c r="G6298" i="1"/>
  <c r="J6298" i="1"/>
  <c r="K6298" i="1"/>
  <c r="BE6298" i="1"/>
  <c r="BF6298" i="1"/>
  <c r="BG6298" i="1"/>
  <c r="E6299" i="1"/>
  <c r="G6299" i="1"/>
  <c r="J6299" i="1"/>
  <c r="K6299" i="1"/>
  <c r="BE6299" i="1"/>
  <c r="BF6299" i="1"/>
  <c r="BG6299" i="1"/>
  <c r="E194" i="1"/>
  <c r="G194" i="1"/>
  <c r="J194" i="1"/>
  <c r="K194" i="1"/>
  <c r="BE194" i="1"/>
  <c r="BF194" i="1"/>
  <c r="BG194" i="1"/>
  <c r="E442" i="1"/>
  <c r="G442" i="1"/>
  <c r="J442" i="1"/>
  <c r="K442" i="1"/>
  <c r="BF442" i="1"/>
  <c r="BG442" i="1"/>
  <c r="E443" i="1"/>
  <c r="G443" i="1"/>
  <c r="J443" i="1"/>
  <c r="K443" i="1"/>
  <c r="BF443" i="1"/>
  <c r="BG443" i="1"/>
  <c r="E444" i="1"/>
  <c r="G444" i="1"/>
  <c r="J444" i="1"/>
  <c r="K444" i="1"/>
  <c r="BF444" i="1"/>
  <c r="BG444" i="1"/>
  <c r="E572" i="1"/>
  <c r="G572" i="1"/>
  <c r="J572" i="1"/>
  <c r="K572" i="1"/>
  <c r="BE572" i="1"/>
  <c r="BF572" i="1"/>
  <c r="BG572" i="1"/>
  <c r="E2821" i="1"/>
  <c r="G2821" i="1"/>
  <c r="J2821" i="1"/>
  <c r="K2821" i="1"/>
  <c r="BC2821" i="1"/>
  <c r="BE2821" i="1"/>
  <c r="BF2821" i="1"/>
  <c r="BG2821" i="1"/>
  <c r="E673" i="1"/>
  <c r="G673" i="1"/>
  <c r="J673" i="1"/>
  <c r="K673" i="1"/>
  <c r="BE673" i="1"/>
  <c r="BF673" i="1"/>
  <c r="BG673" i="1"/>
  <c r="E783" i="1"/>
  <c r="G783" i="1"/>
  <c r="J783" i="1"/>
  <c r="K783" i="1"/>
  <c r="BE783" i="1"/>
  <c r="BF783" i="1"/>
  <c r="BG783" i="1"/>
  <c r="E638" i="1"/>
  <c r="G638" i="1"/>
  <c r="J638" i="1"/>
  <c r="K638" i="1"/>
  <c r="BE638" i="1"/>
  <c r="BF638" i="1"/>
  <c r="BG638" i="1"/>
  <c r="E3530" i="1"/>
  <c r="G3530" i="1"/>
  <c r="J3530" i="1"/>
  <c r="K3530" i="1"/>
  <c r="BE3530" i="1"/>
  <c r="BF3530" i="1"/>
  <c r="BG3530" i="1"/>
  <c r="E3531" i="1"/>
  <c r="G3531" i="1"/>
  <c r="J3531" i="1"/>
  <c r="K3531" i="1"/>
  <c r="BE3531" i="1"/>
  <c r="BF3531" i="1"/>
  <c r="BG3531" i="1"/>
  <c r="E4096" i="1"/>
  <c r="G4096" i="1"/>
  <c r="J4096" i="1"/>
  <c r="K4096" i="1"/>
  <c r="BE4096" i="1"/>
  <c r="BF4096" i="1"/>
  <c r="BG4096" i="1"/>
  <c r="E3532" i="1"/>
  <c r="G3532" i="1"/>
  <c r="J3532" i="1"/>
  <c r="K3532" i="1"/>
  <c r="BE3532" i="1"/>
  <c r="BF3532" i="1"/>
  <c r="BG3532" i="1"/>
  <c r="E3533" i="1"/>
  <c r="G3533" i="1"/>
  <c r="J3533" i="1"/>
  <c r="K3533" i="1"/>
  <c r="BE3533" i="1"/>
  <c r="BF3533" i="1"/>
  <c r="BG3533" i="1"/>
  <c r="E3534" i="1"/>
  <c r="G3534" i="1"/>
  <c r="J3534" i="1"/>
  <c r="K3534" i="1"/>
  <c r="BE3534" i="1"/>
  <c r="BF3534" i="1"/>
  <c r="BG3534" i="1"/>
  <c r="E3535" i="1"/>
  <c r="G3535" i="1"/>
  <c r="J3535" i="1"/>
  <c r="K3535" i="1"/>
  <c r="BE3535" i="1"/>
  <c r="BF3535" i="1"/>
  <c r="BG3535" i="1"/>
  <c r="E3536" i="1"/>
  <c r="G3536" i="1"/>
  <c r="J3536" i="1"/>
  <c r="K3536" i="1"/>
  <c r="BE3536" i="1"/>
  <c r="BF3536" i="1"/>
  <c r="BG3536" i="1"/>
  <c r="E3756" i="1"/>
  <c r="G3756" i="1"/>
  <c r="J3756" i="1"/>
  <c r="K3756" i="1"/>
  <c r="BE3756" i="1"/>
  <c r="BF3756" i="1"/>
  <c r="BG3756" i="1"/>
  <c r="E6705" i="1"/>
  <c r="G6705" i="1"/>
  <c r="J6705" i="1"/>
  <c r="K6705" i="1"/>
  <c r="BE6705" i="1"/>
  <c r="BF6705" i="1"/>
  <c r="BG6705" i="1"/>
  <c r="E4793" i="1"/>
  <c r="G4793" i="1"/>
  <c r="J4793" i="1"/>
  <c r="K4793" i="1"/>
  <c r="BE4793" i="1"/>
  <c r="BF4793" i="1"/>
  <c r="BG4793" i="1"/>
  <c r="E2822" i="1"/>
  <c r="G2822" i="1"/>
  <c r="J2822" i="1"/>
  <c r="K2822" i="1"/>
  <c r="BC2822" i="1"/>
  <c r="BE2822" i="1"/>
  <c r="BF2822" i="1"/>
  <c r="BG2822" i="1"/>
  <c r="E4794" i="1"/>
  <c r="G4794" i="1"/>
  <c r="J4794" i="1"/>
  <c r="K4794" i="1"/>
  <c r="BE4794" i="1"/>
  <c r="BF4794" i="1"/>
  <c r="BG4794" i="1"/>
  <c r="E4568" i="1"/>
  <c r="G4568" i="1"/>
  <c r="J4568" i="1"/>
  <c r="K4568" i="1"/>
  <c r="BE4568" i="1"/>
  <c r="BF4568" i="1"/>
  <c r="BG4568" i="1"/>
  <c r="E2823" i="1"/>
  <c r="G2823" i="1"/>
  <c r="J2823" i="1"/>
  <c r="K2823" i="1"/>
  <c r="BC2823" i="1"/>
  <c r="BE2823" i="1"/>
  <c r="BF2823" i="1"/>
  <c r="BG2823" i="1"/>
  <c r="E3327" i="1"/>
  <c r="G3327" i="1"/>
  <c r="J3327" i="1"/>
  <c r="K3327" i="1"/>
  <c r="BE3327" i="1"/>
  <c r="BF3327" i="1"/>
  <c r="BG3327" i="1"/>
  <c r="E5584" i="1"/>
  <c r="G5584" i="1"/>
  <c r="J5584" i="1"/>
  <c r="K5584" i="1"/>
  <c r="BE5584" i="1"/>
  <c r="BF5584" i="1"/>
  <c r="BG5584" i="1"/>
  <c r="E6706" i="1"/>
  <c r="G6706" i="1"/>
  <c r="J6706" i="1"/>
  <c r="K6706" i="1"/>
  <c r="BE6706" i="1"/>
  <c r="BF6706" i="1"/>
  <c r="BG6706" i="1"/>
  <c r="E810" i="1"/>
  <c r="G810" i="1"/>
  <c r="J810" i="1"/>
  <c r="K810" i="1"/>
  <c r="BE810" i="1"/>
  <c r="BF810" i="1"/>
  <c r="BG810" i="1"/>
  <c r="E4569" i="1"/>
  <c r="G4569" i="1"/>
  <c r="J4569" i="1"/>
  <c r="K4569" i="1"/>
  <c r="BE4569" i="1"/>
  <c r="BF4569" i="1"/>
  <c r="BG4569" i="1"/>
  <c r="E3462" i="1"/>
  <c r="G3462" i="1"/>
  <c r="J3462" i="1"/>
  <c r="K3462" i="1"/>
  <c r="BE3462" i="1"/>
  <c r="BF3462" i="1"/>
  <c r="BG3462" i="1"/>
  <c r="E6707" i="1"/>
  <c r="G6707" i="1"/>
  <c r="J6707" i="1"/>
  <c r="K6707" i="1"/>
  <c r="BE6707" i="1"/>
  <c r="BF6707" i="1"/>
  <c r="BG6707" i="1"/>
  <c r="E811" i="1"/>
  <c r="G811" i="1"/>
  <c r="J811" i="1"/>
  <c r="K811" i="1"/>
  <c r="BE811" i="1"/>
  <c r="BF811" i="1"/>
  <c r="BG811" i="1"/>
  <c r="E3463" i="1"/>
  <c r="G3463" i="1"/>
  <c r="J3463" i="1"/>
  <c r="K3463" i="1"/>
  <c r="BE3463" i="1"/>
  <c r="BF3463" i="1"/>
  <c r="BG3463" i="1"/>
  <c r="E6836" i="1"/>
  <c r="G6836" i="1"/>
  <c r="J6836" i="1"/>
  <c r="K6836" i="1"/>
  <c r="BE6836" i="1"/>
  <c r="BF6836" i="1"/>
  <c r="BG6836" i="1"/>
  <c r="E3328" i="1"/>
  <c r="G3328" i="1"/>
  <c r="J3328" i="1"/>
  <c r="K3328" i="1"/>
  <c r="BE3328" i="1"/>
  <c r="BF3328" i="1"/>
  <c r="BG3328" i="1"/>
  <c r="E6837" i="1"/>
  <c r="G6837" i="1"/>
  <c r="J6837" i="1"/>
  <c r="K6837" i="1"/>
  <c r="BE6837" i="1"/>
  <c r="BF6837" i="1"/>
  <c r="BG6837" i="1"/>
  <c r="E3464" i="1"/>
  <c r="G3464" i="1"/>
  <c r="J3464" i="1"/>
  <c r="K3464" i="1"/>
  <c r="BE3464" i="1"/>
  <c r="BF3464" i="1"/>
  <c r="BG3464" i="1"/>
  <c r="E962" i="1"/>
  <c r="G962" i="1"/>
  <c r="J962" i="1"/>
  <c r="K962" i="1"/>
  <c r="BE962" i="1"/>
  <c r="BF962" i="1"/>
  <c r="BG962" i="1"/>
  <c r="E95" i="1"/>
  <c r="G95" i="1"/>
  <c r="J95" i="1"/>
  <c r="K95" i="1"/>
  <c r="BE95" i="1"/>
  <c r="BF95" i="1"/>
  <c r="BG95" i="1"/>
  <c r="E6708" i="1"/>
  <c r="G6708" i="1"/>
  <c r="J6708" i="1"/>
  <c r="K6708" i="1"/>
  <c r="BE6708" i="1"/>
  <c r="BF6708" i="1"/>
  <c r="BG6708" i="1"/>
  <c r="E6876" i="1"/>
  <c r="G6876" i="1"/>
  <c r="J6876" i="1"/>
  <c r="BE6876" i="1"/>
  <c r="BF6876" i="1"/>
  <c r="BG6876" i="1"/>
  <c r="E166" i="1"/>
  <c r="G166" i="1"/>
  <c r="J166" i="1"/>
  <c r="K166" i="1"/>
  <c r="BF166" i="1"/>
  <c r="BG166" i="1"/>
  <c r="E73" i="1"/>
  <c r="G73" i="1"/>
  <c r="J73" i="1"/>
  <c r="K73" i="1"/>
  <c r="BE73" i="1"/>
  <c r="BF73" i="1"/>
  <c r="BG73" i="1"/>
  <c r="E963" i="1"/>
  <c r="G963" i="1"/>
  <c r="J963" i="1"/>
  <c r="K963" i="1"/>
  <c r="BE963" i="1"/>
  <c r="BF963" i="1"/>
  <c r="BG963" i="1"/>
  <c r="E3329" i="1"/>
  <c r="G3329" i="1"/>
  <c r="J3329" i="1"/>
  <c r="K3329" i="1"/>
  <c r="BE3329" i="1"/>
  <c r="BF3329" i="1"/>
  <c r="BG3329" i="1"/>
  <c r="E1893" i="1"/>
  <c r="G1893" i="1"/>
  <c r="J1893" i="1"/>
  <c r="K1893" i="1"/>
  <c r="BF1893" i="1"/>
  <c r="BG1893" i="1"/>
  <c r="E2824" i="1"/>
  <c r="G2824" i="1"/>
  <c r="J2824" i="1"/>
  <c r="K2824" i="1"/>
  <c r="BE2824" i="1"/>
  <c r="BF2824" i="1"/>
  <c r="BG2824" i="1"/>
  <c r="E1825" i="1"/>
  <c r="G1825" i="1"/>
  <c r="J1825" i="1"/>
  <c r="K1825" i="1"/>
  <c r="BF1825" i="1"/>
  <c r="BG1825" i="1"/>
  <c r="E2825" i="1"/>
  <c r="G2825" i="1"/>
  <c r="J2825" i="1"/>
  <c r="K2825" i="1"/>
  <c r="BE2825" i="1"/>
  <c r="BF2825" i="1"/>
  <c r="BG2825" i="1"/>
  <c r="E2826" i="1"/>
  <c r="G2826" i="1"/>
  <c r="J2826" i="1"/>
  <c r="K2826" i="1"/>
  <c r="BE2826" i="1"/>
  <c r="BF2826" i="1"/>
  <c r="BG2826" i="1"/>
  <c r="E2827" i="1"/>
  <c r="G2827" i="1"/>
  <c r="J2827" i="1"/>
  <c r="K2827" i="1"/>
  <c r="BE2827" i="1"/>
  <c r="BF2827" i="1"/>
  <c r="BG2827" i="1"/>
  <c r="E6877" i="1"/>
  <c r="G6877" i="1"/>
  <c r="J6877" i="1"/>
  <c r="BC6877" i="1"/>
  <c r="BE6877" i="1"/>
  <c r="BF6877" i="1"/>
  <c r="BG6877" i="1"/>
  <c r="E1894" i="1"/>
  <c r="G1894" i="1"/>
  <c r="J1894" i="1"/>
  <c r="K1894" i="1"/>
  <c r="BF1894" i="1"/>
  <c r="BG1894" i="1"/>
  <c r="E2828" i="1"/>
  <c r="G2828" i="1"/>
  <c r="J2828" i="1"/>
  <c r="K2828" i="1"/>
  <c r="BE2828" i="1"/>
  <c r="BF2828" i="1"/>
  <c r="BG2828" i="1"/>
  <c r="E2829" i="1"/>
  <c r="G2829" i="1"/>
  <c r="J2829" i="1"/>
  <c r="K2829" i="1"/>
  <c r="BE2829" i="1"/>
  <c r="BF2829" i="1"/>
  <c r="BG2829" i="1"/>
  <c r="E257" i="1"/>
  <c r="G257" i="1"/>
  <c r="J257" i="1"/>
  <c r="K257" i="1"/>
  <c r="BC257" i="1"/>
  <c r="BE257" i="1"/>
  <c r="BF257" i="1"/>
  <c r="BG257" i="1"/>
  <c r="E2830" i="1"/>
  <c r="G2830" i="1"/>
  <c r="J2830" i="1"/>
  <c r="K2830" i="1"/>
  <c r="BE2830" i="1"/>
  <c r="BF2830" i="1"/>
  <c r="BG2830" i="1"/>
  <c r="E682" i="1"/>
  <c r="G682" i="1"/>
  <c r="J682" i="1"/>
  <c r="K682" i="1"/>
  <c r="BE682" i="1"/>
  <c r="BF682" i="1"/>
  <c r="BG682" i="1"/>
  <c r="E683" i="1"/>
  <c r="G683" i="1"/>
  <c r="J683" i="1"/>
  <c r="K683" i="1"/>
  <c r="BE683" i="1"/>
  <c r="BF683" i="1"/>
  <c r="BG683" i="1"/>
  <c r="E684" i="1"/>
  <c r="G684" i="1"/>
  <c r="J684" i="1"/>
  <c r="K684" i="1"/>
  <c r="BE684" i="1"/>
  <c r="BF684" i="1"/>
  <c r="BG684" i="1"/>
  <c r="E685" i="1"/>
  <c r="G685" i="1"/>
  <c r="J685" i="1"/>
  <c r="K685" i="1"/>
  <c r="BE685" i="1"/>
  <c r="BF685" i="1"/>
  <c r="BG685" i="1"/>
  <c r="E686" i="1"/>
  <c r="G686" i="1"/>
  <c r="J686" i="1"/>
  <c r="K686" i="1"/>
  <c r="BE686" i="1"/>
  <c r="BF686" i="1"/>
  <c r="BG686" i="1"/>
  <c r="E2831" i="1"/>
  <c r="G2831" i="1"/>
  <c r="J2831" i="1"/>
  <c r="K2831" i="1"/>
  <c r="BE2831" i="1"/>
  <c r="BF2831" i="1"/>
  <c r="BG2831" i="1"/>
  <c r="E687" i="1"/>
  <c r="G687" i="1"/>
  <c r="J687" i="1"/>
  <c r="K687" i="1"/>
  <c r="BE687" i="1"/>
  <c r="BF687" i="1"/>
  <c r="BG687" i="1"/>
  <c r="E688" i="1"/>
  <c r="G688" i="1"/>
  <c r="J688" i="1"/>
  <c r="K688" i="1"/>
  <c r="BE688" i="1"/>
  <c r="BF688" i="1"/>
  <c r="BG688" i="1"/>
  <c r="E6300" i="1"/>
  <c r="G6300" i="1"/>
  <c r="J6300" i="1"/>
  <c r="K6300" i="1"/>
  <c r="BE6300" i="1"/>
  <c r="BF6300" i="1"/>
  <c r="BG6300" i="1"/>
  <c r="E2832" i="1"/>
  <c r="G2832" i="1"/>
  <c r="J2832" i="1"/>
  <c r="K2832" i="1"/>
  <c r="BE2832" i="1"/>
  <c r="BF2832" i="1"/>
  <c r="BG2832" i="1"/>
  <c r="E415" i="1"/>
  <c r="G415" i="1"/>
  <c r="J415" i="1"/>
  <c r="K415" i="1"/>
  <c r="BF415" i="1"/>
  <c r="BG415" i="1"/>
  <c r="E541" i="1"/>
  <c r="G541" i="1"/>
  <c r="J541" i="1"/>
  <c r="K541" i="1"/>
  <c r="BE541" i="1"/>
  <c r="BF541" i="1"/>
  <c r="BG541" i="1"/>
  <c r="E2833" i="1"/>
  <c r="G2833" i="1"/>
  <c r="J2833" i="1"/>
  <c r="K2833" i="1"/>
  <c r="BE2833" i="1"/>
  <c r="BF2833" i="1"/>
  <c r="BG2833" i="1"/>
  <c r="E1895" i="1"/>
  <c r="G1895" i="1"/>
  <c r="J1895" i="1"/>
  <c r="K1895" i="1"/>
  <c r="BF1895" i="1"/>
  <c r="BG1895" i="1"/>
  <c r="E476" i="1"/>
  <c r="G476" i="1"/>
  <c r="J476" i="1"/>
  <c r="K476" i="1"/>
  <c r="BE476" i="1"/>
  <c r="BF476" i="1"/>
  <c r="BG476" i="1"/>
  <c r="E2834" i="1"/>
  <c r="G2834" i="1"/>
  <c r="J2834" i="1"/>
  <c r="K2834" i="1"/>
  <c r="BE2834" i="1"/>
  <c r="BF2834" i="1"/>
  <c r="BG2834" i="1"/>
  <c r="E2835" i="1"/>
  <c r="G2835" i="1"/>
  <c r="J2835" i="1"/>
  <c r="K2835" i="1"/>
  <c r="BE2835" i="1"/>
  <c r="BF2835" i="1"/>
  <c r="BG2835" i="1"/>
  <c r="E2836" i="1"/>
  <c r="G2836" i="1"/>
  <c r="J2836" i="1"/>
  <c r="K2836" i="1"/>
  <c r="BE2836" i="1"/>
  <c r="BF2836" i="1"/>
  <c r="BG2836" i="1"/>
  <c r="E1896" i="1"/>
  <c r="G1896" i="1"/>
  <c r="J1896" i="1"/>
  <c r="K1896" i="1"/>
  <c r="BF1896" i="1"/>
  <c r="BG1896" i="1"/>
  <c r="E6301" i="1"/>
  <c r="G6301" i="1"/>
  <c r="J6301" i="1"/>
  <c r="K6301" i="1"/>
  <c r="BE6301" i="1"/>
  <c r="BF6301" i="1"/>
  <c r="BG6301" i="1"/>
  <c r="E534" i="1"/>
  <c r="G534" i="1"/>
  <c r="J534" i="1"/>
  <c r="K534" i="1"/>
  <c r="BF534" i="1"/>
  <c r="BG534" i="1"/>
  <c r="E2837" i="1"/>
  <c r="G2837" i="1"/>
  <c r="J2837" i="1"/>
  <c r="K2837" i="1"/>
  <c r="BE2837" i="1"/>
  <c r="BF2837" i="1"/>
  <c r="BG2837" i="1"/>
  <c r="E1897" i="1"/>
  <c r="G1897" i="1"/>
  <c r="J1897" i="1"/>
  <c r="K1897" i="1"/>
  <c r="BF1897" i="1"/>
  <c r="BG1897" i="1"/>
  <c r="E2077" i="1"/>
  <c r="G2077" i="1"/>
  <c r="J2077" i="1"/>
  <c r="K2077" i="1"/>
  <c r="BF2077" i="1"/>
  <c r="BG2077" i="1"/>
  <c r="E1898" i="1"/>
  <c r="G1898" i="1"/>
  <c r="J1898" i="1"/>
  <c r="K1898" i="1"/>
  <c r="BF1898" i="1"/>
  <c r="BG1898" i="1"/>
  <c r="E1899" i="1"/>
  <c r="G1899" i="1"/>
  <c r="J1899" i="1"/>
  <c r="K1899" i="1"/>
  <c r="BF1899" i="1"/>
  <c r="BG1899" i="1"/>
  <c r="E866" i="1"/>
  <c r="G866" i="1"/>
  <c r="J866" i="1"/>
  <c r="K866" i="1"/>
  <c r="BE866" i="1"/>
  <c r="BF866" i="1"/>
  <c r="BG866" i="1"/>
  <c r="E1900" i="1"/>
  <c r="G1900" i="1"/>
  <c r="J1900" i="1"/>
  <c r="K1900" i="1"/>
  <c r="BF1900" i="1"/>
  <c r="BG1900" i="1"/>
  <c r="E1826" i="1"/>
  <c r="G1826" i="1"/>
  <c r="J1826" i="1"/>
  <c r="K1826" i="1"/>
  <c r="BF1826" i="1"/>
  <c r="BG1826" i="1"/>
  <c r="E2078" i="1"/>
  <c r="G2078" i="1"/>
  <c r="J2078" i="1"/>
  <c r="K2078" i="1"/>
  <c r="BF2078" i="1"/>
  <c r="BG2078" i="1"/>
  <c r="E2079" i="1"/>
  <c r="G2079" i="1"/>
  <c r="J2079" i="1"/>
  <c r="K2079" i="1"/>
  <c r="BF2079" i="1"/>
  <c r="BG2079" i="1"/>
  <c r="E4795" i="1"/>
  <c r="G4795" i="1"/>
  <c r="J4795" i="1"/>
  <c r="K4795" i="1"/>
  <c r="BE4795" i="1"/>
  <c r="BF4795" i="1"/>
  <c r="BG4795" i="1"/>
  <c r="E2080" i="1"/>
  <c r="G2080" i="1"/>
  <c r="J2080" i="1"/>
  <c r="K2080" i="1"/>
  <c r="BF2080" i="1"/>
  <c r="BG2080" i="1"/>
  <c r="E4796" i="1"/>
  <c r="G4796" i="1"/>
  <c r="J4796" i="1"/>
  <c r="K4796" i="1"/>
  <c r="BE4796" i="1"/>
  <c r="BF4796" i="1"/>
  <c r="BG4796" i="1"/>
  <c r="E96" i="1"/>
  <c r="G96" i="1"/>
  <c r="J96" i="1"/>
  <c r="K96" i="1"/>
  <c r="BE96" i="1"/>
  <c r="BF96" i="1"/>
  <c r="BG96" i="1"/>
  <c r="E604" i="1"/>
  <c r="G604" i="1"/>
  <c r="J604" i="1"/>
  <c r="K604" i="1"/>
  <c r="BE604" i="1"/>
  <c r="BF604" i="1"/>
  <c r="BG604" i="1"/>
  <c r="BH604" i="1"/>
  <c r="E493" i="1"/>
  <c r="G493" i="1"/>
  <c r="J493" i="1"/>
  <c r="K493" i="1"/>
  <c r="BE493" i="1"/>
  <c r="BF493" i="1"/>
  <c r="BG493" i="1"/>
  <c r="E2081" i="1"/>
  <c r="G2081" i="1"/>
  <c r="J2081" i="1"/>
  <c r="K2081" i="1"/>
  <c r="BF2081" i="1"/>
  <c r="BG2081" i="1"/>
  <c r="E6878" i="1"/>
  <c r="G6878" i="1"/>
  <c r="J6878" i="1"/>
  <c r="BE6878" i="1"/>
  <c r="BF6878" i="1"/>
  <c r="BG6878" i="1"/>
  <c r="BH6878" i="1"/>
  <c r="E2838" i="1"/>
  <c r="G2838" i="1"/>
  <c r="J2838" i="1"/>
  <c r="K2838" i="1"/>
  <c r="BE2838" i="1"/>
  <c r="BF2838" i="1"/>
  <c r="BG2838" i="1"/>
  <c r="E5585" i="1"/>
  <c r="G5585" i="1"/>
  <c r="J5585" i="1"/>
  <c r="K5585" i="1"/>
  <c r="BE5585" i="1"/>
  <c r="BF5585" i="1"/>
  <c r="BG5585" i="1"/>
  <c r="E4797" i="1"/>
  <c r="G4797" i="1"/>
  <c r="J4797" i="1"/>
  <c r="K4797" i="1"/>
  <c r="BE4797" i="1"/>
  <c r="BF4797" i="1"/>
  <c r="BG4797" i="1"/>
  <c r="E2082" i="1"/>
  <c r="G2082" i="1"/>
  <c r="J2082" i="1"/>
  <c r="K2082" i="1"/>
  <c r="BF2082" i="1"/>
  <c r="BG2082" i="1"/>
  <c r="E5586" i="1"/>
  <c r="G5586" i="1"/>
  <c r="J5586" i="1"/>
  <c r="K5586" i="1"/>
  <c r="BE5586" i="1"/>
  <c r="BF5586" i="1"/>
  <c r="BG5586" i="1"/>
  <c r="E2839" i="1"/>
  <c r="G2839" i="1"/>
  <c r="J2839" i="1"/>
  <c r="K2839" i="1"/>
  <c r="BE2839" i="1"/>
  <c r="BF2839" i="1"/>
  <c r="BG2839" i="1"/>
  <c r="E2083" i="1"/>
  <c r="G2083" i="1"/>
  <c r="J2083" i="1"/>
  <c r="K2083" i="1"/>
  <c r="BF2083" i="1"/>
  <c r="BG2083" i="1"/>
  <c r="E5587" i="1"/>
  <c r="G5587" i="1"/>
  <c r="J5587" i="1"/>
  <c r="K5587" i="1"/>
  <c r="BE5587" i="1"/>
  <c r="BF5587" i="1"/>
  <c r="BG5587" i="1"/>
  <c r="E2084" i="1"/>
  <c r="G2084" i="1"/>
  <c r="J2084" i="1"/>
  <c r="K2084" i="1"/>
  <c r="BF2084" i="1"/>
  <c r="BG2084" i="1"/>
  <c r="E5588" i="1"/>
  <c r="G5588" i="1"/>
  <c r="J5588" i="1"/>
  <c r="K5588" i="1"/>
  <c r="BE5588" i="1"/>
  <c r="BF5588" i="1"/>
  <c r="BG5588" i="1"/>
  <c r="E2840" i="1"/>
  <c r="G2840" i="1"/>
  <c r="J2840" i="1"/>
  <c r="K2840" i="1"/>
  <c r="BE2840" i="1"/>
  <c r="BF2840" i="1"/>
  <c r="BG2840" i="1"/>
  <c r="E5589" i="1"/>
  <c r="G5589" i="1"/>
  <c r="J5589" i="1"/>
  <c r="K5589" i="1"/>
  <c r="BE5589" i="1"/>
  <c r="BF5589" i="1"/>
  <c r="BG5589" i="1"/>
  <c r="E2841" i="1"/>
  <c r="G2841" i="1"/>
  <c r="J2841" i="1"/>
  <c r="K2841" i="1"/>
  <c r="BE2841" i="1"/>
  <c r="BF2841" i="1"/>
  <c r="BG2841" i="1"/>
  <c r="E5590" i="1"/>
  <c r="G5590" i="1"/>
  <c r="J5590" i="1"/>
  <c r="K5590" i="1"/>
  <c r="BE5590" i="1"/>
  <c r="BF5590" i="1"/>
  <c r="BG5590" i="1"/>
  <c r="E556" i="1"/>
  <c r="G556" i="1"/>
  <c r="J556" i="1"/>
  <c r="K556" i="1"/>
  <c r="BE556" i="1"/>
  <c r="BF556" i="1"/>
  <c r="BG556" i="1"/>
  <c r="E2842" i="1"/>
  <c r="G2842" i="1"/>
  <c r="J2842" i="1"/>
  <c r="K2842" i="1"/>
  <c r="BE2842" i="1"/>
  <c r="BF2842" i="1"/>
  <c r="BG2842" i="1"/>
  <c r="E2843" i="1"/>
  <c r="G2843" i="1"/>
  <c r="J2843" i="1"/>
  <c r="K2843" i="1"/>
  <c r="BE2843" i="1"/>
  <c r="BF2843" i="1"/>
  <c r="BG2843" i="1"/>
  <c r="E2844" i="1"/>
  <c r="G2844" i="1"/>
  <c r="J2844" i="1"/>
  <c r="K2844" i="1"/>
  <c r="BE2844" i="1"/>
  <c r="BF2844" i="1"/>
  <c r="BG2844" i="1"/>
  <c r="E2845" i="1"/>
  <c r="G2845" i="1"/>
  <c r="J2845" i="1"/>
  <c r="K2845" i="1"/>
  <c r="BE2845" i="1"/>
  <c r="BF2845" i="1"/>
  <c r="BG2845" i="1"/>
  <c r="E2846" i="1"/>
  <c r="G2846" i="1"/>
  <c r="J2846" i="1"/>
  <c r="K2846" i="1"/>
  <c r="BE2846" i="1"/>
  <c r="BF2846" i="1"/>
  <c r="BG2846" i="1"/>
  <c r="E2847" i="1"/>
  <c r="G2847" i="1"/>
  <c r="J2847" i="1"/>
  <c r="K2847" i="1"/>
  <c r="BE2847" i="1"/>
  <c r="BF2847" i="1"/>
  <c r="BG2847" i="1"/>
  <c r="E4798" i="1"/>
  <c r="G4798" i="1"/>
  <c r="J4798" i="1"/>
  <c r="K4798" i="1"/>
  <c r="BE4798" i="1"/>
  <c r="BF4798" i="1"/>
  <c r="BG4798" i="1"/>
  <c r="E2848" i="1"/>
  <c r="G2848" i="1"/>
  <c r="J2848" i="1"/>
  <c r="K2848" i="1"/>
  <c r="BC2848" i="1"/>
  <c r="BE2848" i="1"/>
  <c r="BF2848" i="1"/>
  <c r="BG2848" i="1"/>
  <c r="E4570" i="1"/>
  <c r="G4570" i="1"/>
  <c r="J4570" i="1"/>
  <c r="K4570" i="1"/>
  <c r="BE4570" i="1"/>
  <c r="BF4570" i="1"/>
  <c r="BG4570" i="1"/>
  <c r="E4571" i="1"/>
  <c r="G4571" i="1"/>
  <c r="J4571" i="1"/>
  <c r="K4571" i="1"/>
  <c r="BE4571" i="1"/>
  <c r="BF4571" i="1"/>
  <c r="BG4571" i="1"/>
  <c r="E4572" i="1"/>
  <c r="G4572" i="1"/>
  <c r="J4572" i="1"/>
  <c r="K4572" i="1"/>
  <c r="BE4572" i="1"/>
  <c r="BF4572" i="1"/>
  <c r="BG4572" i="1"/>
  <c r="E4573" i="1"/>
  <c r="G4573" i="1"/>
  <c r="J4573" i="1"/>
  <c r="K4573" i="1"/>
  <c r="BE4573" i="1"/>
  <c r="BF4573" i="1"/>
  <c r="BG4573" i="1"/>
  <c r="E4574" i="1"/>
  <c r="G4574" i="1"/>
  <c r="J4574" i="1"/>
  <c r="K4574" i="1"/>
  <c r="BE4574" i="1"/>
  <c r="BF4574" i="1"/>
  <c r="BG4574" i="1"/>
  <c r="E2085" i="1"/>
  <c r="G2085" i="1"/>
  <c r="J2085" i="1"/>
  <c r="K2085" i="1"/>
  <c r="BF2085" i="1"/>
  <c r="BG2085" i="1"/>
  <c r="E4575" i="1"/>
  <c r="G4575" i="1"/>
  <c r="J4575" i="1"/>
  <c r="K4575" i="1"/>
  <c r="BE4575" i="1"/>
  <c r="BF4575" i="1"/>
  <c r="BG4575" i="1"/>
  <c r="E2086" i="1"/>
  <c r="G2086" i="1"/>
  <c r="J2086" i="1"/>
  <c r="K2086" i="1"/>
  <c r="BF2086" i="1"/>
  <c r="BG2086" i="1"/>
  <c r="E2087" i="1"/>
  <c r="G2087" i="1"/>
  <c r="J2087" i="1"/>
  <c r="K2087" i="1"/>
  <c r="BF2087" i="1"/>
  <c r="BG2087" i="1"/>
  <c r="E2088" i="1"/>
  <c r="G2088" i="1"/>
  <c r="J2088" i="1"/>
  <c r="K2088" i="1"/>
  <c r="BF2088" i="1"/>
  <c r="BG2088" i="1"/>
  <c r="E4576" i="1"/>
  <c r="G4576" i="1"/>
  <c r="J4576" i="1"/>
  <c r="K4576" i="1"/>
  <c r="BE4576" i="1"/>
  <c r="BF4576" i="1"/>
  <c r="BG4576" i="1"/>
  <c r="E4577" i="1"/>
  <c r="G4577" i="1"/>
  <c r="J4577" i="1"/>
  <c r="K4577" i="1"/>
  <c r="BE4577" i="1"/>
  <c r="BF4577" i="1"/>
  <c r="BG4577" i="1"/>
  <c r="E6023" i="1"/>
  <c r="G6023" i="1"/>
  <c r="J6023" i="1"/>
  <c r="K6023" i="1"/>
  <c r="BE6023" i="1"/>
  <c r="BG6023" i="1"/>
  <c r="E4578" i="1"/>
  <c r="G4578" i="1"/>
  <c r="J4578" i="1"/>
  <c r="K4578" i="1"/>
  <c r="BE4578" i="1"/>
  <c r="BF4578" i="1"/>
  <c r="BG4578" i="1"/>
  <c r="E4579" i="1"/>
  <c r="G4579" i="1"/>
  <c r="J4579" i="1"/>
  <c r="K4579" i="1"/>
  <c r="BE4579" i="1"/>
  <c r="BF4579" i="1"/>
  <c r="BG4579" i="1"/>
  <c r="E848" i="1"/>
  <c r="G848" i="1"/>
  <c r="J848" i="1"/>
  <c r="K848" i="1"/>
  <c r="BE848" i="1"/>
  <c r="BF848" i="1"/>
  <c r="BG848" i="1"/>
  <c r="E3537" i="1"/>
  <c r="G3537" i="1"/>
  <c r="J3537" i="1"/>
  <c r="K3537" i="1"/>
  <c r="BE3537" i="1"/>
  <c r="BF3537" i="1"/>
  <c r="BG3537" i="1"/>
  <c r="E416" i="1"/>
  <c r="G416" i="1"/>
  <c r="J416" i="1"/>
  <c r="K416" i="1"/>
  <c r="BF416" i="1"/>
  <c r="BG416" i="1"/>
  <c r="E605" i="1"/>
  <c r="G605" i="1"/>
  <c r="J605" i="1"/>
  <c r="K605" i="1"/>
  <c r="BE605" i="1"/>
  <c r="BF605" i="1"/>
  <c r="BG605" i="1"/>
  <c r="BH605" i="1"/>
  <c r="E606" i="1"/>
  <c r="G606" i="1"/>
  <c r="J606" i="1"/>
  <c r="K606" i="1"/>
  <c r="BE606" i="1"/>
  <c r="BF606" i="1"/>
  <c r="BG606" i="1"/>
  <c r="BH606" i="1"/>
  <c r="E607" i="1"/>
  <c r="G607" i="1"/>
  <c r="J607" i="1"/>
  <c r="K607" i="1"/>
  <c r="BE607" i="1"/>
  <c r="BF607" i="1"/>
  <c r="BG607" i="1"/>
  <c r="BH607" i="1"/>
  <c r="E608" i="1"/>
  <c r="G608" i="1"/>
  <c r="J608" i="1"/>
  <c r="K608" i="1"/>
  <c r="BE608" i="1"/>
  <c r="BF608" i="1"/>
  <c r="BG608" i="1"/>
  <c r="BH608" i="1"/>
  <c r="E609" i="1"/>
  <c r="G609" i="1"/>
  <c r="J609" i="1"/>
  <c r="K609" i="1"/>
  <c r="BE609" i="1"/>
  <c r="BF609" i="1"/>
  <c r="BG609" i="1"/>
  <c r="BH609" i="1"/>
  <c r="E610" i="1"/>
  <c r="G610" i="1"/>
  <c r="J610" i="1"/>
  <c r="K610" i="1"/>
  <c r="BE610" i="1"/>
  <c r="BF610" i="1"/>
  <c r="BG610" i="1"/>
  <c r="BH610" i="1"/>
  <c r="E611" i="1"/>
  <c r="G611" i="1"/>
  <c r="J611" i="1"/>
  <c r="K611" i="1"/>
  <c r="BE611" i="1"/>
  <c r="BF611" i="1"/>
  <c r="BG611" i="1"/>
  <c r="BH611" i="1"/>
  <c r="E612" i="1"/>
  <c r="G612" i="1"/>
  <c r="J612" i="1"/>
  <c r="K612" i="1"/>
  <c r="BE612" i="1"/>
  <c r="BF612" i="1"/>
  <c r="BG612" i="1"/>
  <c r="BH612" i="1"/>
  <c r="E613" i="1"/>
  <c r="G613" i="1"/>
  <c r="J613" i="1"/>
  <c r="K613" i="1"/>
  <c r="BE613" i="1"/>
  <c r="BG613" i="1"/>
  <c r="BH613" i="1"/>
  <c r="E614" i="1"/>
  <c r="G614" i="1"/>
  <c r="J614" i="1"/>
  <c r="K614" i="1"/>
  <c r="BE614" i="1"/>
  <c r="BF614" i="1"/>
  <c r="BG614" i="1"/>
  <c r="BH614" i="1"/>
  <c r="E615" i="1"/>
  <c r="G615" i="1"/>
  <c r="J615" i="1"/>
  <c r="K615" i="1"/>
  <c r="BE615" i="1"/>
  <c r="BF615" i="1"/>
  <c r="BG615" i="1"/>
  <c r="BH615" i="1"/>
  <c r="E616" i="1"/>
  <c r="G616" i="1"/>
  <c r="J616" i="1"/>
  <c r="K616" i="1"/>
  <c r="BE616" i="1"/>
  <c r="BF616" i="1"/>
  <c r="BG616" i="1"/>
  <c r="BH616" i="1"/>
  <c r="E34" i="1"/>
  <c r="G34" i="1"/>
  <c r="J34" i="1"/>
  <c r="K34" i="1"/>
  <c r="BF34" i="1"/>
  <c r="BG34" i="1"/>
  <c r="E6302" i="1"/>
  <c r="G6302" i="1"/>
  <c r="J6302" i="1"/>
  <c r="K6302" i="1"/>
  <c r="BE6302" i="1"/>
  <c r="BF6302" i="1"/>
  <c r="BG6302" i="1"/>
  <c r="E3538" i="1"/>
  <c r="G3538" i="1"/>
  <c r="J3538" i="1"/>
  <c r="K3538" i="1"/>
  <c r="BE3538" i="1"/>
  <c r="BF3538" i="1"/>
  <c r="BG3538" i="1"/>
  <c r="E3539" i="1"/>
  <c r="G3539" i="1"/>
  <c r="J3539" i="1"/>
  <c r="K3539" i="1"/>
  <c r="BE3539" i="1"/>
  <c r="BF3539" i="1"/>
  <c r="BG3539" i="1"/>
  <c r="E6616" i="1"/>
  <c r="G6616" i="1"/>
  <c r="J6616" i="1"/>
  <c r="K6616" i="1"/>
  <c r="BE6616" i="1"/>
  <c r="BF6616" i="1"/>
  <c r="BG6616" i="1"/>
  <c r="E167" i="1"/>
  <c r="G167" i="1"/>
  <c r="J167" i="1"/>
  <c r="K167" i="1"/>
  <c r="BF167" i="1"/>
  <c r="BG167" i="1"/>
  <c r="E3540" i="1"/>
  <c r="G3540" i="1"/>
  <c r="J3540" i="1"/>
  <c r="K3540" i="1"/>
  <c r="BE3540" i="1"/>
  <c r="BF3540" i="1"/>
  <c r="BG3540" i="1"/>
  <c r="E6303" i="1"/>
  <c r="G6303" i="1"/>
  <c r="J6303" i="1"/>
  <c r="K6303" i="1"/>
  <c r="BE6303" i="1"/>
  <c r="BF6303" i="1"/>
  <c r="BG6303" i="1"/>
  <c r="E3541" i="1"/>
  <c r="G3541" i="1"/>
  <c r="J3541" i="1"/>
  <c r="K3541" i="1"/>
  <c r="BE3541" i="1"/>
  <c r="BF3541" i="1"/>
  <c r="BG3541" i="1"/>
  <c r="E3542" i="1"/>
  <c r="G3542" i="1"/>
  <c r="J3542" i="1"/>
  <c r="K3542" i="1"/>
  <c r="BE3542" i="1"/>
  <c r="BF3542" i="1"/>
  <c r="BG3542" i="1"/>
  <c r="E3543" i="1"/>
  <c r="G3543" i="1"/>
  <c r="J3543" i="1"/>
  <c r="K3543" i="1"/>
  <c r="BE3543" i="1"/>
  <c r="BF3543" i="1"/>
  <c r="BG3543" i="1"/>
  <c r="E3544" i="1"/>
  <c r="G3544" i="1"/>
  <c r="J3544" i="1"/>
  <c r="K3544" i="1"/>
  <c r="BE3544" i="1"/>
  <c r="BF3544" i="1"/>
  <c r="BG3544" i="1"/>
  <c r="E3545" i="1"/>
  <c r="G3545" i="1"/>
  <c r="J3545" i="1"/>
  <c r="K3545" i="1"/>
  <c r="BE3545" i="1"/>
  <c r="BF3545" i="1"/>
  <c r="BG3545" i="1"/>
  <c r="E3546" i="1"/>
  <c r="G3546" i="1"/>
  <c r="J3546" i="1"/>
  <c r="K3546" i="1"/>
  <c r="BE3546" i="1"/>
  <c r="BF3546" i="1"/>
  <c r="BG3546" i="1"/>
  <c r="E237" i="1"/>
  <c r="G237" i="1"/>
  <c r="J237" i="1"/>
  <c r="K237" i="1"/>
  <c r="BE237" i="1"/>
  <c r="BF237" i="1"/>
  <c r="BG237" i="1"/>
  <c r="E238" i="1"/>
  <c r="G238" i="1"/>
  <c r="J238" i="1"/>
  <c r="K238" i="1"/>
  <c r="BE238" i="1"/>
  <c r="BF238" i="1"/>
  <c r="BG238" i="1"/>
  <c r="E3547" i="1"/>
  <c r="G3547" i="1"/>
  <c r="J3547" i="1"/>
  <c r="K3547" i="1"/>
  <c r="BE3547" i="1"/>
  <c r="BF3547" i="1"/>
  <c r="BG3547" i="1"/>
  <c r="E3548" i="1"/>
  <c r="G3548" i="1"/>
  <c r="J3548" i="1"/>
  <c r="K3548" i="1"/>
  <c r="BE3548" i="1"/>
  <c r="BF3548" i="1"/>
  <c r="BG3548" i="1"/>
  <c r="E846" i="1"/>
  <c r="G846" i="1"/>
  <c r="J846" i="1"/>
  <c r="K846" i="1"/>
  <c r="BE846" i="1"/>
  <c r="BF846" i="1"/>
  <c r="BG846" i="1"/>
  <c r="E847" i="1"/>
  <c r="G847" i="1"/>
  <c r="J847" i="1"/>
  <c r="K847" i="1"/>
  <c r="BE847" i="1"/>
  <c r="BF847" i="1"/>
  <c r="BG847" i="1"/>
  <c r="E3465" i="1"/>
  <c r="G3465" i="1"/>
  <c r="J3465" i="1"/>
  <c r="K3465" i="1"/>
  <c r="BE3465" i="1"/>
  <c r="BF3465" i="1"/>
  <c r="BG3465" i="1"/>
  <c r="E5591" i="1"/>
  <c r="G5591" i="1"/>
  <c r="J5591" i="1"/>
  <c r="K5591" i="1"/>
  <c r="BE5591" i="1"/>
  <c r="BF5591" i="1"/>
  <c r="BG5591" i="1"/>
  <c r="E5592" i="1"/>
  <c r="G5592" i="1"/>
  <c r="J5592" i="1"/>
  <c r="K5592" i="1"/>
  <c r="BE5592" i="1"/>
  <c r="BF5592" i="1"/>
  <c r="BG5592" i="1"/>
  <c r="E5593" i="1"/>
  <c r="G5593" i="1"/>
  <c r="J5593" i="1"/>
  <c r="K5593" i="1"/>
  <c r="BE5593" i="1"/>
  <c r="BF5593" i="1"/>
  <c r="BG5593" i="1"/>
  <c r="E5594" i="1"/>
  <c r="G5594" i="1"/>
  <c r="J5594" i="1"/>
  <c r="K5594" i="1"/>
  <c r="BE5594" i="1"/>
  <c r="BF5594" i="1"/>
  <c r="BG5594" i="1"/>
  <c r="E5595" i="1"/>
  <c r="G5595" i="1"/>
  <c r="J5595" i="1"/>
  <c r="K5595" i="1"/>
  <c r="BE5595" i="1"/>
  <c r="BF5595" i="1"/>
  <c r="BG5595" i="1"/>
  <c r="E5596" i="1"/>
  <c r="G5596" i="1"/>
  <c r="J5596" i="1"/>
  <c r="K5596" i="1"/>
  <c r="BE5596" i="1"/>
  <c r="BF5596" i="1"/>
  <c r="BG5596" i="1"/>
  <c r="E5597" i="1"/>
  <c r="G5597" i="1"/>
  <c r="J5597" i="1"/>
  <c r="K5597" i="1"/>
  <c r="BE5597" i="1"/>
  <c r="BF5597" i="1"/>
  <c r="BG5597" i="1"/>
  <c r="E5598" i="1"/>
  <c r="G5598" i="1"/>
  <c r="J5598" i="1"/>
  <c r="K5598" i="1"/>
  <c r="BE5598" i="1"/>
  <c r="BF5598" i="1"/>
  <c r="BG5598" i="1"/>
  <c r="E5599" i="1"/>
  <c r="G5599" i="1"/>
  <c r="J5599" i="1"/>
  <c r="K5599" i="1"/>
  <c r="BE5599" i="1"/>
  <c r="BF5599" i="1"/>
  <c r="BG5599" i="1"/>
  <c r="E5600" i="1"/>
  <c r="G5600" i="1"/>
  <c r="J5600" i="1"/>
  <c r="K5600" i="1"/>
  <c r="BE5600" i="1"/>
  <c r="BF5600" i="1"/>
  <c r="BG5600" i="1"/>
  <c r="E5601" i="1"/>
  <c r="G5601" i="1"/>
  <c r="J5601" i="1"/>
  <c r="K5601" i="1"/>
  <c r="BE5601" i="1"/>
  <c r="BF5601" i="1"/>
  <c r="BG5601" i="1"/>
  <c r="E5602" i="1"/>
  <c r="G5602" i="1"/>
  <c r="J5602" i="1"/>
  <c r="K5602" i="1"/>
  <c r="BE5602" i="1"/>
  <c r="BF5602" i="1"/>
  <c r="BG5602" i="1"/>
  <c r="E5603" i="1"/>
  <c r="G5603" i="1"/>
  <c r="J5603" i="1"/>
  <c r="K5603" i="1"/>
  <c r="BE5603" i="1"/>
  <c r="BF5603" i="1"/>
  <c r="BG5603" i="1"/>
  <c r="E5604" i="1"/>
  <c r="G5604" i="1"/>
  <c r="J5604" i="1"/>
  <c r="K5604" i="1"/>
  <c r="BE5604" i="1"/>
  <c r="BF5604" i="1"/>
  <c r="BG5604" i="1"/>
  <c r="E5605" i="1"/>
  <c r="G5605" i="1"/>
  <c r="J5605" i="1"/>
  <c r="K5605" i="1"/>
  <c r="BE5605" i="1"/>
  <c r="BF5605" i="1"/>
  <c r="BG5605" i="1"/>
  <c r="E5606" i="1"/>
  <c r="G5606" i="1"/>
  <c r="J5606" i="1"/>
  <c r="K5606" i="1"/>
  <c r="BE5606" i="1"/>
  <c r="BF5606" i="1"/>
  <c r="BG5606" i="1"/>
  <c r="E5607" i="1"/>
  <c r="G5607" i="1"/>
  <c r="J5607" i="1"/>
  <c r="K5607" i="1"/>
  <c r="BE5607" i="1"/>
  <c r="BF5607" i="1"/>
  <c r="BG5607" i="1"/>
  <c r="E5608" i="1"/>
  <c r="G5608" i="1"/>
  <c r="J5608" i="1"/>
  <c r="K5608" i="1"/>
  <c r="BE5608" i="1"/>
  <c r="BF5608" i="1"/>
  <c r="BG5608" i="1"/>
  <c r="E5609" i="1"/>
  <c r="G5609" i="1"/>
  <c r="J5609" i="1"/>
  <c r="K5609" i="1"/>
  <c r="BE5609" i="1"/>
  <c r="BF5609" i="1"/>
  <c r="BG5609" i="1"/>
  <c r="E5610" i="1"/>
  <c r="G5610" i="1"/>
  <c r="J5610" i="1"/>
  <c r="K5610" i="1"/>
  <c r="BE5610" i="1"/>
  <c r="BF5610" i="1"/>
  <c r="BG5610" i="1"/>
  <c r="E5611" i="1"/>
  <c r="G5611" i="1"/>
  <c r="J5611" i="1"/>
  <c r="K5611" i="1"/>
  <c r="BE5611" i="1"/>
  <c r="BF5611" i="1"/>
  <c r="BG5611" i="1"/>
  <c r="E5612" i="1"/>
  <c r="G5612" i="1"/>
  <c r="J5612" i="1"/>
  <c r="K5612" i="1"/>
  <c r="BE5612" i="1"/>
  <c r="BF5612" i="1"/>
  <c r="BG5612" i="1"/>
  <c r="E5613" i="1"/>
  <c r="G5613" i="1"/>
  <c r="J5613" i="1"/>
  <c r="K5613" i="1"/>
  <c r="BE5613" i="1"/>
  <c r="BF5613" i="1"/>
  <c r="BG5613" i="1"/>
  <c r="E5614" i="1"/>
  <c r="G5614" i="1"/>
  <c r="J5614" i="1"/>
  <c r="K5614" i="1"/>
  <c r="BE5614" i="1"/>
  <c r="BF5614" i="1"/>
  <c r="BG5614" i="1"/>
  <c r="E5615" i="1"/>
  <c r="G5615" i="1"/>
  <c r="J5615" i="1"/>
  <c r="K5615" i="1"/>
  <c r="BE5615" i="1"/>
  <c r="BF5615" i="1"/>
  <c r="BG5615" i="1"/>
  <c r="E5616" i="1"/>
  <c r="G5616" i="1"/>
  <c r="J5616" i="1"/>
  <c r="K5616" i="1"/>
  <c r="BE5616" i="1"/>
  <c r="BF5616" i="1"/>
  <c r="BG5616" i="1"/>
  <c r="E5617" i="1"/>
  <c r="G5617" i="1"/>
  <c r="J5617" i="1"/>
  <c r="K5617" i="1"/>
  <c r="BE5617" i="1"/>
  <c r="BF5617" i="1"/>
  <c r="BG5617" i="1"/>
  <c r="E5618" i="1"/>
  <c r="G5618" i="1"/>
  <c r="J5618" i="1"/>
  <c r="K5618" i="1"/>
  <c r="BE5618" i="1"/>
  <c r="BF5618" i="1"/>
  <c r="BG5618" i="1"/>
  <c r="E5619" i="1"/>
  <c r="G5619" i="1"/>
  <c r="J5619" i="1"/>
  <c r="K5619" i="1"/>
  <c r="BE5619" i="1"/>
  <c r="BF5619" i="1"/>
  <c r="BG5619" i="1"/>
  <c r="E5620" i="1"/>
  <c r="G5620" i="1"/>
  <c r="J5620" i="1"/>
  <c r="K5620" i="1"/>
  <c r="BE5620" i="1"/>
  <c r="BF5620" i="1"/>
  <c r="BG5620" i="1"/>
  <c r="E5621" i="1"/>
  <c r="G5621" i="1"/>
  <c r="J5621" i="1"/>
  <c r="K5621" i="1"/>
  <c r="BE5621" i="1"/>
  <c r="BF5621" i="1"/>
  <c r="BG5621" i="1"/>
  <c r="E5622" i="1"/>
  <c r="G5622" i="1"/>
  <c r="J5622" i="1"/>
  <c r="K5622" i="1"/>
  <c r="BE5622" i="1"/>
  <c r="BF5622" i="1"/>
  <c r="BG5622" i="1"/>
  <c r="E5623" i="1"/>
  <c r="G5623" i="1"/>
  <c r="J5623" i="1"/>
  <c r="K5623" i="1"/>
  <c r="BE5623" i="1"/>
  <c r="BF5623" i="1"/>
  <c r="BG5623" i="1"/>
  <c r="E5624" i="1"/>
  <c r="G5624" i="1"/>
  <c r="J5624" i="1"/>
  <c r="K5624" i="1"/>
  <c r="BE5624" i="1"/>
  <c r="BF5624" i="1"/>
  <c r="BG5624" i="1"/>
  <c r="E5625" i="1"/>
  <c r="G5625" i="1"/>
  <c r="J5625" i="1"/>
  <c r="K5625" i="1"/>
  <c r="BE5625" i="1"/>
  <c r="BF5625" i="1"/>
  <c r="BG5625" i="1"/>
  <c r="E5626" i="1"/>
  <c r="G5626" i="1"/>
  <c r="J5626" i="1"/>
  <c r="K5626" i="1"/>
  <c r="BE5626" i="1"/>
  <c r="BF5626" i="1"/>
  <c r="BG5626" i="1"/>
  <c r="E5627" i="1"/>
  <c r="G5627" i="1"/>
  <c r="J5627" i="1"/>
  <c r="K5627" i="1"/>
  <c r="BE5627" i="1"/>
  <c r="BF5627" i="1"/>
  <c r="BG5627" i="1"/>
  <c r="E5628" i="1"/>
  <c r="G5628" i="1"/>
  <c r="J5628" i="1"/>
  <c r="K5628" i="1"/>
  <c r="BE5628" i="1"/>
  <c r="BF5628" i="1"/>
  <c r="BG5628" i="1"/>
  <c r="E5629" i="1"/>
  <c r="G5629" i="1"/>
  <c r="J5629" i="1"/>
  <c r="K5629" i="1"/>
  <c r="BE5629" i="1"/>
  <c r="BF5629" i="1"/>
  <c r="BG5629" i="1"/>
  <c r="E5630" i="1"/>
  <c r="G5630" i="1"/>
  <c r="J5630" i="1"/>
  <c r="K5630" i="1"/>
  <c r="BE5630" i="1"/>
  <c r="BF5630" i="1"/>
  <c r="BG5630" i="1"/>
  <c r="E5631" i="1"/>
  <c r="G5631" i="1"/>
  <c r="J5631" i="1"/>
  <c r="K5631" i="1"/>
  <c r="BE5631" i="1"/>
  <c r="BF5631" i="1"/>
  <c r="BG5631" i="1"/>
  <c r="E5632" i="1"/>
  <c r="G5632" i="1"/>
  <c r="J5632" i="1"/>
  <c r="K5632" i="1"/>
  <c r="BE5632" i="1"/>
  <c r="BF5632" i="1"/>
  <c r="BG5632" i="1"/>
  <c r="E5633" i="1"/>
  <c r="G5633" i="1"/>
  <c r="J5633" i="1"/>
  <c r="K5633" i="1"/>
  <c r="BE5633" i="1"/>
  <c r="BF5633" i="1"/>
  <c r="BG5633" i="1"/>
  <c r="E5634" i="1"/>
  <c r="G5634" i="1"/>
  <c r="J5634" i="1"/>
  <c r="K5634" i="1"/>
  <c r="BE5634" i="1"/>
  <c r="BF5634" i="1"/>
  <c r="BG5634" i="1"/>
  <c r="E5635" i="1"/>
  <c r="G5635" i="1"/>
  <c r="J5635" i="1"/>
  <c r="K5635" i="1"/>
  <c r="BE5635" i="1"/>
  <c r="BF5635" i="1"/>
  <c r="BG5635" i="1"/>
  <c r="E5636" i="1"/>
  <c r="G5636" i="1"/>
  <c r="J5636" i="1"/>
  <c r="K5636" i="1"/>
  <c r="BE5636" i="1"/>
  <c r="BF5636" i="1"/>
  <c r="BG5636" i="1"/>
  <c r="E5637" i="1"/>
  <c r="G5637" i="1"/>
  <c r="J5637" i="1"/>
  <c r="K5637" i="1"/>
  <c r="BE5637" i="1"/>
  <c r="BF5637" i="1"/>
  <c r="BG5637" i="1"/>
  <c r="E5638" i="1"/>
  <c r="G5638" i="1"/>
  <c r="J5638" i="1"/>
  <c r="K5638" i="1"/>
  <c r="BE5638" i="1"/>
  <c r="BF5638" i="1"/>
  <c r="BG5638" i="1"/>
  <c r="E5639" i="1"/>
  <c r="G5639" i="1"/>
  <c r="J5639" i="1"/>
  <c r="K5639" i="1"/>
  <c r="BE5639" i="1"/>
  <c r="BF5639" i="1"/>
  <c r="BG5639" i="1"/>
  <c r="E5640" i="1"/>
  <c r="G5640" i="1"/>
  <c r="J5640" i="1"/>
  <c r="K5640" i="1"/>
  <c r="BE5640" i="1"/>
  <c r="BF5640" i="1"/>
  <c r="BG5640" i="1"/>
  <c r="E5641" i="1"/>
  <c r="G5641" i="1"/>
  <c r="J5641" i="1"/>
  <c r="K5641" i="1"/>
  <c r="BE5641" i="1"/>
  <c r="BF5641" i="1"/>
  <c r="BG5641" i="1"/>
  <c r="E5642" i="1"/>
  <c r="G5642" i="1"/>
  <c r="J5642" i="1"/>
  <c r="K5642" i="1"/>
  <c r="BE5642" i="1"/>
  <c r="BF5642" i="1"/>
  <c r="BG5642" i="1"/>
  <c r="E5643" i="1"/>
  <c r="G5643" i="1"/>
  <c r="J5643" i="1"/>
  <c r="K5643" i="1"/>
  <c r="BE5643" i="1"/>
  <c r="BF5643" i="1"/>
  <c r="BG5643" i="1"/>
  <c r="E5644" i="1"/>
  <c r="G5644" i="1"/>
  <c r="J5644" i="1"/>
  <c r="K5644" i="1"/>
  <c r="BE5644" i="1"/>
  <c r="BF5644" i="1"/>
  <c r="BG5644" i="1"/>
  <c r="E5645" i="1"/>
  <c r="G5645" i="1"/>
  <c r="J5645" i="1"/>
  <c r="K5645" i="1"/>
  <c r="BE5645" i="1"/>
  <c r="BF5645" i="1"/>
  <c r="BG5645" i="1"/>
  <c r="E5646" i="1"/>
  <c r="G5646" i="1"/>
  <c r="J5646" i="1"/>
  <c r="K5646" i="1"/>
  <c r="BE5646" i="1"/>
  <c r="BF5646" i="1"/>
  <c r="BG5646" i="1"/>
  <c r="E5647" i="1"/>
  <c r="G5647" i="1"/>
  <c r="J5647" i="1"/>
  <c r="K5647" i="1"/>
  <c r="BE5647" i="1"/>
  <c r="BF5647" i="1"/>
  <c r="BG5647" i="1"/>
  <c r="E5648" i="1"/>
  <c r="G5648" i="1"/>
  <c r="J5648" i="1"/>
  <c r="K5648" i="1"/>
  <c r="BE5648" i="1"/>
  <c r="BF5648" i="1"/>
  <c r="BG5648" i="1"/>
  <c r="E5649" i="1"/>
  <c r="G5649" i="1"/>
  <c r="J5649" i="1"/>
  <c r="K5649" i="1"/>
  <c r="BE5649" i="1"/>
  <c r="BF5649" i="1"/>
  <c r="BG5649" i="1"/>
  <c r="E5650" i="1"/>
  <c r="G5650" i="1"/>
  <c r="J5650" i="1"/>
  <c r="K5650" i="1"/>
  <c r="BE5650" i="1"/>
  <c r="BF5650" i="1"/>
  <c r="BG5650" i="1"/>
  <c r="E5651" i="1"/>
  <c r="G5651" i="1"/>
  <c r="J5651" i="1"/>
  <c r="K5651" i="1"/>
  <c r="BE5651" i="1"/>
  <c r="BF5651" i="1"/>
  <c r="BG5651" i="1"/>
  <c r="E5652" i="1"/>
  <c r="G5652" i="1"/>
  <c r="J5652" i="1"/>
  <c r="K5652" i="1"/>
  <c r="BE5652" i="1"/>
  <c r="BF5652" i="1"/>
  <c r="BG5652" i="1"/>
  <c r="E5653" i="1"/>
  <c r="G5653" i="1"/>
  <c r="J5653" i="1"/>
  <c r="K5653" i="1"/>
  <c r="BE5653" i="1"/>
  <c r="BF5653" i="1"/>
  <c r="BG5653" i="1"/>
  <c r="E5654" i="1"/>
  <c r="G5654" i="1"/>
  <c r="J5654" i="1"/>
  <c r="K5654" i="1"/>
  <c r="BE5654" i="1"/>
  <c r="BF5654" i="1"/>
  <c r="BG5654" i="1"/>
  <c r="E5655" i="1"/>
  <c r="G5655" i="1"/>
  <c r="J5655" i="1"/>
  <c r="K5655" i="1"/>
  <c r="BE5655" i="1"/>
  <c r="BF5655" i="1"/>
  <c r="BG5655" i="1"/>
  <c r="E5656" i="1"/>
  <c r="G5656" i="1"/>
  <c r="J5656" i="1"/>
  <c r="K5656" i="1"/>
  <c r="BE5656" i="1"/>
  <c r="BF5656" i="1"/>
  <c r="BG5656" i="1"/>
  <c r="E5657" i="1"/>
  <c r="G5657" i="1"/>
  <c r="J5657" i="1"/>
  <c r="K5657" i="1"/>
  <c r="BE5657" i="1"/>
  <c r="BF5657" i="1"/>
  <c r="BG5657" i="1"/>
  <c r="E5658" i="1"/>
  <c r="G5658" i="1"/>
  <c r="J5658" i="1"/>
  <c r="K5658" i="1"/>
  <c r="BE5658" i="1"/>
  <c r="BF5658" i="1"/>
  <c r="BG5658" i="1"/>
  <c r="E5659" i="1"/>
  <c r="G5659" i="1"/>
  <c r="J5659" i="1"/>
  <c r="K5659" i="1"/>
  <c r="BE5659" i="1"/>
  <c r="BF5659" i="1"/>
  <c r="BG5659" i="1"/>
  <c r="E5660" i="1"/>
  <c r="G5660" i="1"/>
  <c r="J5660" i="1"/>
  <c r="K5660" i="1"/>
  <c r="BE5660" i="1"/>
  <c r="BF5660" i="1"/>
  <c r="BG5660" i="1"/>
  <c r="E5661" i="1"/>
  <c r="G5661" i="1"/>
  <c r="J5661" i="1"/>
  <c r="K5661" i="1"/>
  <c r="BE5661" i="1"/>
  <c r="BF5661" i="1"/>
  <c r="BG5661" i="1"/>
  <c r="E5662" i="1"/>
  <c r="G5662" i="1"/>
  <c r="J5662" i="1"/>
  <c r="K5662" i="1"/>
  <c r="BE5662" i="1"/>
  <c r="BF5662" i="1"/>
  <c r="BG5662" i="1"/>
  <c r="E5663" i="1"/>
  <c r="G5663" i="1"/>
  <c r="J5663" i="1"/>
  <c r="K5663" i="1"/>
  <c r="BE5663" i="1"/>
  <c r="BF5663" i="1"/>
  <c r="BG5663" i="1"/>
  <c r="E5664" i="1"/>
  <c r="G5664" i="1"/>
  <c r="J5664" i="1"/>
  <c r="K5664" i="1"/>
  <c r="BE5664" i="1"/>
  <c r="BF5664" i="1"/>
  <c r="BG5664" i="1"/>
  <c r="E5665" i="1"/>
  <c r="G5665" i="1"/>
  <c r="J5665" i="1"/>
  <c r="K5665" i="1"/>
  <c r="BE5665" i="1"/>
  <c r="BF5665" i="1"/>
  <c r="BG5665" i="1"/>
  <c r="E5666" i="1"/>
  <c r="G5666" i="1"/>
  <c r="J5666" i="1"/>
  <c r="K5666" i="1"/>
  <c r="BE5666" i="1"/>
  <c r="BF5666" i="1"/>
  <c r="BG5666" i="1"/>
  <c r="E5667" i="1"/>
  <c r="G5667" i="1"/>
  <c r="J5667" i="1"/>
  <c r="K5667" i="1"/>
  <c r="BE5667" i="1"/>
  <c r="BF5667" i="1"/>
  <c r="BG5667" i="1"/>
  <c r="E5668" i="1"/>
  <c r="G5668" i="1"/>
  <c r="J5668" i="1"/>
  <c r="K5668" i="1"/>
  <c r="BE5668" i="1"/>
  <c r="BF5668" i="1"/>
  <c r="BG5668" i="1"/>
  <c r="E5669" i="1"/>
  <c r="G5669" i="1"/>
  <c r="J5669" i="1"/>
  <c r="K5669" i="1"/>
  <c r="BE5669" i="1"/>
  <c r="BF5669" i="1"/>
  <c r="BG5669" i="1"/>
  <c r="E5670" i="1"/>
  <c r="G5670" i="1"/>
  <c r="J5670" i="1"/>
  <c r="K5670" i="1"/>
  <c r="BE5670" i="1"/>
  <c r="BF5670" i="1"/>
  <c r="BG5670" i="1"/>
  <c r="E5671" i="1"/>
  <c r="G5671" i="1"/>
  <c r="J5671" i="1"/>
  <c r="K5671" i="1"/>
  <c r="BE5671" i="1"/>
  <c r="BF5671" i="1"/>
  <c r="BG5671" i="1"/>
  <c r="E5672" i="1"/>
  <c r="G5672" i="1"/>
  <c r="J5672" i="1"/>
  <c r="K5672" i="1"/>
  <c r="BE5672" i="1"/>
  <c r="BF5672" i="1"/>
  <c r="BG5672" i="1"/>
  <c r="E5673" i="1"/>
  <c r="G5673" i="1"/>
  <c r="J5673" i="1"/>
  <c r="K5673" i="1"/>
  <c r="BE5673" i="1"/>
  <c r="BF5673" i="1"/>
  <c r="BG5673" i="1"/>
  <c r="E5674" i="1"/>
  <c r="G5674" i="1"/>
  <c r="J5674" i="1"/>
  <c r="K5674" i="1"/>
  <c r="BE5674" i="1"/>
  <c r="BF5674" i="1"/>
  <c r="BG5674" i="1"/>
  <c r="E5675" i="1"/>
  <c r="G5675" i="1"/>
  <c r="J5675" i="1"/>
  <c r="K5675" i="1"/>
  <c r="BE5675" i="1"/>
  <c r="BF5675" i="1"/>
  <c r="BG5675" i="1"/>
  <c r="E5676" i="1"/>
  <c r="G5676" i="1"/>
  <c r="J5676" i="1"/>
  <c r="K5676" i="1"/>
  <c r="BE5676" i="1"/>
  <c r="BF5676" i="1"/>
  <c r="BG5676" i="1"/>
  <c r="E5677" i="1"/>
  <c r="G5677" i="1"/>
  <c r="J5677" i="1"/>
  <c r="K5677" i="1"/>
  <c r="BE5677" i="1"/>
  <c r="BF5677" i="1"/>
  <c r="BG5677" i="1"/>
  <c r="E5678" i="1"/>
  <c r="G5678" i="1"/>
  <c r="J5678" i="1"/>
  <c r="K5678" i="1"/>
  <c r="BE5678" i="1"/>
  <c r="BF5678" i="1"/>
  <c r="BG5678" i="1"/>
  <c r="E5679" i="1"/>
  <c r="G5679" i="1"/>
  <c r="J5679" i="1"/>
  <c r="K5679" i="1"/>
  <c r="BE5679" i="1"/>
  <c r="BF5679" i="1"/>
  <c r="BG5679" i="1"/>
  <c r="E5680" i="1"/>
  <c r="G5680" i="1"/>
  <c r="J5680" i="1"/>
  <c r="K5680" i="1"/>
  <c r="BE5680" i="1"/>
  <c r="BF5680" i="1"/>
  <c r="BG5680" i="1"/>
  <c r="E5681" i="1"/>
  <c r="G5681" i="1"/>
  <c r="J5681" i="1"/>
  <c r="K5681" i="1"/>
  <c r="BE5681" i="1"/>
  <c r="BF5681" i="1"/>
  <c r="BG5681" i="1"/>
  <c r="E5682" i="1"/>
  <c r="G5682" i="1"/>
  <c r="J5682" i="1"/>
  <c r="K5682" i="1"/>
  <c r="BE5682" i="1"/>
  <c r="BF5682" i="1"/>
  <c r="BG5682" i="1"/>
  <c r="E5683" i="1"/>
  <c r="G5683" i="1"/>
  <c r="J5683" i="1"/>
  <c r="K5683" i="1"/>
  <c r="BE5683" i="1"/>
  <c r="BF5683" i="1"/>
  <c r="BG5683" i="1"/>
  <c r="E5684" i="1"/>
  <c r="G5684" i="1"/>
  <c r="J5684" i="1"/>
  <c r="K5684" i="1"/>
  <c r="BE5684" i="1"/>
  <c r="BF5684" i="1"/>
  <c r="BG5684" i="1"/>
  <c r="E5685" i="1"/>
  <c r="G5685" i="1"/>
  <c r="J5685" i="1"/>
  <c r="K5685" i="1"/>
  <c r="BE5685" i="1"/>
  <c r="BF5685" i="1"/>
  <c r="BG5685" i="1"/>
  <c r="E5686" i="1"/>
  <c r="G5686" i="1"/>
  <c r="J5686" i="1"/>
  <c r="K5686" i="1"/>
  <c r="BE5686" i="1"/>
  <c r="BF5686" i="1"/>
  <c r="BG5686" i="1"/>
  <c r="E5687" i="1"/>
  <c r="G5687" i="1"/>
  <c r="J5687" i="1"/>
  <c r="K5687" i="1"/>
  <c r="BE5687" i="1"/>
  <c r="BF5687" i="1"/>
  <c r="BG5687" i="1"/>
  <c r="E5688" i="1"/>
  <c r="G5688" i="1"/>
  <c r="J5688" i="1"/>
  <c r="K5688" i="1"/>
  <c r="BE5688" i="1"/>
  <c r="BF5688" i="1"/>
  <c r="BG5688" i="1"/>
  <c r="E5689" i="1"/>
  <c r="G5689" i="1"/>
  <c r="J5689" i="1"/>
  <c r="K5689" i="1"/>
  <c r="BE5689" i="1"/>
  <c r="BF5689" i="1"/>
  <c r="BG5689" i="1"/>
  <c r="E5690" i="1"/>
  <c r="G5690" i="1"/>
  <c r="J5690" i="1"/>
  <c r="K5690" i="1"/>
  <c r="BE5690" i="1"/>
  <c r="BF5690" i="1"/>
  <c r="BG5690" i="1"/>
  <c r="E5691" i="1"/>
  <c r="G5691" i="1"/>
  <c r="J5691" i="1"/>
  <c r="K5691" i="1"/>
  <c r="BE5691" i="1"/>
  <c r="BF5691" i="1"/>
  <c r="BG5691" i="1"/>
  <c r="E5692" i="1"/>
  <c r="G5692" i="1"/>
  <c r="J5692" i="1"/>
  <c r="K5692" i="1"/>
  <c r="BE5692" i="1"/>
  <c r="BF5692" i="1"/>
  <c r="BG5692" i="1"/>
  <c r="E5693" i="1"/>
  <c r="G5693" i="1"/>
  <c r="J5693" i="1"/>
  <c r="K5693" i="1"/>
  <c r="BE5693" i="1"/>
  <c r="BF5693" i="1"/>
  <c r="BG5693" i="1"/>
  <c r="E5694" i="1"/>
  <c r="G5694" i="1"/>
  <c r="J5694" i="1"/>
  <c r="K5694" i="1"/>
  <c r="BE5694" i="1"/>
  <c r="BF5694" i="1"/>
  <c r="BG5694" i="1"/>
  <c r="E5695" i="1"/>
  <c r="G5695" i="1"/>
  <c r="J5695" i="1"/>
  <c r="K5695" i="1"/>
  <c r="BE5695" i="1"/>
  <c r="BF5695" i="1"/>
  <c r="BG5695" i="1"/>
  <c r="E5696" i="1"/>
  <c r="G5696" i="1"/>
  <c r="J5696" i="1"/>
  <c r="K5696" i="1"/>
  <c r="BE5696" i="1"/>
  <c r="BF5696" i="1"/>
  <c r="BG5696" i="1"/>
  <c r="E5697" i="1"/>
  <c r="G5697" i="1"/>
  <c r="J5697" i="1"/>
  <c r="K5697" i="1"/>
  <c r="BE5697" i="1"/>
  <c r="BF5697" i="1"/>
  <c r="BG5697" i="1"/>
  <c r="E5698" i="1"/>
  <c r="G5698" i="1"/>
  <c r="J5698" i="1"/>
  <c r="K5698" i="1"/>
  <c r="BE5698" i="1"/>
  <c r="BF5698" i="1"/>
  <c r="BG5698" i="1"/>
  <c r="E5699" i="1"/>
  <c r="G5699" i="1"/>
  <c r="J5699" i="1"/>
  <c r="K5699" i="1"/>
  <c r="BE5699" i="1"/>
  <c r="BF5699" i="1"/>
  <c r="BG5699" i="1"/>
  <c r="E5700" i="1"/>
  <c r="G5700" i="1"/>
  <c r="J5700" i="1"/>
  <c r="K5700" i="1"/>
  <c r="BE5700" i="1"/>
  <c r="BF5700" i="1"/>
  <c r="BG5700" i="1"/>
  <c r="E5701" i="1"/>
  <c r="G5701" i="1"/>
  <c r="J5701" i="1"/>
  <c r="K5701" i="1"/>
  <c r="BE5701" i="1"/>
  <c r="BF5701" i="1"/>
  <c r="BG5701" i="1"/>
  <c r="E5702" i="1"/>
  <c r="G5702" i="1"/>
  <c r="J5702" i="1"/>
  <c r="K5702" i="1"/>
  <c r="BE5702" i="1"/>
  <c r="BF5702" i="1"/>
  <c r="BG5702" i="1"/>
  <c r="E5703" i="1"/>
  <c r="G5703" i="1"/>
  <c r="J5703" i="1"/>
  <c r="K5703" i="1"/>
  <c r="BE5703" i="1"/>
  <c r="BF5703" i="1"/>
  <c r="BG5703" i="1"/>
  <c r="E5704" i="1"/>
  <c r="G5704" i="1"/>
  <c r="J5704" i="1"/>
  <c r="K5704" i="1"/>
  <c r="BE5704" i="1"/>
  <c r="BF5704" i="1"/>
  <c r="BG5704" i="1"/>
  <c r="E5705" i="1"/>
  <c r="G5705" i="1"/>
  <c r="J5705" i="1"/>
  <c r="K5705" i="1"/>
  <c r="BE5705" i="1"/>
  <c r="BF5705" i="1"/>
  <c r="BG5705" i="1"/>
  <c r="E5706" i="1"/>
  <c r="G5706" i="1"/>
  <c r="J5706" i="1"/>
  <c r="K5706" i="1"/>
  <c r="BE5706" i="1"/>
  <c r="BF5706" i="1"/>
  <c r="BG5706" i="1"/>
  <c r="E5707" i="1"/>
  <c r="G5707" i="1"/>
  <c r="J5707" i="1"/>
  <c r="K5707" i="1"/>
  <c r="BE5707" i="1"/>
  <c r="BF5707" i="1"/>
  <c r="BG5707" i="1"/>
  <c r="E5708" i="1"/>
  <c r="G5708" i="1"/>
  <c r="J5708" i="1"/>
  <c r="K5708" i="1"/>
  <c r="BE5708" i="1"/>
  <c r="BF5708" i="1"/>
  <c r="BG5708" i="1"/>
  <c r="E5709" i="1"/>
  <c r="G5709" i="1"/>
  <c r="J5709" i="1"/>
  <c r="K5709" i="1"/>
  <c r="BE5709" i="1"/>
  <c r="BF5709" i="1"/>
  <c r="BG5709" i="1"/>
  <c r="E5710" i="1"/>
  <c r="G5710" i="1"/>
  <c r="J5710" i="1"/>
  <c r="K5710" i="1"/>
  <c r="BE5710" i="1"/>
  <c r="BF5710" i="1"/>
  <c r="BG5710" i="1"/>
  <c r="E5711" i="1"/>
  <c r="G5711" i="1"/>
  <c r="J5711" i="1"/>
  <c r="K5711" i="1"/>
  <c r="BE5711" i="1"/>
  <c r="BF5711" i="1"/>
  <c r="BG5711" i="1"/>
  <c r="E5712" i="1"/>
  <c r="G5712" i="1"/>
  <c r="J5712" i="1"/>
  <c r="K5712" i="1"/>
  <c r="BE5712" i="1"/>
  <c r="BF5712" i="1"/>
  <c r="BG5712" i="1"/>
  <c r="E5713" i="1"/>
  <c r="G5713" i="1"/>
  <c r="J5713" i="1"/>
  <c r="K5713" i="1"/>
  <c r="BE5713" i="1"/>
  <c r="BF5713" i="1"/>
  <c r="BG5713" i="1"/>
  <c r="E5714" i="1"/>
  <c r="G5714" i="1"/>
  <c r="J5714" i="1"/>
  <c r="K5714" i="1"/>
  <c r="BE5714" i="1"/>
  <c r="BF5714" i="1"/>
  <c r="BG5714" i="1"/>
  <c r="E5715" i="1"/>
  <c r="G5715" i="1"/>
  <c r="J5715" i="1"/>
  <c r="K5715" i="1"/>
  <c r="BE5715" i="1"/>
  <c r="BF5715" i="1"/>
  <c r="BG5715" i="1"/>
  <c r="E5716" i="1"/>
  <c r="G5716" i="1"/>
  <c r="J5716" i="1"/>
  <c r="K5716" i="1"/>
  <c r="BE5716" i="1"/>
  <c r="BF5716" i="1"/>
  <c r="BG5716" i="1"/>
  <c r="E5717" i="1"/>
  <c r="G5717" i="1"/>
  <c r="J5717" i="1"/>
  <c r="K5717" i="1"/>
  <c r="BE5717" i="1"/>
  <c r="BF5717" i="1"/>
  <c r="BG5717" i="1"/>
  <c r="E5718" i="1"/>
  <c r="G5718" i="1"/>
  <c r="J5718" i="1"/>
  <c r="K5718" i="1"/>
  <c r="BE5718" i="1"/>
  <c r="BF5718" i="1"/>
  <c r="BG5718" i="1"/>
  <c r="E5719" i="1"/>
  <c r="G5719" i="1"/>
  <c r="J5719" i="1"/>
  <c r="K5719" i="1"/>
  <c r="BE5719" i="1"/>
  <c r="BF5719" i="1"/>
  <c r="BG5719" i="1"/>
  <c r="E5720" i="1"/>
  <c r="G5720" i="1"/>
  <c r="J5720" i="1"/>
  <c r="K5720" i="1"/>
  <c r="BE5720" i="1"/>
  <c r="BF5720" i="1"/>
  <c r="BG5720" i="1"/>
  <c r="E5721" i="1"/>
  <c r="G5721" i="1"/>
  <c r="J5721" i="1"/>
  <c r="K5721" i="1"/>
  <c r="BE5721" i="1"/>
  <c r="BF5721" i="1"/>
  <c r="BG5721" i="1"/>
  <c r="E5722" i="1"/>
  <c r="G5722" i="1"/>
  <c r="J5722" i="1"/>
  <c r="K5722" i="1"/>
  <c r="BE5722" i="1"/>
  <c r="BF5722" i="1"/>
  <c r="BG5722" i="1"/>
  <c r="E5723" i="1"/>
  <c r="G5723" i="1"/>
  <c r="J5723" i="1"/>
  <c r="K5723" i="1"/>
  <c r="BE5723" i="1"/>
  <c r="BF5723" i="1"/>
  <c r="BG5723" i="1"/>
  <c r="E5724" i="1"/>
  <c r="G5724" i="1"/>
  <c r="J5724" i="1"/>
  <c r="K5724" i="1"/>
  <c r="BE5724" i="1"/>
  <c r="BF5724" i="1"/>
  <c r="BG5724" i="1"/>
  <c r="E5725" i="1"/>
  <c r="G5725" i="1"/>
  <c r="J5725" i="1"/>
  <c r="K5725" i="1"/>
  <c r="BE5725" i="1"/>
  <c r="BF5725" i="1"/>
  <c r="BG5725" i="1"/>
  <c r="E5726" i="1"/>
  <c r="G5726" i="1"/>
  <c r="J5726" i="1"/>
  <c r="K5726" i="1"/>
  <c r="BE5726" i="1"/>
  <c r="BF5726" i="1"/>
  <c r="BG5726" i="1"/>
  <c r="E5727" i="1"/>
  <c r="G5727" i="1"/>
  <c r="J5727" i="1"/>
  <c r="K5727" i="1"/>
  <c r="BE5727" i="1"/>
  <c r="BF5727" i="1"/>
  <c r="BG5727" i="1"/>
  <c r="E5728" i="1"/>
  <c r="G5728" i="1"/>
  <c r="J5728" i="1"/>
  <c r="K5728" i="1"/>
  <c r="BE5728" i="1"/>
  <c r="BF5728" i="1"/>
  <c r="BG5728" i="1"/>
  <c r="E5729" i="1"/>
  <c r="G5729" i="1"/>
  <c r="J5729" i="1"/>
  <c r="K5729" i="1"/>
  <c r="BE5729" i="1"/>
  <c r="BF5729" i="1"/>
  <c r="BG5729" i="1"/>
  <c r="E5730" i="1"/>
  <c r="G5730" i="1"/>
  <c r="J5730" i="1"/>
  <c r="K5730" i="1"/>
  <c r="BE5730" i="1"/>
  <c r="BF5730" i="1"/>
  <c r="BG5730" i="1"/>
  <c r="E5731" i="1"/>
  <c r="G5731" i="1"/>
  <c r="J5731" i="1"/>
  <c r="K5731" i="1"/>
  <c r="BE5731" i="1"/>
  <c r="BF5731" i="1"/>
  <c r="BG5731" i="1"/>
  <c r="E5732" i="1"/>
  <c r="G5732" i="1"/>
  <c r="J5732" i="1"/>
  <c r="K5732" i="1"/>
  <c r="BE5732" i="1"/>
  <c r="BF5732" i="1"/>
  <c r="BG5732" i="1"/>
  <c r="E5733" i="1"/>
  <c r="G5733" i="1"/>
  <c r="J5733" i="1"/>
  <c r="K5733" i="1"/>
  <c r="BE5733" i="1"/>
  <c r="BF5733" i="1"/>
  <c r="BG5733" i="1"/>
  <c r="E5734" i="1"/>
  <c r="G5734" i="1"/>
  <c r="J5734" i="1"/>
  <c r="K5734" i="1"/>
  <c r="BE5734" i="1"/>
  <c r="BF5734" i="1"/>
  <c r="BG5734" i="1"/>
  <c r="E5735" i="1"/>
  <c r="G5735" i="1"/>
  <c r="J5735" i="1"/>
  <c r="K5735" i="1"/>
  <c r="BE5735" i="1"/>
  <c r="BF5735" i="1"/>
  <c r="BG5735" i="1"/>
  <c r="E5736" i="1"/>
  <c r="G5736" i="1"/>
  <c r="J5736" i="1"/>
  <c r="K5736" i="1"/>
  <c r="BE5736" i="1"/>
  <c r="BF5736" i="1"/>
  <c r="BG5736" i="1"/>
  <c r="E5737" i="1"/>
  <c r="G5737" i="1"/>
  <c r="J5737" i="1"/>
  <c r="K5737" i="1"/>
  <c r="BE5737" i="1"/>
  <c r="BF5737" i="1"/>
  <c r="BG5737" i="1"/>
  <c r="E5738" i="1"/>
  <c r="G5738" i="1"/>
  <c r="J5738" i="1"/>
  <c r="K5738" i="1"/>
  <c r="BE5738" i="1"/>
  <c r="BF5738" i="1"/>
  <c r="BG5738" i="1"/>
  <c r="E5739" i="1"/>
  <c r="G5739" i="1"/>
  <c r="J5739" i="1"/>
  <c r="K5739" i="1"/>
  <c r="BE5739" i="1"/>
  <c r="BF5739" i="1"/>
  <c r="BG5739" i="1"/>
  <c r="E5740" i="1"/>
  <c r="G5740" i="1"/>
  <c r="J5740" i="1"/>
  <c r="K5740" i="1"/>
  <c r="BE5740" i="1"/>
  <c r="BF5740" i="1"/>
  <c r="BG5740" i="1"/>
  <c r="E5741" i="1"/>
  <c r="G5741" i="1"/>
  <c r="J5741" i="1"/>
  <c r="K5741" i="1"/>
  <c r="BE5741" i="1"/>
  <c r="BF5741" i="1"/>
  <c r="BG5741" i="1"/>
  <c r="E5742" i="1"/>
  <c r="G5742" i="1"/>
  <c r="J5742" i="1"/>
  <c r="K5742" i="1"/>
  <c r="BE5742" i="1"/>
  <c r="BF5742" i="1"/>
  <c r="BG5742" i="1"/>
  <c r="E5743" i="1"/>
  <c r="G5743" i="1"/>
  <c r="J5743" i="1"/>
  <c r="K5743" i="1"/>
  <c r="BE5743" i="1"/>
  <c r="BF5743" i="1"/>
  <c r="BG5743" i="1"/>
  <c r="E5744" i="1"/>
  <c r="G5744" i="1"/>
  <c r="J5744" i="1"/>
  <c r="K5744" i="1"/>
  <c r="BE5744" i="1"/>
  <c r="BF5744" i="1"/>
  <c r="BG5744" i="1"/>
  <c r="E5745" i="1"/>
  <c r="G5745" i="1"/>
  <c r="J5745" i="1"/>
  <c r="K5745" i="1"/>
  <c r="BE5745" i="1"/>
  <c r="BF5745" i="1"/>
  <c r="BG5745" i="1"/>
  <c r="E5746" i="1"/>
  <c r="G5746" i="1"/>
  <c r="J5746" i="1"/>
  <c r="K5746" i="1"/>
  <c r="BE5746" i="1"/>
  <c r="BF5746" i="1"/>
  <c r="BG5746" i="1"/>
  <c r="E5747" i="1"/>
  <c r="G5747" i="1"/>
  <c r="J5747" i="1"/>
  <c r="K5747" i="1"/>
  <c r="BE5747" i="1"/>
  <c r="BF5747" i="1"/>
  <c r="BG5747" i="1"/>
  <c r="E5748" i="1"/>
  <c r="G5748" i="1"/>
  <c r="J5748" i="1"/>
  <c r="K5748" i="1"/>
  <c r="BE5748" i="1"/>
  <c r="BF5748" i="1"/>
  <c r="BG5748" i="1"/>
  <c r="E5749" i="1"/>
  <c r="G5749" i="1"/>
  <c r="J5749" i="1"/>
  <c r="K5749" i="1"/>
  <c r="BE5749" i="1"/>
  <c r="BF5749" i="1"/>
  <c r="BG5749" i="1"/>
  <c r="E5750" i="1"/>
  <c r="G5750" i="1"/>
  <c r="J5750" i="1"/>
  <c r="K5750" i="1"/>
  <c r="BE5750" i="1"/>
  <c r="BF5750" i="1"/>
  <c r="BG5750" i="1"/>
  <c r="E5751" i="1"/>
  <c r="G5751" i="1"/>
  <c r="J5751" i="1"/>
  <c r="K5751" i="1"/>
  <c r="BE5751" i="1"/>
  <c r="BF5751" i="1"/>
  <c r="BG5751" i="1"/>
  <c r="E5752" i="1"/>
  <c r="G5752" i="1"/>
  <c r="J5752" i="1"/>
  <c r="K5752" i="1"/>
  <c r="BE5752" i="1"/>
  <c r="BF5752" i="1"/>
  <c r="BG5752" i="1"/>
  <c r="E5753" i="1"/>
  <c r="G5753" i="1"/>
  <c r="J5753" i="1"/>
  <c r="K5753" i="1"/>
  <c r="BE5753" i="1"/>
  <c r="BF5753" i="1"/>
  <c r="BG5753" i="1"/>
  <c r="E5754" i="1"/>
  <c r="G5754" i="1"/>
  <c r="J5754" i="1"/>
  <c r="K5754" i="1"/>
  <c r="BE5754" i="1"/>
  <c r="BF5754" i="1"/>
  <c r="BG5754" i="1"/>
  <c r="E5755" i="1"/>
  <c r="G5755" i="1"/>
  <c r="J5755" i="1"/>
  <c r="K5755" i="1"/>
  <c r="BE5755" i="1"/>
  <c r="BF5755" i="1"/>
  <c r="BG5755" i="1"/>
  <c r="E5756" i="1"/>
  <c r="G5756" i="1"/>
  <c r="J5756" i="1"/>
  <c r="K5756" i="1"/>
  <c r="BE5756" i="1"/>
  <c r="BF5756" i="1"/>
  <c r="BG5756" i="1"/>
  <c r="E5757" i="1"/>
  <c r="G5757" i="1"/>
  <c r="J5757" i="1"/>
  <c r="K5757" i="1"/>
  <c r="BE5757" i="1"/>
  <c r="BF5757" i="1"/>
  <c r="BG5757" i="1"/>
  <c r="E5758" i="1"/>
  <c r="G5758" i="1"/>
  <c r="J5758" i="1"/>
  <c r="K5758" i="1"/>
  <c r="BE5758" i="1"/>
  <c r="BF5758" i="1"/>
  <c r="BG5758" i="1"/>
  <c r="E5759" i="1"/>
  <c r="G5759" i="1"/>
  <c r="J5759" i="1"/>
  <c r="K5759" i="1"/>
  <c r="BE5759" i="1"/>
  <c r="BF5759" i="1"/>
  <c r="BG5759" i="1"/>
  <c r="E5760" i="1"/>
  <c r="G5760" i="1"/>
  <c r="J5760" i="1"/>
  <c r="K5760" i="1"/>
  <c r="BE5760" i="1"/>
  <c r="BF5760" i="1"/>
  <c r="BG5760" i="1"/>
  <c r="E5761" i="1"/>
  <c r="G5761" i="1"/>
  <c r="J5761" i="1"/>
  <c r="K5761" i="1"/>
  <c r="BE5761" i="1"/>
  <c r="BF5761" i="1"/>
  <c r="BG5761" i="1"/>
  <c r="E5762" i="1"/>
  <c r="G5762" i="1"/>
  <c r="J5762" i="1"/>
  <c r="K5762" i="1"/>
  <c r="BE5762" i="1"/>
  <c r="BF5762" i="1"/>
  <c r="BG5762" i="1"/>
  <c r="E5763" i="1"/>
  <c r="G5763" i="1"/>
  <c r="J5763" i="1"/>
  <c r="K5763" i="1"/>
  <c r="BE5763" i="1"/>
  <c r="BF5763" i="1"/>
  <c r="BG5763" i="1"/>
  <c r="E5764" i="1"/>
  <c r="G5764" i="1"/>
  <c r="J5764" i="1"/>
  <c r="K5764" i="1"/>
  <c r="BE5764" i="1"/>
  <c r="BF5764" i="1"/>
  <c r="BG5764" i="1"/>
  <c r="E5765" i="1"/>
  <c r="G5765" i="1"/>
  <c r="J5765" i="1"/>
  <c r="K5765" i="1"/>
  <c r="BE5765" i="1"/>
  <c r="BF5765" i="1"/>
  <c r="BG5765" i="1"/>
  <c r="E5766" i="1"/>
  <c r="G5766" i="1"/>
  <c r="J5766" i="1"/>
  <c r="K5766" i="1"/>
  <c r="BE5766" i="1"/>
  <c r="BF5766" i="1"/>
  <c r="BG5766" i="1"/>
  <c r="E5767" i="1"/>
  <c r="G5767" i="1"/>
  <c r="J5767" i="1"/>
  <c r="K5767" i="1"/>
  <c r="BE5767" i="1"/>
  <c r="BF5767" i="1"/>
  <c r="BG5767" i="1"/>
  <c r="E5768" i="1"/>
  <c r="G5768" i="1"/>
  <c r="J5768" i="1"/>
  <c r="K5768" i="1"/>
  <c r="BE5768" i="1"/>
  <c r="BF5768" i="1"/>
  <c r="BG5768" i="1"/>
  <c r="E5769" i="1"/>
  <c r="G5769" i="1"/>
  <c r="J5769" i="1"/>
  <c r="K5769" i="1"/>
  <c r="BE5769" i="1"/>
  <c r="BF5769" i="1"/>
  <c r="BG5769" i="1"/>
  <c r="E5770" i="1"/>
  <c r="G5770" i="1"/>
  <c r="J5770" i="1"/>
  <c r="K5770" i="1"/>
  <c r="BE5770" i="1"/>
  <c r="BF5770" i="1"/>
  <c r="BG5770" i="1"/>
  <c r="E5771" i="1"/>
  <c r="G5771" i="1"/>
  <c r="J5771" i="1"/>
  <c r="K5771" i="1"/>
  <c r="BE5771" i="1"/>
  <c r="BF5771" i="1"/>
  <c r="BG5771" i="1"/>
  <c r="E5772" i="1"/>
  <c r="G5772" i="1"/>
  <c r="J5772" i="1"/>
  <c r="K5772" i="1"/>
  <c r="BE5772" i="1"/>
  <c r="BF5772" i="1"/>
  <c r="BG5772" i="1"/>
  <c r="E5773" i="1"/>
  <c r="G5773" i="1"/>
  <c r="J5773" i="1"/>
  <c r="K5773" i="1"/>
  <c r="BE5773" i="1"/>
  <c r="BF5773" i="1"/>
  <c r="BG5773" i="1"/>
  <c r="E5774" i="1"/>
  <c r="G5774" i="1"/>
  <c r="J5774" i="1"/>
  <c r="K5774" i="1"/>
  <c r="BE5774" i="1"/>
  <c r="BF5774" i="1"/>
  <c r="BG5774" i="1"/>
  <c r="E3633" i="1"/>
  <c r="G3633" i="1"/>
  <c r="J3633" i="1"/>
  <c r="K3633" i="1"/>
  <c r="BE3633" i="1"/>
  <c r="BF3633" i="1"/>
  <c r="BG3633" i="1"/>
  <c r="E4580" i="1"/>
  <c r="G4580" i="1"/>
  <c r="J4580" i="1"/>
  <c r="K4580" i="1"/>
  <c r="BE4580" i="1"/>
  <c r="BF4580" i="1"/>
  <c r="BG4580" i="1"/>
  <c r="E3466" i="1"/>
  <c r="G3466" i="1"/>
  <c r="J3466" i="1"/>
  <c r="K3466" i="1"/>
  <c r="BE3466" i="1"/>
  <c r="BF3466" i="1"/>
  <c r="BG3466" i="1"/>
  <c r="E6086" i="1"/>
  <c r="G6086" i="1"/>
  <c r="J6086" i="1"/>
  <c r="K6086" i="1"/>
  <c r="BE6086" i="1"/>
  <c r="BF6086" i="1"/>
  <c r="BG6086" i="1"/>
  <c r="E4581" i="1"/>
  <c r="G4581" i="1"/>
  <c r="J4581" i="1"/>
  <c r="K4581" i="1"/>
  <c r="BE4581" i="1"/>
  <c r="BF4581" i="1"/>
  <c r="BG4581" i="1"/>
  <c r="E6709" i="1"/>
  <c r="G6709" i="1"/>
  <c r="J6709" i="1"/>
  <c r="K6709" i="1"/>
  <c r="BE6709" i="1"/>
  <c r="BF6709" i="1"/>
  <c r="BG6709" i="1"/>
  <c r="E3936" i="1"/>
  <c r="G3936" i="1"/>
  <c r="J3936" i="1"/>
  <c r="K3936" i="1"/>
  <c r="BE3936" i="1"/>
  <c r="BF3936" i="1"/>
  <c r="BG3936" i="1"/>
  <c r="E4582" i="1"/>
  <c r="G4582" i="1"/>
  <c r="J4582" i="1"/>
  <c r="K4582" i="1"/>
  <c r="BE4582" i="1"/>
  <c r="BF4582" i="1"/>
  <c r="BG4582" i="1"/>
  <c r="E6087" i="1"/>
  <c r="G6087" i="1"/>
  <c r="J6087" i="1"/>
  <c r="K6087" i="1"/>
  <c r="BE6087" i="1"/>
  <c r="BF6087" i="1"/>
  <c r="BG6087" i="1"/>
  <c r="E6088" i="1"/>
  <c r="G6088" i="1"/>
  <c r="J6088" i="1"/>
  <c r="K6088" i="1"/>
  <c r="BE6088" i="1"/>
  <c r="BF6088" i="1"/>
  <c r="BG6088" i="1"/>
  <c r="E6304" i="1"/>
  <c r="G6304" i="1"/>
  <c r="J6304" i="1"/>
  <c r="K6304" i="1"/>
  <c r="BE6304" i="1"/>
  <c r="BF6304" i="1"/>
  <c r="BG6304" i="1"/>
  <c r="E4583" i="1"/>
  <c r="G4583" i="1"/>
  <c r="J4583" i="1"/>
  <c r="K4583" i="1"/>
  <c r="BE4583" i="1"/>
  <c r="BF4583" i="1"/>
  <c r="BG4583" i="1"/>
  <c r="E630" i="1"/>
  <c r="G630" i="1"/>
  <c r="J630" i="1"/>
  <c r="K630" i="1"/>
  <c r="BC630" i="1"/>
  <c r="BE630" i="1"/>
  <c r="BF630" i="1"/>
  <c r="BG630" i="1"/>
  <c r="E964" i="1"/>
  <c r="G964" i="1"/>
  <c r="J964" i="1"/>
  <c r="K964" i="1"/>
  <c r="BE964" i="1"/>
  <c r="BF964" i="1"/>
  <c r="BG964" i="1"/>
  <c r="E6305" i="1"/>
  <c r="G6305" i="1"/>
  <c r="J6305" i="1"/>
  <c r="K6305" i="1"/>
  <c r="BE6305" i="1"/>
  <c r="BF6305" i="1"/>
  <c r="BG6305" i="1"/>
  <c r="E6306" i="1"/>
  <c r="G6306" i="1"/>
  <c r="J6306" i="1"/>
  <c r="K6306" i="1"/>
  <c r="BE6306" i="1"/>
  <c r="BF6306" i="1"/>
  <c r="BG6306" i="1"/>
  <c r="E2849" i="1"/>
  <c r="G2849" i="1"/>
  <c r="J2849" i="1"/>
  <c r="K2849" i="1"/>
  <c r="BC2849" i="1"/>
  <c r="BE2849" i="1"/>
  <c r="BF2849" i="1"/>
  <c r="BG2849" i="1"/>
  <c r="E2850" i="1"/>
  <c r="G2850" i="1"/>
  <c r="J2850" i="1"/>
  <c r="K2850" i="1"/>
  <c r="BC2850" i="1"/>
  <c r="BE2850" i="1"/>
  <c r="BF2850" i="1"/>
  <c r="BG2850" i="1"/>
  <c r="E2851" i="1"/>
  <c r="G2851" i="1"/>
  <c r="J2851" i="1"/>
  <c r="K2851" i="1"/>
  <c r="BC2851" i="1"/>
  <c r="BE2851" i="1"/>
  <c r="BF2851" i="1"/>
  <c r="BG2851" i="1"/>
  <c r="E2852" i="1"/>
  <c r="G2852" i="1"/>
  <c r="J2852" i="1"/>
  <c r="K2852" i="1"/>
  <c r="BC2852" i="1"/>
  <c r="BE2852" i="1"/>
  <c r="BF2852" i="1"/>
  <c r="BG2852" i="1"/>
  <c r="E2853" i="1"/>
  <c r="G2853" i="1"/>
  <c r="J2853" i="1"/>
  <c r="K2853" i="1"/>
  <c r="BE2853" i="1"/>
  <c r="BF2853" i="1"/>
  <c r="BG2853" i="1"/>
  <c r="E2854" i="1"/>
  <c r="G2854" i="1"/>
  <c r="J2854" i="1"/>
  <c r="K2854" i="1"/>
  <c r="BC2854" i="1"/>
  <c r="BE2854" i="1"/>
  <c r="BF2854" i="1"/>
  <c r="BG2854" i="1"/>
  <c r="E2855" i="1"/>
  <c r="G2855" i="1"/>
  <c r="J2855" i="1"/>
  <c r="K2855" i="1"/>
  <c r="BE2855" i="1"/>
  <c r="BF2855" i="1"/>
  <c r="BG2855" i="1"/>
  <c r="E2856" i="1"/>
  <c r="G2856" i="1"/>
  <c r="J2856" i="1"/>
  <c r="K2856" i="1"/>
  <c r="BE2856" i="1"/>
  <c r="BF2856" i="1"/>
  <c r="BG2856" i="1"/>
  <c r="E2857" i="1"/>
  <c r="G2857" i="1"/>
  <c r="J2857" i="1"/>
  <c r="K2857" i="1"/>
  <c r="BC2857" i="1"/>
  <c r="BE2857" i="1"/>
  <c r="BF2857" i="1"/>
  <c r="BG2857" i="1"/>
  <c r="E2858" i="1"/>
  <c r="G2858" i="1"/>
  <c r="J2858" i="1"/>
  <c r="K2858" i="1"/>
  <c r="BC2858" i="1"/>
  <c r="BE2858" i="1"/>
  <c r="BF2858" i="1"/>
  <c r="BG2858" i="1"/>
  <c r="E6089" i="1"/>
  <c r="G6089" i="1"/>
  <c r="J6089" i="1"/>
  <c r="K6089" i="1"/>
  <c r="BE6089" i="1"/>
  <c r="BF6089" i="1"/>
  <c r="BG6089" i="1"/>
  <c r="E6307" i="1"/>
  <c r="G6307" i="1"/>
  <c r="J6307" i="1"/>
  <c r="K6307" i="1"/>
  <c r="BE6307" i="1"/>
  <c r="BF6307" i="1"/>
  <c r="BG6307" i="1"/>
  <c r="E6308" i="1"/>
  <c r="G6308" i="1"/>
  <c r="J6308" i="1"/>
  <c r="K6308" i="1"/>
  <c r="BE6308" i="1"/>
  <c r="BF6308" i="1"/>
  <c r="BG6308" i="1"/>
  <c r="E6090" i="1"/>
  <c r="G6090" i="1"/>
  <c r="J6090" i="1"/>
  <c r="K6090" i="1"/>
  <c r="BE6090" i="1"/>
  <c r="BF6090" i="1"/>
  <c r="BG6090" i="1"/>
  <c r="E1901" i="1"/>
  <c r="G1901" i="1"/>
  <c r="J1901" i="1"/>
  <c r="K1901" i="1"/>
  <c r="BF1901" i="1"/>
  <c r="BG1901" i="1"/>
  <c r="E35" i="1"/>
  <c r="G35" i="1"/>
  <c r="J35" i="1"/>
  <c r="K35" i="1"/>
  <c r="BF35" i="1"/>
  <c r="BG35" i="1"/>
  <c r="E36" i="1"/>
  <c r="G36" i="1"/>
  <c r="J36" i="1"/>
  <c r="K36" i="1"/>
  <c r="BF36" i="1"/>
  <c r="BG36" i="1"/>
  <c r="E37" i="1"/>
  <c r="G37" i="1"/>
  <c r="J37" i="1"/>
  <c r="K37" i="1"/>
  <c r="BF37" i="1"/>
  <c r="BG37" i="1"/>
  <c r="E38" i="1"/>
  <c r="G38" i="1"/>
  <c r="J38" i="1"/>
  <c r="K38" i="1"/>
  <c r="BF38" i="1"/>
  <c r="BG38" i="1"/>
  <c r="E39" i="1"/>
  <c r="G39" i="1"/>
  <c r="J39" i="1"/>
  <c r="K39" i="1"/>
  <c r="BF39" i="1"/>
  <c r="BG39" i="1"/>
  <c r="E6710" i="1"/>
  <c r="G6710" i="1"/>
  <c r="J6710" i="1"/>
  <c r="K6710" i="1"/>
  <c r="BE6710" i="1"/>
  <c r="BF6710" i="1"/>
  <c r="BG6710" i="1"/>
  <c r="E6091" i="1"/>
  <c r="G6091" i="1"/>
  <c r="J6091" i="1"/>
  <c r="K6091" i="1"/>
  <c r="BE6091" i="1"/>
  <c r="BF6091" i="1"/>
  <c r="BG6091" i="1"/>
  <c r="E6309" i="1"/>
  <c r="G6309" i="1"/>
  <c r="J6309" i="1"/>
  <c r="K6309" i="1"/>
  <c r="BE6309" i="1"/>
  <c r="BF6309" i="1"/>
  <c r="BG6309" i="1"/>
  <c r="E965" i="1"/>
  <c r="G965" i="1"/>
  <c r="J965" i="1"/>
  <c r="K965" i="1"/>
  <c r="BE965" i="1"/>
  <c r="BF965" i="1"/>
  <c r="BG965" i="1"/>
  <c r="E6092" i="1"/>
  <c r="G6092" i="1"/>
  <c r="J6092" i="1"/>
  <c r="K6092" i="1"/>
  <c r="BE6092" i="1"/>
  <c r="BF6092" i="1"/>
  <c r="BG6092" i="1"/>
  <c r="E6310" i="1"/>
  <c r="G6310" i="1"/>
  <c r="J6310" i="1"/>
  <c r="K6310" i="1"/>
  <c r="BE6310" i="1"/>
  <c r="BF6310" i="1"/>
  <c r="BG6310" i="1"/>
  <c r="E6093" i="1"/>
  <c r="G6093" i="1"/>
  <c r="J6093" i="1"/>
  <c r="K6093" i="1"/>
  <c r="BE6093" i="1"/>
  <c r="BF6093" i="1"/>
  <c r="BG6093" i="1"/>
  <c r="E468" i="1"/>
  <c r="G468" i="1"/>
  <c r="J468" i="1"/>
  <c r="K468" i="1"/>
  <c r="BE468" i="1"/>
  <c r="BF468" i="1"/>
  <c r="BG468" i="1"/>
  <c r="E6311" i="1"/>
  <c r="G6311" i="1"/>
  <c r="J6311" i="1"/>
  <c r="K6311" i="1"/>
  <c r="BE6311" i="1"/>
  <c r="BF6311" i="1"/>
  <c r="BG6311" i="1"/>
  <c r="E542" i="1"/>
  <c r="G542" i="1"/>
  <c r="J542" i="1"/>
  <c r="K542" i="1"/>
  <c r="BE542" i="1"/>
  <c r="BF542" i="1"/>
  <c r="BG542" i="1"/>
  <c r="E6711" i="1"/>
  <c r="G6711" i="1"/>
  <c r="J6711" i="1"/>
  <c r="K6711" i="1"/>
  <c r="BE6711" i="1"/>
  <c r="BF6711" i="1"/>
  <c r="BG6711" i="1"/>
  <c r="E6094" i="1"/>
  <c r="G6094" i="1"/>
  <c r="J6094" i="1"/>
  <c r="K6094" i="1"/>
  <c r="BE6094" i="1"/>
  <c r="BF6094" i="1"/>
  <c r="BG6094" i="1"/>
  <c r="E6312" i="1"/>
  <c r="G6312" i="1"/>
  <c r="J6312" i="1"/>
  <c r="K6312" i="1"/>
  <c r="BE6312" i="1"/>
  <c r="BF6312" i="1"/>
  <c r="BG6312" i="1"/>
  <c r="E6313" i="1"/>
  <c r="G6313" i="1"/>
  <c r="J6313" i="1"/>
  <c r="K6313" i="1"/>
  <c r="BE6313" i="1"/>
  <c r="BF6313" i="1"/>
  <c r="BG6313" i="1"/>
  <c r="E966" i="1"/>
  <c r="G966" i="1"/>
  <c r="J966" i="1"/>
  <c r="K966" i="1"/>
  <c r="BE966" i="1"/>
  <c r="BF966" i="1"/>
  <c r="BG966" i="1"/>
  <c r="E6095" i="1"/>
  <c r="G6095" i="1"/>
  <c r="J6095" i="1"/>
  <c r="K6095" i="1"/>
  <c r="BE6095" i="1"/>
  <c r="BF6095" i="1"/>
  <c r="BG6095" i="1"/>
  <c r="E3937" i="1"/>
  <c r="G3937" i="1"/>
  <c r="J3937" i="1"/>
  <c r="K3937" i="1"/>
  <c r="BE3937" i="1"/>
  <c r="BF3937" i="1"/>
  <c r="BG3937" i="1"/>
  <c r="E329" i="1"/>
  <c r="G329" i="1"/>
  <c r="J329" i="1"/>
  <c r="K329" i="1"/>
  <c r="BE329" i="1"/>
  <c r="BF329" i="1"/>
  <c r="BG329" i="1"/>
  <c r="E749" i="1"/>
  <c r="G749" i="1"/>
  <c r="J749" i="1"/>
  <c r="K749" i="1"/>
  <c r="BF749" i="1"/>
  <c r="BG749" i="1"/>
  <c r="E750" i="1"/>
  <c r="G750" i="1"/>
  <c r="J750" i="1"/>
  <c r="K750" i="1"/>
  <c r="BF750" i="1"/>
  <c r="BG750" i="1"/>
  <c r="E6096" i="1"/>
  <c r="G6096" i="1"/>
  <c r="J6096" i="1"/>
  <c r="K6096" i="1"/>
  <c r="BE6096" i="1"/>
  <c r="BF6096" i="1"/>
  <c r="BG6096" i="1"/>
  <c r="E3634" i="1"/>
  <c r="G3634" i="1"/>
  <c r="J3634" i="1"/>
  <c r="K3634" i="1"/>
  <c r="BE3634" i="1"/>
  <c r="BF3634" i="1"/>
  <c r="BG3634" i="1"/>
  <c r="E967" i="1"/>
  <c r="G967" i="1"/>
  <c r="J967" i="1"/>
  <c r="K967" i="1"/>
  <c r="BE967" i="1"/>
  <c r="BF967" i="1"/>
  <c r="BG967" i="1"/>
  <c r="E6712" i="1"/>
  <c r="G6712" i="1"/>
  <c r="J6712" i="1"/>
  <c r="K6712" i="1"/>
  <c r="BE6712" i="1"/>
  <c r="BF6712" i="1"/>
  <c r="BG6712" i="1"/>
  <c r="E6097" i="1"/>
  <c r="G6097" i="1"/>
  <c r="J6097" i="1"/>
  <c r="K6097" i="1"/>
  <c r="BE6097" i="1"/>
  <c r="BF6097" i="1"/>
  <c r="BG6097" i="1"/>
  <c r="E6098" i="1"/>
  <c r="G6098" i="1"/>
  <c r="J6098" i="1"/>
  <c r="K6098" i="1"/>
  <c r="BE6098" i="1"/>
  <c r="BF6098" i="1"/>
  <c r="BG6098" i="1"/>
  <c r="E633" i="1"/>
  <c r="G633" i="1"/>
  <c r="J633" i="1"/>
  <c r="K633" i="1"/>
  <c r="BE633" i="1"/>
  <c r="BF633" i="1"/>
  <c r="BG633" i="1"/>
  <c r="E3635" i="1"/>
  <c r="G3635" i="1"/>
  <c r="J3635" i="1"/>
  <c r="K3635" i="1"/>
  <c r="BE3635" i="1"/>
  <c r="BF3635" i="1"/>
  <c r="BG3635" i="1"/>
  <c r="E6099" i="1"/>
  <c r="G6099" i="1"/>
  <c r="J6099" i="1"/>
  <c r="K6099" i="1"/>
  <c r="BE6099" i="1"/>
  <c r="BF6099" i="1"/>
  <c r="BG6099" i="1"/>
  <c r="E545" i="1"/>
  <c r="G545" i="1"/>
  <c r="J545" i="1"/>
  <c r="K545" i="1"/>
  <c r="BE545" i="1"/>
  <c r="BF545" i="1"/>
  <c r="BG545" i="1"/>
  <c r="E6713" i="1"/>
  <c r="G6713" i="1"/>
  <c r="J6713" i="1"/>
  <c r="K6713" i="1"/>
  <c r="BE6713" i="1"/>
  <c r="BF6713" i="1"/>
  <c r="BG6713" i="1"/>
  <c r="E4584" i="1"/>
  <c r="G4584" i="1"/>
  <c r="J4584" i="1"/>
  <c r="K4584" i="1"/>
  <c r="BE4584" i="1"/>
  <c r="BF4584" i="1"/>
  <c r="BG4584" i="1"/>
  <c r="E3636" i="1"/>
  <c r="G3636" i="1"/>
  <c r="J3636" i="1"/>
  <c r="K3636" i="1"/>
  <c r="BE3636" i="1"/>
  <c r="BF3636" i="1"/>
  <c r="BG3636" i="1"/>
  <c r="E12" i="1"/>
  <c r="G12" i="1"/>
  <c r="J12" i="1"/>
  <c r="K12" i="1"/>
  <c r="BE12" i="1"/>
  <c r="BF12" i="1"/>
  <c r="BG12" i="1"/>
  <c r="E2859" i="1"/>
  <c r="G2859" i="1"/>
  <c r="J2859" i="1"/>
  <c r="K2859" i="1"/>
  <c r="BC2859" i="1"/>
  <c r="BE2859" i="1"/>
  <c r="BF2859" i="1"/>
  <c r="BG2859" i="1"/>
  <c r="E239" i="1"/>
  <c r="G239" i="1"/>
  <c r="J239" i="1"/>
  <c r="K239" i="1"/>
  <c r="BE239" i="1"/>
  <c r="BF239" i="1"/>
  <c r="BG239" i="1"/>
  <c r="E3330" i="1"/>
  <c r="G3330" i="1"/>
  <c r="J3330" i="1"/>
  <c r="K3330" i="1"/>
  <c r="BE3330" i="1"/>
  <c r="BF3330" i="1"/>
  <c r="BG3330" i="1"/>
  <c r="E3938" i="1"/>
  <c r="G3938" i="1"/>
  <c r="J3938" i="1"/>
  <c r="K3938" i="1"/>
  <c r="BE3938" i="1"/>
  <c r="BF3938" i="1"/>
  <c r="BG3938" i="1"/>
  <c r="E968" i="1"/>
  <c r="G968" i="1"/>
  <c r="J968" i="1"/>
  <c r="K968" i="1"/>
  <c r="BE968" i="1"/>
  <c r="BF968" i="1"/>
  <c r="BG968" i="1"/>
  <c r="E3637" i="1"/>
  <c r="G3637" i="1"/>
  <c r="J3637" i="1"/>
  <c r="K3637" i="1"/>
  <c r="BE3637" i="1"/>
  <c r="BF3637" i="1"/>
  <c r="BG3637" i="1"/>
  <c r="E6617" i="1"/>
  <c r="G6617" i="1"/>
  <c r="J6617" i="1"/>
  <c r="K6617" i="1"/>
  <c r="BE6617" i="1"/>
  <c r="BF6617" i="1"/>
  <c r="BG6617" i="1"/>
  <c r="E6714" i="1"/>
  <c r="G6714" i="1"/>
  <c r="J6714" i="1"/>
  <c r="K6714" i="1"/>
  <c r="BE6714" i="1"/>
  <c r="BF6714" i="1"/>
  <c r="BG6714" i="1"/>
  <c r="E3788" i="1"/>
  <c r="G3788" i="1"/>
  <c r="J3788" i="1"/>
  <c r="K3788" i="1"/>
  <c r="BE3788" i="1"/>
  <c r="BF3788" i="1"/>
  <c r="BG3788" i="1"/>
  <c r="E6314" i="1"/>
  <c r="G6314" i="1"/>
  <c r="J6314" i="1"/>
  <c r="K6314" i="1"/>
  <c r="BE6314" i="1"/>
  <c r="BF6314" i="1"/>
  <c r="BG6314" i="1"/>
  <c r="E6" i="1"/>
  <c r="G6" i="1"/>
  <c r="J6" i="1"/>
  <c r="K6" i="1"/>
  <c r="BE6" i="1"/>
  <c r="BG6" i="1"/>
  <c r="E849" i="1"/>
  <c r="G849" i="1"/>
  <c r="J849" i="1"/>
  <c r="K849" i="1"/>
  <c r="BE849" i="1"/>
  <c r="BF849" i="1"/>
  <c r="BG849" i="1"/>
  <c r="E6715" i="1"/>
  <c r="G6715" i="1"/>
  <c r="J6715" i="1"/>
  <c r="K6715" i="1"/>
  <c r="BE6715" i="1"/>
  <c r="BF6715" i="1"/>
  <c r="BG6715" i="1"/>
  <c r="E2860" i="1"/>
  <c r="G2860" i="1"/>
  <c r="J2860" i="1"/>
  <c r="K2860" i="1"/>
  <c r="BC2860" i="1"/>
  <c r="BE2860" i="1"/>
  <c r="BF2860" i="1"/>
  <c r="BG2860" i="1"/>
  <c r="E2861" i="1"/>
  <c r="G2861" i="1"/>
  <c r="J2861" i="1"/>
  <c r="K2861" i="1"/>
  <c r="BC2861" i="1"/>
  <c r="BE2861" i="1"/>
  <c r="BF2861" i="1"/>
  <c r="BG2861" i="1"/>
  <c r="E2862" i="1"/>
  <c r="G2862" i="1"/>
  <c r="J2862" i="1"/>
  <c r="K2862" i="1"/>
  <c r="BC2862" i="1"/>
  <c r="BE2862" i="1"/>
  <c r="BF2862" i="1"/>
  <c r="BG2862" i="1"/>
  <c r="E2863" i="1"/>
  <c r="G2863" i="1"/>
  <c r="J2863" i="1"/>
  <c r="K2863" i="1"/>
  <c r="BC2863" i="1"/>
  <c r="BE2863" i="1"/>
  <c r="BF2863" i="1"/>
  <c r="BG2863" i="1"/>
  <c r="E2864" i="1"/>
  <c r="G2864" i="1"/>
  <c r="J2864" i="1"/>
  <c r="K2864" i="1"/>
  <c r="BC2864" i="1"/>
  <c r="BE2864" i="1"/>
  <c r="BF2864" i="1"/>
  <c r="BG2864" i="1"/>
  <c r="E2865" i="1"/>
  <c r="G2865" i="1"/>
  <c r="J2865" i="1"/>
  <c r="K2865" i="1"/>
  <c r="BC2865" i="1"/>
  <c r="BE2865" i="1"/>
  <c r="BF2865" i="1"/>
  <c r="BG2865" i="1"/>
  <c r="E2866" i="1"/>
  <c r="G2866" i="1"/>
  <c r="J2866" i="1"/>
  <c r="K2866" i="1"/>
  <c r="BC2866" i="1"/>
  <c r="BE2866" i="1"/>
  <c r="BF2866" i="1"/>
  <c r="BG2866" i="1"/>
  <c r="E2867" i="1"/>
  <c r="G2867" i="1"/>
  <c r="J2867" i="1"/>
  <c r="K2867" i="1"/>
  <c r="BC2867" i="1"/>
  <c r="BE2867" i="1"/>
  <c r="BF2867" i="1"/>
  <c r="BG2867" i="1"/>
  <c r="E2868" i="1"/>
  <c r="G2868" i="1"/>
  <c r="J2868" i="1"/>
  <c r="K2868" i="1"/>
  <c r="BC2868" i="1"/>
  <c r="BE2868" i="1"/>
  <c r="BF2868" i="1"/>
  <c r="BG2868" i="1"/>
  <c r="E2869" i="1"/>
  <c r="G2869" i="1"/>
  <c r="J2869" i="1"/>
  <c r="K2869" i="1"/>
  <c r="BC2869" i="1"/>
  <c r="BE2869" i="1"/>
  <c r="BF2869" i="1"/>
  <c r="BG2869" i="1"/>
  <c r="E2870" i="1"/>
  <c r="G2870" i="1"/>
  <c r="J2870" i="1"/>
  <c r="K2870" i="1"/>
  <c r="BC2870" i="1"/>
  <c r="BE2870" i="1"/>
  <c r="BF2870" i="1"/>
  <c r="BG2870" i="1"/>
  <c r="E2871" i="1"/>
  <c r="G2871" i="1"/>
  <c r="J2871" i="1"/>
  <c r="K2871" i="1"/>
  <c r="BC2871" i="1"/>
  <c r="BE2871" i="1"/>
  <c r="BF2871" i="1"/>
  <c r="BG2871" i="1"/>
  <c r="E2872" i="1"/>
  <c r="G2872" i="1"/>
  <c r="J2872" i="1"/>
  <c r="K2872" i="1"/>
  <c r="BC2872" i="1"/>
  <c r="BE2872" i="1"/>
  <c r="BF2872" i="1"/>
  <c r="BG2872" i="1"/>
  <c r="E2873" i="1"/>
  <c r="G2873" i="1"/>
  <c r="J2873" i="1"/>
  <c r="K2873" i="1"/>
  <c r="BC2873" i="1"/>
  <c r="BE2873" i="1"/>
  <c r="BF2873" i="1"/>
  <c r="BG2873" i="1"/>
  <c r="E2874" i="1"/>
  <c r="G2874" i="1"/>
  <c r="J2874" i="1"/>
  <c r="K2874" i="1"/>
  <c r="BC2874" i="1"/>
  <c r="BE2874" i="1"/>
  <c r="BF2874" i="1"/>
  <c r="BG2874" i="1"/>
  <c r="E2875" i="1"/>
  <c r="G2875" i="1"/>
  <c r="J2875" i="1"/>
  <c r="K2875" i="1"/>
  <c r="BC2875" i="1"/>
  <c r="BE2875" i="1"/>
  <c r="BF2875" i="1"/>
  <c r="BG2875" i="1"/>
  <c r="E2876" i="1"/>
  <c r="G2876" i="1"/>
  <c r="J2876" i="1"/>
  <c r="K2876" i="1"/>
  <c r="BC2876" i="1"/>
  <c r="BE2876" i="1"/>
  <c r="BF2876" i="1"/>
  <c r="BG2876" i="1"/>
  <c r="E2877" i="1"/>
  <c r="G2877" i="1"/>
  <c r="J2877" i="1"/>
  <c r="K2877" i="1"/>
  <c r="BC2877" i="1"/>
  <c r="BE2877" i="1"/>
  <c r="BF2877" i="1"/>
  <c r="BG2877" i="1"/>
  <c r="E2878" i="1"/>
  <c r="G2878" i="1"/>
  <c r="J2878" i="1"/>
  <c r="K2878" i="1"/>
  <c r="BC2878" i="1"/>
  <c r="BE2878" i="1"/>
  <c r="BF2878" i="1"/>
  <c r="BG2878" i="1"/>
  <c r="E2879" i="1"/>
  <c r="G2879" i="1"/>
  <c r="J2879" i="1"/>
  <c r="K2879" i="1"/>
  <c r="BC2879" i="1"/>
  <c r="BE2879" i="1"/>
  <c r="BF2879" i="1"/>
  <c r="BG2879" i="1"/>
  <c r="E2880" i="1"/>
  <c r="G2880" i="1"/>
  <c r="J2880" i="1"/>
  <c r="K2880" i="1"/>
  <c r="BC2880" i="1"/>
  <c r="BE2880" i="1"/>
  <c r="BF2880" i="1"/>
  <c r="BG2880" i="1"/>
  <c r="E2881" i="1"/>
  <c r="G2881" i="1"/>
  <c r="J2881" i="1"/>
  <c r="K2881" i="1"/>
  <c r="BC2881" i="1"/>
  <c r="BE2881" i="1"/>
  <c r="BF2881" i="1"/>
  <c r="BG2881" i="1"/>
  <c r="E2882" i="1"/>
  <c r="G2882" i="1"/>
  <c r="J2882" i="1"/>
  <c r="K2882" i="1"/>
  <c r="BC2882" i="1"/>
  <c r="BE2882" i="1"/>
  <c r="BF2882" i="1"/>
  <c r="BG2882" i="1"/>
  <c r="E2883" i="1"/>
  <c r="G2883" i="1"/>
  <c r="J2883" i="1"/>
  <c r="K2883" i="1"/>
  <c r="BC2883" i="1"/>
  <c r="BE2883" i="1"/>
  <c r="BF2883" i="1"/>
  <c r="BG2883" i="1"/>
  <c r="E2884" i="1"/>
  <c r="G2884" i="1"/>
  <c r="J2884" i="1"/>
  <c r="K2884" i="1"/>
  <c r="BC2884" i="1"/>
  <c r="BE2884" i="1"/>
  <c r="BF2884" i="1"/>
  <c r="BG2884" i="1"/>
  <c r="E2885" i="1"/>
  <c r="G2885" i="1"/>
  <c r="J2885" i="1"/>
  <c r="K2885" i="1"/>
  <c r="BC2885" i="1"/>
  <c r="BE2885" i="1"/>
  <c r="BF2885" i="1"/>
  <c r="BG2885" i="1"/>
  <c r="E2886" i="1"/>
  <c r="G2886" i="1"/>
  <c r="J2886" i="1"/>
  <c r="K2886" i="1"/>
  <c r="BC2886" i="1"/>
  <c r="BE2886" i="1"/>
  <c r="BF2886" i="1"/>
  <c r="BG2886" i="1"/>
  <c r="E2887" i="1"/>
  <c r="G2887" i="1"/>
  <c r="J2887" i="1"/>
  <c r="K2887" i="1"/>
  <c r="BC2887" i="1"/>
  <c r="BE2887" i="1"/>
  <c r="BF2887" i="1"/>
  <c r="BG2887" i="1"/>
  <c r="E2888" i="1"/>
  <c r="G2888" i="1"/>
  <c r="J2888" i="1"/>
  <c r="K2888" i="1"/>
  <c r="BC2888" i="1"/>
  <c r="BE2888" i="1"/>
  <c r="BF2888" i="1"/>
  <c r="BG2888" i="1"/>
  <c r="E2889" i="1"/>
  <c r="G2889" i="1"/>
  <c r="J2889" i="1"/>
  <c r="K2889" i="1"/>
  <c r="BC2889" i="1"/>
  <c r="BE2889" i="1"/>
  <c r="BF2889" i="1"/>
  <c r="BG2889" i="1"/>
  <c r="E2890" i="1"/>
  <c r="G2890" i="1"/>
  <c r="J2890" i="1"/>
  <c r="K2890" i="1"/>
  <c r="BC2890" i="1"/>
  <c r="BE2890" i="1"/>
  <c r="BF2890" i="1"/>
  <c r="BG2890" i="1"/>
  <c r="E2891" i="1"/>
  <c r="G2891" i="1"/>
  <c r="J2891" i="1"/>
  <c r="K2891" i="1"/>
  <c r="BC2891" i="1"/>
  <c r="BE2891" i="1"/>
  <c r="BF2891" i="1"/>
  <c r="BG2891" i="1"/>
  <c r="E2892" i="1"/>
  <c r="G2892" i="1"/>
  <c r="J2892" i="1"/>
  <c r="K2892" i="1"/>
  <c r="BC2892" i="1"/>
  <c r="BE2892" i="1"/>
  <c r="BF2892" i="1"/>
  <c r="BG2892" i="1"/>
  <c r="E2893" i="1"/>
  <c r="G2893" i="1"/>
  <c r="J2893" i="1"/>
  <c r="K2893" i="1"/>
  <c r="BC2893" i="1"/>
  <c r="BE2893" i="1"/>
  <c r="BF2893" i="1"/>
  <c r="BG2893" i="1"/>
  <c r="E2894" i="1"/>
  <c r="G2894" i="1"/>
  <c r="J2894" i="1"/>
  <c r="K2894" i="1"/>
  <c r="BC2894" i="1"/>
  <c r="BE2894" i="1"/>
  <c r="BF2894" i="1"/>
  <c r="BG2894" i="1"/>
  <c r="E2895" i="1"/>
  <c r="G2895" i="1"/>
  <c r="J2895" i="1"/>
  <c r="K2895" i="1"/>
  <c r="BC2895" i="1"/>
  <c r="BE2895" i="1"/>
  <c r="BF2895" i="1"/>
  <c r="BG2895" i="1"/>
  <c r="E2896" i="1"/>
  <c r="G2896" i="1"/>
  <c r="J2896" i="1"/>
  <c r="K2896" i="1"/>
  <c r="BC2896" i="1"/>
  <c r="BE2896" i="1"/>
  <c r="BF2896" i="1"/>
  <c r="BG2896" i="1"/>
  <c r="E2897" i="1"/>
  <c r="G2897" i="1"/>
  <c r="J2897" i="1"/>
  <c r="K2897" i="1"/>
  <c r="BC2897" i="1"/>
  <c r="BE2897" i="1"/>
  <c r="BF2897" i="1"/>
  <c r="BG2897" i="1"/>
  <c r="E2898" i="1"/>
  <c r="G2898" i="1"/>
  <c r="J2898" i="1"/>
  <c r="K2898" i="1"/>
  <c r="BC2898" i="1"/>
  <c r="BE2898" i="1"/>
  <c r="BG2898" i="1"/>
  <c r="E2899" i="1"/>
  <c r="G2899" i="1"/>
  <c r="J2899" i="1"/>
  <c r="K2899" i="1"/>
  <c r="BC2899" i="1"/>
  <c r="BE2899" i="1"/>
  <c r="BF2899" i="1"/>
  <c r="BG2899" i="1"/>
  <c r="E2900" i="1"/>
  <c r="G2900" i="1"/>
  <c r="J2900" i="1"/>
  <c r="K2900" i="1"/>
  <c r="BC2900" i="1"/>
  <c r="BE2900" i="1"/>
  <c r="BG2900" i="1"/>
  <c r="E2901" i="1"/>
  <c r="G2901" i="1"/>
  <c r="J2901" i="1"/>
  <c r="K2901" i="1"/>
  <c r="BC2901" i="1"/>
  <c r="BE2901" i="1"/>
  <c r="BF2901" i="1"/>
  <c r="BG2901" i="1"/>
  <c r="E2902" i="1"/>
  <c r="G2902" i="1"/>
  <c r="J2902" i="1"/>
  <c r="K2902" i="1"/>
  <c r="BC2902" i="1"/>
  <c r="BE2902" i="1"/>
  <c r="BF2902" i="1"/>
  <c r="BG2902" i="1"/>
  <c r="E2903" i="1"/>
  <c r="G2903" i="1"/>
  <c r="J2903" i="1"/>
  <c r="K2903" i="1"/>
  <c r="BC2903" i="1"/>
  <c r="BE2903" i="1"/>
  <c r="BF2903" i="1"/>
  <c r="BG2903" i="1"/>
  <c r="E2904" i="1"/>
  <c r="G2904" i="1"/>
  <c r="J2904" i="1"/>
  <c r="K2904" i="1"/>
  <c r="BC2904" i="1"/>
  <c r="BE2904" i="1"/>
  <c r="BF2904" i="1"/>
  <c r="BG2904" i="1"/>
  <c r="E486" i="1"/>
  <c r="G486" i="1"/>
  <c r="J486" i="1"/>
  <c r="K486" i="1"/>
  <c r="BE486" i="1"/>
  <c r="BF486" i="1"/>
  <c r="BG486" i="1"/>
  <c r="E6315" i="1"/>
  <c r="G6315" i="1"/>
  <c r="J6315" i="1"/>
  <c r="K6315" i="1"/>
  <c r="BE6315" i="1"/>
  <c r="BF6315" i="1"/>
  <c r="BG6315" i="1"/>
  <c r="E3331" i="1"/>
  <c r="G3331" i="1"/>
  <c r="J3331" i="1"/>
  <c r="K3331" i="1"/>
  <c r="BE3331" i="1"/>
  <c r="BF3331" i="1"/>
  <c r="BG3331" i="1"/>
  <c r="E6618" i="1"/>
  <c r="G6618" i="1"/>
  <c r="J6618" i="1"/>
  <c r="K6618" i="1"/>
  <c r="BE6618" i="1"/>
  <c r="BF6618" i="1"/>
  <c r="BG6618" i="1"/>
  <c r="E3939" i="1"/>
  <c r="G3939" i="1"/>
  <c r="J3939" i="1"/>
  <c r="K3939" i="1"/>
  <c r="BE3939" i="1"/>
  <c r="BF3939" i="1"/>
  <c r="BG3939" i="1"/>
  <c r="E6316" i="1"/>
  <c r="G6316" i="1"/>
  <c r="J6316" i="1"/>
  <c r="K6316" i="1"/>
  <c r="BE6316" i="1"/>
  <c r="BF6316" i="1"/>
  <c r="BG6316" i="1"/>
  <c r="E861" i="1"/>
  <c r="G861" i="1"/>
  <c r="J861" i="1"/>
  <c r="K861" i="1"/>
  <c r="BE861" i="1"/>
  <c r="BF861" i="1"/>
  <c r="BG861" i="1"/>
  <c r="E6716" i="1"/>
  <c r="G6716" i="1"/>
  <c r="J6716" i="1"/>
  <c r="K6716" i="1"/>
  <c r="BE6716" i="1"/>
  <c r="BF6716" i="1"/>
  <c r="BG6716" i="1"/>
  <c r="E273" i="1"/>
  <c r="G273" i="1"/>
  <c r="J273" i="1"/>
  <c r="K273" i="1"/>
  <c r="BE273" i="1"/>
  <c r="BF273" i="1"/>
  <c r="BG273" i="1"/>
  <c r="E6317" i="1"/>
  <c r="G6317" i="1"/>
  <c r="J6317" i="1"/>
  <c r="K6317" i="1"/>
  <c r="BE6317" i="1"/>
  <c r="BF6317" i="1"/>
  <c r="BG6317" i="1"/>
  <c r="E4097" i="1"/>
  <c r="G4097" i="1"/>
  <c r="J4097" i="1"/>
  <c r="K4097" i="1"/>
  <c r="BE4097" i="1"/>
  <c r="BF4097" i="1"/>
  <c r="BG4097" i="1"/>
  <c r="E6318" i="1"/>
  <c r="G6318" i="1"/>
  <c r="J6318" i="1"/>
  <c r="K6318" i="1"/>
  <c r="BE6318" i="1"/>
  <c r="BF6318" i="1"/>
  <c r="BG6318" i="1"/>
  <c r="E6319" i="1"/>
  <c r="G6319" i="1"/>
  <c r="J6319" i="1"/>
  <c r="K6319" i="1"/>
  <c r="BE6319" i="1"/>
  <c r="BF6319" i="1"/>
  <c r="BG6319" i="1"/>
  <c r="E6320" i="1"/>
  <c r="G6320" i="1"/>
  <c r="J6320" i="1"/>
  <c r="K6320" i="1"/>
  <c r="BE6320" i="1"/>
  <c r="BF6320" i="1"/>
  <c r="BG6320" i="1"/>
  <c r="E6619" i="1"/>
  <c r="G6619" i="1"/>
  <c r="J6619" i="1"/>
  <c r="K6619" i="1"/>
  <c r="BE6619" i="1"/>
  <c r="BF6619" i="1"/>
  <c r="BG6619" i="1"/>
  <c r="E3332" i="1"/>
  <c r="G3332" i="1"/>
  <c r="J3332" i="1"/>
  <c r="K3332" i="1"/>
  <c r="BE3332" i="1"/>
  <c r="BF3332" i="1"/>
  <c r="BG3332" i="1"/>
  <c r="E6321" i="1"/>
  <c r="G6321" i="1"/>
  <c r="J6321" i="1"/>
  <c r="K6321" i="1"/>
  <c r="BE6321" i="1"/>
  <c r="BF6321" i="1"/>
  <c r="BG6321" i="1"/>
  <c r="E6322" i="1"/>
  <c r="G6322" i="1"/>
  <c r="J6322" i="1"/>
  <c r="K6322" i="1"/>
  <c r="BE6322" i="1"/>
  <c r="BF6322" i="1"/>
  <c r="BG6322" i="1"/>
  <c r="E6717" i="1"/>
  <c r="G6717" i="1"/>
  <c r="J6717" i="1"/>
  <c r="K6717" i="1"/>
  <c r="BE6717" i="1"/>
  <c r="BF6717" i="1"/>
  <c r="BG6717" i="1"/>
  <c r="E6323" i="1"/>
  <c r="G6323" i="1"/>
  <c r="J6323" i="1"/>
  <c r="K6323" i="1"/>
  <c r="BE6323" i="1"/>
  <c r="BF6323" i="1"/>
  <c r="BG6323" i="1"/>
  <c r="E6651" i="1"/>
  <c r="G6651" i="1"/>
  <c r="J6651" i="1"/>
  <c r="K6651" i="1"/>
  <c r="BE6651" i="1"/>
  <c r="BF6651" i="1"/>
  <c r="BG6651" i="1"/>
  <c r="E3638" i="1"/>
  <c r="G3638" i="1"/>
  <c r="J3638" i="1"/>
  <c r="K3638" i="1"/>
  <c r="BE3638" i="1"/>
  <c r="BF3638" i="1"/>
  <c r="BG3638" i="1"/>
  <c r="E6324" i="1"/>
  <c r="G6324" i="1"/>
  <c r="J6324" i="1"/>
  <c r="K6324" i="1"/>
  <c r="BE6324" i="1"/>
  <c r="BF6324" i="1"/>
  <c r="BG6324" i="1"/>
  <c r="E6325" i="1"/>
  <c r="G6325" i="1"/>
  <c r="J6325" i="1"/>
  <c r="K6325" i="1"/>
  <c r="BE6325" i="1"/>
  <c r="BF6325" i="1"/>
  <c r="BG6325" i="1"/>
  <c r="E168" i="1"/>
  <c r="G168" i="1"/>
  <c r="J168" i="1"/>
  <c r="K168" i="1"/>
  <c r="BF168" i="1"/>
  <c r="BG168" i="1"/>
  <c r="E6326" i="1"/>
  <c r="G6326" i="1"/>
  <c r="J6326" i="1"/>
  <c r="K6326" i="1"/>
  <c r="BE6326" i="1"/>
  <c r="BF6326" i="1"/>
  <c r="BG6326" i="1"/>
  <c r="E6718" i="1"/>
  <c r="G6718" i="1"/>
  <c r="J6718" i="1"/>
  <c r="K6718" i="1"/>
  <c r="BE6718" i="1"/>
  <c r="BF6718" i="1"/>
  <c r="BG6718" i="1"/>
  <c r="E729" i="1"/>
  <c r="G729" i="1"/>
  <c r="J729" i="1"/>
  <c r="K729" i="1"/>
  <c r="BE729" i="1"/>
  <c r="BF729" i="1"/>
  <c r="BG729" i="1"/>
  <c r="E6327" i="1"/>
  <c r="G6327" i="1"/>
  <c r="J6327" i="1"/>
  <c r="K6327" i="1"/>
  <c r="BE6327" i="1"/>
  <c r="BF6327" i="1"/>
  <c r="BG6327" i="1"/>
  <c r="E6328" i="1"/>
  <c r="G6328" i="1"/>
  <c r="J6328" i="1"/>
  <c r="K6328" i="1"/>
  <c r="BE6328" i="1"/>
  <c r="BF6328" i="1"/>
  <c r="BG6328" i="1"/>
  <c r="E6719" i="1"/>
  <c r="G6719" i="1"/>
  <c r="J6719" i="1"/>
  <c r="K6719" i="1"/>
  <c r="BE6719" i="1"/>
  <c r="BF6719" i="1"/>
  <c r="BG6719" i="1"/>
  <c r="E3549" i="1"/>
  <c r="G3549" i="1"/>
  <c r="J3549" i="1"/>
  <c r="K3549" i="1"/>
  <c r="BE3549" i="1"/>
  <c r="BF3549" i="1"/>
  <c r="BG3549" i="1"/>
  <c r="E867" i="1"/>
  <c r="G867" i="1"/>
  <c r="J867" i="1"/>
  <c r="K867" i="1"/>
  <c r="BE867" i="1"/>
  <c r="BF867" i="1"/>
  <c r="BG867" i="1"/>
  <c r="E6329" i="1"/>
  <c r="G6329" i="1"/>
  <c r="J6329" i="1"/>
  <c r="K6329" i="1"/>
  <c r="BE6329" i="1"/>
  <c r="BF6329" i="1"/>
  <c r="BG6329" i="1"/>
  <c r="E6330" i="1"/>
  <c r="G6330" i="1"/>
  <c r="J6330" i="1"/>
  <c r="K6330" i="1"/>
  <c r="BE6330" i="1"/>
  <c r="BF6330" i="1"/>
  <c r="BG6330" i="1"/>
  <c r="E6331" i="1"/>
  <c r="G6331" i="1"/>
  <c r="J6331" i="1"/>
  <c r="K6331" i="1"/>
  <c r="BE6331" i="1"/>
  <c r="BF6331" i="1"/>
  <c r="BG6331" i="1"/>
  <c r="E3757" i="1"/>
  <c r="G3757" i="1"/>
  <c r="J3757" i="1"/>
  <c r="K3757" i="1"/>
  <c r="BE3757" i="1"/>
  <c r="BF3757" i="1"/>
  <c r="BG3757" i="1"/>
  <c r="E6332" i="1"/>
  <c r="G6332" i="1"/>
  <c r="J6332" i="1"/>
  <c r="K6332" i="1"/>
  <c r="BE6332" i="1"/>
  <c r="BF6332" i="1"/>
  <c r="BG6332" i="1"/>
  <c r="E6333" i="1"/>
  <c r="G6333" i="1"/>
  <c r="J6333" i="1"/>
  <c r="K6333" i="1"/>
  <c r="BE6333" i="1"/>
  <c r="BF6333" i="1"/>
  <c r="BG6333" i="1"/>
  <c r="E6334" i="1"/>
  <c r="G6334" i="1"/>
  <c r="J6334" i="1"/>
  <c r="K6334" i="1"/>
  <c r="BE6334" i="1"/>
  <c r="BF6334" i="1"/>
  <c r="BG6334" i="1"/>
  <c r="E6720" i="1"/>
  <c r="G6720" i="1"/>
  <c r="J6720" i="1"/>
  <c r="K6720" i="1"/>
  <c r="BE6720" i="1"/>
  <c r="BF6720" i="1"/>
  <c r="BG6720" i="1"/>
  <c r="E4280" i="1"/>
  <c r="G4280" i="1"/>
  <c r="J4280" i="1"/>
  <c r="K4280" i="1"/>
  <c r="BE4280" i="1"/>
  <c r="BF4280" i="1"/>
  <c r="BG4280" i="1"/>
  <c r="E6335" i="1"/>
  <c r="G6335" i="1"/>
  <c r="J6335" i="1"/>
  <c r="K6335" i="1"/>
  <c r="BE6335" i="1"/>
  <c r="BF6335" i="1"/>
  <c r="BG6335" i="1"/>
  <c r="E500" i="1"/>
  <c r="G500" i="1"/>
  <c r="J500" i="1"/>
  <c r="K500" i="1"/>
  <c r="BC500" i="1"/>
  <c r="BE500" i="1"/>
  <c r="BF500" i="1"/>
  <c r="BG500" i="1"/>
  <c r="E3550" i="1"/>
  <c r="G3550" i="1"/>
  <c r="J3550" i="1"/>
  <c r="K3550" i="1"/>
  <c r="BE3550" i="1"/>
  <c r="BF3550" i="1"/>
  <c r="BG3550" i="1"/>
  <c r="E3551" i="1"/>
  <c r="G3551" i="1"/>
  <c r="J3551" i="1"/>
  <c r="K3551" i="1"/>
  <c r="BE3551" i="1"/>
  <c r="BF3551" i="1"/>
  <c r="BG3551" i="1"/>
  <c r="E3552" i="1"/>
  <c r="G3552" i="1"/>
  <c r="J3552" i="1"/>
  <c r="K3552" i="1"/>
  <c r="BE3552" i="1"/>
  <c r="BF3552" i="1"/>
  <c r="BG3552" i="1"/>
  <c r="E3553" i="1"/>
  <c r="G3553" i="1"/>
  <c r="J3553" i="1"/>
  <c r="K3553" i="1"/>
  <c r="BE3553" i="1"/>
  <c r="BF3553" i="1"/>
  <c r="BG3553" i="1"/>
  <c r="E3554" i="1"/>
  <c r="G3554" i="1"/>
  <c r="J3554" i="1"/>
  <c r="K3554" i="1"/>
  <c r="BE3554" i="1"/>
  <c r="BF3554" i="1"/>
  <c r="BG3554" i="1"/>
  <c r="E3555" i="1"/>
  <c r="G3555" i="1"/>
  <c r="J3555" i="1"/>
  <c r="K3555" i="1"/>
  <c r="BE3555" i="1"/>
  <c r="BF3555" i="1"/>
  <c r="BG3555" i="1"/>
  <c r="E3556" i="1"/>
  <c r="G3556" i="1"/>
  <c r="J3556" i="1"/>
  <c r="K3556" i="1"/>
  <c r="BE3556" i="1"/>
  <c r="BF3556" i="1"/>
  <c r="BG3556" i="1"/>
  <c r="E3557" i="1"/>
  <c r="G3557" i="1"/>
  <c r="J3557" i="1"/>
  <c r="K3557" i="1"/>
  <c r="BE3557" i="1"/>
  <c r="BF3557" i="1"/>
  <c r="BG3557" i="1"/>
  <c r="E3558" i="1"/>
  <c r="G3558" i="1"/>
  <c r="J3558" i="1"/>
  <c r="K3558" i="1"/>
  <c r="BE3558" i="1"/>
  <c r="BF3558" i="1"/>
  <c r="BG3558" i="1"/>
  <c r="E3559" i="1"/>
  <c r="G3559" i="1"/>
  <c r="J3559" i="1"/>
  <c r="K3559" i="1"/>
  <c r="BE3559" i="1"/>
  <c r="BF3559" i="1"/>
  <c r="BG3559" i="1"/>
  <c r="E3560" i="1"/>
  <c r="G3560" i="1"/>
  <c r="J3560" i="1"/>
  <c r="K3560" i="1"/>
  <c r="BE3560" i="1"/>
  <c r="BF3560" i="1"/>
  <c r="BG3560" i="1"/>
  <c r="E3561" i="1"/>
  <c r="G3561" i="1"/>
  <c r="J3561" i="1"/>
  <c r="K3561" i="1"/>
  <c r="BE3561" i="1"/>
  <c r="BF3561" i="1"/>
  <c r="BG3561" i="1"/>
  <c r="E6336" i="1"/>
  <c r="G6336" i="1"/>
  <c r="J6336" i="1"/>
  <c r="K6336" i="1"/>
  <c r="BE6336" i="1"/>
  <c r="BF6336" i="1"/>
  <c r="BG6336" i="1"/>
  <c r="E557" i="1"/>
  <c r="G557" i="1"/>
  <c r="J557" i="1"/>
  <c r="K557" i="1"/>
  <c r="BE557" i="1"/>
  <c r="BF557" i="1"/>
  <c r="BG557" i="1"/>
  <c r="E558" i="1"/>
  <c r="G558" i="1"/>
  <c r="J558" i="1"/>
  <c r="K558" i="1"/>
  <c r="BE558" i="1"/>
  <c r="BF558" i="1"/>
  <c r="BG558" i="1"/>
  <c r="E2311" i="1"/>
  <c r="G2311" i="1"/>
  <c r="J2311" i="1"/>
  <c r="K2311" i="1"/>
  <c r="BE2311" i="1"/>
  <c r="BF2311" i="1"/>
  <c r="BG2311" i="1"/>
  <c r="E6337" i="1"/>
  <c r="G6337" i="1"/>
  <c r="J6337" i="1"/>
  <c r="K6337" i="1"/>
  <c r="BE6337" i="1"/>
  <c r="BF6337" i="1"/>
  <c r="BG6337" i="1"/>
  <c r="E40" i="1"/>
  <c r="G40" i="1"/>
  <c r="J40" i="1"/>
  <c r="K40" i="1"/>
  <c r="BF40" i="1"/>
  <c r="BG40" i="1"/>
  <c r="E6338" i="1"/>
  <c r="G6338" i="1"/>
  <c r="J6338" i="1"/>
  <c r="K6338" i="1"/>
  <c r="BE6338" i="1"/>
  <c r="BF6338" i="1"/>
  <c r="BG6338" i="1"/>
  <c r="E543" i="1"/>
  <c r="G543" i="1"/>
  <c r="J543" i="1"/>
  <c r="K543" i="1"/>
  <c r="BE543" i="1"/>
  <c r="BF543" i="1"/>
  <c r="BG543" i="1"/>
  <c r="E6339" i="1"/>
  <c r="G6339" i="1"/>
  <c r="J6339" i="1"/>
  <c r="K6339" i="1"/>
  <c r="BE6339" i="1"/>
  <c r="BF6339" i="1"/>
  <c r="BG6339" i="1"/>
  <c r="E4281" i="1"/>
  <c r="G4281" i="1"/>
  <c r="J4281" i="1"/>
  <c r="K4281" i="1"/>
  <c r="BE4281" i="1"/>
  <c r="BF4281" i="1"/>
  <c r="BG4281" i="1"/>
  <c r="E6340" i="1"/>
  <c r="G6340" i="1"/>
  <c r="J6340" i="1"/>
  <c r="K6340" i="1"/>
  <c r="BE6340" i="1"/>
  <c r="BF6340" i="1"/>
  <c r="BG6340" i="1"/>
  <c r="E2312" i="1"/>
  <c r="G2312" i="1"/>
  <c r="J2312" i="1"/>
  <c r="K2312" i="1"/>
  <c r="BE2312" i="1"/>
  <c r="BF2312" i="1"/>
  <c r="BG2312" i="1"/>
  <c r="E6341" i="1"/>
  <c r="G6341" i="1"/>
  <c r="J6341" i="1"/>
  <c r="K6341" i="1"/>
  <c r="BE6341" i="1"/>
  <c r="BF6341" i="1"/>
  <c r="BG6341" i="1"/>
  <c r="E6342" i="1"/>
  <c r="G6342" i="1"/>
  <c r="J6342" i="1"/>
  <c r="K6342" i="1"/>
  <c r="BE6342" i="1"/>
  <c r="BF6342" i="1"/>
  <c r="BG6342" i="1"/>
  <c r="E969" i="1"/>
  <c r="G969" i="1"/>
  <c r="J969" i="1"/>
  <c r="K969" i="1"/>
  <c r="BE969" i="1"/>
  <c r="BF969" i="1"/>
  <c r="BG969" i="1"/>
  <c r="E2313" i="1"/>
  <c r="G2313" i="1"/>
  <c r="J2313" i="1"/>
  <c r="K2313" i="1"/>
  <c r="BE2313" i="1"/>
  <c r="BF2313" i="1"/>
  <c r="BG2313" i="1"/>
  <c r="E6343" i="1"/>
  <c r="G6343" i="1"/>
  <c r="J6343" i="1"/>
  <c r="K6343" i="1"/>
  <c r="BE6343" i="1"/>
  <c r="BF6343" i="1"/>
  <c r="BG6343" i="1"/>
  <c r="E6344" i="1"/>
  <c r="G6344" i="1"/>
  <c r="J6344" i="1"/>
  <c r="K6344" i="1"/>
  <c r="BE6344" i="1"/>
  <c r="BF6344" i="1"/>
  <c r="BG6344" i="1"/>
  <c r="E4282" i="1"/>
  <c r="G4282" i="1"/>
  <c r="J4282" i="1"/>
  <c r="K4282" i="1"/>
  <c r="BE4282" i="1"/>
  <c r="BF4282" i="1"/>
  <c r="BG4282" i="1"/>
  <c r="E6620" i="1"/>
  <c r="G6620" i="1"/>
  <c r="J6620" i="1"/>
  <c r="K6620" i="1"/>
  <c r="BE6620" i="1"/>
  <c r="BF6620" i="1"/>
  <c r="BG6620" i="1"/>
  <c r="E970" i="1"/>
  <c r="G970" i="1"/>
  <c r="J970" i="1"/>
  <c r="K970" i="1"/>
  <c r="BE970" i="1"/>
  <c r="BF970" i="1"/>
  <c r="BG970" i="1"/>
  <c r="E6345" i="1"/>
  <c r="G6345" i="1"/>
  <c r="J6345" i="1"/>
  <c r="K6345" i="1"/>
  <c r="BE6345" i="1"/>
  <c r="BF6345" i="1"/>
  <c r="BG6345" i="1"/>
  <c r="E6346" i="1"/>
  <c r="G6346" i="1"/>
  <c r="J6346" i="1"/>
  <c r="K6346" i="1"/>
  <c r="BE6346" i="1"/>
  <c r="BF6346" i="1"/>
  <c r="BG6346" i="1"/>
  <c r="E6347" i="1"/>
  <c r="G6347" i="1"/>
  <c r="J6347" i="1"/>
  <c r="K6347" i="1"/>
  <c r="BE6347" i="1"/>
  <c r="BF6347" i="1"/>
  <c r="BG6347" i="1"/>
  <c r="E6348" i="1"/>
  <c r="G6348" i="1"/>
  <c r="J6348" i="1"/>
  <c r="K6348" i="1"/>
  <c r="BE6348" i="1"/>
  <c r="BF6348" i="1"/>
  <c r="BG6348" i="1"/>
  <c r="E2314" i="1"/>
  <c r="G2314" i="1"/>
  <c r="J2314" i="1"/>
  <c r="K2314" i="1"/>
  <c r="BE2314" i="1"/>
  <c r="BF2314" i="1"/>
  <c r="BG2314" i="1"/>
  <c r="E6349" i="1"/>
  <c r="G6349" i="1"/>
  <c r="J6349" i="1"/>
  <c r="K6349" i="1"/>
  <c r="BE6349" i="1"/>
  <c r="BF6349" i="1"/>
  <c r="BG6349" i="1"/>
  <c r="E6350" i="1"/>
  <c r="G6350" i="1"/>
  <c r="J6350" i="1"/>
  <c r="K6350" i="1"/>
  <c r="BE6350" i="1"/>
  <c r="BF6350" i="1"/>
  <c r="BG6350" i="1"/>
  <c r="E971" i="1"/>
  <c r="G971" i="1"/>
  <c r="J971" i="1"/>
  <c r="K971" i="1"/>
  <c r="BE971" i="1"/>
  <c r="BF971" i="1"/>
  <c r="BG971" i="1"/>
  <c r="E736" i="1"/>
  <c r="G736" i="1"/>
  <c r="J736" i="1"/>
  <c r="K736" i="1"/>
  <c r="BE736" i="1"/>
  <c r="BF736" i="1"/>
  <c r="BG736" i="1"/>
  <c r="E6351" i="1"/>
  <c r="G6351" i="1"/>
  <c r="J6351" i="1"/>
  <c r="K6351" i="1"/>
  <c r="BE6351" i="1"/>
  <c r="BF6351" i="1"/>
  <c r="BG6351" i="1"/>
  <c r="E6352" i="1"/>
  <c r="G6352" i="1"/>
  <c r="J6352" i="1"/>
  <c r="K6352" i="1"/>
  <c r="BE6352" i="1"/>
  <c r="BF6352" i="1"/>
  <c r="BG6352" i="1"/>
  <c r="E2315" i="1"/>
  <c r="G2315" i="1"/>
  <c r="J2315" i="1"/>
  <c r="K2315" i="1"/>
  <c r="BE2315" i="1"/>
  <c r="BF2315" i="1"/>
  <c r="BG2315" i="1"/>
  <c r="E6721" i="1"/>
  <c r="G6721" i="1"/>
  <c r="J6721" i="1"/>
  <c r="K6721" i="1"/>
  <c r="BE6721" i="1"/>
  <c r="BF6721" i="1"/>
  <c r="BG6721" i="1"/>
  <c r="E6353" i="1"/>
  <c r="G6353" i="1"/>
  <c r="J6353" i="1"/>
  <c r="K6353" i="1"/>
  <c r="BE6353" i="1"/>
  <c r="BF6353" i="1"/>
  <c r="BG6353" i="1"/>
  <c r="E771" i="1"/>
  <c r="G771" i="1"/>
  <c r="J771" i="1"/>
  <c r="K771" i="1"/>
  <c r="BE771" i="1"/>
  <c r="BF771" i="1"/>
  <c r="BG771" i="1"/>
  <c r="E772" i="1"/>
  <c r="G772" i="1"/>
  <c r="J772" i="1"/>
  <c r="K772" i="1"/>
  <c r="BE772" i="1"/>
  <c r="BF772" i="1"/>
  <c r="BG772" i="1"/>
  <c r="E773" i="1"/>
  <c r="G773" i="1"/>
  <c r="J773" i="1"/>
  <c r="K773" i="1"/>
  <c r="BE773" i="1"/>
  <c r="BF773" i="1"/>
  <c r="BG773" i="1"/>
  <c r="E774" i="1"/>
  <c r="G774" i="1"/>
  <c r="J774" i="1"/>
  <c r="K774" i="1"/>
  <c r="BE774" i="1"/>
  <c r="BF774" i="1"/>
  <c r="BG774" i="1"/>
  <c r="E6722" i="1"/>
  <c r="G6722" i="1"/>
  <c r="J6722" i="1"/>
  <c r="K6722" i="1"/>
  <c r="BE6722" i="1"/>
  <c r="BF6722" i="1"/>
  <c r="BG6722" i="1"/>
  <c r="E4098" i="1"/>
  <c r="G4098" i="1"/>
  <c r="J4098" i="1"/>
  <c r="K4098" i="1"/>
  <c r="BE4098" i="1"/>
  <c r="BF4098" i="1"/>
  <c r="BG4098" i="1"/>
  <c r="E6354" i="1"/>
  <c r="G6354" i="1"/>
  <c r="J6354" i="1"/>
  <c r="K6354" i="1"/>
  <c r="BE6354" i="1"/>
  <c r="BF6354" i="1"/>
  <c r="BG6354" i="1"/>
  <c r="E972" i="1"/>
  <c r="G972" i="1"/>
  <c r="J972" i="1"/>
  <c r="K972" i="1"/>
  <c r="BE972" i="1"/>
  <c r="BF972" i="1"/>
  <c r="BG972" i="1"/>
  <c r="E6723" i="1"/>
  <c r="G6723" i="1"/>
  <c r="J6723" i="1"/>
  <c r="K6723" i="1"/>
  <c r="BE6723" i="1"/>
  <c r="BF6723" i="1"/>
  <c r="BG6723" i="1"/>
  <c r="E6355" i="1"/>
  <c r="G6355" i="1"/>
  <c r="J6355" i="1"/>
  <c r="K6355" i="1"/>
  <c r="BE6355" i="1"/>
  <c r="BF6355" i="1"/>
  <c r="BG6355" i="1"/>
  <c r="E4283" i="1"/>
  <c r="G4283" i="1"/>
  <c r="J4283" i="1"/>
  <c r="K4283" i="1"/>
  <c r="BE4283" i="1"/>
  <c r="BF4283" i="1"/>
  <c r="BG4283" i="1"/>
  <c r="E6356" i="1"/>
  <c r="G6356" i="1"/>
  <c r="J6356" i="1"/>
  <c r="K6356" i="1"/>
  <c r="BE6356" i="1"/>
  <c r="BF6356" i="1"/>
  <c r="BG6356" i="1"/>
  <c r="E2316" i="1"/>
  <c r="G2316" i="1"/>
  <c r="J2316" i="1"/>
  <c r="K2316" i="1"/>
  <c r="BE2316" i="1"/>
  <c r="BF2316" i="1"/>
  <c r="BG2316" i="1"/>
  <c r="E6357" i="1"/>
  <c r="G6357" i="1"/>
  <c r="J6357" i="1"/>
  <c r="K6357" i="1"/>
  <c r="BE6357" i="1"/>
  <c r="BF6357" i="1"/>
  <c r="BG6357" i="1"/>
  <c r="E6358" i="1"/>
  <c r="G6358" i="1"/>
  <c r="J6358" i="1"/>
  <c r="K6358" i="1"/>
  <c r="BE6358" i="1"/>
  <c r="BF6358" i="1"/>
  <c r="BG6358" i="1"/>
  <c r="E6359" i="1"/>
  <c r="G6359" i="1"/>
  <c r="J6359" i="1"/>
  <c r="K6359" i="1"/>
  <c r="BE6359" i="1"/>
  <c r="BF6359" i="1"/>
  <c r="BG6359" i="1"/>
  <c r="E69" i="1"/>
  <c r="G69" i="1"/>
  <c r="J69" i="1"/>
  <c r="K69" i="1"/>
  <c r="BE69" i="1"/>
  <c r="BF69" i="1"/>
  <c r="BG69" i="1"/>
  <c r="E2317" i="1"/>
  <c r="G2317" i="1"/>
  <c r="J2317" i="1"/>
  <c r="K2317" i="1"/>
  <c r="BE2317" i="1"/>
  <c r="BF2317" i="1"/>
  <c r="BG2317" i="1"/>
  <c r="E973" i="1"/>
  <c r="G973" i="1"/>
  <c r="J973" i="1"/>
  <c r="K973" i="1"/>
  <c r="BE973" i="1"/>
  <c r="BF973" i="1"/>
  <c r="BG973" i="1"/>
  <c r="E504" i="1"/>
  <c r="G504" i="1"/>
  <c r="J504" i="1"/>
  <c r="K504" i="1"/>
  <c r="BE504" i="1"/>
  <c r="BF504" i="1"/>
  <c r="BG504" i="1"/>
  <c r="E675" i="1"/>
  <c r="G675" i="1"/>
  <c r="J675" i="1"/>
  <c r="K675" i="1"/>
  <c r="BE675" i="1"/>
  <c r="BF675" i="1"/>
  <c r="BG675" i="1"/>
  <c r="BH675" i="1"/>
  <c r="E6360" i="1"/>
  <c r="G6360" i="1"/>
  <c r="J6360" i="1"/>
  <c r="K6360" i="1"/>
  <c r="BE6360" i="1"/>
  <c r="BF6360" i="1"/>
  <c r="BG6360" i="1"/>
  <c r="E274" i="1"/>
  <c r="G274" i="1"/>
  <c r="J274" i="1"/>
  <c r="K274" i="1"/>
  <c r="BE274" i="1"/>
  <c r="BF274" i="1"/>
  <c r="BG274" i="1"/>
  <c r="E6724" i="1"/>
  <c r="G6724" i="1"/>
  <c r="J6724" i="1"/>
  <c r="K6724" i="1"/>
  <c r="BE6724" i="1"/>
  <c r="BF6724" i="1"/>
  <c r="BG6724" i="1"/>
  <c r="E6361" i="1"/>
  <c r="G6361" i="1"/>
  <c r="J6361" i="1"/>
  <c r="K6361" i="1"/>
  <c r="BE6361" i="1"/>
  <c r="BF6361" i="1"/>
  <c r="BG6361" i="1"/>
  <c r="E631" i="1"/>
  <c r="G631" i="1"/>
  <c r="J631" i="1"/>
  <c r="K631" i="1"/>
  <c r="BC631" i="1"/>
  <c r="BE631" i="1"/>
  <c r="BF631" i="1"/>
  <c r="BG631" i="1"/>
  <c r="E6362" i="1"/>
  <c r="G6362" i="1"/>
  <c r="J6362" i="1"/>
  <c r="K6362" i="1"/>
  <c r="BE6362" i="1"/>
  <c r="BF6362" i="1"/>
  <c r="BG6362" i="1"/>
  <c r="E6643" i="1"/>
  <c r="G6643" i="1"/>
  <c r="J6643" i="1"/>
  <c r="K6643" i="1"/>
  <c r="BE6643" i="1"/>
  <c r="BF6643" i="1"/>
  <c r="BG6643" i="1"/>
  <c r="E6644" i="1"/>
  <c r="G6644" i="1"/>
  <c r="J6644" i="1"/>
  <c r="K6644" i="1"/>
  <c r="BE6644" i="1"/>
  <c r="BF6644" i="1"/>
  <c r="BG6644" i="1"/>
  <c r="E6725" i="1"/>
  <c r="G6725" i="1"/>
  <c r="J6725" i="1"/>
  <c r="K6725" i="1"/>
  <c r="BE6725" i="1"/>
  <c r="BF6725" i="1"/>
  <c r="BG6725" i="1"/>
  <c r="E974" i="1"/>
  <c r="G974" i="1"/>
  <c r="J974" i="1"/>
  <c r="K974" i="1"/>
  <c r="BE974" i="1"/>
  <c r="BF974" i="1"/>
  <c r="BG974" i="1"/>
  <c r="E4284" i="1"/>
  <c r="G4284" i="1"/>
  <c r="J4284" i="1"/>
  <c r="K4284" i="1"/>
  <c r="BE4284" i="1"/>
  <c r="BF4284" i="1"/>
  <c r="BG4284" i="1"/>
  <c r="E6363" i="1"/>
  <c r="G6363" i="1"/>
  <c r="J6363" i="1"/>
  <c r="K6363" i="1"/>
  <c r="BE6363" i="1"/>
  <c r="BF6363" i="1"/>
  <c r="BG6363" i="1"/>
  <c r="E6364" i="1"/>
  <c r="G6364" i="1"/>
  <c r="J6364" i="1"/>
  <c r="K6364" i="1"/>
  <c r="BE6364" i="1"/>
  <c r="BF6364" i="1"/>
  <c r="BG6364" i="1"/>
  <c r="E6365" i="1"/>
  <c r="G6365" i="1"/>
  <c r="J6365" i="1"/>
  <c r="K6365" i="1"/>
  <c r="BE6365" i="1"/>
  <c r="BF6365" i="1"/>
  <c r="BG6365" i="1"/>
  <c r="E6366" i="1"/>
  <c r="G6366" i="1"/>
  <c r="J6366" i="1"/>
  <c r="K6366" i="1"/>
  <c r="BE6366" i="1"/>
  <c r="BF6366" i="1"/>
  <c r="BG6366" i="1"/>
  <c r="E6367" i="1"/>
  <c r="G6367" i="1"/>
  <c r="J6367" i="1"/>
  <c r="K6367" i="1"/>
  <c r="BE6367" i="1"/>
  <c r="BF6367" i="1"/>
  <c r="BG6367" i="1"/>
  <c r="E975" i="1"/>
  <c r="G975" i="1"/>
  <c r="J975" i="1"/>
  <c r="K975" i="1"/>
  <c r="BE975" i="1"/>
  <c r="BF975" i="1"/>
  <c r="BG975" i="1"/>
  <c r="E3639" i="1"/>
  <c r="G3639" i="1"/>
  <c r="J3639" i="1"/>
  <c r="K3639" i="1"/>
  <c r="BE3639" i="1"/>
  <c r="BF3639" i="1"/>
  <c r="BG3639" i="1"/>
  <c r="E6368" i="1"/>
  <c r="G6368" i="1"/>
  <c r="J6368" i="1"/>
  <c r="K6368" i="1"/>
  <c r="BE6368" i="1"/>
  <c r="BF6368" i="1"/>
  <c r="BG6368" i="1"/>
  <c r="E6726" i="1"/>
  <c r="G6726" i="1"/>
  <c r="J6726" i="1"/>
  <c r="K6726" i="1"/>
  <c r="BE6726" i="1"/>
  <c r="BF6726" i="1"/>
  <c r="BG6726" i="1"/>
  <c r="E6727" i="1"/>
  <c r="G6727" i="1"/>
  <c r="J6727" i="1"/>
  <c r="K6727" i="1"/>
  <c r="BE6727" i="1"/>
  <c r="BF6727" i="1"/>
  <c r="BG6727" i="1"/>
  <c r="E976" i="1"/>
  <c r="G976" i="1"/>
  <c r="J976" i="1"/>
  <c r="K976" i="1"/>
  <c r="BE976" i="1"/>
  <c r="BF976" i="1"/>
  <c r="BG976" i="1"/>
  <c r="E4285" i="1"/>
  <c r="G4285" i="1"/>
  <c r="J4285" i="1"/>
  <c r="K4285" i="1"/>
  <c r="BE4285" i="1"/>
  <c r="BF4285" i="1"/>
  <c r="BG4285" i="1"/>
  <c r="E6645" i="1"/>
  <c r="G6645" i="1"/>
  <c r="J6645" i="1"/>
  <c r="K6645" i="1"/>
  <c r="BE6645" i="1"/>
  <c r="BF6645" i="1"/>
  <c r="BG6645" i="1"/>
  <c r="E6031" i="1"/>
  <c r="G6031" i="1"/>
  <c r="J6031" i="1"/>
  <c r="K6031" i="1"/>
  <c r="BE6031" i="1"/>
  <c r="BF6031" i="1"/>
  <c r="BG6031" i="1"/>
  <c r="E6032" i="1"/>
  <c r="G6032" i="1"/>
  <c r="J6032" i="1"/>
  <c r="K6032" i="1"/>
  <c r="BE6032" i="1"/>
  <c r="BF6032" i="1"/>
  <c r="BG6032" i="1"/>
  <c r="E6033" i="1"/>
  <c r="G6033" i="1"/>
  <c r="J6033" i="1"/>
  <c r="K6033" i="1"/>
  <c r="BE6033" i="1"/>
  <c r="BF6033" i="1"/>
  <c r="BG6033" i="1"/>
  <c r="E6034" i="1"/>
  <c r="G6034" i="1"/>
  <c r="J6034" i="1"/>
  <c r="K6034" i="1"/>
  <c r="BE6034" i="1"/>
  <c r="BF6034" i="1"/>
  <c r="BG6034" i="1"/>
  <c r="E6035" i="1"/>
  <c r="G6035" i="1"/>
  <c r="J6035" i="1"/>
  <c r="K6035" i="1"/>
  <c r="BE6035" i="1"/>
  <c r="BF6035" i="1"/>
  <c r="BG6035" i="1"/>
  <c r="E6036" i="1"/>
  <c r="G6036" i="1"/>
  <c r="J6036" i="1"/>
  <c r="K6036" i="1"/>
  <c r="BE6036" i="1"/>
  <c r="BF6036" i="1"/>
  <c r="BG6036" i="1"/>
  <c r="E6037" i="1"/>
  <c r="G6037" i="1"/>
  <c r="J6037" i="1"/>
  <c r="K6037" i="1"/>
  <c r="BE6037" i="1"/>
  <c r="BF6037" i="1"/>
  <c r="BG6037" i="1"/>
  <c r="E6038" i="1"/>
  <c r="G6038" i="1"/>
  <c r="J6038" i="1"/>
  <c r="K6038" i="1"/>
  <c r="BE6038" i="1"/>
  <c r="BF6038" i="1"/>
  <c r="BG6038" i="1"/>
  <c r="E6039" i="1"/>
  <c r="G6039" i="1"/>
  <c r="J6039" i="1"/>
  <c r="K6039" i="1"/>
  <c r="BE6039" i="1"/>
  <c r="BF6039" i="1"/>
  <c r="BG6039" i="1"/>
  <c r="E6040" i="1"/>
  <c r="G6040" i="1"/>
  <c r="J6040" i="1"/>
  <c r="K6040" i="1"/>
  <c r="BE6040" i="1"/>
  <c r="BF6040" i="1"/>
  <c r="BG6040" i="1"/>
  <c r="E6041" i="1"/>
  <c r="G6041" i="1"/>
  <c r="J6041" i="1"/>
  <c r="K6041" i="1"/>
  <c r="BE6041" i="1"/>
  <c r="BF6041" i="1"/>
  <c r="BG6041" i="1"/>
  <c r="E6042" i="1"/>
  <c r="G6042" i="1"/>
  <c r="J6042" i="1"/>
  <c r="K6042" i="1"/>
  <c r="BE6042" i="1"/>
  <c r="BF6042" i="1"/>
  <c r="BG6042" i="1"/>
  <c r="E6043" i="1"/>
  <c r="G6043" i="1"/>
  <c r="J6043" i="1"/>
  <c r="K6043" i="1"/>
  <c r="BE6043" i="1"/>
  <c r="BF6043" i="1"/>
  <c r="BG6043" i="1"/>
  <c r="E6044" i="1"/>
  <c r="G6044" i="1"/>
  <c r="J6044" i="1"/>
  <c r="K6044" i="1"/>
  <c r="BE6044" i="1"/>
  <c r="BF6044" i="1"/>
  <c r="BG6044" i="1"/>
  <c r="E6045" i="1"/>
  <c r="G6045" i="1"/>
  <c r="J6045" i="1"/>
  <c r="K6045" i="1"/>
  <c r="BE6045" i="1"/>
  <c r="BF6045" i="1"/>
  <c r="BG6045" i="1"/>
  <c r="E6046" i="1"/>
  <c r="G6046" i="1"/>
  <c r="J6046" i="1"/>
  <c r="K6046" i="1"/>
  <c r="BE6046" i="1"/>
  <c r="BF6046" i="1"/>
  <c r="BG6046" i="1"/>
  <c r="E6047" i="1"/>
  <c r="G6047" i="1"/>
  <c r="J6047" i="1"/>
  <c r="K6047" i="1"/>
  <c r="BE6047" i="1"/>
  <c r="BF6047" i="1"/>
  <c r="BG6047" i="1"/>
  <c r="E6048" i="1"/>
  <c r="G6048" i="1"/>
  <c r="J6048" i="1"/>
  <c r="K6048" i="1"/>
  <c r="BE6048" i="1"/>
  <c r="BF6048" i="1"/>
  <c r="BG6048" i="1"/>
  <c r="E6049" i="1"/>
  <c r="G6049" i="1"/>
  <c r="J6049" i="1"/>
  <c r="K6049" i="1"/>
  <c r="BE6049" i="1"/>
  <c r="BF6049" i="1"/>
  <c r="BG6049" i="1"/>
  <c r="E6050" i="1"/>
  <c r="G6050" i="1"/>
  <c r="J6050" i="1"/>
  <c r="K6050" i="1"/>
  <c r="BE6050" i="1"/>
  <c r="BF6050" i="1"/>
  <c r="BG6050" i="1"/>
  <c r="E6051" i="1"/>
  <c r="G6051" i="1"/>
  <c r="J6051" i="1"/>
  <c r="K6051" i="1"/>
  <c r="BE6051" i="1"/>
  <c r="BF6051" i="1"/>
  <c r="BG6051" i="1"/>
  <c r="E977" i="1"/>
  <c r="G977" i="1"/>
  <c r="J977" i="1"/>
  <c r="K977" i="1"/>
  <c r="BE977" i="1"/>
  <c r="BF977" i="1"/>
  <c r="BG977" i="1"/>
  <c r="E6369" i="1"/>
  <c r="G6369" i="1"/>
  <c r="J6369" i="1"/>
  <c r="K6369" i="1"/>
  <c r="BE6369" i="1"/>
  <c r="BF6369" i="1"/>
  <c r="BG6369" i="1"/>
  <c r="E6646" i="1"/>
  <c r="G6646" i="1"/>
  <c r="J6646" i="1"/>
  <c r="K6646" i="1"/>
  <c r="BE6646" i="1"/>
  <c r="BF6646" i="1"/>
  <c r="BG6646" i="1"/>
  <c r="E6728" i="1"/>
  <c r="G6728" i="1"/>
  <c r="J6728" i="1"/>
  <c r="K6728" i="1"/>
  <c r="BE6728" i="1"/>
  <c r="BF6728" i="1"/>
  <c r="BG6728" i="1"/>
  <c r="E240" i="1"/>
  <c r="G240" i="1"/>
  <c r="J240" i="1"/>
  <c r="K240" i="1"/>
  <c r="BE240" i="1"/>
  <c r="BF240" i="1"/>
  <c r="BG240" i="1"/>
  <c r="E6024" i="1"/>
  <c r="G6024" i="1"/>
  <c r="J6024" i="1"/>
  <c r="K6024" i="1"/>
  <c r="BE6024" i="1"/>
  <c r="BG6024" i="1"/>
  <c r="E978" i="1"/>
  <c r="G978" i="1"/>
  <c r="J978" i="1"/>
  <c r="K978" i="1"/>
  <c r="BE978" i="1"/>
  <c r="BF978" i="1"/>
  <c r="BG978" i="1"/>
  <c r="E4286" i="1"/>
  <c r="G4286" i="1"/>
  <c r="J4286" i="1"/>
  <c r="K4286" i="1"/>
  <c r="BE4286" i="1"/>
  <c r="BF4286" i="1"/>
  <c r="BG4286" i="1"/>
  <c r="E6370" i="1"/>
  <c r="G6370" i="1"/>
  <c r="J6370" i="1"/>
  <c r="K6370" i="1"/>
  <c r="BE6370" i="1"/>
  <c r="BF6370" i="1"/>
  <c r="BG6370" i="1"/>
  <c r="E6371" i="1"/>
  <c r="G6371" i="1"/>
  <c r="J6371" i="1"/>
  <c r="K6371" i="1"/>
  <c r="BE6371" i="1"/>
  <c r="BF6371" i="1"/>
  <c r="BG6371" i="1"/>
  <c r="E41" i="1"/>
  <c r="G41" i="1"/>
  <c r="J41" i="1"/>
  <c r="K41" i="1"/>
  <c r="BF41" i="1"/>
  <c r="BG41" i="1"/>
  <c r="E979" i="1"/>
  <c r="G979" i="1"/>
  <c r="J979" i="1"/>
  <c r="K979" i="1"/>
  <c r="BE979" i="1"/>
  <c r="BF979" i="1"/>
  <c r="BG979" i="1"/>
  <c r="E6372" i="1"/>
  <c r="G6372" i="1"/>
  <c r="J6372" i="1"/>
  <c r="K6372" i="1"/>
  <c r="BE6372" i="1"/>
  <c r="BF6372" i="1"/>
  <c r="BG6372" i="1"/>
  <c r="E6729" i="1"/>
  <c r="G6729" i="1"/>
  <c r="J6729" i="1"/>
  <c r="K6729" i="1"/>
  <c r="BE6729" i="1"/>
  <c r="BF6729" i="1"/>
  <c r="BG6729" i="1"/>
  <c r="E980" i="1"/>
  <c r="G980" i="1"/>
  <c r="J980" i="1"/>
  <c r="K980" i="1"/>
  <c r="BE980" i="1"/>
  <c r="BF980" i="1"/>
  <c r="BG980" i="1"/>
  <c r="E1240" i="1"/>
  <c r="G1240" i="1"/>
  <c r="J1240" i="1"/>
  <c r="K1240" i="1"/>
  <c r="BE1240" i="1"/>
  <c r="BF1240" i="1"/>
  <c r="BG1240" i="1"/>
  <c r="E4287" i="1"/>
  <c r="G4287" i="1"/>
  <c r="J4287" i="1"/>
  <c r="K4287" i="1"/>
  <c r="BE4287" i="1"/>
  <c r="BF4287" i="1"/>
  <c r="BG4287" i="1"/>
  <c r="E1241" i="1"/>
  <c r="G1241" i="1"/>
  <c r="J1241" i="1"/>
  <c r="K1241" i="1"/>
  <c r="BE1241" i="1"/>
  <c r="BF1241" i="1"/>
  <c r="BG1241" i="1"/>
  <c r="E6373" i="1"/>
  <c r="G6373" i="1"/>
  <c r="J6373" i="1"/>
  <c r="K6373" i="1"/>
  <c r="BE6373" i="1"/>
  <c r="BF6373" i="1"/>
  <c r="BG6373" i="1"/>
  <c r="E676" i="1"/>
  <c r="G676" i="1"/>
  <c r="J676" i="1"/>
  <c r="K676" i="1"/>
  <c r="BE676" i="1"/>
  <c r="BF676" i="1"/>
  <c r="BG676" i="1"/>
  <c r="BH676" i="1"/>
  <c r="E6730" i="1"/>
  <c r="G6730" i="1"/>
  <c r="J6730" i="1"/>
  <c r="K6730" i="1"/>
  <c r="BE6730" i="1"/>
  <c r="BF6730" i="1"/>
  <c r="BG6730" i="1"/>
  <c r="E981" i="1"/>
  <c r="G981" i="1"/>
  <c r="J981" i="1"/>
  <c r="K981" i="1"/>
  <c r="BE981" i="1"/>
  <c r="BF981" i="1"/>
  <c r="BG981" i="1"/>
  <c r="E6374" i="1"/>
  <c r="G6374" i="1"/>
  <c r="J6374" i="1"/>
  <c r="K6374" i="1"/>
  <c r="BE6374" i="1"/>
  <c r="BF6374" i="1"/>
  <c r="BG6374" i="1"/>
  <c r="E3700" i="1"/>
  <c r="G3700" i="1"/>
  <c r="J3700" i="1"/>
  <c r="K3700" i="1"/>
  <c r="BE3700" i="1"/>
  <c r="BF3700" i="1"/>
  <c r="BG3700" i="1"/>
  <c r="E2089" i="1"/>
  <c r="G2089" i="1"/>
  <c r="J2089" i="1"/>
  <c r="K2089" i="1"/>
  <c r="BF2089" i="1"/>
  <c r="BG2089" i="1"/>
  <c r="E4585" i="1"/>
  <c r="G4585" i="1"/>
  <c r="J4585" i="1"/>
  <c r="K4585" i="1"/>
  <c r="BE4585" i="1"/>
  <c r="BF4585" i="1"/>
  <c r="BG4585" i="1"/>
  <c r="E2090" i="1"/>
  <c r="G2090" i="1"/>
  <c r="J2090" i="1"/>
  <c r="K2090" i="1"/>
  <c r="BF2090" i="1"/>
  <c r="BG2090" i="1"/>
  <c r="E856" i="1"/>
  <c r="G856" i="1"/>
  <c r="J856" i="1"/>
  <c r="K856" i="1"/>
  <c r="BE856" i="1"/>
  <c r="BF856" i="1"/>
  <c r="BG856" i="1"/>
  <c r="E2091" i="1"/>
  <c r="G2091" i="1"/>
  <c r="J2091" i="1"/>
  <c r="K2091" i="1"/>
  <c r="BF2091" i="1"/>
  <c r="BG2091" i="1"/>
  <c r="E2092" i="1"/>
  <c r="G2092" i="1"/>
  <c r="J2092" i="1"/>
  <c r="K2092" i="1"/>
  <c r="BF2092" i="1"/>
  <c r="BG2092" i="1"/>
  <c r="E2093" i="1"/>
  <c r="G2093" i="1"/>
  <c r="J2093" i="1"/>
  <c r="K2093" i="1"/>
  <c r="BF2093" i="1"/>
  <c r="BG2093" i="1"/>
  <c r="E6375" i="1"/>
  <c r="G6375" i="1"/>
  <c r="J6375" i="1"/>
  <c r="K6375" i="1"/>
  <c r="BE6375" i="1"/>
  <c r="BF6375" i="1"/>
  <c r="BG6375" i="1"/>
  <c r="E1827" i="1"/>
  <c r="G1827" i="1"/>
  <c r="J1827" i="1"/>
  <c r="K1827" i="1"/>
  <c r="BF1827" i="1"/>
  <c r="BG1827" i="1"/>
  <c r="E674" i="1"/>
  <c r="G674" i="1"/>
  <c r="J674" i="1"/>
  <c r="K674" i="1"/>
  <c r="BE674" i="1"/>
  <c r="BF674" i="1"/>
  <c r="BG674" i="1"/>
  <c r="E2094" i="1"/>
  <c r="G2094" i="1"/>
  <c r="J2094" i="1"/>
  <c r="K2094" i="1"/>
  <c r="BF2094" i="1"/>
  <c r="BG2094" i="1"/>
  <c r="E2095" i="1"/>
  <c r="G2095" i="1"/>
  <c r="J2095" i="1"/>
  <c r="K2095" i="1"/>
  <c r="BF2095" i="1"/>
  <c r="BG2095" i="1"/>
  <c r="E2096" i="1"/>
  <c r="G2096" i="1"/>
  <c r="J2096" i="1"/>
  <c r="K2096" i="1"/>
  <c r="BF2096" i="1"/>
  <c r="BG2096" i="1"/>
  <c r="E2097" i="1"/>
  <c r="G2097" i="1"/>
  <c r="J2097" i="1"/>
  <c r="K2097" i="1"/>
  <c r="BF2097" i="1"/>
  <c r="BG2097" i="1"/>
  <c r="E97" i="1"/>
  <c r="G97" i="1"/>
  <c r="J97" i="1"/>
  <c r="K97" i="1"/>
  <c r="BE97" i="1"/>
  <c r="BF97" i="1"/>
  <c r="BG97" i="1"/>
  <c r="E98" i="1"/>
  <c r="G98" i="1"/>
  <c r="J98" i="1"/>
  <c r="K98" i="1"/>
  <c r="BE98" i="1"/>
  <c r="BF98" i="1"/>
  <c r="BG98" i="1"/>
  <c r="E2905" i="1"/>
  <c r="G2905" i="1"/>
  <c r="J2905" i="1"/>
  <c r="K2905" i="1"/>
  <c r="BE2905" i="1"/>
  <c r="BF2905" i="1"/>
  <c r="BG2905" i="1"/>
  <c r="E3640" i="1"/>
  <c r="G3640" i="1"/>
  <c r="J3640" i="1"/>
  <c r="K3640" i="1"/>
  <c r="BE3640" i="1"/>
  <c r="BF3640" i="1"/>
  <c r="BG3640" i="1"/>
  <c r="E99" i="1"/>
  <c r="G99" i="1"/>
  <c r="J99" i="1"/>
  <c r="K99" i="1"/>
  <c r="BE99" i="1"/>
  <c r="BF99" i="1"/>
  <c r="BG99" i="1"/>
  <c r="E6376" i="1"/>
  <c r="G6376" i="1"/>
  <c r="J6376" i="1"/>
  <c r="K6376" i="1"/>
  <c r="BE6376" i="1"/>
  <c r="BF6376" i="1"/>
  <c r="BG6376" i="1"/>
  <c r="E2098" i="1"/>
  <c r="G2098" i="1"/>
  <c r="J2098" i="1"/>
  <c r="K2098" i="1"/>
  <c r="BF2098" i="1"/>
  <c r="BG2098" i="1"/>
  <c r="E2099" i="1"/>
  <c r="G2099" i="1"/>
  <c r="J2099" i="1"/>
  <c r="K2099" i="1"/>
  <c r="BF2099" i="1"/>
  <c r="BG2099" i="1"/>
  <c r="E4586" i="1"/>
  <c r="G4586" i="1"/>
  <c r="J4586" i="1"/>
  <c r="K4586" i="1"/>
  <c r="BE4586" i="1"/>
  <c r="BF4586" i="1"/>
  <c r="BG4586" i="1"/>
  <c r="E6731" i="1"/>
  <c r="G6731" i="1"/>
  <c r="J6731" i="1"/>
  <c r="K6731" i="1"/>
  <c r="BE6731" i="1"/>
  <c r="BF6731" i="1"/>
  <c r="BG6731" i="1"/>
  <c r="E417" i="1"/>
  <c r="G417" i="1"/>
  <c r="J417" i="1"/>
  <c r="K417" i="1"/>
  <c r="BE417" i="1"/>
  <c r="BF417" i="1"/>
  <c r="BG417" i="1"/>
  <c r="E2100" i="1"/>
  <c r="G2100" i="1"/>
  <c r="J2100" i="1"/>
  <c r="K2100" i="1"/>
  <c r="BF2100" i="1"/>
  <c r="BG2100" i="1"/>
  <c r="E2101" i="1"/>
  <c r="G2101" i="1"/>
  <c r="J2101" i="1"/>
  <c r="K2101" i="1"/>
  <c r="BF2101" i="1"/>
  <c r="BG2101" i="1"/>
  <c r="E2102" i="1"/>
  <c r="G2102" i="1"/>
  <c r="J2102" i="1"/>
  <c r="K2102" i="1"/>
  <c r="BF2102" i="1"/>
  <c r="BG2102" i="1"/>
  <c r="E2103" i="1"/>
  <c r="G2103" i="1"/>
  <c r="J2103" i="1"/>
  <c r="K2103" i="1"/>
  <c r="BF2103" i="1"/>
  <c r="BG2103" i="1"/>
  <c r="E6377" i="1"/>
  <c r="G6377" i="1"/>
  <c r="J6377" i="1"/>
  <c r="K6377" i="1"/>
  <c r="BE6377" i="1"/>
  <c r="BF6377" i="1"/>
  <c r="BG6377" i="1"/>
  <c r="E2906" i="1"/>
  <c r="G2906" i="1"/>
  <c r="J2906" i="1"/>
  <c r="K2906" i="1"/>
  <c r="BE2906" i="1"/>
  <c r="BF2906" i="1"/>
  <c r="BG2906" i="1"/>
  <c r="E6378" i="1"/>
  <c r="G6378" i="1"/>
  <c r="J6378" i="1"/>
  <c r="K6378" i="1"/>
  <c r="BE6378" i="1"/>
  <c r="BF6378" i="1"/>
  <c r="BG6378" i="1"/>
  <c r="E2104" i="1"/>
  <c r="G2104" i="1"/>
  <c r="J2104" i="1"/>
  <c r="K2104" i="1"/>
  <c r="BF2104" i="1"/>
  <c r="BG2104" i="1"/>
  <c r="E2907" i="1"/>
  <c r="G2907" i="1"/>
  <c r="J2907" i="1"/>
  <c r="K2907" i="1"/>
  <c r="BE2907" i="1"/>
  <c r="BF2907" i="1"/>
  <c r="BG2907" i="1"/>
  <c r="E2105" i="1"/>
  <c r="G2105" i="1"/>
  <c r="J2105" i="1"/>
  <c r="K2105" i="1"/>
  <c r="BF2105" i="1"/>
  <c r="BG2105" i="1"/>
  <c r="E1242" i="1"/>
  <c r="G1242" i="1"/>
  <c r="J1242" i="1"/>
  <c r="K1242" i="1"/>
  <c r="BE1242" i="1"/>
  <c r="BF1242" i="1"/>
  <c r="BG1242" i="1"/>
  <c r="E169" i="1"/>
  <c r="G169" i="1"/>
  <c r="J169" i="1"/>
  <c r="K169" i="1"/>
  <c r="BF169" i="1"/>
  <c r="BG169" i="1"/>
  <c r="E4288" i="1"/>
  <c r="G4288" i="1"/>
  <c r="J4288" i="1"/>
  <c r="K4288" i="1"/>
  <c r="BE4288" i="1"/>
  <c r="BF4288" i="1"/>
  <c r="BG4288" i="1"/>
  <c r="E2198" i="1"/>
  <c r="G2198" i="1"/>
  <c r="J2198" i="1"/>
  <c r="K2198" i="1"/>
  <c r="BE2198" i="1"/>
  <c r="BF2198" i="1"/>
  <c r="BG2198" i="1"/>
  <c r="E6379" i="1"/>
  <c r="G6379" i="1"/>
  <c r="J6379" i="1"/>
  <c r="K6379" i="1"/>
  <c r="BE6379" i="1"/>
  <c r="BF6379" i="1"/>
  <c r="BG6379" i="1"/>
  <c r="E1828" i="1"/>
  <c r="G1828" i="1"/>
  <c r="J1828" i="1"/>
  <c r="K1828" i="1"/>
  <c r="BF1828" i="1"/>
  <c r="BG1828" i="1"/>
  <c r="E2106" i="1"/>
  <c r="G2106" i="1"/>
  <c r="J2106" i="1"/>
  <c r="K2106" i="1"/>
  <c r="BF2106" i="1"/>
  <c r="BG2106" i="1"/>
  <c r="E4587" i="1"/>
  <c r="G4587" i="1"/>
  <c r="J4587" i="1"/>
  <c r="K4587" i="1"/>
  <c r="BE4587" i="1"/>
  <c r="BF4587" i="1"/>
  <c r="BG4587" i="1"/>
  <c r="E2908" i="1"/>
  <c r="G2908" i="1"/>
  <c r="J2908" i="1"/>
  <c r="K2908" i="1"/>
  <c r="BC2908" i="1"/>
  <c r="BE2908" i="1"/>
  <c r="BF2908" i="1"/>
  <c r="BG2908" i="1"/>
  <c r="E2909" i="1"/>
  <c r="G2909" i="1"/>
  <c r="J2909" i="1"/>
  <c r="K2909" i="1"/>
  <c r="BC2909" i="1"/>
  <c r="BE2909" i="1"/>
  <c r="BF2909" i="1"/>
  <c r="BG2909" i="1"/>
  <c r="E2910" i="1"/>
  <c r="G2910" i="1"/>
  <c r="J2910" i="1"/>
  <c r="K2910" i="1"/>
  <c r="BC2910" i="1"/>
  <c r="BE2910" i="1"/>
  <c r="BF2910" i="1"/>
  <c r="BG2910" i="1"/>
  <c r="E2107" i="1"/>
  <c r="G2107" i="1"/>
  <c r="J2107" i="1"/>
  <c r="K2107" i="1"/>
  <c r="BF2107" i="1"/>
  <c r="BG2107" i="1"/>
  <c r="E2108" i="1"/>
  <c r="G2108" i="1"/>
  <c r="J2108" i="1"/>
  <c r="K2108" i="1"/>
  <c r="BF2108" i="1"/>
  <c r="BG2108" i="1"/>
  <c r="E462" i="1"/>
  <c r="G462" i="1"/>
  <c r="J462" i="1"/>
  <c r="K462" i="1"/>
  <c r="BC462" i="1"/>
  <c r="BE462" i="1"/>
  <c r="BF462" i="1"/>
  <c r="BG462" i="1"/>
  <c r="E6380" i="1"/>
  <c r="G6380" i="1"/>
  <c r="J6380" i="1"/>
  <c r="K6380" i="1"/>
  <c r="BE6380" i="1"/>
  <c r="BF6380" i="1"/>
  <c r="BG6380" i="1"/>
  <c r="E170" i="1"/>
  <c r="G170" i="1"/>
  <c r="J170" i="1"/>
  <c r="K170" i="1"/>
  <c r="BF170" i="1"/>
  <c r="BG170" i="1"/>
  <c r="E463" i="1"/>
  <c r="G463" i="1"/>
  <c r="J463" i="1"/>
  <c r="K463" i="1"/>
  <c r="BC463" i="1"/>
  <c r="BE463" i="1"/>
  <c r="BF463" i="1"/>
  <c r="BG463" i="1"/>
  <c r="E2109" i="1"/>
  <c r="G2109" i="1"/>
  <c r="J2109" i="1"/>
  <c r="K2109" i="1"/>
  <c r="BF2109" i="1"/>
  <c r="BG2109" i="1"/>
  <c r="E171" i="1"/>
  <c r="G171" i="1"/>
  <c r="J171" i="1"/>
  <c r="K171" i="1"/>
  <c r="BF171" i="1"/>
  <c r="BG171" i="1"/>
  <c r="E5775" i="1"/>
  <c r="G5775" i="1"/>
  <c r="J5775" i="1"/>
  <c r="K5775" i="1"/>
  <c r="BE5775" i="1"/>
  <c r="BF5775" i="1"/>
  <c r="BG5775" i="1"/>
  <c r="E6381" i="1"/>
  <c r="G6381" i="1"/>
  <c r="J6381" i="1"/>
  <c r="K6381" i="1"/>
  <c r="BE6381" i="1"/>
  <c r="BF6381" i="1"/>
  <c r="BG6381" i="1"/>
  <c r="E6732" i="1"/>
  <c r="G6732" i="1"/>
  <c r="J6732" i="1"/>
  <c r="K6732" i="1"/>
  <c r="BE6732" i="1"/>
  <c r="BF6732" i="1"/>
  <c r="BG6732" i="1"/>
  <c r="E2110" i="1"/>
  <c r="G2110" i="1"/>
  <c r="J2110" i="1"/>
  <c r="K2110" i="1"/>
  <c r="BF2110" i="1"/>
  <c r="BG2110" i="1"/>
  <c r="E1829" i="1"/>
  <c r="G1829" i="1"/>
  <c r="J1829" i="1"/>
  <c r="K1829" i="1"/>
  <c r="BF1829" i="1"/>
  <c r="BG1829" i="1"/>
  <c r="E6733" i="1"/>
  <c r="G6733" i="1"/>
  <c r="J6733" i="1"/>
  <c r="K6733" i="1"/>
  <c r="BE6733" i="1"/>
  <c r="BF6733" i="1"/>
  <c r="BG6733" i="1"/>
  <c r="E5776" i="1"/>
  <c r="G5776" i="1"/>
  <c r="J5776" i="1"/>
  <c r="K5776" i="1"/>
  <c r="BE5776" i="1"/>
  <c r="BF5776" i="1"/>
  <c r="BG5776" i="1"/>
  <c r="E4588" i="1"/>
  <c r="G4588" i="1"/>
  <c r="J4588" i="1"/>
  <c r="K4588" i="1"/>
  <c r="BE4588" i="1"/>
  <c r="BF4588" i="1"/>
  <c r="BG4588" i="1"/>
  <c r="E6382" i="1"/>
  <c r="G6382" i="1"/>
  <c r="J6382" i="1"/>
  <c r="K6382" i="1"/>
  <c r="BE6382" i="1"/>
  <c r="BF6382" i="1"/>
  <c r="BG6382" i="1"/>
  <c r="E2111" i="1"/>
  <c r="G2111" i="1"/>
  <c r="J2111" i="1"/>
  <c r="K2111" i="1"/>
  <c r="BF2111" i="1"/>
  <c r="BG2111" i="1"/>
  <c r="E2112" i="1"/>
  <c r="G2112" i="1"/>
  <c r="J2112" i="1"/>
  <c r="K2112" i="1"/>
  <c r="BF2112" i="1"/>
  <c r="BG2112" i="1"/>
  <c r="E2113" i="1"/>
  <c r="G2113" i="1"/>
  <c r="J2113" i="1"/>
  <c r="K2113" i="1"/>
  <c r="BF2113" i="1"/>
  <c r="BG2113" i="1"/>
  <c r="E1830" i="1"/>
  <c r="G1830" i="1"/>
  <c r="J1830" i="1"/>
  <c r="K1830" i="1"/>
  <c r="BF1830" i="1"/>
  <c r="BG1830" i="1"/>
  <c r="E617" i="1"/>
  <c r="G617" i="1"/>
  <c r="J617" i="1"/>
  <c r="K617" i="1"/>
  <c r="BE617" i="1"/>
  <c r="BF617" i="1"/>
  <c r="BG617" i="1"/>
  <c r="BH617" i="1"/>
  <c r="E2114" i="1"/>
  <c r="G2114" i="1"/>
  <c r="J2114" i="1"/>
  <c r="K2114" i="1"/>
  <c r="BF2114" i="1"/>
  <c r="BG2114" i="1"/>
  <c r="E6052" i="1"/>
  <c r="G6052" i="1"/>
  <c r="J6052" i="1"/>
  <c r="K6052" i="1"/>
  <c r="BE6052" i="1"/>
  <c r="BF6052" i="1"/>
  <c r="BG6052" i="1"/>
  <c r="E6053" i="1"/>
  <c r="G6053" i="1"/>
  <c r="J6053" i="1"/>
  <c r="K6053" i="1"/>
  <c r="BE6053" i="1"/>
  <c r="BF6053" i="1"/>
  <c r="BG6053" i="1"/>
  <c r="E6054" i="1"/>
  <c r="G6054" i="1"/>
  <c r="J6054" i="1"/>
  <c r="K6054" i="1"/>
  <c r="BE6054" i="1"/>
  <c r="BF6054" i="1"/>
  <c r="BG6054" i="1"/>
  <c r="E6055" i="1"/>
  <c r="G6055" i="1"/>
  <c r="J6055" i="1"/>
  <c r="K6055" i="1"/>
  <c r="BE6055" i="1"/>
  <c r="BF6055" i="1"/>
  <c r="BG6055" i="1"/>
  <c r="E6056" i="1"/>
  <c r="G6056" i="1"/>
  <c r="J6056" i="1"/>
  <c r="K6056" i="1"/>
  <c r="BE6056" i="1"/>
  <c r="BF6056" i="1"/>
  <c r="BG6056" i="1"/>
  <c r="E6057" i="1"/>
  <c r="G6057" i="1"/>
  <c r="J6057" i="1"/>
  <c r="K6057" i="1"/>
  <c r="BE6057" i="1"/>
  <c r="BF6057" i="1"/>
  <c r="BG6057" i="1"/>
  <c r="E6058" i="1"/>
  <c r="G6058" i="1"/>
  <c r="J6058" i="1"/>
  <c r="K6058" i="1"/>
  <c r="BE6058" i="1"/>
  <c r="BF6058" i="1"/>
  <c r="BG6058" i="1"/>
  <c r="E6059" i="1"/>
  <c r="G6059" i="1"/>
  <c r="J6059" i="1"/>
  <c r="K6059" i="1"/>
  <c r="BE6059" i="1"/>
  <c r="BF6059" i="1"/>
  <c r="BG6059" i="1"/>
  <c r="E6060" i="1"/>
  <c r="G6060" i="1"/>
  <c r="J6060" i="1"/>
  <c r="K6060" i="1"/>
  <c r="BE6060" i="1"/>
  <c r="BF6060" i="1"/>
  <c r="BG6060" i="1"/>
  <c r="E6061" i="1"/>
  <c r="G6061" i="1"/>
  <c r="J6061" i="1"/>
  <c r="K6061" i="1"/>
  <c r="BE6061" i="1"/>
  <c r="BF6061" i="1"/>
  <c r="BG6061" i="1"/>
  <c r="E6062" i="1"/>
  <c r="G6062" i="1"/>
  <c r="J6062" i="1"/>
  <c r="K6062" i="1"/>
  <c r="BE6062" i="1"/>
  <c r="BF6062" i="1"/>
  <c r="BG6062" i="1"/>
  <c r="E6383" i="1"/>
  <c r="G6383" i="1"/>
  <c r="J6383" i="1"/>
  <c r="K6383" i="1"/>
  <c r="BE6383" i="1"/>
  <c r="BF6383" i="1"/>
  <c r="BG6383" i="1"/>
  <c r="E4289" i="1"/>
  <c r="G4289" i="1"/>
  <c r="J4289" i="1"/>
  <c r="K4289" i="1"/>
  <c r="BE4289" i="1"/>
  <c r="BF4289" i="1"/>
  <c r="BG4289" i="1"/>
  <c r="E1831" i="1"/>
  <c r="G1831" i="1"/>
  <c r="J1831" i="1"/>
  <c r="K1831" i="1"/>
  <c r="BF1831" i="1"/>
  <c r="BG1831" i="1"/>
  <c r="E4589" i="1"/>
  <c r="G4589" i="1"/>
  <c r="J4589" i="1"/>
  <c r="K4589" i="1"/>
  <c r="BE4589" i="1"/>
  <c r="BF4589" i="1"/>
  <c r="BG4589" i="1"/>
  <c r="E2911" i="1"/>
  <c r="G2911" i="1"/>
  <c r="J2911" i="1"/>
  <c r="K2911" i="1"/>
  <c r="BC2911" i="1"/>
  <c r="BE2911" i="1"/>
  <c r="BF2911" i="1"/>
  <c r="BG2911" i="1"/>
  <c r="E2912" i="1"/>
  <c r="G2912" i="1"/>
  <c r="J2912" i="1"/>
  <c r="K2912" i="1"/>
  <c r="BC2912" i="1"/>
  <c r="BE2912" i="1"/>
  <c r="BF2912" i="1"/>
  <c r="BG2912" i="1"/>
  <c r="E2913" i="1"/>
  <c r="G2913" i="1"/>
  <c r="J2913" i="1"/>
  <c r="K2913" i="1"/>
  <c r="BC2913" i="1"/>
  <c r="BE2913" i="1"/>
  <c r="BF2913" i="1"/>
  <c r="BG2913" i="1"/>
  <c r="E2914" i="1"/>
  <c r="G2914" i="1"/>
  <c r="J2914" i="1"/>
  <c r="K2914" i="1"/>
  <c r="BC2914" i="1"/>
  <c r="BE2914" i="1"/>
  <c r="BF2914" i="1"/>
  <c r="BG2914" i="1"/>
  <c r="E2915" i="1"/>
  <c r="G2915" i="1"/>
  <c r="J2915" i="1"/>
  <c r="K2915" i="1"/>
  <c r="BC2915" i="1"/>
  <c r="BE2915" i="1"/>
  <c r="BF2915" i="1"/>
  <c r="BG2915" i="1"/>
  <c r="E2916" i="1"/>
  <c r="G2916" i="1"/>
  <c r="J2916" i="1"/>
  <c r="K2916" i="1"/>
  <c r="BC2916" i="1"/>
  <c r="BE2916" i="1"/>
  <c r="BF2916" i="1"/>
  <c r="BG2916" i="1"/>
  <c r="E2917" i="1"/>
  <c r="G2917" i="1"/>
  <c r="J2917" i="1"/>
  <c r="K2917" i="1"/>
  <c r="BC2917" i="1"/>
  <c r="BE2917" i="1"/>
  <c r="BF2917" i="1"/>
  <c r="BG2917" i="1"/>
  <c r="E2918" i="1"/>
  <c r="G2918" i="1"/>
  <c r="J2918" i="1"/>
  <c r="K2918" i="1"/>
  <c r="BC2918" i="1"/>
  <c r="BE2918" i="1"/>
  <c r="BF2918" i="1"/>
  <c r="BG2918" i="1"/>
  <c r="E2919" i="1"/>
  <c r="G2919" i="1"/>
  <c r="J2919" i="1"/>
  <c r="K2919" i="1"/>
  <c r="BC2919" i="1"/>
  <c r="BE2919" i="1"/>
  <c r="BF2919" i="1"/>
  <c r="BG2919" i="1"/>
  <c r="E2920" i="1"/>
  <c r="G2920" i="1"/>
  <c r="J2920" i="1"/>
  <c r="K2920" i="1"/>
  <c r="BC2920" i="1"/>
  <c r="BE2920" i="1"/>
  <c r="BF2920" i="1"/>
  <c r="BG2920" i="1"/>
  <c r="E489" i="1"/>
  <c r="G489" i="1"/>
  <c r="J489" i="1"/>
  <c r="K489" i="1"/>
  <c r="BC489" i="1"/>
  <c r="BE489" i="1"/>
  <c r="BF489" i="1"/>
  <c r="BG489" i="1"/>
  <c r="E490" i="1"/>
  <c r="G490" i="1"/>
  <c r="J490" i="1"/>
  <c r="K490" i="1"/>
  <c r="BC490" i="1"/>
  <c r="BE490" i="1"/>
  <c r="BF490" i="1"/>
  <c r="BG490" i="1"/>
  <c r="E6384" i="1"/>
  <c r="G6384" i="1"/>
  <c r="J6384" i="1"/>
  <c r="K6384" i="1"/>
  <c r="BE6384" i="1"/>
  <c r="BF6384" i="1"/>
  <c r="BG6384" i="1"/>
  <c r="E535" i="1"/>
  <c r="G535" i="1"/>
  <c r="J535" i="1"/>
  <c r="K535" i="1"/>
  <c r="BF535" i="1"/>
  <c r="BG535" i="1"/>
  <c r="E5777" i="1"/>
  <c r="G5777" i="1"/>
  <c r="J5777" i="1"/>
  <c r="K5777" i="1"/>
  <c r="BE5777" i="1"/>
  <c r="BF5777" i="1"/>
  <c r="BG5777" i="1"/>
  <c r="E2115" i="1"/>
  <c r="G2115" i="1"/>
  <c r="J2115" i="1"/>
  <c r="K2115" i="1"/>
  <c r="BF2115" i="1"/>
  <c r="BG2115" i="1"/>
  <c r="E418" i="1"/>
  <c r="G418" i="1"/>
  <c r="J418" i="1"/>
  <c r="K418" i="1"/>
  <c r="BF418" i="1"/>
  <c r="BG418" i="1"/>
  <c r="E419" i="1"/>
  <c r="G419" i="1"/>
  <c r="J419" i="1"/>
  <c r="K419" i="1"/>
  <c r="BF419" i="1"/>
  <c r="BG419" i="1"/>
  <c r="E420" i="1"/>
  <c r="G420" i="1"/>
  <c r="J420" i="1"/>
  <c r="K420" i="1"/>
  <c r="BF420" i="1"/>
  <c r="BG420" i="1"/>
  <c r="E421" i="1"/>
  <c r="G421" i="1"/>
  <c r="J421" i="1"/>
  <c r="K421" i="1"/>
  <c r="BF421" i="1"/>
  <c r="BG421" i="1"/>
  <c r="E422" i="1"/>
  <c r="G422" i="1"/>
  <c r="J422" i="1"/>
  <c r="K422" i="1"/>
  <c r="BF422" i="1"/>
  <c r="BG422" i="1"/>
  <c r="E423" i="1"/>
  <c r="G423" i="1"/>
  <c r="J423" i="1"/>
  <c r="K423" i="1"/>
  <c r="BF423" i="1"/>
  <c r="BG423" i="1"/>
  <c r="E424" i="1"/>
  <c r="G424" i="1"/>
  <c r="J424" i="1"/>
  <c r="K424" i="1"/>
  <c r="BF424" i="1"/>
  <c r="BG424" i="1"/>
  <c r="E425" i="1"/>
  <c r="G425" i="1"/>
  <c r="J425" i="1"/>
  <c r="K425" i="1"/>
  <c r="BF425" i="1"/>
  <c r="BG425" i="1"/>
  <c r="E426" i="1"/>
  <c r="G426" i="1"/>
  <c r="J426" i="1"/>
  <c r="K426" i="1"/>
  <c r="BF426" i="1"/>
  <c r="BG426" i="1"/>
  <c r="E427" i="1"/>
  <c r="G427" i="1"/>
  <c r="J427" i="1"/>
  <c r="K427" i="1"/>
  <c r="BF427" i="1"/>
  <c r="BG427" i="1"/>
  <c r="E4590" i="1"/>
  <c r="G4590" i="1"/>
  <c r="J4590" i="1"/>
  <c r="K4590" i="1"/>
  <c r="BE4590" i="1"/>
  <c r="BF4590" i="1"/>
  <c r="BG4590" i="1"/>
  <c r="E1832" i="1"/>
  <c r="G1832" i="1"/>
  <c r="J1832" i="1"/>
  <c r="K1832" i="1"/>
  <c r="BF1832" i="1"/>
  <c r="BG1832" i="1"/>
  <c r="E6385" i="1"/>
  <c r="G6385" i="1"/>
  <c r="J6385" i="1"/>
  <c r="K6385" i="1"/>
  <c r="BE6385" i="1"/>
  <c r="BF6385" i="1"/>
  <c r="BG6385" i="1"/>
  <c r="E334" i="1"/>
  <c r="G334" i="1"/>
  <c r="J334" i="1"/>
  <c r="K334" i="1"/>
  <c r="BE334" i="1"/>
  <c r="BF334" i="1"/>
  <c r="BG334" i="1"/>
  <c r="E3641" i="1"/>
  <c r="G3641" i="1"/>
  <c r="J3641" i="1"/>
  <c r="K3641" i="1"/>
  <c r="BE3641" i="1"/>
  <c r="BF3641" i="1"/>
  <c r="BG3641" i="1"/>
  <c r="E6734" i="1"/>
  <c r="G6734" i="1"/>
  <c r="J6734" i="1"/>
  <c r="K6734" i="1"/>
  <c r="BE6734" i="1"/>
  <c r="BF6734" i="1"/>
  <c r="BG6734" i="1"/>
  <c r="E4591" i="1"/>
  <c r="G4591" i="1"/>
  <c r="J4591" i="1"/>
  <c r="K4591" i="1"/>
  <c r="BE4591" i="1"/>
  <c r="BF4591" i="1"/>
  <c r="BG4591" i="1"/>
  <c r="E4592" i="1"/>
  <c r="G4592" i="1"/>
  <c r="J4592" i="1"/>
  <c r="K4592" i="1"/>
  <c r="BE4592" i="1"/>
  <c r="BF4592" i="1"/>
  <c r="BG4592" i="1"/>
  <c r="E6735" i="1"/>
  <c r="G6735" i="1"/>
  <c r="J6735" i="1"/>
  <c r="K6735" i="1"/>
  <c r="BE6735" i="1"/>
  <c r="BF6735" i="1"/>
  <c r="BG6735" i="1"/>
  <c r="E2116" i="1"/>
  <c r="G2116" i="1"/>
  <c r="J2116" i="1"/>
  <c r="K2116" i="1"/>
  <c r="BF2116" i="1"/>
  <c r="BG2116" i="1"/>
  <c r="E4593" i="1"/>
  <c r="G4593" i="1"/>
  <c r="J4593" i="1"/>
  <c r="K4593" i="1"/>
  <c r="BE4593" i="1"/>
  <c r="BF4593" i="1"/>
  <c r="BG4593" i="1"/>
  <c r="E6386" i="1"/>
  <c r="G6386" i="1"/>
  <c r="J6386" i="1"/>
  <c r="K6386" i="1"/>
  <c r="BE6386" i="1"/>
  <c r="BF6386" i="1"/>
  <c r="BG6386" i="1"/>
  <c r="E2117" i="1"/>
  <c r="G2117" i="1"/>
  <c r="J2117" i="1"/>
  <c r="K2117" i="1"/>
  <c r="BF2117" i="1"/>
  <c r="BG2117" i="1"/>
  <c r="E340" i="1"/>
  <c r="G340" i="1"/>
  <c r="J340" i="1"/>
  <c r="K340" i="1"/>
  <c r="BE340" i="1"/>
  <c r="BF340" i="1"/>
  <c r="BG340" i="1"/>
  <c r="E100" i="1"/>
  <c r="G100" i="1"/>
  <c r="J100" i="1"/>
  <c r="K100" i="1"/>
  <c r="BE100" i="1"/>
  <c r="BF100" i="1"/>
  <c r="BG100" i="1"/>
  <c r="E1833" i="1"/>
  <c r="G1833" i="1"/>
  <c r="J1833" i="1"/>
  <c r="K1833" i="1"/>
  <c r="BF1833" i="1"/>
  <c r="BG1833" i="1"/>
  <c r="E4594" i="1"/>
  <c r="G4594" i="1"/>
  <c r="J4594" i="1"/>
  <c r="K4594" i="1"/>
  <c r="BE4594" i="1"/>
  <c r="BF4594" i="1"/>
  <c r="BG4594" i="1"/>
  <c r="E5778" i="1"/>
  <c r="G5778" i="1"/>
  <c r="J5778" i="1"/>
  <c r="K5778" i="1"/>
  <c r="BE5778" i="1"/>
  <c r="BF5778" i="1"/>
  <c r="BG5778" i="1"/>
  <c r="E6387" i="1"/>
  <c r="G6387" i="1"/>
  <c r="J6387" i="1"/>
  <c r="K6387" i="1"/>
  <c r="BE6387" i="1"/>
  <c r="BF6387" i="1"/>
  <c r="BG6387" i="1"/>
  <c r="E6879" i="1"/>
  <c r="G6879" i="1"/>
  <c r="J6879" i="1"/>
  <c r="BE6879" i="1"/>
  <c r="BG6879" i="1"/>
  <c r="E5779" i="1"/>
  <c r="G5779" i="1"/>
  <c r="J5779" i="1"/>
  <c r="K5779" i="1"/>
  <c r="BE5779" i="1"/>
  <c r="BF5779" i="1"/>
  <c r="BG5779" i="1"/>
  <c r="E353" i="1"/>
  <c r="G353" i="1"/>
  <c r="J353" i="1"/>
  <c r="K353" i="1"/>
  <c r="BE353" i="1"/>
  <c r="BF353" i="1"/>
  <c r="BG353" i="1"/>
  <c r="E4595" i="1"/>
  <c r="G4595" i="1"/>
  <c r="J4595" i="1"/>
  <c r="K4595" i="1"/>
  <c r="BE4595" i="1"/>
  <c r="BF4595" i="1"/>
  <c r="BG4595" i="1"/>
  <c r="E2118" i="1"/>
  <c r="G2118" i="1"/>
  <c r="J2118" i="1"/>
  <c r="K2118" i="1"/>
  <c r="BF2118" i="1"/>
  <c r="BG2118" i="1"/>
  <c r="E354" i="1"/>
  <c r="G354" i="1"/>
  <c r="J354" i="1"/>
  <c r="K354" i="1"/>
  <c r="BE354" i="1"/>
  <c r="BF354" i="1"/>
  <c r="BG354" i="1"/>
  <c r="E1834" i="1"/>
  <c r="G1834" i="1"/>
  <c r="J1834" i="1"/>
  <c r="K1834" i="1"/>
  <c r="BF1834" i="1"/>
  <c r="BG1834" i="1"/>
  <c r="E6388" i="1"/>
  <c r="G6388" i="1"/>
  <c r="J6388" i="1"/>
  <c r="K6388" i="1"/>
  <c r="BE6388" i="1"/>
  <c r="BF6388" i="1"/>
  <c r="BG6388" i="1"/>
  <c r="E4290" i="1"/>
  <c r="G4290" i="1"/>
  <c r="J4290" i="1"/>
  <c r="K4290" i="1"/>
  <c r="BE4290" i="1"/>
  <c r="BF4290" i="1"/>
  <c r="BG4290" i="1"/>
  <c r="E4596" i="1"/>
  <c r="G4596" i="1"/>
  <c r="J4596" i="1"/>
  <c r="K4596" i="1"/>
  <c r="BE4596" i="1"/>
  <c r="BF4596" i="1"/>
  <c r="BG4596" i="1"/>
  <c r="E2119" i="1"/>
  <c r="G2119" i="1"/>
  <c r="J2119" i="1"/>
  <c r="K2119" i="1"/>
  <c r="BF2119" i="1"/>
  <c r="BG2119" i="1"/>
  <c r="E4597" i="1"/>
  <c r="G4597" i="1"/>
  <c r="J4597" i="1"/>
  <c r="K4597" i="1"/>
  <c r="BE4597" i="1"/>
  <c r="BF4597" i="1"/>
  <c r="BG4597" i="1"/>
  <c r="E6025" i="1"/>
  <c r="G6025" i="1"/>
  <c r="J6025" i="1"/>
  <c r="K6025" i="1"/>
  <c r="BE6025" i="1"/>
  <c r="BG6025" i="1"/>
  <c r="E6736" i="1"/>
  <c r="G6736" i="1"/>
  <c r="J6736" i="1"/>
  <c r="K6736" i="1"/>
  <c r="BE6736" i="1"/>
  <c r="BF6736" i="1"/>
  <c r="BG6736" i="1"/>
  <c r="E5780" i="1"/>
  <c r="G5780" i="1"/>
  <c r="J5780" i="1"/>
  <c r="K5780" i="1"/>
  <c r="BE5780" i="1"/>
  <c r="BF5780" i="1"/>
  <c r="BG5780" i="1"/>
  <c r="E1835" i="1"/>
  <c r="G1835" i="1"/>
  <c r="J1835" i="1"/>
  <c r="K1835" i="1"/>
  <c r="BF1835" i="1"/>
  <c r="BG1835" i="1"/>
  <c r="E3642" i="1"/>
  <c r="G3642" i="1"/>
  <c r="J3642" i="1"/>
  <c r="K3642" i="1"/>
  <c r="BE3642" i="1"/>
  <c r="BF3642" i="1"/>
  <c r="BG3642" i="1"/>
  <c r="E6389" i="1"/>
  <c r="G6389" i="1"/>
  <c r="J6389" i="1"/>
  <c r="K6389" i="1"/>
  <c r="BE6389" i="1"/>
  <c r="BF6389" i="1"/>
  <c r="BG6389" i="1"/>
  <c r="E4598" i="1"/>
  <c r="G4598" i="1"/>
  <c r="J4598" i="1"/>
  <c r="K4598" i="1"/>
  <c r="BE4598" i="1"/>
  <c r="BF4598" i="1"/>
  <c r="BG4598" i="1"/>
  <c r="E2318" i="1"/>
  <c r="G2318" i="1"/>
  <c r="J2318" i="1"/>
  <c r="K2318" i="1"/>
  <c r="BE2318" i="1"/>
  <c r="BF2318" i="1"/>
  <c r="BG2318" i="1"/>
  <c r="E2120" i="1"/>
  <c r="G2120" i="1"/>
  <c r="J2120" i="1"/>
  <c r="K2120" i="1"/>
  <c r="BF2120" i="1"/>
  <c r="BG2120" i="1"/>
  <c r="E4599" i="1"/>
  <c r="G4599" i="1"/>
  <c r="J4599" i="1"/>
  <c r="K4599" i="1"/>
  <c r="BE4599" i="1"/>
  <c r="BF4599" i="1"/>
  <c r="BG4599" i="1"/>
  <c r="E6390" i="1"/>
  <c r="G6390" i="1"/>
  <c r="J6390" i="1"/>
  <c r="K6390" i="1"/>
  <c r="BE6390" i="1"/>
  <c r="BF6390" i="1"/>
  <c r="BG6390" i="1"/>
  <c r="E3643" i="1"/>
  <c r="G3643" i="1"/>
  <c r="J3643" i="1"/>
  <c r="K3643" i="1"/>
  <c r="BE3643" i="1"/>
  <c r="BF3643" i="1"/>
  <c r="BG3643" i="1"/>
  <c r="E275" i="1"/>
  <c r="G275" i="1"/>
  <c r="J275" i="1"/>
  <c r="K275" i="1"/>
  <c r="BE275" i="1"/>
  <c r="BF275" i="1"/>
  <c r="BG275" i="1"/>
  <c r="E1836" i="1"/>
  <c r="G1836" i="1"/>
  <c r="J1836" i="1"/>
  <c r="K1836" i="1"/>
  <c r="BF1836" i="1"/>
  <c r="BG1836" i="1"/>
  <c r="E2121" i="1"/>
  <c r="G2121" i="1"/>
  <c r="J2121" i="1"/>
  <c r="K2121" i="1"/>
  <c r="BF2121" i="1"/>
  <c r="BG2121" i="1"/>
  <c r="E4600" i="1"/>
  <c r="G4600" i="1"/>
  <c r="J4600" i="1"/>
  <c r="K4600" i="1"/>
  <c r="BE4600" i="1"/>
  <c r="BF4600" i="1"/>
  <c r="BG4600" i="1"/>
  <c r="E6880" i="1"/>
  <c r="G6880" i="1"/>
  <c r="J6880" i="1"/>
  <c r="BE6880" i="1"/>
  <c r="BF6880" i="1"/>
  <c r="BG6880" i="1"/>
  <c r="E2122" i="1"/>
  <c r="G2122" i="1"/>
  <c r="J2122" i="1"/>
  <c r="K2122" i="1"/>
  <c r="BF2122" i="1"/>
  <c r="BG2122" i="1"/>
  <c r="E6737" i="1"/>
  <c r="G6737" i="1"/>
  <c r="J6737" i="1"/>
  <c r="K6737" i="1"/>
  <c r="BE6737" i="1"/>
  <c r="BF6737" i="1"/>
  <c r="BG6737" i="1"/>
  <c r="E276" i="1"/>
  <c r="G276" i="1"/>
  <c r="J276" i="1"/>
  <c r="K276" i="1"/>
  <c r="BE276" i="1"/>
  <c r="BF276" i="1"/>
  <c r="BG276" i="1"/>
  <c r="E6391" i="1"/>
  <c r="G6391" i="1"/>
  <c r="J6391" i="1"/>
  <c r="K6391" i="1"/>
  <c r="BE6391" i="1"/>
  <c r="BF6391" i="1"/>
  <c r="BG6391" i="1"/>
  <c r="E4291" i="1"/>
  <c r="G4291" i="1"/>
  <c r="J4291" i="1"/>
  <c r="K4291" i="1"/>
  <c r="BE4291" i="1"/>
  <c r="BF4291" i="1"/>
  <c r="BG4291" i="1"/>
  <c r="E5781" i="1"/>
  <c r="G5781" i="1"/>
  <c r="J5781" i="1"/>
  <c r="K5781" i="1"/>
  <c r="BE5781" i="1"/>
  <c r="BF5781" i="1"/>
  <c r="BG5781" i="1"/>
  <c r="E1837" i="1"/>
  <c r="G1837" i="1"/>
  <c r="J1837" i="1"/>
  <c r="K1837" i="1"/>
  <c r="BF1837" i="1"/>
  <c r="BG1837" i="1"/>
  <c r="E3644" i="1"/>
  <c r="G3644" i="1"/>
  <c r="J3644" i="1"/>
  <c r="K3644" i="1"/>
  <c r="BE3644" i="1"/>
  <c r="BF3644" i="1"/>
  <c r="BG3644" i="1"/>
  <c r="E6392" i="1"/>
  <c r="G6392" i="1"/>
  <c r="J6392" i="1"/>
  <c r="K6392" i="1"/>
  <c r="BE6392" i="1"/>
  <c r="BF6392" i="1"/>
  <c r="BG6392" i="1"/>
  <c r="E2123" i="1"/>
  <c r="G2123" i="1"/>
  <c r="J2123" i="1"/>
  <c r="K2123" i="1"/>
  <c r="BF2123" i="1"/>
  <c r="BG2123" i="1"/>
  <c r="E559" i="1"/>
  <c r="G559" i="1"/>
  <c r="J559" i="1"/>
  <c r="K559" i="1"/>
  <c r="BE559" i="1"/>
  <c r="BF559" i="1"/>
  <c r="BG559" i="1"/>
  <c r="E101" i="1"/>
  <c r="G101" i="1"/>
  <c r="J101" i="1"/>
  <c r="K101" i="1"/>
  <c r="BE101" i="1"/>
  <c r="BF101" i="1"/>
  <c r="BG101" i="1"/>
  <c r="E2124" i="1"/>
  <c r="G2124" i="1"/>
  <c r="J2124" i="1"/>
  <c r="K2124" i="1"/>
  <c r="BF2124" i="1"/>
  <c r="BG2124" i="1"/>
  <c r="E6393" i="1"/>
  <c r="G6393" i="1"/>
  <c r="J6393" i="1"/>
  <c r="K6393" i="1"/>
  <c r="BE6393" i="1"/>
  <c r="BF6393" i="1"/>
  <c r="BG6393" i="1"/>
  <c r="E784" i="1"/>
  <c r="G784" i="1"/>
  <c r="J784" i="1"/>
  <c r="K784" i="1"/>
  <c r="BE784" i="1"/>
  <c r="BF784" i="1"/>
  <c r="BG784" i="1"/>
  <c r="E1838" i="1"/>
  <c r="G1838" i="1"/>
  <c r="J1838" i="1"/>
  <c r="K1838" i="1"/>
  <c r="BF1838" i="1"/>
  <c r="BG1838" i="1"/>
  <c r="E644" i="1"/>
  <c r="G644" i="1"/>
  <c r="J644" i="1"/>
  <c r="K644" i="1"/>
  <c r="BE644" i="1"/>
  <c r="BF644" i="1"/>
  <c r="BG644" i="1"/>
  <c r="E2125" i="1"/>
  <c r="G2125" i="1"/>
  <c r="J2125" i="1"/>
  <c r="K2125" i="1"/>
  <c r="BF2125" i="1"/>
  <c r="BG2125" i="1"/>
  <c r="E6394" i="1"/>
  <c r="G6394" i="1"/>
  <c r="J6394" i="1"/>
  <c r="K6394" i="1"/>
  <c r="BE6394" i="1"/>
  <c r="BF6394" i="1"/>
  <c r="BG6394" i="1"/>
  <c r="E812" i="1"/>
  <c r="G812" i="1"/>
  <c r="J812" i="1"/>
  <c r="K812" i="1"/>
  <c r="BE812" i="1"/>
  <c r="BF812" i="1"/>
  <c r="BG812" i="1"/>
  <c r="E5782" i="1"/>
  <c r="G5782" i="1"/>
  <c r="J5782" i="1"/>
  <c r="K5782" i="1"/>
  <c r="BE5782" i="1"/>
  <c r="BF5782" i="1"/>
  <c r="BG5782" i="1"/>
  <c r="E1243" i="1"/>
  <c r="G1243" i="1"/>
  <c r="J1243" i="1"/>
  <c r="K1243" i="1"/>
  <c r="BE1243" i="1"/>
  <c r="BF1243" i="1"/>
  <c r="BG1243" i="1"/>
  <c r="E1839" i="1"/>
  <c r="G1839" i="1"/>
  <c r="J1839" i="1"/>
  <c r="K1839" i="1"/>
  <c r="BF1839" i="1"/>
  <c r="BG1839" i="1"/>
  <c r="E6395" i="1"/>
  <c r="G6395" i="1"/>
  <c r="J6395" i="1"/>
  <c r="K6395" i="1"/>
  <c r="BE6395" i="1"/>
  <c r="BF6395" i="1"/>
  <c r="BG6395" i="1"/>
  <c r="E464" i="1"/>
  <c r="G464" i="1"/>
  <c r="J464" i="1"/>
  <c r="K464" i="1"/>
  <c r="BC464" i="1"/>
  <c r="BE464" i="1"/>
  <c r="BF464" i="1"/>
  <c r="BG464" i="1"/>
  <c r="E6396" i="1"/>
  <c r="G6396" i="1"/>
  <c r="J6396" i="1"/>
  <c r="K6396" i="1"/>
  <c r="BE6396" i="1"/>
  <c r="BF6396" i="1"/>
  <c r="BG6396" i="1"/>
  <c r="E4292" i="1"/>
  <c r="G4292" i="1"/>
  <c r="J4292" i="1"/>
  <c r="K4292" i="1"/>
  <c r="BE4292" i="1"/>
  <c r="BF4292" i="1"/>
  <c r="BG4292" i="1"/>
  <c r="E453" i="1"/>
  <c r="G453" i="1"/>
  <c r="J453" i="1"/>
  <c r="K453" i="1"/>
  <c r="BC453" i="1"/>
  <c r="BE453" i="1"/>
  <c r="BF453" i="1"/>
  <c r="BG453" i="1"/>
  <c r="E1840" i="1"/>
  <c r="G1840" i="1"/>
  <c r="J1840" i="1"/>
  <c r="K1840" i="1"/>
  <c r="BF1840" i="1"/>
  <c r="BG1840" i="1"/>
  <c r="E6738" i="1"/>
  <c r="G6738" i="1"/>
  <c r="J6738" i="1"/>
  <c r="K6738" i="1"/>
  <c r="BE6738" i="1"/>
  <c r="BF6738" i="1"/>
  <c r="BG6738" i="1"/>
  <c r="E6397" i="1"/>
  <c r="G6397" i="1"/>
  <c r="J6397" i="1"/>
  <c r="K6397" i="1"/>
  <c r="BE6397" i="1"/>
  <c r="BF6397" i="1"/>
  <c r="BG6397" i="1"/>
  <c r="E5783" i="1"/>
  <c r="G5783" i="1"/>
  <c r="J5783" i="1"/>
  <c r="K5783" i="1"/>
  <c r="BE5783" i="1"/>
  <c r="BF5783" i="1"/>
  <c r="BG5783" i="1"/>
  <c r="E6063" i="1"/>
  <c r="G6063" i="1"/>
  <c r="J6063" i="1"/>
  <c r="K6063" i="1"/>
  <c r="BE6063" i="1"/>
  <c r="BF6063" i="1"/>
  <c r="BG6063" i="1"/>
  <c r="E1841" i="1"/>
  <c r="G1841" i="1"/>
  <c r="J1841" i="1"/>
  <c r="K1841" i="1"/>
  <c r="BF1841" i="1"/>
  <c r="BG1841" i="1"/>
  <c r="E6398" i="1"/>
  <c r="G6398" i="1"/>
  <c r="J6398" i="1"/>
  <c r="K6398" i="1"/>
  <c r="BE6398" i="1"/>
  <c r="BF6398" i="1"/>
  <c r="BG6398" i="1"/>
  <c r="E6064" i="1"/>
  <c r="G6064" i="1"/>
  <c r="J6064" i="1"/>
  <c r="K6064" i="1"/>
  <c r="BE6064" i="1"/>
  <c r="BF6064" i="1"/>
  <c r="BG6064" i="1"/>
  <c r="E6065" i="1"/>
  <c r="G6065" i="1"/>
  <c r="J6065" i="1"/>
  <c r="K6065" i="1"/>
  <c r="BE6065" i="1"/>
  <c r="BF6065" i="1"/>
  <c r="BG6065" i="1"/>
  <c r="E6066" i="1"/>
  <c r="G6066" i="1"/>
  <c r="J6066" i="1"/>
  <c r="K6066" i="1"/>
  <c r="BE6066" i="1"/>
  <c r="BF6066" i="1"/>
  <c r="BG6066" i="1"/>
  <c r="E6067" i="1"/>
  <c r="G6067" i="1"/>
  <c r="J6067" i="1"/>
  <c r="K6067" i="1"/>
  <c r="BE6067" i="1"/>
  <c r="BF6067" i="1"/>
  <c r="BG6067" i="1"/>
  <c r="E6068" i="1"/>
  <c r="G6068" i="1"/>
  <c r="J6068" i="1"/>
  <c r="K6068" i="1"/>
  <c r="BE6068" i="1"/>
  <c r="BF6068" i="1"/>
  <c r="BG6068" i="1"/>
  <c r="E6069" i="1"/>
  <c r="G6069" i="1"/>
  <c r="J6069" i="1"/>
  <c r="K6069" i="1"/>
  <c r="BE6069" i="1"/>
  <c r="BF6069" i="1"/>
  <c r="BG6069" i="1"/>
  <c r="E6070" i="1"/>
  <c r="G6070" i="1"/>
  <c r="J6070" i="1"/>
  <c r="K6070" i="1"/>
  <c r="BE6070" i="1"/>
  <c r="BF6070" i="1"/>
  <c r="BG6070" i="1"/>
  <c r="E6071" i="1"/>
  <c r="G6071" i="1"/>
  <c r="J6071" i="1"/>
  <c r="K6071" i="1"/>
  <c r="BE6071" i="1"/>
  <c r="BF6071" i="1"/>
  <c r="BG6071" i="1"/>
  <c r="E6072" i="1"/>
  <c r="G6072" i="1"/>
  <c r="J6072" i="1"/>
  <c r="K6072" i="1"/>
  <c r="BE6072" i="1"/>
  <c r="BF6072" i="1"/>
  <c r="BG6072" i="1"/>
  <c r="E6073" i="1"/>
  <c r="G6073" i="1"/>
  <c r="J6073" i="1"/>
  <c r="K6073" i="1"/>
  <c r="BE6073" i="1"/>
  <c r="BF6073" i="1"/>
  <c r="BG6073" i="1"/>
  <c r="E6074" i="1"/>
  <c r="G6074" i="1"/>
  <c r="J6074" i="1"/>
  <c r="K6074" i="1"/>
  <c r="BE6074" i="1"/>
  <c r="BF6074" i="1"/>
  <c r="BG6074" i="1"/>
  <c r="E6075" i="1"/>
  <c r="G6075" i="1"/>
  <c r="J6075" i="1"/>
  <c r="K6075" i="1"/>
  <c r="BE6075" i="1"/>
  <c r="BF6075" i="1"/>
  <c r="BG6075" i="1"/>
  <c r="E6076" i="1"/>
  <c r="G6076" i="1"/>
  <c r="J6076" i="1"/>
  <c r="K6076" i="1"/>
  <c r="BE6076" i="1"/>
  <c r="BF6076" i="1"/>
  <c r="BG6076" i="1"/>
  <c r="E6077" i="1"/>
  <c r="G6077" i="1"/>
  <c r="J6077" i="1"/>
  <c r="K6077" i="1"/>
  <c r="BE6077" i="1"/>
  <c r="BF6077" i="1"/>
  <c r="BG6077" i="1"/>
  <c r="E6078" i="1"/>
  <c r="G6078" i="1"/>
  <c r="J6078" i="1"/>
  <c r="K6078" i="1"/>
  <c r="BE6078" i="1"/>
  <c r="BF6078" i="1"/>
  <c r="BG6078" i="1"/>
  <c r="E6079" i="1"/>
  <c r="G6079" i="1"/>
  <c r="J6079" i="1"/>
  <c r="K6079" i="1"/>
  <c r="BE6079" i="1"/>
  <c r="BF6079" i="1"/>
  <c r="BG6079" i="1"/>
  <c r="E6080" i="1"/>
  <c r="G6080" i="1"/>
  <c r="J6080" i="1"/>
  <c r="K6080" i="1"/>
  <c r="BE6080" i="1"/>
  <c r="BF6080" i="1"/>
  <c r="BG6080" i="1"/>
  <c r="E6081" i="1"/>
  <c r="G6081" i="1"/>
  <c r="J6081" i="1"/>
  <c r="K6081" i="1"/>
  <c r="BE6081" i="1"/>
  <c r="BF6081" i="1"/>
  <c r="BG6081" i="1"/>
  <c r="E6082" i="1"/>
  <c r="G6082" i="1"/>
  <c r="J6082" i="1"/>
  <c r="K6082" i="1"/>
  <c r="BE6082" i="1"/>
  <c r="BF6082" i="1"/>
  <c r="BG6082" i="1"/>
  <c r="E6083" i="1"/>
  <c r="G6083" i="1"/>
  <c r="J6083" i="1"/>
  <c r="K6083" i="1"/>
  <c r="BE6083" i="1"/>
  <c r="BF6083" i="1"/>
  <c r="BG6083" i="1"/>
  <c r="E6084" i="1"/>
  <c r="G6084" i="1"/>
  <c r="J6084" i="1"/>
  <c r="K6084" i="1"/>
  <c r="BE6084" i="1"/>
  <c r="BF6084" i="1"/>
  <c r="BG6084" i="1"/>
  <c r="E277" i="1"/>
  <c r="G277" i="1"/>
  <c r="J277" i="1"/>
  <c r="K277" i="1"/>
  <c r="BE277" i="1"/>
  <c r="BF277" i="1"/>
  <c r="BG277" i="1"/>
  <c r="E1244" i="1"/>
  <c r="G1244" i="1"/>
  <c r="J1244" i="1"/>
  <c r="K1244" i="1"/>
  <c r="BE1244" i="1"/>
  <c r="BF1244" i="1"/>
  <c r="BG1244" i="1"/>
  <c r="E6399" i="1"/>
  <c r="G6399" i="1"/>
  <c r="J6399" i="1"/>
  <c r="K6399" i="1"/>
  <c r="BE6399" i="1"/>
  <c r="BF6399" i="1"/>
  <c r="BG6399" i="1"/>
  <c r="E1842" i="1"/>
  <c r="G1842" i="1"/>
  <c r="J1842" i="1"/>
  <c r="K1842" i="1"/>
  <c r="BF1842" i="1"/>
  <c r="BG1842" i="1"/>
  <c r="E6400" i="1"/>
  <c r="G6400" i="1"/>
  <c r="J6400" i="1"/>
  <c r="K6400" i="1"/>
  <c r="BE6400" i="1"/>
  <c r="BF6400" i="1"/>
  <c r="BG6400" i="1"/>
  <c r="E6401" i="1"/>
  <c r="G6401" i="1"/>
  <c r="J6401" i="1"/>
  <c r="K6401" i="1"/>
  <c r="BE6401" i="1"/>
  <c r="BF6401" i="1"/>
  <c r="BG6401" i="1"/>
  <c r="E6402" i="1"/>
  <c r="G6402" i="1"/>
  <c r="J6402" i="1"/>
  <c r="K6402" i="1"/>
  <c r="BE6402" i="1"/>
  <c r="BF6402" i="1"/>
  <c r="BG6402" i="1"/>
  <c r="E6403" i="1"/>
  <c r="G6403" i="1"/>
  <c r="J6403" i="1"/>
  <c r="K6403" i="1"/>
  <c r="BE6403" i="1"/>
  <c r="BF6403" i="1"/>
  <c r="BG6403" i="1"/>
  <c r="E6404" i="1"/>
  <c r="G6404" i="1"/>
  <c r="J6404" i="1"/>
  <c r="K6404" i="1"/>
  <c r="BE6404" i="1"/>
  <c r="BF6404" i="1"/>
  <c r="BG6404" i="1"/>
  <c r="E1245" i="1"/>
  <c r="G1245" i="1"/>
  <c r="J1245" i="1"/>
  <c r="K1245" i="1"/>
  <c r="BE1245" i="1"/>
  <c r="BF1245" i="1"/>
  <c r="BG1245" i="1"/>
  <c r="E3645" i="1"/>
  <c r="G3645" i="1"/>
  <c r="J3645" i="1"/>
  <c r="K3645" i="1"/>
  <c r="BE3645" i="1"/>
  <c r="BF3645" i="1"/>
  <c r="BG3645" i="1"/>
  <c r="E5784" i="1"/>
  <c r="G5784" i="1"/>
  <c r="J5784" i="1"/>
  <c r="K5784" i="1"/>
  <c r="BE5784" i="1"/>
  <c r="BF5784" i="1"/>
  <c r="BG5784" i="1"/>
  <c r="E4293" i="1"/>
  <c r="G4293" i="1"/>
  <c r="J4293" i="1"/>
  <c r="K4293" i="1"/>
  <c r="BE4293" i="1"/>
  <c r="BF4293" i="1"/>
  <c r="BG4293" i="1"/>
  <c r="E1843" i="1"/>
  <c r="G1843" i="1"/>
  <c r="J1843" i="1"/>
  <c r="K1843" i="1"/>
  <c r="BF1843" i="1"/>
  <c r="BG1843" i="1"/>
  <c r="E6881" i="1"/>
  <c r="G6881" i="1"/>
  <c r="J6881" i="1"/>
  <c r="BE6881" i="1"/>
  <c r="BF6881" i="1"/>
  <c r="BG6881" i="1"/>
  <c r="E6405" i="1"/>
  <c r="G6405" i="1"/>
  <c r="J6405" i="1"/>
  <c r="K6405" i="1"/>
  <c r="BE6405" i="1"/>
  <c r="BF6405" i="1"/>
  <c r="BG6405" i="1"/>
  <c r="E813" i="1"/>
  <c r="G813" i="1"/>
  <c r="J813" i="1"/>
  <c r="K813" i="1"/>
  <c r="BE813" i="1"/>
  <c r="BF813" i="1"/>
  <c r="BG813" i="1"/>
  <c r="E4099" i="1"/>
  <c r="G4099" i="1"/>
  <c r="J4099" i="1"/>
  <c r="K4099" i="1"/>
  <c r="BE4099" i="1"/>
  <c r="BF4099" i="1"/>
  <c r="BG4099" i="1"/>
  <c r="E4100" i="1"/>
  <c r="G4100" i="1"/>
  <c r="J4100" i="1"/>
  <c r="K4100" i="1"/>
  <c r="BE4100" i="1"/>
  <c r="BF4100" i="1"/>
  <c r="BG4100" i="1"/>
  <c r="E4101" i="1"/>
  <c r="G4101" i="1"/>
  <c r="J4101" i="1"/>
  <c r="K4101" i="1"/>
  <c r="BE4101" i="1"/>
  <c r="BF4101" i="1"/>
  <c r="BG4101" i="1"/>
  <c r="E4102" i="1"/>
  <c r="G4102" i="1"/>
  <c r="J4102" i="1"/>
  <c r="K4102" i="1"/>
  <c r="BE4102" i="1"/>
  <c r="BF4102" i="1"/>
  <c r="BG4102" i="1"/>
  <c r="E4103" i="1"/>
  <c r="G4103" i="1"/>
  <c r="J4103" i="1"/>
  <c r="K4103" i="1"/>
  <c r="BE4103" i="1"/>
  <c r="BF4103" i="1"/>
  <c r="BG4103" i="1"/>
  <c r="E4104" i="1"/>
  <c r="G4104" i="1"/>
  <c r="J4104" i="1"/>
  <c r="K4104" i="1"/>
  <c r="BE4104" i="1"/>
  <c r="BF4104" i="1"/>
  <c r="BG4104" i="1"/>
  <c r="E4105" i="1"/>
  <c r="G4105" i="1"/>
  <c r="J4105" i="1"/>
  <c r="K4105" i="1"/>
  <c r="BE4105" i="1"/>
  <c r="BF4105" i="1"/>
  <c r="BG4105" i="1"/>
  <c r="E4106" i="1"/>
  <c r="G4106" i="1"/>
  <c r="J4106" i="1"/>
  <c r="K4106" i="1"/>
  <c r="BE4106" i="1"/>
  <c r="BF4106" i="1"/>
  <c r="BG4106" i="1"/>
  <c r="E4107" i="1"/>
  <c r="G4107" i="1"/>
  <c r="J4107" i="1"/>
  <c r="K4107" i="1"/>
  <c r="BE4107" i="1"/>
  <c r="BF4107" i="1"/>
  <c r="BG4107" i="1"/>
  <c r="E4108" i="1"/>
  <c r="G4108" i="1"/>
  <c r="J4108" i="1"/>
  <c r="K4108" i="1"/>
  <c r="BE4108" i="1"/>
  <c r="BF4108" i="1"/>
  <c r="BG4108" i="1"/>
  <c r="E4109" i="1"/>
  <c r="G4109" i="1"/>
  <c r="J4109" i="1"/>
  <c r="K4109" i="1"/>
  <c r="BE4109" i="1"/>
  <c r="BF4109" i="1"/>
  <c r="BG4109" i="1"/>
  <c r="E4110" i="1"/>
  <c r="G4110" i="1"/>
  <c r="J4110" i="1"/>
  <c r="K4110" i="1"/>
  <c r="BE4110" i="1"/>
  <c r="BF4110" i="1"/>
  <c r="BG4110" i="1"/>
  <c r="E4111" i="1"/>
  <c r="G4111" i="1"/>
  <c r="J4111" i="1"/>
  <c r="K4111" i="1"/>
  <c r="BE4111" i="1"/>
  <c r="BF4111" i="1"/>
  <c r="BG4111" i="1"/>
  <c r="E4112" i="1"/>
  <c r="G4112" i="1"/>
  <c r="J4112" i="1"/>
  <c r="K4112" i="1"/>
  <c r="BE4112" i="1"/>
  <c r="BF4112" i="1"/>
  <c r="BG4112" i="1"/>
  <c r="E4113" i="1"/>
  <c r="G4113" i="1"/>
  <c r="J4113" i="1"/>
  <c r="K4113" i="1"/>
  <c r="BE4113" i="1"/>
  <c r="BF4113" i="1"/>
  <c r="BG4113" i="1"/>
  <c r="E4114" i="1"/>
  <c r="G4114" i="1"/>
  <c r="J4114" i="1"/>
  <c r="K4114" i="1"/>
  <c r="BE4114" i="1"/>
  <c r="BF4114" i="1"/>
  <c r="BG4114" i="1"/>
  <c r="E4115" i="1"/>
  <c r="G4115" i="1"/>
  <c r="J4115" i="1"/>
  <c r="K4115" i="1"/>
  <c r="BE4115" i="1"/>
  <c r="BF4115" i="1"/>
  <c r="BG4115" i="1"/>
  <c r="E4116" i="1"/>
  <c r="G4116" i="1"/>
  <c r="J4116" i="1"/>
  <c r="K4116" i="1"/>
  <c r="BE4116" i="1"/>
  <c r="BF4116" i="1"/>
  <c r="BG4116" i="1"/>
  <c r="E4117" i="1"/>
  <c r="G4117" i="1"/>
  <c r="J4117" i="1"/>
  <c r="K4117" i="1"/>
  <c r="BE4117" i="1"/>
  <c r="BF4117" i="1"/>
  <c r="BG4117" i="1"/>
  <c r="E4118" i="1"/>
  <c r="G4118" i="1"/>
  <c r="J4118" i="1"/>
  <c r="K4118" i="1"/>
  <c r="BE4118" i="1"/>
  <c r="BF4118" i="1"/>
  <c r="BG4118" i="1"/>
  <c r="E4119" i="1"/>
  <c r="G4119" i="1"/>
  <c r="J4119" i="1"/>
  <c r="K4119" i="1"/>
  <c r="BE4119" i="1"/>
  <c r="BF4119" i="1"/>
  <c r="BG4119" i="1"/>
  <c r="E4120" i="1"/>
  <c r="G4120" i="1"/>
  <c r="J4120" i="1"/>
  <c r="K4120" i="1"/>
  <c r="BE4120" i="1"/>
  <c r="BF4120" i="1"/>
  <c r="BG4120" i="1"/>
  <c r="E4121" i="1"/>
  <c r="G4121" i="1"/>
  <c r="J4121" i="1"/>
  <c r="K4121" i="1"/>
  <c r="BE4121" i="1"/>
  <c r="BF4121" i="1"/>
  <c r="BG4121" i="1"/>
  <c r="E4122" i="1"/>
  <c r="G4122" i="1"/>
  <c r="J4122" i="1"/>
  <c r="K4122" i="1"/>
  <c r="BE4122" i="1"/>
  <c r="BF4122" i="1"/>
  <c r="BG4122" i="1"/>
  <c r="E2490" i="1"/>
  <c r="G2490" i="1"/>
  <c r="J2490" i="1"/>
  <c r="K2490" i="1"/>
  <c r="BE2490" i="1"/>
  <c r="BF2490" i="1"/>
  <c r="BG2490" i="1"/>
  <c r="E5785" i="1"/>
  <c r="G5785" i="1"/>
  <c r="J5785" i="1"/>
  <c r="K5785" i="1"/>
  <c r="BE5785" i="1"/>
  <c r="BF5785" i="1"/>
  <c r="BG5785" i="1"/>
  <c r="E5786" i="1"/>
  <c r="G5786" i="1"/>
  <c r="J5786" i="1"/>
  <c r="K5786" i="1"/>
  <c r="BE5786" i="1"/>
  <c r="BF5786" i="1"/>
  <c r="BG5786" i="1"/>
  <c r="E5787" i="1"/>
  <c r="G5787" i="1"/>
  <c r="J5787" i="1"/>
  <c r="K5787" i="1"/>
  <c r="BE5787" i="1"/>
  <c r="BF5787" i="1"/>
  <c r="BG5787" i="1"/>
  <c r="E5788" i="1"/>
  <c r="G5788" i="1"/>
  <c r="J5788" i="1"/>
  <c r="K5788" i="1"/>
  <c r="BE5788" i="1"/>
  <c r="BF5788" i="1"/>
  <c r="BG5788" i="1"/>
  <c r="E5789" i="1"/>
  <c r="G5789" i="1"/>
  <c r="J5789" i="1"/>
  <c r="K5789" i="1"/>
  <c r="BE5789" i="1"/>
  <c r="BF5789" i="1"/>
  <c r="BG5789" i="1"/>
  <c r="E5790" i="1"/>
  <c r="G5790" i="1"/>
  <c r="J5790" i="1"/>
  <c r="K5790" i="1"/>
  <c r="BE5790" i="1"/>
  <c r="BF5790" i="1"/>
  <c r="BG5790" i="1"/>
  <c r="E5791" i="1"/>
  <c r="G5791" i="1"/>
  <c r="J5791" i="1"/>
  <c r="K5791" i="1"/>
  <c r="BE5791" i="1"/>
  <c r="BF5791" i="1"/>
  <c r="BG5791" i="1"/>
  <c r="E5792" i="1"/>
  <c r="G5792" i="1"/>
  <c r="J5792" i="1"/>
  <c r="K5792" i="1"/>
  <c r="BE5792" i="1"/>
  <c r="BF5792" i="1"/>
  <c r="BG5792" i="1"/>
  <c r="E5793" i="1"/>
  <c r="G5793" i="1"/>
  <c r="J5793" i="1"/>
  <c r="K5793" i="1"/>
  <c r="BE5793" i="1"/>
  <c r="BF5793" i="1"/>
  <c r="BG5793" i="1"/>
  <c r="E5794" i="1"/>
  <c r="G5794" i="1"/>
  <c r="J5794" i="1"/>
  <c r="K5794" i="1"/>
  <c r="BE5794" i="1"/>
  <c r="BF5794" i="1"/>
  <c r="BG5794" i="1"/>
  <c r="E5795" i="1"/>
  <c r="G5795" i="1"/>
  <c r="J5795" i="1"/>
  <c r="K5795" i="1"/>
  <c r="BE5795" i="1"/>
  <c r="BF5795" i="1"/>
  <c r="BG5795" i="1"/>
  <c r="E4123" i="1"/>
  <c r="G4123" i="1"/>
  <c r="J4123" i="1"/>
  <c r="K4123" i="1"/>
  <c r="BE4123" i="1"/>
  <c r="BF4123" i="1"/>
  <c r="BG4123" i="1"/>
  <c r="E4124" i="1"/>
  <c r="G4124" i="1"/>
  <c r="J4124" i="1"/>
  <c r="K4124" i="1"/>
  <c r="BE4124" i="1"/>
  <c r="BF4124" i="1"/>
  <c r="BG4124" i="1"/>
  <c r="E4294" i="1"/>
  <c r="G4294" i="1"/>
  <c r="J4294" i="1"/>
  <c r="K4294" i="1"/>
  <c r="BE4294" i="1"/>
  <c r="BF4294" i="1"/>
  <c r="BG4294" i="1"/>
  <c r="E4125" i="1"/>
  <c r="G4125" i="1"/>
  <c r="J4125" i="1"/>
  <c r="K4125" i="1"/>
  <c r="BE4125" i="1"/>
  <c r="BF4125" i="1"/>
  <c r="BG4125" i="1"/>
  <c r="E4126" i="1"/>
  <c r="G4126" i="1"/>
  <c r="J4126" i="1"/>
  <c r="K4126" i="1"/>
  <c r="BE4126" i="1"/>
  <c r="BF4126" i="1"/>
  <c r="BG4126" i="1"/>
  <c r="E4127" i="1"/>
  <c r="G4127" i="1"/>
  <c r="J4127" i="1"/>
  <c r="K4127" i="1"/>
  <c r="BE4127" i="1"/>
  <c r="BF4127" i="1"/>
  <c r="BG4127" i="1"/>
  <c r="E4128" i="1"/>
  <c r="G4128" i="1"/>
  <c r="J4128" i="1"/>
  <c r="K4128" i="1"/>
  <c r="BE4128" i="1"/>
  <c r="BF4128" i="1"/>
  <c r="BG4128" i="1"/>
  <c r="E4129" i="1"/>
  <c r="G4129" i="1"/>
  <c r="J4129" i="1"/>
  <c r="K4129" i="1"/>
  <c r="BE4129" i="1"/>
  <c r="BF4129" i="1"/>
  <c r="BG4129" i="1"/>
  <c r="E4130" i="1"/>
  <c r="G4130" i="1"/>
  <c r="J4130" i="1"/>
  <c r="K4130" i="1"/>
  <c r="BE4130" i="1"/>
  <c r="BF4130" i="1"/>
  <c r="BG4130" i="1"/>
  <c r="E4131" i="1"/>
  <c r="G4131" i="1"/>
  <c r="J4131" i="1"/>
  <c r="K4131" i="1"/>
  <c r="BE4131" i="1"/>
  <c r="BF4131" i="1"/>
  <c r="BG4131" i="1"/>
  <c r="E4132" i="1"/>
  <c r="G4132" i="1"/>
  <c r="J4132" i="1"/>
  <c r="K4132" i="1"/>
  <c r="BE4132" i="1"/>
  <c r="BF4132" i="1"/>
  <c r="BG4132" i="1"/>
  <c r="E4133" i="1"/>
  <c r="G4133" i="1"/>
  <c r="J4133" i="1"/>
  <c r="K4133" i="1"/>
  <c r="BE4133" i="1"/>
  <c r="BF4133" i="1"/>
  <c r="BG4133" i="1"/>
  <c r="E4134" i="1"/>
  <c r="G4134" i="1"/>
  <c r="J4134" i="1"/>
  <c r="K4134" i="1"/>
  <c r="BE4134" i="1"/>
  <c r="BF4134" i="1"/>
  <c r="BG4134" i="1"/>
  <c r="E4135" i="1"/>
  <c r="G4135" i="1"/>
  <c r="J4135" i="1"/>
  <c r="K4135" i="1"/>
  <c r="BE4135" i="1"/>
  <c r="BF4135" i="1"/>
  <c r="BG4135" i="1"/>
  <c r="E4136" i="1"/>
  <c r="G4136" i="1"/>
  <c r="J4136" i="1"/>
  <c r="K4136" i="1"/>
  <c r="BE4136" i="1"/>
  <c r="BF4136" i="1"/>
  <c r="BG4136" i="1"/>
  <c r="E4137" i="1"/>
  <c r="G4137" i="1"/>
  <c r="J4137" i="1"/>
  <c r="K4137" i="1"/>
  <c r="BE4137" i="1"/>
  <c r="BF4137" i="1"/>
  <c r="BG4137" i="1"/>
  <c r="E4138" i="1"/>
  <c r="G4138" i="1"/>
  <c r="J4138" i="1"/>
  <c r="K4138" i="1"/>
  <c r="BE4138" i="1"/>
  <c r="BF4138" i="1"/>
  <c r="BG4138" i="1"/>
  <c r="E4139" i="1"/>
  <c r="G4139" i="1"/>
  <c r="J4139" i="1"/>
  <c r="K4139" i="1"/>
  <c r="BE4139" i="1"/>
  <c r="BF4139" i="1"/>
  <c r="BG4139" i="1"/>
  <c r="E4140" i="1"/>
  <c r="G4140" i="1"/>
  <c r="J4140" i="1"/>
  <c r="K4140" i="1"/>
  <c r="BE4140" i="1"/>
  <c r="BF4140" i="1"/>
  <c r="BG4140" i="1"/>
  <c r="E4141" i="1"/>
  <c r="G4141" i="1"/>
  <c r="J4141" i="1"/>
  <c r="K4141" i="1"/>
  <c r="BE4141" i="1"/>
  <c r="BF4141" i="1"/>
  <c r="BG4141" i="1"/>
  <c r="E4142" i="1"/>
  <c r="G4142" i="1"/>
  <c r="J4142" i="1"/>
  <c r="K4142" i="1"/>
  <c r="BE4142" i="1"/>
  <c r="BF4142" i="1"/>
  <c r="BG4142" i="1"/>
  <c r="E4143" i="1"/>
  <c r="G4143" i="1"/>
  <c r="J4143" i="1"/>
  <c r="K4143" i="1"/>
  <c r="BE4143" i="1"/>
  <c r="BF4143" i="1"/>
  <c r="BG4143" i="1"/>
  <c r="E4144" i="1"/>
  <c r="G4144" i="1"/>
  <c r="J4144" i="1"/>
  <c r="K4144" i="1"/>
  <c r="BE4144" i="1"/>
  <c r="BF4144" i="1"/>
  <c r="BG4144" i="1"/>
  <c r="E4145" i="1"/>
  <c r="G4145" i="1"/>
  <c r="J4145" i="1"/>
  <c r="K4145" i="1"/>
  <c r="BE4145" i="1"/>
  <c r="BF4145" i="1"/>
  <c r="BG4145" i="1"/>
  <c r="E4146" i="1"/>
  <c r="G4146" i="1"/>
  <c r="J4146" i="1"/>
  <c r="K4146" i="1"/>
  <c r="BE4146" i="1"/>
  <c r="BF4146" i="1"/>
  <c r="BG4146" i="1"/>
  <c r="E4147" i="1"/>
  <c r="G4147" i="1"/>
  <c r="J4147" i="1"/>
  <c r="K4147" i="1"/>
  <c r="BE4147" i="1"/>
  <c r="BF4147" i="1"/>
  <c r="BG4147" i="1"/>
  <c r="E4148" i="1"/>
  <c r="G4148" i="1"/>
  <c r="J4148" i="1"/>
  <c r="K4148" i="1"/>
  <c r="BE4148" i="1"/>
  <c r="BF4148" i="1"/>
  <c r="BG4148" i="1"/>
  <c r="E4149" i="1"/>
  <c r="G4149" i="1"/>
  <c r="J4149" i="1"/>
  <c r="K4149" i="1"/>
  <c r="BE4149" i="1"/>
  <c r="BF4149" i="1"/>
  <c r="BG4149" i="1"/>
  <c r="E4150" i="1"/>
  <c r="G4150" i="1"/>
  <c r="J4150" i="1"/>
  <c r="K4150" i="1"/>
  <c r="BE4150" i="1"/>
  <c r="BF4150" i="1"/>
  <c r="BG4150" i="1"/>
  <c r="E4151" i="1"/>
  <c r="G4151" i="1"/>
  <c r="J4151" i="1"/>
  <c r="K4151" i="1"/>
  <c r="BE4151" i="1"/>
  <c r="BF4151" i="1"/>
  <c r="BG4151" i="1"/>
  <c r="E4152" i="1"/>
  <c r="G4152" i="1"/>
  <c r="J4152" i="1"/>
  <c r="K4152" i="1"/>
  <c r="BE4152" i="1"/>
  <c r="BF4152" i="1"/>
  <c r="BG4152" i="1"/>
  <c r="E4153" i="1"/>
  <c r="G4153" i="1"/>
  <c r="J4153" i="1"/>
  <c r="K4153" i="1"/>
  <c r="BE4153" i="1"/>
  <c r="BF4153" i="1"/>
  <c r="BG4153" i="1"/>
  <c r="E4154" i="1"/>
  <c r="G4154" i="1"/>
  <c r="J4154" i="1"/>
  <c r="K4154" i="1"/>
  <c r="BE4154" i="1"/>
  <c r="BF4154" i="1"/>
  <c r="BG4154" i="1"/>
  <c r="E4155" i="1"/>
  <c r="G4155" i="1"/>
  <c r="J4155" i="1"/>
  <c r="K4155" i="1"/>
  <c r="BE4155" i="1"/>
  <c r="BF4155" i="1"/>
  <c r="BG4155" i="1"/>
  <c r="E4156" i="1"/>
  <c r="G4156" i="1"/>
  <c r="J4156" i="1"/>
  <c r="K4156" i="1"/>
  <c r="BE4156" i="1"/>
  <c r="BF4156" i="1"/>
  <c r="BG4156" i="1"/>
  <c r="E4157" i="1"/>
  <c r="G4157" i="1"/>
  <c r="J4157" i="1"/>
  <c r="K4157" i="1"/>
  <c r="BE4157" i="1"/>
  <c r="BF4157" i="1"/>
  <c r="BG4157" i="1"/>
  <c r="E4158" i="1"/>
  <c r="G4158" i="1"/>
  <c r="J4158" i="1"/>
  <c r="K4158" i="1"/>
  <c r="BE4158" i="1"/>
  <c r="BF4158" i="1"/>
  <c r="BG4158" i="1"/>
  <c r="E4159" i="1"/>
  <c r="G4159" i="1"/>
  <c r="J4159" i="1"/>
  <c r="K4159" i="1"/>
  <c r="BE4159" i="1"/>
  <c r="BF4159" i="1"/>
  <c r="BG4159" i="1"/>
  <c r="E4160" i="1"/>
  <c r="G4160" i="1"/>
  <c r="J4160" i="1"/>
  <c r="K4160" i="1"/>
  <c r="BE4160" i="1"/>
  <c r="BF4160" i="1"/>
  <c r="BG4160" i="1"/>
  <c r="E4161" i="1"/>
  <c r="G4161" i="1"/>
  <c r="J4161" i="1"/>
  <c r="K4161" i="1"/>
  <c r="BE4161" i="1"/>
  <c r="BF4161" i="1"/>
  <c r="BG4161" i="1"/>
  <c r="E4162" i="1"/>
  <c r="G4162" i="1"/>
  <c r="J4162" i="1"/>
  <c r="K4162" i="1"/>
  <c r="BE4162" i="1"/>
  <c r="BF4162" i="1"/>
  <c r="BG4162" i="1"/>
  <c r="E4163" i="1"/>
  <c r="G4163" i="1"/>
  <c r="J4163" i="1"/>
  <c r="K4163" i="1"/>
  <c r="BE4163" i="1"/>
  <c r="BF4163" i="1"/>
  <c r="BG4163" i="1"/>
  <c r="E4164" i="1"/>
  <c r="G4164" i="1"/>
  <c r="J4164" i="1"/>
  <c r="K4164" i="1"/>
  <c r="BE4164" i="1"/>
  <c r="BF4164" i="1"/>
  <c r="BG4164" i="1"/>
  <c r="E4165" i="1"/>
  <c r="G4165" i="1"/>
  <c r="J4165" i="1"/>
  <c r="K4165" i="1"/>
  <c r="BE4165" i="1"/>
  <c r="BF4165" i="1"/>
  <c r="BG4165" i="1"/>
  <c r="E4166" i="1"/>
  <c r="G4166" i="1"/>
  <c r="J4166" i="1"/>
  <c r="K4166" i="1"/>
  <c r="BE4166" i="1"/>
  <c r="BF4166" i="1"/>
  <c r="BG4166" i="1"/>
  <c r="E4167" i="1"/>
  <c r="G4167" i="1"/>
  <c r="J4167" i="1"/>
  <c r="K4167" i="1"/>
  <c r="BE4167" i="1"/>
  <c r="BF4167" i="1"/>
  <c r="BG4167" i="1"/>
  <c r="E4168" i="1"/>
  <c r="G4168" i="1"/>
  <c r="J4168" i="1"/>
  <c r="K4168" i="1"/>
  <c r="BE4168" i="1"/>
  <c r="BF4168" i="1"/>
  <c r="BG4168" i="1"/>
  <c r="E4169" i="1"/>
  <c r="G4169" i="1"/>
  <c r="J4169" i="1"/>
  <c r="K4169" i="1"/>
  <c r="BE4169" i="1"/>
  <c r="BF4169" i="1"/>
  <c r="BG4169" i="1"/>
  <c r="E4170" i="1"/>
  <c r="G4170" i="1"/>
  <c r="J4170" i="1"/>
  <c r="K4170" i="1"/>
  <c r="BE4170" i="1"/>
  <c r="BF4170" i="1"/>
  <c r="BG4170" i="1"/>
  <c r="E4171" i="1"/>
  <c r="G4171" i="1"/>
  <c r="J4171" i="1"/>
  <c r="K4171" i="1"/>
  <c r="BE4171" i="1"/>
  <c r="BF4171" i="1"/>
  <c r="BG4171" i="1"/>
  <c r="E4172" i="1"/>
  <c r="G4172" i="1"/>
  <c r="J4172" i="1"/>
  <c r="K4172" i="1"/>
  <c r="BE4172" i="1"/>
  <c r="BF4172" i="1"/>
  <c r="BG4172" i="1"/>
  <c r="E4173" i="1"/>
  <c r="G4173" i="1"/>
  <c r="J4173" i="1"/>
  <c r="K4173" i="1"/>
  <c r="BE4173" i="1"/>
  <c r="BF4173" i="1"/>
  <c r="BG4173" i="1"/>
  <c r="E4174" i="1"/>
  <c r="G4174" i="1"/>
  <c r="J4174" i="1"/>
  <c r="K4174" i="1"/>
  <c r="BE4174" i="1"/>
  <c r="BF4174" i="1"/>
  <c r="BG4174" i="1"/>
  <c r="E4175" i="1"/>
  <c r="G4175" i="1"/>
  <c r="J4175" i="1"/>
  <c r="K4175" i="1"/>
  <c r="BE4175" i="1"/>
  <c r="BF4175" i="1"/>
  <c r="BG4175" i="1"/>
  <c r="E4176" i="1"/>
  <c r="G4176" i="1"/>
  <c r="J4176" i="1"/>
  <c r="K4176" i="1"/>
  <c r="BE4176" i="1"/>
  <c r="BF4176" i="1"/>
  <c r="BG4176" i="1"/>
  <c r="E4177" i="1"/>
  <c r="G4177" i="1"/>
  <c r="J4177" i="1"/>
  <c r="K4177" i="1"/>
  <c r="BE4177" i="1"/>
  <c r="BF4177" i="1"/>
  <c r="BG4177" i="1"/>
  <c r="E4178" i="1"/>
  <c r="G4178" i="1"/>
  <c r="J4178" i="1"/>
  <c r="K4178" i="1"/>
  <c r="BE4178" i="1"/>
  <c r="BF4178" i="1"/>
  <c r="BG4178" i="1"/>
  <c r="E4179" i="1"/>
  <c r="G4179" i="1"/>
  <c r="J4179" i="1"/>
  <c r="K4179" i="1"/>
  <c r="BE4179" i="1"/>
  <c r="BF4179" i="1"/>
  <c r="BG4179" i="1"/>
  <c r="E4180" i="1"/>
  <c r="G4180" i="1"/>
  <c r="J4180" i="1"/>
  <c r="K4180" i="1"/>
  <c r="BE4180" i="1"/>
  <c r="BF4180" i="1"/>
  <c r="BG4180" i="1"/>
  <c r="E4181" i="1"/>
  <c r="G4181" i="1"/>
  <c r="J4181" i="1"/>
  <c r="K4181" i="1"/>
  <c r="BE4181" i="1"/>
  <c r="BF4181" i="1"/>
  <c r="BG4181" i="1"/>
  <c r="E4295" i="1"/>
  <c r="G4295" i="1"/>
  <c r="J4295" i="1"/>
  <c r="K4295" i="1"/>
  <c r="BE4295" i="1"/>
  <c r="BF4295" i="1"/>
  <c r="BG4295" i="1"/>
  <c r="E355" i="1"/>
  <c r="G355" i="1"/>
  <c r="J355" i="1"/>
  <c r="K355" i="1"/>
  <c r="BE355" i="1"/>
  <c r="BF355" i="1"/>
  <c r="BG355" i="1"/>
  <c r="E2921" i="1"/>
  <c r="G2921" i="1"/>
  <c r="J2921" i="1"/>
  <c r="K2921" i="1"/>
  <c r="BE2921" i="1"/>
  <c r="BF2921" i="1"/>
  <c r="BG2921" i="1"/>
  <c r="E4182" i="1"/>
  <c r="G4182" i="1"/>
  <c r="J4182" i="1"/>
  <c r="K4182" i="1"/>
  <c r="BE4182" i="1"/>
  <c r="BF4182" i="1"/>
  <c r="BG4182" i="1"/>
  <c r="E2922" i="1"/>
  <c r="G2922" i="1"/>
  <c r="J2922" i="1"/>
  <c r="K2922" i="1"/>
  <c r="BE2922" i="1"/>
  <c r="BF2922" i="1"/>
  <c r="BG2922" i="1"/>
  <c r="E4296" i="1"/>
  <c r="G4296" i="1"/>
  <c r="J4296" i="1"/>
  <c r="K4296" i="1"/>
  <c r="BE4296" i="1"/>
  <c r="BF4296" i="1"/>
  <c r="BG4296" i="1"/>
  <c r="E3333" i="1"/>
  <c r="G3333" i="1"/>
  <c r="J3333" i="1"/>
  <c r="K3333" i="1"/>
  <c r="BE3333" i="1"/>
  <c r="BF3333" i="1"/>
  <c r="BG3333" i="1"/>
  <c r="E618" i="1"/>
  <c r="G618" i="1"/>
  <c r="J618" i="1"/>
  <c r="K618" i="1"/>
  <c r="BE618" i="1"/>
  <c r="BF618" i="1"/>
  <c r="BG618" i="1"/>
  <c r="BH618" i="1"/>
  <c r="E6026" i="1"/>
  <c r="G6026" i="1"/>
  <c r="J6026" i="1"/>
  <c r="K6026" i="1"/>
  <c r="BE6026" i="1"/>
  <c r="BF6026" i="1"/>
  <c r="BG6026" i="1"/>
  <c r="E814" i="1"/>
  <c r="G814" i="1"/>
  <c r="J814" i="1"/>
  <c r="K814" i="1"/>
  <c r="BE814" i="1"/>
  <c r="BF814" i="1"/>
  <c r="BG814" i="1"/>
  <c r="E815" i="1"/>
  <c r="G815" i="1"/>
  <c r="J815" i="1"/>
  <c r="K815" i="1"/>
  <c r="BE815" i="1"/>
  <c r="BF815" i="1"/>
  <c r="BG815" i="1"/>
  <c r="E816" i="1"/>
  <c r="G816" i="1"/>
  <c r="J816" i="1"/>
  <c r="K816" i="1"/>
  <c r="BE816" i="1"/>
  <c r="BF816" i="1"/>
  <c r="BG816" i="1"/>
  <c r="E817" i="1"/>
  <c r="G817" i="1"/>
  <c r="J817" i="1"/>
  <c r="K817" i="1"/>
  <c r="BE817" i="1"/>
  <c r="BF817" i="1"/>
  <c r="BG817" i="1"/>
  <c r="E818" i="1"/>
  <c r="G818" i="1"/>
  <c r="J818" i="1"/>
  <c r="K818" i="1"/>
  <c r="BE818" i="1"/>
  <c r="BF818" i="1"/>
  <c r="BG818" i="1"/>
  <c r="E819" i="1"/>
  <c r="G819" i="1"/>
  <c r="J819" i="1"/>
  <c r="K819" i="1"/>
  <c r="BE819" i="1"/>
  <c r="BF819" i="1"/>
  <c r="BG819" i="1"/>
  <c r="E820" i="1"/>
  <c r="G820" i="1"/>
  <c r="J820" i="1"/>
  <c r="K820" i="1"/>
  <c r="BE820" i="1"/>
  <c r="BF820" i="1"/>
  <c r="BG820" i="1"/>
  <c r="E821" i="1"/>
  <c r="G821" i="1"/>
  <c r="J821" i="1"/>
  <c r="K821" i="1"/>
  <c r="BE821" i="1"/>
  <c r="BF821" i="1"/>
  <c r="BG821" i="1"/>
  <c r="E822" i="1"/>
  <c r="G822" i="1"/>
  <c r="J822" i="1"/>
  <c r="K822" i="1"/>
  <c r="BE822" i="1"/>
  <c r="BF822" i="1"/>
  <c r="BG822" i="1"/>
  <c r="E823" i="1"/>
  <c r="G823" i="1"/>
  <c r="J823" i="1"/>
  <c r="K823" i="1"/>
  <c r="BE823" i="1"/>
  <c r="BF823" i="1"/>
  <c r="BG823" i="1"/>
  <c r="E824" i="1"/>
  <c r="G824" i="1"/>
  <c r="J824" i="1"/>
  <c r="K824" i="1"/>
  <c r="BF824" i="1"/>
  <c r="BG824" i="1"/>
  <c r="E4297" i="1"/>
  <c r="G4297" i="1"/>
  <c r="J4297" i="1"/>
  <c r="K4297" i="1"/>
  <c r="BE4297" i="1"/>
  <c r="BF4297" i="1"/>
  <c r="BG4297" i="1"/>
  <c r="E6551" i="1"/>
  <c r="G6551" i="1"/>
  <c r="J6551" i="1"/>
  <c r="K6551" i="1"/>
  <c r="BE6551" i="1"/>
  <c r="BF6551" i="1"/>
  <c r="BG6551" i="1"/>
  <c r="E4799" i="1"/>
  <c r="G4799" i="1"/>
  <c r="J4799" i="1"/>
  <c r="K4799" i="1"/>
  <c r="BE4799" i="1"/>
  <c r="BF4799" i="1"/>
  <c r="BG4799" i="1"/>
  <c r="E560" i="1"/>
  <c r="G560" i="1"/>
  <c r="J560" i="1"/>
  <c r="K560" i="1"/>
  <c r="BE560" i="1"/>
  <c r="BF560" i="1"/>
  <c r="BG560" i="1"/>
  <c r="E4298" i="1"/>
  <c r="G4298" i="1"/>
  <c r="J4298" i="1"/>
  <c r="K4298" i="1"/>
  <c r="BE4298" i="1"/>
  <c r="BF4298" i="1"/>
  <c r="BG4298" i="1"/>
  <c r="E20" i="1"/>
  <c r="G20" i="1"/>
  <c r="J20" i="1"/>
  <c r="K20" i="1"/>
  <c r="BE20" i="1"/>
  <c r="BF20" i="1"/>
  <c r="BG20" i="1"/>
  <c r="E5796" i="1"/>
  <c r="G5796" i="1"/>
  <c r="J5796" i="1"/>
  <c r="K5796" i="1"/>
  <c r="BE5796" i="1"/>
  <c r="BF5796" i="1"/>
  <c r="BG5796" i="1"/>
  <c r="E3334" i="1"/>
  <c r="G3334" i="1"/>
  <c r="J3334" i="1"/>
  <c r="K3334" i="1"/>
  <c r="BE3334" i="1"/>
  <c r="BF3334" i="1"/>
  <c r="BG3334" i="1"/>
  <c r="E5797" i="1"/>
  <c r="G5797" i="1"/>
  <c r="J5797" i="1"/>
  <c r="K5797" i="1"/>
  <c r="BE5797" i="1"/>
  <c r="BF5797" i="1"/>
  <c r="BG5797" i="1"/>
  <c r="E4299" i="1"/>
  <c r="G4299" i="1"/>
  <c r="J4299" i="1"/>
  <c r="K4299" i="1"/>
  <c r="BE4299" i="1"/>
  <c r="BF4299" i="1"/>
  <c r="BG4299" i="1"/>
  <c r="E639" i="1"/>
  <c r="G639" i="1"/>
  <c r="J639" i="1"/>
  <c r="K639" i="1"/>
  <c r="BE639" i="1"/>
  <c r="BF639" i="1"/>
  <c r="BG639" i="1"/>
  <c r="E4300" i="1"/>
  <c r="G4300" i="1"/>
  <c r="J4300" i="1"/>
  <c r="K4300" i="1"/>
  <c r="BE4300" i="1"/>
  <c r="BF4300" i="1"/>
  <c r="BG4300" i="1"/>
  <c r="E3335" i="1"/>
  <c r="G3335" i="1"/>
  <c r="J3335" i="1"/>
  <c r="K3335" i="1"/>
  <c r="BE3335" i="1"/>
  <c r="BF3335" i="1"/>
  <c r="BG3335" i="1"/>
  <c r="E2923" i="1"/>
  <c r="G2923" i="1"/>
  <c r="J2923" i="1"/>
  <c r="K2923" i="1"/>
  <c r="BE2923" i="1"/>
  <c r="BF2923" i="1"/>
  <c r="BG2923" i="1"/>
  <c r="E1902" i="1"/>
  <c r="G1902" i="1"/>
  <c r="J1902" i="1"/>
  <c r="K1902" i="1"/>
  <c r="BF1902" i="1"/>
  <c r="BG1902" i="1"/>
  <c r="E6739" i="1"/>
  <c r="G6739" i="1"/>
  <c r="J6739" i="1"/>
  <c r="K6739" i="1"/>
  <c r="BE6739" i="1"/>
  <c r="BF6739" i="1"/>
  <c r="BG6739" i="1"/>
  <c r="E730" i="1"/>
  <c r="G730" i="1"/>
  <c r="J730" i="1"/>
  <c r="K730" i="1"/>
  <c r="BE730" i="1"/>
  <c r="BF730" i="1"/>
  <c r="BG730" i="1"/>
  <c r="E6740" i="1"/>
  <c r="G6740" i="1"/>
  <c r="J6740" i="1"/>
  <c r="K6740" i="1"/>
  <c r="BE6740" i="1"/>
  <c r="BF6740" i="1"/>
  <c r="BG6740" i="1"/>
  <c r="E2319" i="1"/>
  <c r="G2319" i="1"/>
  <c r="J2319" i="1"/>
  <c r="K2319" i="1"/>
  <c r="BE2319" i="1"/>
  <c r="BF2319" i="1"/>
  <c r="BG2319" i="1"/>
  <c r="E4800" i="1"/>
  <c r="G4800" i="1"/>
  <c r="J4800" i="1"/>
  <c r="K4800" i="1"/>
  <c r="BE4800" i="1"/>
  <c r="BF4800" i="1"/>
  <c r="BG4800" i="1"/>
  <c r="E4301" i="1"/>
  <c r="G4301" i="1"/>
  <c r="J4301" i="1"/>
  <c r="K4301" i="1"/>
  <c r="BE4301" i="1"/>
  <c r="BF4301" i="1"/>
  <c r="BG4301" i="1"/>
  <c r="E6741" i="1"/>
  <c r="G6741" i="1"/>
  <c r="J6741" i="1"/>
  <c r="K6741" i="1"/>
  <c r="BE6741" i="1"/>
  <c r="BF6741" i="1"/>
  <c r="BG6741" i="1"/>
  <c r="E3336" i="1"/>
  <c r="G3336" i="1"/>
  <c r="J3336" i="1"/>
  <c r="K3336" i="1"/>
  <c r="BE3336" i="1"/>
  <c r="BF3336" i="1"/>
  <c r="BG3336" i="1"/>
  <c r="E561" i="1"/>
  <c r="G561" i="1"/>
  <c r="J561" i="1"/>
  <c r="K561" i="1"/>
  <c r="BE561" i="1"/>
  <c r="BF561" i="1"/>
  <c r="BG561" i="1"/>
  <c r="E6742" i="1"/>
  <c r="G6742" i="1"/>
  <c r="J6742" i="1"/>
  <c r="K6742" i="1"/>
  <c r="BE6742" i="1"/>
  <c r="BF6742" i="1"/>
  <c r="BG6742" i="1"/>
  <c r="E4302" i="1"/>
  <c r="G4302" i="1"/>
  <c r="J4302" i="1"/>
  <c r="K4302" i="1"/>
  <c r="BE4302" i="1"/>
  <c r="BF4302" i="1"/>
  <c r="BG4302" i="1"/>
  <c r="E6743" i="1"/>
  <c r="G6743" i="1"/>
  <c r="J6743" i="1"/>
  <c r="K6743" i="1"/>
  <c r="BE6743" i="1"/>
  <c r="BF6743" i="1"/>
  <c r="BG6743" i="1"/>
  <c r="E4801" i="1"/>
  <c r="G4801" i="1"/>
  <c r="J4801" i="1"/>
  <c r="K4801" i="1"/>
  <c r="BE4801" i="1"/>
  <c r="BF4801" i="1"/>
  <c r="BG4801" i="1"/>
  <c r="E3337" i="1"/>
  <c r="G3337" i="1"/>
  <c r="J3337" i="1"/>
  <c r="K3337" i="1"/>
  <c r="BE3337" i="1"/>
  <c r="BF3337" i="1"/>
  <c r="BG3337" i="1"/>
  <c r="E6744" i="1"/>
  <c r="G6744" i="1"/>
  <c r="J6744" i="1"/>
  <c r="K6744" i="1"/>
  <c r="BE6744" i="1"/>
  <c r="BF6744" i="1"/>
  <c r="BG6744" i="1"/>
  <c r="E4303" i="1"/>
  <c r="G4303" i="1"/>
  <c r="J4303" i="1"/>
  <c r="K4303" i="1"/>
  <c r="BE4303" i="1"/>
  <c r="BF4303" i="1"/>
  <c r="BG4303" i="1"/>
  <c r="E241" i="1"/>
  <c r="G241" i="1"/>
  <c r="J241" i="1"/>
  <c r="K241" i="1"/>
  <c r="BE241" i="1"/>
  <c r="BF241" i="1"/>
  <c r="BG241" i="1"/>
  <c r="E242" i="1"/>
  <c r="G242" i="1"/>
  <c r="J242" i="1"/>
  <c r="K242" i="1"/>
  <c r="BE242" i="1"/>
  <c r="BF242" i="1"/>
  <c r="BG242" i="1"/>
  <c r="E6745" i="1"/>
  <c r="G6745" i="1"/>
  <c r="J6745" i="1"/>
  <c r="K6745" i="1"/>
  <c r="BE6745" i="1"/>
  <c r="BF6745" i="1"/>
  <c r="BG6745" i="1"/>
  <c r="E3338" i="1"/>
  <c r="G3338" i="1"/>
  <c r="J3338" i="1"/>
  <c r="K3338" i="1"/>
  <c r="BE3338" i="1"/>
  <c r="BF3338" i="1"/>
  <c r="BG3338" i="1"/>
  <c r="E4304" i="1"/>
  <c r="G4304" i="1"/>
  <c r="J4304" i="1"/>
  <c r="K4304" i="1"/>
  <c r="BE4304" i="1"/>
  <c r="BF4304" i="1"/>
  <c r="BG4304" i="1"/>
  <c r="E6746" i="1"/>
  <c r="G6746" i="1"/>
  <c r="J6746" i="1"/>
  <c r="K6746" i="1"/>
  <c r="BE6746" i="1"/>
  <c r="BF6746" i="1"/>
  <c r="BG6746" i="1"/>
  <c r="E5798" i="1"/>
  <c r="G5798" i="1"/>
  <c r="J5798" i="1"/>
  <c r="K5798" i="1"/>
  <c r="BE5798" i="1"/>
  <c r="BF5798" i="1"/>
  <c r="BG5798" i="1"/>
  <c r="E315" i="1"/>
  <c r="G315" i="1"/>
  <c r="J315" i="1"/>
  <c r="K315" i="1"/>
  <c r="BF315" i="1"/>
  <c r="BG315" i="1"/>
  <c r="E4802" i="1"/>
  <c r="G4802" i="1"/>
  <c r="J4802" i="1"/>
  <c r="K4802" i="1"/>
  <c r="BE4802" i="1"/>
  <c r="BF4802" i="1"/>
  <c r="BG4802" i="1"/>
  <c r="E5799" i="1"/>
  <c r="G5799" i="1"/>
  <c r="J5799" i="1"/>
  <c r="K5799" i="1"/>
  <c r="BE5799" i="1"/>
  <c r="BF5799" i="1"/>
  <c r="BG5799" i="1"/>
  <c r="E6747" i="1"/>
  <c r="G6747" i="1"/>
  <c r="J6747" i="1"/>
  <c r="K6747" i="1"/>
  <c r="BE6747" i="1"/>
  <c r="BF6747" i="1"/>
  <c r="BG6747" i="1"/>
  <c r="E278" i="1"/>
  <c r="G278" i="1"/>
  <c r="J278" i="1"/>
  <c r="K278" i="1"/>
  <c r="BE278" i="1"/>
  <c r="BF278" i="1"/>
  <c r="BG278" i="1"/>
  <c r="E279" i="1"/>
  <c r="G279" i="1"/>
  <c r="J279" i="1"/>
  <c r="K279" i="1"/>
  <c r="BE279" i="1"/>
  <c r="BF279" i="1"/>
  <c r="BG279" i="1"/>
  <c r="E280" i="1"/>
  <c r="G280" i="1"/>
  <c r="J280" i="1"/>
  <c r="K280" i="1"/>
  <c r="BE280" i="1"/>
  <c r="BF280" i="1"/>
  <c r="BG280" i="1"/>
  <c r="E281" i="1"/>
  <c r="G281" i="1"/>
  <c r="J281" i="1"/>
  <c r="K281" i="1"/>
  <c r="BE281" i="1"/>
  <c r="BF281" i="1"/>
  <c r="BG281" i="1"/>
  <c r="E282" i="1"/>
  <c r="G282" i="1"/>
  <c r="J282" i="1"/>
  <c r="K282" i="1"/>
  <c r="BE282" i="1"/>
  <c r="BF282" i="1"/>
  <c r="BG282" i="1"/>
  <c r="E6621" i="1"/>
  <c r="G6621" i="1"/>
  <c r="J6621" i="1"/>
  <c r="K6621" i="1"/>
  <c r="BE6621" i="1"/>
  <c r="BF6621" i="1"/>
  <c r="BG6621" i="1"/>
  <c r="E3339" i="1"/>
  <c r="G3339" i="1"/>
  <c r="J3339" i="1"/>
  <c r="K3339" i="1"/>
  <c r="BE3339" i="1"/>
  <c r="BF3339" i="1"/>
  <c r="BG3339" i="1"/>
  <c r="E5800" i="1"/>
  <c r="G5800" i="1"/>
  <c r="J5800" i="1"/>
  <c r="K5800" i="1"/>
  <c r="BE5800" i="1"/>
  <c r="BF5800" i="1"/>
  <c r="BG5800" i="1"/>
  <c r="E172" i="1"/>
  <c r="G172" i="1"/>
  <c r="J172" i="1"/>
  <c r="K172" i="1"/>
  <c r="BF172" i="1"/>
  <c r="BG172" i="1"/>
  <c r="E4305" i="1"/>
  <c r="G4305" i="1"/>
  <c r="J4305" i="1"/>
  <c r="K4305" i="1"/>
  <c r="BE4305" i="1"/>
  <c r="BF4305" i="1"/>
  <c r="BG4305" i="1"/>
  <c r="E5801" i="1"/>
  <c r="G5801" i="1"/>
  <c r="J5801" i="1"/>
  <c r="K5801" i="1"/>
  <c r="BE5801" i="1"/>
  <c r="BF5801" i="1"/>
  <c r="BG5801" i="1"/>
  <c r="E6748" i="1"/>
  <c r="G6748" i="1"/>
  <c r="J6748" i="1"/>
  <c r="K6748" i="1"/>
  <c r="BE6748" i="1"/>
  <c r="BF6748" i="1"/>
  <c r="BG6748" i="1"/>
  <c r="E2320" i="1"/>
  <c r="G2320" i="1"/>
  <c r="J2320" i="1"/>
  <c r="K2320" i="1"/>
  <c r="BE2320" i="1"/>
  <c r="BF2320" i="1"/>
  <c r="BG2320" i="1"/>
  <c r="E42" i="1"/>
  <c r="G42" i="1"/>
  <c r="J42" i="1"/>
  <c r="K42" i="1"/>
  <c r="BF42" i="1"/>
  <c r="BG42" i="1"/>
  <c r="E5802" i="1"/>
  <c r="G5802" i="1"/>
  <c r="J5802" i="1"/>
  <c r="K5802" i="1"/>
  <c r="BE5802" i="1"/>
  <c r="BF5802" i="1"/>
  <c r="BG5802" i="1"/>
  <c r="E4803" i="1"/>
  <c r="G4803" i="1"/>
  <c r="J4803" i="1"/>
  <c r="K4803" i="1"/>
  <c r="BE4803" i="1"/>
  <c r="BF4803" i="1"/>
  <c r="BG4803" i="1"/>
  <c r="E6749" i="1"/>
  <c r="G6749" i="1"/>
  <c r="J6749" i="1"/>
  <c r="K6749" i="1"/>
  <c r="BE6749" i="1"/>
  <c r="BF6749" i="1"/>
  <c r="BG6749" i="1"/>
  <c r="E745" i="1"/>
  <c r="G745" i="1"/>
  <c r="J745" i="1"/>
  <c r="K745" i="1"/>
  <c r="BC745" i="1"/>
  <c r="BE745" i="1"/>
  <c r="BF745" i="1"/>
  <c r="BG745" i="1"/>
  <c r="E1844" i="1"/>
  <c r="G1844" i="1"/>
  <c r="J1844" i="1"/>
  <c r="K1844" i="1"/>
  <c r="BF1844" i="1"/>
  <c r="BG1844" i="1"/>
  <c r="E3340" i="1"/>
  <c r="G3340" i="1"/>
  <c r="J3340" i="1"/>
  <c r="K3340" i="1"/>
  <c r="BE3340" i="1"/>
  <c r="BF3340" i="1"/>
  <c r="BG3340" i="1"/>
  <c r="E4306" i="1"/>
  <c r="G4306" i="1"/>
  <c r="J4306" i="1"/>
  <c r="K4306" i="1"/>
  <c r="BE4306" i="1"/>
  <c r="BF4306" i="1"/>
  <c r="BG4306" i="1"/>
  <c r="E2321" i="1"/>
  <c r="G2321" i="1"/>
  <c r="J2321" i="1"/>
  <c r="K2321" i="1"/>
  <c r="BE2321" i="1"/>
  <c r="BF2321" i="1"/>
  <c r="BG2321" i="1"/>
  <c r="E2322" i="1"/>
  <c r="G2322" i="1"/>
  <c r="J2322" i="1"/>
  <c r="K2322" i="1"/>
  <c r="BE2322" i="1"/>
  <c r="BF2322" i="1"/>
  <c r="BG2322" i="1"/>
  <c r="E6750" i="1"/>
  <c r="G6750" i="1"/>
  <c r="J6750" i="1"/>
  <c r="K6750" i="1"/>
  <c r="BE6750" i="1"/>
  <c r="BF6750" i="1"/>
  <c r="BG6750" i="1"/>
  <c r="E2323" i="1"/>
  <c r="G2323" i="1"/>
  <c r="J2323" i="1"/>
  <c r="K2323" i="1"/>
  <c r="BE2323" i="1"/>
  <c r="BF2323" i="1"/>
  <c r="BG2323" i="1"/>
  <c r="E6751" i="1"/>
  <c r="G6751" i="1"/>
  <c r="J6751" i="1"/>
  <c r="K6751" i="1"/>
  <c r="BE6751" i="1"/>
  <c r="BF6751" i="1"/>
  <c r="BG6751" i="1"/>
  <c r="E4307" i="1"/>
  <c r="G4307" i="1"/>
  <c r="J4307" i="1"/>
  <c r="K4307" i="1"/>
  <c r="BE4307" i="1"/>
  <c r="BF4307" i="1"/>
  <c r="BG4307" i="1"/>
  <c r="E43" i="1"/>
  <c r="G43" i="1"/>
  <c r="J43" i="1"/>
  <c r="K43" i="1"/>
  <c r="BF43" i="1"/>
  <c r="BG43" i="1"/>
  <c r="E3341" i="1"/>
  <c r="G3341" i="1"/>
  <c r="J3341" i="1"/>
  <c r="K3341" i="1"/>
  <c r="BE3341" i="1"/>
  <c r="BF3341" i="1"/>
  <c r="BG3341" i="1"/>
  <c r="E5803" i="1"/>
  <c r="G5803" i="1"/>
  <c r="J5803" i="1"/>
  <c r="K5803" i="1"/>
  <c r="BE5803" i="1"/>
  <c r="BF5803" i="1"/>
  <c r="BG5803" i="1"/>
  <c r="E2324" i="1"/>
  <c r="G2324" i="1"/>
  <c r="J2324" i="1"/>
  <c r="K2324" i="1"/>
  <c r="BE2324" i="1"/>
  <c r="BF2324" i="1"/>
  <c r="BG2324" i="1"/>
  <c r="E6752" i="1"/>
  <c r="G6752" i="1"/>
  <c r="J6752" i="1"/>
  <c r="K6752" i="1"/>
  <c r="BE6752" i="1"/>
  <c r="BF6752" i="1"/>
  <c r="BG6752" i="1"/>
  <c r="E4308" i="1"/>
  <c r="G4308" i="1"/>
  <c r="J4308" i="1"/>
  <c r="K4308" i="1"/>
  <c r="BE4308" i="1"/>
  <c r="BF4308" i="1"/>
  <c r="BG4308" i="1"/>
  <c r="E6622" i="1"/>
  <c r="G6622" i="1"/>
  <c r="J6622" i="1"/>
  <c r="K6622" i="1"/>
  <c r="BE6622" i="1"/>
  <c r="BF6622" i="1"/>
  <c r="BG6622" i="1"/>
  <c r="E2325" i="1"/>
  <c r="G2325" i="1"/>
  <c r="J2325" i="1"/>
  <c r="K2325" i="1"/>
  <c r="BE2325" i="1"/>
  <c r="BF2325" i="1"/>
  <c r="BG2325" i="1"/>
  <c r="E982" i="1"/>
  <c r="G982" i="1"/>
  <c r="J982" i="1"/>
  <c r="K982" i="1"/>
  <c r="BE982" i="1"/>
  <c r="BF982" i="1"/>
  <c r="BG982" i="1"/>
  <c r="E6623" i="1"/>
  <c r="G6623" i="1"/>
  <c r="J6623" i="1"/>
  <c r="K6623" i="1"/>
  <c r="BE6623" i="1"/>
  <c r="BF6623" i="1"/>
  <c r="BG6623" i="1"/>
  <c r="E2326" i="1"/>
  <c r="G2326" i="1"/>
  <c r="J2326" i="1"/>
  <c r="K2326" i="1"/>
  <c r="BE2326" i="1"/>
  <c r="BF2326" i="1"/>
  <c r="BG2326" i="1"/>
  <c r="E58" i="1"/>
  <c r="G58" i="1"/>
  <c r="J58" i="1"/>
  <c r="K58" i="1"/>
  <c r="BE58" i="1"/>
  <c r="BF58" i="1"/>
  <c r="BG58" i="1"/>
  <c r="E3342" i="1"/>
  <c r="G3342" i="1"/>
  <c r="J3342" i="1"/>
  <c r="K3342" i="1"/>
  <c r="BE3342" i="1"/>
  <c r="BF3342" i="1"/>
  <c r="BG3342" i="1"/>
  <c r="E6753" i="1"/>
  <c r="G6753" i="1"/>
  <c r="J6753" i="1"/>
  <c r="K6753" i="1"/>
  <c r="BE6753" i="1"/>
  <c r="BF6753" i="1"/>
  <c r="BG6753" i="1"/>
  <c r="E6552" i="1"/>
  <c r="G6552" i="1"/>
  <c r="J6552" i="1"/>
  <c r="K6552" i="1"/>
  <c r="BE6552" i="1"/>
  <c r="BF6552" i="1"/>
  <c r="BG6552" i="1"/>
  <c r="E4309" i="1"/>
  <c r="G4309" i="1"/>
  <c r="J4309" i="1"/>
  <c r="K4309" i="1"/>
  <c r="BE4309" i="1"/>
  <c r="BF4309" i="1"/>
  <c r="BG4309" i="1"/>
  <c r="E619" i="1"/>
  <c r="G619" i="1"/>
  <c r="J619" i="1"/>
  <c r="K619" i="1"/>
  <c r="BE619" i="1"/>
  <c r="BF619" i="1"/>
  <c r="BG619" i="1"/>
  <c r="BH619" i="1"/>
  <c r="E4804" i="1"/>
  <c r="G4804" i="1"/>
  <c r="J4804" i="1"/>
  <c r="K4804" i="1"/>
  <c r="BE4804" i="1"/>
  <c r="BF4804" i="1"/>
  <c r="BG4804" i="1"/>
  <c r="E13" i="1"/>
  <c r="G13" i="1"/>
  <c r="J13" i="1"/>
  <c r="K13" i="1"/>
  <c r="BE13" i="1"/>
  <c r="BF13" i="1"/>
  <c r="BG13" i="1"/>
  <c r="E669" i="1"/>
  <c r="G669" i="1"/>
  <c r="J669" i="1"/>
  <c r="K669" i="1"/>
  <c r="BE669" i="1"/>
  <c r="BF669" i="1"/>
  <c r="BG669" i="1"/>
  <c r="E44" i="1"/>
  <c r="G44" i="1"/>
  <c r="J44" i="1"/>
  <c r="K44" i="1"/>
  <c r="BF44" i="1"/>
  <c r="BG44" i="1"/>
  <c r="E3343" i="1"/>
  <c r="G3343" i="1"/>
  <c r="J3343" i="1"/>
  <c r="K3343" i="1"/>
  <c r="BE3343" i="1"/>
  <c r="BF3343" i="1"/>
  <c r="BG3343" i="1"/>
  <c r="E2327" i="1"/>
  <c r="G2327" i="1"/>
  <c r="J2327" i="1"/>
  <c r="K2327" i="1"/>
  <c r="BE2327" i="1"/>
  <c r="BF2327" i="1"/>
  <c r="BG2327" i="1"/>
  <c r="E983" i="1"/>
  <c r="G983" i="1"/>
  <c r="J983" i="1"/>
  <c r="K983" i="1"/>
  <c r="BE983" i="1"/>
  <c r="BF983" i="1"/>
  <c r="BG983" i="1"/>
  <c r="E4310" i="1"/>
  <c r="G4310" i="1"/>
  <c r="J4310" i="1"/>
  <c r="K4310" i="1"/>
  <c r="BE4310" i="1"/>
  <c r="BF4310" i="1"/>
  <c r="BG4310" i="1"/>
  <c r="E1903" i="1"/>
  <c r="G1903" i="1"/>
  <c r="J1903" i="1"/>
  <c r="K1903" i="1"/>
  <c r="BF1903" i="1"/>
  <c r="BG1903" i="1"/>
  <c r="E2328" i="1"/>
  <c r="G2328" i="1"/>
  <c r="J2328" i="1"/>
  <c r="K2328" i="1"/>
  <c r="BE2328" i="1"/>
  <c r="BF2328" i="1"/>
  <c r="BG2328" i="1"/>
  <c r="E6882" i="1"/>
  <c r="G6882" i="1"/>
  <c r="J6882" i="1"/>
  <c r="BF6882" i="1"/>
  <c r="BG6882" i="1"/>
  <c r="E1904" i="1"/>
  <c r="G1904" i="1"/>
  <c r="J1904" i="1"/>
  <c r="K1904" i="1"/>
  <c r="BF1904" i="1"/>
  <c r="BG1904" i="1"/>
  <c r="E984" i="1"/>
  <c r="G984" i="1"/>
  <c r="J984" i="1"/>
  <c r="K984" i="1"/>
  <c r="BE984" i="1"/>
  <c r="BF984" i="1"/>
  <c r="BG984" i="1"/>
  <c r="E3344" i="1"/>
  <c r="G3344" i="1"/>
  <c r="J3344" i="1"/>
  <c r="K3344" i="1"/>
  <c r="BE3344" i="1"/>
  <c r="BF3344" i="1"/>
  <c r="BG3344" i="1"/>
  <c r="E6406" i="1"/>
  <c r="G6406" i="1"/>
  <c r="J6406" i="1"/>
  <c r="K6406" i="1"/>
  <c r="BE6406" i="1"/>
  <c r="BF6406" i="1"/>
  <c r="BG6406" i="1"/>
  <c r="E6407" i="1"/>
  <c r="G6407" i="1"/>
  <c r="J6407" i="1"/>
  <c r="K6407" i="1"/>
  <c r="BE6407" i="1"/>
  <c r="BF6407" i="1"/>
  <c r="BG6407" i="1"/>
  <c r="E2329" i="1"/>
  <c r="G2329" i="1"/>
  <c r="J2329" i="1"/>
  <c r="K2329" i="1"/>
  <c r="BE2329" i="1"/>
  <c r="BF2329" i="1"/>
  <c r="BG2329" i="1"/>
  <c r="E4805" i="1"/>
  <c r="G4805" i="1"/>
  <c r="J4805" i="1"/>
  <c r="K4805" i="1"/>
  <c r="BE4805" i="1"/>
  <c r="BF4805" i="1"/>
  <c r="BG4805" i="1"/>
  <c r="E1905" i="1"/>
  <c r="G1905" i="1"/>
  <c r="J1905" i="1"/>
  <c r="K1905" i="1"/>
  <c r="BF1905" i="1"/>
  <c r="BG1905" i="1"/>
  <c r="E4311" i="1"/>
  <c r="G4311" i="1"/>
  <c r="J4311" i="1"/>
  <c r="K4311" i="1"/>
  <c r="BE4311" i="1"/>
  <c r="BF4311" i="1"/>
  <c r="BG4311" i="1"/>
  <c r="E1906" i="1"/>
  <c r="G1906" i="1"/>
  <c r="J1906" i="1"/>
  <c r="K1906" i="1"/>
  <c r="BF1906" i="1"/>
  <c r="BG1906" i="1"/>
  <c r="E5804" i="1"/>
  <c r="G5804" i="1"/>
  <c r="J5804" i="1"/>
  <c r="K5804" i="1"/>
  <c r="BE5804" i="1"/>
  <c r="BF5804" i="1"/>
  <c r="BG5804" i="1"/>
  <c r="E2330" i="1"/>
  <c r="G2330" i="1"/>
  <c r="J2330" i="1"/>
  <c r="K2330" i="1"/>
  <c r="BE2330" i="1"/>
  <c r="BF2330" i="1"/>
  <c r="BG2330" i="1"/>
  <c r="E985" i="1"/>
  <c r="G985" i="1"/>
  <c r="J985" i="1"/>
  <c r="K985" i="1"/>
  <c r="BE985" i="1"/>
  <c r="BF985" i="1"/>
  <c r="BG985" i="1"/>
  <c r="E1907" i="1"/>
  <c r="G1907" i="1"/>
  <c r="J1907" i="1"/>
  <c r="K1907" i="1"/>
  <c r="BF1907" i="1"/>
  <c r="BG1907" i="1"/>
  <c r="E1908" i="1"/>
  <c r="G1908" i="1"/>
  <c r="J1908" i="1"/>
  <c r="K1908" i="1"/>
  <c r="BF1908" i="1"/>
  <c r="BG1908" i="1"/>
  <c r="E4312" i="1"/>
  <c r="G4312" i="1"/>
  <c r="J4312" i="1"/>
  <c r="K4312" i="1"/>
  <c r="BE4312" i="1"/>
  <c r="BF4312" i="1"/>
  <c r="BG4312" i="1"/>
  <c r="E1909" i="1"/>
  <c r="G1909" i="1"/>
  <c r="J1909" i="1"/>
  <c r="K1909" i="1"/>
  <c r="BF1909" i="1"/>
  <c r="BG1909" i="1"/>
  <c r="E2331" i="1"/>
  <c r="G2331" i="1"/>
  <c r="J2331" i="1"/>
  <c r="K2331" i="1"/>
  <c r="BE2331" i="1"/>
  <c r="BF2331" i="1"/>
  <c r="BG2331" i="1"/>
  <c r="E3345" i="1"/>
  <c r="G3345" i="1"/>
  <c r="J3345" i="1"/>
  <c r="K3345" i="1"/>
  <c r="BE3345" i="1"/>
  <c r="BF3345" i="1"/>
  <c r="BG3345" i="1"/>
  <c r="E5805" i="1"/>
  <c r="G5805" i="1"/>
  <c r="J5805" i="1"/>
  <c r="K5805" i="1"/>
  <c r="BE5805" i="1"/>
  <c r="BF5805" i="1"/>
  <c r="BG5805" i="1"/>
  <c r="E1910" i="1"/>
  <c r="G1910" i="1"/>
  <c r="J1910" i="1"/>
  <c r="K1910" i="1"/>
  <c r="BF1910" i="1"/>
  <c r="BG1910" i="1"/>
  <c r="E986" i="1"/>
  <c r="G986" i="1"/>
  <c r="J986" i="1"/>
  <c r="K986" i="1"/>
  <c r="BE986" i="1"/>
  <c r="BF986" i="1"/>
  <c r="BG986" i="1"/>
  <c r="E1911" i="1"/>
  <c r="G1911" i="1"/>
  <c r="J1911" i="1"/>
  <c r="K1911" i="1"/>
  <c r="BF1911" i="1"/>
  <c r="BG1911" i="1"/>
  <c r="E6553" i="1"/>
  <c r="G6553" i="1"/>
  <c r="J6553" i="1"/>
  <c r="K6553" i="1"/>
  <c r="BE6553" i="1"/>
  <c r="BF6553" i="1"/>
  <c r="BG6553" i="1"/>
  <c r="E316" i="1"/>
  <c r="G316" i="1"/>
  <c r="J316" i="1"/>
  <c r="K316" i="1"/>
  <c r="BF316" i="1"/>
  <c r="BG316" i="1"/>
  <c r="E2332" i="1"/>
  <c r="G2332" i="1"/>
  <c r="J2332" i="1"/>
  <c r="K2332" i="1"/>
  <c r="BE2332" i="1"/>
  <c r="BF2332" i="1"/>
  <c r="BG2332" i="1"/>
  <c r="E1912" i="1"/>
  <c r="G1912" i="1"/>
  <c r="J1912" i="1"/>
  <c r="K1912" i="1"/>
  <c r="BF1912" i="1"/>
  <c r="BG1912" i="1"/>
  <c r="E4313" i="1"/>
  <c r="G4313" i="1"/>
  <c r="J4313" i="1"/>
  <c r="K4313" i="1"/>
  <c r="BE4313" i="1"/>
  <c r="BF4313" i="1"/>
  <c r="BG4313" i="1"/>
  <c r="E4601" i="1"/>
  <c r="G4601" i="1"/>
  <c r="J4601" i="1"/>
  <c r="K4601" i="1"/>
  <c r="BE4601" i="1"/>
  <c r="BF4601" i="1"/>
  <c r="BG4601" i="1"/>
  <c r="E4314" i="1"/>
  <c r="G4314" i="1"/>
  <c r="J4314" i="1"/>
  <c r="K4314" i="1"/>
  <c r="BE4314" i="1"/>
  <c r="BF4314" i="1"/>
  <c r="BG4314" i="1"/>
  <c r="E868" i="1"/>
  <c r="G868" i="1"/>
  <c r="J868" i="1"/>
  <c r="K868" i="1"/>
  <c r="BE868" i="1"/>
  <c r="BF868" i="1"/>
  <c r="BG868" i="1"/>
  <c r="E4602" i="1"/>
  <c r="G4602" i="1"/>
  <c r="J4602" i="1"/>
  <c r="K4602" i="1"/>
  <c r="BE4602" i="1"/>
  <c r="BF4602" i="1"/>
  <c r="BG4602" i="1"/>
  <c r="E6624" i="1"/>
  <c r="G6624" i="1"/>
  <c r="J6624" i="1"/>
  <c r="K6624" i="1"/>
  <c r="BE6624" i="1"/>
  <c r="BF6624" i="1"/>
  <c r="BG6624" i="1"/>
  <c r="E4603" i="1"/>
  <c r="G4603" i="1"/>
  <c r="J4603" i="1"/>
  <c r="K4603" i="1"/>
  <c r="BE4603" i="1"/>
  <c r="BF4603" i="1"/>
  <c r="BG4603" i="1"/>
  <c r="E4604" i="1"/>
  <c r="G4604" i="1"/>
  <c r="J4604" i="1"/>
  <c r="K4604" i="1"/>
  <c r="BE4604" i="1"/>
  <c r="BF4604" i="1"/>
  <c r="BG4604" i="1"/>
  <c r="E6754" i="1"/>
  <c r="G6754" i="1"/>
  <c r="J6754" i="1"/>
  <c r="K6754" i="1"/>
  <c r="BE6754" i="1"/>
  <c r="BF6754" i="1"/>
  <c r="BG6754" i="1"/>
  <c r="E4315" i="1"/>
  <c r="G4315" i="1"/>
  <c r="J4315" i="1"/>
  <c r="K4315" i="1"/>
  <c r="BE4315" i="1"/>
  <c r="BF4315" i="1"/>
  <c r="BG4315" i="1"/>
  <c r="E5806" i="1"/>
  <c r="G5806" i="1"/>
  <c r="J5806" i="1"/>
  <c r="K5806" i="1"/>
  <c r="BE5806" i="1"/>
  <c r="BF5806" i="1"/>
  <c r="BG5806" i="1"/>
  <c r="E4806" i="1"/>
  <c r="G4806" i="1"/>
  <c r="J4806" i="1"/>
  <c r="K4806" i="1"/>
  <c r="BE4806" i="1"/>
  <c r="BF4806" i="1"/>
  <c r="BG4806" i="1"/>
  <c r="E4316" i="1"/>
  <c r="G4316" i="1"/>
  <c r="J4316" i="1"/>
  <c r="K4316" i="1"/>
  <c r="BE4316" i="1"/>
  <c r="BF4316" i="1"/>
  <c r="BG4316" i="1"/>
  <c r="E6755" i="1"/>
  <c r="G6755" i="1"/>
  <c r="J6755" i="1"/>
  <c r="K6755" i="1"/>
  <c r="BE6755" i="1"/>
  <c r="BF6755" i="1"/>
  <c r="BG6755" i="1"/>
  <c r="E869" i="1"/>
  <c r="G869" i="1"/>
  <c r="J869" i="1"/>
  <c r="K869" i="1"/>
  <c r="BE869" i="1"/>
  <c r="BF869" i="1"/>
  <c r="BG869" i="1"/>
  <c r="E4605" i="1"/>
  <c r="G4605" i="1"/>
  <c r="J4605" i="1"/>
  <c r="K4605" i="1"/>
  <c r="BE4605" i="1"/>
  <c r="BF4605" i="1"/>
  <c r="BG4605" i="1"/>
  <c r="E4606" i="1"/>
  <c r="G4606" i="1"/>
  <c r="J4606" i="1"/>
  <c r="K4606" i="1"/>
  <c r="BE4606" i="1"/>
  <c r="BF4606" i="1"/>
  <c r="BG4606" i="1"/>
  <c r="E3646" i="1"/>
  <c r="G3646" i="1"/>
  <c r="J3646" i="1"/>
  <c r="K3646" i="1"/>
  <c r="BE3646" i="1"/>
  <c r="BF3646" i="1"/>
  <c r="BG3646" i="1"/>
  <c r="E4607" i="1"/>
  <c r="G4607" i="1"/>
  <c r="J4607" i="1"/>
  <c r="K4607" i="1"/>
  <c r="BE4607" i="1"/>
  <c r="BF4607" i="1"/>
  <c r="BG4607" i="1"/>
  <c r="E4608" i="1"/>
  <c r="G4608" i="1"/>
  <c r="J4608" i="1"/>
  <c r="K4608" i="1"/>
  <c r="BE4608" i="1"/>
  <c r="BF4608" i="1"/>
  <c r="BG4608" i="1"/>
  <c r="E4609" i="1"/>
  <c r="G4609" i="1"/>
  <c r="J4609" i="1"/>
  <c r="K4609" i="1"/>
  <c r="BE4609" i="1"/>
  <c r="BF4609" i="1"/>
  <c r="BG4609" i="1"/>
  <c r="E4317" i="1"/>
  <c r="G4317" i="1"/>
  <c r="J4317" i="1"/>
  <c r="K4317" i="1"/>
  <c r="BE4317" i="1"/>
  <c r="BF4317" i="1"/>
  <c r="BG4317" i="1"/>
  <c r="E4807" i="1"/>
  <c r="G4807" i="1"/>
  <c r="J4807" i="1"/>
  <c r="K4807" i="1"/>
  <c r="BE4807" i="1"/>
  <c r="BF4807" i="1"/>
  <c r="BG4807" i="1"/>
  <c r="E356" i="1"/>
  <c r="G356" i="1"/>
  <c r="J356" i="1"/>
  <c r="K356" i="1"/>
  <c r="BE356" i="1"/>
  <c r="BF356" i="1"/>
  <c r="BG356" i="1"/>
  <c r="E4610" i="1"/>
  <c r="G4610" i="1"/>
  <c r="J4610" i="1"/>
  <c r="K4610" i="1"/>
  <c r="BE4610" i="1"/>
  <c r="BF4610" i="1"/>
  <c r="BG4610" i="1"/>
  <c r="E2333" i="1"/>
  <c r="G2333" i="1"/>
  <c r="J2333" i="1"/>
  <c r="K2333" i="1"/>
  <c r="BE2333" i="1"/>
  <c r="BF2333" i="1"/>
  <c r="BG2333" i="1"/>
  <c r="E4611" i="1"/>
  <c r="G4611" i="1"/>
  <c r="J4611" i="1"/>
  <c r="K4611" i="1"/>
  <c r="BE4611" i="1"/>
  <c r="BF4611" i="1"/>
  <c r="BG4611" i="1"/>
  <c r="E6756" i="1"/>
  <c r="G6756" i="1"/>
  <c r="J6756" i="1"/>
  <c r="K6756" i="1"/>
  <c r="BE6756" i="1"/>
  <c r="BF6756" i="1"/>
  <c r="BG6756" i="1"/>
  <c r="E6883" i="1"/>
  <c r="G6883" i="1"/>
  <c r="J6883" i="1"/>
  <c r="BC6883" i="1"/>
  <c r="BE6883" i="1"/>
  <c r="BF6883" i="1"/>
  <c r="BG6883" i="1"/>
  <c r="E4612" i="1"/>
  <c r="G4612" i="1"/>
  <c r="J4612" i="1"/>
  <c r="K4612" i="1"/>
  <c r="BE4612" i="1"/>
  <c r="BF4612" i="1"/>
  <c r="BG4612" i="1"/>
  <c r="E45" i="1"/>
  <c r="G45" i="1"/>
  <c r="J45" i="1"/>
  <c r="K45" i="1"/>
  <c r="BF45" i="1"/>
  <c r="BG45" i="1"/>
  <c r="E3346" i="1"/>
  <c r="G3346" i="1"/>
  <c r="J3346" i="1"/>
  <c r="K3346" i="1"/>
  <c r="BE3346" i="1"/>
  <c r="BF3346" i="1"/>
  <c r="BG3346" i="1"/>
  <c r="E4318" i="1"/>
  <c r="G4318" i="1"/>
  <c r="J4318" i="1"/>
  <c r="K4318" i="1"/>
  <c r="BE4318" i="1"/>
  <c r="BF4318" i="1"/>
  <c r="BG4318" i="1"/>
  <c r="E173" i="1"/>
  <c r="G173" i="1"/>
  <c r="J173" i="1"/>
  <c r="K173" i="1"/>
  <c r="BF173" i="1"/>
  <c r="BG173" i="1"/>
  <c r="E4613" i="1"/>
  <c r="G4613" i="1"/>
  <c r="J4613" i="1"/>
  <c r="K4613" i="1"/>
  <c r="BE4613" i="1"/>
  <c r="BF4613" i="1"/>
  <c r="BG4613" i="1"/>
  <c r="E3701" i="1"/>
  <c r="G3701" i="1"/>
  <c r="J3701" i="1"/>
  <c r="K3701" i="1"/>
  <c r="BE3701" i="1"/>
  <c r="BF3701" i="1"/>
  <c r="BG3701" i="1"/>
  <c r="E4614" i="1"/>
  <c r="G4614" i="1"/>
  <c r="J4614" i="1"/>
  <c r="K4614" i="1"/>
  <c r="BE4614" i="1"/>
  <c r="BF4614" i="1"/>
  <c r="BG4614" i="1"/>
  <c r="E4808" i="1"/>
  <c r="G4808" i="1"/>
  <c r="J4808" i="1"/>
  <c r="K4808" i="1"/>
  <c r="BE4808" i="1"/>
  <c r="BF4808" i="1"/>
  <c r="BG4808" i="1"/>
  <c r="E4615" i="1"/>
  <c r="G4615" i="1"/>
  <c r="J4615" i="1"/>
  <c r="K4615" i="1"/>
  <c r="BE4615" i="1"/>
  <c r="BF4615" i="1"/>
  <c r="BG4615" i="1"/>
  <c r="E2334" i="1"/>
  <c r="G2334" i="1"/>
  <c r="J2334" i="1"/>
  <c r="K2334" i="1"/>
  <c r="BE2334" i="1"/>
  <c r="BF2334" i="1"/>
  <c r="BG2334" i="1"/>
  <c r="E3702" i="1"/>
  <c r="G3702" i="1"/>
  <c r="J3702" i="1"/>
  <c r="K3702" i="1"/>
  <c r="BE3702" i="1"/>
  <c r="BF3702" i="1"/>
  <c r="BG3702" i="1"/>
  <c r="E2491" i="1"/>
  <c r="G2491" i="1"/>
  <c r="J2491" i="1"/>
  <c r="K2491" i="1"/>
  <c r="BE2491" i="1"/>
  <c r="BF2491" i="1"/>
  <c r="BG2491" i="1"/>
  <c r="E174" i="1"/>
  <c r="G174" i="1"/>
  <c r="J174" i="1"/>
  <c r="K174" i="1"/>
  <c r="BF174" i="1"/>
  <c r="BG174" i="1"/>
  <c r="E581" i="1"/>
  <c r="G581" i="1"/>
  <c r="J581" i="1"/>
  <c r="K581" i="1"/>
  <c r="BF581" i="1"/>
  <c r="BG581" i="1"/>
  <c r="BH581" i="1"/>
  <c r="E6757" i="1"/>
  <c r="G6757" i="1"/>
  <c r="J6757" i="1"/>
  <c r="K6757" i="1"/>
  <c r="BE6757" i="1"/>
  <c r="BF6757" i="1"/>
  <c r="BG6757" i="1"/>
  <c r="E2335" i="1"/>
  <c r="G2335" i="1"/>
  <c r="J2335" i="1"/>
  <c r="K2335" i="1"/>
  <c r="BE2335" i="1"/>
  <c r="BF2335" i="1"/>
  <c r="BG2335" i="1"/>
  <c r="E4319" i="1"/>
  <c r="G4319" i="1"/>
  <c r="J4319" i="1"/>
  <c r="K4319" i="1"/>
  <c r="BE4319" i="1"/>
  <c r="BF4319" i="1"/>
  <c r="BG4319" i="1"/>
  <c r="E6884" i="1"/>
  <c r="G6884" i="1"/>
  <c r="J6884" i="1"/>
  <c r="BC6884" i="1"/>
  <c r="BE6884" i="1"/>
  <c r="BF6884" i="1"/>
  <c r="BG6884" i="1"/>
  <c r="E4616" i="1"/>
  <c r="G4616" i="1"/>
  <c r="J4616" i="1"/>
  <c r="K4616" i="1"/>
  <c r="BE4616" i="1"/>
  <c r="BF4616" i="1"/>
  <c r="BG4616" i="1"/>
  <c r="E3562" i="1"/>
  <c r="G3562" i="1"/>
  <c r="J3562" i="1"/>
  <c r="K3562" i="1"/>
  <c r="BE3562" i="1"/>
  <c r="BF3562" i="1"/>
  <c r="BG3562" i="1"/>
  <c r="E4809" i="1"/>
  <c r="G4809" i="1"/>
  <c r="J4809" i="1"/>
  <c r="K4809" i="1"/>
  <c r="BE4809" i="1"/>
  <c r="BF4809" i="1"/>
  <c r="BG4809" i="1"/>
  <c r="E5807" i="1"/>
  <c r="G5807" i="1"/>
  <c r="J5807" i="1"/>
  <c r="K5807" i="1"/>
  <c r="BE5807" i="1"/>
  <c r="BF5807" i="1"/>
  <c r="BG5807" i="1"/>
  <c r="E2336" i="1"/>
  <c r="G2336" i="1"/>
  <c r="J2336" i="1"/>
  <c r="K2336" i="1"/>
  <c r="BE2336" i="1"/>
  <c r="BF2336" i="1"/>
  <c r="BG2336" i="1"/>
  <c r="E6758" i="1"/>
  <c r="G6758" i="1"/>
  <c r="J6758" i="1"/>
  <c r="K6758" i="1"/>
  <c r="BE6758" i="1"/>
  <c r="BF6758" i="1"/>
  <c r="BG6758" i="1"/>
  <c r="E2337" i="1"/>
  <c r="G2337" i="1"/>
  <c r="J2337" i="1"/>
  <c r="K2337" i="1"/>
  <c r="BE2337" i="1"/>
  <c r="BF2337" i="1"/>
  <c r="BG2337" i="1"/>
  <c r="E4320" i="1"/>
  <c r="G4320" i="1"/>
  <c r="J4320" i="1"/>
  <c r="K4320" i="1"/>
  <c r="BE4320" i="1"/>
  <c r="BF4320" i="1"/>
  <c r="BG4320" i="1"/>
  <c r="E2338" i="1"/>
  <c r="G2338" i="1"/>
  <c r="J2338" i="1"/>
  <c r="K2338" i="1"/>
  <c r="BE2338" i="1"/>
  <c r="BF2338" i="1"/>
  <c r="BG2338" i="1"/>
  <c r="E3347" i="1"/>
  <c r="G3347" i="1"/>
  <c r="J3347" i="1"/>
  <c r="K3347" i="1"/>
  <c r="BE3347" i="1"/>
  <c r="BF3347" i="1"/>
  <c r="BG3347" i="1"/>
  <c r="E6759" i="1"/>
  <c r="G6759" i="1"/>
  <c r="J6759" i="1"/>
  <c r="K6759" i="1"/>
  <c r="BE6759" i="1"/>
  <c r="BF6759" i="1"/>
  <c r="BG6759" i="1"/>
  <c r="E6652" i="1"/>
  <c r="G6652" i="1"/>
  <c r="J6652" i="1"/>
  <c r="K6652" i="1"/>
  <c r="BE6652" i="1"/>
  <c r="BF6652" i="1"/>
  <c r="BG6652" i="1"/>
  <c r="E4810" i="1"/>
  <c r="G4810" i="1"/>
  <c r="J4810" i="1"/>
  <c r="K4810" i="1"/>
  <c r="BE4810" i="1"/>
  <c r="BF4810" i="1"/>
  <c r="BG4810" i="1"/>
  <c r="E474" i="1"/>
  <c r="G474" i="1"/>
  <c r="J474" i="1"/>
  <c r="K474" i="1"/>
  <c r="BE474" i="1"/>
  <c r="BF474" i="1"/>
  <c r="BG474" i="1"/>
  <c r="E2339" i="1"/>
  <c r="G2339" i="1"/>
  <c r="J2339" i="1"/>
  <c r="K2339" i="1"/>
  <c r="BE2339" i="1"/>
  <c r="BF2339" i="1"/>
  <c r="BG2339" i="1"/>
  <c r="E6653" i="1"/>
  <c r="G6653" i="1"/>
  <c r="J6653" i="1"/>
  <c r="K6653" i="1"/>
  <c r="BE6653" i="1"/>
  <c r="BF6653" i="1"/>
  <c r="BG6653" i="1"/>
  <c r="E4321" i="1"/>
  <c r="G4321" i="1"/>
  <c r="J4321" i="1"/>
  <c r="K4321" i="1"/>
  <c r="BE4321" i="1"/>
  <c r="BF4321" i="1"/>
  <c r="BG4321" i="1"/>
  <c r="E6654" i="1"/>
  <c r="G6654" i="1"/>
  <c r="J6654" i="1"/>
  <c r="K6654" i="1"/>
  <c r="BE6654" i="1"/>
  <c r="BF6654" i="1"/>
  <c r="BG6654" i="1"/>
  <c r="E2340" i="1"/>
  <c r="G2340" i="1"/>
  <c r="J2340" i="1"/>
  <c r="K2340" i="1"/>
  <c r="BE2340" i="1"/>
  <c r="BF2340" i="1"/>
  <c r="BG2340" i="1"/>
  <c r="E6655" i="1"/>
  <c r="G6655" i="1"/>
  <c r="J6655" i="1"/>
  <c r="K6655" i="1"/>
  <c r="BE6655" i="1"/>
  <c r="BF6655" i="1"/>
  <c r="BG6655" i="1"/>
  <c r="E2341" i="1"/>
  <c r="G2341" i="1"/>
  <c r="J2341" i="1"/>
  <c r="K2341" i="1"/>
  <c r="BE2341" i="1"/>
  <c r="BF2341" i="1"/>
  <c r="BG2341" i="1"/>
  <c r="E2183" i="1"/>
  <c r="G2183" i="1"/>
  <c r="J2183" i="1"/>
  <c r="K2183" i="1"/>
  <c r="BC2183" i="1"/>
  <c r="BE2183" i="1"/>
  <c r="BF2183" i="1"/>
  <c r="BG2183" i="1"/>
  <c r="E6656" i="1"/>
  <c r="G6656" i="1"/>
  <c r="J6656" i="1"/>
  <c r="K6656" i="1"/>
  <c r="BE6656" i="1"/>
  <c r="BF6656" i="1"/>
  <c r="BG6656" i="1"/>
  <c r="E3348" i="1"/>
  <c r="G3348" i="1"/>
  <c r="J3348" i="1"/>
  <c r="K3348" i="1"/>
  <c r="BE3348" i="1"/>
  <c r="BF3348" i="1"/>
  <c r="BG3348" i="1"/>
  <c r="E737" i="1"/>
  <c r="G737" i="1"/>
  <c r="J737" i="1"/>
  <c r="K737" i="1"/>
  <c r="BE737" i="1"/>
  <c r="BF737" i="1"/>
  <c r="BG737" i="1"/>
  <c r="E2342" i="1"/>
  <c r="G2342" i="1"/>
  <c r="J2342" i="1"/>
  <c r="K2342" i="1"/>
  <c r="BE2342" i="1"/>
  <c r="BF2342" i="1"/>
  <c r="BG2342" i="1"/>
  <c r="E72" i="1"/>
  <c r="G72" i="1"/>
  <c r="J72" i="1"/>
  <c r="K72" i="1"/>
  <c r="BE72" i="1"/>
  <c r="BF72" i="1"/>
  <c r="BG72" i="1"/>
  <c r="E6760" i="1"/>
  <c r="G6760" i="1"/>
  <c r="J6760" i="1"/>
  <c r="K6760" i="1"/>
  <c r="BE6760" i="1"/>
  <c r="BF6760" i="1"/>
  <c r="BG6760" i="1"/>
  <c r="E5808" i="1"/>
  <c r="G5808" i="1"/>
  <c r="J5808" i="1"/>
  <c r="K5808" i="1"/>
  <c r="BE5808" i="1"/>
  <c r="BF5808" i="1"/>
  <c r="BG5808" i="1"/>
  <c r="E1062" i="1"/>
  <c r="G1062" i="1"/>
  <c r="J1062" i="1"/>
  <c r="K1062" i="1"/>
  <c r="BE1062" i="1"/>
  <c r="BF1062" i="1"/>
  <c r="BG1062" i="1"/>
  <c r="E731" i="1"/>
  <c r="G731" i="1"/>
  <c r="J731" i="1"/>
  <c r="K731" i="1"/>
  <c r="BE731" i="1"/>
  <c r="BF731" i="1"/>
  <c r="BG731" i="1"/>
  <c r="E4811" i="1"/>
  <c r="G4811" i="1"/>
  <c r="J4811" i="1"/>
  <c r="K4811" i="1"/>
  <c r="BE4811" i="1"/>
  <c r="BF4811" i="1"/>
  <c r="BG4811" i="1"/>
  <c r="E2343" i="1"/>
  <c r="G2343" i="1"/>
  <c r="J2343" i="1"/>
  <c r="K2343" i="1"/>
  <c r="BE2343" i="1"/>
  <c r="BF2343" i="1"/>
  <c r="BG2343" i="1"/>
  <c r="E4661" i="1"/>
  <c r="G4661" i="1"/>
  <c r="J4661" i="1"/>
  <c r="K4661" i="1"/>
  <c r="BE4661" i="1"/>
  <c r="BF4661" i="1"/>
  <c r="BG4661" i="1"/>
  <c r="E4662" i="1"/>
  <c r="G4662" i="1"/>
  <c r="J4662" i="1"/>
  <c r="K4662" i="1"/>
  <c r="BE4662" i="1"/>
  <c r="BF4662" i="1"/>
  <c r="BG4662" i="1"/>
  <c r="E2184" i="1"/>
  <c r="G2184" i="1"/>
  <c r="J2184" i="1"/>
  <c r="K2184" i="1"/>
  <c r="BC2184" i="1"/>
  <c r="BE2184" i="1"/>
  <c r="BF2184" i="1"/>
  <c r="BG2184" i="1"/>
  <c r="E2344" i="1"/>
  <c r="G2344" i="1"/>
  <c r="J2344" i="1"/>
  <c r="K2344" i="1"/>
  <c r="BE2344" i="1"/>
  <c r="BF2344" i="1"/>
  <c r="BG2344" i="1"/>
  <c r="E2345" i="1"/>
  <c r="G2345" i="1"/>
  <c r="J2345" i="1"/>
  <c r="K2345" i="1"/>
  <c r="BE2345" i="1"/>
  <c r="BF2345" i="1"/>
  <c r="BG2345" i="1"/>
  <c r="E2185" i="1"/>
  <c r="G2185" i="1"/>
  <c r="J2185" i="1"/>
  <c r="K2185" i="1"/>
  <c r="BC2185" i="1"/>
  <c r="BE2185" i="1"/>
  <c r="BF2185" i="1"/>
  <c r="BG2185" i="1"/>
  <c r="E317" i="1"/>
  <c r="G317" i="1"/>
  <c r="J317" i="1"/>
  <c r="K317" i="1"/>
  <c r="BF317" i="1"/>
  <c r="BG317" i="1"/>
  <c r="E2346" i="1"/>
  <c r="G2346" i="1"/>
  <c r="J2346" i="1"/>
  <c r="K2346" i="1"/>
  <c r="BE2346" i="1"/>
  <c r="BF2346" i="1"/>
  <c r="BG2346" i="1"/>
  <c r="E3349" i="1"/>
  <c r="G3349" i="1"/>
  <c r="J3349" i="1"/>
  <c r="K3349" i="1"/>
  <c r="BE3349" i="1"/>
  <c r="BF3349" i="1"/>
  <c r="BG3349" i="1"/>
  <c r="E46" i="1"/>
  <c r="G46" i="1"/>
  <c r="J46" i="1"/>
  <c r="K46" i="1"/>
  <c r="BF46" i="1"/>
  <c r="BG46" i="1"/>
  <c r="E2186" i="1"/>
  <c r="G2186" i="1"/>
  <c r="J2186" i="1"/>
  <c r="K2186" i="1"/>
  <c r="BC2186" i="1"/>
  <c r="BE2186" i="1"/>
  <c r="BF2186" i="1"/>
  <c r="BG2186" i="1"/>
  <c r="E2347" i="1"/>
  <c r="G2347" i="1"/>
  <c r="J2347" i="1"/>
  <c r="K2347" i="1"/>
  <c r="BE2347" i="1"/>
  <c r="BF2347" i="1"/>
  <c r="BG2347" i="1"/>
  <c r="E6761" i="1"/>
  <c r="G6761" i="1"/>
  <c r="J6761" i="1"/>
  <c r="K6761" i="1"/>
  <c r="BE6761" i="1"/>
  <c r="BF6761" i="1"/>
  <c r="BG6761" i="1"/>
  <c r="E6554" i="1"/>
  <c r="G6554" i="1"/>
  <c r="J6554" i="1"/>
  <c r="K6554" i="1"/>
  <c r="BE6554" i="1"/>
  <c r="BF6554" i="1"/>
  <c r="BG6554" i="1"/>
  <c r="E2348" i="1"/>
  <c r="G2348" i="1"/>
  <c r="J2348" i="1"/>
  <c r="K2348" i="1"/>
  <c r="BE2348" i="1"/>
  <c r="BF2348" i="1"/>
  <c r="BG2348" i="1"/>
  <c r="E987" i="1"/>
  <c r="G987" i="1"/>
  <c r="J987" i="1"/>
  <c r="K987" i="1"/>
  <c r="BE987" i="1"/>
  <c r="BF987" i="1"/>
  <c r="BG987" i="1"/>
  <c r="E6762" i="1"/>
  <c r="G6762" i="1"/>
  <c r="J6762" i="1"/>
  <c r="K6762" i="1"/>
  <c r="BE6762" i="1"/>
  <c r="BF6762" i="1"/>
  <c r="BG6762" i="1"/>
  <c r="E2187" i="1"/>
  <c r="G2187" i="1"/>
  <c r="J2187" i="1"/>
  <c r="K2187" i="1"/>
  <c r="BC2187" i="1"/>
  <c r="BE2187" i="1"/>
  <c r="BF2187" i="1"/>
  <c r="BG2187" i="1"/>
  <c r="E732" i="1"/>
  <c r="G732" i="1"/>
  <c r="J732" i="1"/>
  <c r="K732" i="1"/>
  <c r="BE732" i="1"/>
  <c r="BF732" i="1"/>
  <c r="BG732" i="1"/>
  <c r="E5809" i="1"/>
  <c r="G5809" i="1"/>
  <c r="J5809" i="1"/>
  <c r="K5809" i="1"/>
  <c r="BE5809" i="1"/>
  <c r="BF5809" i="1"/>
  <c r="BG5809" i="1"/>
  <c r="E3940" i="1"/>
  <c r="G3940" i="1"/>
  <c r="J3940" i="1"/>
  <c r="K3940" i="1"/>
  <c r="BE3940" i="1"/>
  <c r="BF3940" i="1"/>
  <c r="BG3940" i="1"/>
  <c r="E3941" i="1"/>
  <c r="G3941" i="1"/>
  <c r="J3941" i="1"/>
  <c r="K3941" i="1"/>
  <c r="BE3941" i="1"/>
  <c r="BF3941" i="1"/>
  <c r="BG3941" i="1"/>
  <c r="E1913" i="1"/>
  <c r="G1913" i="1"/>
  <c r="J1913" i="1"/>
  <c r="K1913" i="1"/>
  <c r="BF1913" i="1"/>
  <c r="BG1913" i="1"/>
  <c r="E1462" i="1"/>
  <c r="G1462" i="1"/>
  <c r="J1462" i="1"/>
  <c r="K1462" i="1"/>
  <c r="BE1462" i="1"/>
  <c r="BF1462" i="1"/>
  <c r="BG1462" i="1"/>
  <c r="E6885" i="1"/>
  <c r="G6885" i="1"/>
  <c r="J6885" i="1"/>
  <c r="BE6885" i="1"/>
  <c r="BF6885" i="1"/>
  <c r="BG6885" i="1"/>
  <c r="E4617" i="1"/>
  <c r="G4617" i="1"/>
  <c r="J4617" i="1"/>
  <c r="K4617" i="1"/>
  <c r="BE4617" i="1"/>
  <c r="BF4617" i="1"/>
  <c r="BG4617" i="1"/>
  <c r="E6763" i="1"/>
  <c r="G6763" i="1"/>
  <c r="J6763" i="1"/>
  <c r="K6763" i="1"/>
  <c r="BE6763" i="1"/>
  <c r="BF6763" i="1"/>
  <c r="BG6763" i="1"/>
  <c r="E2188" i="1"/>
  <c r="G2188" i="1"/>
  <c r="J2188" i="1"/>
  <c r="K2188" i="1"/>
  <c r="BC2188" i="1"/>
  <c r="BE2188" i="1"/>
  <c r="BF2188" i="1"/>
  <c r="BG2188" i="1"/>
  <c r="E988" i="1"/>
  <c r="G988" i="1"/>
  <c r="J988" i="1"/>
  <c r="K988" i="1"/>
  <c r="BE988" i="1"/>
  <c r="BF988" i="1"/>
  <c r="BG988" i="1"/>
  <c r="E2349" i="1"/>
  <c r="G2349" i="1"/>
  <c r="J2349" i="1"/>
  <c r="K2349" i="1"/>
  <c r="BE2349" i="1"/>
  <c r="BF2349" i="1"/>
  <c r="BG2349" i="1"/>
  <c r="E2350" i="1"/>
  <c r="G2350" i="1"/>
  <c r="J2350" i="1"/>
  <c r="K2350" i="1"/>
  <c r="BE2350" i="1"/>
  <c r="BF2350" i="1"/>
  <c r="BG2350" i="1"/>
  <c r="E2351" i="1"/>
  <c r="G2351" i="1"/>
  <c r="J2351" i="1"/>
  <c r="K2351" i="1"/>
  <c r="BE2351" i="1"/>
  <c r="BF2351" i="1"/>
  <c r="BG2351" i="1"/>
  <c r="E2189" i="1"/>
  <c r="G2189" i="1"/>
  <c r="J2189" i="1"/>
  <c r="K2189" i="1"/>
  <c r="BC2189" i="1"/>
  <c r="BE2189" i="1"/>
  <c r="BF2189" i="1"/>
  <c r="BG2189" i="1"/>
  <c r="E2352" i="1"/>
  <c r="G2352" i="1"/>
  <c r="J2352" i="1"/>
  <c r="K2352" i="1"/>
  <c r="BE2352" i="1"/>
  <c r="BF2352" i="1"/>
  <c r="BG2352" i="1"/>
  <c r="E467" i="1"/>
  <c r="G467" i="1"/>
  <c r="J467" i="1"/>
  <c r="K467" i="1"/>
  <c r="BE467" i="1"/>
  <c r="BF467" i="1"/>
  <c r="BG467" i="1"/>
  <c r="E2190" i="1"/>
  <c r="G2190" i="1"/>
  <c r="J2190" i="1"/>
  <c r="K2190" i="1"/>
  <c r="BC2190" i="1"/>
  <c r="BE2190" i="1"/>
  <c r="BF2190" i="1"/>
  <c r="BG2190" i="1"/>
  <c r="E2924" i="1"/>
  <c r="G2924" i="1"/>
  <c r="J2924" i="1"/>
  <c r="K2924" i="1"/>
  <c r="BC2924" i="1"/>
  <c r="BE2924" i="1"/>
  <c r="BF2924" i="1"/>
  <c r="BG2924" i="1"/>
  <c r="E989" i="1"/>
  <c r="G989" i="1"/>
  <c r="J989" i="1"/>
  <c r="K989" i="1"/>
  <c r="BE989" i="1"/>
  <c r="BF989" i="1"/>
  <c r="BG989" i="1"/>
  <c r="E2353" i="1"/>
  <c r="G2353" i="1"/>
  <c r="J2353" i="1"/>
  <c r="K2353" i="1"/>
  <c r="BE2353" i="1"/>
  <c r="BF2353" i="1"/>
  <c r="BG2353" i="1"/>
  <c r="E1914" i="1"/>
  <c r="G1914" i="1"/>
  <c r="J1914" i="1"/>
  <c r="K1914" i="1"/>
  <c r="BF1914" i="1"/>
  <c r="BG1914" i="1"/>
  <c r="E6764" i="1"/>
  <c r="G6764" i="1"/>
  <c r="J6764" i="1"/>
  <c r="K6764" i="1"/>
  <c r="BE6764" i="1"/>
  <c r="BF6764" i="1"/>
  <c r="BG6764" i="1"/>
  <c r="E4618" i="1"/>
  <c r="G4618" i="1"/>
  <c r="J4618" i="1"/>
  <c r="K4618" i="1"/>
  <c r="BE4618" i="1"/>
  <c r="BF4618" i="1"/>
  <c r="BG4618" i="1"/>
  <c r="E2354" i="1"/>
  <c r="G2354" i="1"/>
  <c r="J2354" i="1"/>
  <c r="K2354" i="1"/>
  <c r="BE2354" i="1"/>
  <c r="BF2354" i="1"/>
  <c r="BG2354" i="1"/>
  <c r="E4619" i="1"/>
  <c r="G4619" i="1"/>
  <c r="J4619" i="1"/>
  <c r="K4619" i="1"/>
  <c r="BE4619" i="1"/>
  <c r="BF4619" i="1"/>
  <c r="BG4619" i="1"/>
  <c r="E6765" i="1"/>
  <c r="G6765" i="1"/>
  <c r="J6765" i="1"/>
  <c r="K6765" i="1"/>
  <c r="BE6765" i="1"/>
  <c r="BF6765" i="1"/>
  <c r="BG6765" i="1"/>
  <c r="E4620" i="1"/>
  <c r="G4620" i="1"/>
  <c r="J4620" i="1"/>
  <c r="K4620" i="1"/>
  <c r="BE4620" i="1"/>
  <c r="BF4620" i="1"/>
  <c r="BG4620" i="1"/>
  <c r="E2191" i="1"/>
  <c r="G2191" i="1"/>
  <c r="J2191" i="1"/>
  <c r="K2191" i="1"/>
  <c r="BC2191" i="1"/>
  <c r="BE2191" i="1"/>
  <c r="BF2191" i="1"/>
  <c r="BG2191" i="1"/>
  <c r="E2355" i="1"/>
  <c r="G2355" i="1"/>
  <c r="J2355" i="1"/>
  <c r="K2355" i="1"/>
  <c r="BE2355" i="1"/>
  <c r="BF2355" i="1"/>
  <c r="BG2355" i="1"/>
  <c r="E4621" i="1"/>
  <c r="G4621" i="1"/>
  <c r="J4621" i="1"/>
  <c r="K4621" i="1"/>
  <c r="BE4621" i="1"/>
  <c r="BF4621" i="1"/>
  <c r="BG4621" i="1"/>
  <c r="E4622" i="1"/>
  <c r="G4622" i="1"/>
  <c r="J4622" i="1"/>
  <c r="K4622" i="1"/>
  <c r="BE4622" i="1"/>
  <c r="BF4622" i="1"/>
  <c r="BG4622" i="1"/>
  <c r="E3350" i="1"/>
  <c r="G3350" i="1"/>
  <c r="J3350" i="1"/>
  <c r="K3350" i="1"/>
  <c r="BE3350" i="1"/>
  <c r="BF3350" i="1"/>
  <c r="BG3350" i="1"/>
  <c r="E990" i="1"/>
  <c r="G990" i="1"/>
  <c r="J990" i="1"/>
  <c r="K990" i="1"/>
  <c r="BE990" i="1"/>
  <c r="BF990" i="1"/>
  <c r="BG990" i="1"/>
  <c r="E2356" i="1"/>
  <c r="G2356" i="1"/>
  <c r="J2356" i="1"/>
  <c r="K2356" i="1"/>
  <c r="BE2356" i="1"/>
  <c r="BF2356" i="1"/>
  <c r="BG2356" i="1"/>
  <c r="E4623" i="1"/>
  <c r="G4623" i="1"/>
  <c r="J4623" i="1"/>
  <c r="K4623" i="1"/>
  <c r="BE4623" i="1"/>
  <c r="BF4623" i="1"/>
  <c r="BG4623" i="1"/>
  <c r="E6555" i="1"/>
  <c r="G6555" i="1"/>
  <c r="J6555" i="1"/>
  <c r="K6555" i="1"/>
  <c r="BE6555" i="1"/>
  <c r="BF6555" i="1"/>
  <c r="BG6555" i="1"/>
  <c r="E2192" i="1"/>
  <c r="G2192" i="1"/>
  <c r="J2192" i="1"/>
  <c r="K2192" i="1"/>
  <c r="BC2192" i="1"/>
  <c r="BE2192" i="1"/>
  <c r="BF2192" i="1"/>
  <c r="BG2192" i="1"/>
  <c r="E2357" i="1"/>
  <c r="G2357" i="1"/>
  <c r="J2357" i="1"/>
  <c r="K2357" i="1"/>
  <c r="BE2357" i="1"/>
  <c r="BF2357" i="1"/>
  <c r="BG2357" i="1"/>
  <c r="E2358" i="1"/>
  <c r="G2358" i="1"/>
  <c r="J2358" i="1"/>
  <c r="K2358" i="1"/>
  <c r="BE2358" i="1"/>
  <c r="BF2358" i="1"/>
  <c r="BG2358" i="1"/>
  <c r="E4624" i="1"/>
  <c r="G4624" i="1"/>
  <c r="J4624" i="1"/>
  <c r="K4624" i="1"/>
  <c r="BE4624" i="1"/>
  <c r="BF4624" i="1"/>
  <c r="BG4624" i="1"/>
  <c r="E6766" i="1"/>
  <c r="G6766" i="1"/>
  <c r="J6766" i="1"/>
  <c r="K6766" i="1"/>
  <c r="BE6766" i="1"/>
  <c r="BF6766" i="1"/>
  <c r="BG6766" i="1"/>
  <c r="E4625" i="1"/>
  <c r="G4625" i="1"/>
  <c r="J4625" i="1"/>
  <c r="K4625" i="1"/>
  <c r="BE4625" i="1"/>
  <c r="BF4625" i="1"/>
  <c r="BG4625" i="1"/>
  <c r="E4626" i="1"/>
  <c r="G4626" i="1"/>
  <c r="J4626" i="1"/>
  <c r="K4626" i="1"/>
  <c r="BE4626" i="1"/>
  <c r="BF4626" i="1"/>
  <c r="BG4626" i="1"/>
  <c r="E2193" i="1"/>
  <c r="G2193" i="1"/>
  <c r="J2193" i="1"/>
  <c r="K2193" i="1"/>
  <c r="BC2193" i="1"/>
  <c r="BE2193" i="1"/>
  <c r="BF2193" i="1"/>
  <c r="BG2193" i="1"/>
  <c r="E2359" i="1"/>
  <c r="G2359" i="1"/>
  <c r="J2359" i="1"/>
  <c r="K2359" i="1"/>
  <c r="BE2359" i="1"/>
  <c r="BF2359" i="1"/>
  <c r="BG2359" i="1"/>
  <c r="E991" i="1"/>
  <c r="G991" i="1"/>
  <c r="J991" i="1"/>
  <c r="K991" i="1"/>
  <c r="BE991" i="1"/>
  <c r="BF991" i="1"/>
  <c r="BG991" i="1"/>
  <c r="E4627" i="1"/>
  <c r="G4627" i="1"/>
  <c r="J4627" i="1"/>
  <c r="K4627" i="1"/>
  <c r="BE4627" i="1"/>
  <c r="BF4627" i="1"/>
  <c r="BG4627" i="1"/>
  <c r="E2360" i="1"/>
  <c r="G2360" i="1"/>
  <c r="J2360" i="1"/>
  <c r="K2360" i="1"/>
  <c r="BE2360" i="1"/>
  <c r="BF2360" i="1"/>
  <c r="BG2360" i="1"/>
  <c r="E2194" i="1"/>
  <c r="G2194" i="1"/>
  <c r="J2194" i="1"/>
  <c r="K2194" i="1"/>
  <c r="BC2194" i="1"/>
  <c r="BE2194" i="1"/>
  <c r="BF2194" i="1"/>
  <c r="BG2194" i="1"/>
  <c r="E2361" i="1"/>
  <c r="G2361" i="1"/>
  <c r="J2361" i="1"/>
  <c r="K2361" i="1"/>
  <c r="BE2361" i="1"/>
  <c r="BF2361" i="1"/>
  <c r="BG2361" i="1"/>
  <c r="E1246" i="1"/>
  <c r="G1246" i="1"/>
  <c r="J1246" i="1"/>
  <c r="K1246" i="1"/>
  <c r="BE1246" i="1"/>
  <c r="BF1246" i="1"/>
  <c r="BG1246" i="1"/>
  <c r="E1247" i="1"/>
  <c r="G1247" i="1"/>
  <c r="J1247" i="1"/>
  <c r="K1247" i="1"/>
  <c r="BE1247" i="1"/>
  <c r="BF1247" i="1"/>
  <c r="BG1247" i="1"/>
  <c r="E4812" i="1"/>
  <c r="G4812" i="1"/>
  <c r="J4812" i="1"/>
  <c r="K4812" i="1"/>
  <c r="BE4812" i="1"/>
  <c r="BF4812" i="1"/>
  <c r="BG4812" i="1"/>
  <c r="E3351" i="1"/>
  <c r="G3351" i="1"/>
  <c r="J3351" i="1"/>
  <c r="K3351" i="1"/>
  <c r="BE3351" i="1"/>
  <c r="BF3351" i="1"/>
  <c r="BG3351" i="1"/>
  <c r="E992" i="1"/>
  <c r="G992" i="1"/>
  <c r="J992" i="1"/>
  <c r="K992" i="1"/>
  <c r="BE992" i="1"/>
  <c r="BF992" i="1"/>
  <c r="BG992" i="1"/>
  <c r="E4628" i="1"/>
  <c r="G4628" i="1"/>
  <c r="J4628" i="1"/>
  <c r="K4628" i="1"/>
  <c r="BE4628" i="1"/>
  <c r="BF4628" i="1"/>
  <c r="BG4628" i="1"/>
  <c r="E2362" i="1"/>
  <c r="G2362" i="1"/>
  <c r="J2362" i="1"/>
  <c r="K2362" i="1"/>
  <c r="BE2362" i="1"/>
  <c r="BF2362" i="1"/>
  <c r="BG2362" i="1"/>
  <c r="E4629" i="1"/>
  <c r="G4629" i="1"/>
  <c r="J4629" i="1"/>
  <c r="K4629" i="1"/>
  <c r="BE4629" i="1"/>
  <c r="BF4629" i="1"/>
  <c r="BG4629" i="1"/>
  <c r="E115" i="1"/>
  <c r="G115" i="1"/>
  <c r="J115" i="1"/>
  <c r="K115" i="1"/>
  <c r="BE115" i="1"/>
  <c r="BF115" i="1"/>
  <c r="BG115" i="1"/>
  <c r="E4630" i="1"/>
  <c r="G4630" i="1"/>
  <c r="J4630" i="1"/>
  <c r="K4630" i="1"/>
  <c r="BE4630" i="1"/>
  <c r="BF4630" i="1"/>
  <c r="BG4630" i="1"/>
  <c r="E4631" i="1"/>
  <c r="G4631" i="1"/>
  <c r="J4631" i="1"/>
  <c r="K4631" i="1"/>
  <c r="BE4631" i="1"/>
  <c r="BF4631" i="1"/>
  <c r="BG4631" i="1"/>
  <c r="E4632" i="1"/>
  <c r="G4632" i="1"/>
  <c r="J4632" i="1"/>
  <c r="K4632" i="1"/>
  <c r="BE4632" i="1"/>
  <c r="BF4632" i="1"/>
  <c r="BG4632" i="1"/>
  <c r="E6767" i="1"/>
  <c r="G6767" i="1"/>
  <c r="J6767" i="1"/>
  <c r="K6767" i="1"/>
  <c r="BE6767" i="1"/>
  <c r="BF6767" i="1"/>
  <c r="BG6767" i="1"/>
  <c r="E4633" i="1"/>
  <c r="G4633" i="1"/>
  <c r="J4633" i="1"/>
  <c r="K4633" i="1"/>
  <c r="BE4633" i="1"/>
  <c r="BF4633" i="1"/>
  <c r="BG4633" i="1"/>
  <c r="E6768" i="1"/>
  <c r="G6768" i="1"/>
  <c r="J6768" i="1"/>
  <c r="K6768" i="1"/>
  <c r="BE6768" i="1"/>
  <c r="BF6768" i="1"/>
  <c r="BG6768" i="1"/>
  <c r="E2126" i="1"/>
  <c r="G2126" i="1"/>
  <c r="J2126" i="1"/>
  <c r="K2126" i="1"/>
  <c r="BF2126" i="1"/>
  <c r="BG2126" i="1"/>
  <c r="E2127" i="1"/>
  <c r="G2127" i="1"/>
  <c r="J2127" i="1"/>
  <c r="K2127" i="1"/>
  <c r="BF2127" i="1"/>
  <c r="BG2127" i="1"/>
  <c r="E645" i="1"/>
  <c r="G645" i="1"/>
  <c r="J645" i="1"/>
  <c r="K645" i="1"/>
  <c r="BF645" i="1"/>
  <c r="BG645" i="1"/>
  <c r="E6408" i="1"/>
  <c r="G6408" i="1"/>
  <c r="J6408" i="1"/>
  <c r="K6408" i="1"/>
  <c r="BE6408" i="1"/>
  <c r="BF6408" i="1"/>
  <c r="BG6408" i="1"/>
  <c r="E3647" i="1"/>
  <c r="G3647" i="1"/>
  <c r="J3647" i="1"/>
  <c r="K3647" i="1"/>
  <c r="BE3647" i="1"/>
  <c r="BF3647" i="1"/>
  <c r="BG3647" i="1"/>
  <c r="E6769" i="1"/>
  <c r="G6769" i="1"/>
  <c r="J6769" i="1"/>
  <c r="K6769" i="1"/>
  <c r="BE6769" i="1"/>
  <c r="BF6769" i="1"/>
  <c r="BG6769" i="1"/>
  <c r="E1845" i="1"/>
  <c r="G1845" i="1"/>
  <c r="J1845" i="1"/>
  <c r="K1845" i="1"/>
  <c r="BF1845" i="1"/>
  <c r="BG1845" i="1"/>
  <c r="E2363" i="1"/>
  <c r="G2363" i="1"/>
  <c r="J2363" i="1"/>
  <c r="K2363" i="1"/>
  <c r="BE2363" i="1"/>
  <c r="BF2363" i="1"/>
  <c r="BG2363" i="1"/>
  <c r="E5810" i="1"/>
  <c r="G5810" i="1"/>
  <c r="J5810" i="1"/>
  <c r="K5810" i="1"/>
  <c r="BE5810" i="1"/>
  <c r="BF5810" i="1"/>
  <c r="BG5810" i="1"/>
  <c r="E1248" i="1"/>
  <c r="G1248" i="1"/>
  <c r="J1248" i="1"/>
  <c r="K1248" i="1"/>
  <c r="BE1248" i="1"/>
  <c r="BF1248" i="1"/>
  <c r="BG1248" i="1"/>
  <c r="E283" i="1"/>
  <c r="G283" i="1"/>
  <c r="J283" i="1"/>
  <c r="K283" i="1"/>
  <c r="BE283" i="1"/>
  <c r="BF283" i="1"/>
  <c r="BG283" i="1"/>
  <c r="E2128" i="1"/>
  <c r="G2128" i="1"/>
  <c r="J2128" i="1"/>
  <c r="K2128" i="1"/>
  <c r="BF2128" i="1"/>
  <c r="BG2128" i="1"/>
  <c r="E6886" i="1"/>
  <c r="G6886" i="1"/>
  <c r="J6886" i="1"/>
  <c r="BE6886" i="1"/>
  <c r="BF6886" i="1"/>
  <c r="BG6886" i="1"/>
  <c r="E6409" i="1"/>
  <c r="G6409" i="1"/>
  <c r="J6409" i="1"/>
  <c r="K6409" i="1"/>
  <c r="BE6409" i="1"/>
  <c r="BF6409" i="1"/>
  <c r="BG6409" i="1"/>
  <c r="E182" i="1"/>
  <c r="G182" i="1"/>
  <c r="J182" i="1"/>
  <c r="K182" i="1"/>
  <c r="BC182" i="1"/>
  <c r="BE182" i="1"/>
  <c r="BF182" i="1"/>
  <c r="BG182" i="1"/>
  <c r="E243" i="1"/>
  <c r="G243" i="1"/>
  <c r="J243" i="1"/>
  <c r="K243" i="1"/>
  <c r="BE243" i="1"/>
  <c r="BF243" i="1"/>
  <c r="BG243" i="1"/>
  <c r="E4322" i="1"/>
  <c r="G4322" i="1"/>
  <c r="J4322" i="1"/>
  <c r="K4322" i="1"/>
  <c r="BE4322" i="1"/>
  <c r="BF4322" i="1"/>
  <c r="BG4322" i="1"/>
  <c r="E1846" i="1"/>
  <c r="G1846" i="1"/>
  <c r="J1846" i="1"/>
  <c r="K1846" i="1"/>
  <c r="BF1846" i="1"/>
  <c r="BG1846" i="1"/>
  <c r="E1847" i="1"/>
  <c r="G1847" i="1"/>
  <c r="J1847" i="1"/>
  <c r="K1847" i="1"/>
  <c r="BF1847" i="1"/>
  <c r="BG1847" i="1"/>
  <c r="E244" i="1"/>
  <c r="G244" i="1"/>
  <c r="J244" i="1"/>
  <c r="K244" i="1"/>
  <c r="BE244" i="1"/>
  <c r="BF244" i="1"/>
  <c r="BG244" i="1"/>
  <c r="E5811" i="1"/>
  <c r="G5811" i="1"/>
  <c r="J5811" i="1"/>
  <c r="K5811" i="1"/>
  <c r="BE5811" i="1"/>
  <c r="BF5811" i="1"/>
  <c r="BG5811" i="1"/>
  <c r="E6410" i="1"/>
  <c r="G6410" i="1"/>
  <c r="J6410" i="1"/>
  <c r="K6410" i="1"/>
  <c r="BE6410" i="1"/>
  <c r="BF6410" i="1"/>
  <c r="BG6410" i="1"/>
  <c r="E1848" i="1"/>
  <c r="G1848" i="1"/>
  <c r="J1848" i="1"/>
  <c r="K1848" i="1"/>
  <c r="BF1848" i="1"/>
  <c r="BG1848" i="1"/>
  <c r="E2129" i="1"/>
  <c r="G2129" i="1"/>
  <c r="J2129" i="1"/>
  <c r="K2129" i="1"/>
  <c r="BF2129" i="1"/>
  <c r="BG2129" i="1"/>
  <c r="E1849" i="1"/>
  <c r="G1849" i="1"/>
  <c r="J1849" i="1"/>
  <c r="K1849" i="1"/>
  <c r="BF1849" i="1"/>
  <c r="BG1849" i="1"/>
  <c r="E6411" i="1"/>
  <c r="G6411" i="1"/>
  <c r="J6411" i="1"/>
  <c r="K6411" i="1"/>
  <c r="BE6411" i="1"/>
  <c r="BF6411" i="1"/>
  <c r="BG6411" i="1"/>
  <c r="E469" i="1"/>
  <c r="G469" i="1"/>
  <c r="J469" i="1"/>
  <c r="K469" i="1"/>
  <c r="BE469" i="1"/>
  <c r="BF469" i="1"/>
  <c r="BG469" i="1"/>
  <c r="E357" i="1"/>
  <c r="G357" i="1"/>
  <c r="J357" i="1"/>
  <c r="K357" i="1"/>
  <c r="BE357" i="1"/>
  <c r="BF357" i="1"/>
  <c r="BG357" i="1"/>
  <c r="E318" i="1"/>
  <c r="G318" i="1"/>
  <c r="J318" i="1"/>
  <c r="K318" i="1"/>
  <c r="BF318" i="1"/>
  <c r="BG318" i="1"/>
  <c r="E1850" i="1"/>
  <c r="G1850" i="1"/>
  <c r="J1850" i="1"/>
  <c r="K1850" i="1"/>
  <c r="BF1850" i="1"/>
  <c r="BG1850" i="1"/>
  <c r="E6412" i="1"/>
  <c r="G6412" i="1"/>
  <c r="J6412" i="1"/>
  <c r="K6412" i="1"/>
  <c r="BE6412" i="1"/>
  <c r="BF6412" i="1"/>
  <c r="BG6412" i="1"/>
  <c r="E4813" i="1"/>
  <c r="G4813" i="1"/>
  <c r="J4813" i="1"/>
  <c r="K4813" i="1"/>
  <c r="BE4813" i="1"/>
  <c r="BF4813" i="1"/>
  <c r="BG4813" i="1"/>
  <c r="E6887" i="1"/>
  <c r="G6887" i="1"/>
  <c r="J6887" i="1"/>
  <c r="BC6887" i="1"/>
  <c r="BE6887" i="1"/>
  <c r="BF6887" i="1"/>
  <c r="BG6887" i="1"/>
  <c r="BH6887" i="1"/>
  <c r="E5812" i="1"/>
  <c r="G5812" i="1"/>
  <c r="J5812" i="1"/>
  <c r="K5812" i="1"/>
  <c r="BE5812" i="1"/>
  <c r="BF5812" i="1"/>
  <c r="BG5812" i="1"/>
  <c r="E4323" i="1"/>
  <c r="G4323" i="1"/>
  <c r="J4323" i="1"/>
  <c r="K4323" i="1"/>
  <c r="BE4323" i="1"/>
  <c r="BF4323" i="1"/>
  <c r="BG4323" i="1"/>
  <c r="E6770" i="1"/>
  <c r="G6770" i="1"/>
  <c r="J6770" i="1"/>
  <c r="K6770" i="1"/>
  <c r="BE6770" i="1"/>
  <c r="BF6770" i="1"/>
  <c r="BG6770" i="1"/>
  <c r="E2364" i="1"/>
  <c r="G2364" i="1"/>
  <c r="J2364" i="1"/>
  <c r="K2364" i="1"/>
  <c r="BE2364" i="1"/>
  <c r="BF2364" i="1"/>
  <c r="BG2364" i="1"/>
  <c r="E102" i="1"/>
  <c r="G102" i="1"/>
  <c r="J102" i="1"/>
  <c r="K102" i="1"/>
  <c r="BE102" i="1"/>
  <c r="BF102" i="1"/>
  <c r="BG102" i="1"/>
  <c r="E6413" i="1"/>
  <c r="G6413" i="1"/>
  <c r="J6413" i="1"/>
  <c r="K6413" i="1"/>
  <c r="BE6413" i="1"/>
  <c r="BF6413" i="1"/>
  <c r="BG6413" i="1"/>
  <c r="E2925" i="1"/>
  <c r="G2925" i="1"/>
  <c r="J2925" i="1"/>
  <c r="K2925" i="1"/>
  <c r="BC2925" i="1"/>
  <c r="BE2925" i="1"/>
  <c r="BF2925" i="1"/>
  <c r="BG2925" i="1"/>
  <c r="E6414" i="1"/>
  <c r="G6414" i="1"/>
  <c r="J6414" i="1"/>
  <c r="K6414" i="1"/>
  <c r="BE6414" i="1"/>
  <c r="BF6414" i="1"/>
  <c r="BG6414" i="1"/>
  <c r="E3563" i="1"/>
  <c r="G3563" i="1"/>
  <c r="J3563" i="1"/>
  <c r="K3563" i="1"/>
  <c r="BE3563" i="1"/>
  <c r="BF3563" i="1"/>
  <c r="BG3563" i="1"/>
  <c r="E3564" i="1"/>
  <c r="G3564" i="1"/>
  <c r="J3564" i="1"/>
  <c r="K3564" i="1"/>
  <c r="BE3564" i="1"/>
  <c r="BF3564" i="1"/>
  <c r="BG3564" i="1"/>
  <c r="E1851" i="1"/>
  <c r="G1851" i="1"/>
  <c r="J1851" i="1"/>
  <c r="K1851" i="1"/>
  <c r="BF1851" i="1"/>
  <c r="BG1851" i="1"/>
  <c r="E103" i="1"/>
  <c r="G103" i="1"/>
  <c r="J103" i="1"/>
  <c r="K103" i="1"/>
  <c r="BE103" i="1"/>
  <c r="BF103" i="1"/>
  <c r="BG103" i="1"/>
  <c r="E6415" i="1"/>
  <c r="G6415" i="1"/>
  <c r="J6415" i="1"/>
  <c r="K6415" i="1"/>
  <c r="BE6415" i="1"/>
  <c r="BF6415" i="1"/>
  <c r="BG6415" i="1"/>
  <c r="E284" i="1"/>
  <c r="G284" i="1"/>
  <c r="J284" i="1"/>
  <c r="K284" i="1"/>
  <c r="BE284" i="1"/>
  <c r="BF284" i="1"/>
  <c r="BG284" i="1"/>
  <c r="E5813" i="1"/>
  <c r="G5813" i="1"/>
  <c r="J5813" i="1"/>
  <c r="K5813" i="1"/>
  <c r="BE5813" i="1"/>
  <c r="BF5813" i="1"/>
  <c r="BG5813" i="1"/>
  <c r="E245" i="1"/>
  <c r="G245" i="1"/>
  <c r="J245" i="1"/>
  <c r="K245" i="1"/>
  <c r="BE245" i="1"/>
  <c r="BF245" i="1"/>
  <c r="BG245" i="1"/>
  <c r="E3565" i="1"/>
  <c r="G3565" i="1"/>
  <c r="J3565" i="1"/>
  <c r="K3565" i="1"/>
  <c r="BE3565" i="1"/>
  <c r="BF3565" i="1"/>
  <c r="BG3565" i="1"/>
  <c r="E6416" i="1"/>
  <c r="G6416" i="1"/>
  <c r="J6416" i="1"/>
  <c r="K6416" i="1"/>
  <c r="BE6416" i="1"/>
  <c r="BF6416" i="1"/>
  <c r="BG6416" i="1"/>
  <c r="E6417" i="1"/>
  <c r="G6417" i="1"/>
  <c r="J6417" i="1"/>
  <c r="K6417" i="1"/>
  <c r="BE6417" i="1"/>
  <c r="BF6417" i="1"/>
  <c r="BG6417" i="1"/>
  <c r="E1852" i="1"/>
  <c r="G1852" i="1"/>
  <c r="J1852" i="1"/>
  <c r="K1852" i="1"/>
  <c r="BF1852" i="1"/>
  <c r="BG1852" i="1"/>
  <c r="E6418" i="1"/>
  <c r="G6418" i="1"/>
  <c r="J6418" i="1"/>
  <c r="K6418" i="1"/>
  <c r="BE6418" i="1"/>
  <c r="BF6418" i="1"/>
  <c r="BG6418" i="1"/>
  <c r="E3566" i="1"/>
  <c r="G3566" i="1"/>
  <c r="J3566" i="1"/>
  <c r="K3566" i="1"/>
  <c r="BE3566" i="1"/>
  <c r="BF3566" i="1"/>
  <c r="BG3566" i="1"/>
  <c r="E4324" i="1"/>
  <c r="G4324" i="1"/>
  <c r="J4324" i="1"/>
  <c r="K4324" i="1"/>
  <c r="BE4324" i="1"/>
  <c r="BF4324" i="1"/>
  <c r="BG4324" i="1"/>
  <c r="E3758" i="1"/>
  <c r="G3758" i="1"/>
  <c r="J3758" i="1"/>
  <c r="K3758" i="1"/>
  <c r="BE3758" i="1"/>
  <c r="BF3758" i="1"/>
  <c r="BG3758" i="1"/>
  <c r="E3759" i="1"/>
  <c r="G3759" i="1"/>
  <c r="J3759" i="1"/>
  <c r="K3759" i="1"/>
  <c r="BE3759" i="1"/>
  <c r="BF3759" i="1"/>
  <c r="BG3759" i="1"/>
  <c r="E2130" i="1"/>
  <c r="G2130" i="1"/>
  <c r="J2130" i="1"/>
  <c r="K2130" i="1"/>
  <c r="BF2130" i="1"/>
  <c r="BG2130" i="1"/>
  <c r="E2365" i="1"/>
  <c r="G2365" i="1"/>
  <c r="J2365" i="1"/>
  <c r="K2365" i="1"/>
  <c r="BE2365" i="1"/>
  <c r="BF2365" i="1"/>
  <c r="BG2365" i="1"/>
  <c r="E6419" i="1"/>
  <c r="G6419" i="1"/>
  <c r="J6419" i="1"/>
  <c r="K6419" i="1"/>
  <c r="BE6419" i="1"/>
  <c r="BF6419" i="1"/>
  <c r="BG6419" i="1"/>
  <c r="E1853" i="1"/>
  <c r="G1853" i="1"/>
  <c r="J1853" i="1"/>
  <c r="K1853" i="1"/>
  <c r="BF1853" i="1"/>
  <c r="BG1853" i="1"/>
  <c r="E6771" i="1"/>
  <c r="G6771" i="1"/>
  <c r="J6771" i="1"/>
  <c r="K6771" i="1"/>
  <c r="BE6771" i="1"/>
  <c r="BF6771" i="1"/>
  <c r="BG6771" i="1"/>
  <c r="E5814" i="1"/>
  <c r="G5814" i="1"/>
  <c r="J5814" i="1"/>
  <c r="K5814" i="1"/>
  <c r="BE5814" i="1"/>
  <c r="BF5814" i="1"/>
  <c r="BG5814" i="1"/>
  <c r="E1854" i="1"/>
  <c r="G1854" i="1"/>
  <c r="J1854" i="1"/>
  <c r="K1854" i="1"/>
  <c r="BF1854" i="1"/>
  <c r="BG1854" i="1"/>
  <c r="E2926" i="1"/>
  <c r="G2926" i="1"/>
  <c r="J2926" i="1"/>
  <c r="K2926" i="1"/>
  <c r="BC2926" i="1"/>
  <c r="BE2926" i="1"/>
  <c r="BF2926" i="1"/>
  <c r="BG2926" i="1"/>
  <c r="E2366" i="1"/>
  <c r="G2366" i="1"/>
  <c r="J2366" i="1"/>
  <c r="K2366" i="1"/>
  <c r="BE2366" i="1"/>
  <c r="BF2366" i="1"/>
  <c r="BG2366" i="1"/>
  <c r="E2131" i="1"/>
  <c r="G2131" i="1"/>
  <c r="J2131" i="1"/>
  <c r="K2131" i="1"/>
  <c r="BF2131" i="1"/>
  <c r="BG2131" i="1"/>
  <c r="E1855" i="1"/>
  <c r="G1855" i="1"/>
  <c r="J1855" i="1"/>
  <c r="K1855" i="1"/>
  <c r="BF1855" i="1"/>
  <c r="BG1855" i="1"/>
  <c r="E479" i="1"/>
  <c r="G479" i="1"/>
  <c r="J479" i="1"/>
  <c r="K479" i="1"/>
  <c r="BE479" i="1"/>
  <c r="BF479" i="1"/>
  <c r="BG479" i="1"/>
  <c r="E2132" i="1"/>
  <c r="G2132" i="1"/>
  <c r="J2132" i="1"/>
  <c r="K2132" i="1"/>
  <c r="BF2132" i="1"/>
  <c r="BG2132" i="1"/>
  <c r="E4814" i="1"/>
  <c r="G4814" i="1"/>
  <c r="J4814" i="1"/>
  <c r="K4814" i="1"/>
  <c r="BE4814" i="1"/>
  <c r="BF4814" i="1"/>
  <c r="BG4814" i="1"/>
  <c r="E4325" i="1"/>
  <c r="G4325" i="1"/>
  <c r="J4325" i="1"/>
  <c r="K4325" i="1"/>
  <c r="BE4325" i="1"/>
  <c r="BF4325" i="1"/>
  <c r="BG4325" i="1"/>
  <c r="E2367" i="1"/>
  <c r="G2367" i="1"/>
  <c r="J2367" i="1"/>
  <c r="K2367" i="1"/>
  <c r="BE2367" i="1"/>
  <c r="BF2367" i="1"/>
  <c r="BG2367" i="1"/>
  <c r="E6420" i="1"/>
  <c r="G6420" i="1"/>
  <c r="J6420" i="1"/>
  <c r="K6420" i="1"/>
  <c r="BE6420" i="1"/>
  <c r="BF6420" i="1"/>
  <c r="BG6420" i="1"/>
  <c r="E285" i="1"/>
  <c r="G285" i="1"/>
  <c r="J285" i="1"/>
  <c r="K285" i="1"/>
  <c r="BE285" i="1"/>
  <c r="BF285" i="1"/>
  <c r="BG285" i="1"/>
  <c r="E5815" i="1"/>
  <c r="G5815" i="1"/>
  <c r="J5815" i="1"/>
  <c r="K5815" i="1"/>
  <c r="BE5815" i="1"/>
  <c r="BF5815" i="1"/>
  <c r="BG5815" i="1"/>
  <c r="E1856" i="1"/>
  <c r="G1856" i="1"/>
  <c r="J1856" i="1"/>
  <c r="K1856" i="1"/>
  <c r="BF1856" i="1"/>
  <c r="BG1856" i="1"/>
  <c r="E2133" i="1"/>
  <c r="G2133" i="1"/>
  <c r="J2133" i="1"/>
  <c r="K2133" i="1"/>
  <c r="BF2133" i="1"/>
  <c r="BG2133" i="1"/>
  <c r="E2134" i="1"/>
  <c r="G2134" i="1"/>
  <c r="J2134" i="1"/>
  <c r="K2134" i="1"/>
  <c r="BF2134" i="1"/>
  <c r="BG2134" i="1"/>
  <c r="E6421" i="1"/>
  <c r="G6421" i="1"/>
  <c r="J6421" i="1"/>
  <c r="K6421" i="1"/>
  <c r="BE6421" i="1"/>
  <c r="BF6421" i="1"/>
  <c r="BG6421" i="1"/>
  <c r="E2135" i="1"/>
  <c r="G2135" i="1"/>
  <c r="J2135" i="1"/>
  <c r="K2135" i="1"/>
  <c r="BF2135" i="1"/>
  <c r="BG2135" i="1"/>
  <c r="E2368" i="1"/>
  <c r="G2368" i="1"/>
  <c r="J2368" i="1"/>
  <c r="K2368" i="1"/>
  <c r="BE2368" i="1"/>
  <c r="BF2368" i="1"/>
  <c r="BG2368" i="1"/>
  <c r="E57" i="1"/>
  <c r="G57" i="1"/>
  <c r="J57" i="1"/>
  <c r="K57" i="1"/>
  <c r="BE57" i="1"/>
  <c r="BF57" i="1"/>
  <c r="BG57" i="1"/>
  <c r="E2136" i="1"/>
  <c r="G2136" i="1"/>
  <c r="J2136" i="1"/>
  <c r="K2136" i="1"/>
  <c r="BF2136" i="1"/>
  <c r="BG2136" i="1"/>
  <c r="E1857" i="1"/>
  <c r="G1857" i="1"/>
  <c r="J1857" i="1"/>
  <c r="K1857" i="1"/>
  <c r="BF1857" i="1"/>
  <c r="BG1857" i="1"/>
  <c r="E6772" i="1"/>
  <c r="G6772" i="1"/>
  <c r="J6772" i="1"/>
  <c r="K6772" i="1"/>
  <c r="BE6772" i="1"/>
  <c r="BF6772" i="1"/>
  <c r="BG6772" i="1"/>
  <c r="E5816" i="1"/>
  <c r="G5816" i="1"/>
  <c r="J5816" i="1"/>
  <c r="K5816" i="1"/>
  <c r="BE5816" i="1"/>
  <c r="BF5816" i="1"/>
  <c r="BG5816" i="1"/>
  <c r="E6422" i="1"/>
  <c r="G6422" i="1"/>
  <c r="J6422" i="1"/>
  <c r="K6422" i="1"/>
  <c r="BE6422" i="1"/>
  <c r="BF6422" i="1"/>
  <c r="BG6422" i="1"/>
  <c r="E6423" i="1"/>
  <c r="G6423" i="1"/>
  <c r="J6423" i="1"/>
  <c r="K6423" i="1"/>
  <c r="BE6423" i="1"/>
  <c r="BF6423" i="1"/>
  <c r="BG6423" i="1"/>
  <c r="E2137" i="1"/>
  <c r="G2137" i="1"/>
  <c r="J2137" i="1"/>
  <c r="K2137" i="1"/>
  <c r="BF2137" i="1"/>
  <c r="BG2137" i="1"/>
  <c r="E6424" i="1"/>
  <c r="G6424" i="1"/>
  <c r="J6424" i="1"/>
  <c r="K6424" i="1"/>
  <c r="BE6424" i="1"/>
  <c r="BF6424" i="1"/>
  <c r="BG6424" i="1"/>
  <c r="E6425" i="1"/>
  <c r="G6425" i="1"/>
  <c r="J6425" i="1"/>
  <c r="K6425" i="1"/>
  <c r="BE6425" i="1"/>
  <c r="BF6425" i="1"/>
  <c r="BG6425" i="1"/>
  <c r="E2138" i="1"/>
  <c r="G2138" i="1"/>
  <c r="J2138" i="1"/>
  <c r="K2138" i="1"/>
  <c r="BF2138" i="1"/>
  <c r="BG2138" i="1"/>
  <c r="E2927" i="1"/>
  <c r="G2927" i="1"/>
  <c r="J2927" i="1"/>
  <c r="K2927" i="1"/>
  <c r="BC2927" i="1"/>
  <c r="BE2927" i="1"/>
  <c r="BF2927" i="1"/>
  <c r="BG2927" i="1"/>
  <c r="E1858" i="1"/>
  <c r="G1858" i="1"/>
  <c r="J1858" i="1"/>
  <c r="K1858" i="1"/>
  <c r="BF1858" i="1"/>
  <c r="BG1858" i="1"/>
  <c r="E657" i="1"/>
  <c r="G657" i="1"/>
  <c r="J657" i="1"/>
  <c r="K657" i="1"/>
  <c r="BF657" i="1"/>
  <c r="BG657" i="1"/>
  <c r="E658" i="1"/>
  <c r="G658" i="1"/>
  <c r="J658" i="1"/>
  <c r="K658" i="1"/>
  <c r="BF658" i="1"/>
  <c r="BG658" i="1"/>
  <c r="E659" i="1"/>
  <c r="G659" i="1"/>
  <c r="J659" i="1"/>
  <c r="K659" i="1"/>
  <c r="BF659" i="1"/>
  <c r="BG659" i="1"/>
  <c r="E660" i="1"/>
  <c r="G660" i="1"/>
  <c r="J660" i="1"/>
  <c r="K660" i="1"/>
  <c r="BF660" i="1"/>
  <c r="BG660" i="1"/>
  <c r="E661" i="1"/>
  <c r="G661" i="1"/>
  <c r="J661" i="1"/>
  <c r="K661" i="1"/>
  <c r="BF661" i="1"/>
  <c r="BG661" i="1"/>
  <c r="E2139" i="1"/>
  <c r="G2139" i="1"/>
  <c r="J2139" i="1"/>
  <c r="K2139" i="1"/>
  <c r="BF2139" i="1"/>
  <c r="BG2139" i="1"/>
  <c r="E6426" i="1"/>
  <c r="G6426" i="1"/>
  <c r="J6426" i="1"/>
  <c r="K6426" i="1"/>
  <c r="BE6426" i="1"/>
  <c r="BF6426" i="1"/>
  <c r="BG6426" i="1"/>
  <c r="E4326" i="1"/>
  <c r="G4326" i="1"/>
  <c r="J4326" i="1"/>
  <c r="K4326" i="1"/>
  <c r="BE4326" i="1"/>
  <c r="BF4326" i="1"/>
  <c r="BG4326" i="1"/>
  <c r="E5817" i="1"/>
  <c r="G5817" i="1"/>
  <c r="J5817" i="1"/>
  <c r="K5817" i="1"/>
  <c r="BE5817" i="1"/>
  <c r="BF5817" i="1"/>
  <c r="BG5817" i="1"/>
  <c r="E1859" i="1"/>
  <c r="G1859" i="1"/>
  <c r="J1859" i="1"/>
  <c r="K1859" i="1"/>
  <c r="BF1859" i="1"/>
  <c r="BG1859" i="1"/>
  <c r="E3567" i="1"/>
  <c r="G3567" i="1"/>
  <c r="J3567" i="1"/>
  <c r="K3567" i="1"/>
  <c r="BE3567" i="1"/>
  <c r="BF3567" i="1"/>
  <c r="BG3567" i="1"/>
  <c r="E2369" i="1"/>
  <c r="G2369" i="1"/>
  <c r="J2369" i="1"/>
  <c r="K2369" i="1"/>
  <c r="BE2369" i="1"/>
  <c r="BF2369" i="1"/>
  <c r="BG2369" i="1"/>
  <c r="E6427" i="1"/>
  <c r="G6427" i="1"/>
  <c r="J6427" i="1"/>
  <c r="K6427" i="1"/>
  <c r="BE6427" i="1"/>
  <c r="BF6427" i="1"/>
  <c r="BG6427" i="1"/>
  <c r="E582" i="1"/>
  <c r="G582" i="1"/>
  <c r="J582" i="1"/>
  <c r="K582" i="1"/>
  <c r="BC582" i="1"/>
  <c r="BE582" i="1"/>
  <c r="BF582" i="1"/>
  <c r="BG582" i="1"/>
  <c r="BH582" i="1"/>
  <c r="E2140" i="1"/>
  <c r="G2140" i="1"/>
  <c r="J2140" i="1"/>
  <c r="K2140" i="1"/>
  <c r="BF2140" i="1"/>
  <c r="BG2140" i="1"/>
  <c r="E2370" i="1"/>
  <c r="G2370" i="1"/>
  <c r="J2370" i="1"/>
  <c r="K2370" i="1"/>
  <c r="BE2370" i="1"/>
  <c r="BF2370" i="1"/>
  <c r="BG2370" i="1"/>
  <c r="E620" i="1"/>
  <c r="G620" i="1"/>
  <c r="J620" i="1"/>
  <c r="K620" i="1"/>
  <c r="BE620" i="1"/>
  <c r="BF620" i="1"/>
  <c r="BG620" i="1"/>
  <c r="BH620" i="1"/>
  <c r="E5818" i="1"/>
  <c r="G5818" i="1"/>
  <c r="J5818" i="1"/>
  <c r="K5818" i="1"/>
  <c r="BE5818" i="1"/>
  <c r="BF5818" i="1"/>
  <c r="BG5818" i="1"/>
  <c r="E3568" i="1"/>
  <c r="G3568" i="1"/>
  <c r="J3568" i="1"/>
  <c r="K3568" i="1"/>
  <c r="BE3568" i="1"/>
  <c r="BF3568" i="1"/>
  <c r="BG3568" i="1"/>
  <c r="E6773" i="1"/>
  <c r="G6773" i="1"/>
  <c r="J6773" i="1"/>
  <c r="K6773" i="1"/>
  <c r="BE6773" i="1"/>
  <c r="BF6773" i="1"/>
  <c r="BG6773" i="1"/>
  <c r="E2371" i="1"/>
  <c r="G2371" i="1"/>
  <c r="J2371" i="1"/>
  <c r="K2371" i="1"/>
  <c r="BE2371" i="1"/>
  <c r="BF2371" i="1"/>
  <c r="BG2371" i="1"/>
  <c r="E1860" i="1"/>
  <c r="G1860" i="1"/>
  <c r="J1860" i="1"/>
  <c r="K1860" i="1"/>
  <c r="BF1860" i="1"/>
  <c r="BG1860" i="1"/>
  <c r="E4327" i="1"/>
  <c r="G4327" i="1"/>
  <c r="J4327" i="1"/>
  <c r="K4327" i="1"/>
  <c r="BE4327" i="1"/>
  <c r="BF4327" i="1"/>
  <c r="BG4327" i="1"/>
  <c r="E4634" i="1"/>
  <c r="G4634" i="1"/>
  <c r="J4634" i="1"/>
  <c r="K4634" i="1"/>
  <c r="BE4634" i="1"/>
  <c r="BF4634" i="1"/>
  <c r="BG4634" i="1"/>
  <c r="E3569" i="1"/>
  <c r="G3569" i="1"/>
  <c r="J3569" i="1"/>
  <c r="K3569" i="1"/>
  <c r="BE3569" i="1"/>
  <c r="BF3569" i="1"/>
  <c r="BG3569" i="1"/>
  <c r="E6428" i="1"/>
  <c r="G6428" i="1"/>
  <c r="J6428" i="1"/>
  <c r="K6428" i="1"/>
  <c r="BE6428" i="1"/>
  <c r="BF6428" i="1"/>
  <c r="BG6428" i="1"/>
  <c r="E5819" i="1"/>
  <c r="G5819" i="1"/>
  <c r="J5819" i="1"/>
  <c r="K5819" i="1"/>
  <c r="BE5819" i="1"/>
  <c r="BF5819" i="1"/>
  <c r="BG5819" i="1"/>
  <c r="E2372" i="1"/>
  <c r="G2372" i="1"/>
  <c r="J2372" i="1"/>
  <c r="K2372" i="1"/>
  <c r="BE2372" i="1"/>
  <c r="BF2372" i="1"/>
  <c r="BG2372" i="1"/>
  <c r="E4183" i="1"/>
  <c r="G4183" i="1"/>
  <c r="J4183" i="1"/>
  <c r="K4183" i="1"/>
  <c r="BE4183" i="1"/>
  <c r="BF4183" i="1"/>
  <c r="BG4183" i="1"/>
  <c r="E2373" i="1"/>
  <c r="G2373" i="1"/>
  <c r="J2373" i="1"/>
  <c r="K2373" i="1"/>
  <c r="BE2373" i="1"/>
  <c r="BF2373" i="1"/>
  <c r="BG2373" i="1"/>
  <c r="E175" i="1"/>
  <c r="G175" i="1"/>
  <c r="J175" i="1"/>
  <c r="K175" i="1"/>
  <c r="BF175" i="1"/>
  <c r="BG175" i="1"/>
  <c r="E3570" i="1"/>
  <c r="G3570" i="1"/>
  <c r="J3570" i="1"/>
  <c r="K3570" i="1"/>
  <c r="BE3570" i="1"/>
  <c r="BF3570" i="1"/>
  <c r="BG3570" i="1"/>
  <c r="E4184" i="1"/>
  <c r="G4184" i="1"/>
  <c r="J4184" i="1"/>
  <c r="K4184" i="1"/>
  <c r="BE4184" i="1"/>
  <c r="BF4184" i="1"/>
  <c r="BG4184" i="1"/>
  <c r="E6429" i="1"/>
  <c r="G6429" i="1"/>
  <c r="J6429" i="1"/>
  <c r="K6429" i="1"/>
  <c r="BE6429" i="1"/>
  <c r="BF6429" i="1"/>
  <c r="BG6429" i="1"/>
  <c r="E6430" i="1"/>
  <c r="G6430" i="1"/>
  <c r="J6430" i="1"/>
  <c r="K6430" i="1"/>
  <c r="BE6430" i="1"/>
  <c r="BF6430" i="1"/>
  <c r="BG6430" i="1"/>
  <c r="E2374" i="1"/>
  <c r="G2374" i="1"/>
  <c r="J2374" i="1"/>
  <c r="K2374" i="1"/>
  <c r="BE2374" i="1"/>
  <c r="BF2374" i="1"/>
  <c r="BG2374" i="1"/>
  <c r="E1861" i="1"/>
  <c r="G1861" i="1"/>
  <c r="J1861" i="1"/>
  <c r="K1861" i="1"/>
  <c r="BF1861" i="1"/>
  <c r="BG1861" i="1"/>
  <c r="E5820" i="1"/>
  <c r="G5820" i="1"/>
  <c r="J5820" i="1"/>
  <c r="K5820" i="1"/>
  <c r="BE5820" i="1"/>
  <c r="BF5820" i="1"/>
  <c r="BG5820" i="1"/>
  <c r="E4328" i="1"/>
  <c r="G4328" i="1"/>
  <c r="J4328" i="1"/>
  <c r="K4328" i="1"/>
  <c r="BE4328" i="1"/>
  <c r="BF4328" i="1"/>
  <c r="BG4328" i="1"/>
  <c r="E6774" i="1"/>
  <c r="G6774" i="1"/>
  <c r="J6774" i="1"/>
  <c r="K6774" i="1"/>
  <c r="BE6774" i="1"/>
  <c r="BF6774" i="1"/>
  <c r="BG6774" i="1"/>
  <c r="E6431" i="1"/>
  <c r="G6431" i="1"/>
  <c r="J6431" i="1"/>
  <c r="K6431" i="1"/>
  <c r="BE6431" i="1"/>
  <c r="BF6431" i="1"/>
  <c r="BG6431" i="1"/>
  <c r="E2375" i="1"/>
  <c r="G2375" i="1"/>
  <c r="J2375" i="1"/>
  <c r="K2375" i="1"/>
  <c r="BE2375" i="1"/>
  <c r="BF2375" i="1"/>
  <c r="BG2375" i="1"/>
  <c r="E1862" i="1"/>
  <c r="G1862" i="1"/>
  <c r="J1862" i="1"/>
  <c r="K1862" i="1"/>
  <c r="BF1862" i="1"/>
  <c r="BG1862" i="1"/>
  <c r="E5821" i="1"/>
  <c r="G5821" i="1"/>
  <c r="J5821" i="1"/>
  <c r="K5821" i="1"/>
  <c r="BE5821" i="1"/>
  <c r="BF5821" i="1"/>
  <c r="BG5821" i="1"/>
  <c r="E2376" i="1"/>
  <c r="G2376" i="1"/>
  <c r="J2376" i="1"/>
  <c r="K2376" i="1"/>
  <c r="BE2376" i="1"/>
  <c r="BF2376" i="1"/>
  <c r="BG2376" i="1"/>
  <c r="E195" i="1"/>
  <c r="G195" i="1"/>
  <c r="J195" i="1"/>
  <c r="K195" i="1"/>
  <c r="BE195" i="1"/>
  <c r="BF195" i="1"/>
  <c r="BG195" i="1"/>
  <c r="E66" i="1"/>
  <c r="G66" i="1"/>
  <c r="J66" i="1"/>
  <c r="K66" i="1"/>
  <c r="BE66" i="1"/>
  <c r="BF66" i="1"/>
  <c r="BG66" i="1"/>
  <c r="E67" i="1"/>
  <c r="G67" i="1"/>
  <c r="J67" i="1"/>
  <c r="K67" i="1"/>
  <c r="BE67" i="1"/>
  <c r="BF67" i="1"/>
  <c r="BG67" i="1"/>
  <c r="E6432" i="1"/>
  <c r="G6432" i="1"/>
  <c r="J6432" i="1"/>
  <c r="K6432" i="1"/>
  <c r="BE6432" i="1"/>
  <c r="BF6432" i="1"/>
  <c r="BG6432" i="1"/>
  <c r="E2377" i="1"/>
  <c r="G2377" i="1"/>
  <c r="J2377" i="1"/>
  <c r="K2377" i="1"/>
  <c r="BE2377" i="1"/>
  <c r="BF2377" i="1"/>
  <c r="BG2377" i="1"/>
  <c r="E1863" i="1"/>
  <c r="G1863" i="1"/>
  <c r="J1863" i="1"/>
  <c r="K1863" i="1"/>
  <c r="BF1863" i="1"/>
  <c r="BG1863" i="1"/>
  <c r="E2928" i="1"/>
  <c r="G2928" i="1"/>
  <c r="J2928" i="1"/>
  <c r="K2928" i="1"/>
  <c r="BE2928" i="1"/>
  <c r="BF2928" i="1"/>
  <c r="BG2928" i="1"/>
  <c r="E2929" i="1"/>
  <c r="G2929" i="1"/>
  <c r="J2929" i="1"/>
  <c r="K2929" i="1"/>
  <c r="BE2929" i="1"/>
  <c r="BF2929" i="1"/>
  <c r="BG2929" i="1"/>
  <c r="E1864" i="1"/>
  <c r="G1864" i="1"/>
  <c r="J1864" i="1"/>
  <c r="K1864" i="1"/>
  <c r="BF1864" i="1"/>
  <c r="BG1864" i="1"/>
  <c r="E2378" i="1"/>
  <c r="G2378" i="1"/>
  <c r="J2378" i="1"/>
  <c r="K2378" i="1"/>
  <c r="BE2378" i="1"/>
  <c r="BF2378" i="1"/>
  <c r="BG2378" i="1"/>
  <c r="E2379" i="1"/>
  <c r="G2379" i="1"/>
  <c r="J2379" i="1"/>
  <c r="K2379" i="1"/>
  <c r="BE2379" i="1"/>
  <c r="BF2379" i="1"/>
  <c r="BG2379" i="1"/>
  <c r="E6433" i="1"/>
  <c r="G6433" i="1"/>
  <c r="J6433" i="1"/>
  <c r="K6433" i="1"/>
  <c r="BE6433" i="1"/>
  <c r="BF6433" i="1"/>
  <c r="BG6433" i="1"/>
  <c r="E2930" i="1"/>
  <c r="G2930" i="1"/>
  <c r="J2930" i="1"/>
  <c r="K2930" i="1"/>
  <c r="BE2930" i="1"/>
  <c r="BF2930" i="1"/>
  <c r="BG2930" i="1"/>
  <c r="E4329" i="1"/>
  <c r="G4329" i="1"/>
  <c r="J4329" i="1"/>
  <c r="K4329" i="1"/>
  <c r="BE4329" i="1"/>
  <c r="BF4329" i="1"/>
  <c r="BG4329" i="1"/>
  <c r="E6434" i="1"/>
  <c r="G6434" i="1"/>
  <c r="J6434" i="1"/>
  <c r="K6434" i="1"/>
  <c r="BE6434" i="1"/>
  <c r="BF6434" i="1"/>
  <c r="BG6434" i="1"/>
  <c r="E576" i="1"/>
  <c r="G576" i="1"/>
  <c r="J576" i="1"/>
  <c r="K576" i="1"/>
  <c r="BC576" i="1"/>
  <c r="BE576" i="1"/>
  <c r="BF576" i="1"/>
  <c r="BG576" i="1"/>
  <c r="E6775" i="1"/>
  <c r="G6775" i="1"/>
  <c r="J6775" i="1"/>
  <c r="K6775" i="1"/>
  <c r="BE6775" i="1"/>
  <c r="BF6775" i="1"/>
  <c r="BG6775" i="1"/>
  <c r="E3709" i="1"/>
  <c r="G3709" i="1"/>
  <c r="J3709" i="1"/>
  <c r="K3709" i="1"/>
  <c r="BE3709" i="1"/>
  <c r="BF3709" i="1"/>
  <c r="BG3709" i="1"/>
  <c r="E6435" i="1"/>
  <c r="G6435" i="1"/>
  <c r="J6435" i="1"/>
  <c r="K6435" i="1"/>
  <c r="BE6435" i="1"/>
  <c r="BF6435" i="1"/>
  <c r="BG6435" i="1"/>
  <c r="E1915" i="1"/>
  <c r="G1915" i="1"/>
  <c r="J1915" i="1"/>
  <c r="K1915" i="1"/>
  <c r="BF1915" i="1"/>
  <c r="BG1915" i="1"/>
  <c r="E4330" i="1"/>
  <c r="G4330" i="1"/>
  <c r="J4330" i="1"/>
  <c r="K4330" i="1"/>
  <c r="BE4330" i="1"/>
  <c r="BF4330" i="1"/>
  <c r="BG4330" i="1"/>
  <c r="E2380" i="1"/>
  <c r="G2380" i="1"/>
  <c r="J2380" i="1"/>
  <c r="K2380" i="1"/>
  <c r="BE2380" i="1"/>
  <c r="BF2380" i="1"/>
  <c r="BG2380" i="1"/>
  <c r="E480" i="1"/>
  <c r="G480" i="1"/>
  <c r="J480" i="1"/>
  <c r="K480" i="1"/>
  <c r="BE480" i="1"/>
  <c r="BF480" i="1"/>
  <c r="BG480" i="1"/>
  <c r="E176" i="1"/>
  <c r="G176" i="1"/>
  <c r="J176" i="1"/>
  <c r="K176" i="1"/>
  <c r="BF176" i="1"/>
  <c r="BG176" i="1"/>
  <c r="E6436" i="1"/>
  <c r="G6436" i="1"/>
  <c r="J6436" i="1"/>
  <c r="K6436" i="1"/>
  <c r="BE6436" i="1"/>
  <c r="BF6436" i="1"/>
  <c r="BG6436" i="1"/>
  <c r="E246" i="1"/>
  <c r="G246" i="1"/>
  <c r="J246" i="1"/>
  <c r="K246" i="1"/>
  <c r="BE246" i="1"/>
  <c r="BF246" i="1"/>
  <c r="BG246" i="1"/>
  <c r="E6776" i="1"/>
  <c r="G6776" i="1"/>
  <c r="J6776" i="1"/>
  <c r="K6776" i="1"/>
  <c r="BE6776" i="1"/>
  <c r="BF6776" i="1"/>
  <c r="BG6776" i="1"/>
  <c r="E6437" i="1"/>
  <c r="G6437" i="1"/>
  <c r="J6437" i="1"/>
  <c r="K6437" i="1"/>
  <c r="BE6437" i="1"/>
  <c r="BF6437" i="1"/>
  <c r="BG6437" i="1"/>
  <c r="E6438" i="1"/>
  <c r="G6438" i="1"/>
  <c r="J6438" i="1"/>
  <c r="K6438" i="1"/>
  <c r="BE6438" i="1"/>
  <c r="BF6438" i="1"/>
  <c r="BG6438" i="1"/>
  <c r="E2381" i="1"/>
  <c r="G2381" i="1"/>
  <c r="J2381" i="1"/>
  <c r="K2381" i="1"/>
  <c r="BE2381" i="1"/>
  <c r="BF2381" i="1"/>
  <c r="BG2381" i="1"/>
  <c r="E1865" i="1"/>
  <c r="G1865" i="1"/>
  <c r="J1865" i="1"/>
  <c r="K1865" i="1"/>
  <c r="BF1865" i="1"/>
  <c r="BG1865" i="1"/>
  <c r="E6439" i="1"/>
  <c r="G6439" i="1"/>
  <c r="J6439" i="1"/>
  <c r="K6439" i="1"/>
  <c r="BE6439" i="1"/>
  <c r="BF6439" i="1"/>
  <c r="BG6439" i="1"/>
  <c r="E4815" i="1"/>
  <c r="G4815" i="1"/>
  <c r="J4815" i="1"/>
  <c r="K4815" i="1"/>
  <c r="BE4815" i="1"/>
  <c r="BF4815" i="1"/>
  <c r="BG4815" i="1"/>
  <c r="E6440" i="1"/>
  <c r="G6440" i="1"/>
  <c r="J6440" i="1"/>
  <c r="K6440" i="1"/>
  <c r="BE6440" i="1"/>
  <c r="BF6440" i="1"/>
  <c r="BG6440" i="1"/>
  <c r="E3398" i="1"/>
  <c r="G3398" i="1"/>
  <c r="J3398" i="1"/>
  <c r="K3398" i="1"/>
  <c r="BE3398" i="1"/>
  <c r="BF3398" i="1"/>
  <c r="BG3398" i="1"/>
  <c r="E4331" i="1"/>
  <c r="G4331" i="1"/>
  <c r="J4331" i="1"/>
  <c r="K4331" i="1"/>
  <c r="BE4331" i="1"/>
  <c r="BF4331" i="1"/>
  <c r="BG4331" i="1"/>
  <c r="E562" i="1"/>
  <c r="G562" i="1"/>
  <c r="J562" i="1"/>
  <c r="K562" i="1"/>
  <c r="BE562" i="1"/>
  <c r="BF562" i="1"/>
  <c r="BG562" i="1"/>
  <c r="E6441" i="1"/>
  <c r="G6441" i="1"/>
  <c r="J6441" i="1"/>
  <c r="K6441" i="1"/>
  <c r="BE6441" i="1"/>
  <c r="BF6441" i="1"/>
  <c r="BG6441" i="1"/>
  <c r="E1866" i="1"/>
  <c r="G1866" i="1"/>
  <c r="J1866" i="1"/>
  <c r="K1866" i="1"/>
  <c r="BF1866" i="1"/>
  <c r="BG1866" i="1"/>
  <c r="E2199" i="1"/>
  <c r="G2199" i="1"/>
  <c r="J2199" i="1"/>
  <c r="K2199" i="1"/>
  <c r="BE2199" i="1"/>
  <c r="BF2199" i="1"/>
  <c r="BG2199" i="1"/>
  <c r="E6442" i="1"/>
  <c r="G6442" i="1"/>
  <c r="J6442" i="1"/>
  <c r="K6442" i="1"/>
  <c r="BE6442" i="1"/>
  <c r="BF6442" i="1"/>
  <c r="BG6442" i="1"/>
  <c r="E2200" i="1"/>
  <c r="G2200" i="1"/>
  <c r="J2200" i="1"/>
  <c r="K2200" i="1"/>
  <c r="BE2200" i="1"/>
  <c r="BF2200" i="1"/>
  <c r="BG2200" i="1"/>
  <c r="E6888" i="1"/>
  <c r="G6888" i="1"/>
  <c r="J6888" i="1"/>
  <c r="BE6888" i="1"/>
  <c r="BF6888" i="1"/>
  <c r="BG6888" i="1"/>
  <c r="E428" i="1"/>
  <c r="G428" i="1"/>
  <c r="J428" i="1"/>
  <c r="K428" i="1"/>
  <c r="BE428" i="1"/>
  <c r="BF428" i="1"/>
  <c r="BG428" i="1"/>
  <c r="E429" i="1"/>
  <c r="G429" i="1"/>
  <c r="J429" i="1"/>
  <c r="K429" i="1"/>
  <c r="BF429" i="1"/>
  <c r="BG429" i="1"/>
  <c r="E6647" i="1"/>
  <c r="G6647" i="1"/>
  <c r="J6647" i="1"/>
  <c r="K6647" i="1"/>
  <c r="BE6647" i="1"/>
  <c r="BF6647" i="1"/>
  <c r="BG6647" i="1"/>
  <c r="E3399" i="1"/>
  <c r="G3399" i="1"/>
  <c r="J3399" i="1"/>
  <c r="K3399" i="1"/>
  <c r="BE3399" i="1"/>
  <c r="BF3399" i="1"/>
  <c r="BG3399" i="1"/>
  <c r="E6777" i="1"/>
  <c r="G6777" i="1"/>
  <c r="J6777" i="1"/>
  <c r="K6777" i="1"/>
  <c r="BE6777" i="1"/>
  <c r="BF6777" i="1"/>
  <c r="BG6777" i="1"/>
  <c r="E6443" i="1"/>
  <c r="G6443" i="1"/>
  <c r="J6443" i="1"/>
  <c r="K6443" i="1"/>
  <c r="BE6443" i="1"/>
  <c r="BF6443" i="1"/>
  <c r="BG6443" i="1"/>
  <c r="E6444" i="1"/>
  <c r="G6444" i="1"/>
  <c r="J6444" i="1"/>
  <c r="K6444" i="1"/>
  <c r="BE6444" i="1"/>
  <c r="BF6444" i="1"/>
  <c r="BG6444" i="1"/>
  <c r="E6445" i="1"/>
  <c r="G6445" i="1"/>
  <c r="J6445" i="1"/>
  <c r="K6445" i="1"/>
  <c r="BE6445" i="1"/>
  <c r="BF6445" i="1"/>
  <c r="BG6445" i="1"/>
  <c r="E4332" i="1"/>
  <c r="G4332" i="1"/>
  <c r="J4332" i="1"/>
  <c r="K4332" i="1"/>
  <c r="BE4332" i="1"/>
  <c r="BF4332" i="1"/>
  <c r="BG4332" i="1"/>
  <c r="E2931" i="1"/>
  <c r="G2931" i="1"/>
  <c r="J2931" i="1"/>
  <c r="K2931" i="1"/>
  <c r="BC2931" i="1"/>
  <c r="BE2931" i="1"/>
  <c r="BF2931" i="1"/>
  <c r="BG2931" i="1"/>
  <c r="E2932" i="1"/>
  <c r="G2932" i="1"/>
  <c r="J2932" i="1"/>
  <c r="K2932" i="1"/>
  <c r="BC2932" i="1"/>
  <c r="BE2932" i="1"/>
  <c r="BF2932" i="1"/>
  <c r="BG2932" i="1"/>
  <c r="E2933" i="1"/>
  <c r="G2933" i="1"/>
  <c r="J2933" i="1"/>
  <c r="K2933" i="1"/>
  <c r="BC2933" i="1"/>
  <c r="BE2933" i="1"/>
  <c r="BF2933" i="1"/>
  <c r="BG2933" i="1"/>
  <c r="E2934" i="1"/>
  <c r="G2934" i="1"/>
  <c r="J2934" i="1"/>
  <c r="K2934" i="1"/>
  <c r="BC2934" i="1"/>
  <c r="BE2934" i="1"/>
  <c r="BF2934" i="1"/>
  <c r="BG2934" i="1"/>
  <c r="E2935" i="1"/>
  <c r="G2935" i="1"/>
  <c r="J2935" i="1"/>
  <c r="K2935" i="1"/>
  <c r="BC2935" i="1"/>
  <c r="BE2935" i="1"/>
  <c r="BF2935" i="1"/>
  <c r="BG2935" i="1"/>
  <c r="E2936" i="1"/>
  <c r="G2936" i="1"/>
  <c r="J2936" i="1"/>
  <c r="K2936" i="1"/>
  <c r="BC2936" i="1"/>
  <c r="BE2936" i="1"/>
  <c r="BF2936" i="1"/>
  <c r="BG2936" i="1"/>
  <c r="E1867" i="1"/>
  <c r="G1867" i="1"/>
  <c r="J1867" i="1"/>
  <c r="K1867" i="1"/>
  <c r="BF1867" i="1"/>
  <c r="BG1867" i="1"/>
  <c r="E6446" i="1"/>
  <c r="G6446" i="1"/>
  <c r="J6446" i="1"/>
  <c r="K6446" i="1"/>
  <c r="BE6446" i="1"/>
  <c r="BF6446" i="1"/>
  <c r="BG6446" i="1"/>
  <c r="E3400" i="1"/>
  <c r="G3400" i="1"/>
  <c r="J3400" i="1"/>
  <c r="K3400" i="1"/>
  <c r="BE3400" i="1"/>
  <c r="BF3400" i="1"/>
  <c r="BG3400" i="1"/>
  <c r="E1868" i="1"/>
  <c r="G1868" i="1"/>
  <c r="J1868" i="1"/>
  <c r="K1868" i="1"/>
  <c r="BF1868" i="1"/>
  <c r="BG1868" i="1"/>
  <c r="E6447" i="1"/>
  <c r="G6447" i="1"/>
  <c r="J6447" i="1"/>
  <c r="K6447" i="1"/>
  <c r="BE6447" i="1"/>
  <c r="BF6447" i="1"/>
  <c r="BG6447" i="1"/>
  <c r="E6648" i="1"/>
  <c r="G6648" i="1"/>
  <c r="J6648" i="1"/>
  <c r="K6648" i="1"/>
  <c r="BE6648" i="1"/>
  <c r="BF6648" i="1"/>
  <c r="BG6648" i="1"/>
  <c r="E4635" i="1"/>
  <c r="G4635" i="1"/>
  <c r="J4635" i="1"/>
  <c r="K4635" i="1"/>
  <c r="BE4635" i="1"/>
  <c r="BF4635" i="1"/>
  <c r="BG4635" i="1"/>
  <c r="E1869" i="1"/>
  <c r="G1869" i="1"/>
  <c r="J1869" i="1"/>
  <c r="K1869" i="1"/>
  <c r="BF1869" i="1"/>
  <c r="BG1869" i="1"/>
  <c r="E6778" i="1"/>
  <c r="G6778" i="1"/>
  <c r="J6778" i="1"/>
  <c r="K6778" i="1"/>
  <c r="BE6778" i="1"/>
  <c r="BF6778" i="1"/>
  <c r="BG6778" i="1"/>
  <c r="E5822" i="1"/>
  <c r="G5822" i="1"/>
  <c r="J5822" i="1"/>
  <c r="K5822" i="1"/>
  <c r="BE5822" i="1"/>
  <c r="BG5822" i="1"/>
  <c r="E470" i="1"/>
  <c r="G470" i="1"/>
  <c r="J470" i="1"/>
  <c r="K470" i="1"/>
  <c r="BE470" i="1"/>
  <c r="BF470" i="1"/>
  <c r="BG470" i="1"/>
  <c r="E1870" i="1"/>
  <c r="G1870" i="1"/>
  <c r="J1870" i="1"/>
  <c r="K1870" i="1"/>
  <c r="BF1870" i="1"/>
  <c r="BG1870" i="1"/>
  <c r="E2382" i="1"/>
  <c r="G2382" i="1"/>
  <c r="J2382" i="1"/>
  <c r="K2382" i="1"/>
  <c r="BE2382" i="1"/>
  <c r="BF2382" i="1"/>
  <c r="BG2382" i="1"/>
  <c r="E4185" i="1"/>
  <c r="G4185" i="1"/>
  <c r="J4185" i="1"/>
  <c r="K4185" i="1"/>
  <c r="BE4185" i="1"/>
  <c r="BF4185" i="1"/>
  <c r="BG4185" i="1"/>
  <c r="E3401" i="1"/>
  <c r="G3401" i="1"/>
  <c r="J3401" i="1"/>
  <c r="K3401" i="1"/>
  <c r="BE3401" i="1"/>
  <c r="BF3401" i="1"/>
  <c r="BG3401" i="1"/>
  <c r="E6649" i="1"/>
  <c r="G6649" i="1"/>
  <c r="J6649" i="1"/>
  <c r="K6649" i="1"/>
  <c r="BE6649" i="1"/>
  <c r="BF6649" i="1"/>
  <c r="BG6649" i="1"/>
  <c r="E4333" i="1"/>
  <c r="G4333" i="1"/>
  <c r="J4333" i="1"/>
  <c r="K4333" i="1"/>
  <c r="BE4333" i="1"/>
  <c r="BF4333" i="1"/>
  <c r="BG4333" i="1"/>
  <c r="E707" i="1"/>
  <c r="G707" i="1"/>
  <c r="J707" i="1"/>
  <c r="K707" i="1"/>
  <c r="BC707" i="1"/>
  <c r="BE707" i="1"/>
  <c r="BF707" i="1"/>
  <c r="BG707" i="1"/>
  <c r="E708" i="1"/>
  <c r="G708" i="1"/>
  <c r="J708" i="1"/>
  <c r="K708" i="1"/>
  <c r="BC708" i="1"/>
  <c r="BE708" i="1"/>
  <c r="BF708" i="1"/>
  <c r="BG708" i="1"/>
  <c r="E709" i="1"/>
  <c r="G709" i="1"/>
  <c r="J709" i="1"/>
  <c r="K709" i="1"/>
  <c r="BC709" i="1"/>
  <c r="BE709" i="1"/>
  <c r="BF709" i="1"/>
  <c r="BG709" i="1"/>
  <c r="E710" i="1"/>
  <c r="G710" i="1"/>
  <c r="J710" i="1"/>
  <c r="K710" i="1"/>
  <c r="BC710" i="1"/>
  <c r="BE710" i="1"/>
  <c r="BF710" i="1"/>
  <c r="BG710" i="1"/>
  <c r="E711" i="1"/>
  <c r="G711" i="1"/>
  <c r="J711" i="1"/>
  <c r="K711" i="1"/>
  <c r="BC711" i="1"/>
  <c r="BE711" i="1"/>
  <c r="BF711" i="1"/>
  <c r="BG711" i="1"/>
  <c r="E712" i="1"/>
  <c r="G712" i="1"/>
  <c r="J712" i="1"/>
  <c r="K712" i="1"/>
  <c r="BC712" i="1"/>
  <c r="BE712" i="1"/>
  <c r="BG712" i="1"/>
  <c r="E713" i="1"/>
  <c r="G713" i="1"/>
  <c r="J713" i="1"/>
  <c r="K713" i="1"/>
  <c r="BC713" i="1"/>
  <c r="BE713" i="1"/>
  <c r="BF713" i="1"/>
  <c r="BG713" i="1"/>
  <c r="E4816" i="1"/>
  <c r="G4816" i="1"/>
  <c r="J4816" i="1"/>
  <c r="K4816" i="1"/>
  <c r="BE4816" i="1"/>
  <c r="BF4816" i="1"/>
  <c r="BG4816" i="1"/>
  <c r="E6650" i="1"/>
  <c r="G6650" i="1"/>
  <c r="J6650" i="1"/>
  <c r="K6650" i="1"/>
  <c r="BE6650" i="1"/>
  <c r="BF6650" i="1"/>
  <c r="BG6650" i="1"/>
  <c r="E6779" i="1"/>
  <c r="G6779" i="1"/>
  <c r="J6779" i="1"/>
  <c r="K6779" i="1"/>
  <c r="BE6779" i="1"/>
  <c r="BF6779" i="1"/>
  <c r="BG6779" i="1"/>
  <c r="E1871" i="1"/>
  <c r="G1871" i="1"/>
  <c r="J1871" i="1"/>
  <c r="K1871" i="1"/>
  <c r="BF1871" i="1"/>
  <c r="BG1871" i="1"/>
  <c r="E3402" i="1"/>
  <c r="G3402" i="1"/>
  <c r="J3402" i="1"/>
  <c r="K3402" i="1"/>
  <c r="BE3402" i="1"/>
  <c r="BF3402" i="1"/>
  <c r="BG3402" i="1"/>
  <c r="E4186" i="1"/>
  <c r="G4186" i="1"/>
  <c r="J4186" i="1"/>
  <c r="K4186" i="1"/>
  <c r="BE4186" i="1"/>
  <c r="BF4186" i="1"/>
  <c r="BG4186" i="1"/>
  <c r="E2141" i="1"/>
  <c r="G2141" i="1"/>
  <c r="J2141" i="1"/>
  <c r="K2141" i="1"/>
  <c r="BF2141" i="1"/>
  <c r="BG2141" i="1"/>
  <c r="E4636" i="1"/>
  <c r="G4636" i="1"/>
  <c r="J4636" i="1"/>
  <c r="K4636" i="1"/>
  <c r="BE4636" i="1"/>
  <c r="BF4636" i="1"/>
  <c r="BG4636" i="1"/>
  <c r="E4334" i="1"/>
  <c r="G4334" i="1"/>
  <c r="J4334" i="1"/>
  <c r="K4334" i="1"/>
  <c r="BE4334" i="1"/>
  <c r="BF4334" i="1"/>
  <c r="BG4334" i="1"/>
  <c r="E6448" i="1"/>
  <c r="G6448" i="1"/>
  <c r="J6448" i="1"/>
  <c r="K6448" i="1"/>
  <c r="BE6448" i="1"/>
  <c r="BF6448" i="1"/>
  <c r="BG6448" i="1"/>
  <c r="E4817" i="1"/>
  <c r="G4817" i="1"/>
  <c r="J4817" i="1"/>
  <c r="K4817" i="1"/>
  <c r="BE4817" i="1"/>
  <c r="BF4817" i="1"/>
  <c r="BG4817" i="1"/>
  <c r="E471" i="1"/>
  <c r="G471" i="1"/>
  <c r="J471" i="1"/>
  <c r="K471" i="1"/>
  <c r="BE471" i="1"/>
  <c r="BF471" i="1"/>
  <c r="BG471" i="1"/>
  <c r="E6780" i="1"/>
  <c r="G6780" i="1"/>
  <c r="J6780" i="1"/>
  <c r="K6780" i="1"/>
  <c r="BE6780" i="1"/>
  <c r="BF6780" i="1"/>
  <c r="BG6780" i="1"/>
  <c r="E247" i="1"/>
  <c r="G247" i="1"/>
  <c r="J247" i="1"/>
  <c r="K247" i="1"/>
  <c r="BE247" i="1"/>
  <c r="BF247" i="1"/>
  <c r="BG247" i="1"/>
  <c r="E177" i="1"/>
  <c r="G177" i="1"/>
  <c r="J177" i="1"/>
  <c r="K177" i="1"/>
  <c r="BF177" i="1"/>
  <c r="BG177" i="1"/>
  <c r="E2142" i="1"/>
  <c r="G2142" i="1"/>
  <c r="J2142" i="1"/>
  <c r="K2142" i="1"/>
  <c r="BF2142" i="1"/>
  <c r="BG2142" i="1"/>
  <c r="E6449" i="1"/>
  <c r="G6449" i="1"/>
  <c r="J6449" i="1"/>
  <c r="K6449" i="1"/>
  <c r="BE6449" i="1"/>
  <c r="BF6449" i="1"/>
  <c r="BG6449" i="1"/>
  <c r="E755" i="1"/>
  <c r="G755" i="1"/>
  <c r="J755" i="1"/>
  <c r="K755" i="1"/>
  <c r="BE755" i="1"/>
  <c r="BF755" i="1"/>
  <c r="BG755" i="1"/>
  <c r="E756" i="1"/>
  <c r="G756" i="1"/>
  <c r="J756" i="1"/>
  <c r="K756" i="1"/>
  <c r="BE756" i="1"/>
  <c r="BF756" i="1"/>
  <c r="BG756" i="1"/>
  <c r="E6450" i="1"/>
  <c r="G6450" i="1"/>
  <c r="J6450" i="1"/>
  <c r="K6450" i="1"/>
  <c r="BE6450" i="1"/>
  <c r="BF6450" i="1"/>
  <c r="BG6450" i="1"/>
  <c r="E3403" i="1"/>
  <c r="G3403" i="1"/>
  <c r="J3403" i="1"/>
  <c r="K3403" i="1"/>
  <c r="BE3403" i="1"/>
  <c r="BF3403" i="1"/>
  <c r="BG3403" i="1"/>
  <c r="E6451" i="1"/>
  <c r="G6451" i="1"/>
  <c r="J6451" i="1"/>
  <c r="K6451" i="1"/>
  <c r="BE6451" i="1"/>
  <c r="BF6451" i="1"/>
  <c r="BG6451" i="1"/>
  <c r="E4187" i="1"/>
  <c r="G4187" i="1"/>
  <c r="J4187" i="1"/>
  <c r="K4187" i="1"/>
  <c r="BE4187" i="1"/>
  <c r="BF4187" i="1"/>
  <c r="BG4187" i="1"/>
  <c r="E4335" i="1"/>
  <c r="G4335" i="1"/>
  <c r="J4335" i="1"/>
  <c r="K4335" i="1"/>
  <c r="BE4335" i="1"/>
  <c r="BF4335" i="1"/>
  <c r="BG4335" i="1"/>
  <c r="E2143" i="1"/>
  <c r="G2143" i="1"/>
  <c r="J2143" i="1"/>
  <c r="K2143" i="1"/>
  <c r="BF2143" i="1"/>
  <c r="BG2143" i="1"/>
  <c r="E6452" i="1"/>
  <c r="G6452" i="1"/>
  <c r="J6452" i="1"/>
  <c r="K6452" i="1"/>
  <c r="BE6452" i="1"/>
  <c r="BF6452" i="1"/>
  <c r="BG6452" i="1"/>
  <c r="E2144" i="1"/>
  <c r="G2144" i="1"/>
  <c r="J2144" i="1"/>
  <c r="K2144" i="1"/>
  <c r="BF2144" i="1"/>
  <c r="BG2144" i="1"/>
  <c r="E6453" i="1"/>
  <c r="G6453" i="1"/>
  <c r="J6453" i="1"/>
  <c r="K6453" i="1"/>
  <c r="BE6453" i="1"/>
  <c r="BF6453" i="1"/>
  <c r="BG6453" i="1"/>
  <c r="E4818" i="1"/>
  <c r="G4818" i="1"/>
  <c r="J4818" i="1"/>
  <c r="K4818" i="1"/>
  <c r="BE4818" i="1"/>
  <c r="BF4818" i="1"/>
  <c r="BG4818" i="1"/>
  <c r="E1872" i="1"/>
  <c r="G1872" i="1"/>
  <c r="J1872" i="1"/>
  <c r="K1872" i="1"/>
  <c r="BF1872" i="1"/>
  <c r="BG1872" i="1"/>
  <c r="E6781" i="1"/>
  <c r="G6781" i="1"/>
  <c r="J6781" i="1"/>
  <c r="K6781" i="1"/>
  <c r="BE6781" i="1"/>
  <c r="BF6781" i="1"/>
  <c r="BG6781" i="1"/>
  <c r="E6454" i="1"/>
  <c r="G6454" i="1"/>
  <c r="J6454" i="1"/>
  <c r="K6454" i="1"/>
  <c r="BE6454" i="1"/>
  <c r="BF6454" i="1"/>
  <c r="BG6454" i="1"/>
  <c r="E1873" i="1"/>
  <c r="G1873" i="1"/>
  <c r="J1873" i="1"/>
  <c r="K1873" i="1"/>
  <c r="BF1873" i="1"/>
  <c r="BG1873" i="1"/>
  <c r="E3404" i="1"/>
  <c r="G3404" i="1"/>
  <c r="J3404" i="1"/>
  <c r="K3404" i="1"/>
  <c r="BE3404" i="1"/>
  <c r="BF3404" i="1"/>
  <c r="BG3404" i="1"/>
  <c r="E6455" i="1"/>
  <c r="G6455" i="1"/>
  <c r="J6455" i="1"/>
  <c r="K6455" i="1"/>
  <c r="BE6455" i="1"/>
  <c r="BF6455" i="1"/>
  <c r="BG6455" i="1"/>
  <c r="E4336" i="1"/>
  <c r="G4336" i="1"/>
  <c r="J4336" i="1"/>
  <c r="K4336" i="1"/>
  <c r="BE4336" i="1"/>
  <c r="BF4336" i="1"/>
  <c r="BG4336" i="1"/>
  <c r="E2145" i="1"/>
  <c r="G2145" i="1"/>
  <c r="J2145" i="1"/>
  <c r="K2145" i="1"/>
  <c r="BF2145" i="1"/>
  <c r="BG2145" i="1"/>
  <c r="E2146" i="1"/>
  <c r="G2146" i="1"/>
  <c r="J2146" i="1"/>
  <c r="K2146" i="1"/>
  <c r="BF2146" i="1"/>
  <c r="BG2146" i="1"/>
  <c r="E6456" i="1"/>
  <c r="G6456" i="1"/>
  <c r="J6456" i="1"/>
  <c r="K6456" i="1"/>
  <c r="BE6456" i="1"/>
  <c r="BF6456" i="1"/>
  <c r="BG6456" i="1"/>
  <c r="E6457" i="1"/>
  <c r="G6457" i="1"/>
  <c r="J6457" i="1"/>
  <c r="K6457" i="1"/>
  <c r="BE6457" i="1"/>
  <c r="BF6457" i="1"/>
  <c r="BG6457" i="1"/>
  <c r="E851" i="1"/>
  <c r="G851" i="1"/>
  <c r="J851" i="1"/>
  <c r="K851" i="1"/>
  <c r="BE851" i="1"/>
  <c r="BF851" i="1"/>
  <c r="BG851" i="1"/>
  <c r="E4819" i="1"/>
  <c r="G4819" i="1"/>
  <c r="J4819" i="1"/>
  <c r="K4819" i="1"/>
  <c r="BE4819" i="1"/>
  <c r="BF4819" i="1"/>
  <c r="BG4819" i="1"/>
  <c r="E2147" i="1"/>
  <c r="G2147" i="1"/>
  <c r="J2147" i="1"/>
  <c r="K2147" i="1"/>
  <c r="BF2147" i="1"/>
  <c r="BG2147" i="1"/>
  <c r="E6782" i="1"/>
  <c r="G6782" i="1"/>
  <c r="J6782" i="1"/>
  <c r="K6782" i="1"/>
  <c r="BE6782" i="1"/>
  <c r="BF6782" i="1"/>
  <c r="BG6782" i="1"/>
  <c r="E6458" i="1"/>
  <c r="G6458" i="1"/>
  <c r="J6458" i="1"/>
  <c r="K6458" i="1"/>
  <c r="BE6458" i="1"/>
  <c r="BF6458" i="1"/>
  <c r="BG6458" i="1"/>
  <c r="E2148" i="1"/>
  <c r="G2148" i="1"/>
  <c r="J2148" i="1"/>
  <c r="K2148" i="1"/>
  <c r="BF2148" i="1"/>
  <c r="BG2148" i="1"/>
  <c r="E2937" i="1"/>
  <c r="G2937" i="1"/>
  <c r="J2937" i="1"/>
  <c r="K2937" i="1"/>
  <c r="BE2937" i="1"/>
  <c r="BF2937" i="1"/>
  <c r="BG2937" i="1"/>
  <c r="E2149" i="1"/>
  <c r="G2149" i="1"/>
  <c r="J2149" i="1"/>
  <c r="K2149" i="1"/>
  <c r="BF2149" i="1"/>
  <c r="BG2149" i="1"/>
  <c r="E3405" i="1"/>
  <c r="G3405" i="1"/>
  <c r="J3405" i="1"/>
  <c r="K3405" i="1"/>
  <c r="BE3405" i="1"/>
  <c r="BF3405" i="1"/>
  <c r="BG3405" i="1"/>
  <c r="E6459" i="1"/>
  <c r="G6459" i="1"/>
  <c r="J6459" i="1"/>
  <c r="K6459" i="1"/>
  <c r="BE6459" i="1"/>
  <c r="BF6459" i="1"/>
  <c r="BG6459" i="1"/>
  <c r="E2150" i="1"/>
  <c r="G2150" i="1"/>
  <c r="J2150" i="1"/>
  <c r="K2150" i="1"/>
  <c r="BF2150" i="1"/>
  <c r="BG2150" i="1"/>
  <c r="E2151" i="1"/>
  <c r="G2151" i="1"/>
  <c r="J2151" i="1"/>
  <c r="K2151" i="1"/>
  <c r="BF2151" i="1"/>
  <c r="BG2151" i="1"/>
  <c r="E6460" i="1"/>
  <c r="G6460" i="1"/>
  <c r="J6460" i="1"/>
  <c r="K6460" i="1"/>
  <c r="BE6460" i="1"/>
  <c r="BF6460" i="1"/>
  <c r="BG6460" i="1"/>
  <c r="E2152" i="1"/>
  <c r="G2152" i="1"/>
  <c r="J2152" i="1"/>
  <c r="K2152" i="1"/>
  <c r="BF2152" i="1"/>
  <c r="BG2152" i="1"/>
  <c r="E2938" i="1"/>
  <c r="G2938" i="1"/>
  <c r="J2938" i="1"/>
  <c r="K2938" i="1"/>
  <c r="BE2938" i="1"/>
  <c r="BF2938" i="1"/>
  <c r="BG2938" i="1"/>
  <c r="E3571" i="1"/>
  <c r="G3571" i="1"/>
  <c r="J3571" i="1"/>
  <c r="K3571" i="1"/>
  <c r="BE3571" i="1"/>
  <c r="BF3571" i="1"/>
  <c r="BG3571" i="1"/>
  <c r="E430" i="1"/>
  <c r="G430" i="1"/>
  <c r="J430" i="1"/>
  <c r="K430" i="1"/>
  <c r="BE430" i="1"/>
  <c r="BF430" i="1"/>
  <c r="BG430" i="1"/>
  <c r="E431" i="1"/>
  <c r="G431" i="1"/>
  <c r="J431" i="1"/>
  <c r="K431" i="1"/>
  <c r="BE431" i="1"/>
  <c r="BF431" i="1"/>
  <c r="BG431" i="1"/>
  <c r="E432" i="1"/>
  <c r="G432" i="1"/>
  <c r="J432" i="1"/>
  <c r="K432" i="1"/>
  <c r="BE432" i="1"/>
  <c r="BF432" i="1"/>
  <c r="BG432" i="1"/>
  <c r="E2153" i="1"/>
  <c r="G2153" i="1"/>
  <c r="J2153" i="1"/>
  <c r="K2153" i="1"/>
  <c r="BF2153" i="1"/>
  <c r="BG2153" i="1"/>
  <c r="E2154" i="1"/>
  <c r="G2154" i="1"/>
  <c r="J2154" i="1"/>
  <c r="K2154" i="1"/>
  <c r="BF2154" i="1"/>
  <c r="BG2154" i="1"/>
  <c r="E536" i="1"/>
  <c r="G536" i="1"/>
  <c r="J536" i="1"/>
  <c r="K536" i="1"/>
  <c r="BF536" i="1"/>
  <c r="BG536" i="1"/>
  <c r="E537" i="1"/>
  <c r="G537" i="1"/>
  <c r="J537" i="1"/>
  <c r="K537" i="1"/>
  <c r="BF537" i="1"/>
  <c r="BG537" i="1"/>
  <c r="E3572" i="1"/>
  <c r="G3572" i="1"/>
  <c r="J3572" i="1"/>
  <c r="K3572" i="1"/>
  <c r="BE3572" i="1"/>
  <c r="BF3572" i="1"/>
  <c r="BG3572" i="1"/>
  <c r="E6461" i="1"/>
  <c r="G6461" i="1"/>
  <c r="J6461" i="1"/>
  <c r="K6461" i="1"/>
  <c r="BE6461" i="1"/>
  <c r="BF6461" i="1"/>
  <c r="BG6461" i="1"/>
  <c r="E3406" i="1"/>
  <c r="G3406" i="1"/>
  <c r="J3406" i="1"/>
  <c r="K3406" i="1"/>
  <c r="BE3406" i="1"/>
  <c r="BF3406" i="1"/>
  <c r="BG3406" i="1"/>
  <c r="E2939" i="1"/>
  <c r="G2939" i="1"/>
  <c r="J2939" i="1"/>
  <c r="K2939" i="1"/>
  <c r="BE2939" i="1"/>
  <c r="BF2939" i="1"/>
  <c r="BG2939" i="1"/>
  <c r="E3573" i="1"/>
  <c r="G3573" i="1"/>
  <c r="J3573" i="1"/>
  <c r="K3573" i="1"/>
  <c r="BE3573" i="1"/>
  <c r="BF3573" i="1"/>
  <c r="BG3573" i="1"/>
  <c r="E2155" i="1"/>
  <c r="G2155" i="1"/>
  <c r="J2155" i="1"/>
  <c r="K2155" i="1"/>
  <c r="BF2155" i="1"/>
  <c r="BG2155" i="1"/>
  <c r="E6783" i="1"/>
  <c r="G6783" i="1"/>
  <c r="J6783" i="1"/>
  <c r="K6783" i="1"/>
  <c r="BE6783" i="1"/>
  <c r="BF6783" i="1"/>
  <c r="BG6783" i="1"/>
  <c r="E3574" i="1"/>
  <c r="G3574" i="1"/>
  <c r="J3574" i="1"/>
  <c r="K3574" i="1"/>
  <c r="BE3574" i="1"/>
  <c r="BF3574" i="1"/>
  <c r="BG3574" i="1"/>
  <c r="E2156" i="1"/>
  <c r="G2156" i="1"/>
  <c r="J2156" i="1"/>
  <c r="K2156" i="1"/>
  <c r="BF2156" i="1"/>
  <c r="BG2156" i="1"/>
  <c r="E2157" i="1"/>
  <c r="G2157" i="1"/>
  <c r="J2157" i="1"/>
  <c r="K2157" i="1"/>
  <c r="BF2157" i="1"/>
  <c r="BG2157" i="1"/>
  <c r="E2158" i="1"/>
  <c r="G2158" i="1"/>
  <c r="J2158" i="1"/>
  <c r="K2158" i="1"/>
  <c r="BF2158" i="1"/>
  <c r="BG2158" i="1"/>
  <c r="E3575" i="1"/>
  <c r="G3575" i="1"/>
  <c r="J3575" i="1"/>
  <c r="K3575" i="1"/>
  <c r="BE3575" i="1"/>
  <c r="BF3575" i="1"/>
  <c r="BG3575" i="1"/>
  <c r="E6462" i="1"/>
  <c r="G6462" i="1"/>
  <c r="J6462" i="1"/>
  <c r="K6462" i="1"/>
  <c r="BE6462" i="1"/>
  <c r="BF6462" i="1"/>
  <c r="BG6462" i="1"/>
  <c r="E4188" i="1"/>
  <c r="G4188" i="1"/>
  <c r="J4188" i="1"/>
  <c r="K4188" i="1"/>
  <c r="BE4188" i="1"/>
  <c r="BF4188" i="1"/>
  <c r="BG4188" i="1"/>
  <c r="E4189" i="1"/>
  <c r="G4189" i="1"/>
  <c r="J4189" i="1"/>
  <c r="K4189" i="1"/>
  <c r="BE4189" i="1"/>
  <c r="BF4189" i="1"/>
  <c r="BG4189" i="1"/>
  <c r="E6463" i="1"/>
  <c r="G6463" i="1"/>
  <c r="J6463" i="1"/>
  <c r="K6463" i="1"/>
  <c r="BE6463" i="1"/>
  <c r="BF6463" i="1"/>
  <c r="BG6463" i="1"/>
  <c r="E3576" i="1"/>
  <c r="G3576" i="1"/>
  <c r="J3576" i="1"/>
  <c r="K3576" i="1"/>
  <c r="BE3576" i="1"/>
  <c r="BF3576" i="1"/>
  <c r="BG3576" i="1"/>
  <c r="E3407" i="1"/>
  <c r="G3407" i="1"/>
  <c r="J3407" i="1"/>
  <c r="K3407" i="1"/>
  <c r="BE3407" i="1"/>
  <c r="BF3407" i="1"/>
  <c r="BG3407" i="1"/>
  <c r="E3577" i="1"/>
  <c r="G3577" i="1"/>
  <c r="J3577" i="1"/>
  <c r="K3577" i="1"/>
  <c r="BE3577" i="1"/>
  <c r="BF3577" i="1"/>
  <c r="BG3577" i="1"/>
  <c r="E6464" i="1"/>
  <c r="G6464" i="1"/>
  <c r="J6464" i="1"/>
  <c r="K6464" i="1"/>
  <c r="BE6464" i="1"/>
  <c r="BF6464" i="1"/>
  <c r="BG6464" i="1"/>
  <c r="E6784" i="1"/>
  <c r="G6784" i="1"/>
  <c r="J6784" i="1"/>
  <c r="K6784" i="1"/>
  <c r="BE6784" i="1"/>
  <c r="BF6784" i="1"/>
  <c r="BG6784" i="1"/>
  <c r="E3578" i="1"/>
  <c r="G3578" i="1"/>
  <c r="J3578" i="1"/>
  <c r="K3578" i="1"/>
  <c r="BE3578" i="1"/>
  <c r="BF3578" i="1"/>
  <c r="BG3578" i="1"/>
  <c r="E6465" i="1"/>
  <c r="G6465" i="1"/>
  <c r="J6465" i="1"/>
  <c r="K6465" i="1"/>
  <c r="BE6465" i="1"/>
  <c r="BF6465" i="1"/>
  <c r="BG6465" i="1"/>
  <c r="E2383" i="1"/>
  <c r="G2383" i="1"/>
  <c r="J2383" i="1"/>
  <c r="K2383" i="1"/>
  <c r="BE2383" i="1"/>
  <c r="BF2383" i="1"/>
  <c r="BG2383" i="1"/>
  <c r="E4820" i="1"/>
  <c r="G4820" i="1"/>
  <c r="J4820" i="1"/>
  <c r="K4820" i="1"/>
  <c r="BE4820" i="1"/>
  <c r="BF4820" i="1"/>
  <c r="BG4820" i="1"/>
  <c r="E993" i="1"/>
  <c r="G993" i="1"/>
  <c r="J993" i="1"/>
  <c r="K993" i="1"/>
  <c r="BE993" i="1"/>
  <c r="BF993" i="1"/>
  <c r="BG993" i="1"/>
  <c r="E2384" i="1"/>
  <c r="G2384" i="1"/>
  <c r="J2384" i="1"/>
  <c r="K2384" i="1"/>
  <c r="BE2384" i="1"/>
  <c r="BF2384" i="1"/>
  <c r="BG2384" i="1"/>
  <c r="E3352" i="1"/>
  <c r="G3352" i="1"/>
  <c r="J3352" i="1"/>
  <c r="K3352" i="1"/>
  <c r="BE3352" i="1"/>
  <c r="BF3352" i="1"/>
  <c r="BG3352" i="1"/>
  <c r="E5823" i="1"/>
  <c r="G5823" i="1"/>
  <c r="J5823" i="1"/>
  <c r="K5823" i="1"/>
  <c r="BE5823" i="1"/>
  <c r="BF5823" i="1"/>
  <c r="BG5823" i="1"/>
  <c r="E4637" i="1"/>
  <c r="G4637" i="1"/>
  <c r="J4637" i="1"/>
  <c r="K4637" i="1"/>
  <c r="BE4637" i="1"/>
  <c r="BF4637" i="1"/>
  <c r="BG4637" i="1"/>
  <c r="E4638" i="1"/>
  <c r="G4638" i="1"/>
  <c r="J4638" i="1"/>
  <c r="K4638" i="1"/>
  <c r="BE4638" i="1"/>
  <c r="BF4638" i="1"/>
  <c r="BG4638" i="1"/>
  <c r="E6785" i="1"/>
  <c r="G6785" i="1"/>
  <c r="J6785" i="1"/>
  <c r="K6785" i="1"/>
  <c r="BE6785" i="1"/>
  <c r="BF6785" i="1"/>
  <c r="BG6785" i="1"/>
  <c r="E2385" i="1"/>
  <c r="G2385" i="1"/>
  <c r="J2385" i="1"/>
  <c r="K2385" i="1"/>
  <c r="BE2385" i="1"/>
  <c r="BF2385" i="1"/>
  <c r="BG2385" i="1"/>
  <c r="E4639" i="1"/>
  <c r="G4639" i="1"/>
  <c r="J4639" i="1"/>
  <c r="K4639" i="1"/>
  <c r="BE4639" i="1"/>
  <c r="BF4639" i="1"/>
  <c r="BG4639" i="1"/>
  <c r="E2386" i="1"/>
  <c r="G2386" i="1"/>
  <c r="J2386" i="1"/>
  <c r="K2386" i="1"/>
  <c r="BE2386" i="1"/>
  <c r="BF2386" i="1"/>
  <c r="BG2386" i="1"/>
  <c r="E2387" i="1"/>
  <c r="G2387" i="1"/>
  <c r="J2387" i="1"/>
  <c r="K2387" i="1"/>
  <c r="BE2387" i="1"/>
  <c r="BF2387" i="1"/>
  <c r="BG2387" i="1"/>
  <c r="E59" i="1"/>
  <c r="G59" i="1"/>
  <c r="J59" i="1"/>
  <c r="K59" i="1"/>
  <c r="BE59" i="1"/>
  <c r="BF59" i="1"/>
  <c r="BG59" i="1"/>
  <c r="E2388" i="1"/>
  <c r="G2388" i="1"/>
  <c r="J2388" i="1"/>
  <c r="K2388" i="1"/>
  <c r="BE2388" i="1"/>
  <c r="BF2388" i="1"/>
  <c r="BG2388" i="1"/>
  <c r="E2492" i="1"/>
  <c r="G2492" i="1"/>
  <c r="J2492" i="1"/>
  <c r="K2492" i="1"/>
  <c r="BE2492" i="1"/>
  <c r="BF2492" i="1"/>
  <c r="BG2492" i="1"/>
  <c r="E4821" i="1"/>
  <c r="G4821" i="1"/>
  <c r="J4821" i="1"/>
  <c r="K4821" i="1"/>
  <c r="BE4821" i="1"/>
  <c r="BF4821" i="1"/>
  <c r="BG4821" i="1"/>
  <c r="E6786" i="1"/>
  <c r="G6786" i="1"/>
  <c r="J6786" i="1"/>
  <c r="K6786" i="1"/>
  <c r="BE6786" i="1"/>
  <c r="BF6786" i="1"/>
  <c r="BG6786" i="1"/>
  <c r="E563" i="1"/>
  <c r="G563" i="1"/>
  <c r="J563" i="1"/>
  <c r="K563" i="1"/>
  <c r="BE563" i="1"/>
  <c r="BF563" i="1"/>
  <c r="BG563" i="1"/>
  <c r="E2389" i="1"/>
  <c r="G2389" i="1"/>
  <c r="J2389" i="1"/>
  <c r="K2389" i="1"/>
  <c r="BE2389" i="1"/>
  <c r="BF2389" i="1"/>
  <c r="BG2389" i="1"/>
  <c r="E775" i="1"/>
  <c r="G775" i="1"/>
  <c r="J775" i="1"/>
  <c r="K775" i="1"/>
  <c r="BE775" i="1"/>
  <c r="BF775" i="1"/>
  <c r="BG775" i="1"/>
  <c r="E3353" i="1"/>
  <c r="G3353" i="1"/>
  <c r="J3353" i="1"/>
  <c r="K3353" i="1"/>
  <c r="BE3353" i="1"/>
  <c r="BF3353" i="1"/>
  <c r="BG3353" i="1"/>
  <c r="E2390" i="1"/>
  <c r="G2390" i="1"/>
  <c r="J2390" i="1"/>
  <c r="K2390" i="1"/>
  <c r="BE2390" i="1"/>
  <c r="BF2390" i="1"/>
  <c r="BG2390" i="1"/>
  <c r="E2391" i="1"/>
  <c r="G2391" i="1"/>
  <c r="J2391" i="1"/>
  <c r="K2391" i="1"/>
  <c r="BE2391" i="1"/>
  <c r="BF2391" i="1"/>
  <c r="BG2391" i="1"/>
  <c r="E3579" i="1"/>
  <c r="G3579" i="1"/>
  <c r="J3579" i="1"/>
  <c r="K3579" i="1"/>
  <c r="BE3579" i="1"/>
  <c r="BF3579" i="1"/>
  <c r="BG3579" i="1"/>
  <c r="E6787" i="1"/>
  <c r="G6787" i="1"/>
  <c r="J6787" i="1"/>
  <c r="K6787" i="1"/>
  <c r="BE6787" i="1"/>
  <c r="BF6787" i="1"/>
  <c r="BG6787" i="1"/>
  <c r="E2392" i="1"/>
  <c r="G2392" i="1"/>
  <c r="J2392" i="1"/>
  <c r="K2392" i="1"/>
  <c r="BE2392" i="1"/>
  <c r="BF2392" i="1"/>
  <c r="BG2392" i="1"/>
  <c r="E2393" i="1"/>
  <c r="G2393" i="1"/>
  <c r="J2393" i="1"/>
  <c r="K2393" i="1"/>
  <c r="BE2393" i="1"/>
  <c r="BF2393" i="1"/>
  <c r="BG2393" i="1"/>
  <c r="E994" i="1"/>
  <c r="G994" i="1"/>
  <c r="J994" i="1"/>
  <c r="K994" i="1"/>
  <c r="BE994" i="1"/>
  <c r="BF994" i="1"/>
  <c r="BG994" i="1"/>
  <c r="E6466" i="1"/>
  <c r="G6466" i="1"/>
  <c r="J6466" i="1"/>
  <c r="K6466" i="1"/>
  <c r="BE6466" i="1"/>
  <c r="BF6466" i="1"/>
  <c r="BG6466" i="1"/>
  <c r="E4337" i="1"/>
  <c r="G4337" i="1"/>
  <c r="J4337" i="1"/>
  <c r="K4337" i="1"/>
  <c r="BE4337" i="1"/>
  <c r="BF4337" i="1"/>
  <c r="BG4337" i="1"/>
  <c r="E4338" i="1"/>
  <c r="G4338" i="1"/>
  <c r="J4338" i="1"/>
  <c r="K4338" i="1"/>
  <c r="BE4338" i="1"/>
  <c r="BF4338" i="1"/>
  <c r="BG4338" i="1"/>
  <c r="E2394" i="1"/>
  <c r="G2394" i="1"/>
  <c r="J2394" i="1"/>
  <c r="K2394" i="1"/>
  <c r="BE2394" i="1"/>
  <c r="BF2394" i="1"/>
  <c r="BG2394" i="1"/>
  <c r="E4339" i="1"/>
  <c r="G4339" i="1"/>
  <c r="J4339" i="1"/>
  <c r="K4339" i="1"/>
  <c r="BE4339" i="1"/>
  <c r="BF4339" i="1"/>
  <c r="BG4339" i="1"/>
  <c r="E5824" i="1"/>
  <c r="G5824" i="1"/>
  <c r="J5824" i="1"/>
  <c r="K5824" i="1"/>
  <c r="BE5824" i="1"/>
  <c r="BF5824" i="1"/>
  <c r="BG5824" i="1"/>
  <c r="E4822" i="1"/>
  <c r="G4822" i="1"/>
  <c r="J4822" i="1"/>
  <c r="K4822" i="1"/>
  <c r="BE4822" i="1"/>
  <c r="BF4822" i="1"/>
  <c r="BG4822" i="1"/>
  <c r="E6467" i="1"/>
  <c r="G6467" i="1"/>
  <c r="J6467" i="1"/>
  <c r="K6467" i="1"/>
  <c r="BE6467" i="1"/>
  <c r="BF6467" i="1"/>
  <c r="BG6467" i="1"/>
  <c r="E2395" i="1"/>
  <c r="G2395" i="1"/>
  <c r="J2395" i="1"/>
  <c r="K2395" i="1"/>
  <c r="BE2395" i="1"/>
  <c r="BF2395" i="1"/>
  <c r="BG2395" i="1"/>
  <c r="E3354" i="1"/>
  <c r="G3354" i="1"/>
  <c r="J3354" i="1"/>
  <c r="K3354" i="1"/>
  <c r="BE3354" i="1"/>
  <c r="BF3354" i="1"/>
  <c r="BG3354" i="1"/>
  <c r="E6468" i="1"/>
  <c r="G6468" i="1"/>
  <c r="J6468" i="1"/>
  <c r="K6468" i="1"/>
  <c r="BE6468" i="1"/>
  <c r="BF6468" i="1"/>
  <c r="BG6468" i="1"/>
  <c r="E2396" i="1"/>
  <c r="G2396" i="1"/>
  <c r="J2396" i="1"/>
  <c r="K2396" i="1"/>
  <c r="BE2396" i="1"/>
  <c r="BF2396" i="1"/>
  <c r="BG2396" i="1"/>
  <c r="E6788" i="1"/>
  <c r="G6788" i="1"/>
  <c r="J6788" i="1"/>
  <c r="K6788" i="1"/>
  <c r="BE6788" i="1"/>
  <c r="BF6788" i="1"/>
  <c r="BG6788" i="1"/>
  <c r="E6625" i="1"/>
  <c r="G6625" i="1"/>
  <c r="J6625" i="1"/>
  <c r="K6625" i="1"/>
  <c r="BE6625" i="1"/>
  <c r="BF6625" i="1"/>
  <c r="BG6625" i="1"/>
  <c r="E2397" i="1"/>
  <c r="G2397" i="1"/>
  <c r="J2397" i="1"/>
  <c r="K2397" i="1"/>
  <c r="BE2397" i="1"/>
  <c r="BF2397" i="1"/>
  <c r="BG2397" i="1"/>
  <c r="E136" i="1"/>
  <c r="G136" i="1"/>
  <c r="J136" i="1"/>
  <c r="K136" i="1"/>
  <c r="BC136" i="1"/>
  <c r="BE136" i="1"/>
  <c r="BG136" i="1"/>
  <c r="E6469" i="1"/>
  <c r="G6469" i="1"/>
  <c r="J6469" i="1"/>
  <c r="K6469" i="1"/>
  <c r="BE6469" i="1"/>
  <c r="BF6469" i="1"/>
  <c r="BG6469" i="1"/>
  <c r="E359" i="1"/>
  <c r="G359" i="1"/>
  <c r="J359" i="1"/>
  <c r="K359" i="1"/>
  <c r="BC359" i="1"/>
  <c r="BE359" i="1"/>
  <c r="BF359" i="1"/>
  <c r="BG359" i="1"/>
  <c r="BH359" i="1"/>
  <c r="E6889" i="1"/>
  <c r="G6889" i="1"/>
  <c r="J6889" i="1"/>
  <c r="BC6889" i="1"/>
  <c r="BE6889" i="1"/>
  <c r="BF6889" i="1"/>
  <c r="BG6889" i="1"/>
  <c r="E3355" i="1"/>
  <c r="G3355" i="1"/>
  <c r="J3355" i="1"/>
  <c r="K3355" i="1"/>
  <c r="BE3355" i="1"/>
  <c r="BF3355" i="1"/>
  <c r="BG3355" i="1"/>
  <c r="E6470" i="1"/>
  <c r="G6470" i="1"/>
  <c r="J6470" i="1"/>
  <c r="K6470" i="1"/>
  <c r="BE6470" i="1"/>
  <c r="BF6470" i="1"/>
  <c r="BG6470" i="1"/>
  <c r="E4823" i="1"/>
  <c r="G4823" i="1"/>
  <c r="J4823" i="1"/>
  <c r="K4823" i="1"/>
  <c r="BE4823" i="1"/>
  <c r="BF4823" i="1"/>
  <c r="BG4823" i="1"/>
  <c r="E6471" i="1"/>
  <c r="G6471" i="1"/>
  <c r="J6471" i="1"/>
  <c r="K6471" i="1"/>
  <c r="BE6471" i="1"/>
  <c r="BF6471" i="1"/>
  <c r="BG6471" i="1"/>
  <c r="E766" i="1"/>
  <c r="G766" i="1"/>
  <c r="J766" i="1"/>
  <c r="K766" i="1"/>
  <c r="BE766" i="1"/>
  <c r="BF766" i="1"/>
  <c r="BG766" i="1"/>
  <c r="E2" i="1"/>
  <c r="G2" i="1"/>
  <c r="J2" i="1"/>
  <c r="K2" i="1"/>
  <c r="BE2" i="1"/>
  <c r="BF2" i="1"/>
  <c r="BG2" i="1"/>
  <c r="E4340" i="1"/>
  <c r="G4340" i="1"/>
  <c r="J4340" i="1"/>
  <c r="K4340" i="1"/>
  <c r="BE4340" i="1"/>
  <c r="BF4340" i="1"/>
  <c r="BG4340" i="1"/>
  <c r="E995" i="1"/>
  <c r="G995" i="1"/>
  <c r="J995" i="1"/>
  <c r="K995" i="1"/>
  <c r="BE995" i="1"/>
  <c r="BF995" i="1"/>
  <c r="BG995" i="1"/>
  <c r="E2398" i="1"/>
  <c r="G2398" i="1"/>
  <c r="J2398" i="1"/>
  <c r="K2398" i="1"/>
  <c r="BE2398" i="1"/>
  <c r="BF2398" i="1"/>
  <c r="BG2398" i="1"/>
  <c r="E3356" i="1"/>
  <c r="G3356" i="1"/>
  <c r="J3356" i="1"/>
  <c r="K3356" i="1"/>
  <c r="BE3356" i="1"/>
  <c r="BF3356" i="1"/>
  <c r="BG3356" i="1"/>
  <c r="E548" i="1"/>
  <c r="G548" i="1"/>
  <c r="J548" i="1"/>
  <c r="K548" i="1"/>
  <c r="BE548" i="1"/>
  <c r="BF548" i="1"/>
  <c r="BG548" i="1"/>
  <c r="E6626" i="1"/>
  <c r="G6626" i="1"/>
  <c r="J6626" i="1"/>
  <c r="K6626" i="1"/>
  <c r="BE6626" i="1"/>
  <c r="BF6626" i="1"/>
  <c r="BG6626" i="1"/>
  <c r="E6472" i="1"/>
  <c r="G6472" i="1"/>
  <c r="J6472" i="1"/>
  <c r="K6472" i="1"/>
  <c r="BE6472" i="1"/>
  <c r="BF6472" i="1"/>
  <c r="BG6472" i="1"/>
  <c r="E996" i="1"/>
  <c r="G996" i="1"/>
  <c r="J996" i="1"/>
  <c r="K996" i="1"/>
  <c r="BE996" i="1"/>
  <c r="BF996" i="1"/>
  <c r="BG996" i="1"/>
  <c r="E5825" i="1"/>
  <c r="G5825" i="1"/>
  <c r="J5825" i="1"/>
  <c r="K5825" i="1"/>
  <c r="BE5825" i="1"/>
  <c r="BF5825" i="1"/>
  <c r="BG5825" i="1"/>
  <c r="E4341" i="1"/>
  <c r="G4341" i="1"/>
  <c r="J4341" i="1"/>
  <c r="K4341" i="1"/>
  <c r="BE4341" i="1"/>
  <c r="BF4341" i="1"/>
  <c r="BG4341" i="1"/>
  <c r="E6556" i="1"/>
  <c r="G6556" i="1"/>
  <c r="J6556" i="1"/>
  <c r="K6556" i="1"/>
  <c r="BE6556" i="1"/>
  <c r="BF6556" i="1"/>
  <c r="BG6556" i="1"/>
  <c r="E6473" i="1"/>
  <c r="G6473" i="1"/>
  <c r="J6473" i="1"/>
  <c r="K6473" i="1"/>
  <c r="BE6473" i="1"/>
  <c r="BF6473" i="1"/>
  <c r="BG6473" i="1"/>
  <c r="E47" i="1"/>
  <c r="G47" i="1"/>
  <c r="J47" i="1"/>
  <c r="K47" i="1"/>
  <c r="BF47" i="1"/>
  <c r="BG47" i="1"/>
  <c r="E3357" i="1"/>
  <c r="G3357" i="1"/>
  <c r="J3357" i="1"/>
  <c r="K3357" i="1"/>
  <c r="BE3357" i="1"/>
  <c r="BF3357" i="1"/>
  <c r="BG3357" i="1"/>
  <c r="E857" i="1"/>
  <c r="G857" i="1"/>
  <c r="J857" i="1"/>
  <c r="K857" i="1"/>
  <c r="BE857" i="1"/>
  <c r="BF857" i="1"/>
  <c r="BG857" i="1"/>
  <c r="E850" i="1"/>
  <c r="G850" i="1"/>
  <c r="J850" i="1"/>
  <c r="K850" i="1"/>
  <c r="BE850" i="1"/>
  <c r="BF850" i="1"/>
  <c r="BG850" i="1"/>
  <c r="E6789" i="1"/>
  <c r="G6789" i="1"/>
  <c r="J6789" i="1"/>
  <c r="K6789" i="1"/>
  <c r="BE6789" i="1"/>
  <c r="BF6789" i="1"/>
  <c r="BG6789" i="1"/>
  <c r="E4342" i="1"/>
  <c r="G4342" i="1"/>
  <c r="J4342" i="1"/>
  <c r="K4342" i="1"/>
  <c r="BE4342" i="1"/>
  <c r="BF4342" i="1"/>
  <c r="BG4342" i="1"/>
  <c r="E48" i="1"/>
  <c r="G48" i="1"/>
  <c r="J48" i="1"/>
  <c r="K48" i="1"/>
  <c r="BF48" i="1"/>
  <c r="BG48" i="1"/>
  <c r="E4262" i="1"/>
  <c r="G4262" i="1"/>
  <c r="J4262" i="1"/>
  <c r="K4262" i="1"/>
  <c r="BE4262" i="1"/>
  <c r="BF4262" i="1"/>
  <c r="BG4262" i="1"/>
  <c r="E3358" i="1"/>
  <c r="G3358" i="1"/>
  <c r="J3358" i="1"/>
  <c r="K3358" i="1"/>
  <c r="BE3358" i="1"/>
  <c r="BF3358" i="1"/>
  <c r="BG3358" i="1"/>
  <c r="E319" i="1"/>
  <c r="G319" i="1"/>
  <c r="J319" i="1"/>
  <c r="K319" i="1"/>
  <c r="BF319" i="1"/>
  <c r="BG319" i="1"/>
  <c r="E3648" i="1"/>
  <c r="G3648" i="1"/>
  <c r="J3648" i="1"/>
  <c r="K3648" i="1"/>
  <c r="BE3648" i="1"/>
  <c r="BF3648" i="1"/>
  <c r="BG3648" i="1"/>
  <c r="E4343" i="1"/>
  <c r="G4343" i="1"/>
  <c r="J4343" i="1"/>
  <c r="K4343" i="1"/>
  <c r="BE4343" i="1"/>
  <c r="BF4343" i="1"/>
  <c r="BG4343" i="1"/>
  <c r="E516" i="1"/>
  <c r="G516" i="1"/>
  <c r="J516" i="1"/>
  <c r="K516" i="1"/>
  <c r="BE516" i="1"/>
  <c r="BF516" i="1"/>
  <c r="BG516" i="1"/>
  <c r="E2195" i="1"/>
  <c r="G2195" i="1"/>
  <c r="J2195" i="1"/>
  <c r="K2195" i="1"/>
  <c r="BC2195" i="1"/>
  <c r="BE2195" i="1"/>
  <c r="BF2195" i="1"/>
  <c r="BG2195" i="1"/>
  <c r="E3649" i="1"/>
  <c r="G3649" i="1"/>
  <c r="J3649" i="1"/>
  <c r="K3649" i="1"/>
  <c r="BE3649" i="1"/>
  <c r="BF3649" i="1"/>
  <c r="BG3649" i="1"/>
  <c r="E4344" i="1"/>
  <c r="G4344" i="1"/>
  <c r="J4344" i="1"/>
  <c r="K4344" i="1"/>
  <c r="BE4344" i="1"/>
  <c r="BF4344" i="1"/>
  <c r="BG4344" i="1"/>
  <c r="E6890" i="1"/>
  <c r="G6890" i="1"/>
  <c r="J6890" i="1"/>
  <c r="BE6890" i="1"/>
  <c r="BF6890" i="1"/>
  <c r="BG6890" i="1"/>
  <c r="E3650" i="1"/>
  <c r="G3650" i="1"/>
  <c r="J3650" i="1"/>
  <c r="K3650" i="1"/>
  <c r="BE3650" i="1"/>
  <c r="BF3650" i="1"/>
  <c r="BG3650" i="1"/>
  <c r="E2940" i="1"/>
  <c r="G2940" i="1"/>
  <c r="J2940" i="1"/>
  <c r="K2940" i="1"/>
  <c r="BE2940" i="1"/>
  <c r="BF2940" i="1"/>
  <c r="BG2940" i="1"/>
  <c r="E632" i="1"/>
  <c r="G632" i="1"/>
  <c r="J632" i="1"/>
  <c r="K632" i="1"/>
  <c r="BC632" i="1"/>
  <c r="BE632" i="1"/>
  <c r="BF632" i="1"/>
  <c r="BG632" i="1"/>
  <c r="E3651" i="1"/>
  <c r="G3651" i="1"/>
  <c r="J3651" i="1"/>
  <c r="K3651" i="1"/>
  <c r="BE3651" i="1"/>
  <c r="BF3651" i="1"/>
  <c r="BG3651" i="1"/>
  <c r="E3652" i="1"/>
  <c r="G3652" i="1"/>
  <c r="J3652" i="1"/>
  <c r="K3652" i="1"/>
  <c r="BE3652" i="1"/>
  <c r="BF3652" i="1"/>
  <c r="BG3652" i="1"/>
  <c r="E3653" i="1"/>
  <c r="G3653" i="1"/>
  <c r="J3653" i="1"/>
  <c r="K3653" i="1"/>
  <c r="BE3653" i="1"/>
  <c r="BF3653" i="1"/>
  <c r="BG3653" i="1"/>
  <c r="E3654" i="1"/>
  <c r="G3654" i="1"/>
  <c r="J3654" i="1"/>
  <c r="K3654" i="1"/>
  <c r="BE3654" i="1"/>
  <c r="BF3654" i="1"/>
  <c r="BG3654" i="1"/>
  <c r="E2941" i="1"/>
  <c r="G2941" i="1"/>
  <c r="J2941" i="1"/>
  <c r="K2941" i="1"/>
  <c r="BE2941" i="1"/>
  <c r="BF2941" i="1"/>
  <c r="BG2941" i="1"/>
  <c r="E4345" i="1"/>
  <c r="G4345" i="1"/>
  <c r="J4345" i="1"/>
  <c r="K4345" i="1"/>
  <c r="BE4345" i="1"/>
  <c r="BF4345" i="1"/>
  <c r="BG4345" i="1"/>
  <c r="E3655" i="1"/>
  <c r="G3655" i="1"/>
  <c r="J3655" i="1"/>
  <c r="K3655" i="1"/>
  <c r="BE3655" i="1"/>
  <c r="BF3655" i="1"/>
  <c r="BG3655" i="1"/>
  <c r="E6790" i="1"/>
  <c r="G6790" i="1"/>
  <c r="J6790" i="1"/>
  <c r="K6790" i="1"/>
  <c r="BE6790" i="1"/>
  <c r="BF6790" i="1"/>
  <c r="BG6790" i="1"/>
  <c r="E3656" i="1"/>
  <c r="G3656" i="1"/>
  <c r="J3656" i="1"/>
  <c r="K3656" i="1"/>
  <c r="BE3656" i="1"/>
  <c r="BF3656" i="1"/>
  <c r="BG3656" i="1"/>
  <c r="E3657" i="1"/>
  <c r="G3657" i="1"/>
  <c r="J3657" i="1"/>
  <c r="K3657" i="1"/>
  <c r="BE3657" i="1"/>
  <c r="BF3657" i="1"/>
  <c r="BG3657" i="1"/>
  <c r="E1249" i="1"/>
  <c r="G1249" i="1"/>
  <c r="J1249" i="1"/>
  <c r="K1249" i="1"/>
  <c r="BE1249" i="1"/>
  <c r="BF1249" i="1"/>
  <c r="BG1249" i="1"/>
  <c r="E1250" i="1"/>
  <c r="G1250" i="1"/>
  <c r="J1250" i="1"/>
  <c r="K1250" i="1"/>
  <c r="BE1250" i="1"/>
  <c r="BF1250" i="1"/>
  <c r="BG1250" i="1"/>
  <c r="E1251" i="1"/>
  <c r="G1251" i="1"/>
  <c r="J1251" i="1"/>
  <c r="K1251" i="1"/>
  <c r="BE1251" i="1"/>
  <c r="BF1251" i="1"/>
  <c r="BG1251" i="1"/>
  <c r="E1252" i="1"/>
  <c r="G1252" i="1"/>
  <c r="J1252" i="1"/>
  <c r="K1252" i="1"/>
  <c r="BE1252" i="1"/>
  <c r="BF1252" i="1"/>
  <c r="BG1252" i="1"/>
  <c r="E1253" i="1"/>
  <c r="G1253" i="1"/>
  <c r="J1253" i="1"/>
  <c r="K1253" i="1"/>
  <c r="BE1253" i="1"/>
  <c r="BF1253" i="1"/>
  <c r="BG1253" i="1"/>
  <c r="E1254" i="1"/>
  <c r="G1254" i="1"/>
  <c r="J1254" i="1"/>
  <c r="K1254" i="1"/>
  <c r="BE1254" i="1"/>
  <c r="BF1254" i="1"/>
  <c r="BG1254" i="1"/>
  <c r="E1255" i="1"/>
  <c r="G1255" i="1"/>
  <c r="J1255" i="1"/>
  <c r="K1255" i="1"/>
  <c r="BE1255" i="1"/>
  <c r="BF1255" i="1"/>
  <c r="BG1255" i="1"/>
  <c r="E1256" i="1"/>
  <c r="G1256" i="1"/>
  <c r="J1256" i="1"/>
  <c r="K1256" i="1"/>
  <c r="BE1256" i="1"/>
  <c r="BF1256" i="1"/>
  <c r="BG1256" i="1"/>
  <c r="E1257" i="1"/>
  <c r="G1257" i="1"/>
  <c r="J1257" i="1"/>
  <c r="K1257" i="1"/>
  <c r="BE1257" i="1"/>
  <c r="BF1257" i="1"/>
  <c r="BG1257" i="1"/>
  <c r="E1258" i="1"/>
  <c r="G1258" i="1"/>
  <c r="J1258" i="1"/>
  <c r="K1258" i="1"/>
  <c r="BE1258" i="1"/>
  <c r="BF1258" i="1"/>
  <c r="BG1258" i="1"/>
  <c r="E1259" i="1"/>
  <c r="G1259" i="1"/>
  <c r="J1259" i="1"/>
  <c r="K1259" i="1"/>
  <c r="BE1259" i="1"/>
  <c r="BF1259" i="1"/>
  <c r="BG1259" i="1"/>
  <c r="E1260" i="1"/>
  <c r="G1260" i="1"/>
  <c r="J1260" i="1"/>
  <c r="K1260" i="1"/>
  <c r="BE1260" i="1"/>
  <c r="BF1260" i="1"/>
  <c r="BG1260" i="1"/>
  <c r="E1261" i="1"/>
  <c r="G1261" i="1"/>
  <c r="J1261" i="1"/>
  <c r="K1261" i="1"/>
  <c r="BE1261" i="1"/>
  <c r="BF1261" i="1"/>
  <c r="BG1261" i="1"/>
  <c r="E1262" i="1"/>
  <c r="G1262" i="1"/>
  <c r="J1262" i="1"/>
  <c r="K1262" i="1"/>
  <c r="BE1262" i="1"/>
  <c r="BF1262" i="1"/>
  <c r="BG1262" i="1"/>
  <c r="E1263" i="1"/>
  <c r="G1263" i="1"/>
  <c r="J1263" i="1"/>
  <c r="K1263" i="1"/>
  <c r="BE1263" i="1"/>
  <c r="BF1263" i="1"/>
  <c r="BG1263" i="1"/>
  <c r="E1264" i="1"/>
  <c r="G1264" i="1"/>
  <c r="J1264" i="1"/>
  <c r="K1264" i="1"/>
  <c r="BE1264" i="1"/>
  <c r="BF1264" i="1"/>
  <c r="BG1264" i="1"/>
  <c r="E1265" i="1"/>
  <c r="G1265" i="1"/>
  <c r="J1265" i="1"/>
  <c r="K1265" i="1"/>
  <c r="BE1265" i="1"/>
  <c r="BF1265" i="1"/>
  <c r="BG1265" i="1"/>
  <c r="E1266" i="1"/>
  <c r="G1266" i="1"/>
  <c r="J1266" i="1"/>
  <c r="K1266" i="1"/>
  <c r="BE1266" i="1"/>
  <c r="BF1266" i="1"/>
  <c r="BG1266" i="1"/>
  <c r="E1267" i="1"/>
  <c r="G1267" i="1"/>
  <c r="J1267" i="1"/>
  <c r="K1267" i="1"/>
  <c r="BE1267" i="1"/>
  <c r="BF1267" i="1"/>
  <c r="BG1267" i="1"/>
  <c r="E1268" i="1"/>
  <c r="G1268" i="1"/>
  <c r="J1268" i="1"/>
  <c r="K1268" i="1"/>
  <c r="BE1268" i="1"/>
  <c r="BF1268" i="1"/>
  <c r="BG1268" i="1"/>
  <c r="E1269" i="1"/>
  <c r="G1269" i="1"/>
  <c r="J1269" i="1"/>
  <c r="K1269" i="1"/>
  <c r="BE1269" i="1"/>
  <c r="BF1269" i="1"/>
  <c r="BG1269" i="1"/>
  <c r="E1270" i="1"/>
  <c r="G1270" i="1"/>
  <c r="J1270" i="1"/>
  <c r="K1270" i="1"/>
  <c r="BE1270" i="1"/>
  <c r="BF1270" i="1"/>
  <c r="BG1270" i="1"/>
  <c r="E1271" i="1"/>
  <c r="G1271" i="1"/>
  <c r="J1271" i="1"/>
  <c r="K1271" i="1"/>
  <c r="BE1271" i="1"/>
  <c r="BF1271" i="1"/>
  <c r="BG1271" i="1"/>
  <c r="E1272" i="1"/>
  <c r="G1272" i="1"/>
  <c r="J1272" i="1"/>
  <c r="K1272" i="1"/>
  <c r="BE1272" i="1"/>
  <c r="BF1272" i="1"/>
  <c r="BG1272" i="1"/>
  <c r="E1273" i="1"/>
  <c r="G1273" i="1"/>
  <c r="J1273" i="1"/>
  <c r="K1273" i="1"/>
  <c r="BE1273" i="1"/>
  <c r="BF1273" i="1"/>
  <c r="BG1273" i="1"/>
  <c r="E1274" i="1"/>
  <c r="G1274" i="1"/>
  <c r="J1274" i="1"/>
  <c r="K1274" i="1"/>
  <c r="BE1274" i="1"/>
  <c r="BF1274" i="1"/>
  <c r="BG1274" i="1"/>
  <c r="E1275" i="1"/>
  <c r="G1275" i="1"/>
  <c r="J1275" i="1"/>
  <c r="K1275" i="1"/>
  <c r="BE1275" i="1"/>
  <c r="BF1275" i="1"/>
  <c r="BG1275" i="1"/>
  <c r="E1276" i="1"/>
  <c r="G1276" i="1"/>
  <c r="J1276" i="1"/>
  <c r="K1276" i="1"/>
  <c r="BE1276" i="1"/>
  <c r="BF1276" i="1"/>
  <c r="BG1276" i="1"/>
  <c r="E1277" i="1"/>
  <c r="G1277" i="1"/>
  <c r="J1277" i="1"/>
  <c r="K1277" i="1"/>
  <c r="BE1277" i="1"/>
  <c r="BF1277" i="1"/>
  <c r="BG1277" i="1"/>
  <c r="E1278" i="1"/>
  <c r="G1278" i="1"/>
  <c r="J1278" i="1"/>
  <c r="K1278" i="1"/>
  <c r="BE1278" i="1"/>
  <c r="BF1278" i="1"/>
  <c r="BG1278" i="1"/>
  <c r="E1279" i="1"/>
  <c r="G1279" i="1"/>
  <c r="J1279" i="1"/>
  <c r="K1279" i="1"/>
  <c r="BE1279" i="1"/>
  <c r="BF1279" i="1"/>
  <c r="BG1279" i="1"/>
  <c r="E1280" i="1"/>
  <c r="G1280" i="1"/>
  <c r="J1280" i="1"/>
  <c r="K1280" i="1"/>
  <c r="BE1280" i="1"/>
  <c r="BF1280" i="1"/>
  <c r="BG1280" i="1"/>
  <c r="E1281" i="1"/>
  <c r="G1281" i="1"/>
  <c r="J1281" i="1"/>
  <c r="K1281" i="1"/>
  <c r="BE1281" i="1"/>
  <c r="BF1281" i="1"/>
  <c r="BG1281" i="1"/>
  <c r="E1282" i="1"/>
  <c r="G1282" i="1"/>
  <c r="J1282" i="1"/>
  <c r="K1282" i="1"/>
  <c r="BE1282" i="1"/>
  <c r="BF1282" i="1"/>
  <c r="BG1282" i="1"/>
  <c r="E1283" i="1"/>
  <c r="G1283" i="1"/>
  <c r="J1283" i="1"/>
  <c r="K1283" i="1"/>
  <c r="BE1283" i="1"/>
  <c r="BF1283" i="1"/>
  <c r="BG1283" i="1"/>
  <c r="E1284" i="1"/>
  <c r="G1284" i="1"/>
  <c r="J1284" i="1"/>
  <c r="K1284" i="1"/>
  <c r="BE1284" i="1"/>
  <c r="BF1284" i="1"/>
  <c r="BG1284" i="1"/>
  <c r="E1285" i="1"/>
  <c r="G1285" i="1"/>
  <c r="J1285" i="1"/>
  <c r="K1285" i="1"/>
  <c r="BE1285" i="1"/>
  <c r="BF1285" i="1"/>
  <c r="BG1285" i="1"/>
  <c r="E1286" i="1"/>
  <c r="G1286" i="1"/>
  <c r="J1286" i="1"/>
  <c r="K1286" i="1"/>
  <c r="BE1286" i="1"/>
  <c r="BF1286" i="1"/>
  <c r="BG1286" i="1"/>
  <c r="E1287" i="1"/>
  <c r="G1287" i="1"/>
  <c r="J1287" i="1"/>
  <c r="K1287" i="1"/>
  <c r="BE1287" i="1"/>
  <c r="BF1287" i="1"/>
  <c r="BG1287" i="1"/>
  <c r="E1288" i="1"/>
  <c r="G1288" i="1"/>
  <c r="J1288" i="1"/>
  <c r="K1288" i="1"/>
  <c r="BE1288" i="1"/>
  <c r="BF1288" i="1"/>
  <c r="BG1288" i="1"/>
  <c r="E1289" i="1"/>
  <c r="G1289" i="1"/>
  <c r="J1289" i="1"/>
  <c r="K1289" i="1"/>
  <c r="BE1289" i="1"/>
  <c r="BF1289" i="1"/>
  <c r="BG1289" i="1"/>
  <c r="E1290" i="1"/>
  <c r="G1290" i="1"/>
  <c r="J1290" i="1"/>
  <c r="K1290" i="1"/>
  <c r="BE1290" i="1"/>
  <c r="BF1290" i="1"/>
  <c r="BG1290" i="1"/>
  <c r="E1291" i="1"/>
  <c r="G1291" i="1"/>
  <c r="J1291" i="1"/>
  <c r="K1291" i="1"/>
  <c r="BE1291" i="1"/>
  <c r="BF1291" i="1"/>
  <c r="BG1291" i="1"/>
  <c r="E1292" i="1"/>
  <c r="G1292" i="1"/>
  <c r="J1292" i="1"/>
  <c r="K1292" i="1"/>
  <c r="BE1292" i="1"/>
  <c r="BF1292" i="1"/>
  <c r="BG1292" i="1"/>
  <c r="E1293" i="1"/>
  <c r="G1293" i="1"/>
  <c r="J1293" i="1"/>
  <c r="K1293" i="1"/>
  <c r="BE1293" i="1"/>
  <c r="BF1293" i="1"/>
  <c r="BG1293" i="1"/>
  <c r="E1294" i="1"/>
  <c r="G1294" i="1"/>
  <c r="J1294" i="1"/>
  <c r="K1294" i="1"/>
  <c r="BE1294" i="1"/>
  <c r="BF1294" i="1"/>
  <c r="BG1294" i="1"/>
  <c r="E1295" i="1"/>
  <c r="G1295" i="1"/>
  <c r="J1295" i="1"/>
  <c r="K1295" i="1"/>
  <c r="BE1295" i="1"/>
  <c r="BF1295" i="1"/>
  <c r="BG1295" i="1"/>
  <c r="E1296" i="1"/>
  <c r="G1296" i="1"/>
  <c r="J1296" i="1"/>
  <c r="K1296" i="1"/>
  <c r="BE1296" i="1"/>
  <c r="BF1296" i="1"/>
  <c r="BG1296" i="1"/>
  <c r="E1297" i="1"/>
  <c r="G1297" i="1"/>
  <c r="J1297" i="1"/>
  <c r="K1297" i="1"/>
  <c r="BE1297" i="1"/>
  <c r="BF1297" i="1"/>
  <c r="BG1297" i="1"/>
  <c r="E1298" i="1"/>
  <c r="G1298" i="1"/>
  <c r="J1298" i="1"/>
  <c r="K1298" i="1"/>
  <c r="BE1298" i="1"/>
  <c r="BF1298" i="1"/>
  <c r="BG1298" i="1"/>
  <c r="E1299" i="1"/>
  <c r="G1299" i="1"/>
  <c r="J1299" i="1"/>
  <c r="K1299" i="1"/>
  <c r="BE1299" i="1"/>
  <c r="BF1299" i="1"/>
  <c r="BG1299" i="1"/>
  <c r="E1300" i="1"/>
  <c r="G1300" i="1"/>
  <c r="J1300" i="1"/>
  <c r="K1300" i="1"/>
  <c r="BE1300" i="1"/>
  <c r="BF1300" i="1"/>
  <c r="BG1300" i="1"/>
  <c r="E1301" i="1"/>
  <c r="G1301" i="1"/>
  <c r="J1301" i="1"/>
  <c r="K1301" i="1"/>
  <c r="BE1301" i="1"/>
  <c r="BF1301" i="1"/>
  <c r="BG1301" i="1"/>
  <c r="E1302" i="1"/>
  <c r="G1302" i="1"/>
  <c r="J1302" i="1"/>
  <c r="K1302" i="1"/>
  <c r="BE1302" i="1"/>
  <c r="BF1302" i="1"/>
  <c r="BG1302" i="1"/>
  <c r="E1303" i="1"/>
  <c r="G1303" i="1"/>
  <c r="J1303" i="1"/>
  <c r="K1303" i="1"/>
  <c r="BE1303" i="1"/>
  <c r="BF1303" i="1"/>
  <c r="BG1303" i="1"/>
  <c r="E1304" i="1"/>
  <c r="G1304" i="1"/>
  <c r="J1304" i="1"/>
  <c r="K1304" i="1"/>
  <c r="BE1304" i="1"/>
  <c r="BF1304" i="1"/>
  <c r="BG1304" i="1"/>
  <c r="E1305" i="1"/>
  <c r="G1305" i="1"/>
  <c r="J1305" i="1"/>
  <c r="K1305" i="1"/>
  <c r="BE1305" i="1"/>
  <c r="BF1305" i="1"/>
  <c r="BG1305" i="1"/>
  <c r="E1306" i="1"/>
  <c r="G1306" i="1"/>
  <c r="J1306" i="1"/>
  <c r="K1306" i="1"/>
  <c r="BE1306" i="1"/>
  <c r="BF1306" i="1"/>
  <c r="BG1306" i="1"/>
  <c r="E1307" i="1"/>
  <c r="G1307" i="1"/>
  <c r="J1307" i="1"/>
  <c r="K1307" i="1"/>
  <c r="BE1307" i="1"/>
  <c r="BF1307" i="1"/>
  <c r="BG1307" i="1"/>
  <c r="E1308" i="1"/>
  <c r="G1308" i="1"/>
  <c r="J1308" i="1"/>
  <c r="K1308" i="1"/>
  <c r="BE1308" i="1"/>
  <c r="BF1308" i="1"/>
  <c r="BG1308" i="1"/>
  <c r="E1309" i="1"/>
  <c r="G1309" i="1"/>
  <c r="J1309" i="1"/>
  <c r="K1309" i="1"/>
  <c r="BE1309" i="1"/>
  <c r="BF1309" i="1"/>
  <c r="BG1309" i="1"/>
  <c r="E1310" i="1"/>
  <c r="G1310" i="1"/>
  <c r="J1310" i="1"/>
  <c r="K1310" i="1"/>
  <c r="BE1310" i="1"/>
  <c r="BF1310" i="1"/>
  <c r="BG1310" i="1"/>
  <c r="E1311" i="1"/>
  <c r="G1311" i="1"/>
  <c r="J1311" i="1"/>
  <c r="K1311" i="1"/>
  <c r="BE1311" i="1"/>
  <c r="BF1311" i="1"/>
  <c r="BG1311" i="1"/>
  <c r="E1312" i="1"/>
  <c r="G1312" i="1"/>
  <c r="J1312" i="1"/>
  <c r="K1312" i="1"/>
  <c r="BE1312" i="1"/>
  <c r="BF1312" i="1"/>
  <c r="BG1312" i="1"/>
  <c r="E1313" i="1"/>
  <c r="G1313" i="1"/>
  <c r="J1313" i="1"/>
  <c r="K1313" i="1"/>
  <c r="BE1313" i="1"/>
  <c r="BF1313" i="1"/>
  <c r="BG1313" i="1"/>
  <c r="E1314" i="1"/>
  <c r="G1314" i="1"/>
  <c r="J1314" i="1"/>
  <c r="K1314" i="1"/>
  <c r="BE1314" i="1"/>
  <c r="BF1314" i="1"/>
  <c r="BG1314" i="1"/>
  <c r="E1315" i="1"/>
  <c r="G1315" i="1"/>
  <c r="J1315" i="1"/>
  <c r="K1315" i="1"/>
  <c r="BE1315" i="1"/>
  <c r="BF1315" i="1"/>
  <c r="BG1315" i="1"/>
  <c r="E1316" i="1"/>
  <c r="G1316" i="1"/>
  <c r="J1316" i="1"/>
  <c r="K1316" i="1"/>
  <c r="BE1316" i="1"/>
  <c r="BF1316" i="1"/>
  <c r="BG1316" i="1"/>
  <c r="E1317" i="1"/>
  <c r="G1317" i="1"/>
  <c r="J1317" i="1"/>
  <c r="K1317" i="1"/>
  <c r="BE1317" i="1"/>
  <c r="BF1317" i="1"/>
  <c r="BG1317" i="1"/>
  <c r="E1318" i="1"/>
  <c r="G1318" i="1"/>
  <c r="J1318" i="1"/>
  <c r="K1318" i="1"/>
  <c r="BE1318" i="1"/>
  <c r="BF1318" i="1"/>
  <c r="BG1318" i="1"/>
  <c r="E1319" i="1"/>
  <c r="G1319" i="1"/>
  <c r="J1319" i="1"/>
  <c r="K1319" i="1"/>
  <c r="BE1319" i="1"/>
  <c r="BF1319" i="1"/>
  <c r="BG1319" i="1"/>
  <c r="E1320" i="1"/>
  <c r="G1320" i="1"/>
  <c r="J1320" i="1"/>
  <c r="K1320" i="1"/>
  <c r="BE1320" i="1"/>
  <c r="BF1320" i="1"/>
  <c r="BG1320" i="1"/>
  <c r="E1321" i="1"/>
  <c r="G1321" i="1"/>
  <c r="J1321" i="1"/>
  <c r="K1321" i="1"/>
  <c r="BE1321" i="1"/>
  <c r="BF1321" i="1"/>
  <c r="BG1321" i="1"/>
  <c r="E1322" i="1"/>
  <c r="G1322" i="1"/>
  <c r="J1322" i="1"/>
  <c r="K1322" i="1"/>
  <c r="BE1322" i="1"/>
  <c r="BF1322" i="1"/>
  <c r="BG1322" i="1"/>
  <c r="E1323" i="1"/>
  <c r="G1323" i="1"/>
  <c r="J1323" i="1"/>
  <c r="K1323" i="1"/>
  <c r="BE1323" i="1"/>
  <c r="BF1323" i="1"/>
  <c r="BG1323" i="1"/>
  <c r="E1324" i="1"/>
  <c r="G1324" i="1"/>
  <c r="J1324" i="1"/>
  <c r="K1324" i="1"/>
  <c r="BE1324" i="1"/>
  <c r="BF1324" i="1"/>
  <c r="BG1324" i="1"/>
  <c r="E1325" i="1"/>
  <c r="G1325" i="1"/>
  <c r="J1325" i="1"/>
  <c r="K1325" i="1"/>
  <c r="BE1325" i="1"/>
  <c r="BF1325" i="1"/>
  <c r="BG1325" i="1"/>
  <c r="E1326" i="1"/>
  <c r="G1326" i="1"/>
  <c r="J1326" i="1"/>
  <c r="K1326" i="1"/>
  <c r="BE1326" i="1"/>
  <c r="BF1326" i="1"/>
  <c r="BG1326" i="1"/>
  <c r="E1327" i="1"/>
  <c r="G1327" i="1"/>
  <c r="J1327" i="1"/>
  <c r="K1327" i="1"/>
  <c r="BE1327" i="1"/>
  <c r="BF1327" i="1"/>
  <c r="BG1327" i="1"/>
  <c r="E1328" i="1"/>
  <c r="G1328" i="1"/>
  <c r="J1328" i="1"/>
  <c r="K1328" i="1"/>
  <c r="BE1328" i="1"/>
  <c r="BF1328" i="1"/>
  <c r="BG1328" i="1"/>
  <c r="E1329" i="1"/>
  <c r="G1329" i="1"/>
  <c r="J1329" i="1"/>
  <c r="K1329" i="1"/>
  <c r="BE1329" i="1"/>
  <c r="BF1329" i="1"/>
  <c r="BG1329" i="1"/>
  <c r="E1330" i="1"/>
  <c r="G1330" i="1"/>
  <c r="J1330" i="1"/>
  <c r="K1330" i="1"/>
  <c r="BE1330" i="1"/>
  <c r="BF1330" i="1"/>
  <c r="BG1330" i="1"/>
  <c r="E1331" i="1"/>
  <c r="G1331" i="1"/>
  <c r="J1331" i="1"/>
  <c r="K1331" i="1"/>
  <c r="BE1331" i="1"/>
  <c r="BF1331" i="1"/>
  <c r="BG1331" i="1"/>
  <c r="E1332" i="1"/>
  <c r="G1332" i="1"/>
  <c r="J1332" i="1"/>
  <c r="K1332" i="1"/>
  <c r="BE1332" i="1"/>
  <c r="BF1332" i="1"/>
  <c r="BG1332" i="1"/>
  <c r="E1333" i="1"/>
  <c r="G1333" i="1"/>
  <c r="J1333" i="1"/>
  <c r="K1333" i="1"/>
  <c r="BE1333" i="1"/>
  <c r="BF1333" i="1"/>
  <c r="BG1333" i="1"/>
  <c r="E1334" i="1"/>
  <c r="G1334" i="1"/>
  <c r="J1334" i="1"/>
  <c r="K1334" i="1"/>
  <c r="BE1334" i="1"/>
  <c r="BF1334" i="1"/>
  <c r="BG1334" i="1"/>
  <c r="E1335" i="1"/>
  <c r="G1335" i="1"/>
  <c r="J1335" i="1"/>
  <c r="K1335" i="1"/>
  <c r="BE1335" i="1"/>
  <c r="BF1335" i="1"/>
  <c r="BG1335" i="1"/>
  <c r="E1336" i="1"/>
  <c r="G1336" i="1"/>
  <c r="J1336" i="1"/>
  <c r="K1336" i="1"/>
  <c r="BE1336" i="1"/>
  <c r="BF1336" i="1"/>
  <c r="BG1336" i="1"/>
  <c r="E1337" i="1"/>
  <c r="G1337" i="1"/>
  <c r="J1337" i="1"/>
  <c r="K1337" i="1"/>
  <c r="BE1337" i="1"/>
  <c r="BF1337" i="1"/>
  <c r="BG1337" i="1"/>
  <c r="E1338" i="1"/>
  <c r="G1338" i="1"/>
  <c r="J1338" i="1"/>
  <c r="K1338" i="1"/>
  <c r="BE1338" i="1"/>
  <c r="BF1338" i="1"/>
  <c r="BG1338" i="1"/>
  <c r="E1339" i="1"/>
  <c r="G1339" i="1"/>
  <c r="J1339" i="1"/>
  <c r="K1339" i="1"/>
  <c r="BE1339" i="1"/>
  <c r="BF1339" i="1"/>
  <c r="BG1339" i="1"/>
  <c r="E1340" i="1"/>
  <c r="G1340" i="1"/>
  <c r="J1340" i="1"/>
  <c r="K1340" i="1"/>
  <c r="BE1340" i="1"/>
  <c r="BF1340" i="1"/>
  <c r="BG1340" i="1"/>
  <c r="E1341" i="1"/>
  <c r="G1341" i="1"/>
  <c r="J1341" i="1"/>
  <c r="K1341" i="1"/>
  <c r="BE1341" i="1"/>
  <c r="BF1341" i="1"/>
  <c r="BG1341" i="1"/>
  <c r="E1342" i="1"/>
  <c r="G1342" i="1"/>
  <c r="J1342" i="1"/>
  <c r="K1342" i="1"/>
  <c r="BE1342" i="1"/>
  <c r="BF1342" i="1"/>
  <c r="BG1342" i="1"/>
  <c r="E1343" i="1"/>
  <c r="G1343" i="1"/>
  <c r="J1343" i="1"/>
  <c r="K1343" i="1"/>
  <c r="BE1343" i="1"/>
  <c r="BF1343" i="1"/>
  <c r="BG1343" i="1"/>
  <c r="E1344" i="1"/>
  <c r="G1344" i="1"/>
  <c r="J1344" i="1"/>
  <c r="K1344" i="1"/>
  <c r="BE1344" i="1"/>
  <c r="BF1344" i="1"/>
  <c r="BG1344" i="1"/>
  <c r="E1345" i="1"/>
  <c r="G1345" i="1"/>
  <c r="J1345" i="1"/>
  <c r="K1345" i="1"/>
  <c r="BE1345" i="1"/>
  <c r="BF1345" i="1"/>
  <c r="BG1345" i="1"/>
  <c r="E1346" i="1"/>
  <c r="G1346" i="1"/>
  <c r="J1346" i="1"/>
  <c r="K1346" i="1"/>
  <c r="BE1346" i="1"/>
  <c r="BF1346" i="1"/>
  <c r="BG1346" i="1"/>
  <c r="E1347" i="1"/>
  <c r="G1347" i="1"/>
  <c r="J1347" i="1"/>
  <c r="K1347" i="1"/>
  <c r="BE1347" i="1"/>
  <c r="BF1347" i="1"/>
  <c r="BG1347" i="1"/>
  <c r="E1348" i="1"/>
  <c r="G1348" i="1"/>
  <c r="J1348" i="1"/>
  <c r="K1348" i="1"/>
  <c r="BE1348" i="1"/>
  <c r="BF1348" i="1"/>
  <c r="BG1348" i="1"/>
  <c r="E1349" i="1"/>
  <c r="G1349" i="1"/>
  <c r="J1349" i="1"/>
  <c r="K1349" i="1"/>
  <c r="BE1349" i="1"/>
  <c r="BF1349" i="1"/>
  <c r="BG1349" i="1"/>
  <c r="E1350" i="1"/>
  <c r="G1350" i="1"/>
  <c r="J1350" i="1"/>
  <c r="K1350" i="1"/>
  <c r="BE1350" i="1"/>
  <c r="BF1350" i="1"/>
  <c r="BG1350" i="1"/>
  <c r="E1351" i="1"/>
  <c r="G1351" i="1"/>
  <c r="J1351" i="1"/>
  <c r="K1351" i="1"/>
  <c r="BE1351" i="1"/>
  <c r="BF1351" i="1"/>
  <c r="BG1351" i="1"/>
  <c r="E1352" i="1"/>
  <c r="G1352" i="1"/>
  <c r="J1352" i="1"/>
  <c r="K1352" i="1"/>
  <c r="BE1352" i="1"/>
  <c r="BF1352" i="1"/>
  <c r="BG1352" i="1"/>
  <c r="E1353" i="1"/>
  <c r="G1353" i="1"/>
  <c r="J1353" i="1"/>
  <c r="K1353" i="1"/>
  <c r="BE1353" i="1"/>
  <c r="BF1353" i="1"/>
  <c r="BG1353" i="1"/>
  <c r="E1354" i="1"/>
  <c r="G1354" i="1"/>
  <c r="J1354" i="1"/>
  <c r="K1354" i="1"/>
  <c r="BE1354" i="1"/>
  <c r="BF1354" i="1"/>
  <c r="BG1354" i="1"/>
  <c r="E1355" i="1"/>
  <c r="G1355" i="1"/>
  <c r="J1355" i="1"/>
  <c r="K1355" i="1"/>
  <c r="BE1355" i="1"/>
  <c r="BF1355" i="1"/>
  <c r="BG1355" i="1"/>
  <c r="E1356" i="1"/>
  <c r="G1356" i="1"/>
  <c r="J1356" i="1"/>
  <c r="K1356" i="1"/>
  <c r="BE1356" i="1"/>
  <c r="BF1356" i="1"/>
  <c r="BG1356" i="1"/>
  <c r="E1357" i="1"/>
  <c r="G1357" i="1"/>
  <c r="J1357" i="1"/>
  <c r="K1357" i="1"/>
  <c r="BE1357" i="1"/>
  <c r="BF1357" i="1"/>
  <c r="BG1357" i="1"/>
  <c r="E1358" i="1"/>
  <c r="G1358" i="1"/>
  <c r="J1358" i="1"/>
  <c r="K1358" i="1"/>
  <c r="BE1358" i="1"/>
  <c r="BF1358" i="1"/>
  <c r="BG1358" i="1"/>
  <c r="E1359" i="1"/>
  <c r="G1359" i="1"/>
  <c r="J1359" i="1"/>
  <c r="K1359" i="1"/>
  <c r="BE1359" i="1"/>
  <c r="BF1359" i="1"/>
  <c r="BG1359" i="1"/>
  <c r="E1360" i="1"/>
  <c r="G1360" i="1"/>
  <c r="J1360" i="1"/>
  <c r="K1360" i="1"/>
  <c r="BE1360" i="1"/>
  <c r="BF1360" i="1"/>
  <c r="BG1360" i="1"/>
  <c r="E1361" i="1"/>
  <c r="G1361" i="1"/>
  <c r="J1361" i="1"/>
  <c r="K1361" i="1"/>
  <c r="BE1361" i="1"/>
  <c r="BF1361" i="1"/>
  <c r="BG1361" i="1"/>
  <c r="E1362" i="1"/>
  <c r="G1362" i="1"/>
  <c r="J1362" i="1"/>
  <c r="K1362" i="1"/>
  <c r="BE1362" i="1"/>
  <c r="BF1362" i="1"/>
  <c r="BG1362" i="1"/>
  <c r="E1363" i="1"/>
  <c r="G1363" i="1"/>
  <c r="J1363" i="1"/>
  <c r="K1363" i="1"/>
  <c r="BE1363" i="1"/>
  <c r="BF1363" i="1"/>
  <c r="BG1363" i="1"/>
  <c r="E1364" i="1"/>
  <c r="G1364" i="1"/>
  <c r="J1364" i="1"/>
  <c r="K1364" i="1"/>
  <c r="BE1364" i="1"/>
  <c r="BF1364" i="1"/>
  <c r="BG1364" i="1"/>
  <c r="E1365" i="1"/>
  <c r="G1365" i="1"/>
  <c r="J1365" i="1"/>
  <c r="K1365" i="1"/>
  <c r="BE1365" i="1"/>
  <c r="BF1365" i="1"/>
  <c r="BG1365" i="1"/>
  <c r="E1366" i="1"/>
  <c r="G1366" i="1"/>
  <c r="J1366" i="1"/>
  <c r="K1366" i="1"/>
  <c r="BE1366" i="1"/>
  <c r="BF1366" i="1"/>
  <c r="BG1366" i="1"/>
  <c r="E1367" i="1"/>
  <c r="G1367" i="1"/>
  <c r="J1367" i="1"/>
  <c r="K1367" i="1"/>
  <c r="BE1367" i="1"/>
  <c r="BF1367" i="1"/>
  <c r="BG1367" i="1"/>
  <c r="E1368" i="1"/>
  <c r="G1368" i="1"/>
  <c r="J1368" i="1"/>
  <c r="K1368" i="1"/>
  <c r="BE1368" i="1"/>
  <c r="BF1368" i="1"/>
  <c r="BG1368" i="1"/>
  <c r="E1369" i="1"/>
  <c r="G1369" i="1"/>
  <c r="J1369" i="1"/>
  <c r="K1369" i="1"/>
  <c r="BE1369" i="1"/>
  <c r="BF1369" i="1"/>
  <c r="BG1369" i="1"/>
  <c r="E1370" i="1"/>
  <c r="G1370" i="1"/>
  <c r="J1370" i="1"/>
  <c r="K1370" i="1"/>
  <c r="BE1370" i="1"/>
  <c r="BF1370" i="1"/>
  <c r="BG1370" i="1"/>
  <c r="E1371" i="1"/>
  <c r="G1371" i="1"/>
  <c r="J1371" i="1"/>
  <c r="K1371" i="1"/>
  <c r="BE1371" i="1"/>
  <c r="BF1371" i="1"/>
  <c r="BG1371" i="1"/>
  <c r="E1372" i="1"/>
  <c r="G1372" i="1"/>
  <c r="J1372" i="1"/>
  <c r="K1372" i="1"/>
  <c r="BE1372" i="1"/>
  <c r="BF1372" i="1"/>
  <c r="BG1372" i="1"/>
  <c r="E1373" i="1"/>
  <c r="G1373" i="1"/>
  <c r="J1373" i="1"/>
  <c r="K1373" i="1"/>
  <c r="BE1373" i="1"/>
  <c r="BF1373" i="1"/>
  <c r="BG1373" i="1"/>
  <c r="E1374" i="1"/>
  <c r="G1374" i="1"/>
  <c r="J1374" i="1"/>
  <c r="K1374" i="1"/>
  <c r="BE1374" i="1"/>
  <c r="BF1374" i="1"/>
  <c r="BG1374" i="1"/>
  <c r="E1375" i="1"/>
  <c r="G1375" i="1"/>
  <c r="J1375" i="1"/>
  <c r="K1375" i="1"/>
  <c r="BE1375" i="1"/>
  <c r="BF1375" i="1"/>
  <c r="BG1375" i="1"/>
  <c r="E1376" i="1"/>
  <c r="G1376" i="1"/>
  <c r="J1376" i="1"/>
  <c r="K1376" i="1"/>
  <c r="BE1376" i="1"/>
  <c r="BF1376" i="1"/>
  <c r="BG1376" i="1"/>
  <c r="E1377" i="1"/>
  <c r="G1377" i="1"/>
  <c r="J1377" i="1"/>
  <c r="K1377" i="1"/>
  <c r="BE1377" i="1"/>
  <c r="BF1377" i="1"/>
  <c r="BG1377" i="1"/>
  <c r="E1378" i="1"/>
  <c r="G1378" i="1"/>
  <c r="J1378" i="1"/>
  <c r="K1378" i="1"/>
  <c r="BE1378" i="1"/>
  <c r="BF1378" i="1"/>
  <c r="BG1378" i="1"/>
  <c r="E1379" i="1"/>
  <c r="G1379" i="1"/>
  <c r="J1379" i="1"/>
  <c r="K1379" i="1"/>
  <c r="BE1379" i="1"/>
  <c r="BF1379" i="1"/>
  <c r="BG1379" i="1"/>
  <c r="E1380" i="1"/>
  <c r="G1380" i="1"/>
  <c r="J1380" i="1"/>
  <c r="K1380" i="1"/>
  <c r="BE1380" i="1"/>
  <c r="BF1380" i="1"/>
  <c r="BG1380" i="1"/>
  <c r="E1381" i="1"/>
  <c r="G1381" i="1"/>
  <c r="J1381" i="1"/>
  <c r="K1381" i="1"/>
  <c r="BE1381" i="1"/>
  <c r="BF1381" i="1"/>
  <c r="BG1381" i="1"/>
  <c r="E1382" i="1"/>
  <c r="G1382" i="1"/>
  <c r="J1382" i="1"/>
  <c r="K1382" i="1"/>
  <c r="BE1382" i="1"/>
  <c r="BF1382" i="1"/>
  <c r="BG1382" i="1"/>
  <c r="E1383" i="1"/>
  <c r="G1383" i="1"/>
  <c r="J1383" i="1"/>
  <c r="K1383" i="1"/>
  <c r="BE1383" i="1"/>
  <c r="BF1383" i="1"/>
  <c r="BG1383" i="1"/>
  <c r="E1384" i="1"/>
  <c r="G1384" i="1"/>
  <c r="J1384" i="1"/>
  <c r="K1384" i="1"/>
  <c r="BE1384" i="1"/>
  <c r="BF1384" i="1"/>
  <c r="BG1384" i="1"/>
  <c r="E1385" i="1"/>
  <c r="G1385" i="1"/>
  <c r="J1385" i="1"/>
  <c r="K1385" i="1"/>
  <c r="BE1385" i="1"/>
  <c r="BF1385" i="1"/>
  <c r="BG1385" i="1"/>
  <c r="E1386" i="1"/>
  <c r="G1386" i="1"/>
  <c r="J1386" i="1"/>
  <c r="K1386" i="1"/>
  <c r="BE1386" i="1"/>
  <c r="BF1386" i="1"/>
  <c r="BG1386" i="1"/>
  <c r="E1387" i="1"/>
  <c r="G1387" i="1"/>
  <c r="J1387" i="1"/>
  <c r="K1387" i="1"/>
  <c r="BE1387" i="1"/>
  <c r="BF1387" i="1"/>
  <c r="BG1387" i="1"/>
  <c r="E1388" i="1"/>
  <c r="G1388" i="1"/>
  <c r="J1388" i="1"/>
  <c r="K1388" i="1"/>
  <c r="BE1388" i="1"/>
  <c r="BF1388" i="1"/>
  <c r="BG1388" i="1"/>
  <c r="E1389" i="1"/>
  <c r="G1389" i="1"/>
  <c r="J1389" i="1"/>
  <c r="K1389" i="1"/>
  <c r="BE1389" i="1"/>
  <c r="BF1389" i="1"/>
  <c r="BG1389" i="1"/>
  <c r="E1390" i="1"/>
  <c r="G1390" i="1"/>
  <c r="J1390" i="1"/>
  <c r="K1390" i="1"/>
  <c r="BE1390" i="1"/>
  <c r="BF1390" i="1"/>
  <c r="BG1390" i="1"/>
  <c r="E1391" i="1"/>
  <c r="G1391" i="1"/>
  <c r="J1391" i="1"/>
  <c r="K1391" i="1"/>
  <c r="BE1391" i="1"/>
  <c r="BF1391" i="1"/>
  <c r="BG1391" i="1"/>
  <c r="E1392" i="1"/>
  <c r="G1392" i="1"/>
  <c r="J1392" i="1"/>
  <c r="K1392" i="1"/>
  <c r="BE1392" i="1"/>
  <c r="BF1392" i="1"/>
  <c r="BG1392" i="1"/>
  <c r="E1393" i="1"/>
  <c r="G1393" i="1"/>
  <c r="J1393" i="1"/>
  <c r="K1393" i="1"/>
  <c r="BE1393" i="1"/>
  <c r="BF1393" i="1"/>
  <c r="BG1393" i="1"/>
  <c r="E1394" i="1"/>
  <c r="G1394" i="1"/>
  <c r="J1394" i="1"/>
  <c r="K1394" i="1"/>
  <c r="BE1394" i="1"/>
  <c r="BF1394" i="1"/>
  <c r="BG1394" i="1"/>
  <c r="E1395" i="1"/>
  <c r="G1395" i="1"/>
  <c r="J1395" i="1"/>
  <c r="K1395" i="1"/>
  <c r="BE1395" i="1"/>
  <c r="BF1395" i="1"/>
  <c r="BG1395" i="1"/>
  <c r="E1396" i="1"/>
  <c r="G1396" i="1"/>
  <c r="J1396" i="1"/>
  <c r="K1396" i="1"/>
  <c r="BE1396" i="1"/>
  <c r="BF1396" i="1"/>
  <c r="BG1396" i="1"/>
  <c r="E1397" i="1"/>
  <c r="G1397" i="1"/>
  <c r="J1397" i="1"/>
  <c r="K1397" i="1"/>
  <c r="BE1397" i="1"/>
  <c r="BF1397" i="1"/>
  <c r="BG1397" i="1"/>
  <c r="E1398" i="1"/>
  <c r="G1398" i="1"/>
  <c r="J1398" i="1"/>
  <c r="K1398" i="1"/>
  <c r="BE1398" i="1"/>
  <c r="BF1398" i="1"/>
  <c r="BG1398" i="1"/>
  <c r="E1399" i="1"/>
  <c r="G1399" i="1"/>
  <c r="J1399" i="1"/>
  <c r="K1399" i="1"/>
  <c r="BE1399" i="1"/>
  <c r="BF1399" i="1"/>
  <c r="BG1399" i="1"/>
  <c r="E1400" i="1"/>
  <c r="G1400" i="1"/>
  <c r="J1400" i="1"/>
  <c r="K1400" i="1"/>
  <c r="BE1400" i="1"/>
  <c r="BF1400" i="1"/>
  <c r="BG1400" i="1"/>
  <c r="E1401" i="1"/>
  <c r="G1401" i="1"/>
  <c r="J1401" i="1"/>
  <c r="K1401" i="1"/>
  <c r="BE1401" i="1"/>
  <c r="BF1401" i="1"/>
  <c r="BG1401" i="1"/>
  <c r="E1402" i="1"/>
  <c r="G1402" i="1"/>
  <c r="J1402" i="1"/>
  <c r="K1402" i="1"/>
  <c r="BE1402" i="1"/>
  <c r="BF1402" i="1"/>
  <c r="BG1402" i="1"/>
  <c r="E1403" i="1"/>
  <c r="G1403" i="1"/>
  <c r="J1403" i="1"/>
  <c r="K1403" i="1"/>
  <c r="BE1403" i="1"/>
  <c r="BF1403" i="1"/>
  <c r="BG1403" i="1"/>
  <c r="E1404" i="1"/>
  <c r="G1404" i="1"/>
  <c r="J1404" i="1"/>
  <c r="K1404" i="1"/>
  <c r="BE1404" i="1"/>
  <c r="BF1404" i="1"/>
  <c r="BG1404" i="1"/>
  <c r="E1405" i="1"/>
  <c r="G1405" i="1"/>
  <c r="J1405" i="1"/>
  <c r="K1405" i="1"/>
  <c r="BE1405" i="1"/>
  <c r="BF1405" i="1"/>
  <c r="BG1405" i="1"/>
  <c r="E1406" i="1"/>
  <c r="G1406" i="1"/>
  <c r="J1406" i="1"/>
  <c r="K1406" i="1"/>
  <c r="BE1406" i="1"/>
  <c r="BF1406" i="1"/>
  <c r="BG1406" i="1"/>
  <c r="E1407" i="1"/>
  <c r="G1407" i="1"/>
  <c r="J1407" i="1"/>
  <c r="K1407" i="1"/>
  <c r="BE1407" i="1"/>
  <c r="BF1407" i="1"/>
  <c r="BG1407" i="1"/>
  <c r="E1408" i="1"/>
  <c r="G1408" i="1"/>
  <c r="J1408" i="1"/>
  <c r="K1408" i="1"/>
  <c r="BE1408" i="1"/>
  <c r="BF1408" i="1"/>
  <c r="BG1408" i="1"/>
  <c r="E1409" i="1"/>
  <c r="G1409" i="1"/>
  <c r="J1409" i="1"/>
  <c r="K1409" i="1"/>
  <c r="BE1409" i="1"/>
  <c r="BF1409" i="1"/>
  <c r="BG1409" i="1"/>
  <c r="E1410" i="1"/>
  <c r="G1410" i="1"/>
  <c r="J1410" i="1"/>
  <c r="K1410" i="1"/>
  <c r="BE1410" i="1"/>
  <c r="BF1410" i="1"/>
  <c r="BG1410" i="1"/>
  <c r="E1411" i="1"/>
  <c r="G1411" i="1"/>
  <c r="J1411" i="1"/>
  <c r="K1411" i="1"/>
  <c r="BE1411" i="1"/>
  <c r="BF1411" i="1"/>
  <c r="BG1411" i="1"/>
  <c r="E1412" i="1"/>
  <c r="G1412" i="1"/>
  <c r="J1412" i="1"/>
  <c r="K1412" i="1"/>
  <c r="BE1412" i="1"/>
  <c r="BF1412" i="1"/>
  <c r="BG1412" i="1"/>
  <c r="E1413" i="1"/>
  <c r="G1413" i="1"/>
  <c r="J1413" i="1"/>
  <c r="K1413" i="1"/>
  <c r="BE1413" i="1"/>
  <c r="BF1413" i="1"/>
  <c r="BG1413" i="1"/>
  <c r="E1414" i="1"/>
  <c r="G1414" i="1"/>
  <c r="J1414" i="1"/>
  <c r="K1414" i="1"/>
  <c r="BE1414" i="1"/>
  <c r="BF1414" i="1"/>
  <c r="BG1414" i="1"/>
  <c r="E1415" i="1"/>
  <c r="G1415" i="1"/>
  <c r="J1415" i="1"/>
  <c r="K1415" i="1"/>
  <c r="BE1415" i="1"/>
  <c r="BF1415" i="1"/>
  <c r="BG1415" i="1"/>
  <c r="E1416" i="1"/>
  <c r="G1416" i="1"/>
  <c r="J1416" i="1"/>
  <c r="K1416" i="1"/>
  <c r="BE1416" i="1"/>
  <c r="BF1416" i="1"/>
  <c r="BG1416" i="1"/>
  <c r="E1417" i="1"/>
  <c r="G1417" i="1"/>
  <c r="J1417" i="1"/>
  <c r="K1417" i="1"/>
  <c r="BE1417" i="1"/>
  <c r="BF1417" i="1"/>
  <c r="BG1417" i="1"/>
  <c r="E1418" i="1"/>
  <c r="G1418" i="1"/>
  <c r="J1418" i="1"/>
  <c r="K1418" i="1"/>
  <c r="BE1418" i="1"/>
  <c r="BF1418" i="1"/>
  <c r="BG1418" i="1"/>
  <c r="E1419" i="1"/>
  <c r="G1419" i="1"/>
  <c r="J1419" i="1"/>
  <c r="K1419" i="1"/>
  <c r="BE1419" i="1"/>
  <c r="BF1419" i="1"/>
  <c r="BG1419" i="1"/>
  <c r="E1420" i="1"/>
  <c r="G1420" i="1"/>
  <c r="J1420" i="1"/>
  <c r="K1420" i="1"/>
  <c r="BE1420" i="1"/>
  <c r="BF1420" i="1"/>
  <c r="BG1420" i="1"/>
  <c r="E1421" i="1"/>
  <c r="G1421" i="1"/>
  <c r="J1421" i="1"/>
  <c r="K1421" i="1"/>
  <c r="BE1421" i="1"/>
  <c r="BF1421" i="1"/>
  <c r="BG1421" i="1"/>
  <c r="E1422" i="1"/>
  <c r="G1422" i="1"/>
  <c r="J1422" i="1"/>
  <c r="K1422" i="1"/>
  <c r="BE1422" i="1"/>
  <c r="BF1422" i="1"/>
  <c r="BG1422" i="1"/>
  <c r="E1423" i="1"/>
  <c r="G1423" i="1"/>
  <c r="J1423" i="1"/>
  <c r="K1423" i="1"/>
  <c r="BE1423" i="1"/>
  <c r="BF1423" i="1"/>
  <c r="BG1423" i="1"/>
  <c r="E1424" i="1"/>
  <c r="G1424" i="1"/>
  <c r="J1424" i="1"/>
  <c r="K1424" i="1"/>
  <c r="BE1424" i="1"/>
  <c r="BF1424" i="1"/>
  <c r="BG1424" i="1"/>
  <c r="E1425" i="1"/>
  <c r="G1425" i="1"/>
  <c r="J1425" i="1"/>
  <c r="K1425" i="1"/>
  <c r="BE1425" i="1"/>
  <c r="BF1425" i="1"/>
  <c r="BG1425" i="1"/>
  <c r="E1426" i="1"/>
  <c r="G1426" i="1"/>
  <c r="J1426" i="1"/>
  <c r="K1426" i="1"/>
  <c r="BE1426" i="1"/>
  <c r="BF1426" i="1"/>
  <c r="BG1426" i="1"/>
  <c r="E1427" i="1"/>
  <c r="G1427" i="1"/>
  <c r="J1427" i="1"/>
  <c r="K1427" i="1"/>
  <c r="BE1427" i="1"/>
  <c r="BF1427" i="1"/>
  <c r="BG1427" i="1"/>
  <c r="E1428" i="1"/>
  <c r="G1428" i="1"/>
  <c r="J1428" i="1"/>
  <c r="K1428" i="1"/>
  <c r="BE1428" i="1"/>
  <c r="BF1428" i="1"/>
  <c r="BG1428" i="1"/>
  <c r="E1429" i="1"/>
  <c r="G1429" i="1"/>
  <c r="J1429" i="1"/>
  <c r="K1429" i="1"/>
  <c r="BE1429" i="1"/>
  <c r="BF1429" i="1"/>
  <c r="BG1429" i="1"/>
  <c r="E1430" i="1"/>
  <c r="G1430" i="1"/>
  <c r="J1430" i="1"/>
  <c r="K1430" i="1"/>
  <c r="BE1430" i="1"/>
  <c r="BF1430" i="1"/>
  <c r="BG1430" i="1"/>
  <c r="E1431" i="1"/>
  <c r="G1431" i="1"/>
  <c r="J1431" i="1"/>
  <c r="K1431" i="1"/>
  <c r="BE1431" i="1"/>
  <c r="BF1431" i="1"/>
  <c r="BG1431" i="1"/>
  <c r="E1432" i="1"/>
  <c r="G1432" i="1"/>
  <c r="J1432" i="1"/>
  <c r="K1432" i="1"/>
  <c r="BE1432" i="1"/>
  <c r="BF1432" i="1"/>
  <c r="BG1432" i="1"/>
  <c r="E1433" i="1"/>
  <c r="G1433" i="1"/>
  <c r="J1433" i="1"/>
  <c r="K1433" i="1"/>
  <c r="BE1433" i="1"/>
  <c r="BF1433" i="1"/>
  <c r="BG1433" i="1"/>
  <c r="E1434" i="1"/>
  <c r="G1434" i="1"/>
  <c r="J1434" i="1"/>
  <c r="K1434" i="1"/>
  <c r="BE1434" i="1"/>
  <c r="BF1434" i="1"/>
  <c r="BG1434" i="1"/>
  <c r="E1435" i="1"/>
  <c r="G1435" i="1"/>
  <c r="J1435" i="1"/>
  <c r="K1435" i="1"/>
  <c r="BE1435" i="1"/>
  <c r="BF1435" i="1"/>
  <c r="BG1435" i="1"/>
  <c r="E1436" i="1"/>
  <c r="G1436" i="1"/>
  <c r="J1436" i="1"/>
  <c r="K1436" i="1"/>
  <c r="BE1436" i="1"/>
  <c r="BF1436" i="1"/>
  <c r="BG1436" i="1"/>
  <c r="E1437" i="1"/>
  <c r="G1437" i="1"/>
  <c r="J1437" i="1"/>
  <c r="K1437" i="1"/>
  <c r="BE1437" i="1"/>
  <c r="BF1437" i="1"/>
  <c r="BG1437" i="1"/>
  <c r="E1438" i="1"/>
  <c r="G1438" i="1"/>
  <c r="J1438" i="1"/>
  <c r="K1438" i="1"/>
  <c r="BE1438" i="1"/>
  <c r="BF1438" i="1"/>
  <c r="BG1438" i="1"/>
  <c r="E1439" i="1"/>
  <c r="G1439" i="1"/>
  <c r="J1439" i="1"/>
  <c r="K1439" i="1"/>
  <c r="BE1439" i="1"/>
  <c r="BF1439" i="1"/>
  <c r="BG1439" i="1"/>
  <c r="E1440" i="1"/>
  <c r="G1440" i="1"/>
  <c r="J1440" i="1"/>
  <c r="K1440" i="1"/>
  <c r="BE1440" i="1"/>
  <c r="BF1440" i="1"/>
  <c r="BG1440" i="1"/>
  <c r="E1441" i="1"/>
  <c r="G1441" i="1"/>
  <c r="J1441" i="1"/>
  <c r="K1441" i="1"/>
  <c r="BE1441" i="1"/>
  <c r="BF1441" i="1"/>
  <c r="BG1441" i="1"/>
  <c r="E1442" i="1"/>
  <c r="G1442" i="1"/>
  <c r="J1442" i="1"/>
  <c r="K1442" i="1"/>
  <c r="BE1442" i="1"/>
  <c r="BF1442" i="1"/>
  <c r="BG1442" i="1"/>
  <c r="E1443" i="1"/>
  <c r="G1443" i="1"/>
  <c r="J1443" i="1"/>
  <c r="K1443" i="1"/>
  <c r="BE1443" i="1"/>
  <c r="BF1443" i="1"/>
  <c r="BG1443" i="1"/>
  <c r="E1444" i="1"/>
  <c r="G1444" i="1"/>
  <c r="J1444" i="1"/>
  <c r="K1444" i="1"/>
  <c r="BE1444" i="1"/>
  <c r="BF1444" i="1"/>
  <c r="BG1444" i="1"/>
  <c r="E1445" i="1"/>
  <c r="G1445" i="1"/>
  <c r="J1445" i="1"/>
  <c r="K1445" i="1"/>
  <c r="BE1445" i="1"/>
  <c r="BF1445" i="1"/>
  <c r="BG1445" i="1"/>
  <c r="E1446" i="1"/>
  <c r="G1446" i="1"/>
  <c r="J1446" i="1"/>
  <c r="K1446" i="1"/>
  <c r="BE1446" i="1"/>
  <c r="BF1446" i="1"/>
  <c r="BG1446" i="1"/>
  <c r="E1447" i="1"/>
  <c r="G1447" i="1"/>
  <c r="J1447" i="1"/>
  <c r="K1447" i="1"/>
  <c r="BE1447" i="1"/>
  <c r="BF1447" i="1"/>
  <c r="BG1447" i="1"/>
  <c r="E1448" i="1"/>
  <c r="G1448" i="1"/>
  <c r="J1448" i="1"/>
  <c r="K1448" i="1"/>
  <c r="BE1448" i="1"/>
  <c r="BF1448" i="1"/>
  <c r="BG1448" i="1"/>
  <c r="E1449" i="1"/>
  <c r="G1449" i="1"/>
  <c r="J1449" i="1"/>
  <c r="K1449" i="1"/>
  <c r="BE1449" i="1"/>
  <c r="BF1449" i="1"/>
  <c r="BG1449" i="1"/>
  <c r="E1450" i="1"/>
  <c r="G1450" i="1"/>
  <c r="J1450" i="1"/>
  <c r="K1450" i="1"/>
  <c r="BE1450" i="1"/>
  <c r="BF1450" i="1"/>
  <c r="BG1450" i="1"/>
  <c r="E1451" i="1"/>
  <c r="G1451" i="1"/>
  <c r="J1451" i="1"/>
  <c r="K1451" i="1"/>
  <c r="BE1451" i="1"/>
  <c r="BF1451" i="1"/>
  <c r="BG1451" i="1"/>
  <c r="E1452" i="1"/>
  <c r="G1452" i="1"/>
  <c r="J1452" i="1"/>
  <c r="K1452" i="1"/>
  <c r="BE1452" i="1"/>
  <c r="BF1452" i="1"/>
  <c r="BG1452" i="1"/>
  <c r="E1453" i="1"/>
  <c r="G1453" i="1"/>
  <c r="J1453" i="1"/>
  <c r="K1453" i="1"/>
  <c r="BE1453" i="1"/>
  <c r="BF1453" i="1"/>
  <c r="BG1453" i="1"/>
  <c r="E1454" i="1"/>
  <c r="G1454" i="1"/>
  <c r="J1454" i="1"/>
  <c r="K1454" i="1"/>
  <c r="BE1454" i="1"/>
  <c r="BF1454" i="1"/>
  <c r="BG1454" i="1"/>
  <c r="E1455" i="1"/>
  <c r="G1455" i="1"/>
  <c r="J1455" i="1"/>
  <c r="K1455" i="1"/>
  <c r="BE1455" i="1"/>
  <c r="BF1455" i="1"/>
  <c r="BG1455" i="1"/>
  <c r="E1456" i="1"/>
  <c r="G1456" i="1"/>
  <c r="J1456" i="1"/>
  <c r="K1456" i="1"/>
  <c r="BE1456" i="1"/>
  <c r="BF1456" i="1"/>
  <c r="BG1456" i="1"/>
  <c r="E1457" i="1"/>
  <c r="G1457" i="1"/>
  <c r="J1457" i="1"/>
  <c r="K1457" i="1"/>
  <c r="BE1457" i="1"/>
  <c r="BF1457" i="1"/>
  <c r="BG1457" i="1"/>
  <c r="E1458" i="1"/>
  <c r="G1458" i="1"/>
  <c r="J1458" i="1"/>
  <c r="K1458" i="1"/>
  <c r="BE1458" i="1"/>
  <c r="BF1458" i="1"/>
  <c r="BG1458" i="1"/>
  <c r="E1459" i="1"/>
  <c r="G1459" i="1"/>
  <c r="J1459" i="1"/>
  <c r="K1459" i="1"/>
  <c r="BE1459" i="1"/>
  <c r="BF1459" i="1"/>
  <c r="BG1459" i="1"/>
  <c r="E1460" i="1"/>
  <c r="G1460" i="1"/>
  <c r="J1460" i="1"/>
  <c r="K1460" i="1"/>
  <c r="BE1460" i="1"/>
  <c r="BF1460" i="1"/>
  <c r="BG1460" i="1"/>
  <c r="E1461" i="1"/>
  <c r="G1461" i="1"/>
  <c r="J1461" i="1"/>
  <c r="K1461" i="1"/>
  <c r="BE1461" i="1"/>
  <c r="BF1461" i="1"/>
  <c r="BG1461" i="1"/>
  <c r="E3580" i="1"/>
  <c r="G3580" i="1"/>
  <c r="J3580" i="1"/>
  <c r="K3580" i="1"/>
  <c r="BE3580" i="1"/>
  <c r="BF3580" i="1"/>
  <c r="BG3580" i="1"/>
  <c r="E6474" i="1"/>
  <c r="G6474" i="1"/>
  <c r="J6474" i="1"/>
  <c r="K6474" i="1"/>
  <c r="BE6474" i="1"/>
  <c r="BF6474" i="1"/>
  <c r="BG6474" i="1"/>
  <c r="E3408" i="1"/>
  <c r="G3408" i="1"/>
  <c r="J3408" i="1"/>
  <c r="K3408" i="1"/>
  <c r="BE3408" i="1"/>
  <c r="BF3408" i="1"/>
  <c r="BG3408" i="1"/>
  <c r="E3581" i="1"/>
  <c r="G3581" i="1"/>
  <c r="J3581" i="1"/>
  <c r="K3581" i="1"/>
  <c r="BE3581" i="1"/>
  <c r="BF3581" i="1"/>
  <c r="BG3581" i="1"/>
  <c r="E6475" i="1"/>
  <c r="G6475" i="1"/>
  <c r="J6475" i="1"/>
  <c r="K6475" i="1"/>
  <c r="BE6475" i="1"/>
  <c r="BF6475" i="1"/>
  <c r="BG6475" i="1"/>
  <c r="E3582" i="1"/>
  <c r="G3582" i="1"/>
  <c r="J3582" i="1"/>
  <c r="K3582" i="1"/>
  <c r="BE3582" i="1"/>
  <c r="BF3582" i="1"/>
  <c r="BG3582" i="1"/>
  <c r="E3583" i="1"/>
  <c r="G3583" i="1"/>
  <c r="J3583" i="1"/>
  <c r="K3583" i="1"/>
  <c r="BE3583" i="1"/>
  <c r="BF3583" i="1"/>
  <c r="BG3583" i="1"/>
  <c r="E6791" i="1"/>
  <c r="G6791" i="1"/>
  <c r="J6791" i="1"/>
  <c r="K6791" i="1"/>
  <c r="BE6791" i="1"/>
  <c r="BF6791" i="1"/>
  <c r="BG6791" i="1"/>
  <c r="E2159" i="1"/>
  <c r="G2159" i="1"/>
  <c r="J2159" i="1"/>
  <c r="K2159" i="1"/>
  <c r="BF2159" i="1"/>
  <c r="BG2159" i="1"/>
  <c r="E6476" i="1"/>
  <c r="G6476" i="1"/>
  <c r="J6476" i="1"/>
  <c r="K6476" i="1"/>
  <c r="BE6476" i="1"/>
  <c r="BF6476" i="1"/>
  <c r="BG6476" i="1"/>
  <c r="E3584" i="1"/>
  <c r="G3584" i="1"/>
  <c r="J3584" i="1"/>
  <c r="K3584" i="1"/>
  <c r="BE3584" i="1"/>
  <c r="BF3584" i="1"/>
  <c r="BG3584" i="1"/>
  <c r="E472" i="1"/>
  <c r="G472" i="1"/>
  <c r="J472" i="1"/>
  <c r="K472" i="1"/>
  <c r="BE472" i="1"/>
  <c r="BF472" i="1"/>
  <c r="BG472" i="1"/>
  <c r="E3409" i="1"/>
  <c r="G3409" i="1"/>
  <c r="J3409" i="1"/>
  <c r="K3409" i="1"/>
  <c r="BE3409" i="1"/>
  <c r="BF3409" i="1"/>
  <c r="BG3409" i="1"/>
  <c r="E3585" i="1"/>
  <c r="G3585" i="1"/>
  <c r="J3585" i="1"/>
  <c r="K3585" i="1"/>
  <c r="BE3585" i="1"/>
  <c r="BF3585" i="1"/>
  <c r="BG3585" i="1"/>
  <c r="E258" i="1"/>
  <c r="G258" i="1"/>
  <c r="J258" i="1"/>
  <c r="K258" i="1"/>
  <c r="BC258" i="1"/>
  <c r="BE258" i="1"/>
  <c r="BF258" i="1"/>
  <c r="BG258" i="1"/>
  <c r="E3586" i="1"/>
  <c r="G3586" i="1"/>
  <c r="J3586" i="1"/>
  <c r="K3586" i="1"/>
  <c r="BE3586" i="1"/>
  <c r="BF3586" i="1"/>
  <c r="BG3586" i="1"/>
  <c r="E6477" i="1"/>
  <c r="G6477" i="1"/>
  <c r="J6477" i="1"/>
  <c r="K6477" i="1"/>
  <c r="BE6477" i="1"/>
  <c r="BF6477" i="1"/>
  <c r="BG6477" i="1"/>
  <c r="E3410" i="1"/>
  <c r="G3410" i="1"/>
  <c r="J3410" i="1"/>
  <c r="K3410" i="1"/>
  <c r="BE3410" i="1"/>
  <c r="BF3410" i="1"/>
  <c r="BG3410" i="1"/>
  <c r="E6478" i="1"/>
  <c r="G6478" i="1"/>
  <c r="J6478" i="1"/>
  <c r="K6478" i="1"/>
  <c r="BE6478" i="1"/>
  <c r="BF6478" i="1"/>
  <c r="BG6478" i="1"/>
  <c r="E6479" i="1"/>
  <c r="G6479" i="1"/>
  <c r="J6479" i="1"/>
  <c r="K6479" i="1"/>
  <c r="BE6479" i="1"/>
  <c r="BF6479" i="1"/>
  <c r="BG6479" i="1"/>
  <c r="E4640" i="1"/>
  <c r="G4640" i="1"/>
  <c r="J4640" i="1"/>
  <c r="K4640" i="1"/>
  <c r="BE4640" i="1"/>
  <c r="BF4640" i="1"/>
  <c r="BG4640" i="1"/>
  <c r="E4641" i="1"/>
  <c r="G4641" i="1"/>
  <c r="J4641" i="1"/>
  <c r="K4641" i="1"/>
  <c r="BE4641" i="1"/>
  <c r="BF4641" i="1"/>
  <c r="BG4641" i="1"/>
  <c r="E6792" i="1"/>
  <c r="G6792" i="1"/>
  <c r="J6792" i="1"/>
  <c r="K6792" i="1"/>
  <c r="BE6792" i="1"/>
  <c r="BF6792" i="1"/>
  <c r="BG6792" i="1"/>
  <c r="E6480" i="1"/>
  <c r="G6480" i="1"/>
  <c r="J6480" i="1"/>
  <c r="K6480" i="1"/>
  <c r="BE6480" i="1"/>
  <c r="BF6480" i="1"/>
  <c r="BG6480" i="1"/>
  <c r="E4642" i="1"/>
  <c r="G4642" i="1"/>
  <c r="J4642" i="1"/>
  <c r="K4642" i="1"/>
  <c r="BE4642" i="1"/>
  <c r="BF4642" i="1"/>
  <c r="BG4642" i="1"/>
  <c r="E6481" i="1"/>
  <c r="G6481" i="1"/>
  <c r="J6481" i="1"/>
  <c r="K6481" i="1"/>
  <c r="BE6481" i="1"/>
  <c r="BF6481" i="1"/>
  <c r="BG6481" i="1"/>
  <c r="E4643" i="1"/>
  <c r="G4643" i="1"/>
  <c r="J4643" i="1"/>
  <c r="K4643" i="1"/>
  <c r="BE4643" i="1"/>
  <c r="BF4643" i="1"/>
  <c r="BG4643" i="1"/>
  <c r="E3411" i="1"/>
  <c r="G3411" i="1"/>
  <c r="J3411" i="1"/>
  <c r="K3411" i="1"/>
  <c r="BE3411" i="1"/>
  <c r="BF3411" i="1"/>
  <c r="BG3411" i="1"/>
  <c r="E6482" i="1"/>
  <c r="G6482" i="1"/>
  <c r="J6482" i="1"/>
  <c r="K6482" i="1"/>
  <c r="BE6482" i="1"/>
  <c r="BF6482" i="1"/>
  <c r="BG6482" i="1"/>
  <c r="E3412" i="1"/>
  <c r="G3412" i="1"/>
  <c r="J3412" i="1"/>
  <c r="K3412" i="1"/>
  <c r="BE3412" i="1"/>
  <c r="BF3412" i="1"/>
  <c r="BG3412" i="1"/>
  <c r="E6483" i="1"/>
  <c r="G6483" i="1"/>
  <c r="J6483" i="1"/>
  <c r="K6483" i="1"/>
  <c r="BE6483" i="1"/>
  <c r="BF6483" i="1"/>
  <c r="BG6483" i="1"/>
  <c r="E3413" i="1"/>
  <c r="G3413" i="1"/>
  <c r="J3413" i="1"/>
  <c r="K3413" i="1"/>
  <c r="BE3413" i="1"/>
  <c r="BF3413" i="1"/>
  <c r="BG3413" i="1"/>
  <c r="E697" i="1"/>
  <c r="G697" i="1"/>
  <c r="J697" i="1"/>
  <c r="K697" i="1"/>
  <c r="BE697" i="1"/>
  <c r="BF697" i="1"/>
  <c r="BG697" i="1"/>
  <c r="E2160" i="1"/>
  <c r="G2160" i="1"/>
  <c r="J2160" i="1"/>
  <c r="K2160" i="1"/>
  <c r="BF2160" i="1"/>
  <c r="BG2160" i="1"/>
  <c r="E6484" i="1"/>
  <c r="G6484" i="1"/>
  <c r="J6484" i="1"/>
  <c r="K6484" i="1"/>
  <c r="BE6484" i="1"/>
  <c r="BF6484" i="1"/>
  <c r="BG6484" i="1"/>
  <c r="E116" i="1"/>
  <c r="G116" i="1"/>
  <c r="J116" i="1"/>
  <c r="K116" i="1"/>
  <c r="BE116" i="1"/>
  <c r="BF116" i="1"/>
  <c r="BG116" i="1"/>
  <c r="E104" i="1"/>
  <c r="G104" i="1"/>
  <c r="J104" i="1"/>
  <c r="K104" i="1"/>
  <c r="BE104" i="1"/>
  <c r="BF104" i="1"/>
  <c r="BG104" i="1"/>
  <c r="E6793" i="1"/>
  <c r="G6793" i="1"/>
  <c r="J6793" i="1"/>
  <c r="K6793" i="1"/>
  <c r="BE6793" i="1"/>
  <c r="BF6793" i="1"/>
  <c r="BG6793" i="1"/>
  <c r="E3414" i="1"/>
  <c r="G3414" i="1"/>
  <c r="J3414" i="1"/>
  <c r="K3414" i="1"/>
  <c r="BE3414" i="1"/>
  <c r="BF3414" i="1"/>
  <c r="BG3414" i="1"/>
  <c r="E2161" i="1"/>
  <c r="G2161" i="1"/>
  <c r="J2161" i="1"/>
  <c r="K2161" i="1"/>
  <c r="BF2161" i="1"/>
  <c r="BG2161" i="1"/>
  <c r="E3415" i="1"/>
  <c r="G3415" i="1"/>
  <c r="J3415" i="1"/>
  <c r="K3415" i="1"/>
  <c r="BE3415" i="1"/>
  <c r="BF3415" i="1"/>
  <c r="BG3415" i="1"/>
  <c r="E6485" i="1"/>
  <c r="G6485" i="1"/>
  <c r="J6485" i="1"/>
  <c r="K6485" i="1"/>
  <c r="BE6485" i="1"/>
  <c r="BF6485" i="1"/>
  <c r="BG6485" i="1"/>
  <c r="E6486" i="1"/>
  <c r="G6486" i="1"/>
  <c r="J6486" i="1"/>
  <c r="K6486" i="1"/>
  <c r="BE6486" i="1"/>
  <c r="BF6486" i="1"/>
  <c r="BG6486" i="1"/>
  <c r="E2162" i="1"/>
  <c r="G2162" i="1"/>
  <c r="J2162" i="1"/>
  <c r="K2162" i="1"/>
  <c r="BF2162" i="1"/>
  <c r="BG2162" i="1"/>
  <c r="E3416" i="1"/>
  <c r="G3416" i="1"/>
  <c r="J3416" i="1"/>
  <c r="K3416" i="1"/>
  <c r="BE3416" i="1"/>
  <c r="BF3416" i="1"/>
  <c r="BG3416" i="1"/>
  <c r="E5826" i="1"/>
  <c r="G5826" i="1"/>
  <c r="J5826" i="1"/>
  <c r="K5826" i="1"/>
  <c r="BE5826" i="1"/>
  <c r="BF5826" i="1"/>
  <c r="BG5826" i="1"/>
  <c r="E6487" i="1"/>
  <c r="G6487" i="1"/>
  <c r="J6487" i="1"/>
  <c r="K6487" i="1"/>
  <c r="BE6487" i="1"/>
  <c r="BF6487" i="1"/>
  <c r="BG6487" i="1"/>
  <c r="E6488" i="1"/>
  <c r="G6488" i="1"/>
  <c r="J6488" i="1"/>
  <c r="K6488" i="1"/>
  <c r="BE6488" i="1"/>
  <c r="BF6488" i="1"/>
  <c r="BG6488" i="1"/>
  <c r="E3417" i="1"/>
  <c r="G3417" i="1"/>
  <c r="J3417" i="1"/>
  <c r="K3417" i="1"/>
  <c r="BE3417" i="1"/>
  <c r="BF3417" i="1"/>
  <c r="BG3417" i="1"/>
  <c r="E2493" i="1"/>
  <c r="G2493" i="1"/>
  <c r="J2493" i="1"/>
  <c r="K2493" i="1"/>
  <c r="BE2493" i="1"/>
  <c r="BF2493" i="1"/>
  <c r="BG2493" i="1"/>
  <c r="E473" i="1"/>
  <c r="G473" i="1"/>
  <c r="J473" i="1"/>
  <c r="K473" i="1"/>
  <c r="BE473" i="1"/>
  <c r="BF473" i="1"/>
  <c r="BG473" i="1"/>
  <c r="E6489" i="1"/>
  <c r="G6489" i="1"/>
  <c r="J6489" i="1"/>
  <c r="K6489" i="1"/>
  <c r="BE6489" i="1"/>
  <c r="BF6489" i="1"/>
  <c r="BG6489" i="1"/>
  <c r="E6490" i="1"/>
  <c r="G6490" i="1"/>
  <c r="J6490" i="1"/>
  <c r="K6490" i="1"/>
  <c r="BE6490" i="1"/>
  <c r="BF6490" i="1"/>
  <c r="BG6490" i="1"/>
  <c r="E3359" i="1"/>
  <c r="G3359" i="1"/>
  <c r="J3359" i="1"/>
  <c r="K3359" i="1"/>
  <c r="BE3359" i="1"/>
  <c r="BF3359" i="1"/>
  <c r="BG3359" i="1"/>
  <c r="E2163" i="1"/>
  <c r="G2163" i="1"/>
  <c r="J2163" i="1"/>
  <c r="K2163" i="1"/>
  <c r="BF2163" i="1"/>
  <c r="BG2163" i="1"/>
  <c r="E3418" i="1"/>
  <c r="G3418" i="1"/>
  <c r="J3418" i="1"/>
  <c r="K3418" i="1"/>
  <c r="BE3418" i="1"/>
  <c r="BF3418" i="1"/>
  <c r="BG3418" i="1"/>
  <c r="E2164" i="1"/>
  <c r="G2164" i="1"/>
  <c r="J2164" i="1"/>
  <c r="K2164" i="1"/>
  <c r="BF2164" i="1"/>
  <c r="BG2164" i="1"/>
  <c r="E6491" i="1"/>
  <c r="G6491" i="1"/>
  <c r="J6491" i="1"/>
  <c r="K6491" i="1"/>
  <c r="BE6491" i="1"/>
  <c r="BF6491" i="1"/>
  <c r="BG6491" i="1"/>
  <c r="E6492" i="1"/>
  <c r="G6492" i="1"/>
  <c r="J6492" i="1"/>
  <c r="K6492" i="1"/>
  <c r="BE6492" i="1"/>
  <c r="BF6492" i="1"/>
  <c r="BG6492" i="1"/>
  <c r="E3419" i="1"/>
  <c r="G3419" i="1"/>
  <c r="J3419" i="1"/>
  <c r="K3419" i="1"/>
  <c r="BE3419" i="1"/>
  <c r="BF3419" i="1"/>
  <c r="BG3419" i="1"/>
  <c r="E6493" i="1"/>
  <c r="G6493" i="1"/>
  <c r="J6493" i="1"/>
  <c r="K6493" i="1"/>
  <c r="BE6493" i="1"/>
  <c r="BF6493" i="1"/>
  <c r="BG6493" i="1"/>
  <c r="E6494" i="1"/>
  <c r="G6494" i="1"/>
  <c r="J6494" i="1"/>
  <c r="K6494" i="1"/>
  <c r="BE6494" i="1"/>
  <c r="BF6494" i="1"/>
  <c r="BG6494" i="1"/>
  <c r="E6495" i="1"/>
  <c r="G6495" i="1"/>
  <c r="J6495" i="1"/>
  <c r="K6495" i="1"/>
  <c r="BE6495" i="1"/>
  <c r="BF6495" i="1"/>
  <c r="BG6495" i="1"/>
  <c r="E6496" i="1"/>
  <c r="G6496" i="1"/>
  <c r="J6496" i="1"/>
  <c r="K6496" i="1"/>
  <c r="BE6496" i="1"/>
  <c r="BF6496" i="1"/>
  <c r="BG6496" i="1"/>
  <c r="E3360" i="1"/>
  <c r="G3360" i="1"/>
  <c r="J3360" i="1"/>
  <c r="K3360" i="1"/>
  <c r="BE3360" i="1"/>
  <c r="BF3360" i="1"/>
  <c r="BG3360" i="1"/>
  <c r="E3420" i="1"/>
  <c r="G3420" i="1"/>
  <c r="J3420" i="1"/>
  <c r="K3420" i="1"/>
  <c r="BE3420" i="1"/>
  <c r="BF3420" i="1"/>
  <c r="BG3420" i="1"/>
  <c r="E997" i="1"/>
  <c r="G997" i="1"/>
  <c r="J997" i="1"/>
  <c r="K997" i="1"/>
  <c r="BE997" i="1"/>
  <c r="BF997" i="1"/>
  <c r="BG997" i="1"/>
  <c r="E320" i="1"/>
  <c r="G320" i="1"/>
  <c r="J320" i="1"/>
  <c r="K320" i="1"/>
  <c r="BF320" i="1"/>
  <c r="BG320" i="1"/>
  <c r="E6497" i="1"/>
  <c r="G6497" i="1"/>
  <c r="J6497" i="1"/>
  <c r="K6497" i="1"/>
  <c r="BE6497" i="1"/>
  <c r="BF6497" i="1"/>
  <c r="BG6497" i="1"/>
  <c r="E3421" i="1"/>
  <c r="G3421" i="1"/>
  <c r="J3421" i="1"/>
  <c r="K3421" i="1"/>
  <c r="BE3421" i="1"/>
  <c r="BF3421" i="1"/>
  <c r="BG3421" i="1"/>
  <c r="E998" i="1"/>
  <c r="G998" i="1"/>
  <c r="J998" i="1"/>
  <c r="K998" i="1"/>
  <c r="BE998" i="1"/>
  <c r="BF998" i="1"/>
  <c r="BG998" i="1"/>
  <c r="E6498" i="1"/>
  <c r="G6498" i="1"/>
  <c r="J6498" i="1"/>
  <c r="K6498" i="1"/>
  <c r="BE6498" i="1"/>
  <c r="BF6498" i="1"/>
  <c r="BG6498" i="1"/>
  <c r="E670" i="1"/>
  <c r="G670" i="1"/>
  <c r="J670" i="1"/>
  <c r="K670" i="1"/>
  <c r="BE670" i="1"/>
  <c r="BF670" i="1"/>
  <c r="BG670" i="1"/>
  <c r="E3422" i="1"/>
  <c r="G3422" i="1"/>
  <c r="J3422" i="1"/>
  <c r="K3422" i="1"/>
  <c r="BE3422" i="1"/>
  <c r="BF3422" i="1"/>
  <c r="BG3422" i="1"/>
  <c r="E6499" i="1"/>
  <c r="G6499" i="1"/>
  <c r="J6499" i="1"/>
  <c r="K6499" i="1"/>
  <c r="BE6499" i="1"/>
  <c r="BF6499" i="1"/>
  <c r="BG6499" i="1"/>
  <c r="E494" i="1"/>
  <c r="G494" i="1"/>
  <c r="J494" i="1"/>
  <c r="K494" i="1"/>
  <c r="BE494" i="1"/>
  <c r="BF494" i="1"/>
  <c r="BG494" i="1"/>
  <c r="E3361" i="1"/>
  <c r="G3361" i="1"/>
  <c r="J3361" i="1"/>
  <c r="K3361" i="1"/>
  <c r="BE3361" i="1"/>
  <c r="BF3361" i="1"/>
  <c r="BG3361" i="1"/>
  <c r="E6500" i="1"/>
  <c r="G6500" i="1"/>
  <c r="J6500" i="1"/>
  <c r="K6500" i="1"/>
  <c r="BE6500" i="1"/>
  <c r="BF6500" i="1"/>
  <c r="BG6500" i="1"/>
  <c r="E6501" i="1"/>
  <c r="G6501" i="1"/>
  <c r="J6501" i="1"/>
  <c r="K6501" i="1"/>
  <c r="BE6501" i="1"/>
  <c r="BF6501" i="1"/>
  <c r="BG6501" i="1"/>
  <c r="E6502" i="1"/>
  <c r="G6502" i="1"/>
  <c r="J6502" i="1"/>
  <c r="K6502" i="1"/>
  <c r="BE6502" i="1"/>
  <c r="BF6502" i="1"/>
  <c r="BG6502" i="1"/>
  <c r="E105" i="1"/>
  <c r="G105" i="1"/>
  <c r="J105" i="1"/>
  <c r="K105" i="1"/>
  <c r="BE105" i="1"/>
  <c r="BF105" i="1"/>
  <c r="BG105" i="1"/>
  <c r="E3423" i="1"/>
  <c r="G3423" i="1"/>
  <c r="J3423" i="1"/>
  <c r="K3423" i="1"/>
  <c r="BE3423" i="1"/>
  <c r="BF3423" i="1"/>
  <c r="BG3423" i="1"/>
  <c r="E6503" i="1"/>
  <c r="G6503" i="1"/>
  <c r="J6503" i="1"/>
  <c r="K6503" i="1"/>
  <c r="BE6503" i="1"/>
  <c r="BF6503" i="1"/>
  <c r="BG6503" i="1"/>
  <c r="E3424" i="1"/>
  <c r="G3424" i="1"/>
  <c r="J3424" i="1"/>
  <c r="K3424" i="1"/>
  <c r="BE3424" i="1"/>
  <c r="BF3424" i="1"/>
  <c r="BG3424" i="1"/>
  <c r="E6504" i="1"/>
  <c r="G6504" i="1"/>
  <c r="J6504" i="1"/>
  <c r="K6504" i="1"/>
  <c r="BE6504" i="1"/>
  <c r="BF6504" i="1"/>
  <c r="BG6504" i="1"/>
  <c r="E3362" i="1"/>
  <c r="G3362" i="1"/>
  <c r="J3362" i="1"/>
  <c r="K3362" i="1"/>
  <c r="BE3362" i="1"/>
  <c r="BF3362" i="1"/>
  <c r="BG3362" i="1"/>
  <c r="E6505" i="1"/>
  <c r="G6505" i="1"/>
  <c r="J6505" i="1"/>
  <c r="K6505" i="1"/>
  <c r="BE6505" i="1"/>
  <c r="BF6505" i="1"/>
  <c r="BG6505" i="1"/>
  <c r="E3425" i="1"/>
  <c r="G3425" i="1"/>
  <c r="J3425" i="1"/>
  <c r="K3425" i="1"/>
  <c r="BE3425" i="1"/>
  <c r="BF3425" i="1"/>
  <c r="BG3425" i="1"/>
  <c r="E6506" i="1"/>
  <c r="G6506" i="1"/>
  <c r="J6506" i="1"/>
  <c r="K6506" i="1"/>
  <c r="BE6506" i="1"/>
  <c r="BF6506" i="1"/>
  <c r="BG6506" i="1"/>
  <c r="E860" i="1"/>
  <c r="G860" i="1"/>
  <c r="J860" i="1"/>
  <c r="K860" i="1"/>
  <c r="BC860" i="1"/>
  <c r="BE860" i="1"/>
  <c r="BF860" i="1"/>
  <c r="BG860" i="1"/>
  <c r="E3426" i="1"/>
  <c r="G3426" i="1"/>
  <c r="J3426" i="1"/>
  <c r="K3426" i="1"/>
  <c r="BE3426" i="1"/>
  <c r="BF3426" i="1"/>
  <c r="BG3426" i="1"/>
  <c r="E3363" i="1"/>
  <c r="G3363" i="1"/>
  <c r="J3363" i="1"/>
  <c r="K3363" i="1"/>
  <c r="BE3363" i="1"/>
  <c r="BF3363" i="1"/>
  <c r="BG3363" i="1"/>
  <c r="E6507" i="1"/>
  <c r="G6507" i="1"/>
  <c r="J6507" i="1"/>
  <c r="K6507" i="1"/>
  <c r="BE6507" i="1"/>
  <c r="BF6507" i="1"/>
  <c r="BG6507" i="1"/>
  <c r="E3427" i="1"/>
  <c r="G3427" i="1"/>
  <c r="J3427" i="1"/>
  <c r="K3427" i="1"/>
  <c r="BE3427" i="1"/>
  <c r="BF3427" i="1"/>
  <c r="BG3427" i="1"/>
  <c r="E2165" i="1"/>
  <c r="G2165" i="1"/>
  <c r="J2165" i="1"/>
  <c r="K2165" i="1"/>
  <c r="BF2165" i="1"/>
  <c r="BG2165" i="1"/>
  <c r="E621" i="1"/>
  <c r="G621" i="1"/>
  <c r="J621" i="1"/>
  <c r="K621" i="1"/>
  <c r="BE621" i="1"/>
  <c r="BF621" i="1"/>
  <c r="BG621" i="1"/>
  <c r="BH621" i="1"/>
  <c r="E6508" i="1"/>
  <c r="G6508" i="1"/>
  <c r="J6508" i="1"/>
  <c r="K6508" i="1"/>
  <c r="BE6508" i="1"/>
  <c r="BF6508" i="1"/>
  <c r="BG6508" i="1"/>
  <c r="E360" i="1"/>
  <c r="G360" i="1"/>
  <c r="J360" i="1"/>
  <c r="K360" i="1"/>
  <c r="BC360" i="1"/>
  <c r="BE360" i="1"/>
  <c r="BF360" i="1"/>
  <c r="BG360" i="1"/>
  <c r="BH360" i="1"/>
  <c r="E3364" i="1"/>
  <c r="G3364" i="1"/>
  <c r="J3364" i="1"/>
  <c r="K3364" i="1"/>
  <c r="BE3364" i="1"/>
  <c r="BF3364" i="1"/>
  <c r="BG3364" i="1"/>
  <c r="E3428" i="1"/>
  <c r="G3428" i="1"/>
  <c r="J3428" i="1"/>
  <c r="K3428" i="1"/>
  <c r="BE3428" i="1"/>
  <c r="BF3428" i="1"/>
  <c r="BG3428" i="1"/>
  <c r="E6509" i="1"/>
  <c r="G6509" i="1"/>
  <c r="J6509" i="1"/>
  <c r="K6509" i="1"/>
  <c r="BE6509" i="1"/>
  <c r="BF6509" i="1"/>
  <c r="BG6509" i="1"/>
  <c r="E117" i="1"/>
  <c r="G117" i="1"/>
  <c r="J117" i="1"/>
  <c r="K117" i="1"/>
  <c r="BE117" i="1"/>
  <c r="BF117" i="1"/>
  <c r="BG117" i="1"/>
  <c r="E6510" i="1"/>
  <c r="G6510" i="1"/>
  <c r="J6510" i="1"/>
  <c r="K6510" i="1"/>
  <c r="BE6510" i="1"/>
  <c r="BF6510" i="1"/>
  <c r="BG6510" i="1"/>
  <c r="E3429" i="1"/>
  <c r="G3429" i="1"/>
  <c r="J3429" i="1"/>
  <c r="K3429" i="1"/>
  <c r="BE3429" i="1"/>
  <c r="BF3429" i="1"/>
  <c r="BG3429" i="1"/>
  <c r="E49" i="1"/>
  <c r="G49" i="1"/>
  <c r="J49" i="1"/>
  <c r="K49" i="1"/>
  <c r="BF49" i="1"/>
  <c r="BG49" i="1"/>
  <c r="E622" i="1"/>
  <c r="G622" i="1"/>
  <c r="J622" i="1"/>
  <c r="K622" i="1"/>
  <c r="BE622" i="1"/>
  <c r="BF622" i="1"/>
  <c r="BG622" i="1"/>
  <c r="BH622" i="1"/>
  <c r="E2399" i="1"/>
  <c r="G2399" i="1"/>
  <c r="J2399" i="1"/>
  <c r="K2399" i="1"/>
  <c r="BE2399" i="1"/>
  <c r="BF2399" i="1"/>
  <c r="BG2399" i="1"/>
  <c r="E2166" i="1"/>
  <c r="G2166" i="1"/>
  <c r="J2166" i="1"/>
  <c r="K2166" i="1"/>
  <c r="BF2166" i="1"/>
  <c r="BG2166" i="1"/>
  <c r="E6511" i="1"/>
  <c r="G6511" i="1"/>
  <c r="J6511" i="1"/>
  <c r="K6511" i="1"/>
  <c r="BE6511" i="1"/>
  <c r="BF6511" i="1"/>
  <c r="BG6511" i="1"/>
  <c r="E3365" i="1"/>
  <c r="G3365" i="1"/>
  <c r="J3365" i="1"/>
  <c r="K3365" i="1"/>
  <c r="BE3365" i="1"/>
  <c r="BF3365" i="1"/>
  <c r="BG3365" i="1"/>
  <c r="E3430" i="1"/>
  <c r="G3430" i="1"/>
  <c r="J3430" i="1"/>
  <c r="K3430" i="1"/>
  <c r="BE3430" i="1"/>
  <c r="BF3430" i="1"/>
  <c r="BG3430" i="1"/>
  <c r="E2167" i="1"/>
  <c r="G2167" i="1"/>
  <c r="J2167" i="1"/>
  <c r="K2167" i="1"/>
  <c r="BF2167" i="1"/>
  <c r="BG2167" i="1"/>
  <c r="E4190" i="1"/>
  <c r="G4190" i="1"/>
  <c r="J4190" i="1"/>
  <c r="K4190" i="1"/>
  <c r="BE4190" i="1"/>
  <c r="BF4190" i="1"/>
  <c r="BG4190" i="1"/>
  <c r="E6512" i="1"/>
  <c r="G6512" i="1"/>
  <c r="J6512" i="1"/>
  <c r="K6512" i="1"/>
  <c r="BE6512" i="1"/>
  <c r="BF6512" i="1"/>
  <c r="BG6512" i="1"/>
  <c r="E2400" i="1"/>
  <c r="G2400" i="1"/>
  <c r="J2400" i="1"/>
  <c r="K2400" i="1"/>
  <c r="BE2400" i="1"/>
  <c r="BF2400" i="1"/>
  <c r="BG2400" i="1"/>
  <c r="E6513" i="1"/>
  <c r="G6513" i="1"/>
  <c r="J6513" i="1"/>
  <c r="K6513" i="1"/>
  <c r="BE6513" i="1"/>
  <c r="BF6513" i="1"/>
  <c r="BG6513" i="1"/>
  <c r="E3431" i="1"/>
  <c r="G3431" i="1"/>
  <c r="J3431" i="1"/>
  <c r="K3431" i="1"/>
  <c r="BE3431" i="1"/>
  <c r="BF3431" i="1"/>
  <c r="BG3431" i="1"/>
  <c r="E3366" i="1"/>
  <c r="G3366" i="1"/>
  <c r="J3366" i="1"/>
  <c r="K3366" i="1"/>
  <c r="BE3366" i="1"/>
  <c r="BF3366" i="1"/>
  <c r="BG3366" i="1"/>
  <c r="E3467" i="1"/>
  <c r="G3467" i="1"/>
  <c r="J3467" i="1"/>
  <c r="K3467" i="1"/>
  <c r="BE3467" i="1"/>
  <c r="BF3467" i="1"/>
  <c r="BG3467" i="1"/>
  <c r="E6514" i="1"/>
  <c r="G6514" i="1"/>
  <c r="J6514" i="1"/>
  <c r="K6514" i="1"/>
  <c r="BE6514" i="1"/>
  <c r="BF6514" i="1"/>
  <c r="BG6514" i="1"/>
  <c r="E2401" i="1"/>
  <c r="G2401" i="1"/>
  <c r="J2401" i="1"/>
  <c r="K2401" i="1"/>
  <c r="BE2401" i="1"/>
  <c r="BF2401" i="1"/>
  <c r="BG2401" i="1"/>
  <c r="E495" i="1"/>
  <c r="G495" i="1"/>
  <c r="J495" i="1"/>
  <c r="K495" i="1"/>
  <c r="BE495" i="1"/>
  <c r="BF495" i="1"/>
  <c r="BG495" i="1"/>
  <c r="E3432" i="1"/>
  <c r="G3432" i="1"/>
  <c r="J3432" i="1"/>
  <c r="K3432" i="1"/>
  <c r="BE3432" i="1"/>
  <c r="BF3432" i="1"/>
  <c r="BG3432" i="1"/>
  <c r="E6515" i="1"/>
  <c r="G6515" i="1"/>
  <c r="J6515" i="1"/>
  <c r="K6515" i="1"/>
  <c r="BE6515" i="1"/>
  <c r="BF6515" i="1"/>
  <c r="BG6515" i="1"/>
  <c r="E2402" i="1"/>
  <c r="G2402" i="1"/>
  <c r="J2402" i="1"/>
  <c r="K2402" i="1"/>
  <c r="BE2402" i="1"/>
  <c r="BF2402" i="1"/>
  <c r="BG2402" i="1"/>
  <c r="E3433" i="1"/>
  <c r="G3433" i="1"/>
  <c r="J3433" i="1"/>
  <c r="K3433" i="1"/>
  <c r="BE3433" i="1"/>
  <c r="BF3433" i="1"/>
  <c r="BG3433" i="1"/>
  <c r="E3367" i="1"/>
  <c r="G3367" i="1"/>
  <c r="J3367" i="1"/>
  <c r="K3367" i="1"/>
  <c r="BE3367" i="1"/>
  <c r="BF3367" i="1"/>
  <c r="BG3367" i="1"/>
  <c r="E4191" i="1"/>
  <c r="G4191" i="1"/>
  <c r="J4191" i="1"/>
  <c r="K4191" i="1"/>
  <c r="BE4191" i="1"/>
  <c r="BF4191" i="1"/>
  <c r="BG4191" i="1"/>
  <c r="E4192" i="1"/>
  <c r="G4192" i="1"/>
  <c r="J4192" i="1"/>
  <c r="K4192" i="1"/>
  <c r="BE4192" i="1"/>
  <c r="BF4192" i="1"/>
  <c r="BG4192" i="1"/>
  <c r="E4193" i="1"/>
  <c r="G4193" i="1"/>
  <c r="J4193" i="1"/>
  <c r="K4193" i="1"/>
  <c r="BE4193" i="1"/>
  <c r="BF4193" i="1"/>
  <c r="BG4193" i="1"/>
  <c r="E4194" i="1"/>
  <c r="G4194" i="1"/>
  <c r="J4194" i="1"/>
  <c r="K4194" i="1"/>
  <c r="BE4194" i="1"/>
  <c r="BF4194" i="1"/>
  <c r="BG4194" i="1"/>
  <c r="E4195" i="1"/>
  <c r="G4195" i="1"/>
  <c r="J4195" i="1"/>
  <c r="K4195" i="1"/>
  <c r="BE4195" i="1"/>
  <c r="BF4195" i="1"/>
  <c r="BG4195" i="1"/>
  <c r="E4196" i="1"/>
  <c r="G4196" i="1"/>
  <c r="J4196" i="1"/>
  <c r="K4196" i="1"/>
  <c r="BE4196" i="1"/>
  <c r="BF4196" i="1"/>
  <c r="BG4196" i="1"/>
  <c r="E4197" i="1"/>
  <c r="G4197" i="1"/>
  <c r="J4197" i="1"/>
  <c r="K4197" i="1"/>
  <c r="BE4197" i="1"/>
  <c r="BF4197" i="1"/>
  <c r="BG4197" i="1"/>
  <c r="E4198" i="1"/>
  <c r="G4198" i="1"/>
  <c r="J4198" i="1"/>
  <c r="K4198" i="1"/>
  <c r="BE4198" i="1"/>
  <c r="BF4198" i="1"/>
  <c r="BG4198" i="1"/>
  <c r="E4199" i="1"/>
  <c r="G4199" i="1"/>
  <c r="J4199" i="1"/>
  <c r="K4199" i="1"/>
  <c r="BE4199" i="1"/>
  <c r="BF4199" i="1"/>
  <c r="BG4199" i="1"/>
  <c r="E4200" i="1"/>
  <c r="G4200" i="1"/>
  <c r="J4200" i="1"/>
  <c r="K4200" i="1"/>
  <c r="BE4200" i="1"/>
  <c r="BF4200" i="1"/>
  <c r="BG4200" i="1"/>
  <c r="E4201" i="1"/>
  <c r="G4201" i="1"/>
  <c r="J4201" i="1"/>
  <c r="K4201" i="1"/>
  <c r="BE4201" i="1"/>
  <c r="BF4201" i="1"/>
  <c r="BG4201" i="1"/>
  <c r="E4202" i="1"/>
  <c r="G4202" i="1"/>
  <c r="J4202" i="1"/>
  <c r="K4202" i="1"/>
  <c r="BE4202" i="1"/>
  <c r="BF4202" i="1"/>
  <c r="BG4202" i="1"/>
  <c r="E4203" i="1"/>
  <c r="G4203" i="1"/>
  <c r="J4203" i="1"/>
  <c r="K4203" i="1"/>
  <c r="BE4203" i="1"/>
  <c r="BF4203" i="1"/>
  <c r="BG4203" i="1"/>
  <c r="E4204" i="1"/>
  <c r="G4204" i="1"/>
  <c r="J4204" i="1"/>
  <c r="K4204" i="1"/>
  <c r="BE4204" i="1"/>
  <c r="BF4204" i="1"/>
  <c r="BG4204" i="1"/>
  <c r="E4205" i="1"/>
  <c r="G4205" i="1"/>
  <c r="J4205" i="1"/>
  <c r="K4205" i="1"/>
  <c r="BE4205" i="1"/>
  <c r="BF4205" i="1"/>
  <c r="BG4205" i="1"/>
  <c r="E4206" i="1"/>
  <c r="G4206" i="1"/>
  <c r="J4206" i="1"/>
  <c r="K4206" i="1"/>
  <c r="BE4206" i="1"/>
  <c r="BF4206" i="1"/>
  <c r="BG4206" i="1"/>
  <c r="E4207" i="1"/>
  <c r="G4207" i="1"/>
  <c r="J4207" i="1"/>
  <c r="K4207" i="1"/>
  <c r="BE4207" i="1"/>
  <c r="BF4207" i="1"/>
  <c r="BG4207" i="1"/>
  <c r="E4208" i="1"/>
  <c r="G4208" i="1"/>
  <c r="J4208" i="1"/>
  <c r="K4208" i="1"/>
  <c r="BE4208" i="1"/>
  <c r="BF4208" i="1"/>
  <c r="BG4208" i="1"/>
  <c r="E4209" i="1"/>
  <c r="G4209" i="1"/>
  <c r="J4209" i="1"/>
  <c r="K4209" i="1"/>
  <c r="BE4209" i="1"/>
  <c r="BF4209" i="1"/>
  <c r="BG4209" i="1"/>
  <c r="E4210" i="1"/>
  <c r="G4210" i="1"/>
  <c r="J4210" i="1"/>
  <c r="K4210" i="1"/>
  <c r="BE4210" i="1"/>
  <c r="BF4210" i="1"/>
  <c r="BG4210" i="1"/>
  <c r="E4211" i="1"/>
  <c r="G4211" i="1"/>
  <c r="J4211" i="1"/>
  <c r="K4211" i="1"/>
  <c r="BE4211" i="1"/>
  <c r="BF4211" i="1"/>
  <c r="BG4211" i="1"/>
  <c r="E4212" i="1"/>
  <c r="G4212" i="1"/>
  <c r="J4212" i="1"/>
  <c r="K4212" i="1"/>
  <c r="BE4212" i="1"/>
  <c r="BF4212" i="1"/>
  <c r="BG4212" i="1"/>
  <c r="E4213" i="1"/>
  <c r="G4213" i="1"/>
  <c r="J4213" i="1"/>
  <c r="K4213" i="1"/>
  <c r="BE4213" i="1"/>
  <c r="BF4213" i="1"/>
  <c r="BG4213" i="1"/>
  <c r="E4214" i="1"/>
  <c r="G4214" i="1"/>
  <c r="J4214" i="1"/>
  <c r="K4214" i="1"/>
  <c r="BE4214" i="1"/>
  <c r="BF4214" i="1"/>
  <c r="BG4214" i="1"/>
  <c r="E4215" i="1"/>
  <c r="G4215" i="1"/>
  <c r="J4215" i="1"/>
  <c r="K4215" i="1"/>
  <c r="BE4215" i="1"/>
  <c r="BF4215" i="1"/>
  <c r="BG4215" i="1"/>
  <c r="E4216" i="1"/>
  <c r="G4216" i="1"/>
  <c r="J4216" i="1"/>
  <c r="K4216" i="1"/>
  <c r="BE4216" i="1"/>
  <c r="BF4216" i="1"/>
  <c r="BG4216" i="1"/>
  <c r="E4217" i="1"/>
  <c r="G4217" i="1"/>
  <c r="J4217" i="1"/>
  <c r="K4217" i="1"/>
  <c r="BE4217" i="1"/>
  <c r="BF4217" i="1"/>
  <c r="BG4217" i="1"/>
  <c r="E4218" i="1"/>
  <c r="G4218" i="1"/>
  <c r="J4218" i="1"/>
  <c r="K4218" i="1"/>
  <c r="BE4218" i="1"/>
  <c r="BF4218" i="1"/>
  <c r="BG4218" i="1"/>
  <c r="E4219" i="1"/>
  <c r="G4219" i="1"/>
  <c r="J4219" i="1"/>
  <c r="K4219" i="1"/>
  <c r="BE4219" i="1"/>
  <c r="BF4219" i="1"/>
  <c r="BG4219" i="1"/>
  <c r="E4220" i="1"/>
  <c r="G4220" i="1"/>
  <c r="J4220" i="1"/>
  <c r="K4220" i="1"/>
  <c r="BE4220" i="1"/>
  <c r="BF4220" i="1"/>
  <c r="BG4220" i="1"/>
  <c r="E4221" i="1"/>
  <c r="G4221" i="1"/>
  <c r="J4221" i="1"/>
  <c r="K4221" i="1"/>
  <c r="BE4221" i="1"/>
  <c r="BF4221" i="1"/>
  <c r="BG4221" i="1"/>
  <c r="E4222" i="1"/>
  <c r="G4222" i="1"/>
  <c r="J4222" i="1"/>
  <c r="K4222" i="1"/>
  <c r="BE4222" i="1"/>
  <c r="BF4222" i="1"/>
  <c r="BG4222" i="1"/>
  <c r="E4223" i="1"/>
  <c r="G4223" i="1"/>
  <c r="J4223" i="1"/>
  <c r="K4223" i="1"/>
  <c r="BE4223" i="1"/>
  <c r="BF4223" i="1"/>
  <c r="BG4223" i="1"/>
  <c r="E4224" i="1"/>
  <c r="G4224" i="1"/>
  <c r="J4224" i="1"/>
  <c r="K4224" i="1"/>
  <c r="BE4224" i="1"/>
  <c r="BF4224" i="1"/>
  <c r="BG4224" i="1"/>
  <c r="E4225" i="1"/>
  <c r="G4225" i="1"/>
  <c r="J4225" i="1"/>
  <c r="K4225" i="1"/>
  <c r="BE4225" i="1"/>
  <c r="BF4225" i="1"/>
  <c r="BG4225" i="1"/>
  <c r="E4226" i="1"/>
  <c r="G4226" i="1"/>
  <c r="J4226" i="1"/>
  <c r="K4226" i="1"/>
  <c r="BE4226" i="1"/>
  <c r="BF4226" i="1"/>
  <c r="BG4226" i="1"/>
  <c r="E4227" i="1"/>
  <c r="G4227" i="1"/>
  <c r="J4227" i="1"/>
  <c r="K4227" i="1"/>
  <c r="BE4227" i="1"/>
  <c r="BF4227" i="1"/>
  <c r="BG4227" i="1"/>
  <c r="E4228" i="1"/>
  <c r="G4228" i="1"/>
  <c r="J4228" i="1"/>
  <c r="K4228" i="1"/>
  <c r="BE4228" i="1"/>
  <c r="BF4228" i="1"/>
  <c r="BG4228" i="1"/>
  <c r="E4229" i="1"/>
  <c r="G4229" i="1"/>
  <c r="J4229" i="1"/>
  <c r="K4229" i="1"/>
  <c r="BE4229" i="1"/>
  <c r="BF4229" i="1"/>
  <c r="BG4229" i="1"/>
  <c r="E6516" i="1"/>
  <c r="G6516" i="1"/>
  <c r="J6516" i="1"/>
  <c r="K6516" i="1"/>
  <c r="BE6516" i="1"/>
  <c r="BF6516" i="1"/>
  <c r="BG6516" i="1"/>
  <c r="E2403" i="1"/>
  <c r="G2403" i="1"/>
  <c r="J2403" i="1"/>
  <c r="K2403" i="1"/>
  <c r="BE2403" i="1"/>
  <c r="BF2403" i="1"/>
  <c r="BG2403" i="1"/>
  <c r="E4824" i="1"/>
  <c r="G4824" i="1"/>
  <c r="J4824" i="1"/>
  <c r="K4824" i="1"/>
  <c r="BE4824" i="1"/>
  <c r="BF4824" i="1"/>
  <c r="BG4824" i="1"/>
  <c r="E3434" i="1"/>
  <c r="G3434" i="1"/>
  <c r="J3434" i="1"/>
  <c r="K3434" i="1"/>
  <c r="BE3434" i="1"/>
  <c r="BF3434" i="1"/>
  <c r="BG3434" i="1"/>
  <c r="E6517" i="1"/>
  <c r="G6517" i="1"/>
  <c r="J6517" i="1"/>
  <c r="K6517" i="1"/>
  <c r="BE6517" i="1"/>
  <c r="BF6517" i="1"/>
  <c r="BG6517" i="1"/>
  <c r="E1206" i="1"/>
  <c r="G1206" i="1"/>
  <c r="J1206" i="1"/>
  <c r="K1206" i="1"/>
  <c r="BE1206" i="1"/>
  <c r="BF1206" i="1"/>
  <c r="BG1206" i="1"/>
  <c r="E3658" i="1"/>
  <c r="G3658" i="1"/>
  <c r="J3658" i="1"/>
  <c r="K3658" i="1"/>
  <c r="BE3658" i="1"/>
  <c r="BF3658" i="1"/>
  <c r="BG3658" i="1"/>
  <c r="E50" i="1"/>
  <c r="G50" i="1"/>
  <c r="J50" i="1"/>
  <c r="K50" i="1"/>
  <c r="BF50" i="1"/>
  <c r="BG50" i="1"/>
  <c r="E3368" i="1"/>
  <c r="G3368" i="1"/>
  <c r="J3368" i="1"/>
  <c r="K3368" i="1"/>
  <c r="BE3368" i="1"/>
  <c r="BF3368" i="1"/>
  <c r="BG3368" i="1"/>
  <c r="E6794" i="1"/>
  <c r="G6794" i="1"/>
  <c r="J6794" i="1"/>
  <c r="K6794" i="1"/>
  <c r="BE6794" i="1"/>
  <c r="BF6794" i="1"/>
  <c r="BG6794" i="1"/>
  <c r="E2404" i="1"/>
  <c r="G2404" i="1"/>
  <c r="J2404" i="1"/>
  <c r="K2404" i="1"/>
  <c r="BE2404" i="1"/>
  <c r="BF2404" i="1"/>
  <c r="BG2404" i="1"/>
  <c r="E248" i="1"/>
  <c r="G248" i="1"/>
  <c r="J248" i="1"/>
  <c r="K248" i="1"/>
  <c r="BE248" i="1"/>
  <c r="BF248" i="1"/>
  <c r="BG248" i="1"/>
  <c r="E3435" i="1"/>
  <c r="G3435" i="1"/>
  <c r="J3435" i="1"/>
  <c r="K3435" i="1"/>
  <c r="BE3435" i="1"/>
  <c r="BF3435" i="1"/>
  <c r="BG3435" i="1"/>
  <c r="E3659" i="1"/>
  <c r="G3659" i="1"/>
  <c r="J3659" i="1"/>
  <c r="K3659" i="1"/>
  <c r="BE3659" i="1"/>
  <c r="BF3659" i="1"/>
  <c r="BG3659" i="1"/>
  <c r="E623" i="1"/>
  <c r="G623" i="1"/>
  <c r="J623" i="1"/>
  <c r="K623" i="1"/>
  <c r="BE623" i="1"/>
  <c r="BF623" i="1"/>
  <c r="BG623" i="1"/>
  <c r="BH623" i="1"/>
  <c r="E3942" i="1"/>
  <c r="G3942" i="1"/>
  <c r="J3942" i="1"/>
  <c r="K3942" i="1"/>
  <c r="BE3942" i="1"/>
  <c r="BF3942" i="1"/>
  <c r="BG3942" i="1"/>
  <c r="E3943" i="1"/>
  <c r="G3943" i="1"/>
  <c r="J3943" i="1"/>
  <c r="K3943" i="1"/>
  <c r="BE3943" i="1"/>
  <c r="BF3943" i="1"/>
  <c r="BG3943" i="1"/>
  <c r="E3944" i="1"/>
  <c r="G3944" i="1"/>
  <c r="J3944" i="1"/>
  <c r="K3944" i="1"/>
  <c r="BE3944" i="1"/>
  <c r="BF3944" i="1"/>
  <c r="BG3944" i="1"/>
  <c r="E3945" i="1"/>
  <c r="G3945" i="1"/>
  <c r="J3945" i="1"/>
  <c r="K3945" i="1"/>
  <c r="BE3945" i="1"/>
  <c r="BF3945" i="1"/>
  <c r="BG3945" i="1"/>
  <c r="E3946" i="1"/>
  <c r="G3946" i="1"/>
  <c r="J3946" i="1"/>
  <c r="K3946" i="1"/>
  <c r="BE3946" i="1"/>
  <c r="BF3946" i="1"/>
  <c r="BG3946" i="1"/>
  <c r="E3947" i="1"/>
  <c r="G3947" i="1"/>
  <c r="J3947" i="1"/>
  <c r="K3947" i="1"/>
  <c r="BE3947" i="1"/>
  <c r="BF3947" i="1"/>
  <c r="BG3947" i="1"/>
  <c r="E3948" i="1"/>
  <c r="G3948" i="1"/>
  <c r="J3948" i="1"/>
  <c r="K3948" i="1"/>
  <c r="BE3948" i="1"/>
  <c r="BF3948" i="1"/>
  <c r="BG3948" i="1"/>
  <c r="E3949" i="1"/>
  <c r="G3949" i="1"/>
  <c r="J3949" i="1"/>
  <c r="K3949" i="1"/>
  <c r="BE3949" i="1"/>
  <c r="BF3949" i="1"/>
  <c r="BG3949" i="1"/>
  <c r="E3950" i="1"/>
  <c r="G3950" i="1"/>
  <c r="J3950" i="1"/>
  <c r="K3950" i="1"/>
  <c r="BE3950" i="1"/>
  <c r="BF3950" i="1"/>
  <c r="BG3950" i="1"/>
  <c r="E3951" i="1"/>
  <c r="G3951" i="1"/>
  <c r="J3951" i="1"/>
  <c r="K3951" i="1"/>
  <c r="BE3951" i="1"/>
  <c r="BF3951" i="1"/>
  <c r="BG3951" i="1"/>
  <c r="E3952" i="1"/>
  <c r="G3952" i="1"/>
  <c r="J3952" i="1"/>
  <c r="K3952" i="1"/>
  <c r="BE3952" i="1"/>
  <c r="BF3952" i="1"/>
  <c r="BG3952" i="1"/>
  <c r="E3953" i="1"/>
  <c r="G3953" i="1"/>
  <c r="J3953" i="1"/>
  <c r="K3953" i="1"/>
  <c r="BE3953" i="1"/>
  <c r="BF3953" i="1"/>
  <c r="BG3953" i="1"/>
  <c r="E3954" i="1"/>
  <c r="G3954" i="1"/>
  <c r="J3954" i="1"/>
  <c r="K3954" i="1"/>
  <c r="BE3954" i="1"/>
  <c r="BF3954" i="1"/>
  <c r="BG3954" i="1"/>
  <c r="E3955" i="1"/>
  <c r="G3955" i="1"/>
  <c r="J3955" i="1"/>
  <c r="K3955" i="1"/>
  <c r="BE3955" i="1"/>
  <c r="BF3955" i="1"/>
  <c r="BG3955" i="1"/>
  <c r="E3956" i="1"/>
  <c r="G3956" i="1"/>
  <c r="J3956" i="1"/>
  <c r="K3956" i="1"/>
  <c r="BE3956" i="1"/>
  <c r="BF3956" i="1"/>
  <c r="BG3956" i="1"/>
  <c r="E3957" i="1"/>
  <c r="G3957" i="1"/>
  <c r="J3957" i="1"/>
  <c r="K3957" i="1"/>
  <c r="BE3957" i="1"/>
  <c r="BF3957" i="1"/>
  <c r="BG3957" i="1"/>
  <c r="E3958" i="1"/>
  <c r="G3958" i="1"/>
  <c r="J3958" i="1"/>
  <c r="K3958" i="1"/>
  <c r="BE3958" i="1"/>
  <c r="BF3958" i="1"/>
  <c r="BG3958" i="1"/>
  <c r="E3959" i="1"/>
  <c r="G3959" i="1"/>
  <c r="J3959" i="1"/>
  <c r="K3959" i="1"/>
  <c r="BE3959" i="1"/>
  <c r="BF3959" i="1"/>
  <c r="BG3959" i="1"/>
  <c r="E3960" i="1"/>
  <c r="G3960" i="1"/>
  <c r="J3960" i="1"/>
  <c r="K3960" i="1"/>
  <c r="BE3960" i="1"/>
  <c r="BF3960" i="1"/>
  <c r="BG3960" i="1"/>
  <c r="E3961" i="1"/>
  <c r="G3961" i="1"/>
  <c r="J3961" i="1"/>
  <c r="K3961" i="1"/>
  <c r="BE3961" i="1"/>
  <c r="BF3961" i="1"/>
  <c r="BG3961" i="1"/>
  <c r="E3962" i="1"/>
  <c r="G3962" i="1"/>
  <c r="J3962" i="1"/>
  <c r="K3962" i="1"/>
  <c r="BE3962" i="1"/>
  <c r="BF3962" i="1"/>
  <c r="BG3962" i="1"/>
  <c r="E3963" i="1"/>
  <c r="G3963" i="1"/>
  <c r="J3963" i="1"/>
  <c r="K3963" i="1"/>
  <c r="BE3963" i="1"/>
  <c r="BF3963" i="1"/>
  <c r="BG3963" i="1"/>
  <c r="E3964" i="1"/>
  <c r="G3964" i="1"/>
  <c r="J3964" i="1"/>
  <c r="K3964" i="1"/>
  <c r="BE3964" i="1"/>
  <c r="BF3964" i="1"/>
  <c r="BG3964" i="1"/>
  <c r="E3965" i="1"/>
  <c r="G3965" i="1"/>
  <c r="J3965" i="1"/>
  <c r="K3965" i="1"/>
  <c r="BE3965" i="1"/>
  <c r="BF3965" i="1"/>
  <c r="BG3965" i="1"/>
  <c r="E3966" i="1"/>
  <c r="G3966" i="1"/>
  <c r="J3966" i="1"/>
  <c r="K3966" i="1"/>
  <c r="BE3966" i="1"/>
  <c r="BF3966" i="1"/>
  <c r="BG3966" i="1"/>
  <c r="E3967" i="1"/>
  <c r="G3967" i="1"/>
  <c r="J3967" i="1"/>
  <c r="K3967" i="1"/>
  <c r="BE3967" i="1"/>
  <c r="BF3967" i="1"/>
  <c r="BG3967" i="1"/>
  <c r="E3968" i="1"/>
  <c r="G3968" i="1"/>
  <c r="J3968" i="1"/>
  <c r="K3968" i="1"/>
  <c r="BE3968" i="1"/>
  <c r="BF3968" i="1"/>
  <c r="BG3968" i="1"/>
  <c r="E3969" i="1"/>
  <c r="G3969" i="1"/>
  <c r="J3969" i="1"/>
  <c r="K3969" i="1"/>
  <c r="BE3969" i="1"/>
  <c r="BF3969" i="1"/>
  <c r="BG3969" i="1"/>
  <c r="E3970" i="1"/>
  <c r="G3970" i="1"/>
  <c r="J3970" i="1"/>
  <c r="K3970" i="1"/>
  <c r="BE3970" i="1"/>
  <c r="BF3970" i="1"/>
  <c r="BG3970" i="1"/>
  <c r="E3971" i="1"/>
  <c r="G3971" i="1"/>
  <c r="J3971" i="1"/>
  <c r="K3971" i="1"/>
  <c r="BE3971" i="1"/>
  <c r="BF3971" i="1"/>
  <c r="BG3971" i="1"/>
  <c r="E3972" i="1"/>
  <c r="G3972" i="1"/>
  <c r="J3972" i="1"/>
  <c r="K3972" i="1"/>
  <c r="BE3972" i="1"/>
  <c r="BF3972" i="1"/>
  <c r="BG3972" i="1"/>
  <c r="E3973" i="1"/>
  <c r="G3973" i="1"/>
  <c r="J3973" i="1"/>
  <c r="K3973" i="1"/>
  <c r="BE3973" i="1"/>
  <c r="BF3973" i="1"/>
  <c r="BG3973" i="1"/>
  <c r="E3974" i="1"/>
  <c r="G3974" i="1"/>
  <c r="J3974" i="1"/>
  <c r="K3974" i="1"/>
  <c r="BE3974" i="1"/>
  <c r="BF3974" i="1"/>
  <c r="BG3974" i="1"/>
  <c r="E3975" i="1"/>
  <c r="G3975" i="1"/>
  <c r="J3975" i="1"/>
  <c r="K3975" i="1"/>
  <c r="BE3975" i="1"/>
  <c r="BF3975" i="1"/>
  <c r="BG3975" i="1"/>
  <c r="E3976" i="1"/>
  <c r="G3976" i="1"/>
  <c r="J3976" i="1"/>
  <c r="K3976" i="1"/>
  <c r="BE3976" i="1"/>
  <c r="BF3976" i="1"/>
  <c r="BG3976" i="1"/>
  <c r="E3977" i="1"/>
  <c r="G3977" i="1"/>
  <c r="J3977" i="1"/>
  <c r="K3977" i="1"/>
  <c r="BE3977" i="1"/>
  <c r="BF3977" i="1"/>
  <c r="BG3977" i="1"/>
  <c r="E3978" i="1"/>
  <c r="G3978" i="1"/>
  <c r="J3978" i="1"/>
  <c r="K3978" i="1"/>
  <c r="BE3978" i="1"/>
  <c r="BF3978" i="1"/>
  <c r="BG3978" i="1"/>
  <c r="E3979" i="1"/>
  <c r="G3979" i="1"/>
  <c r="J3979" i="1"/>
  <c r="K3979" i="1"/>
  <c r="BE3979" i="1"/>
  <c r="BF3979" i="1"/>
  <c r="BG3979" i="1"/>
  <c r="E3980" i="1"/>
  <c r="G3980" i="1"/>
  <c r="J3980" i="1"/>
  <c r="K3980" i="1"/>
  <c r="BE3980" i="1"/>
  <c r="BF3980" i="1"/>
  <c r="BG3980" i="1"/>
  <c r="E3981" i="1"/>
  <c r="G3981" i="1"/>
  <c r="J3981" i="1"/>
  <c r="K3981" i="1"/>
  <c r="BE3981" i="1"/>
  <c r="BF3981" i="1"/>
  <c r="BG3981" i="1"/>
  <c r="E3982" i="1"/>
  <c r="G3982" i="1"/>
  <c r="J3982" i="1"/>
  <c r="K3982" i="1"/>
  <c r="BE3982" i="1"/>
  <c r="BF3982" i="1"/>
  <c r="BG3982" i="1"/>
  <c r="E3983" i="1"/>
  <c r="G3983" i="1"/>
  <c r="J3983" i="1"/>
  <c r="K3983" i="1"/>
  <c r="BE3983" i="1"/>
  <c r="BF3983" i="1"/>
  <c r="BG3983" i="1"/>
  <c r="E3984" i="1"/>
  <c r="G3984" i="1"/>
  <c r="J3984" i="1"/>
  <c r="K3984" i="1"/>
  <c r="BE3984" i="1"/>
  <c r="BF3984" i="1"/>
  <c r="BG3984" i="1"/>
  <c r="E3985" i="1"/>
  <c r="G3985" i="1"/>
  <c r="J3985" i="1"/>
  <c r="K3985" i="1"/>
  <c r="BE3985" i="1"/>
  <c r="BF3985" i="1"/>
  <c r="BG3985" i="1"/>
  <c r="E3986" i="1"/>
  <c r="G3986" i="1"/>
  <c r="J3986" i="1"/>
  <c r="K3986" i="1"/>
  <c r="BE3986" i="1"/>
  <c r="BF3986" i="1"/>
  <c r="BG3986" i="1"/>
  <c r="E3987" i="1"/>
  <c r="G3987" i="1"/>
  <c r="J3987" i="1"/>
  <c r="K3987" i="1"/>
  <c r="BE3987" i="1"/>
  <c r="BF3987" i="1"/>
  <c r="BG3987" i="1"/>
  <c r="E3988" i="1"/>
  <c r="G3988" i="1"/>
  <c r="J3988" i="1"/>
  <c r="K3988" i="1"/>
  <c r="BE3988" i="1"/>
  <c r="BF3988" i="1"/>
  <c r="BG3988" i="1"/>
  <c r="E3989" i="1"/>
  <c r="G3989" i="1"/>
  <c r="J3989" i="1"/>
  <c r="K3989" i="1"/>
  <c r="BE3989" i="1"/>
  <c r="BF3989" i="1"/>
  <c r="BG3989" i="1"/>
  <c r="E3990" i="1"/>
  <c r="G3990" i="1"/>
  <c r="J3990" i="1"/>
  <c r="K3990" i="1"/>
  <c r="BE3990" i="1"/>
  <c r="BF3990" i="1"/>
  <c r="BG3990" i="1"/>
  <c r="E3991" i="1"/>
  <c r="G3991" i="1"/>
  <c r="J3991" i="1"/>
  <c r="K3991" i="1"/>
  <c r="BE3991" i="1"/>
  <c r="BF3991" i="1"/>
  <c r="BG3991" i="1"/>
  <c r="E3992" i="1"/>
  <c r="G3992" i="1"/>
  <c r="J3992" i="1"/>
  <c r="K3992" i="1"/>
  <c r="BE3992" i="1"/>
  <c r="BF3992" i="1"/>
  <c r="BG3992" i="1"/>
  <c r="E3993" i="1"/>
  <c r="G3993" i="1"/>
  <c r="J3993" i="1"/>
  <c r="K3993" i="1"/>
  <c r="BE3993" i="1"/>
  <c r="BF3993" i="1"/>
  <c r="BG3993" i="1"/>
  <c r="E3994" i="1"/>
  <c r="G3994" i="1"/>
  <c r="J3994" i="1"/>
  <c r="K3994" i="1"/>
  <c r="BE3994" i="1"/>
  <c r="BF3994" i="1"/>
  <c r="BG3994" i="1"/>
  <c r="E3995" i="1"/>
  <c r="G3995" i="1"/>
  <c r="J3995" i="1"/>
  <c r="K3995" i="1"/>
  <c r="BE3995" i="1"/>
  <c r="BF3995" i="1"/>
  <c r="BG3995" i="1"/>
  <c r="E3996" i="1"/>
  <c r="G3996" i="1"/>
  <c r="J3996" i="1"/>
  <c r="K3996" i="1"/>
  <c r="BE3996" i="1"/>
  <c r="BF3996" i="1"/>
  <c r="BG3996" i="1"/>
  <c r="E3997" i="1"/>
  <c r="G3997" i="1"/>
  <c r="J3997" i="1"/>
  <c r="K3997" i="1"/>
  <c r="BE3997" i="1"/>
  <c r="BF3997" i="1"/>
  <c r="BG3997" i="1"/>
  <c r="E3998" i="1"/>
  <c r="G3998" i="1"/>
  <c r="J3998" i="1"/>
  <c r="K3998" i="1"/>
  <c r="BE3998" i="1"/>
  <c r="BF3998" i="1"/>
  <c r="BG3998" i="1"/>
  <c r="E3999" i="1"/>
  <c r="G3999" i="1"/>
  <c r="J3999" i="1"/>
  <c r="K3999" i="1"/>
  <c r="BE3999" i="1"/>
  <c r="BF3999" i="1"/>
  <c r="BG3999" i="1"/>
  <c r="E4000" i="1"/>
  <c r="G4000" i="1"/>
  <c r="J4000" i="1"/>
  <c r="K4000" i="1"/>
  <c r="BE4000" i="1"/>
  <c r="BF4000" i="1"/>
  <c r="BG4000" i="1"/>
  <c r="E4001" i="1"/>
  <c r="G4001" i="1"/>
  <c r="J4001" i="1"/>
  <c r="K4001" i="1"/>
  <c r="BE4001" i="1"/>
  <c r="BF4001" i="1"/>
  <c r="BG4001" i="1"/>
  <c r="E4002" i="1"/>
  <c r="G4002" i="1"/>
  <c r="J4002" i="1"/>
  <c r="K4002" i="1"/>
  <c r="BE4002" i="1"/>
  <c r="BF4002" i="1"/>
  <c r="BG4002" i="1"/>
  <c r="E4003" i="1"/>
  <c r="G4003" i="1"/>
  <c r="J4003" i="1"/>
  <c r="K4003" i="1"/>
  <c r="BE4003" i="1"/>
  <c r="BF4003" i="1"/>
  <c r="BG4003" i="1"/>
  <c r="E4004" i="1"/>
  <c r="G4004" i="1"/>
  <c r="J4004" i="1"/>
  <c r="K4004" i="1"/>
  <c r="BE4004" i="1"/>
  <c r="BF4004" i="1"/>
  <c r="BG4004" i="1"/>
  <c r="E4005" i="1"/>
  <c r="G4005" i="1"/>
  <c r="J4005" i="1"/>
  <c r="K4005" i="1"/>
  <c r="BE4005" i="1"/>
  <c r="BF4005" i="1"/>
  <c r="BG4005" i="1"/>
  <c r="E4006" i="1"/>
  <c r="G4006" i="1"/>
  <c r="J4006" i="1"/>
  <c r="K4006" i="1"/>
  <c r="BE4006" i="1"/>
  <c r="BF4006" i="1"/>
  <c r="BG4006" i="1"/>
  <c r="E4007" i="1"/>
  <c r="G4007" i="1"/>
  <c r="J4007" i="1"/>
  <c r="K4007" i="1"/>
  <c r="BE4007" i="1"/>
  <c r="BF4007" i="1"/>
  <c r="BG4007" i="1"/>
  <c r="E4008" i="1"/>
  <c r="G4008" i="1"/>
  <c r="J4008" i="1"/>
  <c r="K4008" i="1"/>
  <c r="BE4008" i="1"/>
  <c r="BF4008" i="1"/>
  <c r="BG4008" i="1"/>
  <c r="E4009" i="1"/>
  <c r="G4009" i="1"/>
  <c r="J4009" i="1"/>
  <c r="K4009" i="1"/>
  <c r="BE4009" i="1"/>
  <c r="BF4009" i="1"/>
  <c r="BG4009" i="1"/>
  <c r="E4010" i="1"/>
  <c r="G4010" i="1"/>
  <c r="J4010" i="1"/>
  <c r="K4010" i="1"/>
  <c r="BE4010" i="1"/>
  <c r="BF4010" i="1"/>
  <c r="BG4010" i="1"/>
  <c r="E4011" i="1"/>
  <c r="G4011" i="1"/>
  <c r="J4011" i="1"/>
  <c r="K4011" i="1"/>
  <c r="BE4011" i="1"/>
  <c r="BF4011" i="1"/>
  <c r="BG4011" i="1"/>
  <c r="E4012" i="1"/>
  <c r="G4012" i="1"/>
  <c r="J4012" i="1"/>
  <c r="K4012" i="1"/>
  <c r="BE4012" i="1"/>
  <c r="BF4012" i="1"/>
  <c r="BG4012" i="1"/>
  <c r="E4013" i="1"/>
  <c r="G4013" i="1"/>
  <c r="J4013" i="1"/>
  <c r="K4013" i="1"/>
  <c r="BE4013" i="1"/>
  <c r="BF4013" i="1"/>
  <c r="BG4013" i="1"/>
  <c r="E4014" i="1"/>
  <c r="G4014" i="1"/>
  <c r="J4014" i="1"/>
  <c r="K4014" i="1"/>
  <c r="BE4014" i="1"/>
  <c r="BF4014" i="1"/>
  <c r="BG4014" i="1"/>
  <c r="E4015" i="1"/>
  <c r="G4015" i="1"/>
  <c r="J4015" i="1"/>
  <c r="K4015" i="1"/>
  <c r="BE4015" i="1"/>
  <c r="BF4015" i="1"/>
  <c r="BG4015" i="1"/>
  <c r="E4016" i="1"/>
  <c r="G4016" i="1"/>
  <c r="J4016" i="1"/>
  <c r="K4016" i="1"/>
  <c r="BE4016" i="1"/>
  <c r="BF4016" i="1"/>
  <c r="BG4016" i="1"/>
  <c r="E4017" i="1"/>
  <c r="G4017" i="1"/>
  <c r="J4017" i="1"/>
  <c r="K4017" i="1"/>
  <c r="BE4017" i="1"/>
  <c r="BF4017" i="1"/>
  <c r="BG4017" i="1"/>
  <c r="E4018" i="1"/>
  <c r="G4018" i="1"/>
  <c r="J4018" i="1"/>
  <c r="K4018" i="1"/>
  <c r="BE4018" i="1"/>
  <c r="BF4018" i="1"/>
  <c r="BG4018" i="1"/>
  <c r="E4019" i="1"/>
  <c r="G4019" i="1"/>
  <c r="J4019" i="1"/>
  <c r="K4019" i="1"/>
  <c r="BE4019" i="1"/>
  <c r="BF4019" i="1"/>
  <c r="BG4019" i="1"/>
  <c r="E4020" i="1"/>
  <c r="G4020" i="1"/>
  <c r="J4020" i="1"/>
  <c r="K4020" i="1"/>
  <c r="BE4020" i="1"/>
  <c r="BF4020" i="1"/>
  <c r="BG4020" i="1"/>
  <c r="E4021" i="1"/>
  <c r="G4021" i="1"/>
  <c r="J4021" i="1"/>
  <c r="K4021" i="1"/>
  <c r="BE4021" i="1"/>
  <c r="BF4021" i="1"/>
  <c r="BG4021" i="1"/>
  <c r="E4022" i="1"/>
  <c r="G4022" i="1"/>
  <c r="J4022" i="1"/>
  <c r="K4022" i="1"/>
  <c r="BE4022" i="1"/>
  <c r="BF4022" i="1"/>
  <c r="BG4022" i="1"/>
  <c r="E4023" i="1"/>
  <c r="G4023" i="1"/>
  <c r="J4023" i="1"/>
  <c r="K4023" i="1"/>
  <c r="BE4023" i="1"/>
  <c r="BF4023" i="1"/>
  <c r="BG4023" i="1"/>
  <c r="E4024" i="1"/>
  <c r="G4024" i="1"/>
  <c r="J4024" i="1"/>
  <c r="K4024" i="1"/>
  <c r="BE4024" i="1"/>
  <c r="BF4024" i="1"/>
  <c r="BG4024" i="1"/>
  <c r="E4025" i="1"/>
  <c r="G4025" i="1"/>
  <c r="J4025" i="1"/>
  <c r="K4025" i="1"/>
  <c r="BE4025" i="1"/>
  <c r="BF4025" i="1"/>
  <c r="BG4025" i="1"/>
  <c r="E4026" i="1"/>
  <c r="G4026" i="1"/>
  <c r="J4026" i="1"/>
  <c r="K4026" i="1"/>
  <c r="BE4026" i="1"/>
  <c r="BF4026" i="1"/>
  <c r="BG4026" i="1"/>
  <c r="E4027" i="1"/>
  <c r="G4027" i="1"/>
  <c r="J4027" i="1"/>
  <c r="K4027" i="1"/>
  <c r="BE4027" i="1"/>
  <c r="BF4027" i="1"/>
  <c r="BG4027" i="1"/>
  <c r="E4028" i="1"/>
  <c r="G4028" i="1"/>
  <c r="J4028" i="1"/>
  <c r="K4028" i="1"/>
  <c r="BE4028" i="1"/>
  <c r="BF4028" i="1"/>
  <c r="BG4028" i="1"/>
  <c r="E4029" i="1"/>
  <c r="G4029" i="1"/>
  <c r="J4029" i="1"/>
  <c r="K4029" i="1"/>
  <c r="BE4029" i="1"/>
  <c r="BF4029" i="1"/>
  <c r="BG4029" i="1"/>
  <c r="E4030" i="1"/>
  <c r="G4030" i="1"/>
  <c r="J4030" i="1"/>
  <c r="K4030" i="1"/>
  <c r="BE4030" i="1"/>
  <c r="BF4030" i="1"/>
  <c r="BG4030" i="1"/>
  <c r="E4031" i="1"/>
  <c r="G4031" i="1"/>
  <c r="J4031" i="1"/>
  <c r="K4031" i="1"/>
  <c r="BE4031" i="1"/>
  <c r="BF4031" i="1"/>
  <c r="BG4031" i="1"/>
  <c r="E4032" i="1"/>
  <c r="G4032" i="1"/>
  <c r="J4032" i="1"/>
  <c r="K4032" i="1"/>
  <c r="BE4032" i="1"/>
  <c r="BF4032" i="1"/>
  <c r="BG4032" i="1"/>
  <c r="E4033" i="1"/>
  <c r="G4033" i="1"/>
  <c r="J4033" i="1"/>
  <c r="K4033" i="1"/>
  <c r="BE4033" i="1"/>
  <c r="BF4033" i="1"/>
  <c r="BG4033" i="1"/>
  <c r="E4034" i="1"/>
  <c r="G4034" i="1"/>
  <c r="J4034" i="1"/>
  <c r="K4034" i="1"/>
  <c r="BE4034" i="1"/>
  <c r="BF4034" i="1"/>
  <c r="BG4034" i="1"/>
  <c r="E4035" i="1"/>
  <c r="G4035" i="1"/>
  <c r="J4035" i="1"/>
  <c r="K4035" i="1"/>
  <c r="BE4035" i="1"/>
  <c r="BF4035" i="1"/>
  <c r="BG4035" i="1"/>
  <c r="E4036" i="1"/>
  <c r="G4036" i="1"/>
  <c r="J4036" i="1"/>
  <c r="K4036" i="1"/>
  <c r="BE4036" i="1"/>
  <c r="BF4036" i="1"/>
  <c r="BG4036" i="1"/>
  <c r="E4037" i="1"/>
  <c r="G4037" i="1"/>
  <c r="J4037" i="1"/>
  <c r="K4037" i="1"/>
  <c r="BE4037" i="1"/>
  <c r="BF4037" i="1"/>
  <c r="BG4037" i="1"/>
  <c r="E4038" i="1"/>
  <c r="G4038" i="1"/>
  <c r="J4038" i="1"/>
  <c r="K4038" i="1"/>
  <c r="BE4038" i="1"/>
  <c r="BF4038" i="1"/>
  <c r="BG4038" i="1"/>
  <c r="E4039" i="1"/>
  <c r="G4039" i="1"/>
  <c r="J4039" i="1"/>
  <c r="K4039" i="1"/>
  <c r="BE4039" i="1"/>
  <c r="BF4039" i="1"/>
  <c r="BG4039" i="1"/>
  <c r="E4040" i="1"/>
  <c r="G4040" i="1"/>
  <c r="J4040" i="1"/>
  <c r="K4040" i="1"/>
  <c r="BE4040" i="1"/>
  <c r="BF4040" i="1"/>
  <c r="BG4040" i="1"/>
  <c r="E4041" i="1"/>
  <c r="G4041" i="1"/>
  <c r="J4041" i="1"/>
  <c r="K4041" i="1"/>
  <c r="BE4041" i="1"/>
  <c r="BF4041" i="1"/>
  <c r="BG4041" i="1"/>
  <c r="E4042" i="1"/>
  <c r="G4042" i="1"/>
  <c r="J4042" i="1"/>
  <c r="K4042" i="1"/>
  <c r="BE4042" i="1"/>
  <c r="BF4042" i="1"/>
  <c r="BG4042" i="1"/>
  <c r="E4043" i="1"/>
  <c r="G4043" i="1"/>
  <c r="J4043" i="1"/>
  <c r="K4043" i="1"/>
  <c r="BE4043" i="1"/>
  <c r="BF4043" i="1"/>
  <c r="BG4043" i="1"/>
  <c r="E4044" i="1"/>
  <c r="G4044" i="1"/>
  <c r="J4044" i="1"/>
  <c r="K4044" i="1"/>
  <c r="BE4044" i="1"/>
  <c r="BF4044" i="1"/>
  <c r="BG4044" i="1"/>
  <c r="E4045" i="1"/>
  <c r="G4045" i="1"/>
  <c r="J4045" i="1"/>
  <c r="K4045" i="1"/>
  <c r="BE4045" i="1"/>
  <c r="BF4045" i="1"/>
  <c r="BG4045" i="1"/>
  <c r="E4046" i="1"/>
  <c r="G4046" i="1"/>
  <c r="J4046" i="1"/>
  <c r="K4046" i="1"/>
  <c r="BE4046" i="1"/>
  <c r="BF4046" i="1"/>
  <c r="BG4046" i="1"/>
  <c r="E4047" i="1"/>
  <c r="G4047" i="1"/>
  <c r="J4047" i="1"/>
  <c r="K4047" i="1"/>
  <c r="BE4047" i="1"/>
  <c r="BF4047" i="1"/>
  <c r="BG4047" i="1"/>
  <c r="E4048" i="1"/>
  <c r="G4048" i="1"/>
  <c r="J4048" i="1"/>
  <c r="K4048" i="1"/>
  <c r="BE4048" i="1"/>
  <c r="BF4048" i="1"/>
  <c r="BG4048" i="1"/>
  <c r="E4049" i="1"/>
  <c r="G4049" i="1"/>
  <c r="J4049" i="1"/>
  <c r="K4049" i="1"/>
  <c r="BE4049" i="1"/>
  <c r="BF4049" i="1"/>
  <c r="BG4049" i="1"/>
  <c r="E4050" i="1"/>
  <c r="G4050" i="1"/>
  <c r="J4050" i="1"/>
  <c r="K4050" i="1"/>
  <c r="BE4050" i="1"/>
  <c r="BF4050" i="1"/>
  <c r="BG4050" i="1"/>
  <c r="E4051" i="1"/>
  <c r="G4051" i="1"/>
  <c r="J4051" i="1"/>
  <c r="K4051" i="1"/>
  <c r="BE4051" i="1"/>
  <c r="BF4051" i="1"/>
  <c r="BG4051" i="1"/>
  <c r="E4052" i="1"/>
  <c r="G4052" i="1"/>
  <c r="J4052" i="1"/>
  <c r="K4052" i="1"/>
  <c r="BE4052" i="1"/>
  <c r="BF4052" i="1"/>
  <c r="BG4052" i="1"/>
  <c r="E4053" i="1"/>
  <c r="G4053" i="1"/>
  <c r="J4053" i="1"/>
  <c r="K4053" i="1"/>
  <c r="BE4053" i="1"/>
  <c r="BF4053" i="1"/>
  <c r="BG4053" i="1"/>
  <c r="E4054" i="1"/>
  <c r="G4054" i="1"/>
  <c r="J4054" i="1"/>
  <c r="K4054" i="1"/>
  <c r="BE4054" i="1"/>
  <c r="BF4054" i="1"/>
  <c r="BG4054" i="1"/>
  <c r="E2942" i="1"/>
  <c r="G2942" i="1"/>
  <c r="J2942" i="1"/>
  <c r="K2942" i="1"/>
  <c r="BE2942" i="1"/>
  <c r="BF2942" i="1"/>
  <c r="BG2942" i="1"/>
  <c r="E2405" i="1"/>
  <c r="G2405" i="1"/>
  <c r="J2405" i="1"/>
  <c r="K2405" i="1"/>
  <c r="BE2405" i="1"/>
  <c r="BF2405" i="1"/>
  <c r="BG2405" i="1"/>
  <c r="E3660" i="1"/>
  <c r="G3660" i="1"/>
  <c r="J3660" i="1"/>
  <c r="K3660" i="1"/>
  <c r="BE3660" i="1"/>
  <c r="BF3660" i="1"/>
  <c r="BG3660" i="1"/>
  <c r="E3369" i="1"/>
  <c r="G3369" i="1"/>
  <c r="J3369" i="1"/>
  <c r="K3369" i="1"/>
  <c r="BE3369" i="1"/>
  <c r="BF3369" i="1"/>
  <c r="BG3369" i="1"/>
  <c r="E3436" i="1"/>
  <c r="G3436" i="1"/>
  <c r="J3436" i="1"/>
  <c r="K3436" i="1"/>
  <c r="BE3436" i="1"/>
  <c r="BF3436" i="1"/>
  <c r="BG3436" i="1"/>
  <c r="E4825" i="1"/>
  <c r="G4825" i="1"/>
  <c r="J4825" i="1"/>
  <c r="K4825" i="1"/>
  <c r="BE4825" i="1"/>
  <c r="BF4825" i="1"/>
  <c r="BG4825" i="1"/>
  <c r="E2406" i="1"/>
  <c r="G2406" i="1"/>
  <c r="J2406" i="1"/>
  <c r="K2406" i="1"/>
  <c r="BE2406" i="1"/>
  <c r="BF2406" i="1"/>
  <c r="BG2406" i="1"/>
  <c r="E6627" i="1"/>
  <c r="G6627" i="1"/>
  <c r="J6627" i="1"/>
  <c r="K6627" i="1"/>
  <c r="BE6627" i="1"/>
  <c r="BF6627" i="1"/>
  <c r="BG6627" i="1"/>
  <c r="E3661" i="1"/>
  <c r="G3661" i="1"/>
  <c r="J3661" i="1"/>
  <c r="K3661" i="1"/>
  <c r="BE3661" i="1"/>
  <c r="BF3661" i="1"/>
  <c r="BG3661" i="1"/>
  <c r="E2407" i="1"/>
  <c r="G2407" i="1"/>
  <c r="J2407" i="1"/>
  <c r="K2407" i="1"/>
  <c r="BE2407" i="1"/>
  <c r="BF2407" i="1"/>
  <c r="BG2407" i="1"/>
  <c r="E3437" i="1"/>
  <c r="G3437" i="1"/>
  <c r="J3437" i="1"/>
  <c r="K3437" i="1"/>
  <c r="BE3437" i="1"/>
  <c r="BF3437" i="1"/>
  <c r="BG3437" i="1"/>
  <c r="E999" i="1"/>
  <c r="G999" i="1"/>
  <c r="J999" i="1"/>
  <c r="K999" i="1"/>
  <c r="BE999" i="1"/>
  <c r="BF999" i="1"/>
  <c r="BG999" i="1"/>
  <c r="E201" i="1"/>
  <c r="G201" i="1"/>
  <c r="J201" i="1"/>
  <c r="K201" i="1"/>
  <c r="BE201" i="1"/>
  <c r="BF201" i="1"/>
  <c r="BG201" i="1"/>
  <c r="E3662" i="1"/>
  <c r="G3662" i="1"/>
  <c r="J3662" i="1"/>
  <c r="K3662" i="1"/>
  <c r="BE3662" i="1"/>
  <c r="BF3662" i="1"/>
  <c r="BG3662" i="1"/>
  <c r="E2408" i="1"/>
  <c r="G2408" i="1"/>
  <c r="J2408" i="1"/>
  <c r="K2408" i="1"/>
  <c r="BE2408" i="1"/>
  <c r="BF2408" i="1"/>
  <c r="BG2408" i="1"/>
  <c r="E3370" i="1"/>
  <c r="G3370" i="1"/>
  <c r="J3370" i="1"/>
  <c r="K3370" i="1"/>
  <c r="BE3370" i="1"/>
  <c r="BF3370" i="1"/>
  <c r="BG3370" i="1"/>
  <c r="E1000" i="1"/>
  <c r="G1000" i="1"/>
  <c r="J1000" i="1"/>
  <c r="K1000" i="1"/>
  <c r="BE1000" i="1"/>
  <c r="BF1000" i="1"/>
  <c r="BG1000" i="1"/>
  <c r="E3438" i="1"/>
  <c r="G3438" i="1"/>
  <c r="J3438" i="1"/>
  <c r="K3438" i="1"/>
  <c r="BE3438" i="1"/>
  <c r="BF3438" i="1"/>
  <c r="BG3438" i="1"/>
  <c r="E3663" i="1"/>
  <c r="G3663" i="1"/>
  <c r="J3663" i="1"/>
  <c r="K3663" i="1"/>
  <c r="BE3663" i="1"/>
  <c r="BF3663" i="1"/>
  <c r="BG3663" i="1"/>
  <c r="E4826" i="1"/>
  <c r="G4826" i="1"/>
  <c r="J4826" i="1"/>
  <c r="K4826" i="1"/>
  <c r="BE4826" i="1"/>
  <c r="BF4826" i="1"/>
  <c r="BG4826" i="1"/>
  <c r="E1001" i="1"/>
  <c r="G1001" i="1"/>
  <c r="J1001" i="1"/>
  <c r="K1001" i="1"/>
  <c r="BE1001" i="1"/>
  <c r="BF1001" i="1"/>
  <c r="BG1001" i="1"/>
  <c r="E2409" i="1"/>
  <c r="G2409" i="1"/>
  <c r="J2409" i="1"/>
  <c r="K2409" i="1"/>
  <c r="BE2409" i="1"/>
  <c r="BF2409" i="1"/>
  <c r="BG2409" i="1"/>
  <c r="E2168" i="1"/>
  <c r="G2168" i="1"/>
  <c r="J2168" i="1"/>
  <c r="K2168" i="1"/>
  <c r="BF2168" i="1"/>
  <c r="BG2168" i="1"/>
  <c r="E6891" i="1"/>
  <c r="G6891" i="1"/>
  <c r="J6891" i="1"/>
  <c r="BE6891" i="1"/>
  <c r="BF6891" i="1"/>
  <c r="BG6891" i="1"/>
  <c r="E3439" i="1"/>
  <c r="G3439" i="1"/>
  <c r="J3439" i="1"/>
  <c r="K3439" i="1"/>
  <c r="BE3439" i="1"/>
  <c r="BF3439" i="1"/>
  <c r="BG3439" i="1"/>
  <c r="E1002" i="1"/>
  <c r="G1002" i="1"/>
  <c r="J1002" i="1"/>
  <c r="K1002" i="1"/>
  <c r="BE1002" i="1"/>
  <c r="BF1002" i="1"/>
  <c r="BG1002" i="1"/>
  <c r="E2410" i="1"/>
  <c r="G2410" i="1"/>
  <c r="J2410" i="1"/>
  <c r="K2410" i="1"/>
  <c r="BE2410" i="1"/>
  <c r="BF2410" i="1"/>
  <c r="BG2410" i="1"/>
  <c r="E4272" i="1"/>
  <c r="G4272" i="1"/>
  <c r="J4272" i="1"/>
  <c r="K4272" i="1"/>
  <c r="BE4272" i="1"/>
  <c r="BF4272" i="1"/>
  <c r="BG4272" i="1"/>
  <c r="E5827" i="1"/>
  <c r="G5827" i="1"/>
  <c r="J5827" i="1"/>
  <c r="K5827" i="1"/>
  <c r="BE5827" i="1"/>
  <c r="BF5827" i="1"/>
  <c r="BG5827" i="1"/>
  <c r="E3440" i="1"/>
  <c r="G3440" i="1"/>
  <c r="J3440" i="1"/>
  <c r="K3440" i="1"/>
  <c r="BE3440" i="1"/>
  <c r="BF3440" i="1"/>
  <c r="BG3440" i="1"/>
  <c r="E5828" i="1"/>
  <c r="G5828" i="1"/>
  <c r="J5828" i="1"/>
  <c r="K5828" i="1"/>
  <c r="BE5828" i="1"/>
  <c r="BF5828" i="1"/>
  <c r="BG5828" i="1"/>
  <c r="E5829" i="1"/>
  <c r="G5829" i="1"/>
  <c r="J5829" i="1"/>
  <c r="K5829" i="1"/>
  <c r="BE5829" i="1"/>
  <c r="BF5829" i="1"/>
  <c r="BG5829" i="1"/>
  <c r="E5830" i="1"/>
  <c r="G5830" i="1"/>
  <c r="J5830" i="1"/>
  <c r="K5830" i="1"/>
  <c r="BE5830" i="1"/>
  <c r="BF5830" i="1"/>
  <c r="BG5830" i="1"/>
  <c r="E5831" i="1"/>
  <c r="G5831" i="1"/>
  <c r="J5831" i="1"/>
  <c r="K5831" i="1"/>
  <c r="BE5831" i="1"/>
  <c r="BF5831" i="1"/>
  <c r="BG5831" i="1"/>
  <c r="E5832" i="1"/>
  <c r="G5832" i="1"/>
  <c r="J5832" i="1"/>
  <c r="K5832" i="1"/>
  <c r="BE5832" i="1"/>
  <c r="BF5832" i="1"/>
  <c r="BG5832" i="1"/>
  <c r="E137" i="1"/>
  <c r="G137" i="1"/>
  <c r="J137" i="1"/>
  <c r="K137" i="1"/>
  <c r="BC137" i="1"/>
  <c r="BE137" i="1"/>
  <c r="BG137" i="1"/>
  <c r="E1003" i="1"/>
  <c r="G1003" i="1"/>
  <c r="J1003" i="1"/>
  <c r="K1003" i="1"/>
  <c r="BE1003" i="1"/>
  <c r="BF1003" i="1"/>
  <c r="BG1003" i="1"/>
  <c r="E2169" i="1"/>
  <c r="G2169" i="1"/>
  <c r="J2169" i="1"/>
  <c r="K2169" i="1"/>
  <c r="BF2169" i="1"/>
  <c r="BG2169" i="1"/>
  <c r="E184" i="1"/>
  <c r="G184" i="1"/>
  <c r="J184" i="1"/>
  <c r="K184" i="1"/>
  <c r="BE184" i="1"/>
  <c r="BF184" i="1"/>
  <c r="BG184" i="1"/>
  <c r="E2170" i="1"/>
  <c r="G2170" i="1"/>
  <c r="J2170" i="1"/>
  <c r="K2170" i="1"/>
  <c r="BF2170" i="1"/>
  <c r="BG2170" i="1"/>
  <c r="E321" i="1"/>
  <c r="G321" i="1"/>
  <c r="J321" i="1"/>
  <c r="K321" i="1"/>
  <c r="BF321" i="1"/>
  <c r="BG321" i="1"/>
  <c r="E2411" i="1"/>
  <c r="G2411" i="1"/>
  <c r="J2411" i="1"/>
  <c r="K2411" i="1"/>
  <c r="BE2411" i="1"/>
  <c r="BF2411" i="1"/>
  <c r="BG2411" i="1"/>
  <c r="E3441" i="1"/>
  <c r="G3441" i="1"/>
  <c r="J3441" i="1"/>
  <c r="K3441" i="1"/>
  <c r="BE3441" i="1"/>
  <c r="BF3441" i="1"/>
  <c r="BG3441" i="1"/>
  <c r="E6628" i="1"/>
  <c r="G6628" i="1"/>
  <c r="J6628" i="1"/>
  <c r="K6628" i="1"/>
  <c r="BE6628" i="1"/>
  <c r="BF6628" i="1"/>
  <c r="BG6628" i="1"/>
  <c r="E624" i="1"/>
  <c r="G624" i="1"/>
  <c r="J624" i="1"/>
  <c r="K624" i="1"/>
  <c r="BE624" i="1"/>
  <c r="BF624" i="1"/>
  <c r="BG624" i="1"/>
  <c r="BH624" i="1"/>
  <c r="E1004" i="1"/>
  <c r="G1004" i="1"/>
  <c r="J1004" i="1"/>
  <c r="K1004" i="1"/>
  <c r="BE1004" i="1"/>
  <c r="BF1004" i="1"/>
  <c r="BG1004" i="1"/>
  <c r="E6795" i="1"/>
  <c r="G6795" i="1"/>
  <c r="J6795" i="1"/>
  <c r="K6795" i="1"/>
  <c r="BE6795" i="1"/>
  <c r="BF6795" i="1"/>
  <c r="BG6795" i="1"/>
  <c r="E448" i="1"/>
  <c r="G448" i="1"/>
  <c r="J448" i="1"/>
  <c r="K448" i="1"/>
  <c r="BF448" i="1"/>
  <c r="BG448" i="1"/>
  <c r="E449" i="1"/>
  <c r="G449" i="1"/>
  <c r="J449" i="1"/>
  <c r="K449" i="1"/>
  <c r="BF449" i="1"/>
  <c r="BG449" i="1"/>
  <c r="E123" i="1"/>
  <c r="G123" i="1"/>
  <c r="J123" i="1"/>
  <c r="K123" i="1"/>
  <c r="BC123" i="1"/>
  <c r="BE123" i="1"/>
  <c r="BF123" i="1"/>
  <c r="BG123" i="1"/>
  <c r="E2494" i="1"/>
  <c r="G2494" i="1"/>
  <c r="J2494" i="1"/>
  <c r="K2494" i="1"/>
  <c r="BE2494" i="1"/>
  <c r="BF2494" i="1"/>
  <c r="BG2494" i="1"/>
  <c r="E178" i="1"/>
  <c r="G178" i="1"/>
  <c r="J178" i="1"/>
  <c r="K178" i="1"/>
  <c r="BF178" i="1"/>
  <c r="BG178" i="1"/>
  <c r="E1005" i="1"/>
  <c r="G1005" i="1"/>
  <c r="J1005" i="1"/>
  <c r="K1005" i="1"/>
  <c r="BE1005" i="1"/>
  <c r="BF1005" i="1"/>
  <c r="BG1005" i="1"/>
  <c r="E3442" i="1"/>
  <c r="G3442" i="1"/>
  <c r="J3442" i="1"/>
  <c r="K3442" i="1"/>
  <c r="BE3442" i="1"/>
  <c r="BF3442" i="1"/>
  <c r="BG3442" i="1"/>
  <c r="E6796" i="1"/>
  <c r="G6796" i="1"/>
  <c r="J6796" i="1"/>
  <c r="K6796" i="1"/>
  <c r="BE6796" i="1"/>
  <c r="BF6796" i="1"/>
  <c r="BG6796" i="1"/>
  <c r="E2171" i="1"/>
  <c r="G2171" i="1"/>
  <c r="J2171" i="1"/>
  <c r="K2171" i="1"/>
  <c r="BF2171" i="1"/>
  <c r="BG2171" i="1"/>
  <c r="E1006" i="1"/>
  <c r="G1006" i="1"/>
  <c r="J1006" i="1"/>
  <c r="K1006" i="1"/>
  <c r="BE1006" i="1"/>
  <c r="BF1006" i="1"/>
  <c r="BG1006" i="1"/>
  <c r="E2172" i="1"/>
  <c r="G2172" i="1"/>
  <c r="J2172" i="1"/>
  <c r="K2172" i="1"/>
  <c r="BF2172" i="1"/>
  <c r="BG2172" i="1"/>
  <c r="E2173" i="1"/>
  <c r="G2173" i="1"/>
  <c r="J2173" i="1"/>
  <c r="K2173" i="1"/>
  <c r="BF2173" i="1"/>
  <c r="BG2173" i="1"/>
  <c r="E2174" i="1"/>
  <c r="G2174" i="1"/>
  <c r="J2174" i="1"/>
  <c r="K2174" i="1"/>
  <c r="BF2174" i="1"/>
  <c r="BG2174" i="1"/>
  <c r="E3443" i="1"/>
  <c r="G3443" i="1"/>
  <c r="J3443" i="1"/>
  <c r="K3443" i="1"/>
  <c r="BE3443" i="1"/>
  <c r="BF3443" i="1"/>
  <c r="BG3443" i="1"/>
  <c r="E1007" i="1"/>
  <c r="G1007" i="1"/>
  <c r="J1007" i="1"/>
  <c r="K1007" i="1"/>
  <c r="BE1007" i="1"/>
  <c r="BF1007" i="1"/>
  <c r="BG1007" i="1"/>
  <c r="E6797" i="1"/>
  <c r="G6797" i="1"/>
  <c r="J6797" i="1"/>
  <c r="K6797" i="1"/>
  <c r="BE6797" i="1"/>
  <c r="BF6797" i="1"/>
  <c r="BG6797" i="1"/>
  <c r="E4055" i="1"/>
  <c r="G4055" i="1"/>
  <c r="J4055" i="1"/>
  <c r="K4055" i="1"/>
  <c r="BE4055" i="1"/>
  <c r="BF4055" i="1"/>
  <c r="BG4055" i="1"/>
  <c r="E6629" i="1"/>
  <c r="G6629" i="1"/>
  <c r="J6629" i="1"/>
  <c r="K6629" i="1"/>
  <c r="BE6629" i="1"/>
  <c r="BF6629" i="1"/>
  <c r="BG6629" i="1"/>
  <c r="E2412" i="1"/>
  <c r="G2412" i="1"/>
  <c r="J2412" i="1"/>
  <c r="K2412" i="1"/>
  <c r="BE2412" i="1"/>
  <c r="BF2412" i="1"/>
  <c r="BG2412" i="1"/>
  <c r="E4056" i="1"/>
  <c r="G4056" i="1"/>
  <c r="J4056" i="1"/>
  <c r="K4056" i="1"/>
  <c r="BE4056" i="1"/>
  <c r="BF4056" i="1"/>
  <c r="BG4056" i="1"/>
  <c r="E5833" i="1"/>
  <c r="G5833" i="1"/>
  <c r="J5833" i="1"/>
  <c r="K5833" i="1"/>
  <c r="BE5833" i="1"/>
  <c r="BF5833" i="1"/>
  <c r="BG5833" i="1"/>
  <c r="E3444" i="1"/>
  <c r="G3444" i="1"/>
  <c r="J3444" i="1"/>
  <c r="K3444" i="1"/>
  <c r="BE3444" i="1"/>
  <c r="BF3444" i="1"/>
  <c r="BG3444" i="1"/>
  <c r="E3371" i="1"/>
  <c r="G3371" i="1"/>
  <c r="J3371" i="1"/>
  <c r="K3371" i="1"/>
  <c r="BE3371" i="1"/>
  <c r="BF3371" i="1"/>
  <c r="BG3371" i="1"/>
  <c r="E2413" i="1"/>
  <c r="G2413" i="1"/>
  <c r="J2413" i="1"/>
  <c r="K2413" i="1"/>
  <c r="BE2413" i="1"/>
  <c r="BF2413" i="1"/>
  <c r="BG2413" i="1"/>
  <c r="E5834" i="1"/>
  <c r="G5834" i="1"/>
  <c r="J5834" i="1"/>
  <c r="K5834" i="1"/>
  <c r="BE5834" i="1"/>
  <c r="BF5834" i="1"/>
  <c r="BG5834" i="1"/>
  <c r="E179" i="1"/>
  <c r="G179" i="1"/>
  <c r="J179" i="1"/>
  <c r="K179" i="1"/>
  <c r="BF179" i="1"/>
  <c r="BG179" i="1"/>
  <c r="E625" i="1"/>
  <c r="G625" i="1"/>
  <c r="J625" i="1"/>
  <c r="K625" i="1"/>
  <c r="BE625" i="1"/>
  <c r="BF625" i="1"/>
  <c r="BG625" i="1"/>
  <c r="BH625" i="1"/>
  <c r="E2943" i="1"/>
  <c r="G2943" i="1"/>
  <c r="J2943" i="1"/>
  <c r="K2943" i="1"/>
  <c r="BE2943" i="1"/>
  <c r="BF2943" i="1"/>
  <c r="BG2943" i="1"/>
  <c r="E1008" i="1"/>
  <c r="G1008" i="1"/>
  <c r="J1008" i="1"/>
  <c r="K1008" i="1"/>
  <c r="BE1008" i="1"/>
  <c r="BF1008" i="1"/>
  <c r="BG1008" i="1"/>
  <c r="E2414" i="1"/>
  <c r="G2414" i="1"/>
  <c r="J2414" i="1"/>
  <c r="K2414" i="1"/>
  <c r="BE2414" i="1"/>
  <c r="BF2414" i="1"/>
  <c r="BG2414" i="1"/>
  <c r="E6798" i="1"/>
  <c r="G6798" i="1"/>
  <c r="J6798" i="1"/>
  <c r="K6798" i="1"/>
  <c r="BE6798" i="1"/>
  <c r="BF6798" i="1"/>
  <c r="BG6798" i="1"/>
  <c r="E3445" i="1"/>
  <c r="G3445" i="1"/>
  <c r="J3445" i="1"/>
  <c r="K3445" i="1"/>
  <c r="BE3445" i="1"/>
  <c r="BF3445" i="1"/>
  <c r="BG3445" i="1"/>
  <c r="E569" i="1"/>
  <c r="G569" i="1"/>
  <c r="J569" i="1"/>
  <c r="K569" i="1"/>
  <c r="BE569" i="1"/>
  <c r="BF569" i="1"/>
  <c r="BG569" i="1"/>
  <c r="E2415" i="1"/>
  <c r="G2415" i="1"/>
  <c r="J2415" i="1"/>
  <c r="K2415" i="1"/>
  <c r="BE2415" i="1"/>
  <c r="BF2415" i="1"/>
  <c r="BG2415" i="1"/>
  <c r="E2175" i="1"/>
  <c r="G2175" i="1"/>
  <c r="J2175" i="1"/>
  <c r="K2175" i="1"/>
  <c r="BF2175" i="1"/>
  <c r="BG2175" i="1"/>
  <c r="E2416" i="1"/>
  <c r="G2416" i="1"/>
  <c r="J2416" i="1"/>
  <c r="K2416" i="1"/>
  <c r="BE2416" i="1"/>
  <c r="BF2416" i="1"/>
  <c r="BG2416" i="1"/>
  <c r="E3372" i="1"/>
  <c r="G3372" i="1"/>
  <c r="J3372" i="1"/>
  <c r="K3372" i="1"/>
  <c r="BE3372" i="1"/>
  <c r="BF3372" i="1"/>
  <c r="BG3372" i="1"/>
  <c r="E6630" i="1"/>
  <c r="G6630" i="1"/>
  <c r="J6630" i="1"/>
  <c r="K6630" i="1"/>
  <c r="BE6630" i="1"/>
  <c r="BF6630" i="1"/>
  <c r="BG6630" i="1"/>
  <c r="E2176" i="1"/>
  <c r="G2176" i="1"/>
  <c r="J2176" i="1"/>
  <c r="K2176" i="1"/>
  <c r="BF2176" i="1"/>
  <c r="BG2176" i="1"/>
  <c r="E6799" i="1"/>
  <c r="G6799" i="1"/>
  <c r="J6799" i="1"/>
  <c r="K6799" i="1"/>
  <c r="BE6799" i="1"/>
  <c r="BF6799" i="1"/>
  <c r="BG6799" i="1"/>
  <c r="E3446" i="1"/>
  <c r="G3446" i="1"/>
  <c r="J3446" i="1"/>
  <c r="K3446" i="1"/>
  <c r="BE3446" i="1"/>
  <c r="BF3446" i="1"/>
  <c r="BG3446" i="1"/>
  <c r="E1009" i="1"/>
  <c r="G1009" i="1"/>
  <c r="J1009" i="1"/>
  <c r="K1009" i="1"/>
  <c r="BE1009" i="1"/>
  <c r="BF1009" i="1"/>
  <c r="BG1009" i="1"/>
  <c r="E249" i="1"/>
  <c r="G249" i="1"/>
  <c r="J249" i="1"/>
  <c r="K249" i="1"/>
  <c r="BE249" i="1"/>
  <c r="BF249" i="1"/>
  <c r="BG249" i="1"/>
  <c r="E6800" i="1"/>
  <c r="G6800" i="1"/>
  <c r="J6800" i="1"/>
  <c r="K6800" i="1"/>
  <c r="BE6800" i="1"/>
  <c r="BF6800" i="1"/>
  <c r="BG6800" i="1"/>
  <c r="E2417" i="1"/>
  <c r="G2417" i="1"/>
  <c r="J2417" i="1"/>
  <c r="K2417" i="1"/>
  <c r="BE2417" i="1"/>
  <c r="BF2417" i="1"/>
  <c r="BG2417" i="1"/>
  <c r="E2418" i="1"/>
  <c r="G2418" i="1"/>
  <c r="J2418" i="1"/>
  <c r="K2418" i="1"/>
  <c r="BE2418" i="1"/>
  <c r="BF2418" i="1"/>
  <c r="BG2418" i="1"/>
  <c r="E3447" i="1"/>
  <c r="G3447" i="1"/>
  <c r="J3447" i="1"/>
  <c r="K3447" i="1"/>
  <c r="BE3447" i="1"/>
  <c r="BF3447" i="1"/>
  <c r="BG3447" i="1"/>
  <c r="E477" i="1"/>
  <c r="G477" i="1"/>
  <c r="J477" i="1"/>
  <c r="K477" i="1"/>
  <c r="BE477" i="1"/>
  <c r="BF477" i="1"/>
  <c r="BG477" i="1"/>
  <c r="E2419" i="1"/>
  <c r="G2419" i="1"/>
  <c r="J2419" i="1"/>
  <c r="K2419" i="1"/>
  <c r="BE2419" i="1"/>
  <c r="BF2419" i="1"/>
  <c r="BG2419" i="1"/>
  <c r="E6801" i="1"/>
  <c r="G6801" i="1"/>
  <c r="J6801" i="1"/>
  <c r="K6801" i="1"/>
  <c r="BE6801" i="1"/>
  <c r="BF6801" i="1"/>
  <c r="BG6801" i="1"/>
  <c r="E4827" i="1"/>
  <c r="G4827" i="1"/>
  <c r="J4827" i="1"/>
  <c r="K4827" i="1"/>
  <c r="BE4827" i="1"/>
  <c r="BF4827" i="1"/>
  <c r="BG4827" i="1"/>
  <c r="E6631" i="1"/>
  <c r="G6631" i="1"/>
  <c r="J6631" i="1"/>
  <c r="K6631" i="1"/>
  <c r="BE6631" i="1"/>
  <c r="BF6631" i="1"/>
  <c r="BG6631" i="1"/>
  <c r="E2420" i="1"/>
  <c r="G2420" i="1"/>
  <c r="J2420" i="1"/>
  <c r="K2420" i="1"/>
  <c r="BE2420" i="1"/>
  <c r="BF2420" i="1"/>
  <c r="BG2420" i="1"/>
  <c r="E322" i="1"/>
  <c r="G322" i="1"/>
  <c r="J322" i="1"/>
  <c r="K322" i="1"/>
  <c r="BF322" i="1"/>
  <c r="BG322" i="1"/>
  <c r="E51" i="1"/>
  <c r="G51" i="1"/>
  <c r="J51" i="1"/>
  <c r="K51" i="1"/>
  <c r="BF51" i="1"/>
  <c r="BG51" i="1"/>
  <c r="E6802" i="1"/>
  <c r="G6802" i="1"/>
  <c r="J6802" i="1"/>
  <c r="K6802" i="1"/>
  <c r="BE6802" i="1"/>
  <c r="BF6802" i="1"/>
  <c r="BG6802" i="1"/>
  <c r="E2421" i="1"/>
  <c r="G2421" i="1"/>
  <c r="J2421" i="1"/>
  <c r="K2421" i="1"/>
  <c r="BE2421" i="1"/>
  <c r="BF2421" i="1"/>
  <c r="BG2421" i="1"/>
  <c r="E187" i="1"/>
  <c r="G187" i="1"/>
  <c r="J187" i="1"/>
  <c r="K187" i="1"/>
  <c r="BF187" i="1"/>
  <c r="BG187" i="1"/>
  <c r="E3448" i="1"/>
  <c r="G3448" i="1"/>
  <c r="J3448" i="1"/>
  <c r="K3448" i="1"/>
  <c r="BE3448" i="1"/>
  <c r="BF3448" i="1"/>
  <c r="BG3448" i="1"/>
  <c r="E2422" i="1"/>
  <c r="G2422" i="1"/>
  <c r="J2422" i="1"/>
  <c r="K2422" i="1"/>
  <c r="BE2422" i="1"/>
  <c r="BF2422" i="1"/>
  <c r="BG2422" i="1"/>
  <c r="E4828" i="1"/>
  <c r="G4828" i="1"/>
  <c r="J4828" i="1"/>
  <c r="K4828" i="1"/>
  <c r="BE4828" i="1"/>
  <c r="BF4828" i="1"/>
  <c r="BG4828" i="1"/>
  <c r="E2944" i="1"/>
  <c r="G2944" i="1"/>
  <c r="J2944" i="1"/>
  <c r="K2944" i="1"/>
  <c r="BE2944" i="1"/>
  <c r="BF2944" i="1"/>
  <c r="BG2944" i="1"/>
  <c r="E3373" i="1"/>
  <c r="G3373" i="1"/>
  <c r="J3373" i="1"/>
  <c r="K3373" i="1"/>
  <c r="BE3373" i="1"/>
  <c r="BF3373" i="1"/>
  <c r="BG3373" i="1"/>
  <c r="E3449" i="1"/>
  <c r="G3449" i="1"/>
  <c r="J3449" i="1"/>
  <c r="K3449" i="1"/>
  <c r="BE3449" i="1"/>
  <c r="BF3449" i="1"/>
  <c r="BG3449" i="1"/>
  <c r="E2423" i="1"/>
  <c r="G2423" i="1"/>
  <c r="J2423" i="1"/>
  <c r="K2423" i="1"/>
  <c r="BE2423" i="1"/>
  <c r="BF2423" i="1"/>
  <c r="BG2423" i="1"/>
  <c r="E5835" i="1"/>
  <c r="G5835" i="1"/>
  <c r="J5835" i="1"/>
  <c r="K5835" i="1"/>
  <c r="BE5835" i="1"/>
  <c r="BF5835" i="1"/>
  <c r="BG5835" i="1"/>
  <c r="E680" i="1"/>
  <c r="G680" i="1"/>
  <c r="J680" i="1"/>
  <c r="K680" i="1"/>
  <c r="BC680" i="1"/>
  <c r="BE680" i="1"/>
  <c r="BF680" i="1"/>
  <c r="BG680" i="1"/>
  <c r="BH680" i="1"/>
  <c r="E5836" i="1"/>
  <c r="G5836" i="1"/>
  <c r="J5836" i="1"/>
  <c r="K5836" i="1"/>
  <c r="BE5836" i="1"/>
  <c r="BF5836" i="1"/>
  <c r="BG5836" i="1"/>
  <c r="E5837" i="1"/>
  <c r="G5837" i="1"/>
  <c r="J5837" i="1"/>
  <c r="K5837" i="1"/>
  <c r="BE5837" i="1"/>
  <c r="BF5837" i="1"/>
  <c r="BG5837" i="1"/>
  <c r="E5838" i="1"/>
  <c r="G5838" i="1"/>
  <c r="J5838" i="1"/>
  <c r="K5838" i="1"/>
  <c r="BE5838" i="1"/>
  <c r="BF5838" i="1"/>
  <c r="BG5838" i="1"/>
  <c r="E3450" i="1"/>
  <c r="G3450" i="1"/>
  <c r="J3450" i="1"/>
  <c r="K3450" i="1"/>
  <c r="BE3450" i="1"/>
  <c r="BF3450" i="1"/>
  <c r="BG3450" i="1"/>
  <c r="E433" i="1"/>
  <c r="G433" i="1"/>
  <c r="J433" i="1"/>
  <c r="K433" i="1"/>
  <c r="BE433" i="1"/>
  <c r="BF433" i="1"/>
  <c r="BG433" i="1"/>
  <c r="E434" i="1"/>
  <c r="G434" i="1"/>
  <c r="J434" i="1"/>
  <c r="K434" i="1"/>
  <c r="BE434" i="1"/>
  <c r="BF434" i="1"/>
  <c r="BG434" i="1"/>
  <c r="E435" i="1"/>
  <c r="G435" i="1"/>
  <c r="J435" i="1"/>
  <c r="K435" i="1"/>
  <c r="BF435" i="1"/>
  <c r="BG435" i="1"/>
  <c r="E436" i="1"/>
  <c r="G436" i="1"/>
  <c r="J436" i="1"/>
  <c r="K436" i="1"/>
  <c r="BF436" i="1"/>
  <c r="BG436" i="1"/>
  <c r="E437" i="1"/>
  <c r="G437" i="1"/>
  <c r="J437" i="1"/>
  <c r="K437" i="1"/>
  <c r="BF437" i="1"/>
  <c r="BG437" i="1"/>
  <c r="E438" i="1"/>
  <c r="G438" i="1"/>
  <c r="J438" i="1"/>
  <c r="K438" i="1"/>
  <c r="BF438" i="1"/>
  <c r="BG438" i="1"/>
  <c r="E2424" i="1"/>
  <c r="G2424" i="1"/>
  <c r="J2424" i="1"/>
  <c r="K2424" i="1"/>
  <c r="BE2424" i="1"/>
  <c r="BF2424" i="1"/>
  <c r="BG2424" i="1"/>
  <c r="E2425" i="1"/>
  <c r="G2425" i="1"/>
  <c r="J2425" i="1"/>
  <c r="K2425" i="1"/>
  <c r="BE2425" i="1"/>
  <c r="BF2425" i="1"/>
  <c r="BG2425" i="1"/>
  <c r="E2426" i="1"/>
  <c r="G2426" i="1"/>
  <c r="J2426" i="1"/>
  <c r="K2426" i="1"/>
  <c r="BE2426" i="1"/>
  <c r="BF2426" i="1"/>
  <c r="BG2426" i="1"/>
  <c r="E2427" i="1"/>
  <c r="G2427" i="1"/>
  <c r="J2427" i="1"/>
  <c r="K2427" i="1"/>
  <c r="BE2427" i="1"/>
  <c r="BF2427" i="1"/>
  <c r="BG2427" i="1"/>
  <c r="E2428" i="1"/>
  <c r="G2428" i="1"/>
  <c r="J2428" i="1"/>
  <c r="K2428" i="1"/>
  <c r="BE2428" i="1"/>
  <c r="BF2428" i="1"/>
  <c r="BG2428" i="1"/>
  <c r="E2429" i="1"/>
  <c r="G2429" i="1"/>
  <c r="J2429" i="1"/>
  <c r="K2429" i="1"/>
  <c r="BE2429" i="1"/>
  <c r="BF2429" i="1"/>
  <c r="BG2429" i="1"/>
  <c r="E2430" i="1"/>
  <c r="G2430" i="1"/>
  <c r="J2430" i="1"/>
  <c r="K2430" i="1"/>
  <c r="BE2430" i="1"/>
  <c r="BF2430" i="1"/>
  <c r="BG2430" i="1"/>
  <c r="E2431" i="1"/>
  <c r="G2431" i="1"/>
  <c r="J2431" i="1"/>
  <c r="K2431" i="1"/>
  <c r="BE2431" i="1"/>
  <c r="BF2431" i="1"/>
  <c r="BG2431" i="1"/>
  <c r="E2432" i="1"/>
  <c r="G2432" i="1"/>
  <c r="J2432" i="1"/>
  <c r="K2432" i="1"/>
  <c r="BE2432" i="1"/>
  <c r="BF2432" i="1"/>
  <c r="BG2432" i="1"/>
  <c r="E2433" i="1"/>
  <c r="G2433" i="1"/>
  <c r="J2433" i="1"/>
  <c r="K2433" i="1"/>
  <c r="BE2433" i="1"/>
  <c r="BF2433" i="1"/>
  <c r="BG2433" i="1"/>
  <c r="E2434" i="1"/>
  <c r="G2434" i="1"/>
  <c r="J2434" i="1"/>
  <c r="K2434" i="1"/>
  <c r="BE2434" i="1"/>
  <c r="BF2434" i="1"/>
  <c r="BG2434" i="1"/>
  <c r="E2435" i="1"/>
  <c r="G2435" i="1"/>
  <c r="J2435" i="1"/>
  <c r="K2435" i="1"/>
  <c r="BE2435" i="1"/>
  <c r="BF2435" i="1"/>
  <c r="BG2435" i="1"/>
  <c r="E2436" i="1"/>
  <c r="G2436" i="1"/>
  <c r="J2436" i="1"/>
  <c r="K2436" i="1"/>
  <c r="BE2436" i="1"/>
  <c r="BF2436" i="1"/>
  <c r="BG2436" i="1"/>
  <c r="E2437" i="1"/>
  <c r="G2437" i="1"/>
  <c r="J2437" i="1"/>
  <c r="K2437" i="1"/>
  <c r="BE2437" i="1"/>
  <c r="BF2437" i="1"/>
  <c r="BG2437" i="1"/>
  <c r="E2438" i="1"/>
  <c r="G2438" i="1"/>
  <c r="J2438" i="1"/>
  <c r="K2438" i="1"/>
  <c r="BE2438" i="1"/>
  <c r="BF2438" i="1"/>
  <c r="BG2438" i="1"/>
  <c r="E2439" i="1"/>
  <c r="G2439" i="1"/>
  <c r="J2439" i="1"/>
  <c r="K2439" i="1"/>
  <c r="BE2439" i="1"/>
  <c r="BF2439" i="1"/>
  <c r="BG2439" i="1"/>
  <c r="E2440" i="1"/>
  <c r="G2440" i="1"/>
  <c r="J2440" i="1"/>
  <c r="K2440" i="1"/>
  <c r="BE2440" i="1"/>
  <c r="BF2440" i="1"/>
  <c r="BG2440" i="1"/>
  <c r="E2441" i="1"/>
  <c r="G2441" i="1"/>
  <c r="J2441" i="1"/>
  <c r="K2441" i="1"/>
  <c r="BE2441" i="1"/>
  <c r="BF2441" i="1"/>
  <c r="BG2441" i="1"/>
  <c r="E2442" i="1"/>
  <c r="G2442" i="1"/>
  <c r="J2442" i="1"/>
  <c r="K2442" i="1"/>
  <c r="BE2442" i="1"/>
  <c r="BF2442" i="1"/>
  <c r="BG2442" i="1"/>
  <c r="E2443" i="1"/>
  <c r="G2443" i="1"/>
  <c r="J2443" i="1"/>
  <c r="K2443" i="1"/>
  <c r="BE2443" i="1"/>
  <c r="BF2443" i="1"/>
  <c r="BG2443" i="1"/>
  <c r="E2444" i="1"/>
  <c r="G2444" i="1"/>
  <c r="J2444" i="1"/>
  <c r="K2444" i="1"/>
  <c r="BE2444" i="1"/>
  <c r="BF2444" i="1"/>
  <c r="BG2444" i="1"/>
  <c r="E2445" i="1"/>
  <c r="G2445" i="1"/>
  <c r="J2445" i="1"/>
  <c r="K2445" i="1"/>
  <c r="BE2445" i="1"/>
  <c r="BF2445" i="1"/>
  <c r="BG2445" i="1"/>
  <c r="E2446" i="1"/>
  <c r="G2446" i="1"/>
  <c r="J2446" i="1"/>
  <c r="K2446" i="1"/>
  <c r="BE2446" i="1"/>
  <c r="BF2446" i="1"/>
  <c r="BG2446" i="1"/>
  <c r="E2447" i="1"/>
  <c r="G2447" i="1"/>
  <c r="J2447" i="1"/>
  <c r="K2447" i="1"/>
  <c r="BE2447" i="1"/>
  <c r="BF2447" i="1"/>
  <c r="BG2447" i="1"/>
  <c r="E2448" i="1"/>
  <c r="G2448" i="1"/>
  <c r="J2448" i="1"/>
  <c r="K2448" i="1"/>
  <c r="BE2448" i="1"/>
  <c r="BF2448" i="1"/>
  <c r="BG2448" i="1"/>
  <c r="E2449" i="1"/>
  <c r="G2449" i="1"/>
  <c r="J2449" i="1"/>
  <c r="K2449" i="1"/>
  <c r="BE2449" i="1"/>
  <c r="BF2449" i="1"/>
  <c r="BG2449" i="1"/>
  <c r="E2450" i="1"/>
  <c r="G2450" i="1"/>
  <c r="J2450" i="1"/>
  <c r="K2450" i="1"/>
  <c r="BE2450" i="1"/>
  <c r="BF2450" i="1"/>
  <c r="BG2450" i="1"/>
  <c r="E2451" i="1"/>
  <c r="G2451" i="1"/>
  <c r="J2451" i="1"/>
  <c r="K2451" i="1"/>
  <c r="BE2451" i="1"/>
  <c r="BF2451" i="1"/>
  <c r="BG2451" i="1"/>
  <c r="E2452" i="1"/>
  <c r="G2452" i="1"/>
  <c r="J2452" i="1"/>
  <c r="K2452" i="1"/>
  <c r="BE2452" i="1"/>
  <c r="BF2452" i="1"/>
  <c r="BG2452" i="1"/>
  <c r="E2453" i="1"/>
  <c r="G2453" i="1"/>
  <c r="J2453" i="1"/>
  <c r="K2453" i="1"/>
  <c r="BE2453" i="1"/>
  <c r="BF2453" i="1"/>
  <c r="BG2453" i="1"/>
  <c r="E2454" i="1"/>
  <c r="G2454" i="1"/>
  <c r="J2454" i="1"/>
  <c r="K2454" i="1"/>
  <c r="BE2454" i="1"/>
  <c r="BF2454" i="1"/>
  <c r="BG2454" i="1"/>
  <c r="E5839" i="1"/>
  <c r="G5839" i="1"/>
  <c r="J5839" i="1"/>
  <c r="K5839" i="1"/>
  <c r="BE5839" i="1"/>
  <c r="BF5839" i="1"/>
  <c r="BG5839" i="1"/>
  <c r="E3374" i="1"/>
  <c r="G3374" i="1"/>
  <c r="J3374" i="1"/>
  <c r="K3374" i="1"/>
  <c r="BE3374" i="1"/>
  <c r="BF3374" i="1"/>
  <c r="BG3374" i="1"/>
  <c r="E6803" i="1"/>
  <c r="G6803" i="1"/>
  <c r="J6803" i="1"/>
  <c r="K6803" i="1"/>
  <c r="BE6803" i="1"/>
  <c r="BF6803" i="1"/>
  <c r="BG6803" i="1"/>
  <c r="E1010" i="1"/>
  <c r="G1010" i="1"/>
  <c r="J1010" i="1"/>
  <c r="K1010" i="1"/>
  <c r="BE1010" i="1"/>
  <c r="BF1010" i="1"/>
  <c r="BG1010" i="1"/>
  <c r="E5840" i="1"/>
  <c r="G5840" i="1"/>
  <c r="J5840" i="1"/>
  <c r="K5840" i="1"/>
  <c r="BE5840" i="1"/>
  <c r="BF5840" i="1"/>
  <c r="BG5840" i="1"/>
  <c r="E250" i="1"/>
  <c r="G250" i="1"/>
  <c r="J250" i="1"/>
  <c r="K250" i="1"/>
  <c r="BE250" i="1"/>
  <c r="BF250" i="1"/>
  <c r="BG250" i="1"/>
  <c r="E4829" i="1"/>
  <c r="G4829" i="1"/>
  <c r="J4829" i="1"/>
  <c r="K4829" i="1"/>
  <c r="BE4829" i="1"/>
  <c r="BF4829" i="1"/>
  <c r="BG4829" i="1"/>
  <c r="E3451" i="1"/>
  <c r="G3451" i="1"/>
  <c r="J3451" i="1"/>
  <c r="K3451" i="1"/>
  <c r="BE3451" i="1"/>
  <c r="BF3451" i="1"/>
  <c r="BG3451" i="1"/>
  <c r="E5841" i="1"/>
  <c r="G5841" i="1"/>
  <c r="J5841" i="1"/>
  <c r="K5841" i="1"/>
  <c r="BE5841" i="1"/>
  <c r="BF5841" i="1"/>
  <c r="BG5841" i="1"/>
  <c r="E564" i="1"/>
  <c r="G564" i="1"/>
  <c r="J564" i="1"/>
  <c r="K564" i="1"/>
  <c r="BE564" i="1"/>
  <c r="BF564" i="1"/>
  <c r="BG564" i="1"/>
  <c r="E4346" i="1"/>
  <c r="G4346" i="1"/>
  <c r="J4346" i="1"/>
  <c r="K4346" i="1"/>
  <c r="BE4346" i="1"/>
  <c r="BF4346" i="1"/>
  <c r="BG4346" i="1"/>
  <c r="E6804" i="1"/>
  <c r="G6804" i="1"/>
  <c r="J6804" i="1"/>
  <c r="K6804" i="1"/>
  <c r="BE6804" i="1"/>
  <c r="BF6804" i="1"/>
  <c r="BG6804" i="1"/>
  <c r="E5842" i="1"/>
  <c r="G5842" i="1"/>
  <c r="J5842" i="1"/>
  <c r="K5842" i="1"/>
  <c r="BE5842" i="1"/>
  <c r="BF5842" i="1"/>
  <c r="BG5842" i="1"/>
  <c r="E2455" i="1"/>
  <c r="G2455" i="1"/>
  <c r="J2455" i="1"/>
  <c r="K2455" i="1"/>
  <c r="BE2455" i="1"/>
  <c r="BF2455" i="1"/>
  <c r="BG2455" i="1"/>
  <c r="E3375" i="1"/>
  <c r="G3375" i="1"/>
  <c r="J3375" i="1"/>
  <c r="K3375" i="1"/>
  <c r="BE3375" i="1"/>
  <c r="BF3375" i="1"/>
  <c r="BG3375" i="1"/>
  <c r="E5843" i="1"/>
  <c r="G5843" i="1"/>
  <c r="J5843" i="1"/>
  <c r="K5843" i="1"/>
  <c r="BE5843" i="1"/>
  <c r="BF5843" i="1"/>
  <c r="BG5843" i="1"/>
  <c r="E689" i="1"/>
  <c r="G689" i="1"/>
  <c r="J689" i="1"/>
  <c r="K689" i="1"/>
  <c r="BE689" i="1"/>
  <c r="BF689" i="1"/>
  <c r="BG689" i="1"/>
  <c r="E690" i="1"/>
  <c r="G690" i="1"/>
  <c r="J690" i="1"/>
  <c r="K690" i="1"/>
  <c r="BE690" i="1"/>
  <c r="BF690" i="1"/>
  <c r="BG690" i="1"/>
  <c r="E691" i="1"/>
  <c r="G691" i="1"/>
  <c r="J691" i="1"/>
  <c r="K691" i="1"/>
  <c r="BE691" i="1"/>
  <c r="BF691" i="1"/>
  <c r="BG691" i="1"/>
  <c r="E692" i="1"/>
  <c r="G692" i="1"/>
  <c r="J692" i="1"/>
  <c r="K692" i="1"/>
  <c r="BE692" i="1"/>
  <c r="BF692" i="1"/>
  <c r="BG692" i="1"/>
  <c r="E693" i="1"/>
  <c r="G693" i="1"/>
  <c r="J693" i="1"/>
  <c r="K693" i="1"/>
  <c r="BE693" i="1"/>
  <c r="BF693" i="1"/>
  <c r="BG693" i="1"/>
  <c r="E694" i="1"/>
  <c r="G694" i="1"/>
  <c r="J694" i="1"/>
  <c r="K694" i="1"/>
  <c r="BE694" i="1"/>
  <c r="BF694" i="1"/>
  <c r="BG694" i="1"/>
  <c r="E695" i="1"/>
  <c r="G695" i="1"/>
  <c r="J695" i="1"/>
  <c r="K695" i="1"/>
  <c r="BE695" i="1"/>
  <c r="BF695" i="1"/>
  <c r="BG695" i="1"/>
  <c r="E696" i="1"/>
  <c r="G696" i="1"/>
  <c r="J696" i="1"/>
  <c r="K696" i="1"/>
  <c r="BE696" i="1"/>
  <c r="BF696" i="1"/>
  <c r="BG696" i="1"/>
  <c r="E5844" i="1"/>
  <c r="G5844" i="1"/>
  <c r="J5844" i="1"/>
  <c r="K5844" i="1"/>
  <c r="BE5844" i="1"/>
  <c r="BF5844" i="1"/>
  <c r="BG5844" i="1"/>
  <c r="E1874" i="1"/>
  <c r="G1874" i="1"/>
  <c r="J1874" i="1"/>
  <c r="K1874" i="1"/>
  <c r="BF1874" i="1"/>
  <c r="BG1874" i="1"/>
  <c r="E3452" i="1"/>
  <c r="G3452" i="1"/>
  <c r="J3452" i="1"/>
  <c r="K3452" i="1"/>
  <c r="BE3452" i="1"/>
  <c r="BF3452" i="1"/>
  <c r="BG3452" i="1"/>
  <c r="E4347" i="1"/>
  <c r="G4347" i="1"/>
  <c r="J4347" i="1"/>
  <c r="K4347" i="1"/>
  <c r="BE4347" i="1"/>
  <c r="BF4347" i="1"/>
  <c r="BG4347" i="1"/>
  <c r="E2456" i="1"/>
  <c r="G2456" i="1"/>
  <c r="J2456" i="1"/>
  <c r="K2456" i="1"/>
  <c r="BE2456" i="1"/>
  <c r="BF2456" i="1"/>
  <c r="BG2456" i="1"/>
  <c r="E5845" i="1"/>
  <c r="G5845" i="1"/>
  <c r="J5845" i="1"/>
  <c r="K5845" i="1"/>
  <c r="BE5845" i="1"/>
  <c r="BF5845" i="1"/>
  <c r="BG5845" i="1"/>
  <c r="E6805" i="1"/>
  <c r="G6805" i="1"/>
  <c r="J6805" i="1"/>
  <c r="K6805" i="1"/>
  <c r="BE6805" i="1"/>
  <c r="BF6805" i="1"/>
  <c r="BG6805" i="1"/>
  <c r="E4830" i="1"/>
  <c r="G4830" i="1"/>
  <c r="J4830" i="1"/>
  <c r="K4830" i="1"/>
  <c r="BE4830" i="1"/>
  <c r="BF4830" i="1"/>
  <c r="BG4830" i="1"/>
  <c r="E5846" i="1"/>
  <c r="G5846" i="1"/>
  <c r="J5846" i="1"/>
  <c r="K5846" i="1"/>
  <c r="BE5846" i="1"/>
  <c r="BF5846" i="1"/>
  <c r="BG5846" i="1"/>
  <c r="E6892" i="1"/>
  <c r="G6892" i="1"/>
  <c r="J6892" i="1"/>
  <c r="BC6892" i="1"/>
  <c r="BE6892" i="1"/>
  <c r="BF6892" i="1"/>
  <c r="BG6892" i="1"/>
  <c r="E2495" i="1"/>
  <c r="G2495" i="1"/>
  <c r="J2495" i="1"/>
  <c r="K2495" i="1"/>
  <c r="BE2495" i="1"/>
  <c r="BF2495" i="1"/>
  <c r="BG2495" i="1"/>
  <c r="E2496" i="1"/>
  <c r="G2496" i="1"/>
  <c r="J2496" i="1"/>
  <c r="K2496" i="1"/>
  <c r="BE2496" i="1"/>
  <c r="BF2496" i="1"/>
  <c r="BG2496" i="1"/>
  <c r="E2497" i="1"/>
  <c r="G2497" i="1"/>
  <c r="J2497" i="1"/>
  <c r="K2497" i="1"/>
  <c r="BE2497" i="1"/>
  <c r="BF2497" i="1"/>
  <c r="BG2497" i="1"/>
  <c r="E3376" i="1"/>
  <c r="G3376" i="1"/>
  <c r="J3376" i="1"/>
  <c r="K3376" i="1"/>
  <c r="BE3376" i="1"/>
  <c r="BF3376" i="1"/>
  <c r="BG3376" i="1"/>
  <c r="E5847" i="1"/>
  <c r="G5847" i="1"/>
  <c r="J5847" i="1"/>
  <c r="K5847" i="1"/>
  <c r="BE5847" i="1"/>
  <c r="BF5847" i="1"/>
  <c r="BG5847" i="1"/>
  <c r="E5848" i="1"/>
  <c r="G5848" i="1"/>
  <c r="J5848" i="1"/>
  <c r="K5848" i="1"/>
  <c r="BE5848" i="1"/>
  <c r="BF5848" i="1"/>
  <c r="BG5848" i="1"/>
  <c r="E677" i="1"/>
  <c r="G677" i="1"/>
  <c r="J677" i="1"/>
  <c r="K677" i="1"/>
  <c r="BE677" i="1"/>
  <c r="BF677" i="1"/>
  <c r="BG677" i="1"/>
  <c r="BH677" i="1"/>
  <c r="E4348" i="1"/>
  <c r="G4348" i="1"/>
  <c r="J4348" i="1"/>
  <c r="K4348" i="1"/>
  <c r="BE4348" i="1"/>
  <c r="BF4348" i="1"/>
  <c r="BG4348" i="1"/>
  <c r="E6806" i="1"/>
  <c r="G6806" i="1"/>
  <c r="J6806" i="1"/>
  <c r="K6806" i="1"/>
  <c r="BE6806" i="1"/>
  <c r="BF6806" i="1"/>
  <c r="BG6806" i="1"/>
  <c r="E323" i="1"/>
  <c r="G323" i="1"/>
  <c r="J323" i="1"/>
  <c r="K323" i="1"/>
  <c r="BF323" i="1"/>
  <c r="BG323" i="1"/>
  <c r="E5849" i="1"/>
  <c r="G5849" i="1"/>
  <c r="J5849" i="1"/>
  <c r="K5849" i="1"/>
  <c r="BE5849" i="1"/>
  <c r="BF5849" i="1"/>
  <c r="BG5849" i="1"/>
  <c r="E6027" i="1"/>
  <c r="G6027" i="1"/>
  <c r="J6027" i="1"/>
  <c r="K6027" i="1"/>
  <c r="BE6027" i="1"/>
  <c r="BG6027" i="1"/>
  <c r="E1875" i="1"/>
  <c r="G1875" i="1"/>
  <c r="J1875" i="1"/>
  <c r="K1875" i="1"/>
  <c r="BF1875" i="1"/>
  <c r="BG1875" i="1"/>
  <c r="E2457" i="1"/>
  <c r="G2457" i="1"/>
  <c r="J2457" i="1"/>
  <c r="K2457" i="1"/>
  <c r="BE2457" i="1"/>
  <c r="BF2457" i="1"/>
  <c r="BG2457" i="1"/>
  <c r="E5850" i="1"/>
  <c r="G5850" i="1"/>
  <c r="J5850" i="1"/>
  <c r="K5850" i="1"/>
  <c r="BE5850" i="1"/>
  <c r="BF5850" i="1"/>
  <c r="BG5850" i="1"/>
  <c r="E3377" i="1"/>
  <c r="G3377" i="1"/>
  <c r="J3377" i="1"/>
  <c r="K3377" i="1"/>
  <c r="BE3377" i="1"/>
  <c r="BF3377" i="1"/>
  <c r="BG3377" i="1"/>
  <c r="E6518" i="1"/>
  <c r="G6518" i="1"/>
  <c r="J6518" i="1"/>
  <c r="K6518" i="1"/>
  <c r="BE6518" i="1"/>
  <c r="BF6518" i="1"/>
  <c r="BG6518" i="1"/>
  <c r="E52" i="1"/>
  <c r="G52" i="1"/>
  <c r="J52" i="1"/>
  <c r="K52" i="1"/>
  <c r="BF52" i="1"/>
  <c r="BG52" i="1"/>
  <c r="E372" i="1"/>
  <c r="G372" i="1"/>
  <c r="J372" i="1"/>
  <c r="K372" i="1"/>
  <c r="BE372" i="1"/>
  <c r="BF372" i="1"/>
  <c r="BG372" i="1"/>
  <c r="E2458" i="1"/>
  <c r="G2458" i="1"/>
  <c r="J2458" i="1"/>
  <c r="K2458" i="1"/>
  <c r="BE2458" i="1"/>
  <c r="BF2458" i="1"/>
  <c r="BG2458" i="1"/>
  <c r="E4349" i="1"/>
  <c r="G4349" i="1"/>
  <c r="J4349" i="1"/>
  <c r="K4349" i="1"/>
  <c r="BE4349" i="1"/>
  <c r="BF4349" i="1"/>
  <c r="BG4349" i="1"/>
  <c r="E5851" i="1"/>
  <c r="G5851" i="1"/>
  <c r="J5851" i="1"/>
  <c r="K5851" i="1"/>
  <c r="BE5851" i="1"/>
  <c r="BF5851" i="1"/>
  <c r="BG5851" i="1"/>
  <c r="E2459" i="1"/>
  <c r="G2459" i="1"/>
  <c r="J2459" i="1"/>
  <c r="K2459" i="1"/>
  <c r="BE2459" i="1"/>
  <c r="BF2459" i="1"/>
  <c r="BG2459" i="1"/>
  <c r="E1876" i="1"/>
  <c r="G1876" i="1"/>
  <c r="J1876" i="1"/>
  <c r="K1876" i="1"/>
  <c r="BF1876" i="1"/>
  <c r="BG1876" i="1"/>
  <c r="E1877" i="1"/>
  <c r="G1877" i="1"/>
  <c r="J1877" i="1"/>
  <c r="K1877" i="1"/>
  <c r="BF1877" i="1"/>
  <c r="BG1877" i="1"/>
  <c r="E1878" i="1"/>
  <c r="G1878" i="1"/>
  <c r="J1878" i="1"/>
  <c r="K1878" i="1"/>
  <c r="BF1878" i="1"/>
  <c r="BG1878" i="1"/>
  <c r="E1879" i="1"/>
  <c r="G1879" i="1"/>
  <c r="J1879" i="1"/>
  <c r="K1879" i="1"/>
  <c r="BF1879" i="1"/>
  <c r="BG1879" i="1"/>
  <c r="E1880" i="1"/>
  <c r="G1880" i="1"/>
  <c r="J1880" i="1"/>
  <c r="K1880" i="1"/>
  <c r="BF1880" i="1"/>
  <c r="BG1880" i="1"/>
  <c r="E1881" i="1"/>
  <c r="G1881" i="1"/>
  <c r="J1881" i="1"/>
  <c r="K1881" i="1"/>
  <c r="BF1881" i="1"/>
  <c r="BG1881" i="1"/>
  <c r="E1882" i="1"/>
  <c r="G1882" i="1"/>
  <c r="J1882" i="1"/>
  <c r="K1882" i="1"/>
  <c r="BF1882" i="1"/>
  <c r="BG1882" i="1"/>
  <c r="E1883" i="1"/>
  <c r="G1883" i="1"/>
  <c r="J1883" i="1"/>
  <c r="K1883" i="1"/>
  <c r="BF1883" i="1"/>
  <c r="BG1883" i="1"/>
  <c r="E1884" i="1"/>
  <c r="G1884" i="1"/>
  <c r="J1884" i="1"/>
  <c r="K1884" i="1"/>
  <c r="BF1884" i="1"/>
  <c r="BG1884" i="1"/>
  <c r="E1885" i="1"/>
  <c r="G1885" i="1"/>
  <c r="J1885" i="1"/>
  <c r="K1885" i="1"/>
  <c r="BF1885" i="1"/>
  <c r="BG1885" i="1"/>
  <c r="E2498" i="1"/>
  <c r="G2498" i="1"/>
  <c r="J2498" i="1"/>
  <c r="K2498" i="1"/>
  <c r="BE2498" i="1"/>
  <c r="BF2498" i="1"/>
  <c r="BG2498" i="1"/>
  <c r="E5852" i="1"/>
  <c r="G5852" i="1"/>
  <c r="J5852" i="1"/>
  <c r="K5852" i="1"/>
  <c r="BE5852" i="1"/>
  <c r="BF5852" i="1"/>
  <c r="BG5852" i="1"/>
  <c r="E6519" i="1"/>
  <c r="G6519" i="1"/>
  <c r="J6519" i="1"/>
  <c r="K6519" i="1"/>
  <c r="BE6519" i="1"/>
  <c r="BF6519" i="1"/>
  <c r="BG6519" i="1"/>
  <c r="E2945" i="1"/>
  <c r="G2945" i="1"/>
  <c r="J2945" i="1"/>
  <c r="K2945" i="1"/>
  <c r="BE2945" i="1"/>
  <c r="BF2945" i="1"/>
  <c r="BG2945" i="1"/>
  <c r="E3664" i="1"/>
  <c r="G3664" i="1"/>
  <c r="J3664" i="1"/>
  <c r="K3664" i="1"/>
  <c r="BE3664" i="1"/>
  <c r="BF3664" i="1"/>
  <c r="BG3664" i="1"/>
  <c r="E3378" i="1"/>
  <c r="G3378" i="1"/>
  <c r="J3378" i="1"/>
  <c r="K3378" i="1"/>
  <c r="BE3378" i="1"/>
  <c r="BF3378" i="1"/>
  <c r="BG3378" i="1"/>
  <c r="E2460" i="1"/>
  <c r="G2460" i="1"/>
  <c r="J2460" i="1"/>
  <c r="K2460" i="1"/>
  <c r="BE2460" i="1"/>
  <c r="BF2460" i="1"/>
  <c r="BG2460" i="1"/>
  <c r="E5853" i="1"/>
  <c r="G5853" i="1"/>
  <c r="J5853" i="1"/>
  <c r="K5853" i="1"/>
  <c r="BE5853" i="1"/>
  <c r="BF5853" i="1"/>
  <c r="BG5853" i="1"/>
  <c r="E6807" i="1"/>
  <c r="G6807" i="1"/>
  <c r="J6807" i="1"/>
  <c r="K6807" i="1"/>
  <c r="BE6807" i="1"/>
  <c r="BF6807" i="1"/>
  <c r="BG6807" i="1"/>
  <c r="E6028" i="1"/>
  <c r="G6028" i="1"/>
  <c r="J6028" i="1"/>
  <c r="K6028" i="1"/>
  <c r="BE6028" i="1"/>
  <c r="BG6028" i="1"/>
  <c r="E2946" i="1"/>
  <c r="G2946" i="1"/>
  <c r="J2946" i="1"/>
  <c r="K2946" i="1"/>
  <c r="BE2946" i="1"/>
  <c r="BF2946" i="1"/>
  <c r="BG2946" i="1"/>
  <c r="E1886" i="1"/>
  <c r="G1886" i="1"/>
  <c r="J1886" i="1"/>
  <c r="K1886" i="1"/>
  <c r="BF1886" i="1"/>
  <c r="BG1886" i="1"/>
  <c r="E538" i="1"/>
  <c r="G538" i="1"/>
  <c r="J538" i="1"/>
  <c r="K538" i="1"/>
  <c r="BF538" i="1"/>
  <c r="BG538" i="1"/>
  <c r="E5854" i="1"/>
  <c r="G5854" i="1"/>
  <c r="J5854" i="1"/>
  <c r="K5854" i="1"/>
  <c r="BE5854" i="1"/>
  <c r="BF5854" i="1"/>
  <c r="BG5854" i="1"/>
  <c r="E196" i="1"/>
  <c r="G196" i="1"/>
  <c r="J196" i="1"/>
  <c r="K196" i="1"/>
  <c r="BE196" i="1"/>
  <c r="BF196" i="1"/>
  <c r="BG196" i="1"/>
  <c r="E2947" i="1"/>
  <c r="G2947" i="1"/>
  <c r="J2947" i="1"/>
  <c r="K2947" i="1"/>
  <c r="BE2947" i="1"/>
  <c r="BF2947" i="1"/>
  <c r="BG2947" i="1"/>
  <c r="E4350" i="1"/>
  <c r="G4350" i="1"/>
  <c r="J4350" i="1"/>
  <c r="K4350" i="1"/>
  <c r="BE4350" i="1"/>
  <c r="BF4350" i="1"/>
  <c r="BG4350" i="1"/>
  <c r="E5855" i="1"/>
  <c r="G5855" i="1"/>
  <c r="J5855" i="1"/>
  <c r="K5855" i="1"/>
  <c r="BE5855" i="1"/>
  <c r="BF5855" i="1"/>
  <c r="BG5855" i="1"/>
  <c r="E3665" i="1"/>
  <c r="G3665" i="1"/>
  <c r="J3665" i="1"/>
  <c r="K3665" i="1"/>
  <c r="BE3665" i="1"/>
  <c r="BF3665" i="1"/>
  <c r="BG3665" i="1"/>
  <c r="E2948" i="1"/>
  <c r="G2948" i="1"/>
  <c r="J2948" i="1"/>
  <c r="K2948" i="1"/>
  <c r="BE2948" i="1"/>
  <c r="BF2948" i="1"/>
  <c r="BG2948" i="1"/>
  <c r="E5856" i="1"/>
  <c r="G5856" i="1"/>
  <c r="J5856" i="1"/>
  <c r="K5856" i="1"/>
  <c r="BE5856" i="1"/>
  <c r="BF5856" i="1"/>
  <c r="BG5856" i="1"/>
  <c r="E626" i="1"/>
  <c r="G626" i="1"/>
  <c r="J626" i="1"/>
  <c r="K626" i="1"/>
  <c r="BE626" i="1"/>
  <c r="BG626" i="1"/>
  <c r="BH626" i="1"/>
  <c r="E6632" i="1"/>
  <c r="G6632" i="1"/>
  <c r="J6632" i="1"/>
  <c r="K6632" i="1"/>
  <c r="BE6632" i="1"/>
  <c r="BF6632" i="1"/>
  <c r="BG6632" i="1"/>
  <c r="E324" i="1"/>
  <c r="G324" i="1"/>
  <c r="J324" i="1"/>
  <c r="K324" i="1"/>
  <c r="BF324" i="1"/>
  <c r="BG324" i="1"/>
  <c r="E6808" i="1"/>
  <c r="G6808" i="1"/>
  <c r="J6808" i="1"/>
  <c r="K6808" i="1"/>
  <c r="BE6808" i="1"/>
  <c r="BF6808" i="1"/>
  <c r="BG6808" i="1"/>
  <c r="E3379" i="1"/>
  <c r="G3379" i="1"/>
  <c r="J3379" i="1"/>
  <c r="K3379" i="1"/>
  <c r="BE3379" i="1"/>
  <c r="BF3379" i="1"/>
  <c r="BG3379" i="1"/>
  <c r="E1887" i="1"/>
  <c r="G1887" i="1"/>
  <c r="J1887" i="1"/>
  <c r="K1887" i="1"/>
  <c r="BF1887" i="1"/>
  <c r="BG1887" i="1"/>
  <c r="E6029" i="1"/>
  <c r="G6029" i="1"/>
  <c r="J6029" i="1"/>
  <c r="K6029" i="1"/>
  <c r="BE6029" i="1"/>
  <c r="BG6029" i="1"/>
  <c r="E325" i="1"/>
  <c r="G325" i="1"/>
  <c r="J325" i="1"/>
  <c r="K325" i="1"/>
  <c r="BF325" i="1"/>
  <c r="BG325" i="1"/>
  <c r="E4351" i="1"/>
  <c r="G4351" i="1"/>
  <c r="J4351" i="1"/>
  <c r="K4351" i="1"/>
  <c r="BE4351" i="1"/>
  <c r="BF4351" i="1"/>
  <c r="BG4351" i="1"/>
  <c r="E2949" i="1"/>
  <c r="G2949" i="1"/>
  <c r="J2949" i="1"/>
  <c r="K2949" i="1"/>
  <c r="BE2949" i="1"/>
  <c r="BF2949" i="1"/>
  <c r="BG2949" i="1"/>
  <c r="E2950" i="1"/>
  <c r="G2950" i="1"/>
  <c r="J2950" i="1"/>
  <c r="K2950" i="1"/>
  <c r="BE2950" i="1"/>
  <c r="BF2950" i="1"/>
  <c r="BG2950" i="1"/>
  <c r="E2951" i="1"/>
  <c r="G2951" i="1"/>
  <c r="J2951" i="1"/>
  <c r="K2951" i="1"/>
  <c r="BE2951" i="1"/>
  <c r="BF2951" i="1"/>
  <c r="BG2951" i="1"/>
  <c r="E2952" i="1"/>
  <c r="G2952" i="1"/>
  <c r="J2952" i="1"/>
  <c r="K2952" i="1"/>
  <c r="BE2952" i="1"/>
  <c r="BF2952" i="1"/>
  <c r="BG2952" i="1"/>
  <c r="E2953" i="1"/>
  <c r="G2953" i="1"/>
  <c r="J2953" i="1"/>
  <c r="K2953" i="1"/>
  <c r="BE2953" i="1"/>
  <c r="BF2953" i="1"/>
  <c r="BG2953" i="1"/>
  <c r="E2954" i="1"/>
  <c r="G2954" i="1"/>
  <c r="J2954" i="1"/>
  <c r="K2954" i="1"/>
  <c r="BE2954" i="1"/>
  <c r="BF2954" i="1"/>
  <c r="BG2954" i="1"/>
  <c r="E2955" i="1"/>
  <c r="G2955" i="1"/>
  <c r="J2955" i="1"/>
  <c r="K2955" i="1"/>
  <c r="BE2955" i="1"/>
  <c r="BF2955" i="1"/>
  <c r="BG2955" i="1"/>
  <c r="E2956" i="1"/>
  <c r="G2956" i="1"/>
  <c r="J2956" i="1"/>
  <c r="K2956" i="1"/>
  <c r="BE2956" i="1"/>
  <c r="BF2956" i="1"/>
  <c r="BG2956" i="1"/>
  <c r="E2957" i="1"/>
  <c r="G2957" i="1"/>
  <c r="J2957" i="1"/>
  <c r="K2957" i="1"/>
  <c r="BE2957" i="1"/>
  <c r="BF2957" i="1"/>
  <c r="BG2957" i="1"/>
  <c r="E2958" i="1"/>
  <c r="G2958" i="1"/>
  <c r="J2958" i="1"/>
  <c r="K2958" i="1"/>
  <c r="BE2958" i="1"/>
  <c r="BF2958" i="1"/>
  <c r="BG2958" i="1"/>
  <c r="E2959" i="1"/>
  <c r="G2959" i="1"/>
  <c r="J2959" i="1"/>
  <c r="K2959" i="1"/>
  <c r="BE2959" i="1"/>
  <c r="BF2959" i="1"/>
  <c r="BG2959" i="1"/>
  <c r="E2960" i="1"/>
  <c r="G2960" i="1"/>
  <c r="J2960" i="1"/>
  <c r="K2960" i="1"/>
  <c r="BE2960" i="1"/>
  <c r="BF2960" i="1"/>
  <c r="BG2960" i="1"/>
  <c r="E2961" i="1"/>
  <c r="G2961" i="1"/>
  <c r="J2961" i="1"/>
  <c r="K2961" i="1"/>
  <c r="BE2961" i="1"/>
  <c r="BF2961" i="1"/>
  <c r="BG2961" i="1"/>
  <c r="E465" i="1"/>
  <c r="G465" i="1"/>
  <c r="J465" i="1"/>
  <c r="K465" i="1"/>
  <c r="BC465" i="1"/>
  <c r="BE465" i="1"/>
  <c r="BF465" i="1"/>
  <c r="BG465" i="1"/>
  <c r="E1888" i="1"/>
  <c r="G1888" i="1"/>
  <c r="J1888" i="1"/>
  <c r="K1888" i="1"/>
  <c r="BF1888" i="1"/>
  <c r="BG1888" i="1"/>
  <c r="E6809" i="1"/>
  <c r="G6809" i="1"/>
  <c r="J6809" i="1"/>
  <c r="K6809" i="1"/>
  <c r="BE6809" i="1"/>
  <c r="BF6809" i="1"/>
  <c r="BG6809" i="1"/>
  <c r="E4352" i="1"/>
  <c r="G4352" i="1"/>
  <c r="J4352" i="1"/>
  <c r="K4352" i="1"/>
  <c r="BE4352" i="1"/>
  <c r="BF4352" i="1"/>
  <c r="BG4352" i="1"/>
  <c r="E3666" i="1"/>
  <c r="G3666" i="1"/>
  <c r="J3666" i="1"/>
  <c r="K3666" i="1"/>
  <c r="BE3666" i="1"/>
  <c r="BF3666" i="1"/>
  <c r="BG3666" i="1"/>
  <c r="E4230" i="1"/>
  <c r="G4230" i="1"/>
  <c r="J4230" i="1"/>
  <c r="K4230" i="1"/>
  <c r="BE4230" i="1"/>
  <c r="BF4230" i="1"/>
  <c r="BG4230" i="1"/>
  <c r="E2461" i="1"/>
  <c r="G2461" i="1"/>
  <c r="J2461" i="1"/>
  <c r="K2461" i="1"/>
  <c r="BE2461" i="1"/>
  <c r="BF2461" i="1"/>
  <c r="BG2461" i="1"/>
  <c r="E2462" i="1"/>
  <c r="G2462" i="1"/>
  <c r="J2462" i="1"/>
  <c r="K2462" i="1"/>
  <c r="BE2462" i="1"/>
  <c r="BF2462" i="1"/>
  <c r="BG2462" i="1"/>
  <c r="E2463" i="1"/>
  <c r="G2463" i="1"/>
  <c r="J2463" i="1"/>
  <c r="K2463" i="1"/>
  <c r="BE2463" i="1"/>
  <c r="BF2463" i="1"/>
  <c r="BG2463" i="1"/>
  <c r="E2464" i="1"/>
  <c r="G2464" i="1"/>
  <c r="J2464" i="1"/>
  <c r="K2464" i="1"/>
  <c r="BE2464" i="1"/>
  <c r="BF2464" i="1"/>
  <c r="BG2464" i="1"/>
  <c r="E2465" i="1"/>
  <c r="G2465" i="1"/>
  <c r="J2465" i="1"/>
  <c r="K2465" i="1"/>
  <c r="BE2465" i="1"/>
  <c r="BF2465" i="1"/>
  <c r="BG2465" i="1"/>
  <c r="E2466" i="1"/>
  <c r="G2466" i="1"/>
  <c r="J2466" i="1"/>
  <c r="K2466" i="1"/>
  <c r="BE2466" i="1"/>
  <c r="BF2466" i="1"/>
  <c r="BG2466" i="1"/>
  <c r="E2467" i="1"/>
  <c r="G2467" i="1"/>
  <c r="J2467" i="1"/>
  <c r="K2467" i="1"/>
  <c r="BE2467" i="1"/>
  <c r="BF2467" i="1"/>
  <c r="BG2467" i="1"/>
  <c r="E2468" i="1"/>
  <c r="G2468" i="1"/>
  <c r="J2468" i="1"/>
  <c r="K2468" i="1"/>
  <c r="BE2468" i="1"/>
  <c r="BF2468" i="1"/>
  <c r="BG2468" i="1"/>
  <c r="E2469" i="1"/>
  <c r="G2469" i="1"/>
  <c r="J2469" i="1"/>
  <c r="K2469" i="1"/>
  <c r="BE2469" i="1"/>
  <c r="BF2469" i="1"/>
  <c r="BG2469" i="1"/>
  <c r="E2470" i="1"/>
  <c r="G2470" i="1"/>
  <c r="J2470" i="1"/>
  <c r="K2470" i="1"/>
  <c r="BE2470" i="1"/>
  <c r="BF2470" i="1"/>
  <c r="BG2470" i="1"/>
  <c r="E2471" i="1"/>
  <c r="G2471" i="1"/>
  <c r="J2471" i="1"/>
  <c r="K2471" i="1"/>
  <c r="BE2471" i="1"/>
  <c r="BF2471" i="1"/>
  <c r="BG2471" i="1"/>
  <c r="E2472" i="1"/>
  <c r="G2472" i="1"/>
  <c r="J2472" i="1"/>
  <c r="K2472" i="1"/>
  <c r="BE2472" i="1"/>
  <c r="BF2472" i="1"/>
  <c r="BG2472" i="1"/>
  <c r="E2473" i="1"/>
  <c r="G2473" i="1"/>
  <c r="J2473" i="1"/>
  <c r="K2473" i="1"/>
  <c r="BE2473" i="1"/>
  <c r="BF2473" i="1"/>
  <c r="BG2473" i="1"/>
  <c r="E2474" i="1"/>
  <c r="G2474" i="1"/>
  <c r="J2474" i="1"/>
  <c r="K2474" i="1"/>
  <c r="BE2474" i="1"/>
  <c r="BF2474" i="1"/>
  <c r="BG2474" i="1"/>
  <c r="E2475" i="1"/>
  <c r="G2475" i="1"/>
  <c r="J2475" i="1"/>
  <c r="K2475" i="1"/>
  <c r="BE2475" i="1"/>
  <c r="BF2475" i="1"/>
  <c r="BG2475" i="1"/>
  <c r="E2476" i="1"/>
  <c r="G2476" i="1"/>
  <c r="J2476" i="1"/>
  <c r="K2476" i="1"/>
  <c r="BE2476" i="1"/>
  <c r="BF2476" i="1"/>
  <c r="BG2476" i="1"/>
  <c r="E2477" i="1"/>
  <c r="G2477" i="1"/>
  <c r="J2477" i="1"/>
  <c r="K2477" i="1"/>
  <c r="BE2477" i="1"/>
  <c r="BF2477" i="1"/>
  <c r="BG2477" i="1"/>
  <c r="E2478" i="1"/>
  <c r="G2478" i="1"/>
  <c r="J2478" i="1"/>
  <c r="K2478" i="1"/>
  <c r="BE2478" i="1"/>
  <c r="BF2478" i="1"/>
  <c r="BG2478" i="1"/>
  <c r="E2479" i="1"/>
  <c r="G2479" i="1"/>
  <c r="J2479" i="1"/>
  <c r="K2479" i="1"/>
  <c r="BE2479" i="1"/>
  <c r="BF2479" i="1"/>
  <c r="BG2479" i="1"/>
  <c r="E2480" i="1"/>
  <c r="G2480" i="1"/>
  <c r="J2480" i="1"/>
  <c r="K2480" i="1"/>
  <c r="BE2480" i="1"/>
  <c r="BF2480" i="1"/>
  <c r="BG2480" i="1"/>
  <c r="E2481" i="1"/>
  <c r="G2481" i="1"/>
  <c r="J2481" i="1"/>
  <c r="K2481" i="1"/>
  <c r="BE2481" i="1"/>
  <c r="BF2481" i="1"/>
  <c r="BG2481" i="1"/>
  <c r="E2482" i="1"/>
  <c r="G2482" i="1"/>
  <c r="J2482" i="1"/>
  <c r="K2482" i="1"/>
  <c r="BE2482" i="1"/>
  <c r="BF2482" i="1"/>
  <c r="BG2482" i="1"/>
  <c r="E2483" i="1"/>
  <c r="G2483" i="1"/>
  <c r="J2483" i="1"/>
  <c r="K2483" i="1"/>
  <c r="BE2483" i="1"/>
  <c r="BF2483" i="1"/>
  <c r="BG2483" i="1"/>
  <c r="E2484" i="1"/>
  <c r="G2484" i="1"/>
  <c r="J2484" i="1"/>
  <c r="K2484" i="1"/>
  <c r="BE2484" i="1"/>
  <c r="BF2484" i="1"/>
  <c r="BG2484" i="1"/>
  <c r="E2485" i="1"/>
  <c r="G2485" i="1"/>
  <c r="J2485" i="1"/>
  <c r="K2485" i="1"/>
  <c r="BE2485" i="1"/>
  <c r="BG2485" i="1"/>
  <c r="E1889" i="1"/>
  <c r="G1889" i="1"/>
  <c r="J1889" i="1"/>
  <c r="K1889" i="1"/>
  <c r="BF1889" i="1"/>
  <c r="BG1889" i="1"/>
  <c r="E748" i="1"/>
  <c r="G748" i="1"/>
  <c r="J748" i="1"/>
  <c r="K748" i="1"/>
  <c r="BE748" i="1"/>
  <c r="BF748" i="1"/>
  <c r="BG748" i="1"/>
  <c r="E3380" i="1"/>
  <c r="G3380" i="1"/>
  <c r="J3380" i="1"/>
  <c r="K3380" i="1"/>
  <c r="BE3380" i="1"/>
  <c r="BF3380" i="1"/>
  <c r="BG3380" i="1"/>
  <c r="E6810" i="1"/>
  <c r="G6810" i="1"/>
  <c r="J6810" i="1"/>
  <c r="K6810" i="1"/>
  <c r="BE6810" i="1"/>
  <c r="BF6810" i="1"/>
  <c r="BG6810" i="1"/>
  <c r="E3667" i="1"/>
  <c r="G3667" i="1"/>
  <c r="J3667" i="1"/>
  <c r="K3667" i="1"/>
  <c r="BE3667" i="1"/>
  <c r="BF3667" i="1"/>
  <c r="BG3667" i="1"/>
  <c r="E4831" i="1"/>
  <c r="G4831" i="1"/>
  <c r="J4831" i="1"/>
  <c r="K4831" i="1"/>
  <c r="BE4831" i="1"/>
  <c r="BF4831" i="1"/>
  <c r="BG4831" i="1"/>
  <c r="E5857" i="1"/>
  <c r="G5857" i="1"/>
  <c r="J5857" i="1"/>
  <c r="K5857" i="1"/>
  <c r="BE5857" i="1"/>
  <c r="BF5857" i="1"/>
  <c r="BG5857" i="1"/>
  <c r="E4353" i="1"/>
  <c r="G4353" i="1"/>
  <c r="J4353" i="1"/>
  <c r="K4353" i="1"/>
  <c r="BE4353" i="1"/>
  <c r="BF4353" i="1"/>
  <c r="BG4353" i="1"/>
  <c r="E1890" i="1"/>
  <c r="G1890" i="1"/>
  <c r="J1890" i="1"/>
  <c r="K1890" i="1"/>
  <c r="BF1890" i="1"/>
  <c r="BG1890" i="1"/>
  <c r="E5858" i="1"/>
  <c r="G5858" i="1"/>
  <c r="J5858" i="1"/>
  <c r="K5858" i="1"/>
  <c r="BE5858" i="1"/>
  <c r="BF5858" i="1"/>
  <c r="BG5858" i="1"/>
  <c r="E2962" i="1"/>
  <c r="G2962" i="1"/>
  <c r="J2962" i="1"/>
  <c r="K2962" i="1"/>
  <c r="BC2962" i="1"/>
  <c r="BE2962" i="1"/>
  <c r="BF2962" i="1"/>
  <c r="BG2962" i="1"/>
  <c r="E53" i="1"/>
  <c r="G53" i="1"/>
  <c r="J53" i="1"/>
  <c r="K53" i="1"/>
  <c r="BF53" i="1"/>
  <c r="BG53" i="1"/>
  <c r="E3381" i="1"/>
  <c r="G3381" i="1"/>
  <c r="J3381" i="1"/>
  <c r="K3381" i="1"/>
  <c r="BE3381" i="1"/>
  <c r="BF3381" i="1"/>
  <c r="BG3381" i="1"/>
  <c r="E6811" i="1"/>
  <c r="G6811" i="1"/>
  <c r="J6811" i="1"/>
  <c r="K6811" i="1"/>
  <c r="BE6811" i="1"/>
  <c r="BF6811" i="1"/>
  <c r="BG6811" i="1"/>
  <c r="E1891" i="1"/>
  <c r="G1891" i="1"/>
  <c r="J1891" i="1"/>
  <c r="K1891" i="1"/>
  <c r="BF1891" i="1"/>
  <c r="BG1891" i="1"/>
  <c r="E5859" i="1"/>
  <c r="G5859" i="1"/>
  <c r="J5859" i="1"/>
  <c r="K5859" i="1"/>
  <c r="BE5859" i="1"/>
  <c r="BF5859" i="1"/>
  <c r="BG5859" i="1"/>
  <c r="E4354" i="1"/>
  <c r="G4354" i="1"/>
  <c r="J4354" i="1"/>
  <c r="K4354" i="1"/>
  <c r="BE4354" i="1"/>
  <c r="BF4354" i="1"/>
  <c r="BG4354" i="1"/>
  <c r="E6030" i="1"/>
  <c r="G6030" i="1"/>
  <c r="J6030" i="1"/>
  <c r="K6030" i="1"/>
  <c r="BE6030" i="1"/>
  <c r="BF6030" i="1"/>
  <c r="BG6030" i="1"/>
  <c r="E3668" i="1"/>
  <c r="G3668" i="1"/>
  <c r="J3668" i="1"/>
  <c r="K3668" i="1"/>
  <c r="BE3668" i="1"/>
  <c r="BF3668" i="1"/>
  <c r="BG3668" i="1"/>
  <c r="E4832" i="1"/>
  <c r="G4832" i="1"/>
  <c r="J4832" i="1"/>
  <c r="K4832" i="1"/>
  <c r="BE4832" i="1"/>
  <c r="BF4832" i="1"/>
  <c r="BG4832" i="1"/>
  <c r="E5860" i="1"/>
  <c r="G5860" i="1"/>
  <c r="J5860" i="1"/>
  <c r="K5860" i="1"/>
  <c r="BE5860" i="1"/>
  <c r="BF5860" i="1"/>
  <c r="BG5860" i="1"/>
  <c r="E75" i="1"/>
  <c r="G75" i="1"/>
  <c r="J75" i="1"/>
  <c r="K75" i="1"/>
  <c r="BE75" i="1"/>
  <c r="BF75" i="1"/>
  <c r="BG75" i="1"/>
  <c r="E2963" i="1"/>
  <c r="G2963" i="1"/>
  <c r="J2963" i="1"/>
  <c r="K2963" i="1"/>
  <c r="BE2963" i="1"/>
  <c r="BF2963" i="1"/>
  <c r="BG2963" i="1"/>
  <c r="E5861" i="1"/>
  <c r="G5861" i="1"/>
  <c r="J5861" i="1"/>
  <c r="K5861" i="1"/>
  <c r="BE5861" i="1"/>
  <c r="BF5861" i="1"/>
  <c r="BG5861" i="1"/>
  <c r="E5862" i="1"/>
  <c r="G5862" i="1"/>
  <c r="J5862" i="1"/>
  <c r="K5862" i="1"/>
  <c r="BE5862" i="1"/>
  <c r="BF5862" i="1"/>
  <c r="BG5862" i="1"/>
  <c r="E5863" i="1"/>
  <c r="G5863" i="1"/>
  <c r="J5863" i="1"/>
  <c r="K5863" i="1"/>
  <c r="BE5863" i="1"/>
  <c r="BF5863" i="1"/>
  <c r="BG5863" i="1"/>
  <c r="E3382" i="1"/>
  <c r="G3382" i="1"/>
  <c r="J3382" i="1"/>
  <c r="K3382" i="1"/>
  <c r="BE3382" i="1"/>
  <c r="BF3382" i="1"/>
  <c r="BG3382" i="1"/>
  <c r="E6812" i="1"/>
  <c r="G6812" i="1"/>
  <c r="J6812" i="1"/>
  <c r="K6812" i="1"/>
  <c r="BE6812" i="1"/>
  <c r="BF6812" i="1"/>
  <c r="BG6812" i="1"/>
  <c r="E2201" i="1"/>
  <c r="G2201" i="1"/>
  <c r="J2201" i="1"/>
  <c r="K2201" i="1"/>
  <c r="BE2201" i="1"/>
  <c r="BF2201" i="1"/>
  <c r="BG2201" i="1"/>
  <c r="E6520" i="1"/>
  <c r="G6520" i="1"/>
  <c r="J6520" i="1"/>
  <c r="K6520" i="1"/>
  <c r="BE6520" i="1"/>
  <c r="BF6520" i="1"/>
  <c r="BG6520" i="1"/>
  <c r="E785" i="1"/>
  <c r="G785" i="1"/>
  <c r="J785" i="1"/>
  <c r="K785" i="1"/>
  <c r="BE785" i="1"/>
  <c r="BF785" i="1"/>
  <c r="BG785" i="1"/>
  <c r="E6633" i="1"/>
  <c r="G6633" i="1"/>
  <c r="J6633" i="1"/>
  <c r="K6633" i="1"/>
  <c r="BE6633" i="1"/>
  <c r="BF6633" i="1"/>
  <c r="BG6633" i="1"/>
  <c r="E3669" i="1"/>
  <c r="G3669" i="1"/>
  <c r="J3669" i="1"/>
  <c r="K3669" i="1"/>
  <c r="BE3669" i="1"/>
  <c r="BF3669" i="1"/>
  <c r="BG3669" i="1"/>
  <c r="E4231" i="1"/>
  <c r="G4231" i="1"/>
  <c r="J4231" i="1"/>
  <c r="K4231" i="1"/>
  <c r="BE4231" i="1"/>
  <c r="BF4231" i="1"/>
  <c r="BG4231" i="1"/>
  <c r="E6521" i="1"/>
  <c r="G6521" i="1"/>
  <c r="J6521" i="1"/>
  <c r="K6521" i="1"/>
  <c r="BE6521" i="1"/>
  <c r="BF6521" i="1"/>
  <c r="BG6521" i="1"/>
  <c r="E3670" i="1"/>
  <c r="G3670" i="1"/>
  <c r="J3670" i="1"/>
  <c r="K3670" i="1"/>
  <c r="BE3670" i="1"/>
  <c r="BF3670" i="1"/>
  <c r="BG3670" i="1"/>
  <c r="E627" i="1"/>
  <c r="G627" i="1"/>
  <c r="J627" i="1"/>
  <c r="K627" i="1"/>
  <c r="BE627" i="1"/>
  <c r="BF627" i="1"/>
  <c r="BG627" i="1"/>
  <c r="BH627" i="1"/>
  <c r="E2202" i="1"/>
  <c r="G2202" i="1"/>
  <c r="J2202" i="1"/>
  <c r="K2202" i="1"/>
  <c r="BE2202" i="1"/>
  <c r="BF2202" i="1"/>
  <c r="BG2202" i="1"/>
  <c r="E4355" i="1"/>
  <c r="G4355" i="1"/>
  <c r="J4355" i="1"/>
  <c r="K4355" i="1"/>
  <c r="BE4355" i="1"/>
  <c r="BF4355" i="1"/>
  <c r="BG4355" i="1"/>
  <c r="E5864" i="1"/>
  <c r="G5864" i="1"/>
  <c r="J5864" i="1"/>
  <c r="K5864" i="1"/>
  <c r="BE5864" i="1"/>
  <c r="BF5864" i="1"/>
  <c r="BG5864" i="1"/>
  <c r="E1011" i="1"/>
  <c r="G1011" i="1"/>
  <c r="J1011" i="1"/>
  <c r="K1011" i="1"/>
  <c r="BE1011" i="1"/>
  <c r="BF1011" i="1"/>
  <c r="BG1011" i="1"/>
  <c r="E251" i="1"/>
  <c r="G251" i="1"/>
  <c r="J251" i="1"/>
  <c r="K251" i="1"/>
  <c r="BE251" i="1"/>
  <c r="BF251" i="1"/>
  <c r="BG251" i="1"/>
  <c r="E6522" i="1"/>
  <c r="G6522" i="1"/>
  <c r="J6522" i="1"/>
  <c r="K6522" i="1"/>
  <c r="BE6522" i="1"/>
  <c r="BF6522" i="1"/>
  <c r="BG6522" i="1"/>
  <c r="E2964" i="1"/>
  <c r="G2964" i="1"/>
  <c r="J2964" i="1"/>
  <c r="K2964" i="1"/>
  <c r="BC2964" i="1"/>
  <c r="BE2964" i="1"/>
  <c r="BF2964" i="1"/>
  <c r="BG2964" i="1"/>
  <c r="E3671" i="1"/>
  <c r="G3671" i="1"/>
  <c r="J3671" i="1"/>
  <c r="K3671" i="1"/>
  <c r="BE3671" i="1"/>
  <c r="BF3671" i="1"/>
  <c r="BG3671" i="1"/>
  <c r="E4833" i="1"/>
  <c r="G4833" i="1"/>
  <c r="J4833" i="1"/>
  <c r="K4833" i="1"/>
  <c r="BE4833" i="1"/>
  <c r="BF4833" i="1"/>
  <c r="BG4833" i="1"/>
  <c r="E4356" i="1"/>
  <c r="G4356" i="1"/>
  <c r="J4356" i="1"/>
  <c r="K4356" i="1"/>
  <c r="BE4356" i="1"/>
  <c r="BF4356" i="1"/>
  <c r="BG4356" i="1"/>
  <c r="E7" i="1"/>
  <c r="G7" i="1"/>
  <c r="J7" i="1"/>
  <c r="K7" i="1"/>
  <c r="BE7" i="1"/>
  <c r="BF7" i="1"/>
  <c r="BG7" i="1"/>
  <c r="E6634" i="1"/>
  <c r="G6634" i="1"/>
  <c r="J6634" i="1"/>
  <c r="K6634" i="1"/>
  <c r="BE6634" i="1"/>
  <c r="BF6634" i="1"/>
  <c r="BG6634" i="1"/>
  <c r="E5865" i="1"/>
  <c r="G5865" i="1"/>
  <c r="J5865" i="1"/>
  <c r="K5865" i="1"/>
  <c r="BE5865" i="1"/>
  <c r="BF5865" i="1"/>
  <c r="BG5865" i="1"/>
  <c r="E252" i="1"/>
  <c r="G252" i="1"/>
  <c r="J252" i="1"/>
  <c r="K252" i="1"/>
  <c r="BE252" i="1"/>
  <c r="BF252" i="1"/>
  <c r="BG252" i="1"/>
  <c r="E253" i="1"/>
  <c r="G253" i="1"/>
  <c r="J253" i="1"/>
  <c r="K253" i="1"/>
  <c r="BE253" i="1"/>
  <c r="BF253" i="1"/>
  <c r="BG253" i="1"/>
  <c r="E3672" i="1"/>
  <c r="G3672" i="1"/>
  <c r="J3672" i="1"/>
  <c r="K3672" i="1"/>
  <c r="BE3672" i="1"/>
  <c r="BF3672" i="1"/>
  <c r="BG3672" i="1"/>
  <c r="E5866" i="1"/>
  <c r="G5866" i="1"/>
  <c r="J5866" i="1"/>
  <c r="K5866" i="1"/>
  <c r="BE5866" i="1"/>
  <c r="BF5866" i="1"/>
  <c r="BG5866" i="1"/>
  <c r="E5867" i="1"/>
  <c r="G5867" i="1"/>
  <c r="J5867" i="1"/>
  <c r="K5867" i="1"/>
  <c r="BE5867" i="1"/>
  <c r="BF5867" i="1"/>
  <c r="BG5867" i="1"/>
  <c r="E5868" i="1"/>
  <c r="G5868" i="1"/>
  <c r="J5868" i="1"/>
  <c r="K5868" i="1"/>
  <c r="BE5868" i="1"/>
  <c r="BF5868" i="1"/>
  <c r="BG5868" i="1"/>
  <c r="E5869" i="1"/>
  <c r="G5869" i="1"/>
  <c r="J5869" i="1"/>
  <c r="K5869" i="1"/>
  <c r="BE5869" i="1"/>
  <c r="BF5869" i="1"/>
  <c r="BG5869" i="1"/>
  <c r="E5870" i="1"/>
  <c r="G5870" i="1"/>
  <c r="J5870" i="1"/>
  <c r="K5870" i="1"/>
  <c r="BE5870" i="1"/>
  <c r="BF5870" i="1"/>
  <c r="BG5870" i="1"/>
  <c r="E5871" i="1"/>
  <c r="G5871" i="1"/>
  <c r="J5871" i="1"/>
  <c r="K5871" i="1"/>
  <c r="BE5871" i="1"/>
  <c r="BF5871" i="1"/>
  <c r="BG5871" i="1"/>
  <c r="E5872" i="1"/>
  <c r="G5872" i="1"/>
  <c r="J5872" i="1"/>
  <c r="K5872" i="1"/>
  <c r="BE5872" i="1"/>
  <c r="BF5872" i="1"/>
  <c r="BG5872" i="1"/>
  <c r="E5873" i="1"/>
  <c r="G5873" i="1"/>
  <c r="J5873" i="1"/>
  <c r="K5873" i="1"/>
  <c r="BE5873" i="1"/>
  <c r="BF5873" i="1"/>
  <c r="BG5873" i="1"/>
  <c r="E5874" i="1"/>
  <c r="G5874" i="1"/>
  <c r="J5874" i="1"/>
  <c r="K5874" i="1"/>
  <c r="BE5874" i="1"/>
  <c r="BF5874" i="1"/>
  <c r="BG5874" i="1"/>
  <c r="E5875" i="1"/>
  <c r="G5875" i="1"/>
  <c r="J5875" i="1"/>
  <c r="K5875" i="1"/>
  <c r="BE5875" i="1"/>
  <c r="BF5875" i="1"/>
  <c r="BG5875" i="1"/>
  <c r="E5876" i="1"/>
  <c r="G5876" i="1"/>
  <c r="J5876" i="1"/>
  <c r="K5876" i="1"/>
  <c r="BE5876" i="1"/>
  <c r="BF5876" i="1"/>
  <c r="BG5876" i="1"/>
  <c r="E5877" i="1"/>
  <c r="G5877" i="1"/>
  <c r="J5877" i="1"/>
  <c r="K5877" i="1"/>
  <c r="BE5877" i="1"/>
  <c r="BF5877" i="1"/>
  <c r="BG5877" i="1"/>
  <c r="E5878" i="1"/>
  <c r="G5878" i="1"/>
  <c r="J5878" i="1"/>
  <c r="K5878" i="1"/>
  <c r="BE5878" i="1"/>
  <c r="BF5878" i="1"/>
  <c r="BG5878" i="1"/>
  <c r="E5879" i="1"/>
  <c r="G5879" i="1"/>
  <c r="J5879" i="1"/>
  <c r="K5879" i="1"/>
  <c r="BE5879" i="1"/>
  <c r="BF5879" i="1"/>
  <c r="BG5879" i="1"/>
  <c r="E5880" i="1"/>
  <c r="G5880" i="1"/>
  <c r="J5880" i="1"/>
  <c r="K5880" i="1"/>
  <c r="BE5880" i="1"/>
  <c r="BF5880" i="1"/>
  <c r="BG5880" i="1"/>
  <c r="E5881" i="1"/>
  <c r="G5881" i="1"/>
  <c r="J5881" i="1"/>
  <c r="K5881" i="1"/>
  <c r="BE5881" i="1"/>
  <c r="BF5881" i="1"/>
  <c r="BG5881" i="1"/>
  <c r="E5882" i="1"/>
  <c r="G5882" i="1"/>
  <c r="J5882" i="1"/>
  <c r="K5882" i="1"/>
  <c r="BE5882" i="1"/>
  <c r="BF5882" i="1"/>
  <c r="BG5882" i="1"/>
  <c r="E5883" i="1"/>
  <c r="G5883" i="1"/>
  <c r="J5883" i="1"/>
  <c r="K5883" i="1"/>
  <c r="BE5883" i="1"/>
  <c r="BF5883" i="1"/>
  <c r="BG5883" i="1"/>
  <c r="E5884" i="1"/>
  <c r="G5884" i="1"/>
  <c r="J5884" i="1"/>
  <c r="K5884" i="1"/>
  <c r="BE5884" i="1"/>
  <c r="BF5884" i="1"/>
  <c r="BG5884" i="1"/>
  <c r="E5885" i="1"/>
  <c r="G5885" i="1"/>
  <c r="J5885" i="1"/>
  <c r="K5885" i="1"/>
  <c r="BE5885" i="1"/>
  <c r="BF5885" i="1"/>
  <c r="BG5885" i="1"/>
  <c r="E5886" i="1"/>
  <c r="G5886" i="1"/>
  <c r="J5886" i="1"/>
  <c r="K5886" i="1"/>
  <c r="BE5886" i="1"/>
  <c r="BF5886" i="1"/>
  <c r="BG5886" i="1"/>
  <c r="E5887" i="1"/>
  <c r="G5887" i="1"/>
  <c r="J5887" i="1"/>
  <c r="K5887" i="1"/>
  <c r="BE5887" i="1"/>
  <c r="BF5887" i="1"/>
  <c r="BG5887" i="1"/>
  <c r="E5888" i="1"/>
  <c r="G5888" i="1"/>
  <c r="J5888" i="1"/>
  <c r="K5888" i="1"/>
  <c r="BE5888" i="1"/>
  <c r="BF5888" i="1"/>
  <c r="BG5888" i="1"/>
  <c r="E5889" i="1"/>
  <c r="G5889" i="1"/>
  <c r="J5889" i="1"/>
  <c r="K5889" i="1"/>
  <c r="BE5889" i="1"/>
  <c r="BF5889" i="1"/>
  <c r="BG5889" i="1"/>
  <c r="E5890" i="1"/>
  <c r="G5890" i="1"/>
  <c r="J5890" i="1"/>
  <c r="K5890" i="1"/>
  <c r="BE5890" i="1"/>
  <c r="BF5890" i="1"/>
  <c r="BG5890" i="1"/>
  <c r="E5891" i="1"/>
  <c r="G5891" i="1"/>
  <c r="J5891" i="1"/>
  <c r="K5891" i="1"/>
  <c r="BE5891" i="1"/>
  <c r="BF5891" i="1"/>
  <c r="BG5891" i="1"/>
  <c r="E5892" i="1"/>
  <c r="G5892" i="1"/>
  <c r="J5892" i="1"/>
  <c r="K5892" i="1"/>
  <c r="BE5892" i="1"/>
  <c r="BF5892" i="1"/>
  <c r="BG5892" i="1"/>
  <c r="E5893" i="1"/>
  <c r="G5893" i="1"/>
  <c r="J5893" i="1"/>
  <c r="K5893" i="1"/>
  <c r="BE5893" i="1"/>
  <c r="BF5893" i="1"/>
  <c r="BG5893" i="1"/>
  <c r="E5894" i="1"/>
  <c r="G5894" i="1"/>
  <c r="J5894" i="1"/>
  <c r="K5894" i="1"/>
  <c r="BE5894" i="1"/>
  <c r="BF5894" i="1"/>
  <c r="BG5894" i="1"/>
  <c r="E5895" i="1"/>
  <c r="G5895" i="1"/>
  <c r="J5895" i="1"/>
  <c r="K5895" i="1"/>
  <c r="BE5895" i="1"/>
  <c r="BF5895" i="1"/>
  <c r="BG5895" i="1"/>
  <c r="E5896" i="1"/>
  <c r="G5896" i="1"/>
  <c r="J5896" i="1"/>
  <c r="K5896" i="1"/>
  <c r="BE5896" i="1"/>
  <c r="BF5896" i="1"/>
  <c r="BG5896" i="1"/>
  <c r="E5897" i="1"/>
  <c r="G5897" i="1"/>
  <c r="J5897" i="1"/>
  <c r="K5897" i="1"/>
  <c r="BE5897" i="1"/>
  <c r="BF5897" i="1"/>
  <c r="BG5897" i="1"/>
  <c r="E5898" i="1"/>
  <c r="G5898" i="1"/>
  <c r="J5898" i="1"/>
  <c r="K5898" i="1"/>
  <c r="BE5898" i="1"/>
  <c r="BF5898" i="1"/>
  <c r="BG5898" i="1"/>
  <c r="E5899" i="1"/>
  <c r="G5899" i="1"/>
  <c r="J5899" i="1"/>
  <c r="K5899" i="1"/>
  <c r="BE5899" i="1"/>
  <c r="BF5899" i="1"/>
  <c r="BG5899" i="1"/>
  <c r="E5900" i="1"/>
  <c r="G5900" i="1"/>
  <c r="J5900" i="1"/>
  <c r="K5900" i="1"/>
  <c r="BE5900" i="1"/>
  <c r="BF5900" i="1"/>
  <c r="BG5900" i="1"/>
  <c r="E5901" i="1"/>
  <c r="G5901" i="1"/>
  <c r="J5901" i="1"/>
  <c r="K5901" i="1"/>
  <c r="BE5901" i="1"/>
  <c r="BF5901" i="1"/>
  <c r="BG5901" i="1"/>
  <c r="E5902" i="1"/>
  <c r="G5902" i="1"/>
  <c r="J5902" i="1"/>
  <c r="K5902" i="1"/>
  <c r="BE5902" i="1"/>
  <c r="BF5902" i="1"/>
  <c r="BG5902" i="1"/>
  <c r="E5903" i="1"/>
  <c r="G5903" i="1"/>
  <c r="J5903" i="1"/>
  <c r="K5903" i="1"/>
  <c r="BE5903" i="1"/>
  <c r="BF5903" i="1"/>
  <c r="BG5903" i="1"/>
  <c r="E5904" i="1"/>
  <c r="G5904" i="1"/>
  <c r="J5904" i="1"/>
  <c r="K5904" i="1"/>
  <c r="BE5904" i="1"/>
  <c r="BF5904" i="1"/>
  <c r="BG5904" i="1"/>
  <c r="E5905" i="1"/>
  <c r="G5905" i="1"/>
  <c r="J5905" i="1"/>
  <c r="K5905" i="1"/>
  <c r="BE5905" i="1"/>
  <c r="BF5905" i="1"/>
  <c r="BG5905" i="1"/>
  <c r="E5906" i="1"/>
  <c r="G5906" i="1"/>
  <c r="J5906" i="1"/>
  <c r="K5906" i="1"/>
  <c r="BE5906" i="1"/>
  <c r="BF5906" i="1"/>
  <c r="BG5906" i="1"/>
  <c r="E5907" i="1"/>
  <c r="G5907" i="1"/>
  <c r="J5907" i="1"/>
  <c r="K5907" i="1"/>
  <c r="BE5907" i="1"/>
  <c r="BF5907" i="1"/>
  <c r="BG5907" i="1"/>
  <c r="E5908" i="1"/>
  <c r="G5908" i="1"/>
  <c r="J5908" i="1"/>
  <c r="K5908" i="1"/>
  <c r="BE5908" i="1"/>
  <c r="BF5908" i="1"/>
  <c r="BG5908" i="1"/>
  <c r="E5909" i="1"/>
  <c r="G5909" i="1"/>
  <c r="J5909" i="1"/>
  <c r="K5909" i="1"/>
  <c r="BE5909" i="1"/>
  <c r="BF5909" i="1"/>
  <c r="BG5909" i="1"/>
  <c r="E5910" i="1"/>
  <c r="G5910" i="1"/>
  <c r="J5910" i="1"/>
  <c r="K5910" i="1"/>
  <c r="BE5910" i="1"/>
  <c r="BF5910" i="1"/>
  <c r="BG5910" i="1"/>
  <c r="E5911" i="1"/>
  <c r="G5911" i="1"/>
  <c r="J5911" i="1"/>
  <c r="K5911" i="1"/>
  <c r="BE5911" i="1"/>
  <c r="BF5911" i="1"/>
  <c r="BG5911" i="1"/>
  <c r="E5912" i="1"/>
  <c r="G5912" i="1"/>
  <c r="J5912" i="1"/>
  <c r="K5912" i="1"/>
  <c r="BE5912" i="1"/>
  <c r="BF5912" i="1"/>
  <c r="BG5912" i="1"/>
  <c r="E5913" i="1"/>
  <c r="G5913" i="1"/>
  <c r="J5913" i="1"/>
  <c r="K5913" i="1"/>
  <c r="BE5913" i="1"/>
  <c r="BF5913" i="1"/>
  <c r="BG5913" i="1"/>
  <c r="E5914" i="1"/>
  <c r="G5914" i="1"/>
  <c r="J5914" i="1"/>
  <c r="K5914" i="1"/>
  <c r="BE5914" i="1"/>
  <c r="BF5914" i="1"/>
  <c r="BG5914" i="1"/>
  <c r="E5915" i="1"/>
  <c r="G5915" i="1"/>
  <c r="J5915" i="1"/>
  <c r="K5915" i="1"/>
  <c r="BE5915" i="1"/>
  <c r="BF5915" i="1"/>
  <c r="BG5915" i="1"/>
  <c r="E5916" i="1"/>
  <c r="G5916" i="1"/>
  <c r="J5916" i="1"/>
  <c r="K5916" i="1"/>
  <c r="BE5916" i="1"/>
  <c r="BF5916" i="1"/>
  <c r="BG5916" i="1"/>
  <c r="E5917" i="1"/>
  <c r="G5917" i="1"/>
  <c r="J5917" i="1"/>
  <c r="K5917" i="1"/>
  <c r="BE5917" i="1"/>
  <c r="BF5917" i="1"/>
  <c r="BG5917" i="1"/>
  <c r="E5918" i="1"/>
  <c r="G5918" i="1"/>
  <c r="J5918" i="1"/>
  <c r="K5918" i="1"/>
  <c r="BE5918" i="1"/>
  <c r="BF5918" i="1"/>
  <c r="BG5918" i="1"/>
  <c r="E5919" i="1"/>
  <c r="G5919" i="1"/>
  <c r="J5919" i="1"/>
  <c r="K5919" i="1"/>
  <c r="BE5919" i="1"/>
  <c r="BF5919" i="1"/>
  <c r="BG5919" i="1"/>
  <c r="E5920" i="1"/>
  <c r="G5920" i="1"/>
  <c r="J5920" i="1"/>
  <c r="K5920" i="1"/>
  <c r="BE5920" i="1"/>
  <c r="BF5920" i="1"/>
  <c r="BG5920" i="1"/>
  <c r="E5921" i="1"/>
  <c r="G5921" i="1"/>
  <c r="J5921" i="1"/>
  <c r="K5921" i="1"/>
  <c r="BE5921" i="1"/>
  <c r="BF5921" i="1"/>
  <c r="BG5921" i="1"/>
  <c r="E5922" i="1"/>
  <c r="G5922" i="1"/>
  <c r="J5922" i="1"/>
  <c r="K5922" i="1"/>
  <c r="BE5922" i="1"/>
  <c r="BF5922" i="1"/>
  <c r="BG5922" i="1"/>
  <c r="E5923" i="1"/>
  <c r="G5923" i="1"/>
  <c r="J5923" i="1"/>
  <c r="K5923" i="1"/>
  <c r="BE5923" i="1"/>
  <c r="BF5923" i="1"/>
  <c r="BG5923" i="1"/>
  <c r="E5924" i="1"/>
  <c r="G5924" i="1"/>
  <c r="J5924" i="1"/>
  <c r="K5924" i="1"/>
  <c r="BE5924" i="1"/>
  <c r="BF5924" i="1"/>
  <c r="BG5924" i="1"/>
  <c r="E5925" i="1"/>
  <c r="G5925" i="1"/>
  <c r="J5925" i="1"/>
  <c r="K5925" i="1"/>
  <c r="BE5925" i="1"/>
  <c r="BF5925" i="1"/>
  <c r="BG5925" i="1"/>
  <c r="E5926" i="1"/>
  <c r="G5926" i="1"/>
  <c r="J5926" i="1"/>
  <c r="K5926" i="1"/>
  <c r="BE5926" i="1"/>
  <c r="BF5926" i="1"/>
  <c r="BG5926" i="1"/>
  <c r="E5927" i="1"/>
  <c r="G5927" i="1"/>
  <c r="J5927" i="1"/>
  <c r="K5927" i="1"/>
  <c r="BE5927" i="1"/>
  <c r="BF5927" i="1"/>
  <c r="BG5927" i="1"/>
  <c r="E5928" i="1"/>
  <c r="G5928" i="1"/>
  <c r="J5928" i="1"/>
  <c r="K5928" i="1"/>
  <c r="BE5928" i="1"/>
  <c r="BF5928" i="1"/>
  <c r="BG5928" i="1"/>
  <c r="E5929" i="1"/>
  <c r="G5929" i="1"/>
  <c r="J5929" i="1"/>
  <c r="K5929" i="1"/>
  <c r="BE5929" i="1"/>
  <c r="BF5929" i="1"/>
  <c r="BG5929" i="1"/>
  <c r="E5930" i="1"/>
  <c r="G5930" i="1"/>
  <c r="J5930" i="1"/>
  <c r="K5930" i="1"/>
  <c r="BE5930" i="1"/>
  <c r="BF5930" i="1"/>
  <c r="BG5930" i="1"/>
  <c r="E5931" i="1"/>
  <c r="G5931" i="1"/>
  <c r="J5931" i="1"/>
  <c r="K5931" i="1"/>
  <c r="BE5931" i="1"/>
  <c r="BF5931" i="1"/>
  <c r="BG5931" i="1"/>
  <c r="E5932" i="1"/>
  <c r="G5932" i="1"/>
  <c r="J5932" i="1"/>
  <c r="K5932" i="1"/>
  <c r="BE5932" i="1"/>
  <c r="BF5932" i="1"/>
  <c r="BG5932" i="1"/>
  <c r="E5933" i="1"/>
  <c r="G5933" i="1"/>
  <c r="J5933" i="1"/>
  <c r="K5933" i="1"/>
  <c r="BE5933" i="1"/>
  <c r="BF5933" i="1"/>
  <c r="BG5933" i="1"/>
  <c r="E5934" i="1"/>
  <c r="G5934" i="1"/>
  <c r="J5934" i="1"/>
  <c r="K5934" i="1"/>
  <c r="BE5934" i="1"/>
  <c r="BF5934" i="1"/>
  <c r="BG5934" i="1"/>
  <c r="E5935" i="1"/>
  <c r="G5935" i="1"/>
  <c r="J5935" i="1"/>
  <c r="K5935" i="1"/>
  <c r="BE5935" i="1"/>
  <c r="BF5935" i="1"/>
  <c r="BG5935" i="1"/>
  <c r="E5936" i="1"/>
  <c r="G5936" i="1"/>
  <c r="J5936" i="1"/>
  <c r="K5936" i="1"/>
  <c r="BE5936" i="1"/>
  <c r="BF5936" i="1"/>
  <c r="BG5936" i="1"/>
  <c r="E5937" i="1"/>
  <c r="G5937" i="1"/>
  <c r="J5937" i="1"/>
  <c r="K5937" i="1"/>
  <c r="BE5937" i="1"/>
  <c r="BF5937" i="1"/>
  <c r="BG5937" i="1"/>
  <c r="E2965" i="1"/>
  <c r="G2965" i="1"/>
  <c r="J2965" i="1"/>
  <c r="K2965" i="1"/>
  <c r="BC2965" i="1"/>
  <c r="BE2965" i="1"/>
  <c r="BF2965" i="1"/>
  <c r="BG2965" i="1"/>
  <c r="E4357" i="1"/>
  <c r="G4357" i="1"/>
  <c r="J4357" i="1"/>
  <c r="K4357" i="1"/>
  <c r="BE4357" i="1"/>
  <c r="BF4357" i="1"/>
  <c r="BG4357" i="1"/>
  <c r="E791" i="1"/>
  <c r="G791" i="1"/>
  <c r="J791" i="1"/>
  <c r="K791" i="1"/>
  <c r="BE791" i="1"/>
  <c r="BF791" i="1"/>
  <c r="BG791" i="1"/>
  <c r="E5938" i="1"/>
  <c r="G5938" i="1"/>
  <c r="J5938" i="1"/>
  <c r="K5938" i="1"/>
  <c r="BE5938" i="1"/>
  <c r="BF5938" i="1"/>
  <c r="BG5938" i="1"/>
  <c r="E544" i="1"/>
  <c r="G544" i="1"/>
  <c r="J544" i="1"/>
  <c r="K544" i="1"/>
  <c r="BE544" i="1"/>
  <c r="BF544" i="1"/>
  <c r="BG544" i="1"/>
  <c r="E3673" i="1"/>
  <c r="G3673" i="1"/>
  <c r="J3673" i="1"/>
  <c r="K3673" i="1"/>
  <c r="BE3673" i="1"/>
  <c r="BF3673" i="1"/>
  <c r="BG3673" i="1"/>
  <c r="E2966" i="1"/>
  <c r="G2966" i="1"/>
  <c r="J2966" i="1"/>
  <c r="K2966" i="1"/>
  <c r="BE2966" i="1"/>
  <c r="BF2966" i="1"/>
  <c r="BG2966" i="1"/>
  <c r="E2967" i="1"/>
  <c r="G2967" i="1"/>
  <c r="J2967" i="1"/>
  <c r="K2967" i="1"/>
  <c r="BC2967" i="1"/>
  <c r="BE2967" i="1"/>
  <c r="BF2967" i="1"/>
  <c r="BG2967" i="1"/>
  <c r="E125" i="1"/>
  <c r="G125" i="1"/>
  <c r="J125" i="1"/>
  <c r="K125" i="1"/>
  <c r="BE125" i="1"/>
  <c r="BF125" i="1"/>
  <c r="BG125" i="1"/>
  <c r="E2968" i="1"/>
  <c r="G2968" i="1"/>
  <c r="J2968" i="1"/>
  <c r="K2968" i="1"/>
  <c r="BC2968" i="1"/>
  <c r="BE2968" i="1"/>
  <c r="BF2968" i="1"/>
  <c r="BG2968" i="1"/>
  <c r="E6813" i="1"/>
  <c r="G6813" i="1"/>
  <c r="J6813" i="1"/>
  <c r="K6813" i="1"/>
  <c r="BE6813" i="1"/>
  <c r="BF6813" i="1"/>
  <c r="BG6813" i="1"/>
  <c r="E4358" i="1"/>
  <c r="G4358" i="1"/>
  <c r="J4358" i="1"/>
  <c r="K4358" i="1"/>
  <c r="BE4358" i="1"/>
  <c r="BF4358" i="1"/>
  <c r="BG4358" i="1"/>
  <c r="E3674" i="1"/>
  <c r="G3674" i="1"/>
  <c r="J3674" i="1"/>
  <c r="K3674" i="1"/>
  <c r="BE3674" i="1"/>
  <c r="BF3674" i="1"/>
  <c r="BG3674" i="1"/>
  <c r="E5939" i="1"/>
  <c r="G5939" i="1"/>
  <c r="J5939" i="1"/>
  <c r="K5939" i="1"/>
  <c r="BE5939" i="1"/>
  <c r="BF5939" i="1"/>
  <c r="BG5939" i="1"/>
  <c r="E2969" i="1"/>
  <c r="G2969" i="1"/>
  <c r="J2969" i="1"/>
  <c r="K2969" i="1"/>
  <c r="BE2969" i="1"/>
  <c r="BF2969" i="1"/>
  <c r="BG2969" i="1"/>
  <c r="E4644" i="1"/>
  <c r="G4644" i="1"/>
  <c r="J4644" i="1"/>
  <c r="K4644" i="1"/>
  <c r="BE4644" i="1"/>
  <c r="BF4644" i="1"/>
  <c r="BG4644" i="1"/>
  <c r="E4645" i="1"/>
  <c r="G4645" i="1"/>
  <c r="J4645" i="1"/>
  <c r="K4645" i="1"/>
  <c r="BE4645" i="1"/>
  <c r="BF4645" i="1"/>
  <c r="BG4645" i="1"/>
  <c r="E4646" i="1"/>
  <c r="G4646" i="1"/>
  <c r="J4646" i="1"/>
  <c r="K4646" i="1"/>
  <c r="BE4646" i="1"/>
  <c r="BF4646" i="1"/>
  <c r="BG4646" i="1"/>
  <c r="E6635" i="1"/>
  <c r="G6635" i="1"/>
  <c r="J6635" i="1"/>
  <c r="K6635" i="1"/>
  <c r="BE6635" i="1"/>
  <c r="BF6635" i="1"/>
  <c r="BG6635" i="1"/>
  <c r="E3714" i="1"/>
  <c r="G3714" i="1"/>
  <c r="H3714" i="1"/>
  <c r="J3714" i="1"/>
  <c r="K3714" i="1"/>
  <c r="BE3714" i="1"/>
  <c r="BF3714" i="1"/>
  <c r="BG3714" i="1"/>
  <c r="E2970" i="1"/>
  <c r="G2970" i="1"/>
  <c r="J2970" i="1"/>
  <c r="K2970" i="1"/>
  <c r="BC2970" i="1"/>
  <c r="BE2970" i="1"/>
  <c r="BF2970" i="1"/>
  <c r="BG2970" i="1"/>
  <c r="E5940" i="1"/>
  <c r="G5940" i="1"/>
  <c r="J5940" i="1"/>
  <c r="K5940" i="1"/>
  <c r="BE5940" i="1"/>
  <c r="BF5940" i="1"/>
  <c r="BG5940" i="1"/>
  <c r="E4359" i="1"/>
  <c r="G4359" i="1"/>
  <c r="J4359" i="1"/>
  <c r="K4359" i="1"/>
  <c r="BE4359" i="1"/>
  <c r="BF4359" i="1"/>
  <c r="BG4359" i="1"/>
  <c r="E3675" i="1"/>
  <c r="G3675" i="1"/>
  <c r="J3675" i="1"/>
  <c r="K3675" i="1"/>
  <c r="BE3675" i="1"/>
  <c r="BF3675" i="1"/>
  <c r="BG3675" i="1"/>
  <c r="E6814" i="1"/>
  <c r="G6814" i="1"/>
  <c r="J6814" i="1"/>
  <c r="K6814" i="1"/>
  <c r="BE6814" i="1"/>
  <c r="BF6814" i="1"/>
  <c r="BG6814" i="1"/>
  <c r="E4834" i="1"/>
  <c r="G4834" i="1"/>
  <c r="J4834" i="1"/>
  <c r="K4834" i="1"/>
  <c r="BE4834" i="1"/>
  <c r="BF4834" i="1"/>
  <c r="BG4834" i="1"/>
  <c r="E5941" i="1"/>
  <c r="G5941" i="1"/>
  <c r="J5941" i="1"/>
  <c r="K5941" i="1"/>
  <c r="BE5941" i="1"/>
  <c r="BF5941" i="1"/>
  <c r="BG5941" i="1"/>
  <c r="E3676" i="1"/>
  <c r="G3676" i="1"/>
  <c r="J3676" i="1"/>
  <c r="K3676" i="1"/>
  <c r="BE3676" i="1"/>
  <c r="BF3676" i="1"/>
  <c r="BG3676" i="1"/>
  <c r="E4360" i="1"/>
  <c r="G4360" i="1"/>
  <c r="J4360" i="1"/>
  <c r="K4360" i="1"/>
  <c r="BE4360" i="1"/>
  <c r="BF4360" i="1"/>
  <c r="BG4360" i="1"/>
  <c r="E6815" i="1"/>
  <c r="G6815" i="1"/>
  <c r="J6815" i="1"/>
  <c r="K6815" i="1"/>
  <c r="BE6815" i="1"/>
  <c r="BF6815" i="1"/>
  <c r="BG6815" i="1"/>
  <c r="E3677" i="1"/>
  <c r="G3677" i="1"/>
  <c r="J3677" i="1"/>
  <c r="K3677" i="1"/>
  <c r="BE3677" i="1"/>
  <c r="BF3677" i="1"/>
  <c r="BG3677" i="1"/>
  <c r="E6636" i="1"/>
  <c r="G6636" i="1"/>
  <c r="J6636" i="1"/>
  <c r="K6636" i="1"/>
  <c r="BE6636" i="1"/>
  <c r="BF6636" i="1"/>
  <c r="BG6636" i="1"/>
  <c r="E5942" i="1"/>
  <c r="G5942" i="1"/>
  <c r="J5942" i="1"/>
  <c r="K5942" i="1"/>
  <c r="BE5942" i="1"/>
  <c r="BF5942" i="1"/>
  <c r="BG5942" i="1"/>
  <c r="E2203" i="1"/>
  <c r="G2203" i="1"/>
  <c r="J2203" i="1"/>
  <c r="K2203" i="1"/>
  <c r="BE2203" i="1"/>
  <c r="BF2203" i="1"/>
  <c r="BG2203" i="1"/>
  <c r="E2204" i="1"/>
  <c r="G2204" i="1"/>
  <c r="J2204" i="1"/>
  <c r="K2204" i="1"/>
  <c r="BE2204" i="1"/>
  <c r="BF2204" i="1"/>
  <c r="BG2204" i="1"/>
  <c r="E2205" i="1"/>
  <c r="G2205" i="1"/>
  <c r="J2205" i="1"/>
  <c r="K2205" i="1"/>
  <c r="BE2205" i="1"/>
  <c r="BF2205" i="1"/>
  <c r="BG2205" i="1"/>
  <c r="E2206" i="1"/>
  <c r="G2206" i="1"/>
  <c r="J2206" i="1"/>
  <c r="K2206" i="1"/>
  <c r="BE2206" i="1"/>
  <c r="BF2206" i="1"/>
  <c r="BG2206" i="1"/>
  <c r="E2207" i="1"/>
  <c r="G2207" i="1"/>
  <c r="J2207" i="1"/>
  <c r="K2207" i="1"/>
  <c r="BE2207" i="1"/>
  <c r="BF2207" i="1"/>
  <c r="BG2207" i="1"/>
  <c r="E2208" i="1"/>
  <c r="G2208" i="1"/>
  <c r="J2208" i="1"/>
  <c r="K2208" i="1"/>
  <c r="BE2208" i="1"/>
  <c r="BF2208" i="1"/>
  <c r="BG2208" i="1"/>
  <c r="E2209" i="1"/>
  <c r="G2209" i="1"/>
  <c r="J2209" i="1"/>
  <c r="K2209" i="1"/>
  <c r="BE2209" i="1"/>
  <c r="BF2209" i="1"/>
  <c r="BG2209" i="1"/>
  <c r="E2210" i="1"/>
  <c r="G2210" i="1"/>
  <c r="J2210" i="1"/>
  <c r="K2210" i="1"/>
  <c r="BE2210" i="1"/>
  <c r="BF2210" i="1"/>
  <c r="BG2210" i="1"/>
  <c r="E2211" i="1"/>
  <c r="G2211" i="1"/>
  <c r="J2211" i="1"/>
  <c r="K2211" i="1"/>
  <c r="BE2211" i="1"/>
  <c r="BF2211" i="1"/>
  <c r="BG2211" i="1"/>
  <c r="E2212" i="1"/>
  <c r="G2212" i="1"/>
  <c r="J2212" i="1"/>
  <c r="K2212" i="1"/>
  <c r="BE2212" i="1"/>
  <c r="BF2212" i="1"/>
  <c r="BG2212" i="1"/>
  <c r="E4361" i="1"/>
  <c r="G4361" i="1"/>
  <c r="J4361" i="1"/>
  <c r="K4361" i="1"/>
  <c r="BE4361" i="1"/>
  <c r="BF4361" i="1"/>
  <c r="BG4361" i="1"/>
  <c r="E5943" i="1"/>
  <c r="G5943" i="1"/>
  <c r="J5943" i="1"/>
  <c r="K5943" i="1"/>
  <c r="BE5943" i="1"/>
  <c r="BF5943" i="1"/>
  <c r="BG5943" i="1"/>
  <c r="E3678" i="1"/>
  <c r="G3678" i="1"/>
  <c r="J3678" i="1"/>
  <c r="K3678" i="1"/>
  <c r="BE3678" i="1"/>
  <c r="BF3678" i="1"/>
  <c r="BG3678" i="1"/>
  <c r="E54" i="1"/>
  <c r="G54" i="1"/>
  <c r="J54" i="1"/>
  <c r="K54" i="1"/>
  <c r="BF54" i="1"/>
  <c r="BG54" i="1"/>
  <c r="E6816" i="1"/>
  <c r="G6816" i="1"/>
  <c r="J6816" i="1"/>
  <c r="K6816" i="1"/>
  <c r="BE6816" i="1"/>
  <c r="BF6816" i="1"/>
  <c r="BG6816" i="1"/>
  <c r="E5944" i="1"/>
  <c r="G5944" i="1"/>
  <c r="J5944" i="1"/>
  <c r="K5944" i="1"/>
  <c r="BE5944" i="1"/>
  <c r="BF5944" i="1"/>
  <c r="BG5944" i="1"/>
  <c r="E767" i="1"/>
  <c r="G767" i="1"/>
  <c r="J767" i="1"/>
  <c r="K767" i="1"/>
  <c r="BE767" i="1"/>
  <c r="BF767" i="1"/>
  <c r="BG767" i="1"/>
  <c r="E4362" i="1"/>
  <c r="G4362" i="1"/>
  <c r="J4362" i="1"/>
  <c r="K4362" i="1"/>
  <c r="BE4362" i="1"/>
  <c r="BF4362" i="1"/>
  <c r="BG4362" i="1"/>
  <c r="E5945" i="1"/>
  <c r="G5945" i="1"/>
  <c r="J5945" i="1"/>
  <c r="K5945" i="1"/>
  <c r="BE5945" i="1"/>
  <c r="BF5945" i="1"/>
  <c r="BG5945" i="1"/>
  <c r="E3679" i="1"/>
  <c r="G3679" i="1"/>
  <c r="J3679" i="1"/>
  <c r="K3679" i="1"/>
  <c r="BE3679" i="1"/>
  <c r="BF3679" i="1"/>
  <c r="BG3679" i="1"/>
  <c r="E5946" i="1"/>
  <c r="G5946" i="1"/>
  <c r="J5946" i="1"/>
  <c r="K5946" i="1"/>
  <c r="BE5946" i="1"/>
  <c r="BF5946" i="1"/>
  <c r="BG5946" i="1"/>
  <c r="E3680" i="1"/>
  <c r="G3680" i="1"/>
  <c r="J3680" i="1"/>
  <c r="K3680" i="1"/>
  <c r="BE3680" i="1"/>
  <c r="BF3680" i="1"/>
  <c r="BG3680" i="1"/>
  <c r="E183" i="1"/>
  <c r="G183" i="1"/>
  <c r="J183" i="1"/>
  <c r="K183" i="1"/>
  <c r="BF183" i="1"/>
  <c r="BG183" i="1"/>
  <c r="E14" i="1"/>
  <c r="G14" i="1"/>
  <c r="J14" i="1"/>
  <c r="K14" i="1"/>
  <c r="BE14" i="1"/>
  <c r="BF14" i="1"/>
  <c r="BG14" i="1"/>
  <c r="E15" i="1"/>
  <c r="G15" i="1"/>
  <c r="J15" i="1"/>
  <c r="K15" i="1"/>
  <c r="BE15" i="1"/>
  <c r="BF15" i="1"/>
  <c r="BG15" i="1"/>
  <c r="E3681" i="1"/>
  <c r="G3681" i="1"/>
  <c r="J3681" i="1"/>
  <c r="K3681" i="1"/>
  <c r="BE3681" i="1"/>
  <c r="BF3681" i="1"/>
  <c r="BG3681" i="1"/>
  <c r="E6817" i="1"/>
  <c r="G6817" i="1"/>
  <c r="J6817" i="1"/>
  <c r="K6817" i="1"/>
  <c r="BE6817" i="1"/>
  <c r="BF6817" i="1"/>
  <c r="BG6817" i="1"/>
  <c r="E5947" i="1"/>
  <c r="G5947" i="1"/>
  <c r="J5947" i="1"/>
  <c r="K5947" i="1"/>
  <c r="BE5947" i="1"/>
  <c r="BF5947" i="1"/>
  <c r="BG5947" i="1"/>
  <c r="E454" i="1"/>
  <c r="G454" i="1"/>
  <c r="J454" i="1"/>
  <c r="K454" i="1"/>
  <c r="BC454" i="1"/>
  <c r="BE454" i="1"/>
  <c r="BF454" i="1"/>
  <c r="BG454" i="1"/>
  <c r="E3682" i="1"/>
  <c r="G3682" i="1"/>
  <c r="J3682" i="1"/>
  <c r="K3682" i="1"/>
  <c r="BE3682" i="1"/>
  <c r="BF3682" i="1"/>
  <c r="BG3682" i="1"/>
  <c r="E5948" i="1"/>
  <c r="G5948" i="1"/>
  <c r="J5948" i="1"/>
  <c r="K5948" i="1"/>
  <c r="BE5948" i="1"/>
  <c r="BF5948" i="1"/>
  <c r="BG5948" i="1"/>
  <c r="E4363" i="1"/>
  <c r="G4363" i="1"/>
  <c r="J4363" i="1"/>
  <c r="K4363" i="1"/>
  <c r="BE4363" i="1"/>
  <c r="BF4363" i="1"/>
  <c r="BG4363" i="1"/>
  <c r="E3789" i="1"/>
  <c r="G3789" i="1"/>
  <c r="J3789" i="1"/>
  <c r="K3789" i="1"/>
  <c r="BE3789" i="1"/>
  <c r="BF3789" i="1"/>
  <c r="BG3789" i="1"/>
  <c r="E3790" i="1"/>
  <c r="G3790" i="1"/>
  <c r="J3790" i="1"/>
  <c r="K3790" i="1"/>
  <c r="BE3790" i="1"/>
  <c r="BF3790" i="1"/>
  <c r="BG3790" i="1"/>
  <c r="E3791" i="1"/>
  <c r="G3791" i="1"/>
  <c r="J3791" i="1"/>
  <c r="K3791" i="1"/>
  <c r="BE3791" i="1"/>
  <c r="BF3791" i="1"/>
  <c r="BG3791" i="1"/>
  <c r="E3792" i="1"/>
  <c r="G3792" i="1"/>
  <c r="J3792" i="1"/>
  <c r="K3792" i="1"/>
  <c r="BE3792" i="1"/>
  <c r="BF3792" i="1"/>
  <c r="BG3792" i="1"/>
  <c r="E3793" i="1"/>
  <c r="G3793" i="1"/>
  <c r="J3793" i="1"/>
  <c r="K3793" i="1"/>
  <c r="BE3793" i="1"/>
  <c r="BF3793" i="1"/>
  <c r="BG3793" i="1"/>
  <c r="E3794" i="1"/>
  <c r="G3794" i="1"/>
  <c r="J3794" i="1"/>
  <c r="K3794" i="1"/>
  <c r="BE3794" i="1"/>
  <c r="BF3794" i="1"/>
  <c r="BG3794" i="1"/>
  <c r="E3795" i="1"/>
  <c r="G3795" i="1"/>
  <c r="J3795" i="1"/>
  <c r="K3795" i="1"/>
  <c r="BE3795" i="1"/>
  <c r="BF3795" i="1"/>
  <c r="BG3795" i="1"/>
  <c r="E3796" i="1"/>
  <c r="G3796" i="1"/>
  <c r="J3796" i="1"/>
  <c r="K3796" i="1"/>
  <c r="BE3796" i="1"/>
  <c r="BF3796" i="1"/>
  <c r="BG3796" i="1"/>
  <c r="E3797" i="1"/>
  <c r="G3797" i="1"/>
  <c r="J3797" i="1"/>
  <c r="K3797" i="1"/>
  <c r="BE3797" i="1"/>
  <c r="BF3797" i="1"/>
  <c r="BG3797" i="1"/>
  <c r="E3798" i="1"/>
  <c r="G3798" i="1"/>
  <c r="J3798" i="1"/>
  <c r="K3798" i="1"/>
  <c r="BE3798" i="1"/>
  <c r="BF3798" i="1"/>
  <c r="BG3798" i="1"/>
  <c r="E3799" i="1"/>
  <c r="G3799" i="1"/>
  <c r="J3799" i="1"/>
  <c r="K3799" i="1"/>
  <c r="BE3799" i="1"/>
  <c r="BF3799" i="1"/>
  <c r="BG3799" i="1"/>
  <c r="E3800" i="1"/>
  <c r="G3800" i="1"/>
  <c r="J3800" i="1"/>
  <c r="K3800" i="1"/>
  <c r="BE3800" i="1"/>
  <c r="BF3800" i="1"/>
  <c r="BG3800" i="1"/>
  <c r="E3801" i="1"/>
  <c r="G3801" i="1"/>
  <c r="J3801" i="1"/>
  <c r="K3801" i="1"/>
  <c r="BE3801" i="1"/>
  <c r="BF3801" i="1"/>
  <c r="BG3801" i="1"/>
  <c r="E3802" i="1"/>
  <c r="G3802" i="1"/>
  <c r="J3802" i="1"/>
  <c r="K3802" i="1"/>
  <c r="BE3802" i="1"/>
  <c r="BF3802" i="1"/>
  <c r="BG3802" i="1"/>
  <c r="E3803" i="1"/>
  <c r="G3803" i="1"/>
  <c r="J3803" i="1"/>
  <c r="K3803" i="1"/>
  <c r="BE3803" i="1"/>
  <c r="BF3803" i="1"/>
  <c r="BG3803" i="1"/>
  <c r="E3804" i="1"/>
  <c r="G3804" i="1"/>
  <c r="J3804" i="1"/>
  <c r="K3804" i="1"/>
  <c r="BE3804" i="1"/>
  <c r="BF3804" i="1"/>
  <c r="BG3804" i="1"/>
  <c r="E3805" i="1"/>
  <c r="G3805" i="1"/>
  <c r="J3805" i="1"/>
  <c r="K3805" i="1"/>
  <c r="BE3805" i="1"/>
  <c r="BF3805" i="1"/>
  <c r="BG3805" i="1"/>
  <c r="E3806" i="1"/>
  <c r="G3806" i="1"/>
  <c r="J3806" i="1"/>
  <c r="K3806" i="1"/>
  <c r="BE3806" i="1"/>
  <c r="BF3806" i="1"/>
  <c r="BG3806" i="1"/>
  <c r="E3807" i="1"/>
  <c r="G3807" i="1"/>
  <c r="J3807" i="1"/>
  <c r="K3807" i="1"/>
  <c r="BE3807" i="1"/>
  <c r="BF3807" i="1"/>
  <c r="BG3807" i="1"/>
  <c r="E3808" i="1"/>
  <c r="G3808" i="1"/>
  <c r="J3808" i="1"/>
  <c r="K3808" i="1"/>
  <c r="BE3808" i="1"/>
  <c r="BF3808" i="1"/>
  <c r="BG3808" i="1"/>
  <c r="E3809" i="1"/>
  <c r="G3809" i="1"/>
  <c r="J3809" i="1"/>
  <c r="K3809" i="1"/>
  <c r="BE3809" i="1"/>
  <c r="BF3809" i="1"/>
  <c r="BG3809" i="1"/>
  <c r="E3810" i="1"/>
  <c r="G3810" i="1"/>
  <c r="J3810" i="1"/>
  <c r="K3810" i="1"/>
  <c r="BE3810" i="1"/>
  <c r="BF3810" i="1"/>
  <c r="BG3810" i="1"/>
  <c r="E3811" i="1"/>
  <c r="G3811" i="1"/>
  <c r="J3811" i="1"/>
  <c r="K3811" i="1"/>
  <c r="BE3811" i="1"/>
  <c r="BF3811" i="1"/>
  <c r="BG3811" i="1"/>
  <c r="E3812" i="1"/>
  <c r="G3812" i="1"/>
  <c r="J3812" i="1"/>
  <c r="K3812" i="1"/>
  <c r="BE3812" i="1"/>
  <c r="BF3812" i="1"/>
  <c r="BG3812" i="1"/>
  <c r="E3813" i="1"/>
  <c r="G3813" i="1"/>
  <c r="J3813" i="1"/>
  <c r="K3813" i="1"/>
  <c r="BE3813" i="1"/>
  <c r="BF3813" i="1"/>
  <c r="BG3813" i="1"/>
  <c r="E3814" i="1"/>
  <c r="G3814" i="1"/>
  <c r="J3814" i="1"/>
  <c r="K3814" i="1"/>
  <c r="BE3814" i="1"/>
  <c r="BF3814" i="1"/>
  <c r="BG3814" i="1"/>
  <c r="E3815" i="1"/>
  <c r="G3815" i="1"/>
  <c r="J3815" i="1"/>
  <c r="K3815" i="1"/>
  <c r="BE3815" i="1"/>
  <c r="BF3815" i="1"/>
  <c r="BG3815" i="1"/>
  <c r="E3816" i="1"/>
  <c r="G3816" i="1"/>
  <c r="J3816" i="1"/>
  <c r="K3816" i="1"/>
  <c r="BE3816" i="1"/>
  <c r="BF3816" i="1"/>
  <c r="BG3816" i="1"/>
  <c r="E3817" i="1"/>
  <c r="G3817" i="1"/>
  <c r="J3817" i="1"/>
  <c r="K3817" i="1"/>
  <c r="BE3817" i="1"/>
  <c r="BF3817" i="1"/>
  <c r="BG3817" i="1"/>
  <c r="E3818" i="1"/>
  <c r="G3818" i="1"/>
  <c r="J3818" i="1"/>
  <c r="K3818" i="1"/>
  <c r="BE3818" i="1"/>
  <c r="BF3818" i="1"/>
  <c r="BG3818" i="1"/>
  <c r="E3819" i="1"/>
  <c r="G3819" i="1"/>
  <c r="J3819" i="1"/>
  <c r="K3819" i="1"/>
  <c r="BE3819" i="1"/>
  <c r="BF3819" i="1"/>
  <c r="BG3819" i="1"/>
  <c r="E3820" i="1"/>
  <c r="G3820" i="1"/>
  <c r="J3820" i="1"/>
  <c r="K3820" i="1"/>
  <c r="BE3820" i="1"/>
  <c r="BF3820" i="1"/>
  <c r="BG3820" i="1"/>
  <c r="E3821" i="1"/>
  <c r="G3821" i="1"/>
  <c r="J3821" i="1"/>
  <c r="K3821" i="1"/>
  <c r="BE3821" i="1"/>
  <c r="BF3821" i="1"/>
  <c r="BG3821" i="1"/>
  <c r="E3822" i="1"/>
  <c r="G3822" i="1"/>
  <c r="J3822" i="1"/>
  <c r="K3822" i="1"/>
  <c r="BE3822" i="1"/>
  <c r="BF3822" i="1"/>
  <c r="BG3822" i="1"/>
  <c r="E3823" i="1"/>
  <c r="G3823" i="1"/>
  <c r="J3823" i="1"/>
  <c r="K3823" i="1"/>
  <c r="BE3823" i="1"/>
  <c r="BF3823" i="1"/>
  <c r="BG3823" i="1"/>
  <c r="E3824" i="1"/>
  <c r="G3824" i="1"/>
  <c r="J3824" i="1"/>
  <c r="K3824" i="1"/>
  <c r="BE3824" i="1"/>
  <c r="BF3824" i="1"/>
  <c r="BG3824" i="1"/>
  <c r="E3825" i="1"/>
  <c r="G3825" i="1"/>
  <c r="J3825" i="1"/>
  <c r="K3825" i="1"/>
  <c r="BE3825" i="1"/>
  <c r="BF3825" i="1"/>
  <c r="BG3825" i="1"/>
  <c r="E3826" i="1"/>
  <c r="G3826" i="1"/>
  <c r="J3826" i="1"/>
  <c r="K3826" i="1"/>
  <c r="BE3826" i="1"/>
  <c r="BF3826" i="1"/>
  <c r="BG3826" i="1"/>
  <c r="E3827" i="1"/>
  <c r="G3827" i="1"/>
  <c r="J3827" i="1"/>
  <c r="K3827" i="1"/>
  <c r="BE3827" i="1"/>
  <c r="BF3827" i="1"/>
  <c r="BG3827" i="1"/>
  <c r="E3828" i="1"/>
  <c r="G3828" i="1"/>
  <c r="J3828" i="1"/>
  <c r="K3828" i="1"/>
  <c r="BE3828" i="1"/>
  <c r="BF3828" i="1"/>
  <c r="BG3828" i="1"/>
  <c r="E3829" i="1"/>
  <c r="G3829" i="1"/>
  <c r="J3829" i="1"/>
  <c r="K3829" i="1"/>
  <c r="BE3829" i="1"/>
  <c r="BF3829" i="1"/>
  <c r="BG3829" i="1"/>
  <c r="E3830" i="1"/>
  <c r="G3830" i="1"/>
  <c r="J3830" i="1"/>
  <c r="K3830" i="1"/>
  <c r="BE3830" i="1"/>
  <c r="BF3830" i="1"/>
  <c r="BG3830" i="1"/>
  <c r="E3831" i="1"/>
  <c r="G3831" i="1"/>
  <c r="J3831" i="1"/>
  <c r="K3831" i="1"/>
  <c r="BE3831" i="1"/>
  <c r="BF3831" i="1"/>
  <c r="BG3831" i="1"/>
  <c r="E3832" i="1"/>
  <c r="G3832" i="1"/>
  <c r="J3832" i="1"/>
  <c r="K3832" i="1"/>
  <c r="BE3832" i="1"/>
  <c r="BF3832" i="1"/>
  <c r="BG3832" i="1"/>
  <c r="E3833" i="1"/>
  <c r="G3833" i="1"/>
  <c r="J3833" i="1"/>
  <c r="K3833" i="1"/>
  <c r="BE3833" i="1"/>
  <c r="BF3833" i="1"/>
  <c r="BG3833" i="1"/>
  <c r="E3834" i="1"/>
  <c r="G3834" i="1"/>
  <c r="J3834" i="1"/>
  <c r="K3834" i="1"/>
  <c r="BE3834" i="1"/>
  <c r="BF3834" i="1"/>
  <c r="BG3834" i="1"/>
  <c r="E6818" i="1"/>
  <c r="G6818" i="1"/>
  <c r="J6818" i="1"/>
  <c r="K6818" i="1"/>
  <c r="BE6818" i="1"/>
  <c r="BF6818" i="1"/>
  <c r="BG6818" i="1"/>
  <c r="E853" i="1"/>
  <c r="G853" i="1"/>
  <c r="J853" i="1"/>
  <c r="K853" i="1"/>
  <c r="BF853" i="1"/>
  <c r="BG853" i="1"/>
  <c r="E2971" i="1"/>
  <c r="G2971" i="1"/>
  <c r="J2971" i="1"/>
  <c r="K2971" i="1"/>
  <c r="BC2971" i="1"/>
  <c r="BE2971" i="1"/>
  <c r="BF2971" i="1"/>
  <c r="BG2971" i="1"/>
  <c r="E2972" i="1"/>
  <c r="G2972" i="1"/>
  <c r="J2972" i="1"/>
  <c r="K2972" i="1"/>
  <c r="BC2972" i="1"/>
  <c r="BE2972" i="1"/>
  <c r="BF2972" i="1"/>
  <c r="BG2972" i="1"/>
  <c r="E2973" i="1"/>
  <c r="G2973" i="1"/>
  <c r="J2973" i="1"/>
  <c r="K2973" i="1"/>
  <c r="BC2973" i="1"/>
  <c r="BE2973" i="1"/>
  <c r="BF2973" i="1"/>
  <c r="BG2973" i="1"/>
  <c r="E2974" i="1"/>
  <c r="G2974" i="1"/>
  <c r="J2974" i="1"/>
  <c r="K2974" i="1"/>
  <c r="BC2974" i="1"/>
  <c r="BE2974" i="1"/>
  <c r="BF2974" i="1"/>
  <c r="BG2974" i="1"/>
  <c r="E2975" i="1"/>
  <c r="G2975" i="1"/>
  <c r="J2975" i="1"/>
  <c r="K2975" i="1"/>
  <c r="BC2975" i="1"/>
  <c r="BE2975" i="1"/>
  <c r="BF2975" i="1"/>
  <c r="BG2975" i="1"/>
  <c r="E2976" i="1"/>
  <c r="G2976" i="1"/>
  <c r="J2976" i="1"/>
  <c r="K2976" i="1"/>
  <c r="BC2976" i="1"/>
  <c r="BE2976" i="1"/>
  <c r="BF2976" i="1"/>
  <c r="BG2976" i="1"/>
  <c r="E2977" i="1"/>
  <c r="G2977" i="1"/>
  <c r="J2977" i="1"/>
  <c r="K2977" i="1"/>
  <c r="BC2977" i="1"/>
  <c r="BE2977" i="1"/>
  <c r="BF2977" i="1"/>
  <c r="BG2977" i="1"/>
  <c r="E2978" i="1"/>
  <c r="G2978" i="1"/>
  <c r="J2978" i="1"/>
  <c r="K2978" i="1"/>
  <c r="BC2978" i="1"/>
  <c r="BE2978" i="1"/>
  <c r="BF2978" i="1"/>
  <c r="BG2978" i="1"/>
  <c r="E2979" i="1"/>
  <c r="G2979" i="1"/>
  <c r="J2979" i="1"/>
  <c r="K2979" i="1"/>
  <c r="BE2979" i="1"/>
  <c r="BF2979" i="1"/>
  <c r="BG2979" i="1"/>
  <c r="E2980" i="1"/>
  <c r="G2980" i="1"/>
  <c r="J2980" i="1"/>
  <c r="K2980" i="1"/>
  <c r="BC2980" i="1"/>
  <c r="BE2980" i="1"/>
  <c r="BF2980" i="1"/>
  <c r="BG2980" i="1"/>
  <c r="E2981" i="1"/>
  <c r="G2981" i="1"/>
  <c r="J2981" i="1"/>
  <c r="K2981" i="1"/>
  <c r="BE2981" i="1"/>
  <c r="BF2981" i="1"/>
  <c r="BG2981" i="1"/>
  <c r="E2982" i="1"/>
  <c r="G2982" i="1"/>
  <c r="J2982" i="1"/>
  <c r="K2982" i="1"/>
  <c r="BE2982" i="1"/>
  <c r="BF2982" i="1"/>
  <c r="BG2982" i="1"/>
  <c r="E2983" i="1"/>
  <c r="G2983" i="1"/>
  <c r="J2983" i="1"/>
  <c r="K2983" i="1"/>
  <c r="BC2983" i="1"/>
  <c r="BE2983" i="1"/>
  <c r="BF2983" i="1"/>
  <c r="BG2983" i="1"/>
  <c r="E2984" i="1"/>
  <c r="G2984" i="1"/>
  <c r="J2984" i="1"/>
  <c r="K2984" i="1"/>
  <c r="BC2984" i="1"/>
  <c r="BE2984" i="1"/>
  <c r="BF2984" i="1"/>
  <c r="BG2984" i="1"/>
  <c r="E2985" i="1"/>
  <c r="G2985" i="1"/>
  <c r="J2985" i="1"/>
  <c r="K2985" i="1"/>
  <c r="BC2985" i="1"/>
  <c r="BE2985" i="1"/>
  <c r="BF2985" i="1"/>
  <c r="BG2985" i="1"/>
  <c r="E2986" i="1"/>
  <c r="G2986" i="1"/>
  <c r="J2986" i="1"/>
  <c r="K2986" i="1"/>
  <c r="BC2986" i="1"/>
  <c r="BE2986" i="1"/>
  <c r="BF2986" i="1"/>
  <c r="BG2986" i="1"/>
  <c r="E2987" i="1"/>
  <c r="G2987" i="1"/>
  <c r="J2987" i="1"/>
  <c r="K2987" i="1"/>
  <c r="BC2987" i="1"/>
  <c r="BE2987" i="1"/>
  <c r="BF2987" i="1"/>
  <c r="BG2987" i="1"/>
  <c r="E2988" i="1"/>
  <c r="G2988" i="1"/>
  <c r="J2988" i="1"/>
  <c r="K2988" i="1"/>
  <c r="BC2988" i="1"/>
  <c r="BE2988" i="1"/>
  <c r="BF2988" i="1"/>
  <c r="BG2988" i="1"/>
  <c r="E2989" i="1"/>
  <c r="G2989" i="1"/>
  <c r="J2989" i="1"/>
  <c r="K2989" i="1"/>
  <c r="BC2989" i="1"/>
  <c r="BE2989" i="1"/>
  <c r="BF2989" i="1"/>
  <c r="BG2989" i="1"/>
  <c r="E2990" i="1"/>
  <c r="G2990" i="1"/>
  <c r="J2990" i="1"/>
  <c r="K2990" i="1"/>
  <c r="BC2990" i="1"/>
  <c r="BE2990" i="1"/>
  <c r="BF2990" i="1"/>
  <c r="BG2990" i="1"/>
  <c r="E2991" i="1"/>
  <c r="G2991" i="1"/>
  <c r="J2991" i="1"/>
  <c r="K2991" i="1"/>
  <c r="BC2991" i="1"/>
  <c r="BE2991" i="1"/>
  <c r="BF2991" i="1"/>
  <c r="BG2991" i="1"/>
  <c r="E2992" i="1"/>
  <c r="G2992" i="1"/>
  <c r="J2992" i="1"/>
  <c r="K2992" i="1"/>
  <c r="BC2992" i="1"/>
  <c r="BE2992" i="1"/>
  <c r="BF2992" i="1"/>
  <c r="BG2992" i="1"/>
  <c r="E2993" i="1"/>
  <c r="G2993" i="1"/>
  <c r="J2993" i="1"/>
  <c r="K2993" i="1"/>
  <c r="BC2993" i="1"/>
  <c r="BE2993" i="1"/>
  <c r="BF2993" i="1"/>
  <c r="BG2993" i="1"/>
  <c r="E2994" i="1"/>
  <c r="G2994" i="1"/>
  <c r="J2994" i="1"/>
  <c r="K2994" i="1"/>
  <c r="BC2994" i="1"/>
  <c r="BE2994" i="1"/>
  <c r="BF2994" i="1"/>
  <c r="BG2994" i="1"/>
  <c r="E2995" i="1"/>
  <c r="G2995" i="1"/>
  <c r="J2995" i="1"/>
  <c r="K2995" i="1"/>
  <c r="BC2995" i="1"/>
  <c r="BE2995" i="1"/>
  <c r="BF2995" i="1"/>
  <c r="BG2995" i="1"/>
  <c r="E2996" i="1"/>
  <c r="G2996" i="1"/>
  <c r="J2996" i="1"/>
  <c r="K2996" i="1"/>
  <c r="BC2996" i="1"/>
  <c r="BE2996" i="1"/>
  <c r="BF2996" i="1"/>
  <c r="BG2996" i="1"/>
  <c r="E2997" i="1"/>
  <c r="G2997" i="1"/>
  <c r="J2997" i="1"/>
  <c r="K2997" i="1"/>
  <c r="BC2997" i="1"/>
  <c r="BE2997" i="1"/>
  <c r="BF2997" i="1"/>
  <c r="BG2997" i="1"/>
  <c r="E2998" i="1"/>
  <c r="G2998" i="1"/>
  <c r="J2998" i="1"/>
  <c r="K2998" i="1"/>
  <c r="BC2998" i="1"/>
  <c r="BE2998" i="1"/>
  <c r="BF2998" i="1"/>
  <c r="BG2998" i="1"/>
  <c r="E2999" i="1"/>
  <c r="G2999" i="1"/>
  <c r="J2999" i="1"/>
  <c r="K2999" i="1"/>
  <c r="BC2999" i="1"/>
  <c r="BE2999" i="1"/>
  <c r="BF2999" i="1"/>
  <c r="BG2999" i="1"/>
  <c r="E3000" i="1"/>
  <c r="G3000" i="1"/>
  <c r="J3000" i="1"/>
  <c r="K3000" i="1"/>
  <c r="BC3000" i="1"/>
  <c r="BE3000" i="1"/>
  <c r="BF3000" i="1"/>
  <c r="BG3000" i="1"/>
  <c r="E3001" i="1"/>
  <c r="G3001" i="1"/>
  <c r="J3001" i="1"/>
  <c r="K3001" i="1"/>
  <c r="BC3001" i="1"/>
  <c r="BE3001" i="1"/>
  <c r="BF3001" i="1"/>
  <c r="BG3001" i="1"/>
  <c r="E3002" i="1"/>
  <c r="G3002" i="1"/>
  <c r="J3002" i="1"/>
  <c r="K3002" i="1"/>
  <c r="BC3002" i="1"/>
  <c r="BE3002" i="1"/>
  <c r="BF3002" i="1"/>
  <c r="BG3002" i="1"/>
  <c r="E3003" i="1"/>
  <c r="G3003" i="1"/>
  <c r="J3003" i="1"/>
  <c r="K3003" i="1"/>
  <c r="BC3003" i="1"/>
  <c r="BE3003" i="1"/>
  <c r="BF3003" i="1"/>
  <c r="BG3003" i="1"/>
  <c r="E3004" i="1"/>
  <c r="G3004" i="1"/>
  <c r="J3004" i="1"/>
  <c r="K3004" i="1"/>
  <c r="BC3004" i="1"/>
  <c r="BE3004" i="1"/>
  <c r="BF3004" i="1"/>
  <c r="BG3004" i="1"/>
  <c r="E3005" i="1"/>
  <c r="G3005" i="1"/>
  <c r="J3005" i="1"/>
  <c r="K3005" i="1"/>
  <c r="BC3005" i="1"/>
  <c r="BE3005" i="1"/>
  <c r="BF3005" i="1"/>
  <c r="BG3005" i="1"/>
  <c r="E3006" i="1"/>
  <c r="G3006" i="1"/>
  <c r="J3006" i="1"/>
  <c r="K3006" i="1"/>
  <c r="BC3006" i="1"/>
  <c r="BE3006" i="1"/>
  <c r="BF3006" i="1"/>
  <c r="BG3006" i="1"/>
  <c r="E3007" i="1"/>
  <c r="G3007" i="1"/>
  <c r="J3007" i="1"/>
  <c r="K3007" i="1"/>
  <c r="BC3007" i="1"/>
  <c r="BE3007" i="1"/>
  <c r="BF3007" i="1"/>
  <c r="BG3007" i="1"/>
  <c r="E3008" i="1"/>
  <c r="G3008" i="1"/>
  <c r="J3008" i="1"/>
  <c r="K3008" i="1"/>
  <c r="BC3008" i="1"/>
  <c r="BE3008" i="1"/>
  <c r="BF3008" i="1"/>
  <c r="BG3008" i="1"/>
  <c r="E3009" i="1"/>
  <c r="G3009" i="1"/>
  <c r="J3009" i="1"/>
  <c r="K3009" i="1"/>
  <c r="BC3009" i="1"/>
  <c r="BE3009" i="1"/>
  <c r="BF3009" i="1"/>
  <c r="BG3009" i="1"/>
  <c r="E3010" i="1"/>
  <c r="G3010" i="1"/>
  <c r="J3010" i="1"/>
  <c r="K3010" i="1"/>
  <c r="BC3010" i="1"/>
  <c r="BE3010" i="1"/>
  <c r="BF3010" i="1"/>
  <c r="BG3010" i="1"/>
  <c r="E3011" i="1"/>
  <c r="G3011" i="1"/>
  <c r="J3011" i="1"/>
  <c r="K3011" i="1"/>
  <c r="BC3011" i="1"/>
  <c r="BE3011" i="1"/>
  <c r="BF3011" i="1"/>
  <c r="BG3011" i="1"/>
  <c r="E3012" i="1"/>
  <c r="G3012" i="1"/>
  <c r="J3012" i="1"/>
  <c r="K3012" i="1"/>
  <c r="BC3012" i="1"/>
  <c r="BE3012" i="1"/>
  <c r="BF3012" i="1"/>
  <c r="BG3012" i="1"/>
  <c r="E3013" i="1"/>
  <c r="G3013" i="1"/>
  <c r="J3013" i="1"/>
  <c r="K3013" i="1"/>
  <c r="BC3013" i="1"/>
  <c r="BE3013" i="1"/>
  <c r="BF3013" i="1"/>
  <c r="BG3013" i="1"/>
  <c r="E3014" i="1"/>
  <c r="G3014" i="1"/>
  <c r="J3014" i="1"/>
  <c r="K3014" i="1"/>
  <c r="BC3014" i="1"/>
  <c r="BE3014" i="1"/>
  <c r="BF3014" i="1"/>
  <c r="BG3014" i="1"/>
  <c r="E3015" i="1"/>
  <c r="G3015" i="1"/>
  <c r="J3015" i="1"/>
  <c r="K3015" i="1"/>
  <c r="BC3015" i="1"/>
  <c r="BE3015" i="1"/>
  <c r="BF3015" i="1"/>
  <c r="BG3015" i="1"/>
  <c r="E3016" i="1"/>
  <c r="G3016" i="1"/>
  <c r="J3016" i="1"/>
  <c r="K3016" i="1"/>
  <c r="BC3016" i="1"/>
  <c r="BE3016" i="1"/>
  <c r="BF3016" i="1"/>
  <c r="BG3016" i="1"/>
  <c r="E3017" i="1"/>
  <c r="G3017" i="1"/>
  <c r="J3017" i="1"/>
  <c r="K3017" i="1"/>
  <c r="BC3017" i="1"/>
  <c r="BE3017" i="1"/>
  <c r="BF3017" i="1"/>
  <c r="BG3017" i="1"/>
  <c r="E3018" i="1"/>
  <c r="G3018" i="1"/>
  <c r="J3018" i="1"/>
  <c r="K3018" i="1"/>
  <c r="BC3018" i="1"/>
  <c r="BE3018" i="1"/>
  <c r="BF3018" i="1"/>
  <c r="BG3018" i="1"/>
  <c r="E3019" i="1"/>
  <c r="G3019" i="1"/>
  <c r="J3019" i="1"/>
  <c r="K3019" i="1"/>
  <c r="BC3019" i="1"/>
  <c r="BE3019" i="1"/>
  <c r="BF3019" i="1"/>
  <c r="BG3019" i="1"/>
  <c r="E3020" i="1"/>
  <c r="G3020" i="1"/>
  <c r="J3020" i="1"/>
  <c r="K3020" i="1"/>
  <c r="BC3020" i="1"/>
  <c r="BE3020" i="1"/>
  <c r="BF3020" i="1"/>
  <c r="BG3020" i="1"/>
  <c r="E3021" i="1"/>
  <c r="G3021" i="1"/>
  <c r="J3021" i="1"/>
  <c r="K3021" i="1"/>
  <c r="BC3021" i="1"/>
  <c r="BE3021" i="1"/>
  <c r="BF3021" i="1"/>
  <c r="BG3021" i="1"/>
  <c r="E3022" i="1"/>
  <c r="G3022" i="1"/>
  <c r="J3022" i="1"/>
  <c r="K3022" i="1"/>
  <c r="BC3022" i="1"/>
  <c r="BE3022" i="1"/>
  <c r="BF3022" i="1"/>
  <c r="BG3022" i="1"/>
  <c r="E3023" i="1"/>
  <c r="G3023" i="1"/>
  <c r="J3023" i="1"/>
  <c r="K3023" i="1"/>
  <c r="BC3023" i="1"/>
  <c r="BE3023" i="1"/>
  <c r="BF3023" i="1"/>
  <c r="BG3023" i="1"/>
  <c r="E3024" i="1"/>
  <c r="G3024" i="1"/>
  <c r="J3024" i="1"/>
  <c r="K3024" i="1"/>
  <c r="BC3024" i="1"/>
  <c r="BE3024" i="1"/>
  <c r="BF3024" i="1"/>
  <c r="BG3024" i="1"/>
  <c r="E3025" i="1"/>
  <c r="G3025" i="1"/>
  <c r="J3025" i="1"/>
  <c r="K3025" i="1"/>
  <c r="BC3025" i="1"/>
  <c r="BE3025" i="1"/>
  <c r="BF3025" i="1"/>
  <c r="BG3025" i="1"/>
  <c r="E3026" i="1"/>
  <c r="G3026" i="1"/>
  <c r="J3026" i="1"/>
  <c r="K3026" i="1"/>
  <c r="BC3026" i="1"/>
  <c r="BE3026" i="1"/>
  <c r="BF3026" i="1"/>
  <c r="BG3026" i="1"/>
  <c r="E3027" i="1"/>
  <c r="G3027" i="1"/>
  <c r="J3027" i="1"/>
  <c r="K3027" i="1"/>
  <c r="BC3027" i="1"/>
  <c r="BE3027" i="1"/>
  <c r="BF3027" i="1"/>
  <c r="BG3027" i="1"/>
  <c r="E3028" i="1"/>
  <c r="G3028" i="1"/>
  <c r="J3028" i="1"/>
  <c r="K3028" i="1"/>
  <c r="BC3028" i="1"/>
  <c r="BE3028" i="1"/>
  <c r="BF3028" i="1"/>
  <c r="BG3028" i="1"/>
  <c r="E3029" i="1"/>
  <c r="G3029" i="1"/>
  <c r="J3029" i="1"/>
  <c r="K3029" i="1"/>
  <c r="BC3029" i="1"/>
  <c r="BE3029" i="1"/>
  <c r="BF3029" i="1"/>
  <c r="BG3029" i="1"/>
  <c r="E3030" i="1"/>
  <c r="G3030" i="1"/>
  <c r="J3030" i="1"/>
  <c r="K3030" i="1"/>
  <c r="BC3030" i="1"/>
  <c r="BE3030" i="1"/>
  <c r="BF3030" i="1"/>
  <c r="BG3030" i="1"/>
  <c r="E3031" i="1"/>
  <c r="G3031" i="1"/>
  <c r="J3031" i="1"/>
  <c r="K3031" i="1"/>
  <c r="BC3031" i="1"/>
  <c r="BE3031" i="1"/>
  <c r="BF3031" i="1"/>
  <c r="BG3031" i="1"/>
  <c r="E3032" i="1"/>
  <c r="G3032" i="1"/>
  <c r="J3032" i="1"/>
  <c r="K3032" i="1"/>
  <c r="BC3032" i="1"/>
  <c r="BE3032" i="1"/>
  <c r="BF3032" i="1"/>
  <c r="BG3032" i="1"/>
  <c r="E3033" i="1"/>
  <c r="G3033" i="1"/>
  <c r="J3033" i="1"/>
  <c r="K3033" i="1"/>
  <c r="BC3033" i="1"/>
  <c r="BE3033" i="1"/>
  <c r="BF3033" i="1"/>
  <c r="BG3033" i="1"/>
  <c r="E3034" i="1"/>
  <c r="G3034" i="1"/>
  <c r="J3034" i="1"/>
  <c r="K3034" i="1"/>
  <c r="BC3034" i="1"/>
  <c r="BE3034" i="1"/>
  <c r="BF3034" i="1"/>
  <c r="BG3034" i="1"/>
  <c r="E3035" i="1"/>
  <c r="G3035" i="1"/>
  <c r="J3035" i="1"/>
  <c r="K3035" i="1"/>
  <c r="BC3035" i="1"/>
  <c r="BE3035" i="1"/>
  <c r="BF3035" i="1"/>
  <c r="BG3035" i="1"/>
  <c r="E3036" i="1"/>
  <c r="G3036" i="1"/>
  <c r="J3036" i="1"/>
  <c r="K3036" i="1"/>
  <c r="BC3036" i="1"/>
  <c r="BE3036" i="1"/>
  <c r="BF3036" i="1"/>
  <c r="BG3036" i="1"/>
  <c r="E3037" i="1"/>
  <c r="G3037" i="1"/>
  <c r="J3037" i="1"/>
  <c r="K3037" i="1"/>
  <c r="BC3037" i="1"/>
  <c r="BE3037" i="1"/>
  <c r="BF3037" i="1"/>
  <c r="BG3037" i="1"/>
  <c r="E3038" i="1"/>
  <c r="G3038" i="1"/>
  <c r="J3038" i="1"/>
  <c r="K3038" i="1"/>
  <c r="BC3038" i="1"/>
  <c r="BE3038" i="1"/>
  <c r="BF3038" i="1"/>
  <c r="BG3038" i="1"/>
  <c r="E3039" i="1"/>
  <c r="G3039" i="1"/>
  <c r="J3039" i="1"/>
  <c r="K3039" i="1"/>
  <c r="BC3039" i="1"/>
  <c r="BE3039" i="1"/>
  <c r="BF3039" i="1"/>
  <c r="BG3039" i="1"/>
  <c r="E3040" i="1"/>
  <c r="G3040" i="1"/>
  <c r="J3040" i="1"/>
  <c r="K3040" i="1"/>
  <c r="BC3040" i="1"/>
  <c r="BE3040" i="1"/>
  <c r="BF3040" i="1"/>
  <c r="BG3040" i="1"/>
  <c r="E3041" i="1"/>
  <c r="G3041" i="1"/>
  <c r="J3041" i="1"/>
  <c r="K3041" i="1"/>
  <c r="BC3041" i="1"/>
  <c r="BE3041" i="1"/>
  <c r="BF3041" i="1"/>
  <c r="BG3041" i="1"/>
  <c r="E3042" i="1"/>
  <c r="G3042" i="1"/>
  <c r="J3042" i="1"/>
  <c r="K3042" i="1"/>
  <c r="BC3042" i="1"/>
  <c r="BE3042" i="1"/>
  <c r="BF3042" i="1"/>
  <c r="BG3042" i="1"/>
  <c r="E3043" i="1"/>
  <c r="G3043" i="1"/>
  <c r="J3043" i="1"/>
  <c r="K3043" i="1"/>
  <c r="BC3043" i="1"/>
  <c r="BE3043" i="1"/>
  <c r="BF3043" i="1"/>
  <c r="BG3043" i="1"/>
  <c r="E3044" i="1"/>
  <c r="G3044" i="1"/>
  <c r="J3044" i="1"/>
  <c r="K3044" i="1"/>
  <c r="BC3044" i="1"/>
  <c r="BE3044" i="1"/>
  <c r="BF3044" i="1"/>
  <c r="BG3044" i="1"/>
  <c r="E3045" i="1"/>
  <c r="G3045" i="1"/>
  <c r="J3045" i="1"/>
  <c r="K3045" i="1"/>
  <c r="BC3045" i="1"/>
  <c r="BE3045" i="1"/>
  <c r="BF3045" i="1"/>
  <c r="BG3045" i="1"/>
  <c r="E3046" i="1"/>
  <c r="G3046" i="1"/>
  <c r="J3046" i="1"/>
  <c r="K3046" i="1"/>
  <c r="BC3046" i="1"/>
  <c r="BE3046" i="1"/>
  <c r="BF3046" i="1"/>
  <c r="BG3046" i="1"/>
  <c r="E3047" i="1"/>
  <c r="G3047" i="1"/>
  <c r="J3047" i="1"/>
  <c r="K3047" i="1"/>
  <c r="BC3047" i="1"/>
  <c r="BE3047" i="1"/>
  <c r="BF3047" i="1"/>
  <c r="BG3047" i="1"/>
  <c r="E3048" i="1"/>
  <c r="G3048" i="1"/>
  <c r="J3048" i="1"/>
  <c r="K3048" i="1"/>
  <c r="BC3048" i="1"/>
  <c r="BE3048" i="1"/>
  <c r="BF3048" i="1"/>
  <c r="BG3048" i="1"/>
  <c r="E3049" i="1"/>
  <c r="G3049" i="1"/>
  <c r="J3049" i="1"/>
  <c r="K3049" i="1"/>
  <c r="BC3049" i="1"/>
  <c r="BE3049" i="1"/>
  <c r="BF3049" i="1"/>
  <c r="BG3049" i="1"/>
  <c r="E3050" i="1"/>
  <c r="G3050" i="1"/>
  <c r="J3050" i="1"/>
  <c r="K3050" i="1"/>
  <c r="BC3050" i="1"/>
  <c r="BE3050" i="1"/>
  <c r="BF3050" i="1"/>
  <c r="BG3050" i="1"/>
  <c r="E3051" i="1"/>
  <c r="G3051" i="1"/>
  <c r="J3051" i="1"/>
  <c r="K3051" i="1"/>
  <c r="BC3051" i="1"/>
  <c r="BE3051" i="1"/>
  <c r="BF3051" i="1"/>
  <c r="BG3051" i="1"/>
  <c r="E3052" i="1"/>
  <c r="G3052" i="1"/>
  <c r="J3052" i="1"/>
  <c r="K3052" i="1"/>
  <c r="BC3052" i="1"/>
  <c r="BE3052" i="1"/>
  <c r="BF3052" i="1"/>
  <c r="BG3052" i="1"/>
  <c r="E3053" i="1"/>
  <c r="G3053" i="1"/>
  <c r="J3053" i="1"/>
  <c r="K3053" i="1"/>
  <c r="BC3053" i="1"/>
  <c r="BE3053" i="1"/>
  <c r="BF3053" i="1"/>
  <c r="BG3053" i="1"/>
  <c r="E3054" i="1"/>
  <c r="G3054" i="1"/>
  <c r="J3054" i="1"/>
  <c r="K3054" i="1"/>
  <c r="BC3054" i="1"/>
  <c r="BE3054" i="1"/>
  <c r="BF3054" i="1"/>
  <c r="BG3054" i="1"/>
  <c r="E3055" i="1"/>
  <c r="G3055" i="1"/>
  <c r="J3055" i="1"/>
  <c r="K3055" i="1"/>
  <c r="BC3055" i="1"/>
  <c r="BE3055" i="1"/>
  <c r="BF3055" i="1"/>
  <c r="BG3055" i="1"/>
  <c r="E3056" i="1"/>
  <c r="G3056" i="1"/>
  <c r="J3056" i="1"/>
  <c r="K3056" i="1"/>
  <c r="BC3056" i="1"/>
  <c r="BE3056" i="1"/>
  <c r="BF3056" i="1"/>
  <c r="BG3056" i="1"/>
  <c r="E3057" i="1"/>
  <c r="G3057" i="1"/>
  <c r="J3057" i="1"/>
  <c r="K3057" i="1"/>
  <c r="BC3057" i="1"/>
  <c r="BE3057" i="1"/>
  <c r="BF3057" i="1"/>
  <c r="BG3057" i="1"/>
  <c r="E3058" i="1"/>
  <c r="G3058" i="1"/>
  <c r="J3058" i="1"/>
  <c r="K3058" i="1"/>
  <c r="BC3058" i="1"/>
  <c r="BE3058" i="1"/>
  <c r="BF3058" i="1"/>
  <c r="BG3058" i="1"/>
  <c r="E3059" i="1"/>
  <c r="G3059" i="1"/>
  <c r="J3059" i="1"/>
  <c r="K3059" i="1"/>
  <c r="BC3059" i="1"/>
  <c r="BE3059" i="1"/>
  <c r="BF3059" i="1"/>
  <c r="BG3059" i="1"/>
  <c r="E3060" i="1"/>
  <c r="G3060" i="1"/>
  <c r="J3060" i="1"/>
  <c r="K3060" i="1"/>
  <c r="BC3060" i="1"/>
  <c r="BE3060" i="1"/>
  <c r="BF3060" i="1"/>
  <c r="BG3060" i="1"/>
  <c r="E3061" i="1"/>
  <c r="G3061" i="1"/>
  <c r="J3061" i="1"/>
  <c r="K3061" i="1"/>
  <c r="BC3061" i="1"/>
  <c r="BE3061" i="1"/>
  <c r="BF3061" i="1"/>
  <c r="BG3061" i="1"/>
  <c r="E3062" i="1"/>
  <c r="G3062" i="1"/>
  <c r="J3062" i="1"/>
  <c r="K3062" i="1"/>
  <c r="BC3062" i="1"/>
  <c r="BE3062" i="1"/>
  <c r="BF3062" i="1"/>
  <c r="BG3062" i="1"/>
  <c r="E3063" i="1"/>
  <c r="G3063" i="1"/>
  <c r="J3063" i="1"/>
  <c r="K3063" i="1"/>
  <c r="BC3063" i="1"/>
  <c r="BE3063" i="1"/>
  <c r="BF3063" i="1"/>
  <c r="BG3063" i="1"/>
  <c r="E3064" i="1"/>
  <c r="G3064" i="1"/>
  <c r="J3064" i="1"/>
  <c r="K3064" i="1"/>
  <c r="BC3064" i="1"/>
  <c r="BE3064" i="1"/>
  <c r="BF3064" i="1"/>
  <c r="BG3064" i="1"/>
  <c r="E3065" i="1"/>
  <c r="G3065" i="1"/>
  <c r="J3065" i="1"/>
  <c r="K3065" i="1"/>
  <c r="BC3065" i="1"/>
  <c r="BE3065" i="1"/>
  <c r="BF3065" i="1"/>
  <c r="BG3065" i="1"/>
  <c r="E3066" i="1"/>
  <c r="G3066" i="1"/>
  <c r="J3066" i="1"/>
  <c r="K3066" i="1"/>
  <c r="BC3066" i="1"/>
  <c r="BE3066" i="1"/>
  <c r="BF3066" i="1"/>
  <c r="BG3066" i="1"/>
  <c r="E3067" i="1"/>
  <c r="G3067" i="1"/>
  <c r="J3067" i="1"/>
  <c r="K3067" i="1"/>
  <c r="BC3067" i="1"/>
  <c r="BE3067" i="1"/>
  <c r="BF3067" i="1"/>
  <c r="BG3067" i="1"/>
  <c r="E3068" i="1"/>
  <c r="G3068" i="1"/>
  <c r="J3068" i="1"/>
  <c r="K3068" i="1"/>
  <c r="BC3068" i="1"/>
  <c r="BE3068" i="1"/>
  <c r="BF3068" i="1"/>
  <c r="BG3068" i="1"/>
  <c r="E3069" i="1"/>
  <c r="G3069" i="1"/>
  <c r="J3069" i="1"/>
  <c r="K3069" i="1"/>
  <c r="BC3069" i="1"/>
  <c r="BE3069" i="1"/>
  <c r="BF3069" i="1"/>
  <c r="BG3069" i="1"/>
  <c r="E6523" i="1"/>
  <c r="G6523" i="1"/>
  <c r="J6523" i="1"/>
  <c r="K6523" i="1"/>
  <c r="BE6523" i="1"/>
  <c r="BF6523" i="1"/>
  <c r="BG6523" i="1"/>
  <c r="E3070" i="1"/>
  <c r="G3070" i="1"/>
  <c r="J3070" i="1"/>
  <c r="K3070" i="1"/>
  <c r="BE3070" i="1"/>
  <c r="BF3070" i="1"/>
  <c r="BG3070" i="1"/>
  <c r="E1012" i="1"/>
  <c r="G1012" i="1"/>
  <c r="J1012" i="1"/>
  <c r="K1012" i="1"/>
  <c r="BE1012" i="1"/>
  <c r="BF1012" i="1"/>
  <c r="BG1012" i="1"/>
  <c r="E4364" i="1"/>
  <c r="G4364" i="1"/>
  <c r="J4364" i="1"/>
  <c r="K4364" i="1"/>
  <c r="BE4364" i="1"/>
  <c r="BF4364" i="1"/>
  <c r="BG4364" i="1"/>
  <c r="E3071" i="1"/>
  <c r="G3071" i="1"/>
  <c r="J3071" i="1"/>
  <c r="K3071" i="1"/>
  <c r="BE3071" i="1"/>
  <c r="BF3071" i="1"/>
  <c r="BG3071" i="1"/>
  <c r="E6819" i="1"/>
  <c r="G6819" i="1"/>
  <c r="J6819" i="1"/>
  <c r="K6819" i="1"/>
  <c r="BE6819" i="1"/>
  <c r="BF6819" i="1"/>
  <c r="BG6819" i="1"/>
  <c r="E342" i="1"/>
  <c r="G342" i="1"/>
  <c r="J342" i="1"/>
  <c r="K342" i="1"/>
  <c r="BF342" i="1"/>
  <c r="BG342" i="1"/>
  <c r="E343" i="1"/>
  <c r="G343" i="1"/>
  <c r="J343" i="1"/>
  <c r="K343" i="1"/>
  <c r="BF343" i="1"/>
  <c r="BG343" i="1"/>
  <c r="E1013" i="1"/>
  <c r="G1013" i="1"/>
  <c r="J1013" i="1"/>
  <c r="K1013" i="1"/>
  <c r="BE1013" i="1"/>
  <c r="BF1013" i="1"/>
  <c r="BG1013" i="1"/>
  <c r="E3072" i="1"/>
  <c r="G3072" i="1"/>
  <c r="J3072" i="1"/>
  <c r="K3072" i="1"/>
  <c r="BE3072" i="1"/>
  <c r="BF3072" i="1"/>
  <c r="BG3072" i="1"/>
  <c r="E4835" i="1"/>
  <c r="G4835" i="1"/>
  <c r="J4835" i="1"/>
  <c r="K4835" i="1"/>
  <c r="BE4835" i="1"/>
  <c r="BF4835" i="1"/>
  <c r="BG4835" i="1"/>
  <c r="E4365" i="1"/>
  <c r="G4365" i="1"/>
  <c r="J4365" i="1"/>
  <c r="K4365" i="1"/>
  <c r="BE4365" i="1"/>
  <c r="BF4365" i="1"/>
  <c r="BG4365" i="1"/>
  <c r="E3383" i="1"/>
  <c r="G3383" i="1"/>
  <c r="J3383" i="1"/>
  <c r="K3383" i="1"/>
  <c r="BE3383" i="1"/>
  <c r="BF3383" i="1"/>
  <c r="BG3383" i="1"/>
  <c r="E1014" i="1"/>
  <c r="G1014" i="1"/>
  <c r="J1014" i="1"/>
  <c r="K1014" i="1"/>
  <c r="BE1014" i="1"/>
  <c r="BF1014" i="1"/>
  <c r="BG1014" i="1"/>
  <c r="E3073" i="1"/>
  <c r="G3073" i="1"/>
  <c r="J3073" i="1"/>
  <c r="K3073" i="1"/>
  <c r="BE3073" i="1"/>
  <c r="BF3073" i="1"/>
  <c r="BG3073" i="1"/>
  <c r="E6820" i="1"/>
  <c r="G6820" i="1"/>
  <c r="J6820" i="1"/>
  <c r="K6820" i="1"/>
  <c r="BE6820" i="1"/>
  <c r="BF6820" i="1"/>
  <c r="BG6820" i="1"/>
  <c r="E1015" i="1"/>
  <c r="G1015" i="1"/>
  <c r="J1015" i="1"/>
  <c r="K1015" i="1"/>
  <c r="BE1015" i="1"/>
  <c r="BF1015" i="1"/>
  <c r="BG1015" i="1"/>
  <c r="E4366" i="1"/>
  <c r="G4366" i="1"/>
  <c r="J4366" i="1"/>
  <c r="K4366" i="1"/>
  <c r="BE4366" i="1"/>
  <c r="BF4366" i="1"/>
  <c r="BG4366" i="1"/>
  <c r="E55" i="1"/>
  <c r="G55" i="1"/>
  <c r="J55" i="1"/>
  <c r="K55" i="1"/>
  <c r="BF55" i="1"/>
  <c r="BG55" i="1"/>
  <c r="E326" i="1"/>
  <c r="G326" i="1"/>
  <c r="J326" i="1"/>
  <c r="K326" i="1"/>
  <c r="BF326" i="1"/>
  <c r="BG326" i="1"/>
  <c r="E327" i="1"/>
  <c r="G327" i="1"/>
  <c r="J327" i="1"/>
  <c r="K327" i="1"/>
  <c r="BF327" i="1"/>
  <c r="BG327" i="1"/>
  <c r="E328" i="1"/>
  <c r="G328" i="1"/>
  <c r="J328" i="1"/>
  <c r="K328" i="1"/>
  <c r="BF328" i="1"/>
  <c r="BG328" i="1"/>
  <c r="E4057" i="1"/>
  <c r="G4057" i="1"/>
  <c r="J4057" i="1"/>
  <c r="K4057" i="1"/>
  <c r="BE4057" i="1"/>
  <c r="BF4057" i="1"/>
  <c r="BG4057" i="1"/>
  <c r="E1016" i="1"/>
  <c r="G1016" i="1"/>
  <c r="J1016" i="1"/>
  <c r="K1016" i="1"/>
  <c r="BE1016" i="1"/>
  <c r="BF1016" i="1"/>
  <c r="BG1016" i="1"/>
  <c r="E202" i="1"/>
  <c r="G202" i="1"/>
  <c r="J202" i="1"/>
  <c r="K202" i="1"/>
  <c r="BE202" i="1"/>
  <c r="BF202" i="1"/>
  <c r="BG202" i="1"/>
  <c r="E6893" i="1"/>
  <c r="G6893" i="1"/>
  <c r="J6893" i="1"/>
  <c r="BE6893" i="1"/>
  <c r="BF6893" i="1"/>
  <c r="BG6893" i="1"/>
  <c r="E4367" i="1"/>
  <c r="G4367" i="1"/>
  <c r="J4367" i="1"/>
  <c r="K4367" i="1"/>
  <c r="BE4367" i="1"/>
  <c r="BF4367" i="1"/>
  <c r="BG4367" i="1"/>
  <c r="E1017" i="1"/>
  <c r="G1017" i="1"/>
  <c r="J1017" i="1"/>
  <c r="K1017" i="1"/>
  <c r="BE1017" i="1"/>
  <c r="BF1017" i="1"/>
  <c r="BG1017" i="1"/>
  <c r="E6524" i="1"/>
  <c r="G6524" i="1"/>
  <c r="J6524" i="1"/>
  <c r="K6524" i="1"/>
  <c r="BE6524" i="1"/>
  <c r="BF6524" i="1"/>
  <c r="BG6524" i="1"/>
  <c r="E4058" i="1"/>
  <c r="G4058" i="1"/>
  <c r="J4058" i="1"/>
  <c r="K4058" i="1"/>
  <c r="BE4058" i="1"/>
  <c r="BF4058" i="1"/>
  <c r="BG4058" i="1"/>
  <c r="E4368" i="1"/>
  <c r="G4368" i="1"/>
  <c r="J4368" i="1"/>
  <c r="K4368" i="1"/>
  <c r="BE4368" i="1"/>
  <c r="BF4368" i="1"/>
  <c r="BG4368" i="1"/>
  <c r="E838" i="1"/>
  <c r="G838" i="1"/>
  <c r="J838" i="1"/>
  <c r="K838" i="1"/>
  <c r="BE838" i="1"/>
  <c r="BF838" i="1"/>
  <c r="BG838" i="1"/>
  <c r="E1018" i="1"/>
  <c r="G1018" i="1"/>
  <c r="J1018" i="1"/>
  <c r="K1018" i="1"/>
  <c r="BE1018" i="1"/>
  <c r="BF1018" i="1"/>
  <c r="BG1018" i="1"/>
  <c r="E4664" i="1"/>
  <c r="G4664" i="1"/>
  <c r="J4664" i="1"/>
  <c r="K4664" i="1"/>
  <c r="BE4664" i="1"/>
  <c r="BF4664" i="1"/>
  <c r="BG4664" i="1"/>
  <c r="E3683" i="1"/>
  <c r="G3683" i="1"/>
  <c r="J3683" i="1"/>
  <c r="K3683" i="1"/>
  <c r="BE3683" i="1"/>
  <c r="BF3683" i="1"/>
  <c r="BG3683" i="1"/>
  <c r="E4369" i="1"/>
  <c r="G4369" i="1"/>
  <c r="J4369" i="1"/>
  <c r="K4369" i="1"/>
  <c r="BE4369" i="1"/>
  <c r="BF4369" i="1"/>
  <c r="BG4369" i="1"/>
  <c r="E1019" i="1"/>
  <c r="G1019" i="1"/>
  <c r="J1019" i="1"/>
  <c r="K1019" i="1"/>
  <c r="BE1019" i="1"/>
  <c r="BF1019" i="1"/>
  <c r="BG1019" i="1"/>
  <c r="E5949" i="1"/>
  <c r="G5949" i="1"/>
  <c r="J5949" i="1"/>
  <c r="K5949" i="1"/>
  <c r="BE5949" i="1"/>
  <c r="BF5949" i="1"/>
  <c r="BG5949" i="1"/>
  <c r="E5950" i="1"/>
  <c r="G5950" i="1"/>
  <c r="J5950" i="1"/>
  <c r="K5950" i="1"/>
  <c r="BE5950" i="1"/>
  <c r="BF5950" i="1"/>
  <c r="BG5950" i="1"/>
  <c r="E5951" i="1"/>
  <c r="G5951" i="1"/>
  <c r="J5951" i="1"/>
  <c r="K5951" i="1"/>
  <c r="BE5951" i="1"/>
  <c r="BF5951" i="1"/>
  <c r="BG5951" i="1"/>
  <c r="E5952" i="1"/>
  <c r="G5952" i="1"/>
  <c r="J5952" i="1"/>
  <c r="K5952" i="1"/>
  <c r="BE5952" i="1"/>
  <c r="BF5952" i="1"/>
  <c r="BG5952" i="1"/>
  <c r="E5953" i="1"/>
  <c r="G5953" i="1"/>
  <c r="J5953" i="1"/>
  <c r="K5953" i="1"/>
  <c r="BE5953" i="1"/>
  <c r="BF5953" i="1"/>
  <c r="BG5953" i="1"/>
  <c r="E5954" i="1"/>
  <c r="G5954" i="1"/>
  <c r="J5954" i="1"/>
  <c r="K5954" i="1"/>
  <c r="BE5954" i="1"/>
  <c r="BF5954" i="1"/>
  <c r="BG5954" i="1"/>
  <c r="E5955" i="1"/>
  <c r="G5955" i="1"/>
  <c r="J5955" i="1"/>
  <c r="K5955" i="1"/>
  <c r="BE5955" i="1"/>
  <c r="BF5955" i="1"/>
  <c r="BG5955" i="1"/>
  <c r="E5956" i="1"/>
  <c r="G5956" i="1"/>
  <c r="J5956" i="1"/>
  <c r="K5956" i="1"/>
  <c r="BE5956" i="1"/>
  <c r="BF5956" i="1"/>
  <c r="BG5956" i="1"/>
  <c r="E5957" i="1"/>
  <c r="G5957" i="1"/>
  <c r="J5957" i="1"/>
  <c r="K5957" i="1"/>
  <c r="BE5957" i="1"/>
  <c r="BF5957" i="1"/>
  <c r="BG5957" i="1"/>
  <c r="E5958" i="1"/>
  <c r="G5958" i="1"/>
  <c r="J5958" i="1"/>
  <c r="K5958" i="1"/>
  <c r="BE5958" i="1"/>
  <c r="BF5958" i="1"/>
  <c r="BG5958" i="1"/>
  <c r="E5959" i="1"/>
  <c r="G5959" i="1"/>
  <c r="J5959" i="1"/>
  <c r="K5959" i="1"/>
  <c r="BE5959" i="1"/>
  <c r="BF5959" i="1"/>
  <c r="BG5959" i="1"/>
  <c r="E5960" i="1"/>
  <c r="G5960" i="1"/>
  <c r="J5960" i="1"/>
  <c r="K5960" i="1"/>
  <c r="BE5960" i="1"/>
  <c r="BF5960" i="1"/>
  <c r="BG5960" i="1"/>
  <c r="E5961" i="1"/>
  <c r="G5961" i="1"/>
  <c r="J5961" i="1"/>
  <c r="K5961" i="1"/>
  <c r="BE5961" i="1"/>
  <c r="BF5961" i="1"/>
  <c r="BG5961" i="1"/>
  <c r="E5962" i="1"/>
  <c r="G5962" i="1"/>
  <c r="J5962" i="1"/>
  <c r="K5962" i="1"/>
  <c r="BE5962" i="1"/>
  <c r="BF5962" i="1"/>
  <c r="BG5962" i="1"/>
  <c r="E5963" i="1"/>
  <c r="G5963" i="1"/>
  <c r="J5963" i="1"/>
  <c r="K5963" i="1"/>
  <c r="BE5963" i="1"/>
  <c r="BF5963" i="1"/>
  <c r="BG5963" i="1"/>
  <c r="E5964" i="1"/>
  <c r="G5964" i="1"/>
  <c r="J5964" i="1"/>
  <c r="K5964" i="1"/>
  <c r="BE5964" i="1"/>
  <c r="BF5964" i="1"/>
  <c r="BG5964" i="1"/>
  <c r="E5965" i="1"/>
  <c r="G5965" i="1"/>
  <c r="J5965" i="1"/>
  <c r="K5965" i="1"/>
  <c r="BE5965" i="1"/>
  <c r="BF5965" i="1"/>
  <c r="BG5965" i="1"/>
  <c r="E5966" i="1"/>
  <c r="G5966" i="1"/>
  <c r="J5966" i="1"/>
  <c r="K5966" i="1"/>
  <c r="BE5966" i="1"/>
  <c r="BF5966" i="1"/>
  <c r="BG5966" i="1"/>
  <c r="E5967" i="1"/>
  <c r="G5967" i="1"/>
  <c r="J5967" i="1"/>
  <c r="K5967" i="1"/>
  <c r="BE5967" i="1"/>
  <c r="BF5967" i="1"/>
  <c r="BG5967" i="1"/>
  <c r="E5968" i="1"/>
  <c r="G5968" i="1"/>
  <c r="J5968" i="1"/>
  <c r="K5968" i="1"/>
  <c r="BE5968" i="1"/>
  <c r="BF5968" i="1"/>
  <c r="BG5968" i="1"/>
  <c r="E5969" i="1"/>
  <c r="G5969" i="1"/>
  <c r="J5969" i="1"/>
  <c r="K5969" i="1"/>
  <c r="BE5969" i="1"/>
  <c r="BF5969" i="1"/>
  <c r="BG5969" i="1"/>
  <c r="E5970" i="1"/>
  <c r="G5970" i="1"/>
  <c r="J5970" i="1"/>
  <c r="K5970" i="1"/>
  <c r="BE5970" i="1"/>
  <c r="BF5970" i="1"/>
  <c r="BG5970" i="1"/>
  <c r="E5971" i="1"/>
  <c r="G5971" i="1"/>
  <c r="J5971" i="1"/>
  <c r="K5971" i="1"/>
  <c r="BE5971" i="1"/>
  <c r="BF5971" i="1"/>
  <c r="BG5971" i="1"/>
  <c r="E5972" i="1"/>
  <c r="G5972" i="1"/>
  <c r="J5972" i="1"/>
  <c r="K5972" i="1"/>
  <c r="BE5972" i="1"/>
  <c r="BF5972" i="1"/>
  <c r="BG5972" i="1"/>
  <c r="E5973" i="1"/>
  <c r="G5973" i="1"/>
  <c r="J5973" i="1"/>
  <c r="K5973" i="1"/>
  <c r="BE5973" i="1"/>
  <c r="BF5973" i="1"/>
  <c r="BG5973" i="1"/>
  <c r="E5974" i="1"/>
  <c r="G5974" i="1"/>
  <c r="J5974" i="1"/>
  <c r="K5974" i="1"/>
  <c r="BE5974" i="1"/>
  <c r="BF5974" i="1"/>
  <c r="BG5974" i="1"/>
  <c r="E5975" i="1"/>
  <c r="G5975" i="1"/>
  <c r="J5975" i="1"/>
  <c r="K5975" i="1"/>
  <c r="BE5975" i="1"/>
  <c r="BF5975" i="1"/>
  <c r="BG5975" i="1"/>
  <c r="E5976" i="1"/>
  <c r="G5976" i="1"/>
  <c r="J5976" i="1"/>
  <c r="K5976" i="1"/>
  <c r="BE5976" i="1"/>
  <c r="BF5976" i="1"/>
  <c r="BG5976" i="1"/>
  <c r="E5977" i="1"/>
  <c r="G5977" i="1"/>
  <c r="J5977" i="1"/>
  <c r="K5977" i="1"/>
  <c r="BE5977" i="1"/>
  <c r="BF5977" i="1"/>
  <c r="BG5977" i="1"/>
  <c r="E5978" i="1"/>
  <c r="G5978" i="1"/>
  <c r="J5978" i="1"/>
  <c r="K5978" i="1"/>
  <c r="BE5978" i="1"/>
  <c r="BF5978" i="1"/>
  <c r="BG5978" i="1"/>
  <c r="E5979" i="1"/>
  <c r="G5979" i="1"/>
  <c r="J5979" i="1"/>
  <c r="K5979" i="1"/>
  <c r="BE5979" i="1"/>
  <c r="BF5979" i="1"/>
  <c r="BG5979" i="1"/>
  <c r="E5980" i="1"/>
  <c r="G5980" i="1"/>
  <c r="J5980" i="1"/>
  <c r="K5980" i="1"/>
  <c r="BE5980" i="1"/>
  <c r="BF5980" i="1"/>
  <c r="BG5980" i="1"/>
  <c r="E5981" i="1"/>
  <c r="G5981" i="1"/>
  <c r="J5981" i="1"/>
  <c r="K5981" i="1"/>
  <c r="BE5981" i="1"/>
  <c r="BF5981" i="1"/>
  <c r="BG5981" i="1"/>
  <c r="E5982" i="1"/>
  <c r="G5982" i="1"/>
  <c r="J5982" i="1"/>
  <c r="K5982" i="1"/>
  <c r="BE5982" i="1"/>
  <c r="BF5982" i="1"/>
  <c r="BG5982" i="1"/>
  <c r="E5983" i="1"/>
  <c r="G5983" i="1"/>
  <c r="J5983" i="1"/>
  <c r="K5983" i="1"/>
  <c r="BE5983" i="1"/>
  <c r="BF5983" i="1"/>
  <c r="BG5983" i="1"/>
  <c r="E5984" i="1"/>
  <c r="G5984" i="1"/>
  <c r="J5984" i="1"/>
  <c r="K5984" i="1"/>
  <c r="BE5984" i="1"/>
  <c r="BF5984" i="1"/>
  <c r="BG5984" i="1"/>
  <c r="E5985" i="1"/>
  <c r="G5985" i="1"/>
  <c r="J5985" i="1"/>
  <c r="K5985" i="1"/>
  <c r="BE5985" i="1"/>
  <c r="BF5985" i="1"/>
  <c r="BG5985" i="1"/>
  <c r="E5986" i="1"/>
  <c r="G5986" i="1"/>
  <c r="J5986" i="1"/>
  <c r="K5986" i="1"/>
  <c r="BE5986" i="1"/>
  <c r="BF5986" i="1"/>
  <c r="BG5986" i="1"/>
  <c r="E5987" i="1"/>
  <c r="G5987" i="1"/>
  <c r="J5987" i="1"/>
  <c r="K5987" i="1"/>
  <c r="BE5987" i="1"/>
  <c r="BF5987" i="1"/>
  <c r="BG5987" i="1"/>
  <c r="E6525" i="1"/>
  <c r="G6525" i="1"/>
  <c r="J6525" i="1"/>
  <c r="K6525" i="1"/>
  <c r="BE6525" i="1"/>
  <c r="BF6525" i="1"/>
  <c r="BG6525" i="1"/>
  <c r="E4665" i="1"/>
  <c r="G4665" i="1"/>
  <c r="J4665" i="1"/>
  <c r="K4665" i="1"/>
  <c r="BE4665" i="1"/>
  <c r="BF4665" i="1"/>
  <c r="BG4665" i="1"/>
  <c r="E180" i="1"/>
  <c r="G180" i="1"/>
  <c r="J180" i="1"/>
  <c r="K180" i="1"/>
  <c r="BF180" i="1"/>
  <c r="BG180" i="1"/>
  <c r="E573" i="1"/>
  <c r="G573" i="1"/>
  <c r="J573" i="1"/>
  <c r="K573" i="1"/>
  <c r="BE573" i="1"/>
  <c r="BF573" i="1"/>
  <c r="BG573" i="1"/>
  <c r="E3684" i="1"/>
  <c r="G3684" i="1"/>
  <c r="J3684" i="1"/>
  <c r="K3684" i="1"/>
  <c r="BE3684" i="1"/>
  <c r="BF3684" i="1"/>
  <c r="BG3684" i="1"/>
  <c r="E1020" i="1"/>
  <c r="G1020" i="1"/>
  <c r="J1020" i="1"/>
  <c r="K1020" i="1"/>
  <c r="BE1020" i="1"/>
  <c r="BF1020" i="1"/>
  <c r="BG1020" i="1"/>
  <c r="E6526" i="1"/>
  <c r="G6526" i="1"/>
  <c r="J6526" i="1"/>
  <c r="K6526" i="1"/>
  <c r="BE6526" i="1"/>
  <c r="BF6526" i="1"/>
  <c r="BG6526" i="1"/>
  <c r="E4370" i="1"/>
  <c r="G4370" i="1"/>
  <c r="J4370" i="1"/>
  <c r="K4370" i="1"/>
  <c r="BE4370" i="1"/>
  <c r="BF4370" i="1"/>
  <c r="BG4370" i="1"/>
  <c r="E6821" i="1"/>
  <c r="G6821" i="1"/>
  <c r="J6821" i="1"/>
  <c r="K6821" i="1"/>
  <c r="BE6821" i="1"/>
  <c r="BF6821" i="1"/>
  <c r="BG6821" i="1"/>
  <c r="E3685" i="1"/>
  <c r="G3685" i="1"/>
  <c r="J3685" i="1"/>
  <c r="K3685" i="1"/>
  <c r="BE3685" i="1"/>
  <c r="BF3685" i="1"/>
  <c r="BG3685" i="1"/>
  <c r="E6527" i="1"/>
  <c r="G6527" i="1"/>
  <c r="J6527" i="1"/>
  <c r="K6527" i="1"/>
  <c r="BE6527" i="1"/>
  <c r="BF6527" i="1"/>
  <c r="BG6527" i="1"/>
  <c r="E475" i="1"/>
  <c r="G475" i="1"/>
  <c r="J475" i="1"/>
  <c r="K475" i="1"/>
  <c r="BE475" i="1"/>
  <c r="BF475" i="1"/>
  <c r="BG475" i="1"/>
  <c r="E1021" i="1"/>
  <c r="G1021" i="1"/>
  <c r="J1021" i="1"/>
  <c r="K1021" i="1"/>
  <c r="BE1021" i="1"/>
  <c r="BF1021" i="1"/>
  <c r="BG1021" i="1"/>
  <c r="E3074" i="1"/>
  <c r="G3074" i="1"/>
  <c r="J3074" i="1"/>
  <c r="K3074" i="1"/>
  <c r="BE3074" i="1"/>
  <c r="BF3074" i="1"/>
  <c r="BG3074" i="1"/>
  <c r="E3686" i="1"/>
  <c r="G3686" i="1"/>
  <c r="J3686" i="1"/>
  <c r="K3686" i="1"/>
  <c r="BE3686" i="1"/>
  <c r="BF3686" i="1"/>
  <c r="BG3686" i="1"/>
  <c r="E574" i="1"/>
  <c r="G574" i="1"/>
  <c r="J574" i="1"/>
  <c r="K574" i="1"/>
  <c r="BE574" i="1"/>
  <c r="BF574" i="1"/>
  <c r="BG574" i="1"/>
  <c r="E858" i="1"/>
  <c r="G858" i="1"/>
  <c r="J858" i="1"/>
  <c r="K858" i="1"/>
  <c r="BE858" i="1"/>
  <c r="BF858" i="1"/>
  <c r="BG858" i="1"/>
  <c r="E6528" i="1"/>
  <c r="G6528" i="1"/>
  <c r="J6528" i="1"/>
  <c r="K6528" i="1"/>
  <c r="BE6528" i="1"/>
  <c r="BF6528" i="1"/>
  <c r="BG6528" i="1"/>
  <c r="E3075" i="1"/>
  <c r="G3075" i="1"/>
  <c r="J3075" i="1"/>
  <c r="K3075" i="1"/>
  <c r="BE3075" i="1"/>
  <c r="BF3075" i="1"/>
  <c r="BG3075" i="1"/>
  <c r="E3687" i="1"/>
  <c r="G3687" i="1"/>
  <c r="J3687" i="1"/>
  <c r="K3687" i="1"/>
  <c r="BE3687" i="1"/>
  <c r="BF3687" i="1"/>
  <c r="BG3687" i="1"/>
  <c r="E4371" i="1"/>
  <c r="G4371" i="1"/>
  <c r="J4371" i="1"/>
  <c r="K4371" i="1"/>
  <c r="BE4371" i="1"/>
  <c r="BF4371" i="1"/>
  <c r="BG4371" i="1"/>
  <c r="E746" i="1"/>
  <c r="G746" i="1"/>
  <c r="J746" i="1"/>
  <c r="K746" i="1"/>
  <c r="BC746" i="1"/>
  <c r="BE746" i="1"/>
  <c r="BF746" i="1"/>
  <c r="BG746" i="1"/>
  <c r="E1022" i="1"/>
  <c r="G1022" i="1"/>
  <c r="J1022" i="1"/>
  <c r="K1022" i="1"/>
  <c r="BE1022" i="1"/>
  <c r="BF1022" i="1"/>
  <c r="BG1022" i="1"/>
  <c r="E3688" i="1"/>
  <c r="G3688" i="1"/>
  <c r="J3688" i="1"/>
  <c r="K3688" i="1"/>
  <c r="BE3688" i="1"/>
  <c r="BF3688" i="1"/>
  <c r="BG3688" i="1"/>
  <c r="E3076" i="1"/>
  <c r="G3076" i="1"/>
  <c r="J3076" i="1"/>
  <c r="K3076" i="1"/>
  <c r="BE3076" i="1"/>
  <c r="BF3076" i="1"/>
  <c r="BG3076" i="1"/>
  <c r="E6637" i="1"/>
  <c r="G6637" i="1"/>
  <c r="J6637" i="1"/>
  <c r="K6637" i="1"/>
  <c r="BE6637" i="1"/>
  <c r="BF6637" i="1"/>
  <c r="BG6637" i="1"/>
  <c r="E6529" i="1"/>
  <c r="G6529" i="1"/>
  <c r="J6529" i="1"/>
  <c r="K6529" i="1"/>
  <c r="BE6529" i="1"/>
  <c r="BF6529" i="1"/>
  <c r="BG6529" i="1"/>
  <c r="E4836" i="1"/>
  <c r="G4836" i="1"/>
  <c r="J4836" i="1"/>
  <c r="K4836" i="1"/>
  <c r="BE4836" i="1"/>
  <c r="BF4836" i="1"/>
  <c r="BG4836" i="1"/>
  <c r="E1023" i="1"/>
  <c r="G1023" i="1"/>
  <c r="J1023" i="1"/>
  <c r="K1023" i="1"/>
  <c r="BE1023" i="1"/>
  <c r="BF1023" i="1"/>
  <c r="BG1023" i="1"/>
  <c r="E1063" i="1"/>
  <c r="G1063" i="1"/>
  <c r="J1063" i="1"/>
  <c r="K1063" i="1"/>
  <c r="BE1063" i="1"/>
  <c r="BF1063" i="1"/>
  <c r="BG1063" i="1"/>
  <c r="E1064" i="1"/>
  <c r="G1064" i="1"/>
  <c r="J1064" i="1"/>
  <c r="K1064" i="1"/>
  <c r="BE1064" i="1"/>
  <c r="BF1064" i="1"/>
  <c r="BG1064" i="1"/>
  <c r="E3384" i="1"/>
  <c r="G3384" i="1"/>
  <c r="J3384" i="1"/>
  <c r="K3384" i="1"/>
  <c r="BE3384" i="1"/>
  <c r="BF3384" i="1"/>
  <c r="BG3384" i="1"/>
  <c r="E3689" i="1"/>
  <c r="G3689" i="1"/>
  <c r="J3689" i="1"/>
  <c r="K3689" i="1"/>
  <c r="BE3689" i="1"/>
  <c r="BF3689" i="1"/>
  <c r="BG3689" i="1"/>
  <c r="E4666" i="1"/>
  <c r="G4666" i="1"/>
  <c r="J4666" i="1"/>
  <c r="K4666" i="1"/>
  <c r="BE4666" i="1"/>
  <c r="BF4666" i="1"/>
  <c r="BG4666" i="1"/>
  <c r="E6530" i="1"/>
  <c r="G6530" i="1"/>
  <c r="J6530" i="1"/>
  <c r="K6530" i="1"/>
  <c r="BE6530" i="1"/>
  <c r="BF6530" i="1"/>
  <c r="BG6530" i="1"/>
  <c r="E5988" i="1"/>
  <c r="G5988" i="1"/>
  <c r="J5988" i="1"/>
  <c r="K5988" i="1"/>
  <c r="BE5988" i="1"/>
  <c r="BF5988" i="1"/>
  <c r="BG5988" i="1"/>
  <c r="E4372" i="1"/>
  <c r="G4372" i="1"/>
  <c r="J4372" i="1"/>
  <c r="K4372" i="1"/>
  <c r="BE4372" i="1"/>
  <c r="BF4372" i="1"/>
  <c r="BG4372" i="1"/>
  <c r="E6638" i="1"/>
  <c r="G6638" i="1"/>
  <c r="J6638" i="1"/>
  <c r="K6638" i="1"/>
  <c r="BE6638" i="1"/>
  <c r="BF6638" i="1"/>
  <c r="BG6638" i="1"/>
  <c r="E3715" i="1"/>
  <c r="G3715" i="1"/>
  <c r="H3715" i="1"/>
  <c r="J3715" i="1"/>
  <c r="K3715" i="1"/>
  <c r="BE3715" i="1"/>
  <c r="BF3715" i="1"/>
  <c r="BG3715" i="1"/>
  <c r="E3385" i="1"/>
  <c r="G3385" i="1"/>
  <c r="J3385" i="1"/>
  <c r="K3385" i="1"/>
  <c r="BE3385" i="1"/>
  <c r="BF3385" i="1"/>
  <c r="BG3385" i="1"/>
  <c r="E4667" i="1"/>
  <c r="G4667" i="1"/>
  <c r="J4667" i="1"/>
  <c r="K4667" i="1"/>
  <c r="BE4667" i="1"/>
  <c r="BF4667" i="1"/>
  <c r="BG4667" i="1"/>
  <c r="E634" i="1"/>
  <c r="G634" i="1"/>
  <c r="J634" i="1"/>
  <c r="K634" i="1"/>
  <c r="BE634" i="1"/>
  <c r="BF634" i="1"/>
  <c r="BG634" i="1"/>
  <c r="E4837" i="1"/>
  <c r="G4837" i="1"/>
  <c r="J4837" i="1"/>
  <c r="K4837" i="1"/>
  <c r="BE4837" i="1"/>
  <c r="BF4837" i="1"/>
  <c r="BG4837" i="1"/>
  <c r="E6531" i="1"/>
  <c r="G6531" i="1"/>
  <c r="J6531" i="1"/>
  <c r="K6531" i="1"/>
  <c r="BE6531" i="1"/>
  <c r="BF6531" i="1"/>
  <c r="BG6531" i="1"/>
  <c r="E3690" i="1"/>
  <c r="G3690" i="1"/>
  <c r="J3690" i="1"/>
  <c r="K3690" i="1"/>
  <c r="BE3690" i="1"/>
  <c r="BF3690" i="1"/>
  <c r="BG3690" i="1"/>
  <c r="E1089" i="1"/>
  <c r="G1089" i="1"/>
  <c r="J1089" i="1"/>
  <c r="K1089" i="1"/>
  <c r="BE1089" i="1"/>
  <c r="BF1089" i="1"/>
  <c r="BG1089" i="1"/>
  <c r="E1090" i="1"/>
  <c r="G1090" i="1"/>
  <c r="J1090" i="1"/>
  <c r="K1090" i="1"/>
  <c r="BE1090" i="1"/>
  <c r="BF1090" i="1"/>
  <c r="BG1090" i="1"/>
  <c r="E4668" i="1"/>
  <c r="G4668" i="1"/>
  <c r="J4668" i="1"/>
  <c r="K4668" i="1"/>
  <c r="BE4668" i="1"/>
  <c r="BF4668" i="1"/>
  <c r="BG4668" i="1"/>
  <c r="E56" i="1"/>
  <c r="G56" i="1"/>
  <c r="J56" i="1"/>
  <c r="K56" i="1"/>
  <c r="BF56" i="1"/>
  <c r="BG56" i="1"/>
  <c r="E4373" i="1"/>
  <c r="G4373" i="1"/>
  <c r="J4373" i="1"/>
  <c r="K4373" i="1"/>
  <c r="BE4373" i="1"/>
  <c r="BF4373" i="1"/>
  <c r="BG4373" i="1"/>
  <c r="E3077" i="1"/>
  <c r="G3077" i="1"/>
  <c r="J3077" i="1"/>
  <c r="K3077" i="1"/>
  <c r="BE3077" i="1"/>
  <c r="BF3077" i="1"/>
  <c r="BG3077" i="1"/>
  <c r="E4263" i="1"/>
  <c r="G4263" i="1"/>
  <c r="J4263" i="1"/>
  <c r="K4263" i="1"/>
  <c r="BE4263" i="1"/>
  <c r="BF4263" i="1"/>
  <c r="BG4263" i="1"/>
  <c r="E6532" i="1"/>
  <c r="G6532" i="1"/>
  <c r="J6532" i="1"/>
  <c r="K6532" i="1"/>
  <c r="BE6532" i="1"/>
  <c r="BF6532" i="1"/>
  <c r="BG6532" i="1"/>
  <c r="E6894" i="1"/>
  <c r="G6894" i="1"/>
  <c r="J6894" i="1"/>
  <c r="BE6894" i="1"/>
  <c r="BF6894" i="1"/>
  <c r="BG6894" i="1"/>
  <c r="E445" i="1"/>
  <c r="G445" i="1"/>
  <c r="J445" i="1"/>
  <c r="K445" i="1"/>
  <c r="BF445" i="1"/>
  <c r="BG445" i="1"/>
  <c r="E3587" i="1"/>
  <c r="G3587" i="1"/>
  <c r="J3587" i="1"/>
  <c r="K3587" i="1"/>
  <c r="BE3587" i="1"/>
  <c r="BF3587" i="1"/>
  <c r="BG3587" i="1"/>
  <c r="E4264" i="1"/>
  <c r="G4264" i="1"/>
  <c r="J4264" i="1"/>
  <c r="K4264" i="1"/>
  <c r="BE4264" i="1"/>
  <c r="BF4264" i="1"/>
  <c r="BG4264" i="1"/>
  <c r="E3588" i="1"/>
  <c r="G3588" i="1"/>
  <c r="J3588" i="1"/>
  <c r="K3588" i="1"/>
  <c r="BE3588" i="1"/>
  <c r="BF3588" i="1"/>
  <c r="BG3588" i="1"/>
  <c r="E4265" i="1"/>
  <c r="G4265" i="1"/>
  <c r="J4265" i="1"/>
  <c r="K4265" i="1"/>
  <c r="BE4265" i="1"/>
  <c r="BF4265" i="1"/>
  <c r="BG4265" i="1"/>
  <c r="E6533" i="1"/>
  <c r="G6533" i="1"/>
  <c r="J6533" i="1"/>
  <c r="K6533" i="1"/>
  <c r="BE6533" i="1"/>
  <c r="BF6533" i="1"/>
  <c r="BG6533" i="1"/>
  <c r="E4266" i="1"/>
  <c r="G4266" i="1"/>
  <c r="J4266" i="1"/>
  <c r="K4266" i="1"/>
  <c r="BE4266" i="1"/>
  <c r="BF4266" i="1"/>
  <c r="BG4266" i="1"/>
  <c r="E3386" i="1"/>
  <c r="G3386" i="1"/>
  <c r="J3386" i="1"/>
  <c r="K3386" i="1"/>
  <c r="BE3386" i="1"/>
  <c r="BF3386" i="1"/>
  <c r="BG3386" i="1"/>
  <c r="E4374" i="1"/>
  <c r="G4374" i="1"/>
  <c r="J4374" i="1"/>
  <c r="K4374" i="1"/>
  <c r="BE4374" i="1"/>
  <c r="BF4374" i="1"/>
  <c r="BG4374" i="1"/>
  <c r="E4669" i="1"/>
  <c r="G4669" i="1"/>
  <c r="J4669" i="1"/>
  <c r="K4669" i="1"/>
  <c r="BE4669" i="1"/>
  <c r="BF4669" i="1"/>
  <c r="BG4669" i="1"/>
  <c r="E4647" i="1"/>
  <c r="G4647" i="1"/>
  <c r="J4647" i="1"/>
  <c r="K4647" i="1"/>
  <c r="BE4647" i="1"/>
  <c r="BF4647" i="1"/>
  <c r="BG4647" i="1"/>
  <c r="E1091" i="1"/>
  <c r="G1091" i="1"/>
  <c r="J1091" i="1"/>
  <c r="K1091" i="1"/>
  <c r="BE1091" i="1"/>
  <c r="BF1091" i="1"/>
  <c r="BG1091" i="1"/>
  <c r="E4267" i="1"/>
  <c r="G4267" i="1"/>
  <c r="J4267" i="1"/>
  <c r="K4267" i="1"/>
  <c r="BE4267" i="1"/>
  <c r="BF4267" i="1"/>
  <c r="BG4267" i="1"/>
  <c r="E4268" i="1"/>
  <c r="G4268" i="1"/>
  <c r="J4268" i="1"/>
  <c r="K4268" i="1"/>
  <c r="BE4268" i="1"/>
  <c r="BF4268" i="1"/>
  <c r="BG4268" i="1"/>
  <c r="E1092" i="1"/>
  <c r="G1092" i="1"/>
  <c r="J1092" i="1"/>
  <c r="K1092" i="1"/>
  <c r="BE1092" i="1"/>
  <c r="BF1092" i="1"/>
  <c r="BG1092" i="1"/>
  <c r="E4269" i="1"/>
  <c r="G4269" i="1"/>
  <c r="J4269" i="1"/>
  <c r="K4269" i="1"/>
  <c r="BE4269" i="1"/>
  <c r="BF4269" i="1"/>
  <c r="BG4269" i="1"/>
  <c r="E4648" i="1"/>
  <c r="G4648" i="1"/>
  <c r="J4648" i="1"/>
  <c r="K4648" i="1"/>
  <c r="BE4648" i="1"/>
  <c r="BF4648" i="1"/>
  <c r="BG4648" i="1"/>
  <c r="E4838" i="1"/>
  <c r="G4838" i="1"/>
  <c r="J4838" i="1"/>
  <c r="K4838" i="1"/>
  <c r="BE4838" i="1"/>
  <c r="BF4838" i="1"/>
  <c r="BG4838" i="1"/>
  <c r="E6534" i="1"/>
  <c r="G6534" i="1"/>
  <c r="J6534" i="1"/>
  <c r="K6534" i="1"/>
  <c r="BE6534" i="1"/>
  <c r="BF6534" i="1"/>
  <c r="BG6534" i="1"/>
  <c r="E4649" i="1"/>
  <c r="G4649" i="1"/>
  <c r="J4649" i="1"/>
  <c r="K4649" i="1"/>
  <c r="BE4649" i="1"/>
  <c r="BF4649" i="1"/>
  <c r="BG4649" i="1"/>
  <c r="E4375" i="1"/>
  <c r="G4375" i="1"/>
  <c r="J4375" i="1"/>
  <c r="K4375" i="1"/>
  <c r="BE4375" i="1"/>
  <c r="BF4375" i="1"/>
  <c r="BG4375" i="1"/>
  <c r="E1093" i="1"/>
  <c r="G1093" i="1"/>
  <c r="J1093" i="1"/>
  <c r="K1093" i="1"/>
  <c r="BE1093" i="1"/>
  <c r="BF1093" i="1"/>
  <c r="BG1093" i="1"/>
  <c r="E4650" i="1"/>
  <c r="G4650" i="1"/>
  <c r="J4650" i="1"/>
  <c r="K4650" i="1"/>
  <c r="BE4650" i="1"/>
  <c r="BF4650" i="1"/>
  <c r="BG4650" i="1"/>
  <c r="E4651" i="1"/>
  <c r="G4651" i="1"/>
  <c r="J4651" i="1"/>
  <c r="K4651" i="1"/>
  <c r="BE4651" i="1"/>
  <c r="BF4651" i="1"/>
  <c r="BG4651" i="1"/>
  <c r="E4652" i="1"/>
  <c r="G4652" i="1"/>
  <c r="J4652" i="1"/>
  <c r="K4652" i="1"/>
  <c r="BE4652" i="1"/>
  <c r="BF4652" i="1"/>
  <c r="BG4652" i="1"/>
  <c r="E4653" i="1"/>
  <c r="G4653" i="1"/>
  <c r="J4653" i="1"/>
  <c r="K4653" i="1"/>
  <c r="BE4653" i="1"/>
  <c r="BF4653" i="1"/>
  <c r="BG4653" i="1"/>
  <c r="E4654" i="1"/>
  <c r="G4654" i="1"/>
  <c r="J4654" i="1"/>
  <c r="K4654" i="1"/>
  <c r="BE4654" i="1"/>
  <c r="BF4654" i="1"/>
  <c r="BG4654" i="1"/>
  <c r="E4655" i="1"/>
  <c r="G4655" i="1"/>
  <c r="J4655" i="1"/>
  <c r="K4655" i="1"/>
  <c r="BE4655" i="1"/>
  <c r="BF4655" i="1"/>
  <c r="BG4655" i="1"/>
  <c r="E4656" i="1"/>
  <c r="G4656" i="1"/>
  <c r="J4656" i="1"/>
  <c r="K4656" i="1"/>
  <c r="BE4656" i="1"/>
  <c r="BF4656" i="1"/>
  <c r="BG4656" i="1"/>
  <c r="E4657" i="1"/>
  <c r="G4657" i="1"/>
  <c r="J4657" i="1"/>
  <c r="K4657" i="1"/>
  <c r="BE4657" i="1"/>
  <c r="BF4657" i="1"/>
  <c r="BG4657" i="1"/>
  <c r="E4658" i="1"/>
  <c r="G4658" i="1"/>
  <c r="J4658" i="1"/>
  <c r="K4658" i="1"/>
  <c r="BE4658" i="1"/>
  <c r="BF4658" i="1"/>
  <c r="BG4658" i="1"/>
  <c r="E4659" i="1"/>
  <c r="G4659" i="1"/>
  <c r="J4659" i="1"/>
  <c r="K4659" i="1"/>
  <c r="BE4659" i="1"/>
  <c r="BF4659" i="1"/>
  <c r="BG4659" i="1"/>
  <c r="E1094" i="1"/>
  <c r="G1094" i="1"/>
  <c r="J1094" i="1"/>
  <c r="K1094" i="1"/>
  <c r="BE1094" i="1"/>
  <c r="BF1094" i="1"/>
  <c r="BG1094" i="1"/>
  <c r="E6535" i="1"/>
  <c r="G6535" i="1"/>
  <c r="J6535" i="1"/>
  <c r="K6535" i="1"/>
  <c r="BE6535" i="1"/>
  <c r="BF6535" i="1"/>
  <c r="BG6535" i="1"/>
  <c r="E4376" i="1"/>
  <c r="G4376" i="1"/>
  <c r="J4376" i="1"/>
  <c r="K4376" i="1"/>
  <c r="BE4376" i="1"/>
  <c r="BF4376" i="1"/>
  <c r="BG4376" i="1"/>
  <c r="E4670" i="1"/>
  <c r="G4670" i="1"/>
  <c r="J4670" i="1"/>
  <c r="K4670" i="1"/>
  <c r="BE4670" i="1"/>
  <c r="BF4670" i="1"/>
  <c r="BG4670" i="1"/>
  <c r="E4839" i="1"/>
  <c r="G4839" i="1"/>
  <c r="J4839" i="1"/>
  <c r="K4839" i="1"/>
  <c r="BE4839" i="1"/>
  <c r="BF4839" i="1"/>
  <c r="BG4839" i="1"/>
  <c r="E1095" i="1"/>
  <c r="G1095" i="1"/>
  <c r="J1095" i="1"/>
  <c r="K1095" i="1"/>
  <c r="BE1095" i="1"/>
  <c r="BF1095" i="1"/>
  <c r="BG1095" i="1"/>
  <c r="E1096" i="1"/>
  <c r="G1096" i="1"/>
  <c r="J1096" i="1"/>
  <c r="K1096" i="1"/>
  <c r="BE1096" i="1"/>
  <c r="BF1096" i="1"/>
  <c r="BG1096" i="1"/>
  <c r="E1024" i="1"/>
  <c r="G1024" i="1"/>
  <c r="J1024" i="1"/>
  <c r="K1024" i="1"/>
  <c r="BE1024" i="1"/>
  <c r="BF1024" i="1"/>
  <c r="BG1024" i="1"/>
  <c r="E4671" i="1"/>
  <c r="G4671" i="1"/>
  <c r="J4671" i="1"/>
  <c r="K4671" i="1"/>
  <c r="BE4671" i="1"/>
  <c r="BF4671" i="1"/>
  <c r="BG4671" i="1"/>
  <c r="E4377" i="1"/>
  <c r="G4377" i="1"/>
  <c r="J4377" i="1"/>
  <c r="K4377" i="1"/>
  <c r="BE4377" i="1"/>
  <c r="BF4377" i="1"/>
  <c r="BG4377" i="1"/>
  <c r="E6536" i="1"/>
  <c r="G6536" i="1"/>
  <c r="J6536" i="1"/>
  <c r="K6536" i="1"/>
  <c r="BE6536" i="1"/>
  <c r="BF6536" i="1"/>
  <c r="BG6536" i="1"/>
  <c r="E635" i="1"/>
  <c r="G635" i="1"/>
  <c r="J635" i="1"/>
  <c r="K635" i="1"/>
  <c r="BE635" i="1"/>
  <c r="BF635" i="1"/>
  <c r="BG635" i="1"/>
  <c r="E1025" i="1"/>
  <c r="G1025" i="1"/>
  <c r="J1025" i="1"/>
  <c r="K1025" i="1"/>
  <c r="BE1025" i="1"/>
  <c r="BF1025" i="1"/>
  <c r="BG1025" i="1"/>
  <c r="E4672" i="1"/>
  <c r="G4672" i="1"/>
  <c r="J4672" i="1"/>
  <c r="K4672" i="1"/>
  <c r="BE4672" i="1"/>
  <c r="BF4672" i="1"/>
  <c r="BG4672" i="1"/>
  <c r="E6537" i="1"/>
  <c r="G6537" i="1"/>
  <c r="J6537" i="1"/>
  <c r="K6537" i="1"/>
  <c r="BE6537" i="1"/>
  <c r="BF6537" i="1"/>
  <c r="BG6537" i="1"/>
  <c r="E4378" i="1"/>
  <c r="G4378" i="1"/>
  <c r="J4378" i="1"/>
  <c r="K4378" i="1"/>
  <c r="BE4378" i="1"/>
  <c r="BF4378" i="1"/>
  <c r="BG4378" i="1"/>
  <c r="E1097" i="1"/>
  <c r="G1097" i="1"/>
  <c r="J1097" i="1"/>
  <c r="K1097" i="1"/>
  <c r="BE1097" i="1"/>
  <c r="BF1097" i="1"/>
  <c r="BG1097" i="1"/>
  <c r="E1026" i="1"/>
  <c r="G1026" i="1"/>
  <c r="J1026" i="1"/>
  <c r="K1026" i="1"/>
  <c r="BE1026" i="1"/>
  <c r="BF1026" i="1"/>
  <c r="BG1026" i="1"/>
  <c r="E665" i="1"/>
  <c r="G665" i="1"/>
  <c r="J665" i="1"/>
  <c r="K665" i="1"/>
  <c r="BC665" i="1"/>
  <c r="BE665" i="1"/>
  <c r="BF665" i="1"/>
  <c r="BG665" i="1"/>
  <c r="E4673" i="1"/>
  <c r="G4673" i="1"/>
  <c r="J4673" i="1"/>
  <c r="K4673" i="1"/>
  <c r="BE4673" i="1"/>
  <c r="BF4673" i="1"/>
  <c r="BG4673" i="1"/>
  <c r="E6538" i="1"/>
  <c r="G6538" i="1"/>
  <c r="J6538" i="1"/>
  <c r="K6538" i="1"/>
  <c r="BE6538" i="1"/>
  <c r="BF6538" i="1"/>
  <c r="BG6538" i="1"/>
  <c r="E666" i="1"/>
  <c r="G666" i="1"/>
  <c r="J666" i="1"/>
  <c r="K666" i="1"/>
  <c r="BC666" i="1"/>
  <c r="BE666" i="1"/>
  <c r="BF666" i="1"/>
  <c r="BG666" i="1"/>
  <c r="E1027" i="1"/>
  <c r="G1027" i="1"/>
  <c r="J1027" i="1"/>
  <c r="K1027" i="1"/>
  <c r="BE1027" i="1"/>
  <c r="BF1027" i="1"/>
  <c r="BG1027" i="1"/>
  <c r="E3387" i="1"/>
  <c r="G3387" i="1"/>
  <c r="J3387" i="1"/>
  <c r="K3387" i="1"/>
  <c r="BE3387" i="1"/>
  <c r="BF3387" i="1"/>
  <c r="BG3387" i="1"/>
  <c r="E6639" i="1"/>
  <c r="G6639" i="1"/>
  <c r="J6639" i="1"/>
  <c r="K6639" i="1"/>
  <c r="BE6639" i="1"/>
  <c r="BF6639" i="1"/>
  <c r="BG6639" i="1"/>
  <c r="E138" i="1"/>
  <c r="G138" i="1"/>
  <c r="J138" i="1"/>
  <c r="K138" i="1"/>
  <c r="BC138" i="1"/>
  <c r="BE138" i="1"/>
  <c r="BG138" i="1"/>
  <c r="E570" i="1"/>
  <c r="G570" i="1"/>
  <c r="J570" i="1"/>
  <c r="K570" i="1"/>
  <c r="BE570" i="1"/>
  <c r="BF570" i="1"/>
  <c r="BG570" i="1"/>
  <c r="E3078" i="1"/>
  <c r="G3078" i="1"/>
  <c r="J3078" i="1"/>
  <c r="K3078" i="1"/>
  <c r="BC3078" i="1"/>
  <c r="BE3078" i="1"/>
  <c r="BF3078" i="1"/>
  <c r="BG3078" i="1"/>
  <c r="E6539" i="1"/>
  <c r="G6539" i="1"/>
  <c r="J6539" i="1"/>
  <c r="K6539" i="1"/>
  <c r="BE6539" i="1"/>
  <c r="BF6539" i="1"/>
  <c r="BG6539" i="1"/>
  <c r="E1028" i="1"/>
  <c r="G1028" i="1"/>
  <c r="J1028" i="1"/>
  <c r="K1028" i="1"/>
  <c r="BE1028" i="1"/>
  <c r="BF1028" i="1"/>
  <c r="BG1028" i="1"/>
  <c r="E181" i="1"/>
  <c r="G181" i="1"/>
  <c r="J181" i="1"/>
  <c r="K181" i="1"/>
  <c r="BF181" i="1"/>
  <c r="BG181" i="1"/>
  <c r="E4379" i="1"/>
  <c r="G4379" i="1"/>
  <c r="J4379" i="1"/>
  <c r="K4379" i="1"/>
  <c r="BE4379" i="1"/>
  <c r="BF4379" i="1"/>
  <c r="BG4379" i="1"/>
  <c r="E4674" i="1"/>
  <c r="G4674" i="1"/>
  <c r="J4674" i="1"/>
  <c r="K4674" i="1"/>
  <c r="BE4674" i="1"/>
  <c r="BF4674" i="1"/>
  <c r="BG4674" i="1"/>
  <c r="E6540" i="1"/>
  <c r="G6540" i="1"/>
  <c r="J6540" i="1"/>
  <c r="K6540" i="1"/>
  <c r="BE6540" i="1"/>
  <c r="BF6540" i="1"/>
  <c r="BG6540" i="1"/>
  <c r="E5989" i="1"/>
  <c r="G5989" i="1"/>
  <c r="J5989" i="1"/>
  <c r="K5989" i="1"/>
  <c r="BE5989" i="1"/>
  <c r="BF5989" i="1"/>
  <c r="BG5989" i="1"/>
  <c r="E4675" i="1"/>
  <c r="G4675" i="1"/>
  <c r="J4675" i="1"/>
  <c r="K4675" i="1"/>
  <c r="BE4675" i="1"/>
  <c r="BF4675" i="1"/>
  <c r="BG4675" i="1"/>
  <c r="E4380" i="1"/>
  <c r="G4380" i="1"/>
  <c r="J4380" i="1"/>
  <c r="K4380" i="1"/>
  <c r="BE4380" i="1"/>
  <c r="BF4380" i="1"/>
  <c r="BG4380" i="1"/>
  <c r="E3388" i="1"/>
  <c r="G3388" i="1"/>
  <c r="J3388" i="1"/>
  <c r="K3388" i="1"/>
  <c r="BE3388" i="1"/>
  <c r="BF3388" i="1"/>
  <c r="BG3388" i="1"/>
  <c r="E1029" i="1"/>
  <c r="G1029" i="1"/>
  <c r="J1029" i="1"/>
  <c r="K1029" i="1"/>
  <c r="BE1029" i="1"/>
  <c r="BF1029" i="1"/>
  <c r="BG1029" i="1"/>
  <c r="E5990" i="1"/>
  <c r="G5990" i="1"/>
  <c r="J5990" i="1"/>
  <c r="K5990" i="1"/>
  <c r="BE5990" i="1"/>
  <c r="BF5990" i="1"/>
  <c r="BG5990" i="1"/>
  <c r="E6541" i="1"/>
  <c r="G6541" i="1"/>
  <c r="J6541" i="1"/>
  <c r="K6541" i="1"/>
  <c r="BE6541" i="1"/>
  <c r="BF6541" i="1"/>
  <c r="BG6541" i="1"/>
  <c r="E4676" i="1"/>
  <c r="G4676" i="1"/>
  <c r="J4676" i="1"/>
  <c r="K4676" i="1"/>
  <c r="BE4676" i="1"/>
  <c r="BF4676" i="1"/>
  <c r="BG4676" i="1"/>
  <c r="E6895" i="1"/>
  <c r="G6895" i="1"/>
  <c r="J6895" i="1"/>
  <c r="BC6895" i="1"/>
  <c r="BE6895" i="1"/>
  <c r="BF6895" i="1"/>
  <c r="BG6895" i="1"/>
  <c r="E6640" i="1"/>
  <c r="G6640" i="1"/>
  <c r="J6640" i="1"/>
  <c r="K6640" i="1"/>
  <c r="BE6640" i="1"/>
  <c r="BF6640" i="1"/>
  <c r="BG6640" i="1"/>
  <c r="E4381" i="1"/>
  <c r="G4381" i="1"/>
  <c r="J4381" i="1"/>
  <c r="K4381" i="1"/>
  <c r="BE4381" i="1"/>
  <c r="BF4381" i="1"/>
  <c r="BG4381" i="1"/>
  <c r="E4677" i="1"/>
  <c r="G4677" i="1"/>
  <c r="J4677" i="1"/>
  <c r="K4677" i="1"/>
  <c r="BE4677" i="1"/>
  <c r="BF4677" i="1"/>
  <c r="BG4677" i="1"/>
  <c r="E1030" i="1"/>
  <c r="G1030" i="1"/>
  <c r="J1030" i="1"/>
  <c r="K1030" i="1"/>
  <c r="BE1030" i="1"/>
  <c r="BF1030" i="1"/>
  <c r="BG1030" i="1"/>
  <c r="E6542" i="1"/>
  <c r="G6542" i="1"/>
  <c r="J6542" i="1"/>
  <c r="K6542" i="1"/>
  <c r="BE6542" i="1"/>
  <c r="BF6542" i="1"/>
  <c r="BG6542" i="1"/>
  <c r="E4840" i="1"/>
  <c r="G4840" i="1"/>
  <c r="J4840" i="1"/>
  <c r="K4840" i="1"/>
  <c r="BE4840" i="1"/>
  <c r="BF4840" i="1"/>
  <c r="BG4840" i="1"/>
  <c r="E3389" i="1"/>
  <c r="G3389" i="1"/>
  <c r="J3389" i="1"/>
  <c r="K3389" i="1"/>
  <c r="BE3389" i="1"/>
  <c r="BF3389" i="1"/>
  <c r="BG3389" i="1"/>
  <c r="E4678" i="1"/>
  <c r="G4678" i="1"/>
  <c r="J4678" i="1"/>
  <c r="K4678" i="1"/>
  <c r="BE4678" i="1"/>
  <c r="BF4678" i="1"/>
  <c r="BG4678" i="1"/>
  <c r="E6543" i="1"/>
  <c r="G6543" i="1"/>
  <c r="J6543" i="1"/>
  <c r="K6543" i="1"/>
  <c r="BE6543" i="1"/>
  <c r="BF6543" i="1"/>
  <c r="BG6543" i="1"/>
  <c r="E3079" i="1"/>
  <c r="G3079" i="1"/>
  <c r="J3079" i="1"/>
  <c r="K3079" i="1"/>
  <c r="BE3079" i="1"/>
  <c r="BF3079" i="1"/>
  <c r="BG3079" i="1"/>
  <c r="E3080" i="1"/>
  <c r="G3080" i="1"/>
  <c r="J3080" i="1"/>
  <c r="K3080" i="1"/>
  <c r="BE3080" i="1"/>
  <c r="BF3080" i="1"/>
  <c r="BG3080" i="1"/>
  <c r="E3081" i="1"/>
  <c r="G3081" i="1"/>
  <c r="J3081" i="1"/>
  <c r="K3081" i="1"/>
  <c r="BE3081" i="1"/>
  <c r="BF3081" i="1"/>
  <c r="BG3081" i="1"/>
  <c r="E3082" i="1"/>
  <c r="G3082" i="1"/>
  <c r="J3082" i="1"/>
  <c r="K3082" i="1"/>
  <c r="BE3082" i="1"/>
  <c r="BF3082" i="1"/>
  <c r="BG3082" i="1"/>
  <c r="E3083" i="1"/>
  <c r="G3083" i="1"/>
  <c r="J3083" i="1"/>
  <c r="K3083" i="1"/>
  <c r="BE3083" i="1"/>
  <c r="BF3083" i="1"/>
  <c r="BG3083" i="1"/>
  <c r="E3084" i="1"/>
  <c r="G3084" i="1"/>
  <c r="J3084" i="1"/>
  <c r="K3084" i="1"/>
  <c r="BE3084" i="1"/>
  <c r="BF3084" i="1"/>
  <c r="BG3084" i="1"/>
  <c r="E3085" i="1"/>
  <c r="G3085" i="1"/>
  <c r="J3085" i="1"/>
  <c r="K3085" i="1"/>
  <c r="BE3085" i="1"/>
  <c r="BF3085" i="1"/>
  <c r="BG3085" i="1"/>
  <c r="E3086" i="1"/>
  <c r="G3086" i="1"/>
  <c r="J3086" i="1"/>
  <c r="K3086" i="1"/>
  <c r="BE3086" i="1"/>
  <c r="BF3086" i="1"/>
  <c r="BG3086" i="1"/>
  <c r="E3087" i="1"/>
  <c r="G3087" i="1"/>
  <c r="J3087" i="1"/>
  <c r="K3087" i="1"/>
  <c r="BE3087" i="1"/>
  <c r="BF3087" i="1"/>
  <c r="BG3087" i="1"/>
  <c r="E3088" i="1"/>
  <c r="G3088" i="1"/>
  <c r="J3088" i="1"/>
  <c r="K3088" i="1"/>
  <c r="BE3088" i="1"/>
  <c r="BF3088" i="1"/>
  <c r="BG3088" i="1"/>
  <c r="E3089" i="1"/>
  <c r="G3089" i="1"/>
  <c r="J3089" i="1"/>
  <c r="K3089" i="1"/>
  <c r="BE3089" i="1"/>
  <c r="BF3089" i="1"/>
  <c r="BG3089" i="1"/>
  <c r="E3090" i="1"/>
  <c r="G3090" i="1"/>
  <c r="J3090" i="1"/>
  <c r="K3090" i="1"/>
  <c r="BE3090" i="1"/>
  <c r="BF3090" i="1"/>
  <c r="BG3090" i="1"/>
  <c r="E3091" i="1"/>
  <c r="G3091" i="1"/>
  <c r="J3091" i="1"/>
  <c r="K3091" i="1"/>
  <c r="BE3091" i="1"/>
  <c r="BF3091" i="1"/>
  <c r="BG3091" i="1"/>
  <c r="E3092" i="1"/>
  <c r="G3092" i="1"/>
  <c r="J3092" i="1"/>
  <c r="K3092" i="1"/>
  <c r="BE3092" i="1"/>
  <c r="BF3092" i="1"/>
  <c r="BG3092" i="1"/>
  <c r="E3093" i="1"/>
  <c r="G3093" i="1"/>
  <c r="J3093" i="1"/>
  <c r="K3093" i="1"/>
  <c r="BE3093" i="1"/>
  <c r="BF3093" i="1"/>
  <c r="BG3093" i="1"/>
  <c r="E3094" i="1"/>
  <c r="G3094" i="1"/>
  <c r="J3094" i="1"/>
  <c r="K3094" i="1"/>
  <c r="BE3094" i="1"/>
  <c r="BF3094" i="1"/>
  <c r="BG3094" i="1"/>
  <c r="E3095" i="1"/>
  <c r="G3095" i="1"/>
  <c r="J3095" i="1"/>
  <c r="K3095" i="1"/>
  <c r="BE3095" i="1"/>
  <c r="BF3095" i="1"/>
  <c r="BG3095" i="1"/>
  <c r="E3096" i="1"/>
  <c r="G3096" i="1"/>
  <c r="J3096" i="1"/>
  <c r="K3096" i="1"/>
  <c r="BE3096" i="1"/>
  <c r="BF3096" i="1"/>
  <c r="BG3096" i="1"/>
  <c r="E3097" i="1"/>
  <c r="G3097" i="1"/>
  <c r="J3097" i="1"/>
  <c r="K3097" i="1"/>
  <c r="BE3097" i="1"/>
  <c r="BF3097" i="1"/>
  <c r="BG3097" i="1"/>
  <c r="E3098" i="1"/>
  <c r="G3098" i="1"/>
  <c r="J3098" i="1"/>
  <c r="K3098" i="1"/>
  <c r="BE3098" i="1"/>
  <c r="BF3098" i="1"/>
  <c r="BG3098" i="1"/>
  <c r="E3099" i="1"/>
  <c r="G3099" i="1"/>
  <c r="J3099" i="1"/>
  <c r="K3099" i="1"/>
  <c r="BE3099" i="1"/>
  <c r="BF3099" i="1"/>
  <c r="BG3099" i="1"/>
  <c r="E3100" i="1"/>
  <c r="G3100" i="1"/>
  <c r="J3100" i="1"/>
  <c r="K3100" i="1"/>
  <c r="BE3100" i="1"/>
  <c r="BF3100" i="1"/>
  <c r="BG3100" i="1"/>
  <c r="E3101" i="1"/>
  <c r="G3101" i="1"/>
  <c r="J3101" i="1"/>
  <c r="K3101" i="1"/>
  <c r="BE3101" i="1"/>
  <c r="BF3101" i="1"/>
  <c r="BG3101" i="1"/>
  <c r="E3102" i="1"/>
  <c r="G3102" i="1"/>
  <c r="J3102" i="1"/>
  <c r="K3102" i="1"/>
  <c r="BE3102" i="1"/>
  <c r="BF3102" i="1"/>
  <c r="BG3102" i="1"/>
  <c r="E3103" i="1"/>
  <c r="G3103" i="1"/>
  <c r="J3103" i="1"/>
  <c r="K3103" i="1"/>
  <c r="BE3103" i="1"/>
  <c r="BF3103" i="1"/>
  <c r="BG3103" i="1"/>
  <c r="E3104" i="1"/>
  <c r="G3104" i="1"/>
  <c r="J3104" i="1"/>
  <c r="K3104" i="1"/>
  <c r="BE3104" i="1"/>
  <c r="BF3104" i="1"/>
  <c r="BG3104" i="1"/>
  <c r="E3105" i="1"/>
  <c r="G3105" i="1"/>
  <c r="J3105" i="1"/>
  <c r="K3105" i="1"/>
  <c r="BE3105" i="1"/>
  <c r="BF3105" i="1"/>
  <c r="BG3105" i="1"/>
  <c r="E3106" i="1"/>
  <c r="G3106" i="1"/>
  <c r="J3106" i="1"/>
  <c r="K3106" i="1"/>
  <c r="BE3106" i="1"/>
  <c r="BF3106" i="1"/>
  <c r="BG3106" i="1"/>
  <c r="E3107" i="1"/>
  <c r="G3107" i="1"/>
  <c r="J3107" i="1"/>
  <c r="K3107" i="1"/>
  <c r="BE3107" i="1"/>
  <c r="BF3107" i="1"/>
  <c r="BG3107" i="1"/>
  <c r="E3108" i="1"/>
  <c r="G3108" i="1"/>
  <c r="J3108" i="1"/>
  <c r="K3108" i="1"/>
  <c r="BE3108" i="1"/>
  <c r="BF3108" i="1"/>
  <c r="BG3108" i="1"/>
  <c r="E3109" i="1"/>
  <c r="G3109" i="1"/>
  <c r="J3109" i="1"/>
  <c r="K3109" i="1"/>
  <c r="BE3109" i="1"/>
  <c r="BF3109" i="1"/>
  <c r="BG3109" i="1"/>
  <c r="E3110" i="1"/>
  <c r="G3110" i="1"/>
  <c r="J3110" i="1"/>
  <c r="K3110" i="1"/>
  <c r="BC3110" i="1"/>
  <c r="BE3110" i="1"/>
  <c r="BF3110" i="1"/>
  <c r="BG3110" i="1"/>
  <c r="E4382" i="1"/>
  <c r="G4382" i="1"/>
  <c r="J4382" i="1"/>
  <c r="K4382" i="1"/>
  <c r="BE4382" i="1"/>
  <c r="BF4382" i="1"/>
  <c r="BG4382" i="1"/>
  <c r="E1031" i="1"/>
  <c r="G1031" i="1"/>
  <c r="J1031" i="1"/>
  <c r="K1031" i="1"/>
  <c r="BE1031" i="1"/>
  <c r="BF1031" i="1"/>
  <c r="BG1031" i="1"/>
  <c r="E4679" i="1"/>
  <c r="G4679" i="1"/>
  <c r="J4679" i="1"/>
  <c r="K4679" i="1"/>
  <c r="BE4679" i="1"/>
  <c r="BF4679" i="1"/>
  <c r="BG4679" i="1"/>
  <c r="E6641" i="1"/>
  <c r="G6641" i="1"/>
  <c r="J6641" i="1"/>
  <c r="K6641" i="1"/>
  <c r="BE6641" i="1"/>
  <c r="BF6641" i="1"/>
  <c r="BG6641" i="1"/>
  <c r="E6544" i="1"/>
  <c r="G6544" i="1"/>
  <c r="J6544" i="1"/>
  <c r="K6544" i="1"/>
  <c r="BE6544" i="1"/>
  <c r="BF6544" i="1"/>
  <c r="BG6544" i="1"/>
  <c r="E4680" i="1"/>
  <c r="G4680" i="1"/>
  <c r="J4680" i="1"/>
  <c r="K4680" i="1"/>
  <c r="BE4680" i="1"/>
  <c r="BF4680" i="1"/>
  <c r="BG4680" i="1"/>
  <c r="E1032" i="1"/>
  <c r="G1032" i="1"/>
  <c r="J1032" i="1"/>
  <c r="K1032" i="1"/>
  <c r="BE1032" i="1"/>
  <c r="BF1032" i="1"/>
  <c r="BG1032" i="1"/>
  <c r="E4383" i="1"/>
  <c r="G4383" i="1"/>
  <c r="J4383" i="1"/>
  <c r="K4383" i="1"/>
  <c r="BE4383" i="1"/>
  <c r="BF4383" i="1"/>
  <c r="BG4383" i="1"/>
  <c r="E4841" i="1"/>
  <c r="G4841" i="1"/>
  <c r="J4841" i="1"/>
  <c r="K4841" i="1"/>
  <c r="BE4841" i="1"/>
  <c r="BF4841" i="1"/>
  <c r="BG4841" i="1"/>
  <c r="E6545" i="1"/>
  <c r="G6545" i="1"/>
  <c r="J6545" i="1"/>
  <c r="K6545" i="1"/>
  <c r="BE6545" i="1"/>
  <c r="BF6545" i="1"/>
  <c r="BG6545" i="1"/>
  <c r="E3390" i="1"/>
  <c r="G3390" i="1"/>
  <c r="J3390" i="1"/>
  <c r="K3390" i="1"/>
  <c r="BE3390" i="1"/>
  <c r="BF3390" i="1"/>
  <c r="BG3390" i="1"/>
  <c r="E6822" i="1"/>
  <c r="G6822" i="1"/>
  <c r="J6822" i="1"/>
  <c r="K6822" i="1"/>
  <c r="BE6822" i="1"/>
  <c r="BF6822" i="1"/>
  <c r="BG6822" i="1"/>
  <c r="E2531" i="1"/>
  <c r="G2531" i="1"/>
  <c r="J2531" i="1"/>
  <c r="K2531" i="1"/>
  <c r="BE2531" i="1"/>
  <c r="BF2531" i="1"/>
  <c r="BG2531" i="1"/>
  <c r="E2532" i="1"/>
  <c r="G2532" i="1"/>
  <c r="J2532" i="1"/>
  <c r="K2532" i="1"/>
  <c r="BE2532" i="1"/>
  <c r="BF2532" i="1"/>
  <c r="BG2532" i="1"/>
  <c r="E2533" i="1"/>
  <c r="G2533" i="1"/>
  <c r="J2533" i="1"/>
  <c r="K2533" i="1"/>
  <c r="BE2533" i="1"/>
  <c r="BF2533" i="1"/>
  <c r="BG2533" i="1"/>
  <c r="E2534" i="1"/>
  <c r="G2534" i="1"/>
  <c r="J2534" i="1"/>
  <c r="K2534" i="1"/>
  <c r="BE2534" i="1"/>
  <c r="BF2534" i="1"/>
  <c r="BG2534" i="1"/>
  <c r="E2535" i="1"/>
  <c r="G2535" i="1"/>
  <c r="J2535" i="1"/>
  <c r="K2535" i="1"/>
  <c r="BE2535" i="1"/>
  <c r="BF2535" i="1"/>
  <c r="BG2535" i="1"/>
  <c r="E2536" i="1"/>
  <c r="G2536" i="1"/>
  <c r="J2536" i="1"/>
  <c r="K2536" i="1"/>
  <c r="BE2536" i="1"/>
  <c r="BF2536" i="1"/>
  <c r="BG2536" i="1"/>
  <c r="E2537" i="1"/>
  <c r="G2537" i="1"/>
  <c r="J2537" i="1"/>
  <c r="K2537" i="1"/>
  <c r="BE2537" i="1"/>
  <c r="BF2537" i="1"/>
  <c r="BG2537" i="1"/>
  <c r="E2538" i="1"/>
  <c r="G2538" i="1"/>
  <c r="J2538" i="1"/>
  <c r="K2538" i="1"/>
  <c r="BE2538" i="1"/>
  <c r="BF2538" i="1"/>
  <c r="BG2538" i="1"/>
  <c r="E2539" i="1"/>
  <c r="G2539" i="1"/>
  <c r="J2539" i="1"/>
  <c r="K2539" i="1"/>
  <c r="BE2539" i="1"/>
  <c r="BF2539" i="1"/>
  <c r="BG2539" i="1"/>
  <c r="E2540" i="1"/>
  <c r="G2540" i="1"/>
  <c r="J2540" i="1"/>
  <c r="K2540" i="1"/>
  <c r="BE2540" i="1"/>
  <c r="BF2540" i="1"/>
  <c r="BG2540" i="1"/>
  <c r="E1033" i="1"/>
  <c r="G1033" i="1"/>
  <c r="J1033" i="1"/>
  <c r="K1033" i="1"/>
  <c r="BE1033" i="1"/>
  <c r="BF1033" i="1"/>
  <c r="BG1033" i="1"/>
  <c r="E4384" i="1"/>
  <c r="G4384" i="1"/>
  <c r="J4384" i="1"/>
  <c r="K4384" i="1"/>
  <c r="BE4384" i="1"/>
  <c r="BF4384" i="1"/>
  <c r="BG4384" i="1"/>
  <c r="E733" i="1"/>
  <c r="G733" i="1"/>
  <c r="J733" i="1"/>
  <c r="K733" i="1"/>
  <c r="BE733" i="1"/>
  <c r="BG733" i="1"/>
  <c r="E6546" i="1"/>
  <c r="G6546" i="1"/>
  <c r="J6546" i="1"/>
  <c r="K6546" i="1"/>
  <c r="BE6546" i="1"/>
  <c r="BF6546" i="1"/>
  <c r="BG6546" i="1"/>
  <c r="E5991" i="1"/>
  <c r="G5991" i="1"/>
  <c r="J5991" i="1"/>
  <c r="K5991" i="1"/>
  <c r="BE5991" i="1"/>
  <c r="BF5991" i="1"/>
  <c r="BG5991" i="1"/>
  <c r="E4385" i="1"/>
  <c r="G4385" i="1"/>
  <c r="J4385" i="1"/>
  <c r="K4385" i="1"/>
  <c r="BE4385" i="1"/>
  <c r="BF4385" i="1"/>
  <c r="BG4385" i="1"/>
  <c r="E3391" i="1"/>
  <c r="G3391" i="1"/>
  <c r="J3391" i="1"/>
  <c r="K3391" i="1"/>
  <c r="BE3391" i="1"/>
  <c r="BF3391" i="1"/>
  <c r="BG3391" i="1"/>
  <c r="E3691" i="1"/>
  <c r="G3691" i="1"/>
  <c r="J3691" i="1"/>
  <c r="K3691" i="1"/>
  <c r="BE3691" i="1"/>
  <c r="BF3691" i="1"/>
  <c r="BG3691" i="1"/>
  <c r="E254" i="1"/>
  <c r="G254" i="1"/>
  <c r="J254" i="1"/>
  <c r="K254" i="1"/>
  <c r="BE254" i="1"/>
  <c r="BF254" i="1"/>
  <c r="BG254" i="1"/>
  <c r="E4386" i="1"/>
  <c r="G4386" i="1"/>
  <c r="J4386" i="1"/>
  <c r="K4386" i="1"/>
  <c r="BE4386" i="1"/>
  <c r="BF4386" i="1"/>
  <c r="BG4386" i="1"/>
  <c r="E6823" i="1"/>
  <c r="G6823" i="1"/>
  <c r="J6823" i="1"/>
  <c r="K6823" i="1"/>
  <c r="BE6823" i="1"/>
  <c r="BF6823" i="1"/>
  <c r="BG6823" i="1"/>
  <c r="E3692" i="1"/>
  <c r="G3692" i="1"/>
  <c r="J3692" i="1"/>
  <c r="K3692" i="1"/>
  <c r="BE3692" i="1"/>
  <c r="BF3692" i="1"/>
  <c r="BG3692" i="1"/>
  <c r="E6896" i="1"/>
  <c r="G6896" i="1"/>
  <c r="J6896" i="1"/>
  <c r="BC6896" i="1"/>
  <c r="BE6896" i="1"/>
  <c r="BF6896" i="1"/>
  <c r="BG6896" i="1"/>
  <c r="E3111" i="1"/>
  <c r="G3111" i="1"/>
  <c r="J3111" i="1"/>
  <c r="K3111" i="1"/>
  <c r="BE3111" i="1"/>
  <c r="BF3111" i="1"/>
  <c r="BG3111" i="1"/>
  <c r="E3112" i="1"/>
  <c r="G3112" i="1"/>
  <c r="J3112" i="1"/>
  <c r="K3112" i="1"/>
  <c r="BC3112" i="1"/>
  <c r="BE3112" i="1"/>
  <c r="BF3112" i="1"/>
  <c r="BG3112" i="1"/>
  <c r="E1034" i="1"/>
  <c r="G1034" i="1"/>
  <c r="J1034" i="1"/>
  <c r="K1034" i="1"/>
  <c r="BE1034" i="1"/>
  <c r="BF1034" i="1"/>
  <c r="BG1034" i="1"/>
  <c r="E4387" i="1"/>
  <c r="G4387" i="1"/>
  <c r="J4387" i="1"/>
  <c r="K4387" i="1"/>
  <c r="BE4387" i="1"/>
  <c r="BF4387" i="1"/>
  <c r="BG4387" i="1"/>
  <c r="E6824" i="1"/>
  <c r="G6824" i="1"/>
  <c r="J6824" i="1"/>
  <c r="K6824" i="1"/>
  <c r="BE6824" i="1"/>
  <c r="BF6824" i="1"/>
  <c r="BG6824" i="1"/>
  <c r="E337" i="1"/>
  <c r="G337" i="1"/>
  <c r="J337" i="1"/>
  <c r="K337" i="1"/>
  <c r="BE337" i="1"/>
  <c r="BF337" i="1"/>
  <c r="BG337" i="1"/>
  <c r="E4842" i="1"/>
  <c r="G4842" i="1"/>
  <c r="J4842" i="1"/>
  <c r="K4842" i="1"/>
  <c r="BE4842" i="1"/>
  <c r="BF4842" i="1"/>
  <c r="BG4842" i="1"/>
  <c r="E1035" i="1"/>
  <c r="G1035" i="1"/>
  <c r="J1035" i="1"/>
  <c r="K1035" i="1"/>
  <c r="BE1035" i="1"/>
  <c r="BF1035" i="1"/>
  <c r="BG1035" i="1"/>
  <c r="E197" i="1"/>
  <c r="G197" i="1"/>
  <c r="J197" i="1"/>
  <c r="K197" i="1"/>
  <c r="BE197" i="1"/>
  <c r="BF197" i="1"/>
  <c r="BG197" i="1"/>
  <c r="E6642" i="1"/>
  <c r="G6642" i="1"/>
  <c r="J6642" i="1"/>
  <c r="K6642" i="1"/>
  <c r="BE6642" i="1"/>
  <c r="BF6642" i="1"/>
  <c r="BG6642" i="1"/>
  <c r="E3693" i="1"/>
  <c r="G3693" i="1"/>
  <c r="J3693" i="1"/>
  <c r="K3693" i="1"/>
  <c r="BE3693" i="1"/>
  <c r="BF3693" i="1"/>
  <c r="BG3693" i="1"/>
  <c r="E4388" i="1"/>
  <c r="G4388" i="1"/>
  <c r="J4388" i="1"/>
  <c r="K4388" i="1"/>
  <c r="BE4388" i="1"/>
  <c r="BF4388" i="1"/>
  <c r="BG4388" i="1"/>
  <c r="E6547" i="1"/>
  <c r="G6547" i="1"/>
  <c r="J6547" i="1"/>
  <c r="K6547" i="1"/>
  <c r="BE6547" i="1"/>
  <c r="BF6547" i="1"/>
  <c r="BG6547" i="1"/>
  <c r="E754" i="1"/>
  <c r="G754" i="1"/>
  <c r="J754" i="1"/>
  <c r="K754" i="1"/>
  <c r="BC754" i="1"/>
  <c r="BE754" i="1"/>
  <c r="BF754" i="1"/>
  <c r="BG754" i="1"/>
  <c r="E3113" i="1"/>
  <c r="G3113" i="1"/>
  <c r="J3113" i="1"/>
  <c r="K3113" i="1"/>
  <c r="BE3113" i="1"/>
  <c r="BF3113" i="1"/>
  <c r="BG3113" i="1"/>
  <c r="E1036" i="1"/>
  <c r="G1036" i="1"/>
  <c r="J1036" i="1"/>
  <c r="K1036" i="1"/>
  <c r="BE1036" i="1"/>
  <c r="BF1036" i="1"/>
  <c r="BG1036" i="1"/>
  <c r="E6548" i="1"/>
  <c r="G6548" i="1"/>
  <c r="J6548" i="1"/>
  <c r="K6548" i="1"/>
  <c r="BE6548" i="1"/>
  <c r="BF6548" i="1"/>
  <c r="BG6548" i="1"/>
  <c r="E338" i="1"/>
  <c r="G338" i="1"/>
  <c r="J338" i="1"/>
  <c r="K338" i="1"/>
  <c r="BE338" i="1"/>
  <c r="BF338" i="1"/>
  <c r="BG338" i="1"/>
  <c r="E6549" i="1"/>
  <c r="G6549" i="1"/>
  <c r="J6549" i="1"/>
  <c r="K6549" i="1"/>
  <c r="BE6549" i="1"/>
  <c r="BF6549" i="1"/>
  <c r="BG6549" i="1"/>
  <c r="E3114" i="1"/>
  <c r="G3114" i="1"/>
  <c r="J3114" i="1"/>
  <c r="K3114" i="1"/>
  <c r="BE3114" i="1"/>
  <c r="BF3114" i="1"/>
  <c r="BG3114" i="1"/>
  <c r="E16" i="1"/>
  <c r="G16" i="1"/>
  <c r="J16" i="1"/>
  <c r="K16" i="1"/>
  <c r="BE16" i="1"/>
  <c r="BF16" i="1"/>
  <c r="BG16" i="1"/>
  <c r="E17" i="1"/>
  <c r="G17" i="1"/>
  <c r="J17" i="1"/>
  <c r="K17" i="1"/>
  <c r="BE17" i="1"/>
  <c r="BF17" i="1"/>
  <c r="BG17" i="1"/>
  <c r="E18" i="1"/>
  <c r="G18" i="1"/>
  <c r="J18" i="1"/>
  <c r="K18" i="1"/>
  <c r="BE18" i="1"/>
  <c r="BF18" i="1"/>
  <c r="BG18" i="1"/>
  <c r="E19" i="1"/>
  <c r="G19" i="1"/>
  <c r="J19" i="1"/>
  <c r="K19" i="1"/>
  <c r="BE19" i="1"/>
  <c r="BF19" i="1"/>
  <c r="BG19" i="1"/>
  <c r="E6550" i="1"/>
  <c r="G6550" i="1"/>
  <c r="J6550" i="1"/>
  <c r="K6550" i="1"/>
  <c r="BE6550" i="1"/>
  <c r="BF6550" i="1"/>
  <c r="BG6550" i="1"/>
  <c r="E4389" i="1"/>
  <c r="G4389" i="1"/>
  <c r="J4389" i="1"/>
  <c r="K4389" i="1"/>
  <c r="BE4389" i="1"/>
  <c r="BF4389" i="1"/>
  <c r="BG4389" i="1"/>
  <c r="E3115" i="1"/>
  <c r="G3115" i="1"/>
  <c r="J3115" i="1"/>
  <c r="K3115" i="1"/>
  <c r="BC3115" i="1"/>
  <c r="BE3115" i="1"/>
  <c r="BF3115" i="1"/>
  <c r="BG3115" i="1"/>
  <c r="E199" i="1"/>
  <c r="G199" i="1"/>
  <c r="J199" i="1"/>
  <c r="K199" i="1"/>
  <c r="BE199" i="1"/>
  <c r="BG199" i="1"/>
  <c r="E3116" i="1"/>
  <c r="G3116" i="1"/>
  <c r="J3116" i="1"/>
  <c r="K3116" i="1"/>
  <c r="BC3116" i="1"/>
  <c r="BE3116" i="1"/>
  <c r="BF3116" i="1"/>
  <c r="BG3116" i="1"/>
  <c r="E3117" i="1"/>
  <c r="G3117" i="1"/>
  <c r="J3117" i="1"/>
  <c r="K3117" i="1"/>
  <c r="BC3117" i="1"/>
  <c r="BE3117" i="1"/>
  <c r="BF3117" i="1"/>
  <c r="BG3117" i="1"/>
  <c r="E3118" i="1"/>
  <c r="G3118" i="1"/>
  <c r="J3118" i="1"/>
  <c r="K3118" i="1"/>
  <c r="BC3118" i="1"/>
  <c r="BE3118" i="1"/>
  <c r="BF3118" i="1"/>
  <c r="BG3118" i="1"/>
  <c r="E3119" i="1"/>
  <c r="G3119" i="1"/>
  <c r="J3119" i="1"/>
  <c r="K3119" i="1"/>
  <c r="BC3119" i="1"/>
  <c r="BE3119" i="1"/>
  <c r="BF3119" i="1"/>
  <c r="BG3119" i="1"/>
  <c r="E3120" i="1"/>
  <c r="G3120" i="1"/>
  <c r="J3120" i="1"/>
  <c r="K3120" i="1"/>
  <c r="BC3120" i="1"/>
  <c r="BE3120" i="1"/>
  <c r="BF3120" i="1"/>
  <c r="BG3120" i="1"/>
  <c r="E3121" i="1"/>
  <c r="G3121" i="1"/>
  <c r="J3121" i="1"/>
  <c r="K3121" i="1"/>
  <c r="BC3121" i="1"/>
  <c r="BE3121" i="1"/>
  <c r="BF3121" i="1"/>
  <c r="BG3121" i="1"/>
  <c r="E3122" i="1"/>
  <c r="G3122" i="1"/>
  <c r="J3122" i="1"/>
  <c r="K3122" i="1"/>
  <c r="BC3122" i="1"/>
  <c r="BE3122" i="1"/>
  <c r="BF3122" i="1"/>
  <c r="BG3122" i="1"/>
  <c r="E3123" i="1"/>
  <c r="G3123" i="1"/>
  <c r="J3123" i="1"/>
  <c r="K3123" i="1"/>
  <c r="BC3123" i="1"/>
  <c r="BE3123" i="1"/>
  <c r="BF3123" i="1"/>
  <c r="BG3123" i="1"/>
  <c r="E3124" i="1"/>
  <c r="G3124" i="1"/>
  <c r="J3124" i="1"/>
  <c r="K3124" i="1"/>
  <c r="BC3124" i="1"/>
  <c r="BE3124" i="1"/>
  <c r="BF3124" i="1"/>
  <c r="BG3124" i="1"/>
  <c r="E3125" i="1"/>
  <c r="G3125" i="1"/>
  <c r="J3125" i="1"/>
  <c r="K3125" i="1"/>
  <c r="BC3125" i="1"/>
  <c r="BE3125" i="1"/>
  <c r="BF3125" i="1"/>
  <c r="BG3125" i="1"/>
  <c r="E3126" i="1"/>
  <c r="G3126" i="1"/>
  <c r="J3126" i="1"/>
  <c r="K3126" i="1"/>
  <c r="BC3126" i="1"/>
  <c r="BE3126" i="1"/>
  <c r="BF3126" i="1"/>
  <c r="BG3126" i="1"/>
  <c r="E3127" i="1"/>
  <c r="G3127" i="1"/>
  <c r="J3127" i="1"/>
  <c r="K3127" i="1"/>
  <c r="BC3127" i="1"/>
  <c r="BE3127" i="1"/>
  <c r="BF3127" i="1"/>
  <c r="BG3127" i="1"/>
  <c r="E3128" i="1"/>
  <c r="G3128" i="1"/>
  <c r="J3128" i="1"/>
  <c r="K3128" i="1"/>
  <c r="BC3128" i="1"/>
  <c r="BE3128" i="1"/>
  <c r="BF3128" i="1"/>
  <c r="BG3128" i="1"/>
  <c r="E3129" i="1"/>
  <c r="G3129" i="1"/>
  <c r="J3129" i="1"/>
  <c r="K3129" i="1"/>
  <c r="BC3129" i="1"/>
  <c r="BE3129" i="1"/>
  <c r="BF3129" i="1"/>
  <c r="BG3129" i="1"/>
  <c r="E3130" i="1"/>
  <c r="G3130" i="1"/>
  <c r="J3130" i="1"/>
  <c r="K3130" i="1"/>
  <c r="BC3130" i="1"/>
  <c r="BE3130" i="1"/>
  <c r="BF3130" i="1"/>
  <c r="BG3130" i="1"/>
  <c r="E3131" i="1"/>
  <c r="G3131" i="1"/>
  <c r="J3131" i="1"/>
  <c r="K3131" i="1"/>
  <c r="BC3131" i="1"/>
  <c r="BE3131" i="1"/>
  <c r="BF3131" i="1"/>
  <c r="BG3131" i="1"/>
  <c r="E3132" i="1"/>
  <c r="G3132" i="1"/>
  <c r="J3132" i="1"/>
  <c r="K3132" i="1"/>
  <c r="BC3132" i="1"/>
  <c r="BE3132" i="1"/>
  <c r="BF3132" i="1"/>
  <c r="BG3132" i="1"/>
  <c r="E3133" i="1"/>
  <c r="G3133" i="1"/>
  <c r="J3133" i="1"/>
  <c r="K3133" i="1"/>
  <c r="BC3133" i="1"/>
  <c r="BE3133" i="1"/>
  <c r="BF3133" i="1"/>
  <c r="BG3133" i="1"/>
  <c r="E3134" i="1"/>
  <c r="G3134" i="1"/>
  <c r="J3134" i="1"/>
  <c r="K3134" i="1"/>
  <c r="BC3134" i="1"/>
  <c r="BE3134" i="1"/>
  <c r="BF3134" i="1"/>
  <c r="BG3134" i="1"/>
  <c r="E3135" i="1"/>
  <c r="G3135" i="1"/>
  <c r="J3135" i="1"/>
  <c r="K3135" i="1"/>
  <c r="BC3135" i="1"/>
  <c r="BE3135" i="1"/>
  <c r="BF3135" i="1"/>
  <c r="BG3135" i="1"/>
  <c r="E3136" i="1"/>
  <c r="G3136" i="1"/>
  <c r="J3136" i="1"/>
  <c r="K3136" i="1"/>
  <c r="BC3136" i="1"/>
  <c r="BE3136" i="1"/>
  <c r="BF3136" i="1"/>
  <c r="BG3136" i="1"/>
  <c r="E3137" i="1"/>
  <c r="G3137" i="1"/>
  <c r="J3137" i="1"/>
  <c r="K3137" i="1"/>
  <c r="BC3137" i="1"/>
  <c r="BE3137" i="1"/>
  <c r="BF3137" i="1"/>
  <c r="BG3137" i="1"/>
  <c r="E3138" i="1"/>
  <c r="G3138" i="1"/>
  <c r="J3138" i="1"/>
  <c r="K3138" i="1"/>
  <c r="BC3138" i="1"/>
  <c r="BE3138" i="1"/>
  <c r="BF3138" i="1"/>
  <c r="BG3138" i="1"/>
  <c r="E3139" i="1"/>
  <c r="G3139" i="1"/>
  <c r="J3139" i="1"/>
  <c r="K3139" i="1"/>
  <c r="BC3139" i="1"/>
  <c r="BE3139" i="1"/>
  <c r="BF3139" i="1"/>
  <c r="BG3139" i="1"/>
  <c r="E3140" i="1"/>
  <c r="G3140" i="1"/>
  <c r="J3140" i="1"/>
  <c r="K3140" i="1"/>
  <c r="BC3140" i="1"/>
  <c r="BE3140" i="1"/>
  <c r="BF3140" i="1"/>
  <c r="BG3140" i="1"/>
  <c r="E3141" i="1"/>
  <c r="G3141" i="1"/>
  <c r="J3141" i="1"/>
  <c r="K3141" i="1"/>
  <c r="BC3141" i="1"/>
  <c r="BE3141" i="1"/>
  <c r="BF3141" i="1"/>
  <c r="BG3141" i="1"/>
  <c r="E3142" i="1"/>
  <c r="G3142" i="1"/>
  <c r="J3142" i="1"/>
  <c r="K3142" i="1"/>
  <c r="BC3142" i="1"/>
  <c r="BE3142" i="1"/>
  <c r="BF3142" i="1"/>
  <c r="BG3142" i="1"/>
  <c r="E3143" i="1"/>
  <c r="G3143" i="1"/>
  <c r="J3143" i="1"/>
  <c r="K3143" i="1"/>
  <c r="BC3143" i="1"/>
  <c r="BE3143" i="1"/>
  <c r="BF3143" i="1"/>
  <c r="BG3143" i="1"/>
  <c r="E3144" i="1"/>
  <c r="G3144" i="1"/>
  <c r="J3144" i="1"/>
  <c r="K3144" i="1"/>
  <c r="BC3144" i="1"/>
  <c r="BE3144" i="1"/>
  <c r="BF3144" i="1"/>
  <c r="BG3144" i="1"/>
  <c r="E3145" i="1"/>
  <c r="G3145" i="1"/>
  <c r="J3145" i="1"/>
  <c r="K3145" i="1"/>
  <c r="BC3145" i="1"/>
  <c r="BE3145" i="1"/>
  <c r="BF3145" i="1"/>
  <c r="BG3145" i="1"/>
  <c r="E3146" i="1"/>
  <c r="G3146" i="1"/>
  <c r="J3146" i="1"/>
  <c r="K3146" i="1"/>
  <c r="BC3146" i="1"/>
  <c r="BE3146" i="1"/>
  <c r="BF3146" i="1"/>
  <c r="BG3146" i="1"/>
  <c r="E3147" i="1"/>
  <c r="G3147" i="1"/>
  <c r="J3147" i="1"/>
  <c r="K3147" i="1"/>
  <c r="BC3147" i="1"/>
  <c r="BE3147" i="1"/>
  <c r="BF3147" i="1"/>
  <c r="BG3147" i="1"/>
  <c r="E3148" i="1"/>
  <c r="G3148" i="1"/>
  <c r="J3148" i="1"/>
  <c r="K3148" i="1"/>
  <c r="BC3148" i="1"/>
  <c r="BE3148" i="1"/>
  <c r="BF3148" i="1"/>
  <c r="BG3148" i="1"/>
  <c r="E3149" i="1"/>
  <c r="G3149" i="1"/>
  <c r="J3149" i="1"/>
  <c r="K3149" i="1"/>
  <c r="BC3149" i="1"/>
  <c r="BE3149" i="1"/>
  <c r="BF3149" i="1"/>
  <c r="BG3149" i="1"/>
  <c r="E3150" i="1"/>
  <c r="G3150" i="1"/>
  <c r="J3150" i="1"/>
  <c r="K3150" i="1"/>
  <c r="BC3150" i="1"/>
  <c r="BE3150" i="1"/>
  <c r="BF3150" i="1"/>
  <c r="BG3150" i="1"/>
  <c r="E3151" i="1"/>
  <c r="G3151" i="1"/>
  <c r="J3151" i="1"/>
  <c r="K3151" i="1"/>
  <c r="BC3151" i="1"/>
  <c r="BE3151" i="1"/>
  <c r="BF3151" i="1"/>
  <c r="BG3151" i="1"/>
  <c r="E3152" i="1"/>
  <c r="G3152" i="1"/>
  <c r="J3152" i="1"/>
  <c r="K3152" i="1"/>
  <c r="BC3152" i="1"/>
  <c r="BE3152" i="1"/>
  <c r="BF3152" i="1"/>
  <c r="BG3152" i="1"/>
  <c r="E3153" i="1"/>
  <c r="G3153" i="1"/>
  <c r="J3153" i="1"/>
  <c r="K3153" i="1"/>
  <c r="BC3153" i="1"/>
  <c r="BE3153" i="1"/>
  <c r="BF3153" i="1"/>
  <c r="BG3153" i="1"/>
  <c r="E3154" i="1"/>
  <c r="G3154" i="1"/>
  <c r="J3154" i="1"/>
  <c r="K3154" i="1"/>
  <c r="BC3154" i="1"/>
  <c r="BE3154" i="1"/>
  <c r="BF3154" i="1"/>
  <c r="BG3154" i="1"/>
  <c r="E3155" i="1"/>
  <c r="G3155" i="1"/>
  <c r="J3155" i="1"/>
  <c r="K3155" i="1"/>
  <c r="BC3155" i="1"/>
  <c r="BE3155" i="1"/>
  <c r="BF3155" i="1"/>
  <c r="BG3155" i="1"/>
  <c r="E3156" i="1"/>
  <c r="G3156" i="1"/>
  <c r="J3156" i="1"/>
  <c r="K3156" i="1"/>
  <c r="BC3156" i="1"/>
  <c r="BE3156" i="1"/>
  <c r="BF3156" i="1"/>
  <c r="BG3156" i="1"/>
  <c r="E3157" i="1"/>
  <c r="G3157" i="1"/>
  <c r="J3157" i="1"/>
  <c r="K3157" i="1"/>
  <c r="BC3157" i="1"/>
  <c r="BE3157" i="1"/>
  <c r="BF3157" i="1"/>
  <c r="BG3157" i="1"/>
  <c r="E3158" i="1"/>
  <c r="G3158" i="1"/>
  <c r="J3158" i="1"/>
  <c r="K3158" i="1"/>
  <c r="BC3158" i="1"/>
  <c r="BE3158" i="1"/>
  <c r="BF3158" i="1"/>
  <c r="BG3158" i="1"/>
  <c r="E3159" i="1"/>
  <c r="G3159" i="1"/>
  <c r="J3159" i="1"/>
  <c r="K3159" i="1"/>
  <c r="BC3159" i="1"/>
  <c r="BE3159" i="1"/>
  <c r="BF3159" i="1"/>
  <c r="BG3159" i="1"/>
  <c r="E3160" i="1"/>
  <c r="G3160" i="1"/>
  <c r="J3160" i="1"/>
  <c r="K3160" i="1"/>
  <c r="BC3160" i="1"/>
  <c r="BE3160" i="1"/>
  <c r="BF3160" i="1"/>
  <c r="BG3160" i="1"/>
  <c r="E3161" i="1"/>
  <c r="G3161" i="1"/>
  <c r="J3161" i="1"/>
  <c r="K3161" i="1"/>
  <c r="BC3161" i="1"/>
  <c r="BE3161" i="1"/>
  <c r="BF3161" i="1"/>
  <c r="BG3161" i="1"/>
  <c r="E3162" i="1"/>
  <c r="G3162" i="1"/>
  <c r="J3162" i="1"/>
  <c r="K3162" i="1"/>
  <c r="BC3162" i="1"/>
  <c r="BE3162" i="1"/>
  <c r="BF3162" i="1"/>
  <c r="BG3162" i="1"/>
  <c r="E3163" i="1"/>
  <c r="G3163" i="1"/>
  <c r="J3163" i="1"/>
  <c r="K3163" i="1"/>
  <c r="BC3163" i="1"/>
  <c r="BE3163" i="1"/>
  <c r="BF3163" i="1"/>
  <c r="BG3163" i="1"/>
  <c r="E3164" i="1"/>
  <c r="G3164" i="1"/>
  <c r="J3164" i="1"/>
  <c r="K3164" i="1"/>
  <c r="BC3164" i="1"/>
  <c r="BE3164" i="1"/>
  <c r="BF3164" i="1"/>
  <c r="BG3164" i="1"/>
  <c r="E3165" i="1"/>
  <c r="G3165" i="1"/>
  <c r="J3165" i="1"/>
  <c r="K3165" i="1"/>
  <c r="BC3165" i="1"/>
  <c r="BE3165" i="1"/>
  <c r="BF3165" i="1"/>
  <c r="BG3165" i="1"/>
  <c r="E3166" i="1"/>
  <c r="G3166" i="1"/>
  <c r="J3166" i="1"/>
  <c r="K3166" i="1"/>
  <c r="BC3166" i="1"/>
  <c r="BE3166" i="1"/>
  <c r="BG3166" i="1"/>
  <c r="E3167" i="1"/>
  <c r="G3167" i="1"/>
  <c r="J3167" i="1"/>
  <c r="K3167" i="1"/>
  <c r="BC3167" i="1"/>
  <c r="BE3167" i="1"/>
  <c r="BF3167" i="1"/>
  <c r="BG3167" i="1"/>
  <c r="E3168" i="1"/>
  <c r="G3168" i="1"/>
  <c r="J3168" i="1"/>
  <c r="K3168" i="1"/>
  <c r="BC3168" i="1"/>
  <c r="BE3168" i="1"/>
  <c r="BF3168" i="1"/>
  <c r="BG3168" i="1"/>
  <c r="E3169" i="1"/>
  <c r="G3169" i="1"/>
  <c r="J3169" i="1"/>
  <c r="K3169" i="1"/>
  <c r="BC3169" i="1"/>
  <c r="BE3169" i="1"/>
  <c r="BF3169" i="1"/>
  <c r="BG3169" i="1"/>
  <c r="E3170" i="1"/>
  <c r="G3170" i="1"/>
  <c r="J3170" i="1"/>
  <c r="K3170" i="1"/>
  <c r="BC3170" i="1"/>
  <c r="BE3170" i="1"/>
  <c r="BF3170" i="1"/>
  <c r="BG3170" i="1"/>
  <c r="E3171" i="1"/>
  <c r="G3171" i="1"/>
  <c r="J3171" i="1"/>
  <c r="K3171" i="1"/>
  <c r="BC3171" i="1"/>
  <c r="BE3171" i="1"/>
  <c r="BF3171" i="1"/>
  <c r="BG3171" i="1"/>
  <c r="E3172" i="1"/>
  <c r="G3172" i="1"/>
  <c r="J3172" i="1"/>
  <c r="K3172" i="1"/>
  <c r="BC3172" i="1"/>
  <c r="BE3172" i="1"/>
  <c r="BF3172" i="1"/>
  <c r="BG3172" i="1"/>
  <c r="E3173" i="1"/>
  <c r="G3173" i="1"/>
  <c r="J3173" i="1"/>
  <c r="K3173" i="1"/>
  <c r="BC3173" i="1"/>
  <c r="BE3173" i="1"/>
  <c r="BF3173" i="1"/>
  <c r="BG3173" i="1"/>
  <c r="E3174" i="1"/>
  <c r="G3174" i="1"/>
  <c r="J3174" i="1"/>
  <c r="K3174" i="1"/>
  <c r="BC3174" i="1"/>
  <c r="BE3174" i="1"/>
  <c r="BF3174" i="1"/>
  <c r="BG3174" i="1"/>
  <c r="E3175" i="1"/>
  <c r="G3175" i="1"/>
  <c r="J3175" i="1"/>
  <c r="K3175" i="1"/>
  <c r="BC3175" i="1"/>
  <c r="BE3175" i="1"/>
  <c r="BF3175" i="1"/>
  <c r="BG3175" i="1"/>
  <c r="E3176" i="1"/>
  <c r="G3176" i="1"/>
  <c r="J3176" i="1"/>
  <c r="K3176" i="1"/>
  <c r="BC3176" i="1"/>
  <c r="BE3176" i="1"/>
  <c r="BF3176" i="1"/>
  <c r="BG3176" i="1"/>
  <c r="E3177" i="1"/>
  <c r="G3177" i="1"/>
  <c r="J3177" i="1"/>
  <c r="K3177" i="1"/>
  <c r="BC3177" i="1"/>
  <c r="BE3177" i="1"/>
  <c r="BF3177" i="1"/>
  <c r="BG3177" i="1"/>
  <c r="E3178" i="1"/>
  <c r="G3178" i="1"/>
  <c r="J3178" i="1"/>
  <c r="K3178" i="1"/>
  <c r="BC3178" i="1"/>
  <c r="BE3178" i="1"/>
  <c r="BF3178" i="1"/>
  <c r="BG3178" i="1"/>
  <c r="E3179" i="1"/>
  <c r="G3179" i="1"/>
  <c r="J3179" i="1"/>
  <c r="K3179" i="1"/>
  <c r="BC3179" i="1"/>
  <c r="BE3179" i="1"/>
  <c r="BF3179" i="1"/>
  <c r="BG3179" i="1"/>
  <c r="E3180" i="1"/>
  <c r="G3180" i="1"/>
  <c r="J3180" i="1"/>
  <c r="K3180" i="1"/>
  <c r="BC3180" i="1"/>
  <c r="BE3180" i="1"/>
  <c r="BF3180" i="1"/>
  <c r="BG3180" i="1"/>
  <c r="E3181" i="1"/>
  <c r="G3181" i="1"/>
  <c r="J3181" i="1"/>
  <c r="K3181" i="1"/>
  <c r="BC3181" i="1"/>
  <c r="BE3181" i="1"/>
  <c r="BF3181" i="1"/>
  <c r="BG3181" i="1"/>
  <c r="E3182" i="1"/>
  <c r="G3182" i="1"/>
  <c r="J3182" i="1"/>
  <c r="K3182" i="1"/>
  <c r="BC3182" i="1"/>
  <c r="BE3182" i="1"/>
  <c r="BF3182" i="1"/>
  <c r="BG3182" i="1"/>
  <c r="E3183" i="1"/>
  <c r="G3183" i="1"/>
  <c r="J3183" i="1"/>
  <c r="K3183" i="1"/>
  <c r="BC3183" i="1"/>
  <c r="BE3183" i="1"/>
  <c r="BF3183" i="1"/>
  <c r="BG3183" i="1"/>
  <c r="E3184" i="1"/>
  <c r="G3184" i="1"/>
  <c r="J3184" i="1"/>
  <c r="K3184" i="1"/>
  <c r="BC3184" i="1"/>
  <c r="BE3184" i="1"/>
  <c r="BF3184" i="1"/>
  <c r="BG3184" i="1"/>
  <c r="E3185" i="1"/>
  <c r="G3185" i="1"/>
  <c r="J3185" i="1"/>
  <c r="K3185" i="1"/>
  <c r="BC3185" i="1"/>
  <c r="BE3185" i="1"/>
  <c r="BF3185" i="1"/>
  <c r="BG3185" i="1"/>
  <c r="E3186" i="1"/>
  <c r="G3186" i="1"/>
  <c r="J3186" i="1"/>
  <c r="K3186" i="1"/>
  <c r="BC3186" i="1"/>
  <c r="BE3186" i="1"/>
  <c r="BF3186" i="1"/>
  <c r="BG3186" i="1"/>
  <c r="E3187" i="1"/>
  <c r="G3187" i="1"/>
  <c r="J3187" i="1"/>
  <c r="K3187" i="1"/>
  <c r="BC3187" i="1"/>
  <c r="BE3187" i="1"/>
  <c r="BF3187" i="1"/>
  <c r="BG3187" i="1"/>
  <c r="E3188" i="1"/>
  <c r="G3188" i="1"/>
  <c r="J3188" i="1"/>
  <c r="K3188" i="1"/>
  <c r="BC3188" i="1"/>
  <c r="BE3188" i="1"/>
  <c r="BF3188" i="1"/>
  <c r="BG3188" i="1"/>
  <c r="E3189" i="1"/>
  <c r="G3189" i="1"/>
  <c r="J3189" i="1"/>
  <c r="K3189" i="1"/>
  <c r="BC3189" i="1"/>
  <c r="BE3189" i="1"/>
  <c r="BF3189" i="1"/>
  <c r="BG3189" i="1"/>
  <c r="E3190" i="1"/>
  <c r="G3190" i="1"/>
  <c r="J3190" i="1"/>
  <c r="K3190" i="1"/>
  <c r="BC3190" i="1"/>
  <c r="BE3190" i="1"/>
  <c r="BF3190" i="1"/>
  <c r="BG3190" i="1"/>
  <c r="E3191" i="1"/>
  <c r="G3191" i="1"/>
  <c r="J3191" i="1"/>
  <c r="K3191" i="1"/>
  <c r="BC3191" i="1"/>
  <c r="BE3191" i="1"/>
  <c r="BF3191" i="1"/>
  <c r="BG3191" i="1"/>
  <c r="E3192" i="1"/>
  <c r="G3192" i="1"/>
  <c r="J3192" i="1"/>
  <c r="K3192" i="1"/>
  <c r="BC3192" i="1"/>
  <c r="BE3192" i="1"/>
  <c r="BF3192" i="1"/>
  <c r="BG3192" i="1"/>
  <c r="E3193" i="1"/>
  <c r="G3193" i="1"/>
  <c r="J3193" i="1"/>
  <c r="K3193" i="1"/>
  <c r="BC3193" i="1"/>
  <c r="BE3193" i="1"/>
  <c r="BF3193" i="1"/>
  <c r="BG3193" i="1"/>
  <c r="E3194" i="1"/>
  <c r="G3194" i="1"/>
  <c r="J3194" i="1"/>
  <c r="K3194" i="1"/>
  <c r="BC3194" i="1"/>
  <c r="BE3194" i="1"/>
  <c r="BF3194" i="1"/>
  <c r="BG3194" i="1"/>
  <c r="E3195" i="1"/>
  <c r="G3195" i="1"/>
  <c r="J3195" i="1"/>
  <c r="K3195" i="1"/>
  <c r="BC3195" i="1"/>
  <c r="BE3195" i="1"/>
  <c r="BF3195" i="1"/>
  <c r="BG3195" i="1"/>
  <c r="E3196" i="1"/>
  <c r="G3196" i="1"/>
  <c r="J3196" i="1"/>
  <c r="K3196" i="1"/>
  <c r="BC3196" i="1"/>
  <c r="BE3196" i="1"/>
  <c r="BF3196" i="1"/>
  <c r="BG3196" i="1"/>
  <c r="E3197" i="1"/>
  <c r="G3197" i="1"/>
  <c r="J3197" i="1"/>
  <c r="K3197" i="1"/>
  <c r="BC3197" i="1"/>
  <c r="BE3197" i="1"/>
  <c r="BF3197" i="1"/>
  <c r="BG3197" i="1"/>
  <c r="E3198" i="1"/>
  <c r="G3198" i="1"/>
  <c r="J3198" i="1"/>
  <c r="K3198" i="1"/>
  <c r="BC3198" i="1"/>
  <c r="BE3198" i="1"/>
  <c r="BF3198" i="1"/>
  <c r="BG3198" i="1"/>
  <c r="E3199" i="1"/>
  <c r="G3199" i="1"/>
  <c r="J3199" i="1"/>
  <c r="K3199" i="1"/>
  <c r="BC3199" i="1"/>
  <c r="BE3199" i="1"/>
  <c r="BF3199" i="1"/>
  <c r="BG3199" i="1"/>
  <c r="E3200" i="1"/>
  <c r="G3200" i="1"/>
  <c r="J3200" i="1"/>
  <c r="K3200" i="1"/>
  <c r="BC3200" i="1"/>
  <c r="BE3200" i="1"/>
  <c r="BF3200" i="1"/>
  <c r="BG3200" i="1"/>
  <c r="E3201" i="1"/>
  <c r="G3201" i="1"/>
  <c r="J3201" i="1"/>
  <c r="K3201" i="1"/>
  <c r="BC3201" i="1"/>
  <c r="BE3201" i="1"/>
  <c r="BF3201" i="1"/>
  <c r="BG3201" i="1"/>
  <c r="E3202" i="1"/>
  <c r="G3202" i="1"/>
  <c r="J3202" i="1"/>
  <c r="K3202" i="1"/>
  <c r="BC3202" i="1"/>
  <c r="BE3202" i="1"/>
  <c r="BF3202" i="1"/>
  <c r="BG3202" i="1"/>
  <c r="E3203" i="1"/>
  <c r="G3203" i="1"/>
  <c r="J3203" i="1"/>
  <c r="K3203" i="1"/>
  <c r="BC3203" i="1"/>
  <c r="BE3203" i="1"/>
  <c r="BF3203" i="1"/>
  <c r="BG3203" i="1"/>
  <c r="E3204" i="1"/>
  <c r="G3204" i="1"/>
  <c r="J3204" i="1"/>
  <c r="K3204" i="1"/>
  <c r="BC3204" i="1"/>
  <c r="BE3204" i="1"/>
  <c r="BF3204" i="1"/>
  <c r="BG3204" i="1"/>
  <c r="E3205" i="1"/>
  <c r="G3205" i="1"/>
  <c r="J3205" i="1"/>
  <c r="K3205" i="1"/>
  <c r="BC3205" i="1"/>
  <c r="BE3205" i="1"/>
  <c r="BF3205" i="1"/>
  <c r="BG3205" i="1"/>
  <c r="E3206" i="1"/>
  <c r="G3206" i="1"/>
  <c r="J3206" i="1"/>
  <c r="K3206" i="1"/>
  <c r="BC3206" i="1"/>
  <c r="BE3206" i="1"/>
  <c r="BF3206" i="1"/>
  <c r="BG3206" i="1"/>
  <c r="E3207" i="1"/>
  <c r="G3207" i="1"/>
  <c r="J3207" i="1"/>
  <c r="K3207" i="1"/>
  <c r="BC3207" i="1"/>
  <c r="BE3207" i="1"/>
  <c r="BF3207" i="1"/>
  <c r="BG3207" i="1"/>
  <c r="E3208" i="1"/>
  <c r="G3208" i="1"/>
  <c r="J3208" i="1"/>
  <c r="K3208" i="1"/>
  <c r="BC3208" i="1"/>
  <c r="BE3208" i="1"/>
  <c r="BF3208" i="1"/>
  <c r="BG3208" i="1"/>
  <c r="E3209" i="1"/>
  <c r="G3209" i="1"/>
  <c r="J3209" i="1"/>
  <c r="K3209" i="1"/>
  <c r="BC3209" i="1"/>
  <c r="BE3209" i="1"/>
  <c r="BF3209" i="1"/>
  <c r="BG3209" i="1"/>
  <c r="E3210" i="1"/>
  <c r="G3210" i="1"/>
  <c r="J3210" i="1"/>
  <c r="K3210" i="1"/>
  <c r="BC3210" i="1"/>
  <c r="BE3210" i="1"/>
  <c r="BF3210" i="1"/>
  <c r="BG3210" i="1"/>
  <c r="E3211" i="1"/>
  <c r="G3211" i="1"/>
  <c r="J3211" i="1"/>
  <c r="K3211" i="1"/>
  <c r="BC3211" i="1"/>
  <c r="BE3211" i="1"/>
  <c r="BF3211" i="1"/>
  <c r="BG3211" i="1"/>
  <c r="E3212" i="1"/>
  <c r="G3212" i="1"/>
  <c r="J3212" i="1"/>
  <c r="K3212" i="1"/>
  <c r="BC3212" i="1"/>
  <c r="BE3212" i="1"/>
  <c r="BF3212" i="1"/>
  <c r="BG3212" i="1"/>
  <c r="E3213" i="1"/>
  <c r="G3213" i="1"/>
  <c r="J3213" i="1"/>
  <c r="K3213" i="1"/>
  <c r="BC3213" i="1"/>
  <c r="BE3213" i="1"/>
  <c r="BF3213" i="1"/>
  <c r="BG3213" i="1"/>
  <c r="E3214" i="1"/>
  <c r="G3214" i="1"/>
  <c r="J3214" i="1"/>
  <c r="K3214" i="1"/>
  <c r="BC3214" i="1"/>
  <c r="BE3214" i="1"/>
  <c r="BF3214" i="1"/>
  <c r="BG3214" i="1"/>
  <c r="E3215" i="1"/>
  <c r="G3215" i="1"/>
  <c r="J3215" i="1"/>
  <c r="K3215" i="1"/>
  <c r="BC3215" i="1"/>
  <c r="BE3215" i="1"/>
  <c r="BF3215" i="1"/>
  <c r="BG3215" i="1"/>
  <c r="E3216" i="1"/>
  <c r="G3216" i="1"/>
  <c r="J3216" i="1"/>
  <c r="K3216" i="1"/>
  <c r="BC3216" i="1"/>
  <c r="BE3216" i="1"/>
  <c r="BF3216" i="1"/>
  <c r="BG3216" i="1"/>
  <c r="E3217" i="1"/>
  <c r="G3217" i="1"/>
  <c r="J3217" i="1"/>
  <c r="K3217" i="1"/>
  <c r="BC3217" i="1"/>
  <c r="BE3217" i="1"/>
  <c r="BF3217" i="1"/>
  <c r="BG3217" i="1"/>
  <c r="E3218" i="1"/>
  <c r="G3218" i="1"/>
  <c r="J3218" i="1"/>
  <c r="K3218" i="1"/>
  <c r="BC3218" i="1"/>
  <c r="BE3218" i="1"/>
  <c r="BF3218" i="1"/>
  <c r="BG3218" i="1"/>
  <c r="E3219" i="1"/>
  <c r="G3219" i="1"/>
  <c r="J3219" i="1"/>
  <c r="K3219" i="1"/>
  <c r="BC3219" i="1"/>
  <c r="BE3219" i="1"/>
  <c r="BF3219" i="1"/>
  <c r="BG3219" i="1"/>
  <c r="E3220" i="1"/>
  <c r="G3220" i="1"/>
  <c r="J3220" i="1"/>
  <c r="K3220" i="1"/>
  <c r="BC3220" i="1"/>
  <c r="BE3220" i="1"/>
  <c r="BF3220" i="1"/>
  <c r="BG3220" i="1"/>
  <c r="E3221" i="1"/>
  <c r="G3221" i="1"/>
  <c r="J3221" i="1"/>
  <c r="K3221" i="1"/>
  <c r="BC3221" i="1"/>
  <c r="BE3221" i="1"/>
  <c r="BF3221" i="1"/>
  <c r="BG3221" i="1"/>
  <c r="E3222" i="1"/>
  <c r="G3222" i="1"/>
  <c r="J3222" i="1"/>
  <c r="K3222" i="1"/>
  <c r="BC3222" i="1"/>
  <c r="BE3222" i="1"/>
  <c r="BF3222" i="1"/>
  <c r="BG3222" i="1"/>
  <c r="E3223" i="1"/>
  <c r="G3223" i="1"/>
  <c r="J3223" i="1"/>
  <c r="K3223" i="1"/>
  <c r="BC3223" i="1"/>
  <c r="BE3223" i="1"/>
  <c r="BF3223" i="1"/>
  <c r="BG3223" i="1"/>
  <c r="E3224" i="1"/>
  <c r="G3224" i="1"/>
  <c r="J3224" i="1"/>
  <c r="K3224" i="1"/>
  <c r="BC3224" i="1"/>
  <c r="BE3224" i="1"/>
  <c r="BF3224" i="1"/>
  <c r="BG3224" i="1"/>
  <c r="E3225" i="1"/>
  <c r="G3225" i="1"/>
  <c r="J3225" i="1"/>
  <c r="K3225" i="1"/>
  <c r="BC3225" i="1"/>
  <c r="BE3225" i="1"/>
  <c r="BF3225" i="1"/>
  <c r="BG3225" i="1"/>
  <c r="E3226" i="1"/>
  <c r="G3226" i="1"/>
  <c r="J3226" i="1"/>
  <c r="K3226" i="1"/>
  <c r="BC3226" i="1"/>
  <c r="BE3226" i="1"/>
  <c r="BF3226" i="1"/>
  <c r="BG3226" i="1"/>
  <c r="E3227" i="1"/>
  <c r="G3227" i="1"/>
  <c r="J3227" i="1"/>
  <c r="K3227" i="1"/>
  <c r="BC3227" i="1"/>
  <c r="BE3227" i="1"/>
  <c r="BF3227" i="1"/>
  <c r="BG3227" i="1"/>
  <c r="E3228" i="1"/>
  <c r="G3228" i="1"/>
  <c r="J3228" i="1"/>
  <c r="K3228" i="1"/>
  <c r="BC3228" i="1"/>
  <c r="BE3228" i="1"/>
  <c r="BF3228" i="1"/>
  <c r="BG3228" i="1"/>
  <c r="E3229" i="1"/>
  <c r="G3229" i="1"/>
  <c r="J3229" i="1"/>
  <c r="K3229" i="1"/>
  <c r="BC3229" i="1"/>
  <c r="BE3229" i="1"/>
  <c r="BF3229" i="1"/>
  <c r="BG3229" i="1"/>
  <c r="E3230" i="1"/>
  <c r="G3230" i="1"/>
  <c r="J3230" i="1"/>
  <c r="K3230" i="1"/>
  <c r="BC3230" i="1"/>
  <c r="BE3230" i="1"/>
  <c r="BF3230" i="1"/>
  <c r="BG3230" i="1"/>
  <c r="E3231" i="1"/>
  <c r="G3231" i="1"/>
  <c r="J3231" i="1"/>
  <c r="K3231" i="1"/>
  <c r="BC3231" i="1"/>
  <c r="BE3231" i="1"/>
  <c r="BG3231" i="1"/>
  <c r="E3232" i="1"/>
  <c r="G3232" i="1"/>
  <c r="J3232" i="1"/>
  <c r="K3232" i="1"/>
  <c r="BC3232" i="1"/>
  <c r="BE3232" i="1"/>
  <c r="BF3232" i="1"/>
  <c r="BG3232" i="1"/>
  <c r="E3233" i="1"/>
  <c r="G3233" i="1"/>
  <c r="J3233" i="1"/>
  <c r="K3233" i="1"/>
  <c r="BC3233" i="1"/>
  <c r="BE3233" i="1"/>
  <c r="BG3233" i="1"/>
  <c r="E3234" i="1"/>
  <c r="G3234" i="1"/>
  <c r="J3234" i="1"/>
  <c r="K3234" i="1"/>
  <c r="BC3234" i="1"/>
  <c r="BE3234" i="1"/>
  <c r="BF3234" i="1"/>
  <c r="BG3234" i="1"/>
  <c r="E3235" i="1"/>
  <c r="G3235" i="1"/>
  <c r="J3235" i="1"/>
  <c r="K3235" i="1"/>
  <c r="BC3235" i="1"/>
  <c r="BE3235" i="1"/>
  <c r="BF3235" i="1"/>
  <c r="BG3235" i="1"/>
  <c r="E3236" i="1"/>
  <c r="G3236" i="1"/>
  <c r="J3236" i="1"/>
  <c r="K3236" i="1"/>
  <c r="BC3236" i="1"/>
  <c r="BE3236" i="1"/>
  <c r="BF3236" i="1"/>
  <c r="BG3236" i="1"/>
  <c r="E3237" i="1"/>
  <c r="G3237" i="1"/>
  <c r="J3237" i="1"/>
  <c r="K3237" i="1"/>
  <c r="BC3237" i="1"/>
  <c r="BE3237" i="1"/>
  <c r="BF3237" i="1"/>
  <c r="BG3237" i="1"/>
  <c r="E3694" i="1"/>
  <c r="G3694" i="1"/>
  <c r="J3694" i="1"/>
  <c r="K3694" i="1"/>
  <c r="BE3694" i="1"/>
  <c r="BF3694" i="1"/>
  <c r="BG3694" i="1"/>
  <c r="E4390" i="1"/>
  <c r="G4390" i="1"/>
  <c r="J4390" i="1"/>
  <c r="K4390" i="1"/>
  <c r="BE4390" i="1"/>
  <c r="BF4390" i="1"/>
  <c r="BG4390" i="1"/>
  <c r="E792" i="1"/>
  <c r="G792" i="1"/>
  <c r="J792" i="1"/>
  <c r="K792" i="1"/>
  <c r="BE792" i="1"/>
  <c r="BF792" i="1"/>
  <c r="BG792" i="1"/>
  <c r="E3695" i="1"/>
  <c r="G3695" i="1"/>
  <c r="J3695" i="1"/>
  <c r="K3695" i="1"/>
  <c r="BE3695" i="1"/>
  <c r="BF3695" i="1"/>
  <c r="BG3695" i="1"/>
  <c r="E3468" i="1"/>
  <c r="G3468" i="1"/>
  <c r="J3468" i="1"/>
  <c r="K3468" i="1"/>
  <c r="BE3468" i="1"/>
  <c r="BF3468" i="1"/>
  <c r="BG3468" i="1"/>
  <c r="E3835" i="1"/>
  <c r="G3835" i="1"/>
  <c r="J3835" i="1"/>
  <c r="K3835" i="1"/>
  <c r="BE3835" i="1"/>
  <c r="BF3835" i="1"/>
  <c r="BG3835" i="1"/>
  <c r="E3836" i="1"/>
  <c r="G3836" i="1"/>
  <c r="J3836" i="1"/>
  <c r="K3836" i="1"/>
  <c r="BE3836" i="1"/>
  <c r="BF3836" i="1"/>
  <c r="BG3836" i="1"/>
  <c r="E3837" i="1"/>
  <c r="G3837" i="1"/>
  <c r="J3837" i="1"/>
  <c r="K3837" i="1"/>
  <c r="BE3837" i="1"/>
  <c r="BF3837" i="1"/>
  <c r="BG3837" i="1"/>
  <c r="E3838" i="1"/>
  <c r="G3838" i="1"/>
  <c r="J3838" i="1"/>
  <c r="K3838" i="1"/>
  <c r="BE3838" i="1"/>
  <c r="BF3838" i="1"/>
  <c r="BG3838" i="1"/>
  <c r="E3839" i="1"/>
  <c r="G3839" i="1"/>
  <c r="J3839" i="1"/>
  <c r="K3839" i="1"/>
  <c r="BE3839" i="1"/>
  <c r="BF3839" i="1"/>
  <c r="BG3839" i="1"/>
  <c r="E3840" i="1"/>
  <c r="G3840" i="1"/>
  <c r="J3840" i="1"/>
  <c r="K3840" i="1"/>
  <c r="BE3840" i="1"/>
  <c r="BF3840" i="1"/>
  <c r="BG3840" i="1"/>
  <c r="E3841" i="1"/>
  <c r="G3841" i="1"/>
  <c r="J3841" i="1"/>
  <c r="K3841" i="1"/>
  <c r="BE3841" i="1"/>
  <c r="BF3841" i="1"/>
  <c r="BG3841" i="1"/>
  <c r="E3842" i="1"/>
  <c r="G3842" i="1"/>
  <c r="J3842" i="1"/>
  <c r="K3842" i="1"/>
  <c r="BE3842" i="1"/>
  <c r="BF3842" i="1"/>
  <c r="BG3842" i="1"/>
  <c r="E3843" i="1"/>
  <c r="G3843" i="1"/>
  <c r="J3843" i="1"/>
  <c r="K3843" i="1"/>
  <c r="BE3843" i="1"/>
  <c r="BF3843" i="1"/>
  <c r="BG3843" i="1"/>
  <c r="E3844" i="1"/>
  <c r="G3844" i="1"/>
  <c r="J3844" i="1"/>
  <c r="K3844" i="1"/>
  <c r="BE3844" i="1"/>
  <c r="BF3844" i="1"/>
  <c r="BG3844" i="1"/>
  <c r="E3845" i="1"/>
  <c r="G3845" i="1"/>
  <c r="J3845" i="1"/>
  <c r="K3845" i="1"/>
  <c r="BE3845" i="1"/>
  <c r="BF3845" i="1"/>
  <c r="BG3845" i="1"/>
  <c r="E3846" i="1"/>
  <c r="G3846" i="1"/>
  <c r="J3846" i="1"/>
  <c r="K3846" i="1"/>
  <c r="BE3846" i="1"/>
  <c r="BF3846" i="1"/>
  <c r="BG3846" i="1"/>
  <c r="E3847" i="1"/>
  <c r="G3847" i="1"/>
  <c r="J3847" i="1"/>
  <c r="K3847" i="1"/>
  <c r="BE3847" i="1"/>
  <c r="BF3847" i="1"/>
  <c r="BG3847" i="1"/>
  <c r="E3848" i="1"/>
  <c r="G3848" i="1"/>
  <c r="J3848" i="1"/>
  <c r="K3848" i="1"/>
  <c r="BE3848" i="1"/>
  <c r="BF3848" i="1"/>
  <c r="BG3848" i="1"/>
  <c r="E3849" i="1"/>
  <c r="G3849" i="1"/>
  <c r="J3849" i="1"/>
  <c r="K3849" i="1"/>
  <c r="BE3849" i="1"/>
  <c r="BF3849" i="1"/>
  <c r="BG3849" i="1"/>
  <c r="E3850" i="1"/>
  <c r="G3850" i="1"/>
  <c r="J3850" i="1"/>
  <c r="K3850" i="1"/>
  <c r="BE3850" i="1"/>
  <c r="BF3850" i="1"/>
  <c r="BG3850" i="1"/>
  <c r="E3851" i="1"/>
  <c r="G3851" i="1"/>
  <c r="J3851" i="1"/>
  <c r="K3851" i="1"/>
  <c r="BE3851" i="1"/>
  <c r="BF3851" i="1"/>
  <c r="BG3851" i="1"/>
  <c r="E3852" i="1"/>
  <c r="G3852" i="1"/>
  <c r="J3852" i="1"/>
  <c r="K3852" i="1"/>
  <c r="BE3852" i="1"/>
  <c r="BF3852" i="1"/>
  <c r="BG3852" i="1"/>
  <c r="E3853" i="1"/>
  <c r="G3853" i="1"/>
  <c r="J3853" i="1"/>
  <c r="K3853" i="1"/>
  <c r="BE3853" i="1"/>
  <c r="BF3853" i="1"/>
  <c r="BG3853" i="1"/>
  <c r="E3854" i="1"/>
  <c r="G3854" i="1"/>
  <c r="J3854" i="1"/>
  <c r="K3854" i="1"/>
  <c r="BE3854" i="1"/>
  <c r="BF3854" i="1"/>
  <c r="BG3854" i="1"/>
  <c r="E3855" i="1"/>
  <c r="G3855" i="1"/>
  <c r="J3855" i="1"/>
  <c r="K3855" i="1"/>
  <c r="BE3855" i="1"/>
  <c r="BF3855" i="1"/>
  <c r="BG3855" i="1"/>
  <c r="E3856" i="1"/>
  <c r="G3856" i="1"/>
  <c r="J3856" i="1"/>
  <c r="K3856" i="1"/>
  <c r="BE3856" i="1"/>
  <c r="BF3856" i="1"/>
  <c r="BG3856" i="1"/>
  <c r="E3857" i="1"/>
  <c r="G3857" i="1"/>
  <c r="J3857" i="1"/>
  <c r="K3857" i="1"/>
  <c r="BE3857" i="1"/>
  <c r="BF3857" i="1"/>
  <c r="BG3857" i="1"/>
  <c r="E3858" i="1"/>
  <c r="G3858" i="1"/>
  <c r="J3858" i="1"/>
  <c r="K3858" i="1"/>
  <c r="BE3858" i="1"/>
  <c r="BF3858" i="1"/>
  <c r="BG3858" i="1"/>
  <c r="E3859" i="1"/>
  <c r="G3859" i="1"/>
  <c r="J3859" i="1"/>
  <c r="K3859" i="1"/>
  <c r="BE3859" i="1"/>
  <c r="BF3859" i="1"/>
  <c r="BG3859" i="1"/>
  <c r="E3860" i="1"/>
  <c r="G3860" i="1"/>
  <c r="J3860" i="1"/>
  <c r="K3860" i="1"/>
  <c r="BE3860" i="1"/>
  <c r="BF3860" i="1"/>
  <c r="BG3860" i="1"/>
  <c r="E3861" i="1"/>
  <c r="G3861" i="1"/>
  <c r="J3861" i="1"/>
  <c r="K3861" i="1"/>
  <c r="BE3861" i="1"/>
  <c r="BF3861" i="1"/>
  <c r="BG3861" i="1"/>
  <c r="E3862" i="1"/>
  <c r="G3862" i="1"/>
  <c r="J3862" i="1"/>
  <c r="K3862" i="1"/>
  <c r="BE3862" i="1"/>
  <c r="BF3862" i="1"/>
  <c r="BG3862" i="1"/>
  <c r="E3863" i="1"/>
  <c r="G3863" i="1"/>
  <c r="J3863" i="1"/>
  <c r="K3863" i="1"/>
  <c r="BE3863" i="1"/>
  <c r="BF3863" i="1"/>
  <c r="BG3863" i="1"/>
  <c r="E3864" i="1"/>
  <c r="G3864" i="1"/>
  <c r="J3864" i="1"/>
  <c r="K3864" i="1"/>
  <c r="BE3864" i="1"/>
  <c r="BF3864" i="1"/>
  <c r="BG3864" i="1"/>
  <c r="E3865" i="1"/>
  <c r="G3865" i="1"/>
  <c r="J3865" i="1"/>
  <c r="K3865" i="1"/>
  <c r="BE3865" i="1"/>
  <c r="BF3865" i="1"/>
  <c r="BG3865" i="1"/>
  <c r="E3866" i="1"/>
  <c r="G3866" i="1"/>
  <c r="J3866" i="1"/>
  <c r="K3866" i="1"/>
  <c r="BE3866" i="1"/>
  <c r="BF3866" i="1"/>
  <c r="BG3866" i="1"/>
  <c r="E3867" i="1"/>
  <c r="G3867" i="1"/>
  <c r="J3867" i="1"/>
  <c r="K3867" i="1"/>
  <c r="BE3867" i="1"/>
  <c r="BF3867" i="1"/>
  <c r="BG3867" i="1"/>
  <c r="E3868" i="1"/>
  <c r="G3868" i="1"/>
  <c r="J3868" i="1"/>
  <c r="K3868" i="1"/>
  <c r="BE3868" i="1"/>
  <c r="BF3868" i="1"/>
  <c r="BG3868" i="1"/>
  <c r="E3869" i="1"/>
  <c r="G3869" i="1"/>
  <c r="J3869" i="1"/>
  <c r="K3869" i="1"/>
  <c r="BE3869" i="1"/>
  <c r="BF3869" i="1"/>
  <c r="BG3869" i="1"/>
  <c r="E3870" i="1"/>
  <c r="G3870" i="1"/>
  <c r="J3870" i="1"/>
  <c r="K3870" i="1"/>
  <c r="BE3870" i="1"/>
  <c r="BF3870" i="1"/>
  <c r="BG3870" i="1"/>
  <c r="E3871" i="1"/>
  <c r="G3871" i="1"/>
  <c r="J3871" i="1"/>
  <c r="K3871" i="1"/>
  <c r="BE3871" i="1"/>
  <c r="BF3871" i="1"/>
  <c r="BG3871" i="1"/>
  <c r="E3872" i="1"/>
  <c r="G3872" i="1"/>
  <c r="J3872" i="1"/>
  <c r="K3872" i="1"/>
  <c r="BE3872" i="1"/>
  <c r="BF3872" i="1"/>
  <c r="BG3872" i="1"/>
  <c r="E3873" i="1"/>
  <c r="G3873" i="1"/>
  <c r="J3873" i="1"/>
  <c r="K3873" i="1"/>
  <c r="BE3873" i="1"/>
  <c r="BF3873" i="1"/>
  <c r="BG3873" i="1"/>
  <c r="E3874" i="1"/>
  <c r="G3874" i="1"/>
  <c r="J3874" i="1"/>
  <c r="K3874" i="1"/>
  <c r="BE3874" i="1"/>
  <c r="BF3874" i="1"/>
  <c r="BG3874" i="1"/>
  <c r="E3875" i="1"/>
  <c r="G3875" i="1"/>
  <c r="J3875" i="1"/>
  <c r="K3875" i="1"/>
  <c r="BE3875" i="1"/>
  <c r="BF3875" i="1"/>
  <c r="BG3875" i="1"/>
  <c r="E3876" i="1"/>
  <c r="G3876" i="1"/>
  <c r="J3876" i="1"/>
  <c r="K3876" i="1"/>
  <c r="BE3876" i="1"/>
  <c r="BF3876" i="1"/>
  <c r="BG3876" i="1"/>
  <c r="E3877" i="1"/>
  <c r="G3877" i="1"/>
  <c r="J3877" i="1"/>
  <c r="K3877" i="1"/>
  <c r="BE3877" i="1"/>
  <c r="BF3877" i="1"/>
  <c r="BG3877" i="1"/>
  <c r="E3878" i="1"/>
  <c r="G3878" i="1"/>
  <c r="J3878" i="1"/>
  <c r="K3878" i="1"/>
  <c r="BE3878" i="1"/>
  <c r="BF3878" i="1"/>
  <c r="BG3878" i="1"/>
  <c r="E3879" i="1"/>
  <c r="G3879" i="1"/>
  <c r="J3879" i="1"/>
  <c r="K3879" i="1"/>
  <c r="BE3879" i="1"/>
  <c r="BF3879" i="1"/>
  <c r="BG3879" i="1"/>
  <c r="E3880" i="1"/>
  <c r="G3880" i="1"/>
  <c r="J3880" i="1"/>
  <c r="K3880" i="1"/>
  <c r="BE3880" i="1"/>
  <c r="BF3880" i="1"/>
  <c r="BG3880" i="1"/>
  <c r="E3881" i="1"/>
  <c r="G3881" i="1"/>
  <c r="J3881" i="1"/>
  <c r="K3881" i="1"/>
  <c r="BE3881" i="1"/>
  <c r="BF3881" i="1"/>
  <c r="BG3881" i="1"/>
  <c r="E3882" i="1"/>
  <c r="G3882" i="1"/>
  <c r="J3882" i="1"/>
  <c r="K3882" i="1"/>
  <c r="BE3882" i="1"/>
  <c r="BF3882" i="1"/>
  <c r="BG3882" i="1"/>
  <c r="E3883" i="1"/>
  <c r="G3883" i="1"/>
  <c r="J3883" i="1"/>
  <c r="K3883" i="1"/>
  <c r="BE3883" i="1"/>
  <c r="BF3883" i="1"/>
  <c r="BG3883" i="1"/>
  <c r="E3884" i="1"/>
  <c r="G3884" i="1"/>
  <c r="J3884" i="1"/>
  <c r="K3884" i="1"/>
  <c r="BE3884" i="1"/>
  <c r="BF3884" i="1"/>
  <c r="BG3884" i="1"/>
  <c r="E3885" i="1"/>
  <c r="G3885" i="1"/>
  <c r="J3885" i="1"/>
  <c r="K3885" i="1"/>
  <c r="BE3885" i="1"/>
  <c r="BF3885" i="1"/>
  <c r="BG3885" i="1"/>
  <c r="E3886" i="1"/>
  <c r="G3886" i="1"/>
  <c r="J3886" i="1"/>
  <c r="K3886" i="1"/>
  <c r="BE3886" i="1"/>
  <c r="BF3886" i="1"/>
  <c r="BG3886" i="1"/>
  <c r="E3887" i="1"/>
  <c r="G3887" i="1"/>
  <c r="J3887" i="1"/>
  <c r="K3887" i="1"/>
  <c r="BE3887" i="1"/>
  <c r="BF3887" i="1"/>
  <c r="BG3887" i="1"/>
  <c r="E3888" i="1"/>
  <c r="G3888" i="1"/>
  <c r="J3888" i="1"/>
  <c r="K3888" i="1"/>
  <c r="BE3888" i="1"/>
  <c r="BF3888" i="1"/>
  <c r="BG3888" i="1"/>
  <c r="E3889" i="1"/>
  <c r="G3889" i="1"/>
  <c r="J3889" i="1"/>
  <c r="K3889" i="1"/>
  <c r="BE3889" i="1"/>
  <c r="BF3889" i="1"/>
  <c r="BG3889" i="1"/>
  <c r="E3890" i="1"/>
  <c r="G3890" i="1"/>
  <c r="J3890" i="1"/>
  <c r="K3890" i="1"/>
  <c r="BE3890" i="1"/>
  <c r="BF3890" i="1"/>
  <c r="BG3890" i="1"/>
  <c r="E3891" i="1"/>
  <c r="G3891" i="1"/>
  <c r="J3891" i="1"/>
  <c r="K3891" i="1"/>
  <c r="BE3891" i="1"/>
  <c r="BF3891" i="1"/>
  <c r="BG3891" i="1"/>
  <c r="E3892" i="1"/>
  <c r="G3892" i="1"/>
  <c r="J3892" i="1"/>
  <c r="K3892" i="1"/>
  <c r="BE3892" i="1"/>
  <c r="BF3892" i="1"/>
  <c r="BG3892" i="1"/>
  <c r="E3893" i="1"/>
  <c r="G3893" i="1"/>
  <c r="J3893" i="1"/>
  <c r="K3893" i="1"/>
  <c r="BE3893" i="1"/>
  <c r="BF3893" i="1"/>
  <c r="BG3893" i="1"/>
  <c r="E3894" i="1"/>
  <c r="G3894" i="1"/>
  <c r="J3894" i="1"/>
  <c r="K3894" i="1"/>
  <c r="BE3894" i="1"/>
  <c r="BF3894" i="1"/>
  <c r="BG3894" i="1"/>
  <c r="E3895" i="1"/>
  <c r="G3895" i="1"/>
  <c r="J3895" i="1"/>
  <c r="K3895" i="1"/>
  <c r="BE3895" i="1"/>
  <c r="BF3895" i="1"/>
  <c r="BG3895" i="1"/>
  <c r="E3896" i="1"/>
  <c r="G3896" i="1"/>
  <c r="J3896" i="1"/>
  <c r="K3896" i="1"/>
  <c r="BE3896" i="1"/>
  <c r="BF3896" i="1"/>
  <c r="BG3896" i="1"/>
  <c r="E3897" i="1"/>
  <c r="G3897" i="1"/>
  <c r="J3897" i="1"/>
  <c r="K3897" i="1"/>
  <c r="BE3897" i="1"/>
  <c r="BF3897" i="1"/>
  <c r="BG3897" i="1"/>
  <c r="E3898" i="1"/>
  <c r="G3898" i="1"/>
  <c r="J3898" i="1"/>
  <c r="K3898" i="1"/>
  <c r="BE3898" i="1"/>
  <c r="BF3898" i="1"/>
  <c r="BG3898" i="1"/>
  <c r="E3899" i="1"/>
  <c r="G3899" i="1"/>
  <c r="J3899" i="1"/>
  <c r="K3899" i="1"/>
  <c r="BE3899" i="1"/>
  <c r="BF3899" i="1"/>
  <c r="BG3899" i="1"/>
  <c r="E3900" i="1"/>
  <c r="G3900" i="1"/>
  <c r="J3900" i="1"/>
  <c r="K3900" i="1"/>
  <c r="BE3900" i="1"/>
  <c r="BF3900" i="1"/>
  <c r="BG3900" i="1"/>
  <c r="E3901" i="1"/>
  <c r="G3901" i="1"/>
  <c r="J3901" i="1"/>
  <c r="K3901" i="1"/>
  <c r="BE3901" i="1"/>
  <c r="BF3901" i="1"/>
  <c r="BG3901" i="1"/>
  <c r="E3902" i="1"/>
  <c r="G3902" i="1"/>
  <c r="J3902" i="1"/>
  <c r="K3902" i="1"/>
  <c r="BE3902" i="1"/>
  <c r="BF3902" i="1"/>
  <c r="BG3902" i="1"/>
  <c r="E3903" i="1"/>
  <c r="G3903" i="1"/>
  <c r="J3903" i="1"/>
  <c r="K3903" i="1"/>
  <c r="BE3903" i="1"/>
  <c r="BF3903" i="1"/>
  <c r="BG3903" i="1"/>
  <c r="E3904" i="1"/>
  <c r="G3904" i="1"/>
  <c r="J3904" i="1"/>
  <c r="K3904" i="1"/>
  <c r="BE3904" i="1"/>
  <c r="BF3904" i="1"/>
  <c r="BG3904" i="1"/>
  <c r="E3905" i="1"/>
  <c r="G3905" i="1"/>
  <c r="J3905" i="1"/>
  <c r="K3905" i="1"/>
  <c r="BE3905" i="1"/>
  <c r="BF3905" i="1"/>
  <c r="BG3905" i="1"/>
  <c r="E3906" i="1"/>
  <c r="G3906" i="1"/>
  <c r="J3906" i="1"/>
  <c r="K3906" i="1"/>
  <c r="BE3906" i="1"/>
  <c r="BF3906" i="1"/>
  <c r="BG3906" i="1"/>
  <c r="E3907" i="1"/>
  <c r="G3907" i="1"/>
  <c r="J3907" i="1"/>
  <c r="K3907" i="1"/>
  <c r="BE3907" i="1"/>
  <c r="BF3907" i="1"/>
  <c r="BG3907" i="1"/>
  <c r="E3908" i="1"/>
  <c r="G3908" i="1"/>
  <c r="J3908" i="1"/>
  <c r="K3908" i="1"/>
  <c r="BE3908" i="1"/>
  <c r="BF3908" i="1"/>
  <c r="BG3908" i="1"/>
  <c r="E3909" i="1"/>
  <c r="G3909" i="1"/>
  <c r="J3909" i="1"/>
  <c r="K3909" i="1"/>
  <c r="BE3909" i="1"/>
  <c r="BF3909" i="1"/>
  <c r="BG3909" i="1"/>
  <c r="E3910" i="1"/>
  <c r="G3910" i="1"/>
  <c r="J3910" i="1"/>
  <c r="K3910" i="1"/>
  <c r="BE3910" i="1"/>
  <c r="BF3910" i="1"/>
  <c r="BG3910" i="1"/>
  <c r="E3911" i="1"/>
  <c r="G3911" i="1"/>
  <c r="J3911" i="1"/>
  <c r="K3911" i="1"/>
  <c r="BE3911" i="1"/>
  <c r="BF3911" i="1"/>
  <c r="BG3911" i="1"/>
  <c r="E3912" i="1"/>
  <c r="G3912" i="1"/>
  <c r="J3912" i="1"/>
  <c r="K3912" i="1"/>
  <c r="BE3912" i="1"/>
  <c r="BF3912" i="1"/>
  <c r="BG3912" i="1"/>
  <c r="E3913" i="1"/>
  <c r="G3913" i="1"/>
  <c r="J3913" i="1"/>
  <c r="K3913" i="1"/>
  <c r="BE3913" i="1"/>
  <c r="BF3913" i="1"/>
  <c r="BG3913" i="1"/>
  <c r="E3914" i="1"/>
  <c r="G3914" i="1"/>
  <c r="J3914" i="1"/>
  <c r="K3914" i="1"/>
  <c r="BE3914" i="1"/>
  <c r="BF3914" i="1"/>
  <c r="BG3914" i="1"/>
  <c r="E3915" i="1"/>
  <c r="G3915" i="1"/>
  <c r="J3915" i="1"/>
  <c r="K3915" i="1"/>
  <c r="BE3915" i="1"/>
  <c r="BF3915" i="1"/>
  <c r="BG3915" i="1"/>
  <c r="E3916" i="1"/>
  <c r="G3916" i="1"/>
  <c r="J3916" i="1"/>
  <c r="K3916" i="1"/>
  <c r="BE3916" i="1"/>
  <c r="BF3916" i="1"/>
  <c r="BG3916" i="1"/>
  <c r="E3917" i="1"/>
  <c r="G3917" i="1"/>
  <c r="J3917" i="1"/>
  <c r="K3917" i="1"/>
  <c r="BE3917" i="1"/>
  <c r="BF3917" i="1"/>
  <c r="BG3917" i="1"/>
  <c r="E3918" i="1"/>
  <c r="G3918" i="1"/>
  <c r="J3918" i="1"/>
  <c r="K3918" i="1"/>
  <c r="BE3918" i="1"/>
  <c r="BF3918" i="1"/>
  <c r="BG3918" i="1"/>
  <c r="E3919" i="1"/>
  <c r="G3919" i="1"/>
  <c r="J3919" i="1"/>
  <c r="K3919" i="1"/>
  <c r="BE3919" i="1"/>
  <c r="BF3919" i="1"/>
  <c r="BG3919" i="1"/>
  <c r="E5992" i="1"/>
  <c r="G5992" i="1"/>
  <c r="J5992" i="1"/>
  <c r="K5992" i="1"/>
  <c r="BE5992" i="1"/>
  <c r="BF5992" i="1"/>
  <c r="BG5992" i="1"/>
  <c r="E3696" i="1"/>
  <c r="G3696" i="1"/>
  <c r="J3696" i="1"/>
  <c r="K3696" i="1"/>
  <c r="BE3696" i="1"/>
  <c r="BF3696" i="1"/>
  <c r="BG3696" i="1"/>
  <c r="E5993" i="1"/>
  <c r="G5993" i="1"/>
  <c r="J5993" i="1"/>
  <c r="K5993" i="1"/>
  <c r="BE5993" i="1"/>
  <c r="BF5993" i="1"/>
  <c r="BG5993" i="1"/>
  <c r="E4391" i="1"/>
  <c r="G4391" i="1"/>
  <c r="J4391" i="1"/>
  <c r="K4391" i="1"/>
  <c r="BE4391" i="1"/>
  <c r="BF4391" i="1"/>
  <c r="BG4391" i="1"/>
  <c r="E4059" i="1"/>
  <c r="G4059" i="1"/>
  <c r="J4059" i="1"/>
  <c r="K4059" i="1"/>
  <c r="BE4059" i="1"/>
  <c r="BF4059" i="1"/>
  <c r="BG4059" i="1"/>
  <c r="E5994" i="1"/>
  <c r="G5994" i="1"/>
  <c r="J5994" i="1"/>
  <c r="K5994" i="1"/>
  <c r="BE5994" i="1"/>
  <c r="BF5994" i="1"/>
  <c r="BG5994" i="1"/>
  <c r="E3697" i="1"/>
  <c r="G3697" i="1"/>
  <c r="J3697" i="1"/>
  <c r="K3697" i="1"/>
  <c r="BE3697" i="1"/>
  <c r="BF3697" i="1"/>
  <c r="BG3697" i="1"/>
  <c r="E3238" i="1"/>
  <c r="G3238" i="1"/>
  <c r="J3238" i="1"/>
  <c r="K3238" i="1"/>
  <c r="BC3238" i="1"/>
  <c r="BE3238" i="1"/>
  <c r="BF3238" i="1"/>
  <c r="BG3238" i="1"/>
  <c r="E5995" i="1"/>
  <c r="G5995" i="1"/>
  <c r="J5995" i="1"/>
  <c r="K5995" i="1"/>
  <c r="BE5995" i="1"/>
  <c r="BF5995" i="1"/>
  <c r="BG5995" i="1"/>
  <c r="E3704" i="1"/>
  <c r="G3704" i="1"/>
  <c r="J3704" i="1"/>
  <c r="K3704" i="1"/>
  <c r="BE3704" i="1"/>
  <c r="BF3704" i="1"/>
  <c r="BG3704" i="1"/>
  <c r="E5996" i="1"/>
  <c r="G5996" i="1"/>
  <c r="J5996" i="1"/>
  <c r="K5996" i="1"/>
  <c r="BE5996" i="1"/>
  <c r="BF5996" i="1"/>
  <c r="BG5996" i="1"/>
  <c r="E3698" i="1"/>
  <c r="G3698" i="1"/>
  <c r="J3698" i="1"/>
  <c r="K3698" i="1"/>
  <c r="BE3698" i="1"/>
  <c r="BF3698" i="1"/>
  <c r="BG3698" i="1"/>
  <c r="E4843" i="1"/>
  <c r="G4843" i="1"/>
  <c r="J4843" i="1"/>
  <c r="K4843" i="1"/>
  <c r="BE4843" i="1"/>
  <c r="BF4843" i="1"/>
  <c r="BG4843" i="1"/>
  <c r="E4392" i="1"/>
  <c r="G4392" i="1"/>
  <c r="J4392" i="1"/>
  <c r="K4392" i="1"/>
  <c r="BE4392" i="1"/>
  <c r="BF4392" i="1"/>
  <c r="BG4392" i="1"/>
  <c r="E3239" i="1"/>
  <c r="G3239" i="1"/>
  <c r="J3239" i="1"/>
  <c r="K3239" i="1"/>
  <c r="BC3239" i="1"/>
  <c r="BE3239" i="1"/>
  <c r="BF3239" i="1"/>
  <c r="BG3239" i="1"/>
  <c r="E5997" i="1"/>
  <c r="G5997" i="1"/>
  <c r="J5997" i="1"/>
  <c r="K5997" i="1"/>
  <c r="BE5997" i="1"/>
  <c r="BF5997" i="1"/>
  <c r="BG5997" i="1"/>
  <c r="E5998" i="1"/>
  <c r="G5998" i="1"/>
  <c r="J5998" i="1"/>
  <c r="K5998" i="1"/>
  <c r="BE5998" i="1"/>
  <c r="BF5998" i="1"/>
  <c r="BG5998" i="1"/>
  <c r="E4393" i="1"/>
  <c r="G4393" i="1"/>
  <c r="J4393" i="1"/>
  <c r="K4393" i="1"/>
  <c r="BE4393" i="1"/>
  <c r="BF4393" i="1"/>
  <c r="BG4393" i="1"/>
  <c r="E3705" i="1"/>
  <c r="G3705" i="1"/>
  <c r="J3705" i="1"/>
  <c r="K3705" i="1"/>
  <c r="BE3705" i="1"/>
  <c r="BF3705" i="1"/>
  <c r="BG3705" i="1"/>
  <c r="E5999" i="1"/>
  <c r="G5999" i="1"/>
  <c r="J5999" i="1"/>
  <c r="K5999" i="1"/>
  <c r="BE5999" i="1"/>
  <c r="BF5999" i="1"/>
  <c r="BG5999" i="1"/>
  <c r="E4844" i="1"/>
  <c r="G4844" i="1"/>
  <c r="J4844" i="1"/>
  <c r="K4844" i="1"/>
  <c r="BE4844" i="1"/>
  <c r="BF4844" i="1"/>
  <c r="BG4844" i="1"/>
  <c r="E6100" i="1"/>
  <c r="G6100" i="1"/>
  <c r="J6100" i="1"/>
  <c r="K6100" i="1"/>
  <c r="BE6100" i="1"/>
  <c r="BF6100" i="1"/>
  <c r="BG6100" i="1"/>
  <c r="E6101" i="1"/>
  <c r="G6101" i="1"/>
  <c r="J6101" i="1"/>
  <c r="K6101" i="1"/>
  <c r="BE6101" i="1"/>
  <c r="BF6101" i="1"/>
  <c r="BG6101" i="1"/>
  <c r="E6102" i="1"/>
  <c r="G6102" i="1"/>
  <c r="J6102" i="1"/>
  <c r="K6102" i="1"/>
  <c r="BE6102" i="1"/>
  <c r="BF6102" i="1"/>
  <c r="BG6102" i="1"/>
  <c r="E6103" i="1"/>
  <c r="G6103" i="1"/>
  <c r="J6103" i="1"/>
  <c r="K6103" i="1"/>
  <c r="BE6103" i="1"/>
  <c r="BF6103" i="1"/>
  <c r="BG6103" i="1"/>
  <c r="E6104" i="1"/>
  <c r="G6104" i="1"/>
  <c r="J6104" i="1"/>
  <c r="K6104" i="1"/>
  <c r="BE6104" i="1"/>
  <c r="BF6104" i="1"/>
  <c r="BG6104" i="1"/>
  <c r="E6105" i="1"/>
  <c r="G6105" i="1"/>
  <c r="J6105" i="1"/>
  <c r="K6105" i="1"/>
  <c r="BE6105" i="1"/>
  <c r="BF6105" i="1"/>
  <c r="BG6105" i="1"/>
  <c r="E6106" i="1"/>
  <c r="G6106" i="1"/>
  <c r="J6106" i="1"/>
  <c r="K6106" i="1"/>
  <c r="BE6106" i="1"/>
  <c r="BF6106" i="1"/>
  <c r="BG6106" i="1"/>
  <c r="E6107" i="1"/>
  <c r="G6107" i="1"/>
  <c r="J6107" i="1"/>
  <c r="K6107" i="1"/>
  <c r="BE6107" i="1"/>
  <c r="BF6107" i="1"/>
  <c r="BG6107" i="1"/>
  <c r="E6108" i="1"/>
  <c r="G6108" i="1"/>
  <c r="J6108" i="1"/>
  <c r="K6108" i="1"/>
  <c r="BE6108" i="1"/>
  <c r="BF6108" i="1"/>
  <c r="BG6108" i="1"/>
  <c r="E6109" i="1"/>
  <c r="G6109" i="1"/>
  <c r="J6109" i="1"/>
  <c r="K6109" i="1"/>
  <c r="BE6109" i="1"/>
  <c r="BF6109" i="1"/>
  <c r="BG6109" i="1"/>
  <c r="E6110" i="1"/>
  <c r="G6110" i="1"/>
  <c r="J6110" i="1"/>
  <c r="K6110" i="1"/>
  <c r="BE6110" i="1"/>
  <c r="BF6110" i="1"/>
  <c r="BG6110" i="1"/>
  <c r="E6111" i="1"/>
  <c r="G6111" i="1"/>
  <c r="J6111" i="1"/>
  <c r="K6111" i="1"/>
  <c r="BE6111" i="1"/>
  <c r="BF6111" i="1"/>
  <c r="BG6111" i="1"/>
  <c r="E6112" i="1"/>
  <c r="G6112" i="1"/>
  <c r="J6112" i="1"/>
  <c r="K6112" i="1"/>
  <c r="BE6112" i="1"/>
  <c r="BF6112" i="1"/>
  <c r="BG6112" i="1"/>
  <c r="E6113" i="1"/>
  <c r="G6113" i="1"/>
  <c r="J6113" i="1"/>
  <c r="K6113" i="1"/>
  <c r="BE6113" i="1"/>
  <c r="BF6113" i="1"/>
  <c r="BG6113" i="1"/>
  <c r="E6114" i="1"/>
  <c r="G6114" i="1"/>
  <c r="J6114" i="1"/>
  <c r="K6114" i="1"/>
  <c r="BE6114" i="1"/>
  <c r="BF6114" i="1"/>
  <c r="BG6114" i="1"/>
  <c r="E6115" i="1"/>
  <c r="G6115" i="1"/>
  <c r="J6115" i="1"/>
  <c r="K6115" i="1"/>
  <c r="BE6115" i="1"/>
  <c r="BF6115" i="1"/>
  <c r="BG6115" i="1"/>
  <c r="E6116" i="1"/>
  <c r="G6116" i="1"/>
  <c r="J6116" i="1"/>
  <c r="K6116" i="1"/>
  <c r="BE6116" i="1"/>
  <c r="BF6116" i="1"/>
  <c r="BG6116" i="1"/>
  <c r="E6117" i="1"/>
  <c r="G6117" i="1"/>
  <c r="J6117" i="1"/>
  <c r="K6117" i="1"/>
  <c r="BE6117" i="1"/>
  <c r="BF6117" i="1"/>
  <c r="BG6117" i="1"/>
  <c r="E6118" i="1"/>
  <c r="G6118" i="1"/>
  <c r="J6118" i="1"/>
  <c r="K6118" i="1"/>
  <c r="BE6118" i="1"/>
  <c r="BF6118" i="1"/>
  <c r="BG6118" i="1"/>
  <c r="E6119" i="1"/>
  <c r="G6119" i="1"/>
  <c r="J6119" i="1"/>
  <c r="K6119" i="1"/>
  <c r="BE6119" i="1"/>
  <c r="BF6119" i="1"/>
  <c r="BG6119" i="1"/>
  <c r="E6120" i="1"/>
  <c r="G6120" i="1"/>
  <c r="J6120" i="1"/>
  <c r="K6120" i="1"/>
  <c r="BE6120" i="1"/>
  <c r="BF6120" i="1"/>
  <c r="BG6120" i="1"/>
  <c r="E6121" i="1"/>
  <c r="G6121" i="1"/>
  <c r="J6121" i="1"/>
  <c r="K6121" i="1"/>
  <c r="BE6121" i="1"/>
  <c r="BF6121" i="1"/>
  <c r="BG6121" i="1"/>
  <c r="E6122" i="1"/>
  <c r="G6122" i="1"/>
  <c r="J6122" i="1"/>
  <c r="K6122" i="1"/>
  <c r="BE6122" i="1"/>
  <c r="BF6122" i="1"/>
  <c r="BG6122" i="1"/>
  <c r="E6123" i="1"/>
  <c r="G6123" i="1"/>
  <c r="J6123" i="1"/>
  <c r="K6123" i="1"/>
  <c r="BE6123" i="1"/>
  <c r="BF6123" i="1"/>
  <c r="BG6123" i="1"/>
  <c r="E6124" i="1"/>
  <c r="G6124" i="1"/>
  <c r="J6124" i="1"/>
  <c r="K6124" i="1"/>
  <c r="BE6124" i="1"/>
  <c r="BF6124" i="1"/>
  <c r="BG6124" i="1"/>
  <c r="E3392" i="1"/>
  <c r="G3392" i="1"/>
  <c r="J3392" i="1"/>
  <c r="K3392" i="1"/>
  <c r="BE3392" i="1"/>
  <c r="BF3392" i="1"/>
  <c r="BG3392" i="1"/>
  <c r="E3706" i="1"/>
  <c r="G3706" i="1"/>
  <c r="J3706" i="1"/>
  <c r="K3706" i="1"/>
  <c r="BE3706" i="1"/>
  <c r="BF3706" i="1"/>
  <c r="BG3706" i="1"/>
  <c r="E4394" i="1"/>
  <c r="G4394" i="1"/>
  <c r="J4394" i="1"/>
  <c r="K4394" i="1"/>
  <c r="BE4394" i="1"/>
  <c r="BF4394" i="1"/>
  <c r="BG4394" i="1"/>
  <c r="E118" i="1"/>
  <c r="G118" i="1"/>
  <c r="J118" i="1"/>
  <c r="K118" i="1"/>
  <c r="BE118" i="1"/>
  <c r="BF118" i="1"/>
  <c r="BG118" i="1"/>
  <c r="E517" i="1"/>
  <c r="G517" i="1"/>
  <c r="J517" i="1"/>
  <c r="K517" i="1"/>
  <c r="BE517" i="1"/>
  <c r="BF517" i="1"/>
  <c r="BG517" i="1"/>
  <c r="E518" i="1"/>
  <c r="G518" i="1"/>
  <c r="J518" i="1"/>
  <c r="K518" i="1"/>
  <c r="BE518" i="1"/>
  <c r="BF518" i="1"/>
  <c r="BG518" i="1"/>
  <c r="E519" i="1"/>
  <c r="G519" i="1"/>
  <c r="J519" i="1"/>
  <c r="K519" i="1"/>
  <c r="BE519" i="1"/>
  <c r="BF519" i="1"/>
  <c r="BG519" i="1"/>
  <c r="E520" i="1"/>
  <c r="G520" i="1"/>
  <c r="J520" i="1"/>
  <c r="K520" i="1"/>
  <c r="BE520" i="1"/>
  <c r="BF520" i="1"/>
  <c r="BG520" i="1"/>
  <c r="E521" i="1"/>
  <c r="G521" i="1"/>
  <c r="J521" i="1"/>
  <c r="K521" i="1"/>
  <c r="BE521" i="1"/>
  <c r="BF521" i="1"/>
  <c r="BG521" i="1"/>
  <c r="E522" i="1"/>
  <c r="G522" i="1"/>
  <c r="J522" i="1"/>
  <c r="K522" i="1"/>
  <c r="BE522" i="1"/>
  <c r="BF522" i="1"/>
  <c r="BG522" i="1"/>
  <c r="E523" i="1"/>
  <c r="G523" i="1"/>
  <c r="J523" i="1"/>
  <c r="K523" i="1"/>
  <c r="BE523" i="1"/>
  <c r="BF523" i="1"/>
  <c r="BG523" i="1"/>
  <c r="E524" i="1"/>
  <c r="G524" i="1"/>
  <c r="J524" i="1"/>
  <c r="K524" i="1"/>
  <c r="BE524" i="1"/>
  <c r="BF524" i="1"/>
  <c r="BG524" i="1"/>
  <c r="E525" i="1"/>
  <c r="G525" i="1"/>
  <c r="J525" i="1"/>
  <c r="K525" i="1"/>
  <c r="BE525" i="1"/>
  <c r="BF525" i="1"/>
  <c r="BG525" i="1"/>
  <c r="E4232" i="1"/>
  <c r="G4232" i="1"/>
  <c r="J4232" i="1"/>
  <c r="K4232" i="1"/>
  <c r="BE4232" i="1"/>
  <c r="BF4232" i="1"/>
  <c r="BG4232" i="1"/>
  <c r="E4395" i="1"/>
  <c r="G4395" i="1"/>
  <c r="J4395" i="1"/>
  <c r="K4395" i="1"/>
  <c r="BE4395" i="1"/>
  <c r="BF4395" i="1"/>
  <c r="BG4395" i="1"/>
  <c r="E4233" i="1"/>
  <c r="G4233" i="1"/>
  <c r="J4233" i="1"/>
  <c r="K4233" i="1"/>
  <c r="BE4233" i="1"/>
  <c r="BF4233" i="1"/>
  <c r="BG4233" i="1"/>
  <c r="E1207" i="1"/>
  <c r="G1207" i="1"/>
  <c r="J1207" i="1"/>
  <c r="K1207" i="1"/>
  <c r="BE1207" i="1"/>
  <c r="BF1207" i="1"/>
  <c r="BG1207" i="1"/>
  <c r="E3707" i="1"/>
  <c r="G3707" i="1"/>
  <c r="J3707" i="1"/>
  <c r="K3707" i="1"/>
  <c r="BE3707" i="1"/>
  <c r="BF3707" i="1"/>
  <c r="BG3707" i="1"/>
  <c r="E4396" i="1"/>
  <c r="G4396" i="1"/>
  <c r="J4396" i="1"/>
  <c r="K4396" i="1"/>
  <c r="BE4396" i="1"/>
  <c r="BF4396" i="1"/>
  <c r="BG4396" i="1"/>
  <c r="E4234" i="1"/>
  <c r="G4234" i="1"/>
  <c r="J4234" i="1"/>
  <c r="K4234" i="1"/>
  <c r="BE4234" i="1"/>
  <c r="BF4234" i="1"/>
  <c r="BG4234" i="1"/>
  <c r="E3393" i="1"/>
  <c r="G3393" i="1"/>
  <c r="J3393" i="1"/>
  <c r="K3393" i="1"/>
  <c r="BE3393" i="1"/>
  <c r="BF3393" i="1"/>
  <c r="BG3393" i="1"/>
  <c r="E198" i="1"/>
  <c r="G198" i="1"/>
  <c r="J198" i="1"/>
  <c r="K198" i="1"/>
  <c r="BE198" i="1"/>
  <c r="BF198" i="1"/>
  <c r="BG198" i="1"/>
  <c r="E3708" i="1"/>
  <c r="G3708" i="1"/>
  <c r="J3708" i="1"/>
  <c r="K3708" i="1"/>
  <c r="BE3708" i="1"/>
  <c r="BF3708" i="1"/>
  <c r="BG3708" i="1"/>
  <c r="E4235" i="1"/>
  <c r="G4235" i="1"/>
  <c r="J4235" i="1"/>
  <c r="K4235" i="1"/>
  <c r="BE4235" i="1"/>
  <c r="BF4235" i="1"/>
  <c r="BG4235" i="1"/>
  <c r="E718" i="1"/>
  <c r="G718" i="1"/>
  <c r="J718" i="1"/>
  <c r="K718" i="1"/>
  <c r="BE718" i="1"/>
  <c r="BF718" i="1"/>
  <c r="BG718" i="1"/>
  <c r="E4397" i="1"/>
  <c r="G4397" i="1"/>
  <c r="J4397" i="1"/>
  <c r="K4397" i="1"/>
  <c r="BE4397" i="1"/>
  <c r="BF4397" i="1"/>
  <c r="BG4397" i="1"/>
  <c r="E2530" i="1"/>
  <c r="G2530" i="1"/>
  <c r="J2530" i="1"/>
  <c r="K2530" i="1"/>
  <c r="BE2530" i="1"/>
  <c r="BF2530" i="1"/>
  <c r="BG2530" i="1"/>
  <c r="E1208" i="1"/>
  <c r="G1208" i="1"/>
  <c r="J1208" i="1"/>
  <c r="K1208" i="1"/>
  <c r="BE1208" i="1"/>
  <c r="BF1208" i="1"/>
  <c r="BG1208" i="1"/>
  <c r="E4236" i="1"/>
  <c r="G4236" i="1"/>
  <c r="J4236" i="1"/>
  <c r="K4236" i="1"/>
  <c r="BE4236" i="1"/>
  <c r="BF4236" i="1"/>
  <c r="BG4236" i="1"/>
  <c r="E4663" i="1"/>
  <c r="G4663" i="1"/>
  <c r="J4663" i="1"/>
  <c r="K4663" i="1"/>
  <c r="BE4663" i="1"/>
  <c r="BF4663" i="1"/>
  <c r="BG4663" i="1"/>
  <c r="E3240" i="1"/>
  <c r="G3240" i="1"/>
  <c r="J3240" i="1"/>
  <c r="K3240" i="1"/>
  <c r="BE3240" i="1"/>
  <c r="BF3240" i="1"/>
  <c r="BG3240" i="1"/>
  <c r="E565" i="1"/>
  <c r="G565" i="1"/>
  <c r="J565" i="1"/>
  <c r="K565" i="1"/>
  <c r="BE565" i="1"/>
  <c r="BF565" i="1"/>
  <c r="BG565" i="1"/>
  <c r="E628" i="1"/>
  <c r="G628" i="1"/>
  <c r="J628" i="1"/>
  <c r="K628" i="1"/>
  <c r="BC628" i="1"/>
  <c r="BE628" i="1"/>
  <c r="BF628" i="1"/>
  <c r="BG628" i="1"/>
  <c r="E4237" i="1"/>
  <c r="G4237" i="1"/>
  <c r="J4237" i="1"/>
  <c r="K4237" i="1"/>
  <c r="BE4237" i="1"/>
  <c r="BF4237" i="1"/>
  <c r="BG4237" i="1"/>
  <c r="E4238" i="1"/>
  <c r="G4238" i="1"/>
  <c r="J4238" i="1"/>
  <c r="K4238" i="1"/>
  <c r="BE4238" i="1"/>
  <c r="BF4238" i="1"/>
  <c r="BG4238" i="1"/>
  <c r="E4239" i="1"/>
  <c r="G4239" i="1"/>
  <c r="J4239" i="1"/>
  <c r="K4239" i="1"/>
  <c r="BE4239" i="1"/>
  <c r="BF4239" i="1"/>
  <c r="BG4239" i="1"/>
  <c r="E4240" i="1"/>
  <c r="G4240" i="1"/>
  <c r="J4240" i="1"/>
  <c r="K4240" i="1"/>
  <c r="BE4240" i="1"/>
  <c r="BF4240" i="1"/>
  <c r="BG4240" i="1"/>
  <c r="E4241" i="1"/>
  <c r="G4241" i="1"/>
  <c r="J4241" i="1"/>
  <c r="K4241" i="1"/>
  <c r="BE4241" i="1"/>
  <c r="BF4241" i="1"/>
  <c r="BG4241" i="1"/>
  <c r="E4242" i="1"/>
  <c r="G4242" i="1"/>
  <c r="J4242" i="1"/>
  <c r="K4242" i="1"/>
  <c r="BE4242" i="1"/>
  <c r="BF4242" i="1"/>
  <c r="BG4242" i="1"/>
  <c r="E4243" i="1"/>
  <c r="G4243" i="1"/>
  <c r="J4243" i="1"/>
  <c r="K4243" i="1"/>
  <c r="BE4243" i="1"/>
  <c r="BF4243" i="1"/>
  <c r="BG4243" i="1"/>
  <c r="E4244" i="1"/>
  <c r="G4244" i="1"/>
  <c r="J4244" i="1"/>
  <c r="K4244" i="1"/>
  <c r="BE4244" i="1"/>
  <c r="BF4244" i="1"/>
  <c r="BG4244" i="1"/>
  <c r="E4245" i="1"/>
  <c r="G4245" i="1"/>
  <c r="J4245" i="1"/>
  <c r="K4245" i="1"/>
  <c r="BE4245" i="1"/>
  <c r="BF4245" i="1"/>
  <c r="BG4245" i="1"/>
  <c r="E4246" i="1"/>
  <c r="G4246" i="1"/>
  <c r="J4246" i="1"/>
  <c r="K4246" i="1"/>
  <c r="BE4246" i="1"/>
  <c r="BF4246" i="1"/>
  <c r="BG4246" i="1"/>
  <c r="E4247" i="1"/>
  <c r="G4247" i="1"/>
  <c r="J4247" i="1"/>
  <c r="K4247" i="1"/>
  <c r="BE4247" i="1"/>
  <c r="BF4247" i="1"/>
  <c r="BG4247" i="1"/>
  <c r="E4248" i="1"/>
  <c r="G4248" i="1"/>
  <c r="J4248" i="1"/>
  <c r="K4248" i="1"/>
  <c r="BE4248" i="1"/>
  <c r="BF4248" i="1"/>
  <c r="BG4248" i="1"/>
  <c r="E4249" i="1"/>
  <c r="G4249" i="1"/>
  <c r="J4249" i="1"/>
  <c r="K4249" i="1"/>
  <c r="BE4249" i="1"/>
  <c r="BF4249" i="1"/>
  <c r="BG4249" i="1"/>
  <c r="E4250" i="1"/>
  <c r="G4250" i="1"/>
  <c r="J4250" i="1"/>
  <c r="K4250" i="1"/>
  <c r="BE4250" i="1"/>
  <c r="BF4250" i="1"/>
  <c r="BG4250" i="1"/>
  <c r="E4251" i="1"/>
  <c r="G4251" i="1"/>
  <c r="J4251" i="1"/>
  <c r="K4251" i="1"/>
  <c r="BE4251" i="1"/>
  <c r="BF4251" i="1"/>
  <c r="BG4251" i="1"/>
  <c r="E4252" i="1"/>
  <c r="G4252" i="1"/>
  <c r="J4252" i="1"/>
  <c r="K4252" i="1"/>
  <c r="BE4252" i="1"/>
  <c r="BF4252" i="1"/>
  <c r="BG4252" i="1"/>
  <c r="E4253" i="1"/>
  <c r="G4253" i="1"/>
  <c r="J4253" i="1"/>
  <c r="K4253" i="1"/>
  <c r="BE4253" i="1"/>
  <c r="BF4253" i="1"/>
  <c r="BG4253" i="1"/>
  <c r="E4254" i="1"/>
  <c r="G4254" i="1"/>
  <c r="J4254" i="1"/>
  <c r="K4254" i="1"/>
  <c r="BE4254" i="1"/>
  <c r="BF4254" i="1"/>
  <c r="BG4254" i="1"/>
</calcChain>
</file>

<file path=xl/sharedStrings.xml><?xml version="1.0" encoding="utf-8"?>
<sst xmlns="http://schemas.openxmlformats.org/spreadsheetml/2006/main" count="6955" uniqueCount="61">
  <si>
    <t>판매처</t>
  </si>
  <si>
    <t>기준일</t>
  </si>
  <si>
    <t>시리즈 ID</t>
  </si>
  <si>
    <t>도서 ID</t>
  </si>
  <si>
    <t>제목</t>
  </si>
  <si>
    <t>권/화수</t>
  </si>
  <si>
    <t>저자</t>
  </si>
  <si>
    <t>역자</t>
  </si>
  <si>
    <t>그림</t>
  </si>
  <si>
    <t>출판사</t>
  </si>
  <si>
    <t>시리즈명</t>
  </si>
  <si>
    <t>전자책정가</t>
  </si>
  <si>
    <t>단권판매액</t>
  </si>
  <si>
    <t>단권판매권</t>
  </si>
  <si>
    <t>단권무료권</t>
  </si>
  <si>
    <t>대여액</t>
  </si>
  <si>
    <t>대여유료권( ~ 2020-04 대여권)</t>
  </si>
  <si>
    <t>대여무료권</t>
  </si>
  <si>
    <t>자유다운금액</t>
  </si>
  <si>
    <t>자유다운권</t>
  </si>
  <si>
    <t>세트판매액</t>
  </si>
  <si>
    <t>세트판매권</t>
  </si>
  <si>
    <t>세트대여액</t>
  </si>
  <si>
    <t>세트대여권</t>
  </si>
  <si>
    <t>취소단권판매액</t>
  </si>
  <si>
    <t>취소단권판매권</t>
  </si>
  <si>
    <t>취소대여액</t>
  </si>
  <si>
    <t>취소대여권</t>
  </si>
  <si>
    <t>취소자유다운액</t>
  </si>
  <si>
    <t>취소자유다운권</t>
  </si>
  <si>
    <t>취소세트판매액</t>
  </si>
  <si>
    <t>취소세트판매권</t>
  </si>
  <si>
    <t>취소세트대여액</t>
  </si>
  <si>
    <t>취소세트대여권</t>
  </si>
  <si>
    <t>판매액</t>
  </si>
  <si>
    <t>판매권</t>
  </si>
  <si>
    <t>취소액</t>
  </si>
  <si>
    <t>취소권</t>
  </si>
  <si>
    <t>일반 판매액</t>
  </si>
  <si>
    <t>일반 취소액</t>
  </si>
  <si>
    <t>앱마켓 정산대상액</t>
  </si>
  <si>
    <t>앱마켓 수수료</t>
  </si>
  <si>
    <t>앱마켓 취소액</t>
  </si>
  <si>
    <t>iOS 정산대상액</t>
  </si>
  <si>
    <t>iOS 수수료</t>
  </si>
  <si>
    <t>iOS 취소액</t>
  </si>
  <si>
    <t>Android 정산대상액</t>
  </si>
  <si>
    <t>Android 수수료</t>
  </si>
  <si>
    <t>Android 취소액</t>
  </si>
  <si>
    <t>OneStore 정산대상액</t>
  </si>
  <si>
    <t>OneStore 수수료</t>
  </si>
  <si>
    <t>OneStore 취소액</t>
  </si>
  <si>
    <t>정산액</t>
  </si>
  <si>
    <t>종이책ISBN10</t>
  </si>
  <si>
    <t>종이책ISBN13</t>
  </si>
  <si>
    <t>전자책ISBN10</t>
  </si>
  <si>
    <t>전자책ISBN13</t>
  </si>
  <si>
    <t>CP 관리 ID</t>
  </si>
  <si>
    <t>카테고리1</t>
  </si>
  <si>
    <t>카테고리2</t>
  </si>
  <si>
    <t>전체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</si>
</sst>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D47D9-31F5-BD40-9A45-C2739BAE6265}">
  <dimension ref="A1:BH6896"/>
  <sheetViews>
    <sheetView tabSelected="1" topLeftCell="A6839" workbookViewId="0">
      <selection activeCell="K6844" sqref="K6844"/>
    </sheetView>
  </sheetViews>
  <sheetFormatPr baseColWidth="10" defaultRowHeight="18"/>
  <sheetData>
    <row r="1" spans="1:6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</row>
    <row r="2" spans="1:60">
      <c r="A2" t="s">
        <v>60</v>
      </c>
      <c r="B2" s="1">
        <v>46131</v>
      </c>
      <c r="C2">
        <v>2378045061</v>
      </c>
      <c r="D2">
        <v>2378045061</v>
      </c>
      <c r="E2" t="str">
        <f>T("추락한 신의 레벨업 1화")</f>
        <v>추락한 신의 레벨업 1화</v>
      </c>
      <c r="F2">
        <v>1</v>
      </c>
      <c r="G2" t="str">
        <f>T("라포르테")</f>
        <v>라포르테</v>
      </c>
      <c r="J2" t="str">
        <f>T("매드햇")</f>
        <v>매드햇</v>
      </c>
      <c r="K2" t="str">
        <f>T("[연재] 추락한 신의 레벨업")</f>
        <v>[연재] 추락한 신의 레벨업</v>
      </c>
      <c r="L2">
        <v>0</v>
      </c>
      <c r="M2">
        <v>0</v>
      </c>
      <c r="N2">
        <v>0</v>
      </c>
      <c r="O2">
        <v>1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1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S2">
        <v>0</v>
      </c>
      <c r="AT2">
        <v>0</v>
      </c>
      <c r="AV2">
        <v>0</v>
      </c>
      <c r="AW2">
        <v>0</v>
      </c>
      <c r="AY2">
        <v>0</v>
      </c>
      <c r="AZ2">
        <v>0</v>
      </c>
      <c r="BA2">
        <v>0</v>
      </c>
      <c r="BE2" t="str">
        <f>T("9791137004726")</f>
        <v>9791137004726</v>
      </c>
      <c r="BF2" t="str">
        <f>T("E847281")</f>
        <v>E847281</v>
      </c>
      <c r="BG2" t="str">
        <f>T("판타지 웹소설 &gt; 퓨전 판타지")</f>
        <v>판타지 웹소설 &gt; 퓨전 판타지</v>
      </c>
    </row>
    <row r="3" spans="1:60">
      <c r="A3" t="s">
        <v>60</v>
      </c>
      <c r="B3" s="1">
        <v>46130</v>
      </c>
      <c r="C3">
        <v>2378011514</v>
      </c>
      <c r="D3">
        <v>2378011514</v>
      </c>
      <c r="E3" t="str">
        <f>T("[e북]감히 바라다 1권")</f>
        <v>[e북]감히 바라다 1권</v>
      </c>
      <c r="F3">
        <v>1</v>
      </c>
      <c r="G3" t="str">
        <f>T("김달달")</f>
        <v>김달달</v>
      </c>
      <c r="J3" t="str">
        <f>T("시계토끼")</f>
        <v>시계토끼</v>
      </c>
      <c r="K3" t="str">
        <f>T("[e북]감히 바라다")</f>
        <v>[e북]감히 바라다</v>
      </c>
      <c r="L3">
        <v>3000</v>
      </c>
      <c r="M3">
        <v>3000</v>
      </c>
      <c r="N3">
        <v>1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3000</v>
      </c>
      <c r="AJ3">
        <v>1</v>
      </c>
      <c r="AK3">
        <v>0</v>
      </c>
      <c r="AL3">
        <v>0</v>
      </c>
      <c r="AM3">
        <v>3000</v>
      </c>
      <c r="AN3">
        <v>0</v>
      </c>
      <c r="AO3">
        <v>0</v>
      </c>
      <c r="AP3">
        <v>0</v>
      </c>
      <c r="AQ3">
        <v>0</v>
      </c>
      <c r="AS3">
        <v>0</v>
      </c>
      <c r="AT3">
        <v>0</v>
      </c>
      <c r="AV3">
        <v>0</v>
      </c>
      <c r="AW3">
        <v>0</v>
      </c>
      <c r="AY3">
        <v>0</v>
      </c>
      <c r="AZ3">
        <v>0</v>
      </c>
      <c r="BA3">
        <v>2100</v>
      </c>
      <c r="BC3" t="str">
        <f>T("0000000000000")</f>
        <v>0000000000000</v>
      </c>
      <c r="BE3" t="str">
        <f>T("9791164092321")</f>
        <v>9791164092321</v>
      </c>
      <c r="BF3" t="str">
        <f>T("E635838")</f>
        <v>E635838</v>
      </c>
      <c r="BG3" t="str">
        <f>T("로판 e북 &gt; 서양풍 로판")</f>
        <v>로판 e북 &gt; 서양풍 로판</v>
      </c>
    </row>
    <row r="4" spans="1:60">
      <c r="A4" t="s">
        <v>60</v>
      </c>
      <c r="B4" s="1">
        <v>46130</v>
      </c>
      <c r="C4">
        <v>2378011514</v>
      </c>
      <c r="D4">
        <v>2378011545</v>
      </c>
      <c r="E4" t="str">
        <f>T("[e북]감히 바라다 2권")</f>
        <v>[e북]감히 바라다 2권</v>
      </c>
      <c r="F4">
        <v>2</v>
      </c>
      <c r="G4" t="str">
        <f>T("김달달")</f>
        <v>김달달</v>
      </c>
      <c r="J4" t="str">
        <f>T("시계토끼")</f>
        <v>시계토끼</v>
      </c>
      <c r="K4" t="str">
        <f>T("[e북]감히 바라다")</f>
        <v>[e북]감히 바라다</v>
      </c>
      <c r="L4">
        <v>3000</v>
      </c>
      <c r="M4">
        <v>3000</v>
      </c>
      <c r="N4">
        <v>1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3000</v>
      </c>
      <c r="AJ4">
        <v>1</v>
      </c>
      <c r="AK4">
        <v>0</v>
      </c>
      <c r="AL4">
        <v>0</v>
      </c>
      <c r="AM4">
        <v>3000</v>
      </c>
      <c r="AN4">
        <v>0</v>
      </c>
      <c r="AO4">
        <v>0</v>
      </c>
      <c r="AP4">
        <v>0</v>
      </c>
      <c r="AQ4">
        <v>0</v>
      </c>
      <c r="AS4">
        <v>0</v>
      </c>
      <c r="AT4">
        <v>0</v>
      </c>
      <c r="AV4">
        <v>0</v>
      </c>
      <c r="AW4">
        <v>0</v>
      </c>
      <c r="AY4">
        <v>0</v>
      </c>
      <c r="AZ4">
        <v>0</v>
      </c>
      <c r="BA4">
        <v>2100</v>
      </c>
      <c r="BC4" t="str">
        <f>T("0000000000000")</f>
        <v>0000000000000</v>
      </c>
      <c r="BE4" t="str">
        <f>T("9791164092338")</f>
        <v>9791164092338</v>
      </c>
      <c r="BF4" t="str">
        <f>T("E635839")</f>
        <v>E635839</v>
      </c>
      <c r="BG4" t="str">
        <f>T("로판 e북 &gt; 서양풍 로판")</f>
        <v>로판 e북 &gt; 서양풍 로판</v>
      </c>
    </row>
    <row r="5" spans="1:60">
      <c r="A5" t="s">
        <v>60</v>
      </c>
      <c r="B5" s="1">
        <v>46130</v>
      </c>
      <c r="C5">
        <v>2378011514</v>
      </c>
      <c r="D5">
        <v>2378011546</v>
      </c>
      <c r="E5" t="str">
        <f>T("[e북]감히 바라다 3권 (완결)")</f>
        <v>[e북]감히 바라다 3권 (완결)</v>
      </c>
      <c r="F5">
        <v>3</v>
      </c>
      <c r="G5" t="str">
        <f>T("김달달")</f>
        <v>김달달</v>
      </c>
      <c r="J5" t="str">
        <f>T("시계토끼")</f>
        <v>시계토끼</v>
      </c>
      <c r="K5" t="str">
        <f>T("[e북]감히 바라다")</f>
        <v>[e북]감히 바라다</v>
      </c>
      <c r="L5">
        <v>3500</v>
      </c>
      <c r="M5">
        <v>3500</v>
      </c>
      <c r="N5">
        <v>1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3500</v>
      </c>
      <c r="AJ5">
        <v>1</v>
      </c>
      <c r="AK5">
        <v>0</v>
      </c>
      <c r="AL5">
        <v>0</v>
      </c>
      <c r="AM5">
        <v>3500</v>
      </c>
      <c r="AN5">
        <v>0</v>
      </c>
      <c r="AO5">
        <v>0</v>
      </c>
      <c r="AP5">
        <v>0</v>
      </c>
      <c r="AQ5">
        <v>0</v>
      </c>
      <c r="AS5">
        <v>0</v>
      </c>
      <c r="AT5">
        <v>0</v>
      </c>
      <c r="AV5">
        <v>0</v>
      </c>
      <c r="AW5">
        <v>0</v>
      </c>
      <c r="AY5">
        <v>0</v>
      </c>
      <c r="AZ5">
        <v>0</v>
      </c>
      <c r="BA5">
        <v>2450</v>
      </c>
      <c r="BC5" t="str">
        <f>T("0000000000000")</f>
        <v>0000000000000</v>
      </c>
      <c r="BE5" t="str">
        <f>T("9791164092345")</f>
        <v>9791164092345</v>
      </c>
      <c r="BF5" t="str">
        <f>T("E635840")</f>
        <v>E635840</v>
      </c>
      <c r="BG5" t="str">
        <f>T("로판 e북 &gt; 서양풍 로판")</f>
        <v>로판 e북 &gt; 서양풍 로판</v>
      </c>
    </row>
    <row r="6" spans="1:60">
      <c r="A6" t="s">
        <v>60</v>
      </c>
      <c r="B6" s="1">
        <v>46130</v>
      </c>
      <c r="C6">
        <v>2378019411</v>
      </c>
      <c r="D6">
        <v>2378019411</v>
      </c>
      <c r="E6" t="str">
        <f>T("[e북]강탈의 군주 1권")</f>
        <v>[e북]강탈의 군주 1권</v>
      </c>
      <c r="F6">
        <v>1</v>
      </c>
      <c r="G6" t="str">
        <f>T("흰백작")</f>
        <v>흰백작</v>
      </c>
      <c r="J6" t="str">
        <f>T("팀오쉬")</f>
        <v>팀오쉬</v>
      </c>
      <c r="K6" t="str">
        <f>T("[e북]강탈의 군주")</f>
        <v>[e북]강탈의 군주</v>
      </c>
      <c r="L6">
        <v>0</v>
      </c>
      <c r="M6">
        <v>0</v>
      </c>
      <c r="N6">
        <v>0</v>
      </c>
      <c r="O6">
        <v>1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1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S6">
        <v>0</v>
      </c>
      <c r="AT6">
        <v>0</v>
      </c>
      <c r="AV6">
        <v>0</v>
      </c>
      <c r="AW6">
        <v>0</v>
      </c>
      <c r="AY6">
        <v>0</v>
      </c>
      <c r="AZ6">
        <v>0</v>
      </c>
      <c r="BA6">
        <v>0</v>
      </c>
      <c r="BE6" t="str">
        <f>T("9791191287158")</f>
        <v>9791191287158</v>
      </c>
      <c r="BG6" t="str">
        <f>T("판타지 e북 &gt; 퓨전 판타지")</f>
        <v>판타지 e북 &gt; 퓨전 판타지</v>
      </c>
    </row>
    <row r="7" spans="1:60">
      <c r="A7" t="s">
        <v>60</v>
      </c>
      <c r="B7" s="1">
        <v>46131</v>
      </c>
      <c r="C7">
        <v>2378015326</v>
      </c>
      <c r="D7">
        <v>2378015326</v>
      </c>
      <c r="E7" t="str">
        <f>T("[e북]강호파괴록 1권")</f>
        <v>[e북]강호파괴록 1권</v>
      </c>
      <c r="F7">
        <v>1</v>
      </c>
      <c r="G7" t="str">
        <f>T("설봉")</f>
        <v>설봉</v>
      </c>
      <c r="J7" t="str">
        <f>T("매드햇")</f>
        <v>매드햇</v>
      </c>
      <c r="K7" t="str">
        <f>T("[e북]강호파괴록")</f>
        <v>[e북]강호파괴록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1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1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S7">
        <v>0</v>
      </c>
      <c r="AT7">
        <v>0</v>
      </c>
      <c r="AV7">
        <v>0</v>
      </c>
      <c r="AW7">
        <v>0</v>
      </c>
      <c r="AY7">
        <v>0</v>
      </c>
      <c r="AZ7">
        <v>0</v>
      </c>
      <c r="BA7">
        <v>0</v>
      </c>
      <c r="BE7" t="str">
        <f>T("9791162581919")</f>
        <v>9791162581919</v>
      </c>
      <c r="BF7" t="str">
        <f>T("E309167")</f>
        <v>E309167</v>
      </c>
      <c r="BG7" t="str">
        <f>T("판타지 e북 &gt; 전통 무협")</f>
        <v>판타지 e북 &gt; 전통 무협</v>
      </c>
    </row>
    <row r="8" spans="1:60">
      <c r="A8" t="s">
        <v>60</v>
      </c>
      <c r="B8" s="1">
        <v>46129</v>
      </c>
      <c r="C8">
        <v>2378015991</v>
      </c>
      <c r="D8">
        <v>2378015991</v>
      </c>
      <c r="E8" t="str">
        <f>T("[e북]개를 너무 잘 길들이면 1권")</f>
        <v>[e북]개를 너무 잘 길들이면 1권</v>
      </c>
      <c r="F8">
        <v>1</v>
      </c>
      <c r="G8" t="str">
        <f>T("호무룩")</f>
        <v>호무룩</v>
      </c>
      <c r="J8" t="str">
        <f>T("시계토끼")</f>
        <v>시계토끼</v>
      </c>
      <c r="K8" t="str">
        <f>T("[e북]개를 너무 잘 길들이면")</f>
        <v>[e북]개를 너무 잘 길들이면</v>
      </c>
      <c r="L8">
        <v>3000</v>
      </c>
      <c r="M8">
        <v>6000</v>
      </c>
      <c r="N8">
        <v>2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6000</v>
      </c>
      <c r="AJ8">
        <v>2</v>
      </c>
      <c r="AK8">
        <v>0</v>
      </c>
      <c r="AL8">
        <v>0</v>
      </c>
      <c r="AM8">
        <v>3000</v>
      </c>
      <c r="AN8">
        <v>0</v>
      </c>
      <c r="AO8">
        <v>3600</v>
      </c>
      <c r="AP8">
        <v>-360</v>
      </c>
      <c r="AQ8">
        <v>0</v>
      </c>
      <c r="AS8">
        <v>0</v>
      </c>
      <c r="AT8">
        <v>0</v>
      </c>
      <c r="AU8">
        <v>3600</v>
      </c>
      <c r="AV8">
        <v>-360</v>
      </c>
      <c r="AW8">
        <v>0</v>
      </c>
      <c r="AY8">
        <v>0</v>
      </c>
      <c r="AZ8">
        <v>0</v>
      </c>
      <c r="BA8">
        <v>4368</v>
      </c>
      <c r="BE8" t="str">
        <f>T("9791164094127")</f>
        <v>9791164094127</v>
      </c>
      <c r="BF8" t="str">
        <f>T("E766859")</f>
        <v>E766859</v>
      </c>
      <c r="BG8" t="str">
        <f>T("로판 e북 &gt; 서양풍 로판")</f>
        <v>로판 e북 &gt; 서양풍 로판</v>
      </c>
    </row>
    <row r="9" spans="1:60">
      <c r="A9" t="s">
        <v>60</v>
      </c>
      <c r="B9" s="1">
        <v>46129</v>
      </c>
      <c r="C9">
        <v>2378015991</v>
      </c>
      <c r="D9">
        <v>2378015994</v>
      </c>
      <c r="E9" t="str">
        <f>T("[e북]개를 너무 잘 길들이면 4권")</f>
        <v>[e북]개를 너무 잘 길들이면 4권</v>
      </c>
      <c r="F9">
        <v>4</v>
      </c>
      <c r="G9" t="str">
        <f>T("호무룩")</f>
        <v>호무룩</v>
      </c>
      <c r="J9" t="str">
        <f>T("시계토끼")</f>
        <v>시계토끼</v>
      </c>
      <c r="K9" t="str">
        <f>T("[e북]개를 너무 잘 길들이면")</f>
        <v>[e북]개를 너무 잘 길들이면</v>
      </c>
      <c r="L9">
        <v>3000</v>
      </c>
      <c r="M9">
        <v>3000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3000</v>
      </c>
      <c r="AJ9">
        <v>1</v>
      </c>
      <c r="AK9">
        <v>0</v>
      </c>
      <c r="AL9">
        <v>0</v>
      </c>
      <c r="AM9">
        <v>3000</v>
      </c>
      <c r="AN9">
        <v>0</v>
      </c>
      <c r="AO9">
        <v>0</v>
      </c>
      <c r="AP9">
        <v>0</v>
      </c>
      <c r="AQ9">
        <v>0</v>
      </c>
      <c r="AS9">
        <v>0</v>
      </c>
      <c r="AT9">
        <v>0</v>
      </c>
      <c r="AV9">
        <v>0</v>
      </c>
      <c r="AW9">
        <v>0</v>
      </c>
      <c r="AY9">
        <v>0</v>
      </c>
      <c r="AZ9">
        <v>0</v>
      </c>
      <c r="BA9">
        <v>2100</v>
      </c>
      <c r="BE9" t="str">
        <f>T("9791164094158")</f>
        <v>9791164094158</v>
      </c>
      <c r="BF9" t="str">
        <f>T("E766862")</f>
        <v>E766862</v>
      </c>
      <c r="BG9" t="str">
        <f>T("로판 e북 &gt; 서양풍 로판")</f>
        <v>로판 e북 &gt; 서양풍 로판</v>
      </c>
    </row>
    <row r="10" spans="1:60">
      <c r="A10" t="s">
        <v>60</v>
      </c>
      <c r="B10" s="1">
        <v>46130</v>
      </c>
      <c r="C10">
        <v>2378015991</v>
      </c>
      <c r="D10">
        <v>2378015991</v>
      </c>
      <c r="E10" t="str">
        <f>T("[e북]개를 너무 잘 길들이면 1권")</f>
        <v>[e북]개를 너무 잘 길들이면 1권</v>
      </c>
      <c r="F10">
        <v>1</v>
      </c>
      <c r="G10" t="str">
        <f>T("호무룩")</f>
        <v>호무룩</v>
      </c>
      <c r="J10" t="str">
        <f>T("시계토끼")</f>
        <v>시계토끼</v>
      </c>
      <c r="K10" t="str">
        <f>T("[e북]개를 너무 잘 길들이면")</f>
        <v>[e북]개를 너무 잘 길들이면</v>
      </c>
      <c r="L10">
        <v>3000</v>
      </c>
      <c r="M10">
        <v>6000</v>
      </c>
      <c r="N10">
        <v>2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6000</v>
      </c>
      <c r="AJ10">
        <v>2</v>
      </c>
      <c r="AK10">
        <v>0</v>
      </c>
      <c r="AL10">
        <v>0</v>
      </c>
      <c r="AM10">
        <v>3000</v>
      </c>
      <c r="AN10">
        <v>0</v>
      </c>
      <c r="AO10">
        <v>3600</v>
      </c>
      <c r="AP10">
        <v>-1080</v>
      </c>
      <c r="AQ10">
        <v>0</v>
      </c>
      <c r="AR10">
        <v>3600</v>
      </c>
      <c r="AS10">
        <v>-1080</v>
      </c>
      <c r="AT10">
        <v>0</v>
      </c>
      <c r="AV10">
        <v>0</v>
      </c>
      <c r="AW10">
        <v>0</v>
      </c>
      <c r="AY10">
        <v>0</v>
      </c>
      <c r="AZ10">
        <v>0</v>
      </c>
      <c r="BA10">
        <v>3864</v>
      </c>
      <c r="BE10" t="str">
        <f>T("9791164094127")</f>
        <v>9791164094127</v>
      </c>
      <c r="BF10" t="str">
        <f>T("E766859")</f>
        <v>E766859</v>
      </c>
      <c r="BG10" t="str">
        <f>T("로판 e북 &gt; 서양풍 로판")</f>
        <v>로판 e북 &gt; 서양풍 로판</v>
      </c>
    </row>
    <row r="11" spans="1:60">
      <c r="A11" t="s">
        <v>60</v>
      </c>
      <c r="B11" s="1">
        <v>46130</v>
      </c>
      <c r="C11">
        <v>2378015991</v>
      </c>
      <c r="D11">
        <v>2378015992</v>
      </c>
      <c r="E11" t="str">
        <f>T("[e북]개를 너무 잘 길들이면 2권")</f>
        <v>[e북]개를 너무 잘 길들이면 2권</v>
      </c>
      <c r="F11">
        <v>2</v>
      </c>
      <c r="G11" t="str">
        <f>T("호무룩")</f>
        <v>호무룩</v>
      </c>
      <c r="J11" t="str">
        <f>T("시계토끼")</f>
        <v>시계토끼</v>
      </c>
      <c r="K11" t="str">
        <f>T("[e북]개를 너무 잘 길들이면")</f>
        <v>[e북]개를 너무 잘 길들이면</v>
      </c>
      <c r="L11">
        <v>3000</v>
      </c>
      <c r="M11">
        <v>6000</v>
      </c>
      <c r="N11">
        <v>2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6000</v>
      </c>
      <c r="AJ11">
        <v>2</v>
      </c>
      <c r="AK11">
        <v>0</v>
      </c>
      <c r="AL11">
        <v>0</v>
      </c>
      <c r="AM11">
        <v>3000</v>
      </c>
      <c r="AN11">
        <v>0</v>
      </c>
      <c r="AO11">
        <v>3600</v>
      </c>
      <c r="AP11">
        <v>-1080</v>
      </c>
      <c r="AQ11">
        <v>0</v>
      </c>
      <c r="AR11">
        <v>3600</v>
      </c>
      <c r="AS11">
        <v>-1080</v>
      </c>
      <c r="AT11">
        <v>0</v>
      </c>
      <c r="AV11">
        <v>0</v>
      </c>
      <c r="AW11">
        <v>0</v>
      </c>
      <c r="AY11">
        <v>0</v>
      </c>
      <c r="AZ11">
        <v>0</v>
      </c>
      <c r="BA11">
        <v>3864</v>
      </c>
      <c r="BE11" t="str">
        <f>T("9791164094134")</f>
        <v>9791164094134</v>
      </c>
      <c r="BF11" t="str">
        <f>T("E766860")</f>
        <v>E766860</v>
      </c>
      <c r="BG11" t="str">
        <f>T("로판 e북 &gt; 서양풍 로판")</f>
        <v>로판 e북 &gt; 서양풍 로판</v>
      </c>
    </row>
    <row r="12" spans="1:60">
      <c r="A12" t="s">
        <v>60</v>
      </c>
      <c r="B12" s="1">
        <v>46130</v>
      </c>
      <c r="C12">
        <v>2378015991</v>
      </c>
      <c r="D12">
        <v>2378015993</v>
      </c>
      <c r="E12" t="str">
        <f>T("[e북]개를 너무 잘 길들이면 3권")</f>
        <v>[e북]개를 너무 잘 길들이면 3권</v>
      </c>
      <c r="F12">
        <v>3</v>
      </c>
      <c r="G12" t="str">
        <f>T("호무룩")</f>
        <v>호무룩</v>
      </c>
      <c r="J12" t="str">
        <f>T("시계토끼")</f>
        <v>시계토끼</v>
      </c>
      <c r="K12" t="str">
        <f>T("[e북]개를 너무 잘 길들이면")</f>
        <v>[e북]개를 너무 잘 길들이면</v>
      </c>
      <c r="L12">
        <v>3000</v>
      </c>
      <c r="M12">
        <v>3000</v>
      </c>
      <c r="N12">
        <v>1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3000</v>
      </c>
      <c r="AJ12">
        <v>1</v>
      </c>
      <c r="AK12">
        <v>0</v>
      </c>
      <c r="AL12">
        <v>0</v>
      </c>
      <c r="AM12">
        <v>3000</v>
      </c>
      <c r="AN12">
        <v>0</v>
      </c>
      <c r="AO12">
        <v>0</v>
      </c>
      <c r="AP12">
        <v>0</v>
      </c>
      <c r="AQ12">
        <v>0</v>
      </c>
      <c r="AS12">
        <v>0</v>
      </c>
      <c r="AT12">
        <v>0</v>
      </c>
      <c r="AV12">
        <v>0</v>
      </c>
      <c r="AW12">
        <v>0</v>
      </c>
      <c r="AY12">
        <v>0</v>
      </c>
      <c r="AZ12">
        <v>0</v>
      </c>
      <c r="BA12">
        <v>2100</v>
      </c>
      <c r="BE12" t="str">
        <f>T("9791164094141")</f>
        <v>9791164094141</v>
      </c>
      <c r="BF12" t="str">
        <f>T("E766861")</f>
        <v>E766861</v>
      </c>
      <c r="BG12" t="str">
        <f>T("로판 e북 &gt; 서양풍 로판")</f>
        <v>로판 e북 &gt; 서양풍 로판</v>
      </c>
    </row>
    <row r="13" spans="1:60">
      <c r="A13" t="s">
        <v>60</v>
      </c>
      <c r="B13" s="1">
        <v>46131</v>
      </c>
      <c r="C13">
        <v>2378015991</v>
      </c>
      <c r="D13">
        <v>2378015993</v>
      </c>
      <c r="E13" t="str">
        <f>T("[e북]개를 너무 잘 길들이면 3권")</f>
        <v>[e북]개를 너무 잘 길들이면 3권</v>
      </c>
      <c r="F13">
        <v>3</v>
      </c>
      <c r="G13" t="str">
        <f>T("호무룩")</f>
        <v>호무룩</v>
      </c>
      <c r="J13" t="str">
        <f>T("시계토끼")</f>
        <v>시계토끼</v>
      </c>
      <c r="K13" t="str">
        <f>T("[e북]개를 너무 잘 길들이면")</f>
        <v>[e북]개를 너무 잘 길들이면</v>
      </c>
      <c r="L13">
        <v>3000</v>
      </c>
      <c r="M13">
        <v>3000</v>
      </c>
      <c r="N13">
        <v>1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3000</v>
      </c>
      <c r="AJ13">
        <v>1</v>
      </c>
      <c r="AK13">
        <v>0</v>
      </c>
      <c r="AL13">
        <v>0</v>
      </c>
      <c r="AM13">
        <v>0</v>
      </c>
      <c r="AN13">
        <v>0</v>
      </c>
      <c r="AO13">
        <v>3600</v>
      </c>
      <c r="AP13">
        <v>-1080</v>
      </c>
      <c r="AQ13">
        <v>0</v>
      </c>
      <c r="AR13">
        <v>3600</v>
      </c>
      <c r="AS13">
        <v>-1080</v>
      </c>
      <c r="AT13">
        <v>0</v>
      </c>
      <c r="AV13">
        <v>0</v>
      </c>
      <c r="AW13">
        <v>0</v>
      </c>
      <c r="AY13">
        <v>0</v>
      </c>
      <c r="AZ13">
        <v>0</v>
      </c>
      <c r="BA13">
        <v>1764</v>
      </c>
      <c r="BE13" t="str">
        <f>T("9791164094141")</f>
        <v>9791164094141</v>
      </c>
      <c r="BF13" t="str">
        <f>T("E766861")</f>
        <v>E766861</v>
      </c>
      <c r="BG13" t="str">
        <f>T("로판 e북 &gt; 서양풍 로판")</f>
        <v>로판 e북 &gt; 서양풍 로판</v>
      </c>
    </row>
    <row r="14" spans="1:60">
      <c r="A14" t="s">
        <v>60</v>
      </c>
      <c r="B14" s="1">
        <v>46131</v>
      </c>
      <c r="C14">
        <v>2378015991</v>
      </c>
      <c r="D14">
        <v>2378015991</v>
      </c>
      <c r="E14" t="str">
        <f>T("[e북]개를 너무 잘 길들이면 1권")</f>
        <v>[e북]개를 너무 잘 길들이면 1권</v>
      </c>
      <c r="F14">
        <v>1</v>
      </c>
      <c r="G14" t="str">
        <f>T("호무룩")</f>
        <v>호무룩</v>
      </c>
      <c r="J14" t="str">
        <f>T("시계토끼")</f>
        <v>시계토끼</v>
      </c>
      <c r="K14" t="str">
        <f>T("[e북]개를 너무 잘 길들이면")</f>
        <v>[e북]개를 너무 잘 길들이면</v>
      </c>
      <c r="L14">
        <v>3000</v>
      </c>
      <c r="M14">
        <v>3000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3000</v>
      </c>
      <c r="AJ14">
        <v>1</v>
      </c>
      <c r="AK14">
        <v>0</v>
      </c>
      <c r="AL14">
        <v>0</v>
      </c>
      <c r="AM14">
        <v>3000</v>
      </c>
      <c r="AN14">
        <v>0</v>
      </c>
      <c r="AO14">
        <v>0</v>
      </c>
      <c r="AP14">
        <v>0</v>
      </c>
      <c r="AQ14">
        <v>0</v>
      </c>
      <c r="AS14">
        <v>0</v>
      </c>
      <c r="AT14">
        <v>0</v>
      </c>
      <c r="AV14">
        <v>0</v>
      </c>
      <c r="AW14">
        <v>0</v>
      </c>
      <c r="AY14">
        <v>0</v>
      </c>
      <c r="AZ14">
        <v>0</v>
      </c>
      <c r="BA14">
        <v>2100</v>
      </c>
      <c r="BE14" t="str">
        <f>T("9791164094127")</f>
        <v>9791164094127</v>
      </c>
      <c r="BF14" t="str">
        <f>T("E766859")</f>
        <v>E766859</v>
      </c>
      <c r="BG14" t="str">
        <f>T("로판 e북 &gt; 서양풍 로판")</f>
        <v>로판 e북 &gt; 서양풍 로판</v>
      </c>
    </row>
    <row r="15" spans="1:60">
      <c r="A15" t="s">
        <v>60</v>
      </c>
      <c r="B15" s="1">
        <v>46131</v>
      </c>
      <c r="C15">
        <v>2378015991</v>
      </c>
      <c r="D15">
        <v>2378015994</v>
      </c>
      <c r="E15" t="str">
        <f>T("[e북]개를 너무 잘 길들이면 4권")</f>
        <v>[e북]개를 너무 잘 길들이면 4권</v>
      </c>
      <c r="F15">
        <v>4</v>
      </c>
      <c r="G15" t="str">
        <f>T("호무룩")</f>
        <v>호무룩</v>
      </c>
      <c r="J15" t="str">
        <f>T("시계토끼")</f>
        <v>시계토끼</v>
      </c>
      <c r="K15" t="str">
        <f>T("[e북]개를 너무 잘 길들이면")</f>
        <v>[e북]개를 너무 잘 길들이면</v>
      </c>
      <c r="L15">
        <v>3000</v>
      </c>
      <c r="M15">
        <v>3000</v>
      </c>
      <c r="N15">
        <v>1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3000</v>
      </c>
      <c r="AJ15">
        <v>1</v>
      </c>
      <c r="AK15">
        <v>0</v>
      </c>
      <c r="AL15">
        <v>0</v>
      </c>
      <c r="AM15">
        <v>3000</v>
      </c>
      <c r="AN15">
        <v>0</v>
      </c>
      <c r="AO15">
        <v>0</v>
      </c>
      <c r="AP15">
        <v>0</v>
      </c>
      <c r="AQ15">
        <v>0</v>
      </c>
      <c r="AS15">
        <v>0</v>
      </c>
      <c r="AT15">
        <v>0</v>
      </c>
      <c r="AV15">
        <v>0</v>
      </c>
      <c r="AW15">
        <v>0</v>
      </c>
      <c r="AY15">
        <v>0</v>
      </c>
      <c r="AZ15">
        <v>0</v>
      </c>
      <c r="BA15">
        <v>2100</v>
      </c>
      <c r="BE15" t="str">
        <f>T("9791164094158")</f>
        <v>9791164094158</v>
      </c>
      <c r="BF15" t="str">
        <f>T("E766862")</f>
        <v>E766862</v>
      </c>
      <c r="BG15" t="str">
        <f>T("로판 e북 &gt; 서양풍 로판")</f>
        <v>로판 e북 &gt; 서양풍 로판</v>
      </c>
    </row>
    <row r="16" spans="1:60">
      <c r="A16" t="s">
        <v>60</v>
      </c>
      <c r="B16" s="1">
        <v>46131</v>
      </c>
      <c r="C16">
        <v>2378080361</v>
      </c>
      <c r="D16">
        <v>2378080361</v>
      </c>
      <c r="E16" t="str">
        <f>T("[e북]개정판 | 부장님 왜 이러세요 1권")</f>
        <v>[e북]개정판 | 부장님 왜 이러세요 1권</v>
      </c>
      <c r="F16">
        <v>1</v>
      </c>
      <c r="G16" t="str">
        <f>T("주황연")</f>
        <v>주황연</v>
      </c>
      <c r="J16" t="str">
        <f>T("리체북스앤미디어")</f>
        <v>리체북스앤미디어</v>
      </c>
      <c r="K16" t="str">
        <f>T("[e북]개정판 | 부장님 왜 이러세요")</f>
        <v>[e북]개정판 | 부장님 왜 이러세요</v>
      </c>
      <c r="L16">
        <v>3600</v>
      </c>
      <c r="M16">
        <v>3600</v>
      </c>
      <c r="N16">
        <v>1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3600</v>
      </c>
      <c r="AJ16">
        <v>1</v>
      </c>
      <c r="AK16">
        <v>0</v>
      </c>
      <c r="AL16">
        <v>0</v>
      </c>
      <c r="AM16">
        <v>3600</v>
      </c>
      <c r="AN16">
        <v>0</v>
      </c>
      <c r="AO16">
        <v>0</v>
      </c>
      <c r="AP16">
        <v>0</v>
      </c>
      <c r="AQ16">
        <v>0</v>
      </c>
      <c r="AS16">
        <v>0</v>
      </c>
      <c r="AT16">
        <v>0</v>
      </c>
      <c r="AV16">
        <v>0</v>
      </c>
      <c r="AW16">
        <v>0</v>
      </c>
      <c r="AY16">
        <v>0</v>
      </c>
      <c r="AZ16">
        <v>0</v>
      </c>
      <c r="BA16">
        <v>2520</v>
      </c>
      <c r="BE16" t="str">
        <f>T("9791193583364")</f>
        <v>9791193583364</v>
      </c>
      <c r="BF16" t="str">
        <f>T("D167577")</f>
        <v>D167577</v>
      </c>
      <c r="BG16" t="str">
        <f>T("로맨스 e북 &gt; 현대물")</f>
        <v>로맨스 e북 &gt; 현대물</v>
      </c>
    </row>
    <row r="17" spans="1:59">
      <c r="A17" t="s">
        <v>60</v>
      </c>
      <c r="B17" s="1">
        <v>46131</v>
      </c>
      <c r="C17">
        <v>2378080361</v>
      </c>
      <c r="D17">
        <v>2378080362</v>
      </c>
      <c r="E17" t="str">
        <f>T("[e북]개정판 | 부장님 왜 이러세요 2권")</f>
        <v>[e북]개정판 | 부장님 왜 이러세요 2권</v>
      </c>
      <c r="F17">
        <v>2</v>
      </c>
      <c r="G17" t="str">
        <f>T("주황연")</f>
        <v>주황연</v>
      </c>
      <c r="J17" t="str">
        <f>T("리체북스앤미디어")</f>
        <v>리체북스앤미디어</v>
      </c>
      <c r="K17" t="str">
        <f>T("[e북]개정판 | 부장님 왜 이러세요")</f>
        <v>[e북]개정판 | 부장님 왜 이러세요</v>
      </c>
      <c r="L17">
        <v>3600</v>
      </c>
      <c r="M17">
        <v>3600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3600</v>
      </c>
      <c r="AJ17">
        <v>1</v>
      </c>
      <c r="AK17">
        <v>0</v>
      </c>
      <c r="AL17">
        <v>0</v>
      </c>
      <c r="AM17">
        <v>3600</v>
      </c>
      <c r="AN17">
        <v>0</v>
      </c>
      <c r="AO17">
        <v>0</v>
      </c>
      <c r="AP17">
        <v>0</v>
      </c>
      <c r="AQ17">
        <v>0</v>
      </c>
      <c r="AS17">
        <v>0</v>
      </c>
      <c r="AT17">
        <v>0</v>
      </c>
      <c r="AV17">
        <v>0</v>
      </c>
      <c r="AW17">
        <v>0</v>
      </c>
      <c r="AY17">
        <v>0</v>
      </c>
      <c r="AZ17">
        <v>0</v>
      </c>
      <c r="BA17">
        <v>2520</v>
      </c>
      <c r="BE17" t="str">
        <f>T("9791193583371")</f>
        <v>9791193583371</v>
      </c>
      <c r="BF17" t="str">
        <f>T("D167578")</f>
        <v>D167578</v>
      </c>
      <c r="BG17" t="str">
        <f>T("로맨스 e북 &gt; 현대물")</f>
        <v>로맨스 e북 &gt; 현대물</v>
      </c>
    </row>
    <row r="18" spans="1:59">
      <c r="A18" t="s">
        <v>60</v>
      </c>
      <c r="B18" s="1">
        <v>46131</v>
      </c>
      <c r="C18">
        <v>2378080361</v>
      </c>
      <c r="D18">
        <v>2378080363</v>
      </c>
      <c r="E18" t="str">
        <f>T("[e북]개정판 | 부장님 왜 이러세요 3권")</f>
        <v>[e북]개정판 | 부장님 왜 이러세요 3권</v>
      </c>
      <c r="F18">
        <v>3</v>
      </c>
      <c r="G18" t="str">
        <f>T("주황연")</f>
        <v>주황연</v>
      </c>
      <c r="J18" t="str">
        <f>T("리체북스앤미디어")</f>
        <v>리체북스앤미디어</v>
      </c>
      <c r="K18" t="str">
        <f>T("[e북]개정판 | 부장님 왜 이러세요")</f>
        <v>[e북]개정판 | 부장님 왜 이러세요</v>
      </c>
      <c r="L18">
        <v>3600</v>
      </c>
      <c r="M18">
        <v>3600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3600</v>
      </c>
      <c r="AJ18">
        <v>1</v>
      </c>
      <c r="AK18">
        <v>0</v>
      </c>
      <c r="AL18">
        <v>0</v>
      </c>
      <c r="AM18">
        <v>3600</v>
      </c>
      <c r="AN18">
        <v>0</v>
      </c>
      <c r="AO18">
        <v>0</v>
      </c>
      <c r="AP18">
        <v>0</v>
      </c>
      <c r="AQ18">
        <v>0</v>
      </c>
      <c r="AS18">
        <v>0</v>
      </c>
      <c r="AT18">
        <v>0</v>
      </c>
      <c r="AV18">
        <v>0</v>
      </c>
      <c r="AW18">
        <v>0</v>
      </c>
      <c r="AY18">
        <v>0</v>
      </c>
      <c r="AZ18">
        <v>0</v>
      </c>
      <c r="BA18">
        <v>2520</v>
      </c>
      <c r="BE18" t="str">
        <f>T("9791193583388")</f>
        <v>9791193583388</v>
      </c>
      <c r="BF18" t="str">
        <f>T("D167579")</f>
        <v>D167579</v>
      </c>
      <c r="BG18" t="str">
        <f>T("로맨스 e북 &gt; 현대물")</f>
        <v>로맨스 e북 &gt; 현대물</v>
      </c>
    </row>
    <row r="19" spans="1:59">
      <c r="A19" t="s">
        <v>60</v>
      </c>
      <c r="B19" s="1">
        <v>46131</v>
      </c>
      <c r="C19">
        <v>2378080361</v>
      </c>
      <c r="D19">
        <v>2378080364</v>
      </c>
      <c r="E19" t="str">
        <f>T("[e북]개정판 | 부장님 왜 이러세요 4권 (외전 포함) (완결)")</f>
        <v>[e북]개정판 | 부장님 왜 이러세요 4권 (외전 포함) (완결)</v>
      </c>
      <c r="F19">
        <v>4</v>
      </c>
      <c r="G19" t="str">
        <f>T("주황연")</f>
        <v>주황연</v>
      </c>
      <c r="J19" t="str">
        <f>T("리체북스앤미디어")</f>
        <v>리체북스앤미디어</v>
      </c>
      <c r="K19" t="str">
        <f>T("[e북]개정판 | 부장님 왜 이러세요")</f>
        <v>[e북]개정판 | 부장님 왜 이러세요</v>
      </c>
      <c r="L19">
        <v>3600</v>
      </c>
      <c r="M19">
        <v>3600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3600</v>
      </c>
      <c r="AJ19">
        <v>1</v>
      </c>
      <c r="AK19">
        <v>0</v>
      </c>
      <c r="AL19">
        <v>0</v>
      </c>
      <c r="AM19">
        <v>3600</v>
      </c>
      <c r="AN19">
        <v>0</v>
      </c>
      <c r="AO19">
        <v>0</v>
      </c>
      <c r="AP19">
        <v>0</v>
      </c>
      <c r="AQ19">
        <v>0</v>
      </c>
      <c r="AS19">
        <v>0</v>
      </c>
      <c r="AT19">
        <v>0</v>
      </c>
      <c r="AV19">
        <v>0</v>
      </c>
      <c r="AW19">
        <v>0</v>
      </c>
      <c r="AY19">
        <v>0</v>
      </c>
      <c r="AZ19">
        <v>0</v>
      </c>
      <c r="BA19">
        <v>2520</v>
      </c>
      <c r="BE19" t="str">
        <f>T("9791193583395")</f>
        <v>9791193583395</v>
      </c>
      <c r="BF19" t="str">
        <f>T("D167580")</f>
        <v>D167580</v>
      </c>
      <c r="BG19" t="str">
        <f>T("로맨스 e북 &gt; 현대물")</f>
        <v>로맨스 e북 &gt; 현대물</v>
      </c>
    </row>
    <row r="20" spans="1:59">
      <c r="A20" t="s">
        <v>60</v>
      </c>
      <c r="B20" s="1">
        <v>46131</v>
      </c>
      <c r="C20">
        <v>2378058527</v>
      </c>
      <c r="D20">
        <v>2378058527</v>
      </c>
      <c r="E20" t="str">
        <f>T("[e북]개정판 | 빌어 봐, 하고 싶다고. 1권")</f>
        <v>[e북]개정판 | 빌어 봐, 하고 싶다고. 1권</v>
      </c>
      <c r="F20">
        <v>1</v>
      </c>
      <c r="G20" t="str">
        <f>T("윤손")</f>
        <v>윤손</v>
      </c>
      <c r="J20" t="str">
        <f>T("썸데이")</f>
        <v>썸데이</v>
      </c>
      <c r="K20" t="str">
        <f>T("[e북]개정판 | 빌어 봐, 하고 싶다고.")</f>
        <v>[e북]개정판 | 빌어 봐, 하고 싶다고.</v>
      </c>
      <c r="L20">
        <v>3300</v>
      </c>
      <c r="M20">
        <v>3300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3300</v>
      </c>
      <c r="AJ20">
        <v>1</v>
      </c>
      <c r="AK20">
        <v>0</v>
      </c>
      <c r="AL20">
        <v>0</v>
      </c>
      <c r="AM20">
        <v>3300</v>
      </c>
      <c r="AN20">
        <v>0</v>
      </c>
      <c r="AO20">
        <v>0</v>
      </c>
      <c r="AP20">
        <v>0</v>
      </c>
      <c r="AQ20">
        <v>0</v>
      </c>
      <c r="AS20">
        <v>0</v>
      </c>
      <c r="AT20">
        <v>0</v>
      </c>
      <c r="AV20">
        <v>0</v>
      </c>
      <c r="AW20">
        <v>0</v>
      </c>
      <c r="AY20">
        <v>0</v>
      </c>
      <c r="AZ20">
        <v>0</v>
      </c>
      <c r="BA20">
        <v>2310</v>
      </c>
      <c r="BE20" t="str">
        <f>T("9791192166599")</f>
        <v>9791192166599</v>
      </c>
      <c r="BF20" t="str">
        <f>T("k017623")</f>
        <v>k017623</v>
      </c>
      <c r="BG20" t="str">
        <f>T("로맨스 e북 &gt; 현대물")</f>
        <v>로맨스 e북 &gt; 현대물</v>
      </c>
    </row>
    <row r="21" spans="1:59">
      <c r="A21" t="s">
        <v>60</v>
      </c>
      <c r="B21" s="1">
        <v>46130</v>
      </c>
      <c r="C21">
        <v>2378062778</v>
      </c>
      <c r="D21">
        <v>2378062778</v>
      </c>
      <c r="E21" t="str">
        <f>T("[e북]개정판 | 잘 보이는 무림티비! 1권")</f>
        <v>[e북]개정판 | 잘 보이는 무림티비! 1권</v>
      </c>
      <c r="F21">
        <v>1</v>
      </c>
      <c r="G21" t="str">
        <f>T("고하솜")</f>
        <v>고하솜</v>
      </c>
      <c r="J21" t="str">
        <f>T("매드햇")</f>
        <v>매드햇</v>
      </c>
      <c r="K21" t="str">
        <f>T("[e북]개정판 | 잘 보이는 무림티비!")</f>
        <v>[e북]개정판 | 잘 보이는 무림티비!</v>
      </c>
      <c r="L21">
        <v>0</v>
      </c>
      <c r="M21">
        <v>0</v>
      </c>
      <c r="N21">
        <v>0</v>
      </c>
      <c r="O21">
        <v>1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1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S21">
        <v>0</v>
      </c>
      <c r="AT21">
        <v>0</v>
      </c>
      <c r="AV21">
        <v>0</v>
      </c>
      <c r="AW21">
        <v>0</v>
      </c>
      <c r="AY21">
        <v>0</v>
      </c>
      <c r="AZ21">
        <v>0</v>
      </c>
      <c r="BA21">
        <v>0</v>
      </c>
      <c r="BE21" t="str">
        <f>T("9791137018761")</f>
        <v>9791137018761</v>
      </c>
      <c r="BF21" t="str">
        <f>T("k249958")</f>
        <v>k249958</v>
      </c>
      <c r="BG21" t="str">
        <f>T("판타지 e북 &gt; 신무협")</f>
        <v>판타지 e북 &gt; 신무협</v>
      </c>
    </row>
    <row r="22" spans="1:59">
      <c r="A22" t="s">
        <v>60</v>
      </c>
      <c r="B22" s="1">
        <v>46129</v>
      </c>
      <c r="C22">
        <v>2378071485</v>
      </c>
      <c r="D22">
        <v>2378071485</v>
      </c>
      <c r="E22" t="str">
        <f>T("[e북]검은머리 천재 재벌 1권")</f>
        <v>[e북]검은머리 천재 재벌 1권</v>
      </c>
      <c r="F22">
        <v>1</v>
      </c>
      <c r="G22" t="str">
        <f>T("번파")</f>
        <v>번파</v>
      </c>
      <c r="J22" t="str">
        <f>T("매드햇")</f>
        <v>매드햇</v>
      </c>
      <c r="K22" t="str">
        <f>T("[e북]검은머리 천재 재벌")</f>
        <v>[e북]검은머리 천재 재벌</v>
      </c>
      <c r="L22">
        <v>0</v>
      </c>
      <c r="M22">
        <v>0</v>
      </c>
      <c r="N22">
        <v>0</v>
      </c>
      <c r="O22">
        <v>1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1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S22">
        <v>0</v>
      </c>
      <c r="AT22">
        <v>0</v>
      </c>
      <c r="AV22">
        <v>0</v>
      </c>
      <c r="AW22">
        <v>0</v>
      </c>
      <c r="AY22">
        <v>0</v>
      </c>
      <c r="AZ22">
        <v>0</v>
      </c>
      <c r="BA22">
        <v>0</v>
      </c>
      <c r="BE22" t="str">
        <f>T("9791137009998")</f>
        <v>9791137009998</v>
      </c>
      <c r="BF22" t="str">
        <f>T("k440810")</f>
        <v>k440810</v>
      </c>
      <c r="BG22" t="str">
        <f>T("판타지 e북 &gt; 현대 판타지")</f>
        <v>판타지 e북 &gt; 현대 판타지</v>
      </c>
    </row>
    <row r="23" spans="1:59">
      <c r="A23" t="s">
        <v>60</v>
      </c>
      <c r="B23" s="1">
        <v>46129</v>
      </c>
      <c r="C23">
        <v>2378080461</v>
      </c>
      <c r="D23">
        <v>2378080461</v>
      </c>
      <c r="E23" t="str">
        <f>T("[e북]검출형산 1권")</f>
        <v>[e북]검출형산 1권</v>
      </c>
      <c r="F23">
        <v>1</v>
      </c>
      <c r="G23" t="str">
        <f>T("일편소엽")</f>
        <v>일편소엽</v>
      </c>
      <c r="J23" t="str">
        <f>T("심월")</f>
        <v>심월</v>
      </c>
      <c r="K23" t="str">
        <f>T("[e북]검출형산")</f>
        <v>[e북]검출형산</v>
      </c>
      <c r="L23">
        <v>0</v>
      </c>
      <c r="M23">
        <v>0</v>
      </c>
      <c r="N23">
        <v>0</v>
      </c>
      <c r="O23">
        <v>2</v>
      </c>
      <c r="P23">
        <v>0</v>
      </c>
      <c r="Q23">
        <v>0</v>
      </c>
      <c r="R23">
        <v>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5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S23">
        <v>0</v>
      </c>
      <c r="AT23">
        <v>0</v>
      </c>
      <c r="AV23">
        <v>0</v>
      </c>
      <c r="AW23">
        <v>0</v>
      </c>
      <c r="AY23">
        <v>0</v>
      </c>
      <c r="AZ23">
        <v>0</v>
      </c>
      <c r="BA23">
        <v>0</v>
      </c>
      <c r="BF23" t="str">
        <f>T("D207032")</f>
        <v>D207032</v>
      </c>
      <c r="BG23" t="str">
        <f>T("판타지 e북 &gt; 전통 무협")</f>
        <v>판타지 e북 &gt; 전통 무협</v>
      </c>
    </row>
    <row r="24" spans="1:59">
      <c r="A24" t="s">
        <v>60</v>
      </c>
      <c r="B24" s="1">
        <v>46129</v>
      </c>
      <c r="C24">
        <v>2378080461</v>
      </c>
      <c r="D24">
        <v>2378080463</v>
      </c>
      <c r="E24" t="str">
        <f>T("[e북]검출형산 3권")</f>
        <v>[e북]검출형산 3권</v>
      </c>
      <c r="F24">
        <v>3</v>
      </c>
      <c r="G24" t="str">
        <f>T("일편소엽")</f>
        <v>일편소엽</v>
      </c>
      <c r="J24" t="str">
        <f>T("심월")</f>
        <v>심월</v>
      </c>
      <c r="K24" t="str">
        <f>T("[e북]검출형산")</f>
        <v>[e북]검출형산</v>
      </c>
      <c r="L24">
        <v>3000</v>
      </c>
      <c r="M24">
        <v>0</v>
      </c>
      <c r="N24">
        <v>0</v>
      </c>
      <c r="O24">
        <v>0</v>
      </c>
      <c r="P24">
        <v>900</v>
      </c>
      <c r="Q24">
        <v>1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900</v>
      </c>
      <c r="AJ24">
        <v>1</v>
      </c>
      <c r="AK24">
        <v>0</v>
      </c>
      <c r="AL24">
        <v>0</v>
      </c>
      <c r="AM24">
        <v>900</v>
      </c>
      <c r="AN24">
        <v>0</v>
      </c>
      <c r="AO24">
        <v>0</v>
      </c>
      <c r="AP24">
        <v>0</v>
      </c>
      <c r="AQ24">
        <v>0</v>
      </c>
      <c r="AS24">
        <v>0</v>
      </c>
      <c r="AT24">
        <v>0</v>
      </c>
      <c r="AV24">
        <v>0</v>
      </c>
      <c r="AW24">
        <v>0</v>
      </c>
      <c r="AY24">
        <v>0</v>
      </c>
      <c r="AZ24">
        <v>0</v>
      </c>
      <c r="BA24">
        <v>630</v>
      </c>
      <c r="BF24" t="str">
        <f>T("D207034")</f>
        <v>D207034</v>
      </c>
      <c r="BG24" t="str">
        <f>T("판타지 e북 &gt; 전통 무협")</f>
        <v>판타지 e북 &gt; 전통 무협</v>
      </c>
    </row>
    <row r="25" spans="1:59">
      <c r="A25" t="s">
        <v>60</v>
      </c>
      <c r="B25" s="1">
        <v>46129</v>
      </c>
      <c r="C25">
        <v>2378080461</v>
      </c>
      <c r="D25">
        <v>2378080464</v>
      </c>
      <c r="E25" t="str">
        <f>T("[e북]검출형산 4권")</f>
        <v>[e북]검출형산 4권</v>
      </c>
      <c r="F25">
        <v>4</v>
      </c>
      <c r="G25" t="str">
        <f>T("일편소엽")</f>
        <v>일편소엽</v>
      </c>
      <c r="J25" t="str">
        <f>T("심월")</f>
        <v>심월</v>
      </c>
      <c r="K25" t="str">
        <f>T("[e북]검출형산")</f>
        <v>[e북]검출형산</v>
      </c>
      <c r="L25">
        <v>3000</v>
      </c>
      <c r="M25">
        <v>0</v>
      </c>
      <c r="N25">
        <v>0</v>
      </c>
      <c r="O25">
        <v>0</v>
      </c>
      <c r="P25">
        <v>1800</v>
      </c>
      <c r="Q25">
        <v>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1800</v>
      </c>
      <c r="AJ25">
        <v>2</v>
      </c>
      <c r="AK25">
        <v>0</v>
      </c>
      <c r="AL25">
        <v>0</v>
      </c>
      <c r="AM25">
        <v>900</v>
      </c>
      <c r="AN25">
        <v>0</v>
      </c>
      <c r="AO25">
        <v>1080</v>
      </c>
      <c r="AP25">
        <v>-108</v>
      </c>
      <c r="AQ25">
        <v>0</v>
      </c>
      <c r="AS25">
        <v>0</v>
      </c>
      <c r="AT25">
        <v>0</v>
      </c>
      <c r="AU25">
        <v>1080</v>
      </c>
      <c r="AV25">
        <v>-108</v>
      </c>
      <c r="AW25">
        <v>0</v>
      </c>
      <c r="AY25">
        <v>0</v>
      </c>
      <c r="AZ25">
        <v>0</v>
      </c>
      <c r="BA25">
        <v>1310.4000000000001</v>
      </c>
      <c r="BF25" t="str">
        <f>T("D207035")</f>
        <v>D207035</v>
      </c>
      <c r="BG25" t="str">
        <f>T("판타지 e북 &gt; 전통 무협")</f>
        <v>판타지 e북 &gt; 전통 무협</v>
      </c>
    </row>
    <row r="26" spans="1:59">
      <c r="A26" t="s">
        <v>60</v>
      </c>
      <c r="B26" s="1">
        <v>46129</v>
      </c>
      <c r="C26">
        <v>2378080461</v>
      </c>
      <c r="D26">
        <v>2378080465</v>
      </c>
      <c r="E26" t="str">
        <f>T("[e북]검출형산 5권")</f>
        <v>[e북]검출형산 5권</v>
      </c>
      <c r="F26">
        <v>5</v>
      </c>
      <c r="G26" t="str">
        <f>T("일편소엽")</f>
        <v>일편소엽</v>
      </c>
      <c r="J26" t="str">
        <f>T("심월")</f>
        <v>심월</v>
      </c>
      <c r="K26" t="str">
        <f>T("[e북]검출형산")</f>
        <v>[e북]검출형산</v>
      </c>
      <c r="L26">
        <v>3000</v>
      </c>
      <c r="M26">
        <v>0</v>
      </c>
      <c r="N26">
        <v>0</v>
      </c>
      <c r="O26">
        <v>0</v>
      </c>
      <c r="P26">
        <v>900</v>
      </c>
      <c r="Q26">
        <v>1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900</v>
      </c>
      <c r="AJ26">
        <v>1</v>
      </c>
      <c r="AK26">
        <v>0</v>
      </c>
      <c r="AL26">
        <v>0</v>
      </c>
      <c r="AM26">
        <v>900</v>
      </c>
      <c r="AN26">
        <v>0</v>
      </c>
      <c r="AO26">
        <v>0</v>
      </c>
      <c r="AP26">
        <v>0</v>
      </c>
      <c r="AQ26">
        <v>0</v>
      </c>
      <c r="AS26">
        <v>0</v>
      </c>
      <c r="AT26">
        <v>0</v>
      </c>
      <c r="AV26">
        <v>0</v>
      </c>
      <c r="AW26">
        <v>0</v>
      </c>
      <c r="AY26">
        <v>0</v>
      </c>
      <c r="AZ26">
        <v>0</v>
      </c>
      <c r="BA26">
        <v>630</v>
      </c>
      <c r="BF26" t="str">
        <f>T("D207036")</f>
        <v>D207036</v>
      </c>
      <c r="BG26" t="str">
        <f>T("판타지 e북 &gt; 전통 무협")</f>
        <v>판타지 e북 &gt; 전통 무협</v>
      </c>
    </row>
    <row r="27" spans="1:59">
      <c r="A27" t="s">
        <v>60</v>
      </c>
      <c r="B27" s="1">
        <v>46129</v>
      </c>
      <c r="C27">
        <v>2378080461</v>
      </c>
      <c r="D27">
        <v>2378080467</v>
      </c>
      <c r="E27" t="str">
        <f>T("[e북]검출형산 7권")</f>
        <v>[e북]검출형산 7권</v>
      </c>
      <c r="F27">
        <v>7</v>
      </c>
      <c r="G27" t="str">
        <f>T("일편소엽")</f>
        <v>일편소엽</v>
      </c>
      <c r="J27" t="str">
        <f>T("심월")</f>
        <v>심월</v>
      </c>
      <c r="K27" t="str">
        <f>T("[e북]검출형산")</f>
        <v>[e북]검출형산</v>
      </c>
      <c r="L27">
        <v>3000</v>
      </c>
      <c r="M27">
        <v>0</v>
      </c>
      <c r="N27">
        <v>0</v>
      </c>
      <c r="O27">
        <v>0</v>
      </c>
      <c r="P27">
        <v>900</v>
      </c>
      <c r="Q27">
        <v>1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900</v>
      </c>
      <c r="AJ27">
        <v>1</v>
      </c>
      <c r="AK27">
        <v>0</v>
      </c>
      <c r="AL27">
        <v>0</v>
      </c>
      <c r="AM27">
        <v>900</v>
      </c>
      <c r="AN27">
        <v>0</v>
      </c>
      <c r="AO27">
        <v>0</v>
      </c>
      <c r="AP27">
        <v>0</v>
      </c>
      <c r="AQ27">
        <v>0</v>
      </c>
      <c r="AS27">
        <v>0</v>
      </c>
      <c r="AT27">
        <v>0</v>
      </c>
      <c r="AV27">
        <v>0</v>
      </c>
      <c r="AW27">
        <v>0</v>
      </c>
      <c r="AY27">
        <v>0</v>
      </c>
      <c r="AZ27">
        <v>0</v>
      </c>
      <c r="BA27">
        <v>630</v>
      </c>
      <c r="BF27" t="str">
        <f>T("D207038")</f>
        <v>D207038</v>
      </c>
      <c r="BG27" t="str">
        <f>T("판타지 e북 &gt; 전통 무협")</f>
        <v>판타지 e북 &gt; 전통 무협</v>
      </c>
    </row>
    <row r="28" spans="1:59">
      <c r="A28" t="s">
        <v>60</v>
      </c>
      <c r="B28" s="1">
        <v>46129</v>
      </c>
      <c r="C28">
        <v>2378080461</v>
      </c>
      <c r="D28">
        <v>2378080472</v>
      </c>
      <c r="E28" t="str">
        <f>T("[e북]검출형산 12권")</f>
        <v>[e북]검출형산 12권</v>
      </c>
      <c r="F28">
        <v>12</v>
      </c>
      <c r="G28" t="str">
        <f>T("일편소엽")</f>
        <v>일편소엽</v>
      </c>
      <c r="J28" t="str">
        <f>T("심월")</f>
        <v>심월</v>
      </c>
      <c r="K28" t="str">
        <f>T("[e북]검출형산")</f>
        <v>[e북]검출형산</v>
      </c>
      <c r="L28">
        <v>3000</v>
      </c>
      <c r="M28">
        <v>0</v>
      </c>
      <c r="N28">
        <v>0</v>
      </c>
      <c r="O28">
        <v>0</v>
      </c>
      <c r="P28">
        <v>900</v>
      </c>
      <c r="Q28">
        <v>1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900</v>
      </c>
      <c r="AJ28">
        <v>1</v>
      </c>
      <c r="AK28">
        <v>0</v>
      </c>
      <c r="AL28">
        <v>0</v>
      </c>
      <c r="AM28">
        <v>0</v>
      </c>
      <c r="AN28">
        <v>0</v>
      </c>
      <c r="AO28">
        <v>1080</v>
      </c>
      <c r="AP28">
        <v>-108</v>
      </c>
      <c r="AQ28">
        <v>0</v>
      </c>
      <c r="AS28">
        <v>0</v>
      </c>
      <c r="AT28">
        <v>0</v>
      </c>
      <c r="AU28">
        <v>1080</v>
      </c>
      <c r="AV28">
        <v>-108</v>
      </c>
      <c r="AW28">
        <v>0</v>
      </c>
      <c r="AY28">
        <v>0</v>
      </c>
      <c r="AZ28">
        <v>0</v>
      </c>
      <c r="BA28">
        <v>680.4</v>
      </c>
      <c r="BF28" t="str">
        <f>T("D207043")</f>
        <v>D207043</v>
      </c>
      <c r="BG28" t="str">
        <f>T("판타지 e북 &gt; 전통 무협")</f>
        <v>판타지 e북 &gt; 전통 무협</v>
      </c>
    </row>
    <row r="29" spans="1:59">
      <c r="A29" t="s">
        <v>60</v>
      </c>
      <c r="B29" s="1">
        <v>46129</v>
      </c>
      <c r="C29">
        <v>2378080461</v>
      </c>
      <c r="D29">
        <v>2378080473</v>
      </c>
      <c r="E29" t="str">
        <f>T("[e북]검출형산 13권")</f>
        <v>[e북]검출형산 13권</v>
      </c>
      <c r="F29">
        <v>13</v>
      </c>
      <c r="G29" t="str">
        <f>T("일편소엽")</f>
        <v>일편소엽</v>
      </c>
      <c r="J29" t="str">
        <f>T("심월")</f>
        <v>심월</v>
      </c>
      <c r="K29" t="str">
        <f>T("[e북]검출형산")</f>
        <v>[e북]검출형산</v>
      </c>
      <c r="L29">
        <v>3000</v>
      </c>
      <c r="M29">
        <v>0</v>
      </c>
      <c r="N29">
        <v>0</v>
      </c>
      <c r="O29">
        <v>0</v>
      </c>
      <c r="P29">
        <v>900</v>
      </c>
      <c r="Q29">
        <v>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900</v>
      </c>
      <c r="AJ29">
        <v>1</v>
      </c>
      <c r="AK29">
        <v>0</v>
      </c>
      <c r="AL29">
        <v>0</v>
      </c>
      <c r="AM29">
        <v>0</v>
      </c>
      <c r="AN29">
        <v>0</v>
      </c>
      <c r="AO29">
        <v>1080</v>
      </c>
      <c r="AP29">
        <v>-108</v>
      </c>
      <c r="AQ29">
        <v>0</v>
      </c>
      <c r="AS29">
        <v>0</v>
      </c>
      <c r="AT29">
        <v>0</v>
      </c>
      <c r="AU29">
        <v>1080</v>
      </c>
      <c r="AV29">
        <v>-108</v>
      </c>
      <c r="AW29">
        <v>0</v>
      </c>
      <c r="AY29">
        <v>0</v>
      </c>
      <c r="AZ29">
        <v>0</v>
      </c>
      <c r="BA29">
        <v>680.4</v>
      </c>
      <c r="BF29" t="str">
        <f>T("D207044")</f>
        <v>D207044</v>
      </c>
      <c r="BG29" t="str">
        <f>T("판타지 e북 &gt; 전통 무협")</f>
        <v>판타지 e북 &gt; 전통 무협</v>
      </c>
    </row>
    <row r="30" spans="1:59">
      <c r="A30" t="s">
        <v>60</v>
      </c>
      <c r="B30" s="1">
        <v>46129</v>
      </c>
      <c r="C30">
        <v>2378080461</v>
      </c>
      <c r="D30">
        <v>2378080477</v>
      </c>
      <c r="E30" t="str">
        <f>T("[e북]검출형산 17권")</f>
        <v>[e북]검출형산 17권</v>
      </c>
      <c r="F30">
        <v>17</v>
      </c>
      <c r="G30" t="str">
        <f>T("일편소엽")</f>
        <v>일편소엽</v>
      </c>
      <c r="J30" t="str">
        <f>T("심월")</f>
        <v>심월</v>
      </c>
      <c r="K30" t="str">
        <f>T("[e북]검출형산")</f>
        <v>[e북]검출형산</v>
      </c>
      <c r="L30">
        <v>3000</v>
      </c>
      <c r="M30">
        <v>0</v>
      </c>
      <c r="N30">
        <v>0</v>
      </c>
      <c r="O30">
        <v>0</v>
      </c>
      <c r="P30">
        <v>900</v>
      </c>
      <c r="Q30">
        <v>1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900</v>
      </c>
      <c r="AJ30">
        <v>1</v>
      </c>
      <c r="AK30">
        <v>0</v>
      </c>
      <c r="AL30">
        <v>0</v>
      </c>
      <c r="AM30">
        <v>900</v>
      </c>
      <c r="AN30">
        <v>0</v>
      </c>
      <c r="AO30">
        <v>0</v>
      </c>
      <c r="AP30">
        <v>0</v>
      </c>
      <c r="AQ30">
        <v>0</v>
      </c>
      <c r="AS30">
        <v>0</v>
      </c>
      <c r="AT30">
        <v>0</v>
      </c>
      <c r="AV30">
        <v>0</v>
      </c>
      <c r="AW30">
        <v>0</v>
      </c>
      <c r="AY30">
        <v>0</v>
      </c>
      <c r="AZ30">
        <v>0</v>
      </c>
      <c r="BA30">
        <v>630</v>
      </c>
      <c r="BF30" t="str">
        <f>T("D207048")</f>
        <v>D207048</v>
      </c>
      <c r="BG30" t="str">
        <f>T("판타지 e북 &gt; 전통 무협")</f>
        <v>판타지 e북 &gt; 전통 무협</v>
      </c>
    </row>
    <row r="31" spans="1:59">
      <c r="A31" t="s">
        <v>60</v>
      </c>
      <c r="B31" s="1">
        <v>46130</v>
      </c>
      <c r="C31">
        <v>2378080461</v>
      </c>
      <c r="D31">
        <v>2378080466</v>
      </c>
      <c r="E31" t="str">
        <f>T("[e북]검출형산 6권")</f>
        <v>[e북]검출형산 6권</v>
      </c>
      <c r="F31">
        <v>6</v>
      </c>
      <c r="G31" t="str">
        <f>T("일편소엽")</f>
        <v>일편소엽</v>
      </c>
      <c r="J31" t="str">
        <f>T("심월")</f>
        <v>심월</v>
      </c>
      <c r="K31" t="str">
        <f>T("[e북]검출형산")</f>
        <v>[e북]검출형산</v>
      </c>
      <c r="L31">
        <v>3000</v>
      </c>
      <c r="M31">
        <v>0</v>
      </c>
      <c r="N31">
        <v>0</v>
      </c>
      <c r="O31">
        <v>0</v>
      </c>
      <c r="P31">
        <v>900</v>
      </c>
      <c r="Q31">
        <v>1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900</v>
      </c>
      <c r="AJ31">
        <v>1</v>
      </c>
      <c r="AK31">
        <v>0</v>
      </c>
      <c r="AL31">
        <v>0</v>
      </c>
      <c r="AM31">
        <v>900</v>
      </c>
      <c r="AN31">
        <v>0</v>
      </c>
      <c r="AO31">
        <v>0</v>
      </c>
      <c r="AP31">
        <v>0</v>
      </c>
      <c r="AQ31">
        <v>0</v>
      </c>
      <c r="AS31">
        <v>0</v>
      </c>
      <c r="AT31">
        <v>0</v>
      </c>
      <c r="AV31">
        <v>0</v>
      </c>
      <c r="AW31">
        <v>0</v>
      </c>
      <c r="AY31">
        <v>0</v>
      </c>
      <c r="AZ31">
        <v>0</v>
      </c>
      <c r="BA31">
        <v>630</v>
      </c>
      <c r="BF31" t="str">
        <f>T("D207037")</f>
        <v>D207037</v>
      </c>
      <c r="BG31" t="str">
        <f>T("판타지 e북 &gt; 전통 무협")</f>
        <v>판타지 e북 &gt; 전통 무협</v>
      </c>
    </row>
    <row r="32" spans="1:59">
      <c r="A32" t="s">
        <v>60</v>
      </c>
      <c r="B32" s="1">
        <v>46130</v>
      </c>
      <c r="C32">
        <v>2378080461</v>
      </c>
      <c r="D32">
        <v>2378080462</v>
      </c>
      <c r="E32" t="str">
        <f>T("[e북]검출형산 2권")</f>
        <v>[e북]검출형산 2권</v>
      </c>
      <c r="F32">
        <v>2</v>
      </c>
      <c r="G32" t="str">
        <f>T("일편소엽")</f>
        <v>일편소엽</v>
      </c>
      <c r="J32" t="str">
        <f>T("심월")</f>
        <v>심월</v>
      </c>
      <c r="K32" t="str">
        <f>T("[e북]검출형산")</f>
        <v>[e북]검출형산</v>
      </c>
      <c r="L32">
        <v>3000</v>
      </c>
      <c r="M32">
        <v>0</v>
      </c>
      <c r="N32">
        <v>0</v>
      </c>
      <c r="O32">
        <v>0</v>
      </c>
      <c r="P32">
        <v>2700</v>
      </c>
      <c r="Q32">
        <v>3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2700</v>
      </c>
      <c r="AJ32">
        <v>3</v>
      </c>
      <c r="AK32">
        <v>0</v>
      </c>
      <c r="AL32">
        <v>0</v>
      </c>
      <c r="AM32">
        <v>1800</v>
      </c>
      <c r="AN32">
        <v>0</v>
      </c>
      <c r="AO32">
        <v>1080</v>
      </c>
      <c r="AP32">
        <v>-108</v>
      </c>
      <c r="AQ32">
        <v>0</v>
      </c>
      <c r="AS32">
        <v>0</v>
      </c>
      <c r="AT32">
        <v>0</v>
      </c>
      <c r="AU32">
        <v>1080</v>
      </c>
      <c r="AV32">
        <v>-108</v>
      </c>
      <c r="AW32">
        <v>0</v>
      </c>
      <c r="AY32">
        <v>0</v>
      </c>
      <c r="AZ32">
        <v>0</v>
      </c>
      <c r="BA32">
        <v>1940.4</v>
      </c>
      <c r="BF32" t="str">
        <f>T("D207033")</f>
        <v>D207033</v>
      </c>
      <c r="BG32" t="str">
        <f>T("판타지 e북 &gt; 전통 무협")</f>
        <v>판타지 e북 &gt; 전통 무협</v>
      </c>
    </row>
    <row r="33" spans="1:59">
      <c r="A33" t="s">
        <v>60</v>
      </c>
      <c r="B33" s="1">
        <v>46130</v>
      </c>
      <c r="C33">
        <v>2378080461</v>
      </c>
      <c r="D33">
        <v>2378080463</v>
      </c>
      <c r="E33" t="str">
        <f>T("[e북]검출형산 3권")</f>
        <v>[e북]검출형산 3권</v>
      </c>
      <c r="F33">
        <v>3</v>
      </c>
      <c r="G33" t="str">
        <f>T("일편소엽")</f>
        <v>일편소엽</v>
      </c>
      <c r="J33" t="str">
        <f>T("심월")</f>
        <v>심월</v>
      </c>
      <c r="K33" t="str">
        <f>T("[e북]검출형산")</f>
        <v>[e북]검출형산</v>
      </c>
      <c r="L33">
        <v>3000</v>
      </c>
      <c r="M33">
        <v>0</v>
      </c>
      <c r="N33">
        <v>0</v>
      </c>
      <c r="O33">
        <v>0</v>
      </c>
      <c r="P33">
        <v>900</v>
      </c>
      <c r="Q33">
        <v>1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900</v>
      </c>
      <c r="AJ33">
        <v>1</v>
      </c>
      <c r="AK33">
        <v>0</v>
      </c>
      <c r="AL33">
        <v>0</v>
      </c>
      <c r="AM33">
        <v>900</v>
      </c>
      <c r="AN33">
        <v>0</v>
      </c>
      <c r="AO33">
        <v>0</v>
      </c>
      <c r="AP33">
        <v>0</v>
      </c>
      <c r="AQ33">
        <v>0</v>
      </c>
      <c r="AS33">
        <v>0</v>
      </c>
      <c r="AT33">
        <v>0</v>
      </c>
      <c r="AV33">
        <v>0</v>
      </c>
      <c r="AW33">
        <v>0</v>
      </c>
      <c r="AY33">
        <v>0</v>
      </c>
      <c r="AZ33">
        <v>0</v>
      </c>
      <c r="BA33">
        <v>630</v>
      </c>
      <c r="BF33" t="str">
        <f>T("D207034")</f>
        <v>D207034</v>
      </c>
      <c r="BG33" t="str">
        <f>T("판타지 e북 &gt; 전통 무협")</f>
        <v>판타지 e북 &gt; 전통 무협</v>
      </c>
    </row>
    <row r="34" spans="1:59">
      <c r="A34" t="s">
        <v>60</v>
      </c>
      <c r="B34" s="1">
        <v>46130</v>
      </c>
      <c r="C34">
        <v>2378080461</v>
      </c>
      <c r="D34">
        <v>2378080461</v>
      </c>
      <c r="E34" t="str">
        <f>T("[e북]검출형산 1권")</f>
        <v>[e북]검출형산 1권</v>
      </c>
      <c r="F34">
        <v>1</v>
      </c>
      <c r="G34" t="str">
        <f>T("일편소엽")</f>
        <v>일편소엽</v>
      </c>
      <c r="J34" t="str">
        <f>T("심월")</f>
        <v>심월</v>
      </c>
      <c r="K34" t="str">
        <f>T("[e북]검출형산")</f>
        <v>[e북]검출형산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3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4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S34">
        <v>0</v>
      </c>
      <c r="AT34">
        <v>0</v>
      </c>
      <c r="AV34">
        <v>0</v>
      </c>
      <c r="AW34">
        <v>0</v>
      </c>
      <c r="AY34">
        <v>0</v>
      </c>
      <c r="AZ34">
        <v>0</v>
      </c>
      <c r="BA34">
        <v>0</v>
      </c>
      <c r="BF34" t="str">
        <f>T("D207032")</f>
        <v>D207032</v>
      </c>
      <c r="BG34" t="str">
        <f>T("판타지 e북 &gt; 전통 무협")</f>
        <v>판타지 e북 &gt; 전통 무협</v>
      </c>
    </row>
    <row r="35" spans="1:59">
      <c r="A35" t="s">
        <v>60</v>
      </c>
      <c r="B35" s="1">
        <v>46130</v>
      </c>
      <c r="C35">
        <v>2378080461</v>
      </c>
      <c r="D35">
        <v>2378080475</v>
      </c>
      <c r="E35" t="str">
        <f>T("[e북]검출형산 15권")</f>
        <v>[e북]검출형산 15권</v>
      </c>
      <c r="F35">
        <v>15</v>
      </c>
      <c r="G35" t="str">
        <f>T("일편소엽")</f>
        <v>일편소엽</v>
      </c>
      <c r="J35" t="str">
        <f>T("심월")</f>
        <v>심월</v>
      </c>
      <c r="K35" t="str">
        <f>T("[e북]검출형산")</f>
        <v>[e북]검출형산</v>
      </c>
      <c r="L35">
        <v>3000</v>
      </c>
      <c r="M35">
        <v>0</v>
      </c>
      <c r="N35">
        <v>0</v>
      </c>
      <c r="O35">
        <v>0</v>
      </c>
      <c r="P35">
        <v>900</v>
      </c>
      <c r="Q35">
        <v>1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900</v>
      </c>
      <c r="AJ35">
        <v>1</v>
      </c>
      <c r="AK35">
        <v>0</v>
      </c>
      <c r="AL35">
        <v>0</v>
      </c>
      <c r="AM35">
        <v>900</v>
      </c>
      <c r="AN35">
        <v>0</v>
      </c>
      <c r="AO35">
        <v>0</v>
      </c>
      <c r="AP35">
        <v>0</v>
      </c>
      <c r="AQ35">
        <v>0</v>
      </c>
      <c r="AS35">
        <v>0</v>
      </c>
      <c r="AT35">
        <v>0</v>
      </c>
      <c r="AV35">
        <v>0</v>
      </c>
      <c r="AW35">
        <v>0</v>
      </c>
      <c r="AY35">
        <v>0</v>
      </c>
      <c r="AZ35">
        <v>0</v>
      </c>
      <c r="BA35">
        <v>630</v>
      </c>
      <c r="BF35" t="str">
        <f>T("D207046")</f>
        <v>D207046</v>
      </c>
      <c r="BG35" t="str">
        <f>T("판타지 e북 &gt; 전통 무협")</f>
        <v>판타지 e북 &gt; 전통 무협</v>
      </c>
    </row>
    <row r="36" spans="1:59">
      <c r="A36" t="s">
        <v>60</v>
      </c>
      <c r="B36" s="1">
        <v>46130</v>
      </c>
      <c r="C36">
        <v>2378080461</v>
      </c>
      <c r="D36">
        <v>2378080476</v>
      </c>
      <c r="E36" t="str">
        <f>T("[e북]검출형산 16권")</f>
        <v>[e북]검출형산 16권</v>
      </c>
      <c r="F36">
        <v>16</v>
      </c>
      <c r="G36" t="str">
        <f>T("일편소엽")</f>
        <v>일편소엽</v>
      </c>
      <c r="J36" t="str">
        <f>T("심월")</f>
        <v>심월</v>
      </c>
      <c r="K36" t="str">
        <f>T("[e북]검출형산")</f>
        <v>[e북]검출형산</v>
      </c>
      <c r="L36">
        <v>3000</v>
      </c>
      <c r="M36">
        <v>0</v>
      </c>
      <c r="N36">
        <v>0</v>
      </c>
      <c r="O36">
        <v>0</v>
      </c>
      <c r="P36">
        <v>900</v>
      </c>
      <c r="Q36">
        <v>1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900</v>
      </c>
      <c r="AJ36">
        <v>1</v>
      </c>
      <c r="AK36">
        <v>0</v>
      </c>
      <c r="AL36">
        <v>0</v>
      </c>
      <c r="AM36">
        <v>900</v>
      </c>
      <c r="AN36">
        <v>0</v>
      </c>
      <c r="AO36">
        <v>0</v>
      </c>
      <c r="AP36">
        <v>0</v>
      </c>
      <c r="AQ36">
        <v>0</v>
      </c>
      <c r="AS36">
        <v>0</v>
      </c>
      <c r="AT36">
        <v>0</v>
      </c>
      <c r="AV36">
        <v>0</v>
      </c>
      <c r="AW36">
        <v>0</v>
      </c>
      <c r="AY36">
        <v>0</v>
      </c>
      <c r="AZ36">
        <v>0</v>
      </c>
      <c r="BA36">
        <v>630</v>
      </c>
      <c r="BF36" t="str">
        <f>T("D207047")</f>
        <v>D207047</v>
      </c>
      <c r="BG36" t="str">
        <f>T("판타지 e북 &gt; 전통 무협")</f>
        <v>판타지 e북 &gt; 전통 무협</v>
      </c>
    </row>
    <row r="37" spans="1:59">
      <c r="A37" t="s">
        <v>60</v>
      </c>
      <c r="B37" s="1">
        <v>46130</v>
      </c>
      <c r="C37">
        <v>2378080461</v>
      </c>
      <c r="D37">
        <v>2378080477</v>
      </c>
      <c r="E37" t="str">
        <f>T("[e북]검출형산 17권")</f>
        <v>[e북]검출형산 17권</v>
      </c>
      <c r="F37">
        <v>17</v>
      </c>
      <c r="G37" t="str">
        <f>T("일편소엽")</f>
        <v>일편소엽</v>
      </c>
      <c r="J37" t="str">
        <f>T("심월")</f>
        <v>심월</v>
      </c>
      <c r="K37" t="str">
        <f>T("[e북]검출형산")</f>
        <v>[e북]검출형산</v>
      </c>
      <c r="L37">
        <v>3000</v>
      </c>
      <c r="M37">
        <v>0</v>
      </c>
      <c r="N37">
        <v>0</v>
      </c>
      <c r="O37">
        <v>0</v>
      </c>
      <c r="P37">
        <v>900</v>
      </c>
      <c r="Q37">
        <v>1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900</v>
      </c>
      <c r="AJ37">
        <v>1</v>
      </c>
      <c r="AK37">
        <v>0</v>
      </c>
      <c r="AL37">
        <v>0</v>
      </c>
      <c r="AM37">
        <v>900</v>
      </c>
      <c r="AN37">
        <v>0</v>
      </c>
      <c r="AO37">
        <v>0</v>
      </c>
      <c r="AP37">
        <v>0</v>
      </c>
      <c r="AQ37">
        <v>0</v>
      </c>
      <c r="AS37">
        <v>0</v>
      </c>
      <c r="AT37">
        <v>0</v>
      </c>
      <c r="AV37">
        <v>0</v>
      </c>
      <c r="AW37">
        <v>0</v>
      </c>
      <c r="AY37">
        <v>0</v>
      </c>
      <c r="AZ37">
        <v>0</v>
      </c>
      <c r="BA37">
        <v>630</v>
      </c>
      <c r="BF37" t="str">
        <f>T("D207048")</f>
        <v>D207048</v>
      </c>
      <c r="BG37" t="str">
        <f>T("판타지 e북 &gt; 전통 무협")</f>
        <v>판타지 e북 &gt; 전통 무협</v>
      </c>
    </row>
    <row r="38" spans="1:59">
      <c r="A38" t="s">
        <v>60</v>
      </c>
      <c r="B38" s="1">
        <v>46130</v>
      </c>
      <c r="C38">
        <v>2378080461</v>
      </c>
      <c r="D38">
        <v>2378080478</v>
      </c>
      <c r="E38" t="str">
        <f>T("[e북]검출형산 18권 외전")</f>
        <v>[e북]검출형산 18권 외전</v>
      </c>
      <c r="F38">
        <v>18</v>
      </c>
      <c r="G38" t="str">
        <f>T("일편소엽")</f>
        <v>일편소엽</v>
      </c>
      <c r="J38" t="str">
        <f>T("심월")</f>
        <v>심월</v>
      </c>
      <c r="K38" t="str">
        <f>T("[e북]검출형산")</f>
        <v>[e북]검출형산</v>
      </c>
      <c r="L38">
        <v>3000</v>
      </c>
      <c r="M38">
        <v>0</v>
      </c>
      <c r="N38">
        <v>0</v>
      </c>
      <c r="O38">
        <v>0</v>
      </c>
      <c r="P38">
        <v>900</v>
      </c>
      <c r="Q38">
        <v>1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900</v>
      </c>
      <c r="AJ38">
        <v>1</v>
      </c>
      <c r="AK38">
        <v>0</v>
      </c>
      <c r="AL38">
        <v>0</v>
      </c>
      <c r="AM38">
        <v>900</v>
      </c>
      <c r="AN38">
        <v>0</v>
      </c>
      <c r="AO38">
        <v>0</v>
      </c>
      <c r="AP38">
        <v>0</v>
      </c>
      <c r="AQ38">
        <v>0</v>
      </c>
      <c r="AS38">
        <v>0</v>
      </c>
      <c r="AT38">
        <v>0</v>
      </c>
      <c r="AV38">
        <v>0</v>
      </c>
      <c r="AW38">
        <v>0</v>
      </c>
      <c r="AY38">
        <v>0</v>
      </c>
      <c r="AZ38">
        <v>0</v>
      </c>
      <c r="BA38">
        <v>630</v>
      </c>
      <c r="BF38" t="str">
        <f>T("D207049")</f>
        <v>D207049</v>
      </c>
      <c r="BG38" t="str">
        <f>T("판타지 e북 &gt; 전통 무협")</f>
        <v>판타지 e북 &gt; 전통 무협</v>
      </c>
    </row>
    <row r="39" spans="1:59">
      <c r="A39" t="s">
        <v>60</v>
      </c>
      <c r="B39" s="1">
        <v>46130</v>
      </c>
      <c r="C39">
        <v>2378080461</v>
      </c>
      <c r="D39">
        <v>2378080479</v>
      </c>
      <c r="E39" t="str">
        <f>T("[e북]검출형산 19권 외전 (완결)")</f>
        <v>[e북]검출형산 19권 외전 (완결)</v>
      </c>
      <c r="F39">
        <v>19</v>
      </c>
      <c r="G39" t="str">
        <f>T("일편소엽")</f>
        <v>일편소엽</v>
      </c>
      <c r="J39" t="str">
        <f>T("심월")</f>
        <v>심월</v>
      </c>
      <c r="K39" t="str">
        <f>T("[e북]검출형산")</f>
        <v>[e북]검출형산</v>
      </c>
      <c r="L39">
        <v>3000</v>
      </c>
      <c r="M39">
        <v>0</v>
      </c>
      <c r="N39">
        <v>0</v>
      </c>
      <c r="O39">
        <v>0</v>
      </c>
      <c r="P39">
        <v>900</v>
      </c>
      <c r="Q39">
        <v>1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900</v>
      </c>
      <c r="AJ39">
        <v>1</v>
      </c>
      <c r="AK39">
        <v>0</v>
      </c>
      <c r="AL39">
        <v>0</v>
      </c>
      <c r="AM39">
        <v>900</v>
      </c>
      <c r="AN39">
        <v>0</v>
      </c>
      <c r="AO39">
        <v>0</v>
      </c>
      <c r="AP39">
        <v>0</v>
      </c>
      <c r="AQ39">
        <v>0</v>
      </c>
      <c r="AS39">
        <v>0</v>
      </c>
      <c r="AT39">
        <v>0</v>
      </c>
      <c r="AV39">
        <v>0</v>
      </c>
      <c r="AW39">
        <v>0</v>
      </c>
      <c r="AY39">
        <v>0</v>
      </c>
      <c r="AZ39">
        <v>0</v>
      </c>
      <c r="BA39">
        <v>630</v>
      </c>
      <c r="BF39" t="str">
        <f>T("D207050")</f>
        <v>D207050</v>
      </c>
      <c r="BG39" t="str">
        <f>T("판타지 e북 &gt; 전통 무협")</f>
        <v>판타지 e북 &gt; 전통 무협</v>
      </c>
    </row>
    <row r="40" spans="1:59">
      <c r="A40" t="s">
        <v>60</v>
      </c>
      <c r="B40" s="1">
        <v>46130</v>
      </c>
      <c r="C40">
        <v>2378080461</v>
      </c>
      <c r="D40">
        <v>2378080464</v>
      </c>
      <c r="E40" t="str">
        <f>T("[e북]검출형산 4권")</f>
        <v>[e북]검출형산 4권</v>
      </c>
      <c r="F40">
        <v>4</v>
      </c>
      <c r="G40" t="str">
        <f>T("일편소엽")</f>
        <v>일편소엽</v>
      </c>
      <c r="J40" t="str">
        <f>T("심월")</f>
        <v>심월</v>
      </c>
      <c r="K40" t="str">
        <f>T("[e북]검출형산")</f>
        <v>[e북]검출형산</v>
      </c>
      <c r="L40">
        <v>3000</v>
      </c>
      <c r="M40">
        <v>0</v>
      </c>
      <c r="N40">
        <v>0</v>
      </c>
      <c r="O40">
        <v>0</v>
      </c>
      <c r="P40">
        <v>1800</v>
      </c>
      <c r="Q40">
        <v>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1800</v>
      </c>
      <c r="AJ40">
        <v>2</v>
      </c>
      <c r="AK40">
        <v>0</v>
      </c>
      <c r="AL40">
        <v>0</v>
      </c>
      <c r="AM40">
        <v>1800</v>
      </c>
      <c r="AN40">
        <v>0</v>
      </c>
      <c r="AO40">
        <v>0</v>
      </c>
      <c r="AP40">
        <v>0</v>
      </c>
      <c r="AQ40">
        <v>0</v>
      </c>
      <c r="AS40">
        <v>0</v>
      </c>
      <c r="AT40">
        <v>0</v>
      </c>
      <c r="AV40">
        <v>0</v>
      </c>
      <c r="AW40">
        <v>0</v>
      </c>
      <c r="AY40">
        <v>0</v>
      </c>
      <c r="AZ40">
        <v>0</v>
      </c>
      <c r="BA40">
        <v>1260</v>
      </c>
      <c r="BF40" t="str">
        <f>T("D207035")</f>
        <v>D207035</v>
      </c>
      <c r="BG40" t="str">
        <f>T("판타지 e북 &gt; 전통 무협")</f>
        <v>판타지 e북 &gt; 전통 무협</v>
      </c>
    </row>
    <row r="41" spans="1:59">
      <c r="A41" t="s">
        <v>60</v>
      </c>
      <c r="B41" s="1">
        <v>46130</v>
      </c>
      <c r="C41">
        <v>2378080461</v>
      </c>
      <c r="D41">
        <v>2378080465</v>
      </c>
      <c r="E41" t="str">
        <f>T("[e북]검출형산 5권")</f>
        <v>[e북]검출형산 5권</v>
      </c>
      <c r="F41">
        <v>5</v>
      </c>
      <c r="G41" t="str">
        <f>T("일편소엽")</f>
        <v>일편소엽</v>
      </c>
      <c r="J41" t="str">
        <f>T("심월")</f>
        <v>심월</v>
      </c>
      <c r="K41" t="str">
        <f>T("[e북]검출형산")</f>
        <v>[e북]검출형산</v>
      </c>
      <c r="L41">
        <v>3000</v>
      </c>
      <c r="M41">
        <v>0</v>
      </c>
      <c r="N41">
        <v>0</v>
      </c>
      <c r="O41">
        <v>0</v>
      </c>
      <c r="P41">
        <v>900</v>
      </c>
      <c r="Q41">
        <v>1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900</v>
      </c>
      <c r="AJ41">
        <v>1</v>
      </c>
      <c r="AK41">
        <v>0</v>
      </c>
      <c r="AL41">
        <v>0</v>
      </c>
      <c r="AM41">
        <v>900</v>
      </c>
      <c r="AN41">
        <v>0</v>
      </c>
      <c r="AO41">
        <v>0</v>
      </c>
      <c r="AP41">
        <v>0</v>
      </c>
      <c r="AQ41">
        <v>0</v>
      </c>
      <c r="AS41">
        <v>0</v>
      </c>
      <c r="AT41">
        <v>0</v>
      </c>
      <c r="AV41">
        <v>0</v>
      </c>
      <c r="AW41">
        <v>0</v>
      </c>
      <c r="AY41">
        <v>0</v>
      </c>
      <c r="AZ41">
        <v>0</v>
      </c>
      <c r="BA41">
        <v>630</v>
      </c>
      <c r="BF41" t="str">
        <f>T("D207036")</f>
        <v>D207036</v>
      </c>
      <c r="BG41" t="str">
        <f>T("판타지 e북 &gt; 전통 무협")</f>
        <v>판타지 e북 &gt; 전통 무협</v>
      </c>
    </row>
    <row r="42" spans="1:59">
      <c r="A42" t="s">
        <v>60</v>
      </c>
      <c r="B42" s="1">
        <v>46131</v>
      </c>
      <c r="C42">
        <v>2378080461</v>
      </c>
      <c r="D42">
        <v>2378080462</v>
      </c>
      <c r="E42" t="str">
        <f>T("[e북]검출형산 2권")</f>
        <v>[e북]검출형산 2권</v>
      </c>
      <c r="F42">
        <v>2</v>
      </c>
      <c r="G42" t="str">
        <f>T("일편소엽")</f>
        <v>일편소엽</v>
      </c>
      <c r="J42" t="str">
        <f>T("심월")</f>
        <v>심월</v>
      </c>
      <c r="K42" t="str">
        <f>T("[e북]검출형산")</f>
        <v>[e북]검출형산</v>
      </c>
      <c r="L42">
        <v>3000</v>
      </c>
      <c r="M42">
        <v>3000</v>
      </c>
      <c r="N42">
        <v>1</v>
      </c>
      <c r="O42">
        <v>0</v>
      </c>
      <c r="P42">
        <v>1800</v>
      </c>
      <c r="Q42">
        <v>2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4800</v>
      </c>
      <c r="AJ42">
        <v>3</v>
      </c>
      <c r="AK42">
        <v>0</v>
      </c>
      <c r="AL42">
        <v>0</v>
      </c>
      <c r="AM42">
        <v>1800</v>
      </c>
      <c r="AN42">
        <v>0</v>
      </c>
      <c r="AO42">
        <v>3600</v>
      </c>
      <c r="AP42">
        <v>-360</v>
      </c>
      <c r="AQ42">
        <v>0</v>
      </c>
      <c r="AS42">
        <v>0</v>
      </c>
      <c r="AT42">
        <v>0</v>
      </c>
      <c r="AU42">
        <v>3600</v>
      </c>
      <c r="AV42">
        <v>-360</v>
      </c>
      <c r="AW42">
        <v>0</v>
      </c>
      <c r="AY42">
        <v>0</v>
      </c>
      <c r="AZ42">
        <v>0</v>
      </c>
      <c r="BA42">
        <v>3528</v>
      </c>
      <c r="BF42" t="str">
        <f>T("D207033")</f>
        <v>D207033</v>
      </c>
      <c r="BG42" t="str">
        <f>T("판타지 e북 &gt; 전통 무협")</f>
        <v>판타지 e북 &gt; 전통 무협</v>
      </c>
    </row>
    <row r="43" spans="1:59">
      <c r="A43" t="s">
        <v>60</v>
      </c>
      <c r="B43" s="1">
        <v>46131</v>
      </c>
      <c r="C43">
        <v>2378080461</v>
      </c>
      <c r="D43">
        <v>2378080469</v>
      </c>
      <c r="E43" t="str">
        <f>T("[e북]검출형산 9권")</f>
        <v>[e북]검출형산 9권</v>
      </c>
      <c r="F43">
        <v>9</v>
      </c>
      <c r="G43" t="str">
        <f>T("일편소엽")</f>
        <v>일편소엽</v>
      </c>
      <c r="J43" t="str">
        <f>T("심월")</f>
        <v>심월</v>
      </c>
      <c r="K43" t="str">
        <f>T("[e북]검출형산")</f>
        <v>[e북]검출형산</v>
      </c>
      <c r="L43">
        <v>3000</v>
      </c>
      <c r="M43">
        <v>0</v>
      </c>
      <c r="N43">
        <v>0</v>
      </c>
      <c r="O43">
        <v>0</v>
      </c>
      <c r="P43">
        <v>900</v>
      </c>
      <c r="Q43">
        <v>1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900</v>
      </c>
      <c r="AJ43">
        <v>1</v>
      </c>
      <c r="AK43">
        <v>0</v>
      </c>
      <c r="AL43">
        <v>0</v>
      </c>
      <c r="AM43">
        <v>900</v>
      </c>
      <c r="AN43">
        <v>0</v>
      </c>
      <c r="AO43">
        <v>0</v>
      </c>
      <c r="AP43">
        <v>0</v>
      </c>
      <c r="AQ43">
        <v>0</v>
      </c>
      <c r="AS43">
        <v>0</v>
      </c>
      <c r="AT43">
        <v>0</v>
      </c>
      <c r="AV43">
        <v>0</v>
      </c>
      <c r="AW43">
        <v>0</v>
      </c>
      <c r="AY43">
        <v>0</v>
      </c>
      <c r="AZ43">
        <v>0</v>
      </c>
      <c r="BA43">
        <v>630</v>
      </c>
      <c r="BF43" t="str">
        <f>T("D207040")</f>
        <v>D207040</v>
      </c>
      <c r="BG43" t="str">
        <f>T("판타지 e북 &gt; 전통 무협")</f>
        <v>판타지 e북 &gt; 전통 무협</v>
      </c>
    </row>
    <row r="44" spans="1:59">
      <c r="A44" t="s">
        <v>60</v>
      </c>
      <c r="B44" s="1">
        <v>46131</v>
      </c>
      <c r="C44">
        <v>2378080461</v>
      </c>
      <c r="D44">
        <v>2378080474</v>
      </c>
      <c r="E44" t="str">
        <f>T("[e북]검출형산 14권")</f>
        <v>[e북]검출형산 14권</v>
      </c>
      <c r="F44">
        <v>14</v>
      </c>
      <c r="G44" t="str">
        <f>T("일편소엽")</f>
        <v>일편소엽</v>
      </c>
      <c r="J44" t="str">
        <f>T("심월")</f>
        <v>심월</v>
      </c>
      <c r="K44" t="str">
        <f>T("[e북]검출형산")</f>
        <v>[e북]검출형산</v>
      </c>
      <c r="L44">
        <v>3000</v>
      </c>
      <c r="M44">
        <v>0</v>
      </c>
      <c r="N44">
        <v>0</v>
      </c>
      <c r="O44">
        <v>0</v>
      </c>
      <c r="P44">
        <v>900</v>
      </c>
      <c r="Q44">
        <v>1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900</v>
      </c>
      <c r="AJ44">
        <v>1</v>
      </c>
      <c r="AK44">
        <v>0</v>
      </c>
      <c r="AL44">
        <v>0</v>
      </c>
      <c r="AM44">
        <v>0</v>
      </c>
      <c r="AN44">
        <v>0</v>
      </c>
      <c r="AO44">
        <v>1080</v>
      </c>
      <c r="AP44">
        <v>-108</v>
      </c>
      <c r="AQ44">
        <v>0</v>
      </c>
      <c r="AS44">
        <v>0</v>
      </c>
      <c r="AT44">
        <v>0</v>
      </c>
      <c r="AU44">
        <v>1080</v>
      </c>
      <c r="AV44">
        <v>-108</v>
      </c>
      <c r="AW44">
        <v>0</v>
      </c>
      <c r="AY44">
        <v>0</v>
      </c>
      <c r="AZ44">
        <v>0</v>
      </c>
      <c r="BA44">
        <v>680.4</v>
      </c>
      <c r="BF44" t="str">
        <f>T("D207045")</f>
        <v>D207045</v>
      </c>
      <c r="BG44" t="str">
        <f>T("판타지 e북 &gt; 전통 무협")</f>
        <v>판타지 e북 &gt; 전통 무협</v>
      </c>
    </row>
    <row r="45" spans="1:59">
      <c r="A45" t="s">
        <v>60</v>
      </c>
      <c r="B45" s="1">
        <v>46131</v>
      </c>
      <c r="C45">
        <v>2378080461</v>
      </c>
      <c r="D45">
        <v>2378080470</v>
      </c>
      <c r="E45" t="str">
        <f>T("[e북]검출형산 10권")</f>
        <v>[e북]검출형산 10권</v>
      </c>
      <c r="F45">
        <v>10</v>
      </c>
      <c r="G45" t="str">
        <f>T("일편소엽")</f>
        <v>일편소엽</v>
      </c>
      <c r="J45" t="str">
        <f>T("심월")</f>
        <v>심월</v>
      </c>
      <c r="K45" t="str">
        <f>T("[e북]검출형산")</f>
        <v>[e북]검출형산</v>
      </c>
      <c r="L45">
        <v>3000</v>
      </c>
      <c r="M45">
        <v>0</v>
      </c>
      <c r="N45">
        <v>0</v>
      </c>
      <c r="O45">
        <v>0</v>
      </c>
      <c r="P45">
        <v>900</v>
      </c>
      <c r="Q45">
        <v>1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900</v>
      </c>
      <c r="AJ45">
        <v>1</v>
      </c>
      <c r="AK45">
        <v>0</v>
      </c>
      <c r="AL45">
        <v>0</v>
      </c>
      <c r="AM45">
        <v>900</v>
      </c>
      <c r="AN45">
        <v>0</v>
      </c>
      <c r="AO45">
        <v>0</v>
      </c>
      <c r="AP45">
        <v>0</v>
      </c>
      <c r="AQ45">
        <v>0</v>
      </c>
      <c r="AS45">
        <v>0</v>
      </c>
      <c r="AT45">
        <v>0</v>
      </c>
      <c r="AV45">
        <v>0</v>
      </c>
      <c r="AW45">
        <v>0</v>
      </c>
      <c r="AY45">
        <v>0</v>
      </c>
      <c r="AZ45">
        <v>0</v>
      </c>
      <c r="BA45">
        <v>630</v>
      </c>
      <c r="BF45" t="str">
        <f>T("D207041")</f>
        <v>D207041</v>
      </c>
      <c r="BG45" t="str">
        <f>T("판타지 e북 &gt; 전통 무협")</f>
        <v>판타지 e북 &gt; 전통 무협</v>
      </c>
    </row>
    <row r="46" spans="1:59">
      <c r="A46" t="s">
        <v>60</v>
      </c>
      <c r="B46" s="1">
        <v>46131</v>
      </c>
      <c r="C46">
        <v>2378080461</v>
      </c>
      <c r="D46">
        <v>2378080471</v>
      </c>
      <c r="E46" t="str">
        <f>T("[e북]검출형산 11권")</f>
        <v>[e북]검출형산 11권</v>
      </c>
      <c r="F46">
        <v>11</v>
      </c>
      <c r="G46" t="str">
        <f>T("일편소엽")</f>
        <v>일편소엽</v>
      </c>
      <c r="J46" t="str">
        <f>T("심월")</f>
        <v>심월</v>
      </c>
      <c r="K46" t="str">
        <f>T("[e북]검출형산")</f>
        <v>[e북]검출형산</v>
      </c>
      <c r="L46">
        <v>3000</v>
      </c>
      <c r="M46">
        <v>0</v>
      </c>
      <c r="N46">
        <v>0</v>
      </c>
      <c r="O46">
        <v>0</v>
      </c>
      <c r="P46">
        <v>900</v>
      </c>
      <c r="Q46">
        <v>1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900</v>
      </c>
      <c r="AJ46">
        <v>1</v>
      </c>
      <c r="AK46">
        <v>0</v>
      </c>
      <c r="AL46">
        <v>0</v>
      </c>
      <c r="AM46">
        <v>900</v>
      </c>
      <c r="AN46">
        <v>0</v>
      </c>
      <c r="AO46">
        <v>0</v>
      </c>
      <c r="AP46">
        <v>0</v>
      </c>
      <c r="AQ46">
        <v>0</v>
      </c>
      <c r="AS46">
        <v>0</v>
      </c>
      <c r="AT46">
        <v>0</v>
      </c>
      <c r="AV46">
        <v>0</v>
      </c>
      <c r="AW46">
        <v>0</v>
      </c>
      <c r="AY46">
        <v>0</v>
      </c>
      <c r="AZ46">
        <v>0</v>
      </c>
      <c r="BA46">
        <v>630</v>
      </c>
      <c r="BF46" t="str">
        <f>T("D207042")</f>
        <v>D207042</v>
      </c>
      <c r="BG46" t="str">
        <f>T("판타지 e북 &gt; 전통 무협")</f>
        <v>판타지 e북 &gt; 전통 무협</v>
      </c>
    </row>
    <row r="47" spans="1:59">
      <c r="A47" t="s">
        <v>60</v>
      </c>
      <c r="B47" s="1">
        <v>46131</v>
      </c>
      <c r="C47">
        <v>2378080461</v>
      </c>
      <c r="D47">
        <v>2378080464</v>
      </c>
      <c r="E47" t="str">
        <f>T("[e북]검출형산 4권")</f>
        <v>[e북]검출형산 4권</v>
      </c>
      <c r="F47">
        <v>4</v>
      </c>
      <c r="G47" t="str">
        <f>T("일편소엽")</f>
        <v>일편소엽</v>
      </c>
      <c r="J47" t="str">
        <f>T("심월")</f>
        <v>심월</v>
      </c>
      <c r="K47" t="str">
        <f>T("[e북]검출형산")</f>
        <v>[e북]검출형산</v>
      </c>
      <c r="L47">
        <v>3000</v>
      </c>
      <c r="M47">
        <v>3000</v>
      </c>
      <c r="N47">
        <v>1</v>
      </c>
      <c r="O47">
        <v>0</v>
      </c>
      <c r="P47">
        <v>900</v>
      </c>
      <c r="Q47">
        <v>1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3900</v>
      </c>
      <c r="AJ47">
        <v>2</v>
      </c>
      <c r="AK47">
        <v>0</v>
      </c>
      <c r="AL47">
        <v>0</v>
      </c>
      <c r="AM47">
        <v>900</v>
      </c>
      <c r="AN47">
        <v>0</v>
      </c>
      <c r="AO47">
        <v>3600</v>
      </c>
      <c r="AP47">
        <v>-360</v>
      </c>
      <c r="AQ47">
        <v>0</v>
      </c>
      <c r="AS47">
        <v>0</v>
      </c>
      <c r="AT47">
        <v>0</v>
      </c>
      <c r="AU47">
        <v>3600</v>
      </c>
      <c r="AV47">
        <v>-360</v>
      </c>
      <c r="AW47">
        <v>0</v>
      </c>
      <c r="AY47">
        <v>0</v>
      </c>
      <c r="AZ47">
        <v>0</v>
      </c>
      <c r="BA47">
        <v>2898</v>
      </c>
      <c r="BF47" t="str">
        <f>T("D207035")</f>
        <v>D207035</v>
      </c>
      <c r="BG47" t="str">
        <f>T("판타지 e북 &gt; 전통 무협")</f>
        <v>판타지 e북 &gt; 전통 무협</v>
      </c>
    </row>
    <row r="48" spans="1:59">
      <c r="A48" t="s">
        <v>60</v>
      </c>
      <c r="B48" s="1">
        <v>46131</v>
      </c>
      <c r="C48">
        <v>2378080461</v>
      </c>
      <c r="D48">
        <v>2378080465</v>
      </c>
      <c r="E48" t="str">
        <f>T("[e북]검출형산 5권")</f>
        <v>[e북]검출형산 5권</v>
      </c>
      <c r="F48">
        <v>5</v>
      </c>
      <c r="G48" t="str">
        <f>T("일편소엽")</f>
        <v>일편소엽</v>
      </c>
      <c r="J48" t="str">
        <f>T("심월")</f>
        <v>심월</v>
      </c>
      <c r="K48" t="str">
        <f>T("[e북]검출형산")</f>
        <v>[e북]검출형산</v>
      </c>
      <c r="L48">
        <v>3000</v>
      </c>
      <c r="M48">
        <v>0</v>
      </c>
      <c r="N48">
        <v>0</v>
      </c>
      <c r="O48">
        <v>0</v>
      </c>
      <c r="P48">
        <v>900</v>
      </c>
      <c r="Q48">
        <v>1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900</v>
      </c>
      <c r="AJ48">
        <v>1</v>
      </c>
      <c r="AK48">
        <v>0</v>
      </c>
      <c r="AL48">
        <v>0</v>
      </c>
      <c r="AM48">
        <v>0</v>
      </c>
      <c r="AN48">
        <v>0</v>
      </c>
      <c r="AO48">
        <v>1080</v>
      </c>
      <c r="AP48">
        <v>-108</v>
      </c>
      <c r="AQ48">
        <v>0</v>
      </c>
      <c r="AS48">
        <v>0</v>
      </c>
      <c r="AT48">
        <v>0</v>
      </c>
      <c r="AU48">
        <v>1080</v>
      </c>
      <c r="AV48">
        <v>-108</v>
      </c>
      <c r="AW48">
        <v>0</v>
      </c>
      <c r="AY48">
        <v>0</v>
      </c>
      <c r="AZ48">
        <v>0</v>
      </c>
      <c r="BA48">
        <v>680.4</v>
      </c>
      <c r="BF48" t="str">
        <f>T("D207036")</f>
        <v>D207036</v>
      </c>
      <c r="BG48" t="str">
        <f>T("판타지 e북 &gt; 전통 무협")</f>
        <v>판타지 e북 &gt; 전통 무협</v>
      </c>
    </row>
    <row r="49" spans="1:59">
      <c r="A49" t="s">
        <v>60</v>
      </c>
      <c r="B49" s="1">
        <v>46131</v>
      </c>
      <c r="C49">
        <v>2378080461</v>
      </c>
      <c r="D49">
        <v>2378080461</v>
      </c>
      <c r="E49" t="str">
        <f>T("[e북]검출형산 1권")</f>
        <v>[e북]검출형산 1권</v>
      </c>
      <c r="F49">
        <v>1</v>
      </c>
      <c r="G49" t="str">
        <f>T("일편소엽")</f>
        <v>일편소엽</v>
      </c>
      <c r="J49" t="str">
        <f>T("심월")</f>
        <v>심월</v>
      </c>
      <c r="K49" t="str">
        <f>T("[e북]검출형산")</f>
        <v>[e북]검출형산</v>
      </c>
      <c r="L49">
        <v>0</v>
      </c>
      <c r="M49">
        <v>0</v>
      </c>
      <c r="N49">
        <v>0</v>
      </c>
      <c r="O49">
        <v>1</v>
      </c>
      <c r="P49">
        <v>0</v>
      </c>
      <c r="Q49">
        <v>0</v>
      </c>
      <c r="R49">
        <v>2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3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S49">
        <v>0</v>
      </c>
      <c r="AT49">
        <v>0</v>
      </c>
      <c r="AV49">
        <v>0</v>
      </c>
      <c r="AW49">
        <v>0</v>
      </c>
      <c r="AY49">
        <v>0</v>
      </c>
      <c r="AZ49">
        <v>0</v>
      </c>
      <c r="BA49">
        <v>0</v>
      </c>
      <c r="BF49" t="str">
        <f>T("D207032")</f>
        <v>D207032</v>
      </c>
      <c r="BG49" t="str">
        <f>T("판타지 e북 &gt; 전통 무협")</f>
        <v>판타지 e북 &gt; 전통 무협</v>
      </c>
    </row>
    <row r="50" spans="1:59">
      <c r="A50" t="s">
        <v>60</v>
      </c>
      <c r="B50" s="1">
        <v>46131</v>
      </c>
      <c r="C50">
        <v>2378080461</v>
      </c>
      <c r="D50">
        <v>2378080466</v>
      </c>
      <c r="E50" t="str">
        <f>T("[e북]검출형산 6권")</f>
        <v>[e북]검출형산 6권</v>
      </c>
      <c r="F50">
        <v>6</v>
      </c>
      <c r="G50" t="str">
        <f>T("일편소엽")</f>
        <v>일편소엽</v>
      </c>
      <c r="J50" t="str">
        <f>T("심월")</f>
        <v>심월</v>
      </c>
      <c r="K50" t="str">
        <f>T("[e북]검출형산")</f>
        <v>[e북]검출형산</v>
      </c>
      <c r="L50">
        <v>3000</v>
      </c>
      <c r="M50">
        <v>0</v>
      </c>
      <c r="N50">
        <v>0</v>
      </c>
      <c r="O50">
        <v>0</v>
      </c>
      <c r="P50">
        <v>900</v>
      </c>
      <c r="Q50">
        <v>1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900</v>
      </c>
      <c r="AJ50">
        <v>1</v>
      </c>
      <c r="AK50">
        <v>0</v>
      </c>
      <c r="AL50">
        <v>0</v>
      </c>
      <c r="AM50">
        <v>900</v>
      </c>
      <c r="AN50">
        <v>0</v>
      </c>
      <c r="AO50">
        <v>0</v>
      </c>
      <c r="AP50">
        <v>0</v>
      </c>
      <c r="AQ50">
        <v>0</v>
      </c>
      <c r="AS50">
        <v>0</v>
      </c>
      <c r="AT50">
        <v>0</v>
      </c>
      <c r="AV50">
        <v>0</v>
      </c>
      <c r="AW50">
        <v>0</v>
      </c>
      <c r="AY50">
        <v>0</v>
      </c>
      <c r="AZ50">
        <v>0</v>
      </c>
      <c r="BA50">
        <v>630</v>
      </c>
      <c r="BF50" t="str">
        <f>T("D207037")</f>
        <v>D207037</v>
      </c>
      <c r="BG50" t="str">
        <f>T("판타지 e북 &gt; 전통 무협")</f>
        <v>판타지 e북 &gt; 전통 무협</v>
      </c>
    </row>
    <row r="51" spans="1:59">
      <c r="A51" t="s">
        <v>60</v>
      </c>
      <c r="B51" s="1">
        <v>46131</v>
      </c>
      <c r="C51">
        <v>2378080461</v>
      </c>
      <c r="D51">
        <v>2378080467</v>
      </c>
      <c r="E51" t="str">
        <f>T("[e북]검출형산 7권")</f>
        <v>[e북]검출형산 7권</v>
      </c>
      <c r="F51">
        <v>7</v>
      </c>
      <c r="G51" t="str">
        <f>T("일편소엽")</f>
        <v>일편소엽</v>
      </c>
      <c r="J51" t="str">
        <f>T("심월")</f>
        <v>심월</v>
      </c>
      <c r="K51" t="str">
        <f>T("[e북]검출형산")</f>
        <v>[e북]검출형산</v>
      </c>
      <c r="L51">
        <v>3000</v>
      </c>
      <c r="M51">
        <v>0</v>
      </c>
      <c r="N51">
        <v>0</v>
      </c>
      <c r="O51">
        <v>0</v>
      </c>
      <c r="P51">
        <v>900</v>
      </c>
      <c r="Q51">
        <v>1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900</v>
      </c>
      <c r="AJ51">
        <v>1</v>
      </c>
      <c r="AK51">
        <v>0</v>
      </c>
      <c r="AL51">
        <v>0</v>
      </c>
      <c r="AM51">
        <v>900</v>
      </c>
      <c r="AN51">
        <v>0</v>
      </c>
      <c r="AO51">
        <v>0</v>
      </c>
      <c r="AP51">
        <v>0</v>
      </c>
      <c r="AQ51">
        <v>0</v>
      </c>
      <c r="AS51">
        <v>0</v>
      </c>
      <c r="AT51">
        <v>0</v>
      </c>
      <c r="AV51">
        <v>0</v>
      </c>
      <c r="AW51">
        <v>0</v>
      </c>
      <c r="AY51">
        <v>0</v>
      </c>
      <c r="AZ51">
        <v>0</v>
      </c>
      <c r="BA51">
        <v>630</v>
      </c>
      <c r="BF51" t="str">
        <f>T("D207038")</f>
        <v>D207038</v>
      </c>
      <c r="BG51" t="str">
        <f>T("판타지 e북 &gt; 전통 무협")</f>
        <v>판타지 e북 &gt; 전통 무협</v>
      </c>
    </row>
    <row r="52" spans="1:59">
      <c r="A52" t="s">
        <v>60</v>
      </c>
      <c r="B52" s="1">
        <v>46131</v>
      </c>
      <c r="C52">
        <v>2378080461</v>
      </c>
      <c r="D52">
        <v>2378080468</v>
      </c>
      <c r="E52" t="str">
        <f>T("[e북]검출형산 8권")</f>
        <v>[e북]검출형산 8권</v>
      </c>
      <c r="F52">
        <v>8</v>
      </c>
      <c r="G52" t="str">
        <f>T("일편소엽")</f>
        <v>일편소엽</v>
      </c>
      <c r="J52" t="str">
        <f>T("심월")</f>
        <v>심월</v>
      </c>
      <c r="K52" t="str">
        <f>T("[e북]검출형산")</f>
        <v>[e북]검출형산</v>
      </c>
      <c r="L52">
        <v>3000</v>
      </c>
      <c r="M52">
        <v>0</v>
      </c>
      <c r="N52">
        <v>0</v>
      </c>
      <c r="O52">
        <v>0</v>
      </c>
      <c r="P52">
        <v>900</v>
      </c>
      <c r="Q52">
        <v>1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900</v>
      </c>
      <c r="AJ52">
        <v>1</v>
      </c>
      <c r="AK52">
        <v>0</v>
      </c>
      <c r="AL52">
        <v>0</v>
      </c>
      <c r="AM52">
        <v>900</v>
      </c>
      <c r="AN52">
        <v>0</v>
      </c>
      <c r="AO52">
        <v>0</v>
      </c>
      <c r="AP52">
        <v>0</v>
      </c>
      <c r="AQ52">
        <v>0</v>
      </c>
      <c r="AS52">
        <v>0</v>
      </c>
      <c r="AT52">
        <v>0</v>
      </c>
      <c r="AV52">
        <v>0</v>
      </c>
      <c r="AW52">
        <v>0</v>
      </c>
      <c r="AY52">
        <v>0</v>
      </c>
      <c r="AZ52">
        <v>0</v>
      </c>
      <c r="BA52">
        <v>630</v>
      </c>
      <c r="BF52" t="str">
        <f>T("D207039")</f>
        <v>D207039</v>
      </c>
      <c r="BG52" t="str">
        <f>T("판타지 e북 &gt; 전통 무협")</f>
        <v>판타지 e북 &gt; 전통 무협</v>
      </c>
    </row>
    <row r="53" spans="1:59">
      <c r="A53" t="s">
        <v>60</v>
      </c>
      <c r="B53" s="1">
        <v>46131</v>
      </c>
      <c r="C53">
        <v>2378080461</v>
      </c>
      <c r="D53">
        <v>2378080463</v>
      </c>
      <c r="E53" t="str">
        <f>T("[e북]검출형산 3권")</f>
        <v>[e북]검출형산 3권</v>
      </c>
      <c r="F53">
        <v>3</v>
      </c>
      <c r="G53" t="str">
        <f>T("일편소엽")</f>
        <v>일편소엽</v>
      </c>
      <c r="J53" t="str">
        <f>T("심월")</f>
        <v>심월</v>
      </c>
      <c r="K53" t="str">
        <f>T("[e북]검출형산")</f>
        <v>[e북]검출형산</v>
      </c>
      <c r="L53">
        <v>3000</v>
      </c>
      <c r="M53">
        <v>3000</v>
      </c>
      <c r="N53">
        <v>1</v>
      </c>
      <c r="O53">
        <v>0</v>
      </c>
      <c r="P53">
        <v>900</v>
      </c>
      <c r="Q53">
        <v>1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3900</v>
      </c>
      <c r="AJ53">
        <v>2</v>
      </c>
      <c r="AK53">
        <v>0</v>
      </c>
      <c r="AL53">
        <v>0</v>
      </c>
      <c r="AM53">
        <v>900</v>
      </c>
      <c r="AN53">
        <v>0</v>
      </c>
      <c r="AO53">
        <v>3600</v>
      </c>
      <c r="AP53">
        <v>-360</v>
      </c>
      <c r="AQ53">
        <v>0</v>
      </c>
      <c r="AS53">
        <v>0</v>
      </c>
      <c r="AT53">
        <v>0</v>
      </c>
      <c r="AU53">
        <v>3600</v>
      </c>
      <c r="AV53">
        <v>-360</v>
      </c>
      <c r="AW53">
        <v>0</v>
      </c>
      <c r="AY53">
        <v>0</v>
      </c>
      <c r="AZ53">
        <v>0</v>
      </c>
      <c r="BA53">
        <v>2898</v>
      </c>
      <c r="BF53" t="str">
        <f>T("D207034")</f>
        <v>D207034</v>
      </c>
      <c r="BG53" t="str">
        <f>T("판타지 e북 &gt; 전통 무협")</f>
        <v>판타지 e북 &gt; 전통 무협</v>
      </c>
    </row>
    <row r="54" spans="1:59">
      <c r="A54" t="s">
        <v>60</v>
      </c>
      <c r="B54" s="1">
        <v>46131</v>
      </c>
      <c r="C54">
        <v>2378080461</v>
      </c>
      <c r="D54">
        <v>2378080473</v>
      </c>
      <c r="E54" t="str">
        <f>T("[e북]검출형산 13권")</f>
        <v>[e북]검출형산 13권</v>
      </c>
      <c r="F54">
        <v>13</v>
      </c>
      <c r="G54" t="str">
        <f>T("일편소엽")</f>
        <v>일편소엽</v>
      </c>
      <c r="J54" t="str">
        <f>T("심월")</f>
        <v>심월</v>
      </c>
      <c r="K54" t="str">
        <f>T("[e북]검출형산")</f>
        <v>[e북]검출형산</v>
      </c>
      <c r="L54">
        <v>3000</v>
      </c>
      <c r="M54">
        <v>0</v>
      </c>
      <c r="N54">
        <v>0</v>
      </c>
      <c r="O54">
        <v>0</v>
      </c>
      <c r="P54">
        <v>900</v>
      </c>
      <c r="Q54">
        <v>1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900</v>
      </c>
      <c r="AJ54">
        <v>1</v>
      </c>
      <c r="AK54">
        <v>0</v>
      </c>
      <c r="AL54">
        <v>0</v>
      </c>
      <c r="AM54">
        <v>900</v>
      </c>
      <c r="AN54">
        <v>0</v>
      </c>
      <c r="AO54">
        <v>0</v>
      </c>
      <c r="AP54">
        <v>0</v>
      </c>
      <c r="AQ54">
        <v>0</v>
      </c>
      <c r="AS54">
        <v>0</v>
      </c>
      <c r="AT54">
        <v>0</v>
      </c>
      <c r="AV54">
        <v>0</v>
      </c>
      <c r="AW54">
        <v>0</v>
      </c>
      <c r="AY54">
        <v>0</v>
      </c>
      <c r="AZ54">
        <v>0</v>
      </c>
      <c r="BA54">
        <v>630</v>
      </c>
      <c r="BF54" t="str">
        <f>T("D207044")</f>
        <v>D207044</v>
      </c>
      <c r="BG54" t="str">
        <f>T("판타지 e북 &gt; 전통 무협")</f>
        <v>판타지 e북 &gt; 전통 무협</v>
      </c>
    </row>
    <row r="55" spans="1:59">
      <c r="A55" t="s">
        <v>60</v>
      </c>
      <c r="B55" s="1">
        <v>46131</v>
      </c>
      <c r="C55">
        <v>2378080461</v>
      </c>
      <c r="D55">
        <v>2378080478</v>
      </c>
      <c r="E55" t="str">
        <f>T("[e북]검출형산 18권 외전")</f>
        <v>[e북]검출형산 18권 외전</v>
      </c>
      <c r="F55">
        <v>18</v>
      </c>
      <c r="G55" t="str">
        <f>T("일편소엽")</f>
        <v>일편소엽</v>
      </c>
      <c r="J55" t="str">
        <f>T("심월")</f>
        <v>심월</v>
      </c>
      <c r="K55" t="str">
        <f>T("[e북]검출형산")</f>
        <v>[e북]검출형산</v>
      </c>
      <c r="L55">
        <v>3000</v>
      </c>
      <c r="M55">
        <v>0</v>
      </c>
      <c r="N55">
        <v>0</v>
      </c>
      <c r="O55">
        <v>0</v>
      </c>
      <c r="P55">
        <v>900</v>
      </c>
      <c r="Q55">
        <v>1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900</v>
      </c>
      <c r="AJ55">
        <v>1</v>
      </c>
      <c r="AK55">
        <v>0</v>
      </c>
      <c r="AL55">
        <v>0</v>
      </c>
      <c r="AM55">
        <v>900</v>
      </c>
      <c r="AN55">
        <v>0</v>
      </c>
      <c r="AO55">
        <v>0</v>
      </c>
      <c r="AP55">
        <v>0</v>
      </c>
      <c r="AQ55">
        <v>0</v>
      </c>
      <c r="AS55">
        <v>0</v>
      </c>
      <c r="AT55">
        <v>0</v>
      </c>
      <c r="AV55">
        <v>0</v>
      </c>
      <c r="AW55">
        <v>0</v>
      </c>
      <c r="AY55">
        <v>0</v>
      </c>
      <c r="AZ55">
        <v>0</v>
      </c>
      <c r="BA55">
        <v>630</v>
      </c>
      <c r="BF55" t="str">
        <f>T("D207049")</f>
        <v>D207049</v>
      </c>
      <c r="BG55" t="str">
        <f>T("판타지 e북 &gt; 전통 무협")</f>
        <v>판타지 e북 &gt; 전통 무협</v>
      </c>
    </row>
    <row r="56" spans="1:59">
      <c r="A56" t="s">
        <v>60</v>
      </c>
      <c r="B56" s="1">
        <v>46131</v>
      </c>
      <c r="C56">
        <v>2378080461</v>
      </c>
      <c r="D56">
        <v>2378080472</v>
      </c>
      <c r="E56" t="str">
        <f>T("[e북]검출형산 12권")</f>
        <v>[e북]검출형산 12권</v>
      </c>
      <c r="F56">
        <v>12</v>
      </c>
      <c r="G56" t="str">
        <f>T("일편소엽")</f>
        <v>일편소엽</v>
      </c>
      <c r="J56" t="str">
        <f>T("심월")</f>
        <v>심월</v>
      </c>
      <c r="K56" t="str">
        <f>T("[e북]검출형산")</f>
        <v>[e북]검출형산</v>
      </c>
      <c r="L56">
        <v>3000</v>
      </c>
      <c r="M56">
        <v>0</v>
      </c>
      <c r="N56">
        <v>0</v>
      </c>
      <c r="O56">
        <v>0</v>
      </c>
      <c r="P56">
        <v>900</v>
      </c>
      <c r="Q56">
        <v>1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900</v>
      </c>
      <c r="AJ56">
        <v>1</v>
      </c>
      <c r="AK56">
        <v>0</v>
      </c>
      <c r="AL56">
        <v>0</v>
      </c>
      <c r="AM56">
        <v>900</v>
      </c>
      <c r="AN56">
        <v>0</v>
      </c>
      <c r="AO56">
        <v>0</v>
      </c>
      <c r="AP56">
        <v>0</v>
      </c>
      <c r="AQ56">
        <v>0</v>
      </c>
      <c r="AS56">
        <v>0</v>
      </c>
      <c r="AT56">
        <v>0</v>
      </c>
      <c r="AV56">
        <v>0</v>
      </c>
      <c r="AW56">
        <v>0</v>
      </c>
      <c r="AY56">
        <v>0</v>
      </c>
      <c r="AZ56">
        <v>0</v>
      </c>
      <c r="BA56">
        <v>630</v>
      </c>
      <c r="BF56" t="str">
        <f>T("D207043")</f>
        <v>D207043</v>
      </c>
      <c r="BG56" t="str">
        <f>T("판타지 e북 &gt; 전통 무협")</f>
        <v>판타지 e북 &gt; 전통 무협</v>
      </c>
    </row>
    <row r="57" spans="1:59">
      <c r="A57" t="s">
        <v>60</v>
      </c>
      <c r="B57" s="1">
        <v>46131</v>
      </c>
      <c r="C57">
        <v>2378055039</v>
      </c>
      <c r="D57">
        <v>2378055039</v>
      </c>
      <c r="E57" t="str">
        <f>T("[e북]경찰이 너무 강함 1권")</f>
        <v>[e북]경찰이 너무 강함 1권</v>
      </c>
      <c r="F57">
        <v>1</v>
      </c>
      <c r="G57" t="str">
        <f>T("김기세")</f>
        <v>김기세</v>
      </c>
      <c r="J57" t="str">
        <f>T("매드햇")</f>
        <v>매드햇</v>
      </c>
      <c r="K57" t="str">
        <f>T("[e북]경찰이 너무 강함")</f>
        <v>[e북]경찰이 너무 강함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1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S57">
        <v>0</v>
      </c>
      <c r="AT57">
        <v>0</v>
      </c>
      <c r="AV57">
        <v>0</v>
      </c>
      <c r="AW57">
        <v>0</v>
      </c>
      <c r="AY57">
        <v>0</v>
      </c>
      <c r="AZ57">
        <v>0</v>
      </c>
      <c r="BA57">
        <v>0</v>
      </c>
      <c r="BE57" t="str">
        <f>T("9791137009004")</f>
        <v>9791137009004</v>
      </c>
      <c r="BF57" t="str">
        <f>T("k109218")</f>
        <v>k109218</v>
      </c>
      <c r="BG57" t="str">
        <f>T("판타지 e북 &gt; 현대 판타지")</f>
        <v>판타지 e북 &gt; 현대 판타지</v>
      </c>
    </row>
    <row r="58" spans="1:59">
      <c r="A58" t="s">
        <v>60</v>
      </c>
      <c r="B58" s="1">
        <v>46131</v>
      </c>
      <c r="C58">
        <v>2378052377</v>
      </c>
      <c r="D58">
        <v>2378053768</v>
      </c>
      <c r="E58" t="str">
        <f>T("[e북]구원의 불꽃은 꺼지지 않는다 (외전)")</f>
        <v>[e북]구원의 불꽃은 꺼지지 않는다 (외전)</v>
      </c>
      <c r="F58">
        <v>5</v>
      </c>
      <c r="G58" t="str">
        <f>T("밤빛")</f>
        <v>밤빛</v>
      </c>
      <c r="J58" t="str">
        <f>T("시계토끼")</f>
        <v>시계토끼</v>
      </c>
      <c r="K58" t="str">
        <f>T("[e북]구원의 불꽃은 꺼지지 않는다")</f>
        <v>[e북]구원의 불꽃은 꺼지지 않는다</v>
      </c>
      <c r="L58">
        <v>500</v>
      </c>
      <c r="M58">
        <v>500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500</v>
      </c>
      <c r="AJ58">
        <v>1</v>
      </c>
      <c r="AK58">
        <v>0</v>
      </c>
      <c r="AL58">
        <v>0</v>
      </c>
      <c r="AM58">
        <v>500</v>
      </c>
      <c r="AN58">
        <v>0</v>
      </c>
      <c r="AO58">
        <v>0</v>
      </c>
      <c r="AP58">
        <v>0</v>
      </c>
      <c r="AQ58">
        <v>0</v>
      </c>
      <c r="AS58">
        <v>0</v>
      </c>
      <c r="AT58">
        <v>0</v>
      </c>
      <c r="AV58">
        <v>0</v>
      </c>
      <c r="AW58">
        <v>0</v>
      </c>
      <c r="AY58">
        <v>0</v>
      </c>
      <c r="AZ58">
        <v>0</v>
      </c>
      <c r="BA58">
        <v>350</v>
      </c>
      <c r="BE58" t="str">
        <f>T("9791164098613")</f>
        <v>9791164098613</v>
      </c>
      <c r="BF58" t="str">
        <f>T("k112024")</f>
        <v>k112024</v>
      </c>
      <c r="BG58" t="str">
        <f>T("로판 e북 &gt; 서양풍 로판")</f>
        <v>로판 e북 &gt; 서양풍 로판</v>
      </c>
    </row>
    <row r="59" spans="1:59">
      <c r="A59" t="s">
        <v>60</v>
      </c>
      <c r="B59" s="1">
        <v>46131</v>
      </c>
      <c r="C59">
        <v>2378051227</v>
      </c>
      <c r="D59">
        <v>2378051229</v>
      </c>
      <c r="E59" t="str">
        <f>T("[e북]구원자가 도망친 밤 3권")</f>
        <v>[e북]구원자가 도망친 밤 3권</v>
      </c>
      <c r="F59">
        <v>3</v>
      </c>
      <c r="G59" t="str">
        <f>T("얼든트")</f>
        <v>얼든트</v>
      </c>
      <c r="J59" t="str">
        <f>T("시계토끼")</f>
        <v>시계토끼</v>
      </c>
      <c r="K59" t="str">
        <f>T("[e북]구원자가 도망친 밤")</f>
        <v>[e북]구원자가 도망친 밤</v>
      </c>
      <c r="L59">
        <v>3400</v>
      </c>
      <c r="M59">
        <v>3400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3400</v>
      </c>
      <c r="AJ59">
        <v>1</v>
      </c>
      <c r="AK59">
        <v>0</v>
      </c>
      <c r="AL59">
        <v>0</v>
      </c>
      <c r="AM59">
        <v>0</v>
      </c>
      <c r="AN59">
        <v>0</v>
      </c>
      <c r="AO59">
        <v>4080</v>
      </c>
      <c r="AP59">
        <v>-408</v>
      </c>
      <c r="AQ59">
        <v>0</v>
      </c>
      <c r="AS59">
        <v>0</v>
      </c>
      <c r="AT59">
        <v>0</v>
      </c>
      <c r="AU59">
        <v>4080</v>
      </c>
      <c r="AV59">
        <v>-408</v>
      </c>
      <c r="AW59">
        <v>0</v>
      </c>
      <c r="AY59">
        <v>0</v>
      </c>
      <c r="AZ59">
        <v>0</v>
      </c>
      <c r="BA59">
        <v>2570.4</v>
      </c>
      <c r="BE59" t="str">
        <f>T("9791164098330")</f>
        <v>9791164098330</v>
      </c>
      <c r="BF59" t="str">
        <f>T("k069386")</f>
        <v>k069386</v>
      </c>
      <c r="BG59" t="str">
        <f>T("로판 e북 &gt; 서양풍 로판")</f>
        <v>로판 e북 &gt; 서양풍 로판</v>
      </c>
    </row>
    <row r="60" spans="1:59">
      <c r="A60" t="s">
        <v>60</v>
      </c>
      <c r="B60" s="1">
        <v>46129</v>
      </c>
      <c r="C60">
        <v>2378080523</v>
      </c>
      <c r="D60">
        <v>2378080524</v>
      </c>
      <c r="E60" t="str">
        <f>T("[e북]궁전 모텔 (19세 완전판) 2권")</f>
        <v>[e북]궁전 모텔 (19세 완전판) 2권</v>
      </c>
      <c r="F60">
        <v>2</v>
      </c>
      <c r="G60" t="str">
        <f>T("장노을")</f>
        <v>장노을</v>
      </c>
      <c r="J60" t="str">
        <f>T("체셔")</f>
        <v>체셔</v>
      </c>
      <c r="K60" t="str">
        <f>T("[e북]궁전 모텔 (19세 완전판)")</f>
        <v>[e북]궁전 모텔 (19세 완전판)</v>
      </c>
      <c r="L60">
        <v>3200</v>
      </c>
      <c r="M60">
        <v>3200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3200</v>
      </c>
      <c r="AJ60">
        <v>1</v>
      </c>
      <c r="AK60">
        <v>0</v>
      </c>
      <c r="AL60">
        <v>0</v>
      </c>
      <c r="AM60">
        <v>3200</v>
      </c>
      <c r="AN60">
        <v>0</v>
      </c>
      <c r="AO60">
        <v>0</v>
      </c>
      <c r="AP60">
        <v>0</v>
      </c>
      <c r="AQ60">
        <v>0</v>
      </c>
      <c r="AS60">
        <v>0</v>
      </c>
      <c r="AT60">
        <v>0</v>
      </c>
      <c r="AV60">
        <v>0</v>
      </c>
      <c r="AW60">
        <v>0</v>
      </c>
      <c r="AY60">
        <v>0</v>
      </c>
      <c r="AZ60">
        <v>0</v>
      </c>
      <c r="BA60">
        <v>2240</v>
      </c>
      <c r="BF60" t="str">
        <f>T("D235680")</f>
        <v>D235680</v>
      </c>
      <c r="BG60" t="str">
        <f>T("BL 소설 e북 &gt; 현대물")</f>
        <v>BL 소설 e북 &gt; 현대물</v>
      </c>
    </row>
    <row r="61" spans="1:59">
      <c r="A61" t="s">
        <v>60</v>
      </c>
      <c r="B61" s="1">
        <v>46129</v>
      </c>
      <c r="C61">
        <v>2378080523</v>
      </c>
      <c r="D61">
        <v>2378080525</v>
      </c>
      <c r="E61" t="str">
        <f>T("[e북]궁전 모텔 (19세 완전판) 3권")</f>
        <v>[e북]궁전 모텔 (19세 완전판) 3권</v>
      </c>
      <c r="F61">
        <v>3</v>
      </c>
      <c r="G61" t="str">
        <f>T("장노을")</f>
        <v>장노을</v>
      </c>
      <c r="J61" t="str">
        <f>T("체셔")</f>
        <v>체셔</v>
      </c>
      <c r="K61" t="str">
        <f>T("[e북]궁전 모텔 (19세 완전판)")</f>
        <v>[e북]궁전 모텔 (19세 완전판)</v>
      </c>
      <c r="L61">
        <v>3200</v>
      </c>
      <c r="M61">
        <v>3200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3200</v>
      </c>
      <c r="AJ61">
        <v>1</v>
      </c>
      <c r="AK61">
        <v>0</v>
      </c>
      <c r="AL61">
        <v>0</v>
      </c>
      <c r="AM61">
        <v>3200</v>
      </c>
      <c r="AN61">
        <v>0</v>
      </c>
      <c r="AO61">
        <v>0</v>
      </c>
      <c r="AP61">
        <v>0</v>
      </c>
      <c r="AQ61">
        <v>0</v>
      </c>
      <c r="AS61">
        <v>0</v>
      </c>
      <c r="AT61">
        <v>0</v>
      </c>
      <c r="AV61">
        <v>0</v>
      </c>
      <c r="AW61">
        <v>0</v>
      </c>
      <c r="AY61">
        <v>0</v>
      </c>
      <c r="AZ61">
        <v>0</v>
      </c>
      <c r="BA61">
        <v>2240</v>
      </c>
      <c r="BF61" t="str">
        <f>T("D235681")</f>
        <v>D235681</v>
      </c>
      <c r="BG61" t="str">
        <f>T("BL 소설 e북 &gt; 현대물")</f>
        <v>BL 소설 e북 &gt; 현대물</v>
      </c>
    </row>
    <row r="62" spans="1:59">
      <c r="A62" t="s">
        <v>60</v>
      </c>
      <c r="B62" s="1">
        <v>46130</v>
      </c>
      <c r="C62">
        <v>2378080523</v>
      </c>
      <c r="D62">
        <v>2378080526</v>
      </c>
      <c r="E62" t="str">
        <f>T("[e북]궁전 모텔 (19세 완전판) 4권 (완결)")</f>
        <v>[e북]궁전 모텔 (19세 완전판) 4권 (완결)</v>
      </c>
      <c r="F62">
        <v>4</v>
      </c>
      <c r="G62" t="str">
        <f>T("장노을")</f>
        <v>장노을</v>
      </c>
      <c r="J62" t="str">
        <f>T("체셔")</f>
        <v>체셔</v>
      </c>
      <c r="K62" t="str">
        <f>T("[e북]궁전 모텔 (19세 완전판)")</f>
        <v>[e북]궁전 모텔 (19세 완전판)</v>
      </c>
      <c r="L62">
        <v>3200</v>
      </c>
      <c r="M62">
        <v>3200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3200</v>
      </c>
      <c r="AJ62">
        <v>1</v>
      </c>
      <c r="AK62">
        <v>0</v>
      </c>
      <c r="AL62">
        <v>0</v>
      </c>
      <c r="AM62">
        <v>3200</v>
      </c>
      <c r="AN62">
        <v>0</v>
      </c>
      <c r="AO62">
        <v>0</v>
      </c>
      <c r="AP62">
        <v>0</v>
      </c>
      <c r="AQ62">
        <v>0</v>
      </c>
      <c r="AS62">
        <v>0</v>
      </c>
      <c r="AT62">
        <v>0</v>
      </c>
      <c r="AV62">
        <v>0</v>
      </c>
      <c r="AW62">
        <v>0</v>
      </c>
      <c r="AY62">
        <v>0</v>
      </c>
      <c r="AZ62">
        <v>0</v>
      </c>
      <c r="BA62">
        <v>2240</v>
      </c>
      <c r="BF62" t="str">
        <f>T("D235682")</f>
        <v>D235682</v>
      </c>
      <c r="BG62" t="str">
        <f>T("BL 소설 e북 &gt; 현대물")</f>
        <v>BL 소설 e북 &gt; 현대물</v>
      </c>
    </row>
    <row r="63" spans="1:59">
      <c r="A63" t="s">
        <v>60</v>
      </c>
      <c r="B63" s="1">
        <v>46130</v>
      </c>
      <c r="C63">
        <v>2378073639</v>
      </c>
      <c r="D63">
        <v>2378073639</v>
      </c>
      <c r="E63" t="str">
        <f>T("[e북]귀신 잡고 폭렙업 1권")</f>
        <v>[e북]귀신 잡고 폭렙업 1권</v>
      </c>
      <c r="F63">
        <v>1</v>
      </c>
      <c r="G63" t="str">
        <f>T("흰백작")</f>
        <v>흰백작</v>
      </c>
      <c r="J63" t="str">
        <f>T("오쉬컴퍼니")</f>
        <v>오쉬컴퍼니</v>
      </c>
      <c r="K63" t="str">
        <f>T("[e북]귀신 잡고 폭렙업")</f>
        <v>[e북]귀신 잡고 폭렙업</v>
      </c>
      <c r="L63">
        <v>0</v>
      </c>
      <c r="M63">
        <v>0</v>
      </c>
      <c r="N63">
        <v>0</v>
      </c>
      <c r="O63">
        <v>1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1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S63">
        <v>0</v>
      </c>
      <c r="AT63">
        <v>0</v>
      </c>
      <c r="AV63">
        <v>0</v>
      </c>
      <c r="AW63">
        <v>0</v>
      </c>
      <c r="AY63">
        <v>0</v>
      </c>
      <c r="AZ63">
        <v>0</v>
      </c>
      <c r="BA63">
        <v>0</v>
      </c>
      <c r="BE63" t="str">
        <f>T("9791168282506")</f>
        <v>9791168282506</v>
      </c>
      <c r="BF63" t="str">
        <f>T("k307837")</f>
        <v>k307837</v>
      </c>
      <c r="BG63" t="str">
        <f>T("판타지 e북 &gt; 현대 판타지")</f>
        <v>판타지 e북 &gt; 현대 판타지</v>
      </c>
    </row>
    <row r="64" spans="1:59">
      <c r="A64" t="s">
        <v>60</v>
      </c>
      <c r="B64" s="1">
        <v>46129</v>
      </c>
      <c r="C64">
        <v>2378029042</v>
      </c>
      <c r="D64">
        <v>2378029043</v>
      </c>
      <c r="E64" t="str">
        <f>T("[e북]그는 이것을 사랑이라 말한다 2권")</f>
        <v>[e북]그는 이것을 사랑이라 말한다 2권</v>
      </c>
      <c r="F64">
        <v>2</v>
      </c>
      <c r="G64" t="str">
        <f>T("준희")</f>
        <v>준희</v>
      </c>
      <c r="J64" t="str">
        <f>T("시계토끼")</f>
        <v>시계토끼</v>
      </c>
      <c r="K64" t="str">
        <f>T("[e북]그는 이것을 사랑이라 말한다")</f>
        <v>[e북]그는 이것을 사랑이라 말한다</v>
      </c>
      <c r="L64">
        <v>3000</v>
      </c>
      <c r="M64">
        <v>3000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3000</v>
      </c>
      <c r="AJ64">
        <v>1</v>
      </c>
      <c r="AK64">
        <v>0</v>
      </c>
      <c r="AL64">
        <v>0</v>
      </c>
      <c r="AM64">
        <v>0</v>
      </c>
      <c r="AN64">
        <v>0</v>
      </c>
      <c r="AO64">
        <v>3600</v>
      </c>
      <c r="AP64">
        <v>-1080</v>
      </c>
      <c r="AQ64">
        <v>0</v>
      </c>
      <c r="AR64">
        <v>3600</v>
      </c>
      <c r="AS64">
        <v>-1080</v>
      </c>
      <c r="AT64">
        <v>0</v>
      </c>
      <c r="AV64">
        <v>0</v>
      </c>
      <c r="AW64">
        <v>0</v>
      </c>
      <c r="AY64">
        <v>0</v>
      </c>
      <c r="AZ64">
        <v>0</v>
      </c>
      <c r="BA64">
        <v>1764</v>
      </c>
      <c r="BE64" t="str">
        <f>T("9791164095667")</f>
        <v>9791164095667</v>
      </c>
      <c r="BF64" t="str">
        <f>T("E843377")</f>
        <v>E843377</v>
      </c>
      <c r="BG64" t="str">
        <f>T("로판 e북 &gt; 서양풍 로판")</f>
        <v>로판 e북 &gt; 서양풍 로판</v>
      </c>
    </row>
    <row r="65" spans="1:59">
      <c r="A65" t="s">
        <v>60</v>
      </c>
      <c r="B65" s="1">
        <v>46129</v>
      </c>
      <c r="C65">
        <v>2378029042</v>
      </c>
      <c r="D65">
        <v>2378029044</v>
      </c>
      <c r="E65" t="str">
        <f>T("[e북]그는 이것을 사랑이라 말한다 3권 (완결)")</f>
        <v>[e북]그는 이것을 사랑이라 말한다 3권 (완결)</v>
      </c>
      <c r="F65">
        <v>3</v>
      </c>
      <c r="G65" t="str">
        <f>T("준희")</f>
        <v>준희</v>
      </c>
      <c r="J65" t="str">
        <f>T("시계토끼")</f>
        <v>시계토끼</v>
      </c>
      <c r="K65" t="str">
        <f>T("[e북]그는 이것을 사랑이라 말한다")</f>
        <v>[e북]그는 이것을 사랑이라 말한다</v>
      </c>
      <c r="L65">
        <v>3000</v>
      </c>
      <c r="M65">
        <v>3000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3000</v>
      </c>
      <c r="AJ65">
        <v>1</v>
      </c>
      <c r="AK65">
        <v>0</v>
      </c>
      <c r="AL65">
        <v>0</v>
      </c>
      <c r="AM65">
        <v>0</v>
      </c>
      <c r="AN65">
        <v>0</v>
      </c>
      <c r="AO65">
        <v>3600</v>
      </c>
      <c r="AP65">
        <v>-1080</v>
      </c>
      <c r="AQ65">
        <v>0</v>
      </c>
      <c r="AR65">
        <v>3600</v>
      </c>
      <c r="AS65">
        <v>-1080</v>
      </c>
      <c r="AT65">
        <v>0</v>
      </c>
      <c r="AV65">
        <v>0</v>
      </c>
      <c r="AW65">
        <v>0</v>
      </c>
      <c r="AY65">
        <v>0</v>
      </c>
      <c r="AZ65">
        <v>0</v>
      </c>
      <c r="BA65">
        <v>1764</v>
      </c>
      <c r="BE65" t="str">
        <f>T("9791164095674")</f>
        <v>9791164095674</v>
      </c>
      <c r="BF65" t="str">
        <f>T("E843378")</f>
        <v>E843378</v>
      </c>
      <c r="BG65" t="str">
        <f>T("로판 e북 &gt; 서양풍 로판")</f>
        <v>로판 e북 &gt; 서양풍 로판</v>
      </c>
    </row>
    <row r="66" spans="1:59">
      <c r="A66" t="s">
        <v>60</v>
      </c>
      <c r="B66" s="1">
        <v>46131</v>
      </c>
      <c r="C66">
        <v>2378060083</v>
      </c>
      <c r="D66">
        <v>2378060083</v>
      </c>
      <c r="E66" t="str">
        <f>T("[e북]그대라는 속박 1권")</f>
        <v>[e북]그대라는 속박 1권</v>
      </c>
      <c r="F66">
        <v>1</v>
      </c>
      <c r="G66" t="str">
        <f>T("두룹")</f>
        <v>두룹</v>
      </c>
      <c r="J66" t="str">
        <f>T("하트퀸")</f>
        <v>하트퀸</v>
      </c>
      <c r="K66" t="str">
        <f>T("[e북]그대라는 속박")</f>
        <v>[e북]그대라는 속박</v>
      </c>
      <c r="L66">
        <v>3200</v>
      </c>
      <c r="M66">
        <v>3200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3200</v>
      </c>
      <c r="AJ66">
        <v>1</v>
      </c>
      <c r="AK66">
        <v>0</v>
      </c>
      <c r="AL66">
        <v>0</v>
      </c>
      <c r="AM66">
        <v>3200</v>
      </c>
      <c r="AN66">
        <v>0</v>
      </c>
      <c r="AO66">
        <v>0</v>
      </c>
      <c r="AP66">
        <v>0</v>
      </c>
      <c r="AQ66">
        <v>0</v>
      </c>
      <c r="AS66">
        <v>0</v>
      </c>
      <c r="AT66">
        <v>0</v>
      </c>
      <c r="AV66">
        <v>0</v>
      </c>
      <c r="AW66">
        <v>0</v>
      </c>
      <c r="AY66">
        <v>0</v>
      </c>
      <c r="AZ66">
        <v>0</v>
      </c>
      <c r="BA66">
        <v>2240</v>
      </c>
      <c r="BE66" t="str">
        <f>T("9791171500437")</f>
        <v>9791171500437</v>
      </c>
      <c r="BF66" t="str">
        <f>T("k206061")</f>
        <v>k206061</v>
      </c>
      <c r="BG66" t="str">
        <f>T("로맨스 e북 &gt; 현대물")</f>
        <v>로맨스 e북 &gt; 현대물</v>
      </c>
    </row>
    <row r="67" spans="1:59">
      <c r="A67" t="s">
        <v>60</v>
      </c>
      <c r="B67" s="1">
        <v>46131</v>
      </c>
      <c r="C67">
        <v>2378060083</v>
      </c>
      <c r="D67">
        <v>2378060084</v>
      </c>
      <c r="E67" t="str">
        <f>T("[e북]그대라는 속박 2권 (완결)")</f>
        <v>[e북]그대라는 속박 2권 (완결)</v>
      </c>
      <c r="F67">
        <v>2</v>
      </c>
      <c r="G67" t="str">
        <f>T("두룹")</f>
        <v>두룹</v>
      </c>
      <c r="J67" t="str">
        <f>T("하트퀸")</f>
        <v>하트퀸</v>
      </c>
      <c r="K67" t="str">
        <f>T("[e북]그대라는 속박")</f>
        <v>[e북]그대라는 속박</v>
      </c>
      <c r="L67">
        <v>3200</v>
      </c>
      <c r="M67">
        <v>3200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3200</v>
      </c>
      <c r="AJ67">
        <v>1</v>
      </c>
      <c r="AK67">
        <v>0</v>
      </c>
      <c r="AL67">
        <v>0</v>
      </c>
      <c r="AM67">
        <v>3200</v>
      </c>
      <c r="AN67">
        <v>0</v>
      </c>
      <c r="AO67">
        <v>0</v>
      </c>
      <c r="AP67">
        <v>0</v>
      </c>
      <c r="AQ67">
        <v>0</v>
      </c>
      <c r="AS67">
        <v>0</v>
      </c>
      <c r="AT67">
        <v>0</v>
      </c>
      <c r="AV67">
        <v>0</v>
      </c>
      <c r="AW67">
        <v>0</v>
      </c>
      <c r="AY67">
        <v>0</v>
      </c>
      <c r="AZ67">
        <v>0</v>
      </c>
      <c r="BA67">
        <v>2240</v>
      </c>
      <c r="BE67" t="str">
        <f>T("9791171500444")</f>
        <v>9791171500444</v>
      </c>
      <c r="BF67" t="str">
        <f>T("k206062")</f>
        <v>k206062</v>
      </c>
      <c r="BG67" t="str">
        <f>T("로맨스 e북 &gt; 현대물")</f>
        <v>로맨스 e북 &gt; 현대물</v>
      </c>
    </row>
    <row r="68" spans="1:59">
      <c r="A68" t="s">
        <v>60</v>
      </c>
      <c r="B68" s="1">
        <v>46130</v>
      </c>
      <c r="C68">
        <v>2378070209</v>
      </c>
      <c r="D68">
        <v>2378073177</v>
      </c>
      <c r="E68" t="str">
        <f>T("[e북]근딜을 포기하지 못하는 이유 (외전)")</f>
        <v>[e북]근딜을 포기하지 못하는 이유 (외전)</v>
      </c>
      <c r="F68">
        <v>4</v>
      </c>
      <c r="G68" t="str">
        <f>T("라에르")</f>
        <v>라에르</v>
      </c>
      <c r="J68" t="str">
        <f>T("체셔")</f>
        <v>체셔</v>
      </c>
      <c r="K68" t="str">
        <f>T("[e북]근딜을 포기하지 못하는 이유")</f>
        <v>[e북]근딜을 포기하지 못하는 이유</v>
      </c>
      <c r="L68">
        <v>1300</v>
      </c>
      <c r="M68">
        <v>1300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1300</v>
      </c>
      <c r="AJ68">
        <v>1</v>
      </c>
      <c r="AK68">
        <v>0</v>
      </c>
      <c r="AL68">
        <v>0</v>
      </c>
      <c r="AM68">
        <v>1300</v>
      </c>
      <c r="AN68">
        <v>0</v>
      </c>
      <c r="AO68">
        <v>0</v>
      </c>
      <c r="AP68">
        <v>0</v>
      </c>
      <c r="AQ68">
        <v>0</v>
      </c>
      <c r="AS68">
        <v>0</v>
      </c>
      <c r="AT68">
        <v>0</v>
      </c>
      <c r="AV68">
        <v>0</v>
      </c>
      <c r="AW68">
        <v>0</v>
      </c>
      <c r="AY68">
        <v>0</v>
      </c>
      <c r="AZ68">
        <v>0</v>
      </c>
      <c r="BA68">
        <v>910</v>
      </c>
      <c r="BE68" t="str">
        <f>T("9791164834952")</f>
        <v>9791164834952</v>
      </c>
      <c r="BF68" t="str">
        <f>T("B011832")</f>
        <v>B011832</v>
      </c>
      <c r="BG68" t="str">
        <f>T("BL 소설 e북 &gt; 현대물")</f>
        <v>BL 소설 e북 &gt; 현대물</v>
      </c>
    </row>
    <row r="69" spans="1:59">
      <c r="A69" t="s">
        <v>60</v>
      </c>
      <c r="B69" s="1">
        <v>46130</v>
      </c>
      <c r="C69">
        <v>2378070209</v>
      </c>
      <c r="D69">
        <v>2378070211</v>
      </c>
      <c r="E69" t="str">
        <f>T("[e북]근딜을 포기하지 못하는 이유 3권 (완결)")</f>
        <v>[e북]근딜을 포기하지 못하는 이유 3권 (완결)</v>
      </c>
      <c r="F69">
        <v>3</v>
      </c>
      <c r="G69" t="str">
        <f>T("라에르")</f>
        <v>라에르</v>
      </c>
      <c r="J69" t="str">
        <f>T("체셔")</f>
        <v>체셔</v>
      </c>
      <c r="K69" t="str">
        <f>T("[e북]근딜을 포기하지 못하는 이유")</f>
        <v>[e북]근딜을 포기하지 못하는 이유</v>
      </c>
      <c r="L69">
        <v>3300</v>
      </c>
      <c r="M69">
        <v>3300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3300</v>
      </c>
      <c r="AJ69">
        <v>1</v>
      </c>
      <c r="AK69">
        <v>0</v>
      </c>
      <c r="AL69">
        <v>0</v>
      </c>
      <c r="AM69">
        <v>3300</v>
      </c>
      <c r="AN69">
        <v>0</v>
      </c>
      <c r="AO69">
        <v>0</v>
      </c>
      <c r="AP69">
        <v>0</v>
      </c>
      <c r="AQ69">
        <v>0</v>
      </c>
      <c r="AS69">
        <v>0</v>
      </c>
      <c r="AT69">
        <v>0</v>
      </c>
      <c r="AV69">
        <v>0</v>
      </c>
      <c r="AW69">
        <v>0</v>
      </c>
      <c r="AY69">
        <v>0</v>
      </c>
      <c r="AZ69">
        <v>0</v>
      </c>
      <c r="BA69">
        <v>2310</v>
      </c>
      <c r="BE69" t="str">
        <f>T("9791164834921")</f>
        <v>9791164834921</v>
      </c>
      <c r="BF69" t="str">
        <f>T("k427026")</f>
        <v>k427026</v>
      </c>
      <c r="BG69" t="str">
        <f>T("BL 소설 e북 &gt; 현대물")</f>
        <v>BL 소설 e북 &gt; 현대물</v>
      </c>
    </row>
    <row r="70" spans="1:59">
      <c r="A70" t="s">
        <v>60</v>
      </c>
      <c r="B70" s="1">
        <v>46130</v>
      </c>
      <c r="C70">
        <v>2378024659</v>
      </c>
      <c r="D70">
        <v>2378024659</v>
      </c>
      <c r="E70" t="str">
        <f>T("[e북]기사왕 아르투르 1권")</f>
        <v>[e북]기사왕 아르투르 1권</v>
      </c>
      <c r="F70">
        <v>1</v>
      </c>
      <c r="G70" t="str">
        <f>T("방구석용사")</f>
        <v>방구석용사</v>
      </c>
      <c r="J70" t="str">
        <f>T("매드햇")</f>
        <v>매드햇</v>
      </c>
      <c r="K70" t="str">
        <f>T("[e북]기사왕 아르투르")</f>
        <v>[e북]기사왕 아르투르</v>
      </c>
      <c r="L70">
        <v>0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1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S70">
        <v>0</v>
      </c>
      <c r="AT70">
        <v>0</v>
      </c>
      <c r="AV70">
        <v>0</v>
      </c>
      <c r="AW70">
        <v>0</v>
      </c>
      <c r="AY70">
        <v>0</v>
      </c>
      <c r="AZ70">
        <v>0</v>
      </c>
      <c r="BA70">
        <v>0</v>
      </c>
      <c r="BE70" t="str">
        <f>T("9791137003859")</f>
        <v>9791137003859</v>
      </c>
      <c r="BF70" t="str">
        <f>T("E817161")</f>
        <v>E817161</v>
      </c>
      <c r="BG70" t="str">
        <f>T("판타지 e북 &gt; 정통 판타지")</f>
        <v>판타지 e북 &gt; 정통 판타지</v>
      </c>
    </row>
    <row r="71" spans="1:59">
      <c r="A71" t="s">
        <v>60</v>
      </c>
      <c r="B71" s="1">
        <v>46130</v>
      </c>
      <c r="C71">
        <v>2378067416</v>
      </c>
      <c r="D71">
        <v>2378067416</v>
      </c>
      <c r="E71" t="str">
        <f>T("[e북]나는 알파였다 1권")</f>
        <v>[e북]나는 알파였다 1권</v>
      </c>
      <c r="F71">
        <v>1</v>
      </c>
      <c r="G71" t="str">
        <f>T("툼")</f>
        <v>툼</v>
      </c>
      <c r="J71" t="str">
        <f>T("시계토끼")</f>
        <v>시계토끼</v>
      </c>
      <c r="K71" t="str">
        <f>T("[e북]나는 알파였다")</f>
        <v>[e북]나는 알파였다</v>
      </c>
      <c r="L71">
        <v>3000</v>
      </c>
      <c r="M71">
        <v>3000</v>
      </c>
      <c r="N71">
        <v>1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3000</v>
      </c>
      <c r="AJ71">
        <v>1</v>
      </c>
      <c r="AK71">
        <v>0</v>
      </c>
      <c r="AL71">
        <v>0</v>
      </c>
      <c r="AM71">
        <v>1000</v>
      </c>
      <c r="AN71">
        <v>0</v>
      </c>
      <c r="AO71">
        <v>2400</v>
      </c>
      <c r="AP71">
        <v>-240</v>
      </c>
      <c r="AQ71">
        <v>0</v>
      </c>
      <c r="AS71">
        <v>0</v>
      </c>
      <c r="AT71">
        <v>0</v>
      </c>
      <c r="AU71">
        <v>2400</v>
      </c>
      <c r="AV71">
        <v>-240</v>
      </c>
      <c r="AW71">
        <v>0</v>
      </c>
      <c r="AY71">
        <v>0</v>
      </c>
      <c r="AZ71">
        <v>0</v>
      </c>
      <c r="BA71">
        <v>2212</v>
      </c>
      <c r="BE71" t="str">
        <f>T("9791172820022")</f>
        <v>9791172820022</v>
      </c>
      <c r="BF71" t="str">
        <f>T("k330930")</f>
        <v>k330930</v>
      </c>
      <c r="BG71" t="str">
        <f>T("로판 e북 &gt; 서양풍 로판")</f>
        <v>로판 e북 &gt; 서양풍 로판</v>
      </c>
    </row>
    <row r="72" spans="1:59">
      <c r="A72" t="s">
        <v>60</v>
      </c>
      <c r="B72" s="1">
        <v>46131</v>
      </c>
      <c r="C72">
        <v>2378064860</v>
      </c>
      <c r="D72">
        <v>2378064860</v>
      </c>
      <c r="E72" t="str">
        <f>T("[e북]나혼자 게이트로 꿀빱니다 1권")</f>
        <v>[e북]나혼자 게이트로 꿀빱니다 1권</v>
      </c>
      <c r="F72">
        <v>1</v>
      </c>
      <c r="G72" t="str">
        <f>T("불량집사")</f>
        <v>불량집사</v>
      </c>
      <c r="J72" t="str">
        <f>T("매드햇")</f>
        <v>매드햇</v>
      </c>
      <c r="K72" t="str">
        <f>T("[e북]나혼자 게이트로 꿀빱니다")</f>
        <v>[e북]나혼자 게이트로 꿀빱니다</v>
      </c>
      <c r="L72">
        <v>0</v>
      </c>
      <c r="M72">
        <v>0</v>
      </c>
      <c r="N72">
        <v>0</v>
      </c>
      <c r="O72">
        <v>1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1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S72">
        <v>0</v>
      </c>
      <c r="AT72">
        <v>0</v>
      </c>
      <c r="AV72">
        <v>0</v>
      </c>
      <c r="AW72">
        <v>0</v>
      </c>
      <c r="AY72">
        <v>0</v>
      </c>
      <c r="AZ72">
        <v>0</v>
      </c>
      <c r="BA72">
        <v>0</v>
      </c>
      <c r="BE72" t="str">
        <f>T("9791137009431")</f>
        <v>9791137009431</v>
      </c>
      <c r="BF72" t="str">
        <f>T("k268914")</f>
        <v>k268914</v>
      </c>
      <c r="BG72" t="str">
        <f>T("판타지 e북 &gt; 현대 판타지")</f>
        <v>판타지 e북 &gt; 현대 판타지</v>
      </c>
    </row>
    <row r="73" spans="1:59">
      <c r="A73" t="s">
        <v>60</v>
      </c>
      <c r="B73" s="1">
        <v>46130</v>
      </c>
      <c r="C73">
        <v>2378024671</v>
      </c>
      <c r="D73">
        <v>2378024672</v>
      </c>
      <c r="E73" t="str">
        <f>T("[e북]날개를 꺾고, 입을 맞추고 2권 (완결)")</f>
        <v>[e북]날개를 꺾고, 입을 맞추고 2권 (완결)</v>
      </c>
      <c r="F73">
        <v>2</v>
      </c>
      <c r="G73" t="str">
        <f>T("달달하게")</f>
        <v>달달하게</v>
      </c>
      <c r="J73" t="str">
        <f>T("시계토끼")</f>
        <v>시계토끼</v>
      </c>
      <c r="K73" t="str">
        <f>T("[e북]날개를 꺾고, 입을 맞추고")</f>
        <v>[e북]날개를 꺾고, 입을 맞추고</v>
      </c>
      <c r="L73">
        <v>3500</v>
      </c>
      <c r="M73">
        <v>3500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3500</v>
      </c>
      <c r="AJ73">
        <v>1</v>
      </c>
      <c r="AK73">
        <v>0</v>
      </c>
      <c r="AL73">
        <v>0</v>
      </c>
      <c r="AM73">
        <v>3500</v>
      </c>
      <c r="AN73">
        <v>0</v>
      </c>
      <c r="AO73">
        <v>0</v>
      </c>
      <c r="AP73">
        <v>0</v>
      </c>
      <c r="AQ73">
        <v>0</v>
      </c>
      <c r="AS73">
        <v>0</v>
      </c>
      <c r="AT73">
        <v>0</v>
      </c>
      <c r="AV73">
        <v>0</v>
      </c>
      <c r="AW73">
        <v>0</v>
      </c>
      <c r="AY73">
        <v>0</v>
      </c>
      <c r="AZ73">
        <v>0</v>
      </c>
      <c r="BA73">
        <v>2450</v>
      </c>
      <c r="BE73" t="str">
        <f>T("9791164095117")</f>
        <v>9791164095117</v>
      </c>
      <c r="BF73" t="str">
        <f>T("E818616")</f>
        <v>E818616</v>
      </c>
      <c r="BG73" t="str">
        <f>T("로판 e북 &gt; 서양풍 로판")</f>
        <v>로판 e북 &gt; 서양풍 로판</v>
      </c>
    </row>
    <row r="74" spans="1:59">
      <c r="A74" t="s">
        <v>60</v>
      </c>
      <c r="B74" s="1">
        <v>46129</v>
      </c>
      <c r="C74">
        <v>2378051966</v>
      </c>
      <c r="D74">
        <v>2378051973</v>
      </c>
      <c r="E74" t="str">
        <f>T("[e북]내 눈에만 아공간이 보여 8권 (완결)")</f>
        <v>[e북]내 눈에만 아공간이 보여 8권 (완결)</v>
      </c>
      <c r="F74">
        <v>8</v>
      </c>
      <c r="G74" t="str">
        <f>T("지누아빠")</f>
        <v>지누아빠</v>
      </c>
      <c r="J74" t="str">
        <f>T("매드햇")</f>
        <v>매드햇</v>
      </c>
      <c r="K74" t="str">
        <f>T("[e북]내 눈에만 아공간이 보여")</f>
        <v>[e북]내 눈에만 아공간이 보여</v>
      </c>
      <c r="L74">
        <v>3000</v>
      </c>
      <c r="M74">
        <v>3000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3000</v>
      </c>
      <c r="AJ74">
        <v>1</v>
      </c>
      <c r="AK74">
        <v>0</v>
      </c>
      <c r="AL74">
        <v>0</v>
      </c>
      <c r="AM74">
        <v>3000</v>
      </c>
      <c r="AN74">
        <v>0</v>
      </c>
      <c r="AO74">
        <v>0</v>
      </c>
      <c r="AP74">
        <v>0</v>
      </c>
      <c r="AQ74">
        <v>0</v>
      </c>
      <c r="AS74">
        <v>0</v>
      </c>
      <c r="AT74">
        <v>0</v>
      </c>
      <c r="AV74">
        <v>0</v>
      </c>
      <c r="AW74">
        <v>0</v>
      </c>
      <c r="AY74">
        <v>0</v>
      </c>
      <c r="AZ74">
        <v>0</v>
      </c>
      <c r="BA74">
        <v>2100</v>
      </c>
      <c r="BE74" t="str">
        <f>T("9791137015715")</f>
        <v>9791137015715</v>
      </c>
      <c r="BF74" t="str">
        <f>T("k068223")</f>
        <v>k068223</v>
      </c>
      <c r="BG74" t="str">
        <f>T("판타지 e북 &gt; 현대 판타지")</f>
        <v>판타지 e북 &gt; 현대 판타지</v>
      </c>
    </row>
    <row r="75" spans="1:59">
      <c r="A75" t="s">
        <v>60</v>
      </c>
      <c r="B75" s="1">
        <v>46131</v>
      </c>
      <c r="C75">
        <v>2378051966</v>
      </c>
      <c r="D75">
        <v>2378051966</v>
      </c>
      <c r="E75" t="str">
        <f>T("[e북]내 눈에만 아공간이 보여 1권")</f>
        <v>[e북]내 눈에만 아공간이 보여 1권</v>
      </c>
      <c r="F75">
        <v>1</v>
      </c>
      <c r="G75" t="str">
        <f>T("지누아빠")</f>
        <v>지누아빠</v>
      </c>
      <c r="J75" t="str">
        <f>T("매드햇")</f>
        <v>매드햇</v>
      </c>
      <c r="K75" t="str">
        <f>T("[e북]내 눈에만 아공간이 보여")</f>
        <v>[e북]내 눈에만 아공간이 보여</v>
      </c>
      <c r="L75">
        <v>0</v>
      </c>
      <c r="M75">
        <v>0</v>
      </c>
      <c r="N75">
        <v>0</v>
      </c>
      <c r="O75">
        <v>2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2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S75">
        <v>0</v>
      </c>
      <c r="AT75">
        <v>0</v>
      </c>
      <c r="AV75">
        <v>0</v>
      </c>
      <c r="AW75">
        <v>0</v>
      </c>
      <c r="AY75">
        <v>0</v>
      </c>
      <c r="AZ75">
        <v>0</v>
      </c>
      <c r="BA75">
        <v>0</v>
      </c>
      <c r="BE75" t="str">
        <f>T("9791137015647")</f>
        <v>9791137015647</v>
      </c>
      <c r="BF75" t="str">
        <f>T("k068216")</f>
        <v>k068216</v>
      </c>
      <c r="BG75" t="str">
        <f>T("판타지 e북 &gt; 현대 판타지")</f>
        <v>판타지 e북 &gt; 현대 판타지</v>
      </c>
    </row>
    <row r="76" spans="1:59">
      <c r="A76" t="s">
        <v>60</v>
      </c>
      <c r="B76" s="1">
        <v>46129</v>
      </c>
      <c r="C76">
        <v>2378078783</v>
      </c>
      <c r="D76">
        <v>2378081039</v>
      </c>
      <c r="E76" t="str">
        <f>T("[e북]내 손끝엔 너만 살아 (외전)")</f>
        <v>[e북]내 손끝엔 너만 살아 (외전)</v>
      </c>
      <c r="F76">
        <v>3</v>
      </c>
      <c r="G76" t="str">
        <f>T("라넌퀼")</f>
        <v>라넌퀼</v>
      </c>
      <c r="J76" t="str">
        <f>T("하트퀸")</f>
        <v>하트퀸</v>
      </c>
      <c r="K76" t="str">
        <f>T("[e북]내 손끝엔 너만 살아")</f>
        <v>[e북]내 손끝엔 너만 살아</v>
      </c>
      <c r="L76">
        <v>1000</v>
      </c>
      <c r="M76">
        <v>1000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1000</v>
      </c>
      <c r="AJ76">
        <v>1</v>
      </c>
      <c r="AK76">
        <v>0</v>
      </c>
      <c r="AL76">
        <v>0</v>
      </c>
      <c r="AM76">
        <v>1000</v>
      </c>
      <c r="AN76">
        <v>0</v>
      </c>
      <c r="AO76">
        <v>0</v>
      </c>
      <c r="AP76">
        <v>0</v>
      </c>
      <c r="AQ76">
        <v>0</v>
      </c>
      <c r="AS76">
        <v>0</v>
      </c>
      <c r="AT76">
        <v>0</v>
      </c>
      <c r="AV76">
        <v>0</v>
      </c>
      <c r="AW76">
        <v>0</v>
      </c>
      <c r="AY76">
        <v>0</v>
      </c>
      <c r="AZ76">
        <v>0</v>
      </c>
      <c r="BA76">
        <v>700</v>
      </c>
      <c r="BF76" t="str">
        <f>T("D243665")</f>
        <v>D243665</v>
      </c>
      <c r="BG76" t="str">
        <f>T("로맨스 e북 &gt; 현대물")</f>
        <v>로맨스 e북 &gt; 현대물</v>
      </c>
    </row>
    <row r="77" spans="1:59">
      <c r="A77" t="s">
        <v>60</v>
      </c>
      <c r="B77" s="1">
        <v>46129</v>
      </c>
      <c r="C77">
        <v>2378078783</v>
      </c>
      <c r="D77">
        <v>2378078783</v>
      </c>
      <c r="E77" t="str">
        <f>T("[e북]내 손끝엔 너만 살아 1권")</f>
        <v>[e북]내 손끝엔 너만 살아 1권</v>
      </c>
      <c r="F77">
        <v>1</v>
      </c>
      <c r="G77" t="str">
        <f>T("라넌퀼")</f>
        <v>라넌퀼</v>
      </c>
      <c r="J77" t="str">
        <f>T("하트퀸")</f>
        <v>하트퀸</v>
      </c>
      <c r="K77" t="str">
        <f>T("[e북]내 손끝엔 너만 살아")</f>
        <v>[e북]내 손끝엔 너만 살아</v>
      </c>
      <c r="L77">
        <v>3300</v>
      </c>
      <c r="M77">
        <v>3300</v>
      </c>
      <c r="N77">
        <v>1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3300</v>
      </c>
      <c r="AJ77">
        <v>1</v>
      </c>
      <c r="AK77">
        <v>0</v>
      </c>
      <c r="AL77">
        <v>0</v>
      </c>
      <c r="AM77">
        <v>3300</v>
      </c>
      <c r="AN77">
        <v>0</v>
      </c>
      <c r="AO77">
        <v>0</v>
      </c>
      <c r="AP77">
        <v>0</v>
      </c>
      <c r="AQ77">
        <v>0</v>
      </c>
      <c r="AS77">
        <v>0</v>
      </c>
      <c r="AT77">
        <v>0</v>
      </c>
      <c r="AV77">
        <v>0</v>
      </c>
      <c r="AW77">
        <v>0</v>
      </c>
      <c r="AY77">
        <v>0</v>
      </c>
      <c r="AZ77">
        <v>0</v>
      </c>
      <c r="BA77">
        <v>2310</v>
      </c>
      <c r="BE77" t="str">
        <f>T("9791171503148")</f>
        <v>9791171503148</v>
      </c>
      <c r="BF77" t="str">
        <f>T("D167728")</f>
        <v>D167728</v>
      </c>
      <c r="BG77" t="str">
        <f>T("로맨스 e북 &gt; 현대물")</f>
        <v>로맨스 e북 &gt; 현대물</v>
      </c>
    </row>
    <row r="78" spans="1:59">
      <c r="A78" t="s">
        <v>60</v>
      </c>
      <c r="B78" s="1">
        <v>46129</v>
      </c>
      <c r="C78">
        <v>2378078783</v>
      </c>
      <c r="D78">
        <v>2378078784</v>
      </c>
      <c r="E78" t="str">
        <f>T("[e북]내 손끝엔 너만 살아 2권 (완결)")</f>
        <v>[e북]내 손끝엔 너만 살아 2권 (완결)</v>
      </c>
      <c r="F78">
        <v>2</v>
      </c>
      <c r="G78" t="str">
        <f>T("라넌퀼")</f>
        <v>라넌퀼</v>
      </c>
      <c r="J78" t="str">
        <f>T("하트퀸")</f>
        <v>하트퀸</v>
      </c>
      <c r="K78" t="str">
        <f>T("[e북]내 손끝엔 너만 살아")</f>
        <v>[e북]내 손끝엔 너만 살아</v>
      </c>
      <c r="L78">
        <v>3300</v>
      </c>
      <c r="M78">
        <v>3300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3300</v>
      </c>
      <c r="AJ78">
        <v>1</v>
      </c>
      <c r="AK78">
        <v>0</v>
      </c>
      <c r="AL78">
        <v>0</v>
      </c>
      <c r="AM78">
        <v>3300</v>
      </c>
      <c r="AN78">
        <v>0</v>
      </c>
      <c r="AO78">
        <v>0</v>
      </c>
      <c r="AP78">
        <v>0</v>
      </c>
      <c r="AQ78">
        <v>0</v>
      </c>
      <c r="AS78">
        <v>0</v>
      </c>
      <c r="AT78">
        <v>0</v>
      </c>
      <c r="AV78">
        <v>0</v>
      </c>
      <c r="AW78">
        <v>0</v>
      </c>
      <c r="AY78">
        <v>0</v>
      </c>
      <c r="AZ78">
        <v>0</v>
      </c>
      <c r="BA78">
        <v>2310</v>
      </c>
      <c r="BE78" t="str">
        <f>T("9791171503155")</f>
        <v>9791171503155</v>
      </c>
      <c r="BF78" t="str">
        <f>T("D167729")</f>
        <v>D167729</v>
      </c>
      <c r="BG78" t="str">
        <f>T("로맨스 e북 &gt; 현대물")</f>
        <v>로맨스 e북 &gt; 현대물</v>
      </c>
    </row>
    <row r="79" spans="1:59">
      <c r="A79" t="s">
        <v>60</v>
      </c>
      <c r="B79" s="1">
        <v>46129</v>
      </c>
      <c r="C79">
        <v>2378016714</v>
      </c>
      <c r="D79">
        <v>2378016714</v>
      </c>
      <c r="E79" t="str">
        <f>T("[e북]내가 M이라니 1권")</f>
        <v>[e북]내가 M이라니 1권</v>
      </c>
      <c r="F79">
        <v>1</v>
      </c>
      <c r="G79" t="str">
        <f>T("죄송한취향")</f>
        <v>죄송한취향</v>
      </c>
      <c r="J79" t="str">
        <f>T("시계토끼")</f>
        <v>시계토끼</v>
      </c>
      <c r="K79" t="str">
        <f>T("[e북]내가 M이라니")</f>
        <v>[e북]내가 M이라니</v>
      </c>
      <c r="L79">
        <v>3000</v>
      </c>
      <c r="M79">
        <v>2700</v>
      </c>
      <c r="N79">
        <v>1</v>
      </c>
      <c r="O79">
        <v>0</v>
      </c>
      <c r="P79">
        <v>0</v>
      </c>
      <c r="Q79">
        <v>0</v>
      </c>
      <c r="R79">
        <v>49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2700</v>
      </c>
      <c r="AJ79">
        <v>50</v>
      </c>
      <c r="AK79">
        <v>0</v>
      </c>
      <c r="AL79">
        <v>0</v>
      </c>
      <c r="AM79">
        <v>2700</v>
      </c>
      <c r="AN79">
        <v>0</v>
      </c>
      <c r="AO79">
        <v>0</v>
      </c>
      <c r="AP79">
        <v>0</v>
      </c>
      <c r="AQ79">
        <v>0</v>
      </c>
      <c r="AS79">
        <v>0</v>
      </c>
      <c r="AT79">
        <v>0</v>
      </c>
      <c r="AV79">
        <v>0</v>
      </c>
      <c r="AW79">
        <v>0</v>
      </c>
      <c r="AY79">
        <v>0</v>
      </c>
      <c r="AZ79">
        <v>0</v>
      </c>
      <c r="BA79">
        <v>1890</v>
      </c>
      <c r="BE79" t="str">
        <f>T("9791164094288")</f>
        <v>9791164094288</v>
      </c>
      <c r="BF79" t="str">
        <f>T("E778788")</f>
        <v>E778788</v>
      </c>
      <c r="BG79" t="str">
        <f>T("로판 e북 &gt; 서양풍 로판")</f>
        <v>로판 e북 &gt; 서양풍 로판</v>
      </c>
    </row>
    <row r="80" spans="1:59">
      <c r="A80" t="s">
        <v>60</v>
      </c>
      <c r="B80" s="1">
        <v>46129</v>
      </c>
      <c r="C80">
        <v>2378016714</v>
      </c>
      <c r="D80">
        <v>2378016715</v>
      </c>
      <c r="E80" t="str">
        <f>T("[e북]내가 M이라니 2권")</f>
        <v>[e북]내가 M이라니 2권</v>
      </c>
      <c r="F80">
        <v>2</v>
      </c>
      <c r="G80" t="str">
        <f>T("죄송한취향")</f>
        <v>죄송한취향</v>
      </c>
      <c r="J80" t="str">
        <f>T("시계토끼")</f>
        <v>시계토끼</v>
      </c>
      <c r="K80" t="str">
        <f>T("[e북]내가 M이라니")</f>
        <v>[e북]내가 M이라니</v>
      </c>
      <c r="L80">
        <v>3000</v>
      </c>
      <c r="M80">
        <v>13500</v>
      </c>
      <c r="N80">
        <v>5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13500</v>
      </c>
      <c r="AJ80">
        <v>5</v>
      </c>
      <c r="AK80">
        <v>0</v>
      </c>
      <c r="AL80">
        <v>0</v>
      </c>
      <c r="AM80">
        <v>13500</v>
      </c>
      <c r="AN80">
        <v>0</v>
      </c>
      <c r="AO80">
        <v>0</v>
      </c>
      <c r="AP80">
        <v>0</v>
      </c>
      <c r="AQ80">
        <v>0</v>
      </c>
      <c r="AS80">
        <v>0</v>
      </c>
      <c r="AT80">
        <v>0</v>
      </c>
      <c r="AV80">
        <v>0</v>
      </c>
      <c r="AW80">
        <v>0</v>
      </c>
      <c r="AY80">
        <v>0</v>
      </c>
      <c r="AZ80">
        <v>0</v>
      </c>
      <c r="BA80">
        <v>9450</v>
      </c>
      <c r="BE80" t="str">
        <f>T("9791164094295")</f>
        <v>9791164094295</v>
      </c>
      <c r="BF80" t="str">
        <f>T("E778789")</f>
        <v>E778789</v>
      </c>
      <c r="BG80" t="str">
        <f>T("로판 e북 &gt; 서양풍 로판")</f>
        <v>로판 e북 &gt; 서양풍 로판</v>
      </c>
    </row>
    <row r="81" spans="1:59">
      <c r="A81" t="s">
        <v>60</v>
      </c>
      <c r="B81" s="1">
        <v>46129</v>
      </c>
      <c r="C81">
        <v>2378016714</v>
      </c>
      <c r="D81">
        <v>2378016716</v>
      </c>
      <c r="E81" t="str">
        <f>T("[e북]내가 M이라니 3권")</f>
        <v>[e북]내가 M이라니 3권</v>
      </c>
      <c r="F81">
        <v>3</v>
      </c>
      <c r="G81" t="str">
        <f>T("죄송한취향")</f>
        <v>죄송한취향</v>
      </c>
      <c r="J81" t="str">
        <f>T("시계토끼")</f>
        <v>시계토끼</v>
      </c>
      <c r="K81" t="str">
        <f>T("[e북]내가 M이라니")</f>
        <v>[e북]내가 M이라니</v>
      </c>
      <c r="L81">
        <v>3000</v>
      </c>
      <c r="M81">
        <v>5400</v>
      </c>
      <c r="N81">
        <v>2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5400</v>
      </c>
      <c r="AJ81">
        <v>2</v>
      </c>
      <c r="AK81">
        <v>0</v>
      </c>
      <c r="AL81">
        <v>0</v>
      </c>
      <c r="AM81">
        <v>5400</v>
      </c>
      <c r="AN81">
        <v>0</v>
      </c>
      <c r="AO81">
        <v>0</v>
      </c>
      <c r="AP81">
        <v>0</v>
      </c>
      <c r="AQ81">
        <v>0</v>
      </c>
      <c r="AS81">
        <v>0</v>
      </c>
      <c r="AT81">
        <v>0</v>
      </c>
      <c r="AV81">
        <v>0</v>
      </c>
      <c r="AW81">
        <v>0</v>
      </c>
      <c r="AY81">
        <v>0</v>
      </c>
      <c r="AZ81">
        <v>0</v>
      </c>
      <c r="BA81">
        <v>3780</v>
      </c>
      <c r="BE81" t="str">
        <f>T("9791164094301")</f>
        <v>9791164094301</v>
      </c>
      <c r="BF81" t="str">
        <f>T("E778790")</f>
        <v>E778790</v>
      </c>
      <c r="BG81" t="str">
        <f>T("로판 e북 &gt; 서양풍 로판")</f>
        <v>로판 e북 &gt; 서양풍 로판</v>
      </c>
    </row>
    <row r="82" spans="1:59">
      <c r="A82" t="s">
        <v>60</v>
      </c>
      <c r="B82" s="1">
        <v>46129</v>
      </c>
      <c r="C82">
        <v>2378016714</v>
      </c>
      <c r="D82">
        <v>2378016717</v>
      </c>
      <c r="E82" t="str">
        <f>T("[e북]내가 M이라니 4권")</f>
        <v>[e북]내가 M이라니 4권</v>
      </c>
      <c r="F82">
        <v>4</v>
      </c>
      <c r="G82" t="str">
        <f>T("죄송한취향")</f>
        <v>죄송한취향</v>
      </c>
      <c r="J82" t="str">
        <f>T("시계토끼")</f>
        <v>시계토끼</v>
      </c>
      <c r="K82" t="str">
        <f>T("[e북]내가 M이라니")</f>
        <v>[e북]내가 M이라니</v>
      </c>
      <c r="L82">
        <v>3000</v>
      </c>
      <c r="M82">
        <v>10800</v>
      </c>
      <c r="N82">
        <v>4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10800</v>
      </c>
      <c r="AJ82">
        <v>4</v>
      </c>
      <c r="AK82">
        <v>0</v>
      </c>
      <c r="AL82">
        <v>0</v>
      </c>
      <c r="AM82">
        <v>10800</v>
      </c>
      <c r="AN82">
        <v>0</v>
      </c>
      <c r="AO82">
        <v>0</v>
      </c>
      <c r="AP82">
        <v>0</v>
      </c>
      <c r="AQ82">
        <v>0</v>
      </c>
      <c r="AS82">
        <v>0</v>
      </c>
      <c r="AT82">
        <v>0</v>
      </c>
      <c r="AV82">
        <v>0</v>
      </c>
      <c r="AW82">
        <v>0</v>
      </c>
      <c r="AY82">
        <v>0</v>
      </c>
      <c r="AZ82">
        <v>0</v>
      </c>
      <c r="BA82">
        <v>7560</v>
      </c>
      <c r="BE82" t="str">
        <f>T("9791164094318")</f>
        <v>9791164094318</v>
      </c>
      <c r="BF82" t="str">
        <f>T("E778791")</f>
        <v>E778791</v>
      </c>
      <c r="BG82" t="str">
        <f>T("로판 e북 &gt; 서양풍 로판")</f>
        <v>로판 e북 &gt; 서양풍 로판</v>
      </c>
    </row>
    <row r="83" spans="1:59">
      <c r="A83" t="s">
        <v>60</v>
      </c>
      <c r="B83" s="1">
        <v>46129</v>
      </c>
      <c r="C83">
        <v>2378016714</v>
      </c>
      <c r="D83">
        <v>2378016718</v>
      </c>
      <c r="E83" t="str">
        <f>T("[e북]내가 M이라니 5권")</f>
        <v>[e북]내가 M이라니 5권</v>
      </c>
      <c r="F83">
        <v>5</v>
      </c>
      <c r="G83" t="str">
        <f>T("죄송한취향")</f>
        <v>죄송한취향</v>
      </c>
      <c r="J83" t="str">
        <f>T("시계토끼")</f>
        <v>시계토끼</v>
      </c>
      <c r="K83" t="str">
        <f>T("[e북]내가 M이라니")</f>
        <v>[e북]내가 M이라니</v>
      </c>
      <c r="L83">
        <v>3000</v>
      </c>
      <c r="M83">
        <v>18900</v>
      </c>
      <c r="N83">
        <v>7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18900</v>
      </c>
      <c r="AJ83">
        <v>7</v>
      </c>
      <c r="AK83">
        <v>0</v>
      </c>
      <c r="AL83">
        <v>0</v>
      </c>
      <c r="AM83">
        <v>16200</v>
      </c>
      <c r="AN83">
        <v>0</v>
      </c>
      <c r="AO83">
        <v>3240</v>
      </c>
      <c r="AP83">
        <v>-972</v>
      </c>
      <c r="AQ83">
        <v>0</v>
      </c>
      <c r="AR83">
        <v>3240</v>
      </c>
      <c r="AS83">
        <v>-972</v>
      </c>
      <c r="AT83">
        <v>0</v>
      </c>
      <c r="AV83">
        <v>0</v>
      </c>
      <c r="AW83">
        <v>0</v>
      </c>
      <c r="AY83">
        <v>0</v>
      </c>
      <c r="AZ83">
        <v>0</v>
      </c>
      <c r="BA83">
        <v>12927.6</v>
      </c>
      <c r="BE83" t="str">
        <f>T("9791164094325")</f>
        <v>9791164094325</v>
      </c>
      <c r="BF83" t="str">
        <f>T("E778792")</f>
        <v>E778792</v>
      </c>
      <c r="BG83" t="str">
        <f>T("로판 e북 &gt; 서양풍 로판")</f>
        <v>로판 e북 &gt; 서양풍 로판</v>
      </c>
    </row>
    <row r="84" spans="1:59">
      <c r="A84" t="s">
        <v>60</v>
      </c>
      <c r="B84" s="1">
        <v>46129</v>
      </c>
      <c r="C84">
        <v>2378016714</v>
      </c>
      <c r="D84">
        <v>2378016719</v>
      </c>
      <c r="E84" t="str">
        <f>T("[e북]내가 M이라니 6권 (완결)")</f>
        <v>[e북]내가 M이라니 6권 (완결)</v>
      </c>
      <c r="F84">
        <v>6</v>
      </c>
      <c r="G84" t="str">
        <f>T("죄송한취향")</f>
        <v>죄송한취향</v>
      </c>
      <c r="J84" t="str">
        <f>T("시계토끼")</f>
        <v>시계토끼</v>
      </c>
      <c r="K84" t="str">
        <f>T("[e북]내가 M이라니")</f>
        <v>[e북]내가 M이라니</v>
      </c>
      <c r="L84">
        <v>3000</v>
      </c>
      <c r="M84">
        <v>13500</v>
      </c>
      <c r="N84">
        <v>5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13500</v>
      </c>
      <c r="AJ84">
        <v>5</v>
      </c>
      <c r="AK84">
        <v>0</v>
      </c>
      <c r="AL84">
        <v>0</v>
      </c>
      <c r="AM84">
        <v>10800</v>
      </c>
      <c r="AN84">
        <v>0</v>
      </c>
      <c r="AO84">
        <v>3240</v>
      </c>
      <c r="AP84">
        <v>-972</v>
      </c>
      <c r="AQ84">
        <v>0</v>
      </c>
      <c r="AR84">
        <v>3240</v>
      </c>
      <c r="AS84">
        <v>-972</v>
      </c>
      <c r="AT84">
        <v>0</v>
      </c>
      <c r="AV84">
        <v>0</v>
      </c>
      <c r="AW84">
        <v>0</v>
      </c>
      <c r="AY84">
        <v>0</v>
      </c>
      <c r="AZ84">
        <v>0</v>
      </c>
      <c r="BA84">
        <v>9147.6</v>
      </c>
      <c r="BE84" t="str">
        <f>T("9791164094332")</f>
        <v>9791164094332</v>
      </c>
      <c r="BF84" t="str">
        <f>T("E778793")</f>
        <v>E778793</v>
      </c>
      <c r="BG84" t="str">
        <f>T("로판 e북 &gt; 서양풍 로판")</f>
        <v>로판 e북 &gt; 서양풍 로판</v>
      </c>
    </row>
    <row r="85" spans="1:59">
      <c r="A85" t="s">
        <v>60</v>
      </c>
      <c r="B85" s="1">
        <v>46129</v>
      </c>
      <c r="C85">
        <v>2378016714</v>
      </c>
      <c r="D85">
        <v>2378052411</v>
      </c>
      <c r="E85" t="str">
        <f>T("[e북]네가 M이라니 (외전 1)")</f>
        <v>[e북]네가 M이라니 (외전 1)</v>
      </c>
      <c r="F85">
        <v>7</v>
      </c>
      <c r="G85" t="str">
        <f>T("죄송한취향")</f>
        <v>죄송한취향</v>
      </c>
      <c r="J85" t="str">
        <f>T("시계토끼")</f>
        <v>시계토끼</v>
      </c>
      <c r="K85" t="str">
        <f>T("[e북]내가 M이라니")</f>
        <v>[e북]내가 M이라니</v>
      </c>
      <c r="L85">
        <v>3000</v>
      </c>
      <c r="M85">
        <v>10800</v>
      </c>
      <c r="N85">
        <v>4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10800</v>
      </c>
      <c r="AJ85">
        <v>4</v>
      </c>
      <c r="AK85">
        <v>0</v>
      </c>
      <c r="AL85">
        <v>0</v>
      </c>
      <c r="AM85">
        <v>8100</v>
      </c>
      <c r="AN85">
        <v>0</v>
      </c>
      <c r="AO85">
        <v>3240</v>
      </c>
      <c r="AP85">
        <v>-324</v>
      </c>
      <c r="AQ85">
        <v>0</v>
      </c>
      <c r="AS85">
        <v>0</v>
      </c>
      <c r="AT85">
        <v>0</v>
      </c>
      <c r="AU85">
        <v>3240</v>
      </c>
      <c r="AV85">
        <v>-324</v>
      </c>
      <c r="AW85">
        <v>0</v>
      </c>
      <c r="AY85">
        <v>0</v>
      </c>
      <c r="AZ85">
        <v>0</v>
      </c>
      <c r="BA85">
        <v>7711.2</v>
      </c>
      <c r="BE85" t="str">
        <f>T("9791164098521")</f>
        <v>9791164098521</v>
      </c>
      <c r="BF85" t="str">
        <f>T("k103191")</f>
        <v>k103191</v>
      </c>
      <c r="BG85" t="str">
        <f>T("로판 e북 &gt; 서양풍 로판")</f>
        <v>로판 e북 &gt; 서양풍 로판</v>
      </c>
    </row>
    <row r="86" spans="1:59">
      <c r="A86" t="s">
        <v>60</v>
      </c>
      <c r="B86" s="1">
        <v>46129</v>
      </c>
      <c r="C86">
        <v>2378016714</v>
      </c>
      <c r="D86">
        <v>2378052412</v>
      </c>
      <c r="E86" t="str">
        <f>T("[e북]네가 M이라니 (외전 2)")</f>
        <v>[e북]네가 M이라니 (외전 2)</v>
      </c>
      <c r="F86">
        <v>8</v>
      </c>
      <c r="G86" t="str">
        <f>T("죄송한취향")</f>
        <v>죄송한취향</v>
      </c>
      <c r="J86" t="str">
        <f>T("시계토끼")</f>
        <v>시계토끼</v>
      </c>
      <c r="K86" t="str">
        <f>T("[e북]내가 M이라니")</f>
        <v>[e북]내가 M이라니</v>
      </c>
      <c r="L86">
        <v>3000</v>
      </c>
      <c r="M86">
        <v>16200</v>
      </c>
      <c r="N86">
        <v>6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16200</v>
      </c>
      <c r="AJ86">
        <v>6</v>
      </c>
      <c r="AK86">
        <v>0</v>
      </c>
      <c r="AL86">
        <v>0</v>
      </c>
      <c r="AM86">
        <v>10800</v>
      </c>
      <c r="AN86">
        <v>0</v>
      </c>
      <c r="AO86">
        <v>6480</v>
      </c>
      <c r="AP86">
        <v>-648</v>
      </c>
      <c r="AQ86">
        <v>0</v>
      </c>
      <c r="AS86">
        <v>0</v>
      </c>
      <c r="AT86">
        <v>0</v>
      </c>
      <c r="AU86">
        <v>6480</v>
      </c>
      <c r="AV86">
        <v>-648</v>
      </c>
      <c r="AW86">
        <v>0</v>
      </c>
      <c r="AY86">
        <v>0</v>
      </c>
      <c r="AZ86">
        <v>0</v>
      </c>
      <c r="BA86">
        <v>11642.4</v>
      </c>
      <c r="BE86" t="str">
        <f>T("9791164098538")</f>
        <v>9791164098538</v>
      </c>
      <c r="BF86" t="str">
        <f>T("k103192")</f>
        <v>k103192</v>
      </c>
      <c r="BG86" t="str">
        <f>T("로판 e북 &gt; 서양풍 로판")</f>
        <v>로판 e북 &gt; 서양풍 로판</v>
      </c>
    </row>
    <row r="87" spans="1:59">
      <c r="A87" t="s">
        <v>60</v>
      </c>
      <c r="B87" s="1">
        <v>46129</v>
      </c>
      <c r="C87">
        <v>2378016714</v>
      </c>
      <c r="D87">
        <v>2378055066</v>
      </c>
      <c r="E87" t="str">
        <f>T("[e북]네가 M이라니 (특별 외전)")</f>
        <v>[e북]네가 M이라니 (특별 외전)</v>
      </c>
      <c r="F87">
        <v>9</v>
      </c>
      <c r="G87" t="str">
        <f>T("죄송한취향")</f>
        <v>죄송한취향</v>
      </c>
      <c r="J87" t="str">
        <f>T("시계토끼")</f>
        <v>시계토끼</v>
      </c>
      <c r="K87" t="str">
        <f>T("[e북]내가 M이라니")</f>
        <v>[e북]내가 M이라니</v>
      </c>
      <c r="L87">
        <v>0</v>
      </c>
      <c r="M87">
        <v>0</v>
      </c>
      <c r="N87">
        <v>0</v>
      </c>
      <c r="O87">
        <v>6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6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S87">
        <v>0</v>
      </c>
      <c r="AT87">
        <v>0</v>
      </c>
      <c r="AV87">
        <v>0</v>
      </c>
      <c r="AW87">
        <v>0</v>
      </c>
      <c r="AY87">
        <v>0</v>
      </c>
      <c r="AZ87">
        <v>0</v>
      </c>
      <c r="BA87">
        <v>0</v>
      </c>
      <c r="BE87" t="str">
        <f>T("9791164098859")</f>
        <v>9791164098859</v>
      </c>
      <c r="BF87" t="str">
        <f>T("k131445")</f>
        <v>k131445</v>
      </c>
      <c r="BG87" t="str">
        <f>T("로판 e북 &gt; 서양풍 로판")</f>
        <v>로판 e북 &gt; 서양풍 로판</v>
      </c>
    </row>
    <row r="88" spans="1:59">
      <c r="A88" t="s">
        <v>60</v>
      </c>
      <c r="B88" s="1">
        <v>46130</v>
      </c>
      <c r="C88">
        <v>2378016714</v>
      </c>
      <c r="D88">
        <v>2378016719</v>
      </c>
      <c r="E88" t="str">
        <f>T("[e북]내가 M이라니 6권 (완결)")</f>
        <v>[e북]내가 M이라니 6권 (완결)</v>
      </c>
      <c r="F88">
        <v>6</v>
      </c>
      <c r="G88" t="str">
        <f>T("죄송한취향")</f>
        <v>죄송한취향</v>
      </c>
      <c r="J88" t="str">
        <f>T("시계토끼")</f>
        <v>시계토끼</v>
      </c>
      <c r="K88" t="str">
        <f>T("[e북]내가 M이라니")</f>
        <v>[e북]내가 M이라니</v>
      </c>
      <c r="L88">
        <v>3000</v>
      </c>
      <c r="M88">
        <v>13500</v>
      </c>
      <c r="N88">
        <v>5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13500</v>
      </c>
      <c r="AJ88">
        <v>5</v>
      </c>
      <c r="AK88">
        <v>0</v>
      </c>
      <c r="AL88">
        <v>0</v>
      </c>
      <c r="AM88">
        <v>10800</v>
      </c>
      <c r="AN88">
        <v>0</v>
      </c>
      <c r="AO88">
        <v>3240</v>
      </c>
      <c r="AP88">
        <v>-324</v>
      </c>
      <c r="AQ88">
        <v>0</v>
      </c>
      <c r="AS88">
        <v>0</v>
      </c>
      <c r="AT88">
        <v>0</v>
      </c>
      <c r="AV88">
        <v>0</v>
      </c>
      <c r="AW88">
        <v>0</v>
      </c>
      <c r="AX88">
        <v>3240</v>
      </c>
      <c r="AY88">
        <v>-324</v>
      </c>
      <c r="AZ88">
        <v>0</v>
      </c>
      <c r="BA88">
        <v>9601.2000000000007</v>
      </c>
      <c r="BE88" t="str">
        <f>T("9791164094332")</f>
        <v>9791164094332</v>
      </c>
      <c r="BF88" t="str">
        <f>T("E778793")</f>
        <v>E778793</v>
      </c>
      <c r="BG88" t="str">
        <f>T("로판 e북 &gt; 서양풍 로판")</f>
        <v>로판 e북 &gt; 서양풍 로판</v>
      </c>
    </row>
    <row r="89" spans="1:59">
      <c r="A89" t="s">
        <v>60</v>
      </c>
      <c r="B89" s="1">
        <v>46130</v>
      </c>
      <c r="C89">
        <v>2378016714</v>
      </c>
      <c r="D89">
        <v>2378016714</v>
      </c>
      <c r="E89" t="str">
        <f>T("[e북]내가 M이라니 1권")</f>
        <v>[e북]내가 M이라니 1권</v>
      </c>
      <c r="F89">
        <v>1</v>
      </c>
      <c r="G89" t="str">
        <f>T("죄송한취향")</f>
        <v>죄송한취향</v>
      </c>
      <c r="J89" t="str">
        <f>T("시계토끼")</f>
        <v>시계토끼</v>
      </c>
      <c r="K89" t="str">
        <f>T("[e북]내가 M이라니")</f>
        <v>[e북]내가 M이라니</v>
      </c>
      <c r="L89">
        <v>3000</v>
      </c>
      <c r="M89">
        <v>0</v>
      </c>
      <c r="N89">
        <v>0</v>
      </c>
      <c r="O89">
        <v>0</v>
      </c>
      <c r="P89">
        <v>0</v>
      </c>
      <c r="Q89">
        <v>0</v>
      </c>
      <c r="R89">
        <v>77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1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77</v>
      </c>
      <c r="AK89">
        <v>0</v>
      </c>
      <c r="AL89">
        <v>1</v>
      </c>
      <c r="AM89">
        <v>0</v>
      </c>
      <c r="AN89">
        <v>0</v>
      </c>
      <c r="AO89">
        <v>0</v>
      </c>
      <c r="AP89">
        <v>0</v>
      </c>
      <c r="AQ89">
        <v>0</v>
      </c>
      <c r="AS89">
        <v>0</v>
      </c>
      <c r="AT89">
        <v>0</v>
      </c>
      <c r="AV89">
        <v>0</v>
      </c>
      <c r="AW89">
        <v>0</v>
      </c>
      <c r="AY89">
        <v>0</v>
      </c>
      <c r="AZ89">
        <v>0</v>
      </c>
      <c r="BA89">
        <v>0</v>
      </c>
      <c r="BE89" t="str">
        <f>T("9791164094288")</f>
        <v>9791164094288</v>
      </c>
      <c r="BF89" t="str">
        <f>T("E778788")</f>
        <v>E778788</v>
      </c>
      <c r="BG89" t="str">
        <f>T("로판 e북 &gt; 서양풍 로판")</f>
        <v>로판 e북 &gt; 서양풍 로판</v>
      </c>
    </row>
    <row r="90" spans="1:59">
      <c r="A90" t="s">
        <v>60</v>
      </c>
      <c r="B90" s="1">
        <v>46130</v>
      </c>
      <c r="C90">
        <v>2378016714</v>
      </c>
      <c r="D90">
        <v>2378016716</v>
      </c>
      <c r="E90" t="str">
        <f>T("[e북]내가 M이라니 3권")</f>
        <v>[e북]내가 M이라니 3권</v>
      </c>
      <c r="F90">
        <v>3</v>
      </c>
      <c r="G90" t="str">
        <f>T("죄송한취향")</f>
        <v>죄송한취향</v>
      </c>
      <c r="J90" t="str">
        <f>T("시계토끼")</f>
        <v>시계토끼</v>
      </c>
      <c r="K90" t="str">
        <f>T("[e북]내가 M이라니")</f>
        <v>[e북]내가 M이라니</v>
      </c>
      <c r="L90">
        <v>3000</v>
      </c>
      <c r="M90">
        <v>24300</v>
      </c>
      <c r="N90">
        <v>9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24300</v>
      </c>
      <c r="AJ90">
        <v>9</v>
      </c>
      <c r="AK90">
        <v>0</v>
      </c>
      <c r="AL90">
        <v>0</v>
      </c>
      <c r="AM90">
        <v>21600</v>
      </c>
      <c r="AN90">
        <v>0</v>
      </c>
      <c r="AO90">
        <v>3240</v>
      </c>
      <c r="AP90">
        <v>-324</v>
      </c>
      <c r="AQ90">
        <v>0</v>
      </c>
      <c r="AS90">
        <v>0</v>
      </c>
      <c r="AT90">
        <v>0</v>
      </c>
      <c r="AV90">
        <v>0</v>
      </c>
      <c r="AW90">
        <v>0</v>
      </c>
      <c r="AX90">
        <v>3240</v>
      </c>
      <c r="AY90">
        <v>-324</v>
      </c>
      <c r="AZ90">
        <v>0</v>
      </c>
      <c r="BA90">
        <v>17161.2</v>
      </c>
      <c r="BE90" t="str">
        <f>T("9791164094301")</f>
        <v>9791164094301</v>
      </c>
      <c r="BF90" t="str">
        <f>T("E778790")</f>
        <v>E778790</v>
      </c>
      <c r="BG90" t="str">
        <f>T("로판 e북 &gt; 서양풍 로판")</f>
        <v>로판 e북 &gt; 서양풍 로판</v>
      </c>
    </row>
    <row r="91" spans="1:59">
      <c r="A91" t="s">
        <v>60</v>
      </c>
      <c r="B91" s="1">
        <v>46130</v>
      </c>
      <c r="C91">
        <v>2378016714</v>
      </c>
      <c r="D91">
        <v>2378055066</v>
      </c>
      <c r="E91" t="str">
        <f>T("[e북]네가 M이라니 (특별 외전)")</f>
        <v>[e북]네가 M이라니 (특별 외전)</v>
      </c>
      <c r="F91">
        <v>9</v>
      </c>
      <c r="G91" t="str">
        <f>T("죄송한취향")</f>
        <v>죄송한취향</v>
      </c>
      <c r="J91" t="str">
        <f>T("시계토끼")</f>
        <v>시계토끼</v>
      </c>
      <c r="K91" t="str">
        <f>T("[e북]내가 M이라니")</f>
        <v>[e북]내가 M이라니</v>
      </c>
      <c r="L91">
        <v>0</v>
      </c>
      <c r="M91">
        <v>0</v>
      </c>
      <c r="N91">
        <v>0</v>
      </c>
      <c r="O91">
        <v>12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12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S91">
        <v>0</v>
      </c>
      <c r="AT91">
        <v>0</v>
      </c>
      <c r="AV91">
        <v>0</v>
      </c>
      <c r="AW91">
        <v>0</v>
      </c>
      <c r="AY91">
        <v>0</v>
      </c>
      <c r="AZ91">
        <v>0</v>
      </c>
      <c r="BA91">
        <v>0</v>
      </c>
      <c r="BE91" t="str">
        <f>T("9791164098859")</f>
        <v>9791164098859</v>
      </c>
      <c r="BF91" t="str">
        <f>T("k131445")</f>
        <v>k131445</v>
      </c>
      <c r="BG91" t="str">
        <f>T("로판 e북 &gt; 서양풍 로판")</f>
        <v>로판 e북 &gt; 서양풍 로판</v>
      </c>
    </row>
    <row r="92" spans="1:59">
      <c r="A92" t="s">
        <v>60</v>
      </c>
      <c r="B92" s="1">
        <v>46130</v>
      </c>
      <c r="C92">
        <v>2378016714</v>
      </c>
      <c r="D92">
        <v>2378016715</v>
      </c>
      <c r="E92" t="str">
        <f>T("[e북]내가 M이라니 2권")</f>
        <v>[e북]내가 M이라니 2권</v>
      </c>
      <c r="F92">
        <v>2</v>
      </c>
      <c r="G92" t="str">
        <f>T("죄송한취향")</f>
        <v>죄송한취향</v>
      </c>
      <c r="J92" t="str">
        <f>T("시계토끼")</f>
        <v>시계토끼</v>
      </c>
      <c r="K92" t="str">
        <f>T("[e북]내가 M이라니")</f>
        <v>[e북]내가 M이라니</v>
      </c>
      <c r="L92">
        <v>3000</v>
      </c>
      <c r="M92">
        <v>21600</v>
      </c>
      <c r="N92">
        <v>8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21600</v>
      </c>
      <c r="AJ92">
        <v>8</v>
      </c>
      <c r="AK92">
        <v>0</v>
      </c>
      <c r="AL92">
        <v>0</v>
      </c>
      <c r="AM92">
        <v>18900</v>
      </c>
      <c r="AN92">
        <v>0</v>
      </c>
      <c r="AO92">
        <v>3240</v>
      </c>
      <c r="AP92">
        <v>-972</v>
      </c>
      <c r="AQ92">
        <v>0</v>
      </c>
      <c r="AR92">
        <v>3240</v>
      </c>
      <c r="AS92">
        <v>-972</v>
      </c>
      <c r="AT92">
        <v>0</v>
      </c>
      <c r="AV92">
        <v>0</v>
      </c>
      <c r="AW92">
        <v>0</v>
      </c>
      <c r="AY92">
        <v>0</v>
      </c>
      <c r="AZ92">
        <v>0</v>
      </c>
      <c r="BA92">
        <v>14817.6</v>
      </c>
      <c r="BE92" t="str">
        <f>T("9791164094295")</f>
        <v>9791164094295</v>
      </c>
      <c r="BF92" t="str">
        <f>T("E778789")</f>
        <v>E778789</v>
      </c>
      <c r="BG92" t="str">
        <f>T("로판 e북 &gt; 서양풍 로판")</f>
        <v>로판 e북 &gt; 서양풍 로판</v>
      </c>
    </row>
    <row r="93" spans="1:59">
      <c r="A93" t="s">
        <v>60</v>
      </c>
      <c r="B93" s="1">
        <v>46130</v>
      </c>
      <c r="C93">
        <v>2378016714</v>
      </c>
      <c r="D93">
        <v>2378052411</v>
      </c>
      <c r="E93" t="str">
        <f>T("[e북]네가 M이라니 (외전 1)")</f>
        <v>[e북]네가 M이라니 (외전 1)</v>
      </c>
      <c r="F93">
        <v>7</v>
      </c>
      <c r="G93" t="str">
        <f>T("죄송한취향")</f>
        <v>죄송한취향</v>
      </c>
      <c r="J93" t="str">
        <f>T("시계토끼")</f>
        <v>시계토끼</v>
      </c>
      <c r="K93" t="str">
        <f>T("[e북]내가 M이라니")</f>
        <v>[e북]내가 M이라니</v>
      </c>
      <c r="L93">
        <v>3000</v>
      </c>
      <c r="M93">
        <v>24300</v>
      </c>
      <c r="N93">
        <v>9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24300</v>
      </c>
      <c r="AJ93">
        <v>9</v>
      </c>
      <c r="AK93">
        <v>0</v>
      </c>
      <c r="AL93">
        <v>0</v>
      </c>
      <c r="AM93">
        <v>16200</v>
      </c>
      <c r="AN93">
        <v>0</v>
      </c>
      <c r="AO93">
        <v>9720</v>
      </c>
      <c r="AP93">
        <v>-2268</v>
      </c>
      <c r="AQ93">
        <v>0</v>
      </c>
      <c r="AR93">
        <v>6480</v>
      </c>
      <c r="AS93">
        <v>-1944</v>
      </c>
      <c r="AT93">
        <v>0</v>
      </c>
      <c r="AV93">
        <v>0</v>
      </c>
      <c r="AW93">
        <v>0</v>
      </c>
      <c r="AX93">
        <v>3240</v>
      </c>
      <c r="AY93">
        <v>-324</v>
      </c>
      <c r="AZ93">
        <v>0</v>
      </c>
      <c r="BA93">
        <v>16556.400000000001</v>
      </c>
      <c r="BE93" t="str">
        <f>T("9791164098521")</f>
        <v>9791164098521</v>
      </c>
      <c r="BF93" t="str">
        <f>T("k103191")</f>
        <v>k103191</v>
      </c>
      <c r="BG93" t="str">
        <f>T("로판 e북 &gt; 서양풍 로판")</f>
        <v>로판 e북 &gt; 서양풍 로판</v>
      </c>
    </row>
    <row r="94" spans="1:59">
      <c r="A94" t="s">
        <v>60</v>
      </c>
      <c r="B94" s="1">
        <v>46130</v>
      </c>
      <c r="C94">
        <v>2378016714</v>
      </c>
      <c r="D94">
        <v>2378016718</v>
      </c>
      <c r="E94" t="str">
        <f>T("[e북]내가 M이라니 5권")</f>
        <v>[e북]내가 M이라니 5권</v>
      </c>
      <c r="F94">
        <v>5</v>
      </c>
      <c r="G94" t="str">
        <f>T("죄송한취향")</f>
        <v>죄송한취향</v>
      </c>
      <c r="J94" t="str">
        <f>T("시계토끼")</f>
        <v>시계토끼</v>
      </c>
      <c r="K94" t="str">
        <f>T("[e북]내가 M이라니")</f>
        <v>[e북]내가 M이라니</v>
      </c>
      <c r="L94">
        <v>3000</v>
      </c>
      <c r="M94">
        <v>16200</v>
      </c>
      <c r="N94">
        <v>6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16200</v>
      </c>
      <c r="AJ94">
        <v>6</v>
      </c>
      <c r="AK94">
        <v>0</v>
      </c>
      <c r="AL94">
        <v>0</v>
      </c>
      <c r="AM94">
        <v>13500</v>
      </c>
      <c r="AN94">
        <v>0</v>
      </c>
      <c r="AO94">
        <v>3240</v>
      </c>
      <c r="AP94">
        <v>-324</v>
      </c>
      <c r="AQ94">
        <v>0</v>
      </c>
      <c r="AS94">
        <v>0</v>
      </c>
      <c r="AT94">
        <v>0</v>
      </c>
      <c r="AV94">
        <v>0</v>
      </c>
      <c r="AW94">
        <v>0</v>
      </c>
      <c r="AX94">
        <v>3240</v>
      </c>
      <c r="AY94">
        <v>-324</v>
      </c>
      <c r="AZ94">
        <v>0</v>
      </c>
      <c r="BA94">
        <v>11491.2</v>
      </c>
      <c r="BE94" t="str">
        <f>T("9791164094325")</f>
        <v>9791164094325</v>
      </c>
      <c r="BF94" t="str">
        <f>T("E778792")</f>
        <v>E778792</v>
      </c>
      <c r="BG94" t="str">
        <f>T("로판 e북 &gt; 서양풍 로판")</f>
        <v>로판 e북 &gt; 서양풍 로판</v>
      </c>
    </row>
    <row r="95" spans="1:59">
      <c r="A95" t="s">
        <v>60</v>
      </c>
      <c r="B95" s="1">
        <v>46130</v>
      </c>
      <c r="C95">
        <v>2378016714</v>
      </c>
      <c r="D95">
        <v>2378016717</v>
      </c>
      <c r="E95" t="str">
        <f>T("[e북]내가 M이라니 4권")</f>
        <v>[e북]내가 M이라니 4권</v>
      </c>
      <c r="F95">
        <v>4</v>
      </c>
      <c r="G95" t="str">
        <f>T("죄송한취향")</f>
        <v>죄송한취향</v>
      </c>
      <c r="J95" t="str">
        <f>T("시계토끼")</f>
        <v>시계토끼</v>
      </c>
      <c r="K95" t="str">
        <f>T("[e북]내가 M이라니")</f>
        <v>[e북]내가 M이라니</v>
      </c>
      <c r="L95">
        <v>3000</v>
      </c>
      <c r="M95">
        <v>18900</v>
      </c>
      <c r="N95">
        <v>7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18900</v>
      </c>
      <c r="AJ95">
        <v>7</v>
      </c>
      <c r="AK95">
        <v>0</v>
      </c>
      <c r="AL95">
        <v>0</v>
      </c>
      <c r="AM95">
        <v>16200</v>
      </c>
      <c r="AN95">
        <v>0</v>
      </c>
      <c r="AO95">
        <v>3240</v>
      </c>
      <c r="AP95">
        <v>-324</v>
      </c>
      <c r="AQ95">
        <v>0</v>
      </c>
      <c r="AS95">
        <v>0</v>
      </c>
      <c r="AT95">
        <v>0</v>
      </c>
      <c r="AV95">
        <v>0</v>
      </c>
      <c r="AW95">
        <v>0</v>
      </c>
      <c r="AX95">
        <v>3240</v>
      </c>
      <c r="AY95">
        <v>-324</v>
      </c>
      <c r="AZ95">
        <v>0</v>
      </c>
      <c r="BA95">
        <v>13381.2</v>
      </c>
      <c r="BE95" t="str">
        <f>T("9791164094318")</f>
        <v>9791164094318</v>
      </c>
      <c r="BF95" t="str">
        <f>T("E778791")</f>
        <v>E778791</v>
      </c>
      <c r="BG95" t="str">
        <f>T("로판 e북 &gt; 서양풍 로판")</f>
        <v>로판 e북 &gt; 서양풍 로판</v>
      </c>
    </row>
    <row r="96" spans="1:59">
      <c r="A96" t="s">
        <v>60</v>
      </c>
      <c r="B96" s="1">
        <v>46130</v>
      </c>
      <c r="C96">
        <v>2378016714</v>
      </c>
      <c r="D96">
        <v>2378052412</v>
      </c>
      <c r="E96" t="str">
        <f>T("[e북]네가 M이라니 (외전 2)")</f>
        <v>[e북]네가 M이라니 (외전 2)</v>
      </c>
      <c r="F96">
        <v>8</v>
      </c>
      <c r="G96" t="str">
        <f>T("죄송한취향")</f>
        <v>죄송한취향</v>
      </c>
      <c r="J96" t="str">
        <f>T("시계토끼")</f>
        <v>시계토끼</v>
      </c>
      <c r="K96" t="str">
        <f>T("[e북]내가 M이라니")</f>
        <v>[e북]내가 M이라니</v>
      </c>
      <c r="L96">
        <v>3000</v>
      </c>
      <c r="M96">
        <v>16200</v>
      </c>
      <c r="N96">
        <v>6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16200</v>
      </c>
      <c r="AJ96">
        <v>6</v>
      </c>
      <c r="AK96">
        <v>0</v>
      </c>
      <c r="AL96">
        <v>0</v>
      </c>
      <c r="AM96">
        <v>10800</v>
      </c>
      <c r="AN96">
        <v>0</v>
      </c>
      <c r="AO96">
        <v>6480</v>
      </c>
      <c r="AP96">
        <v>-1296</v>
      </c>
      <c r="AQ96">
        <v>0</v>
      </c>
      <c r="AR96">
        <v>3240</v>
      </c>
      <c r="AS96">
        <v>-972</v>
      </c>
      <c r="AT96">
        <v>0</v>
      </c>
      <c r="AV96">
        <v>0</v>
      </c>
      <c r="AW96">
        <v>0</v>
      </c>
      <c r="AX96">
        <v>3240</v>
      </c>
      <c r="AY96">
        <v>-324</v>
      </c>
      <c r="AZ96">
        <v>0</v>
      </c>
      <c r="BA96">
        <v>11188.8</v>
      </c>
      <c r="BE96" t="str">
        <f>T("9791164098538")</f>
        <v>9791164098538</v>
      </c>
      <c r="BF96" t="str">
        <f>T("k103192")</f>
        <v>k103192</v>
      </c>
      <c r="BG96" t="str">
        <f>T("로판 e북 &gt; 서양풍 로판")</f>
        <v>로판 e북 &gt; 서양풍 로판</v>
      </c>
    </row>
    <row r="97" spans="1:60">
      <c r="A97" t="s">
        <v>60</v>
      </c>
      <c r="B97" s="1">
        <v>46131</v>
      </c>
      <c r="C97">
        <v>2378016714</v>
      </c>
      <c r="D97">
        <v>2378052411</v>
      </c>
      <c r="E97" t="str">
        <f>T("[e북]네가 M이라니 (외전 1)")</f>
        <v>[e북]네가 M이라니 (외전 1)</v>
      </c>
      <c r="F97">
        <v>7</v>
      </c>
      <c r="G97" t="str">
        <f>T("죄송한취향")</f>
        <v>죄송한취향</v>
      </c>
      <c r="J97" t="str">
        <f>T("시계토끼")</f>
        <v>시계토끼</v>
      </c>
      <c r="K97" t="str">
        <f>T("[e북]내가 M이라니")</f>
        <v>[e북]내가 M이라니</v>
      </c>
      <c r="L97">
        <v>3000</v>
      </c>
      <c r="M97">
        <v>37800</v>
      </c>
      <c r="N97">
        <v>14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37800</v>
      </c>
      <c r="AJ97">
        <v>14</v>
      </c>
      <c r="AK97">
        <v>0</v>
      </c>
      <c r="AL97">
        <v>0</v>
      </c>
      <c r="AM97">
        <v>35100</v>
      </c>
      <c r="AN97">
        <v>0</v>
      </c>
      <c r="AO97">
        <v>3240</v>
      </c>
      <c r="AP97">
        <v>-324</v>
      </c>
      <c r="AQ97">
        <v>0</v>
      </c>
      <c r="AS97">
        <v>0</v>
      </c>
      <c r="AT97">
        <v>0</v>
      </c>
      <c r="AU97">
        <v>3240</v>
      </c>
      <c r="AV97">
        <v>-324</v>
      </c>
      <c r="AW97">
        <v>0</v>
      </c>
      <c r="AY97">
        <v>0</v>
      </c>
      <c r="AZ97">
        <v>0</v>
      </c>
      <c r="BA97">
        <v>26611.200000000001</v>
      </c>
      <c r="BE97" t="str">
        <f>T("9791164098521")</f>
        <v>9791164098521</v>
      </c>
      <c r="BF97" t="str">
        <f>T("k103191")</f>
        <v>k103191</v>
      </c>
      <c r="BG97" t="str">
        <f>T("로판 e북 &gt; 서양풍 로판")</f>
        <v>로판 e북 &gt; 서양풍 로판</v>
      </c>
    </row>
    <row r="98" spans="1:60">
      <c r="A98" t="s">
        <v>60</v>
      </c>
      <c r="B98" s="1">
        <v>46131</v>
      </c>
      <c r="C98">
        <v>2378016714</v>
      </c>
      <c r="D98">
        <v>2378052412</v>
      </c>
      <c r="E98" t="str">
        <f>T("[e북]네가 M이라니 (외전 2)")</f>
        <v>[e북]네가 M이라니 (외전 2)</v>
      </c>
      <c r="F98">
        <v>8</v>
      </c>
      <c r="G98" t="str">
        <f>T("죄송한취향")</f>
        <v>죄송한취향</v>
      </c>
      <c r="J98" t="str">
        <f>T("시계토끼")</f>
        <v>시계토끼</v>
      </c>
      <c r="K98" t="str">
        <f>T("[e북]내가 M이라니")</f>
        <v>[e북]내가 M이라니</v>
      </c>
      <c r="L98">
        <v>3000</v>
      </c>
      <c r="M98">
        <v>29700</v>
      </c>
      <c r="N98">
        <v>11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29700</v>
      </c>
      <c r="AJ98">
        <v>11</v>
      </c>
      <c r="AK98">
        <v>0</v>
      </c>
      <c r="AL98">
        <v>0</v>
      </c>
      <c r="AM98">
        <v>27000</v>
      </c>
      <c r="AN98">
        <v>0</v>
      </c>
      <c r="AO98">
        <v>3240</v>
      </c>
      <c r="AP98">
        <v>-324</v>
      </c>
      <c r="AQ98">
        <v>0</v>
      </c>
      <c r="AS98">
        <v>0</v>
      </c>
      <c r="AT98">
        <v>0</v>
      </c>
      <c r="AU98">
        <v>3240</v>
      </c>
      <c r="AV98">
        <v>-324</v>
      </c>
      <c r="AW98">
        <v>0</v>
      </c>
      <c r="AY98">
        <v>0</v>
      </c>
      <c r="AZ98">
        <v>0</v>
      </c>
      <c r="BA98">
        <v>20941.2</v>
      </c>
      <c r="BE98" t="str">
        <f>T("9791164098538")</f>
        <v>9791164098538</v>
      </c>
      <c r="BF98" t="str">
        <f>T("k103192")</f>
        <v>k103192</v>
      </c>
      <c r="BG98" t="str">
        <f>T("로판 e북 &gt; 서양풍 로판")</f>
        <v>로판 e북 &gt; 서양풍 로판</v>
      </c>
    </row>
    <row r="99" spans="1:60">
      <c r="A99" t="s">
        <v>60</v>
      </c>
      <c r="B99" s="1">
        <v>46131</v>
      </c>
      <c r="C99">
        <v>2378016714</v>
      </c>
      <c r="D99">
        <v>2378055066</v>
      </c>
      <c r="E99" t="str">
        <f>T("[e북]네가 M이라니 (특별 외전)")</f>
        <v>[e북]네가 M이라니 (특별 외전)</v>
      </c>
      <c r="F99">
        <v>9</v>
      </c>
      <c r="G99" t="str">
        <f>T("죄송한취향")</f>
        <v>죄송한취향</v>
      </c>
      <c r="J99" t="str">
        <f>T("시계토끼")</f>
        <v>시계토끼</v>
      </c>
      <c r="K99" t="str">
        <f>T("[e북]내가 M이라니")</f>
        <v>[e북]내가 M이라니</v>
      </c>
      <c r="L99">
        <v>0</v>
      </c>
      <c r="M99">
        <v>0</v>
      </c>
      <c r="N99">
        <v>0</v>
      </c>
      <c r="O99">
        <v>14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14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S99">
        <v>0</v>
      </c>
      <c r="AT99">
        <v>0</v>
      </c>
      <c r="AV99">
        <v>0</v>
      </c>
      <c r="AW99">
        <v>0</v>
      </c>
      <c r="AY99">
        <v>0</v>
      </c>
      <c r="AZ99">
        <v>0</v>
      </c>
      <c r="BA99">
        <v>0</v>
      </c>
      <c r="BE99" t="str">
        <f>T("9791164098859")</f>
        <v>9791164098859</v>
      </c>
      <c r="BF99" t="str">
        <f>T("k131445")</f>
        <v>k131445</v>
      </c>
      <c r="BG99" t="str">
        <f>T("로판 e북 &gt; 서양풍 로판")</f>
        <v>로판 e북 &gt; 서양풍 로판</v>
      </c>
    </row>
    <row r="100" spans="1:60">
      <c r="A100" t="s">
        <v>60</v>
      </c>
      <c r="B100" s="1">
        <v>46131</v>
      </c>
      <c r="C100">
        <v>2378016714</v>
      </c>
      <c r="D100">
        <v>2378016714</v>
      </c>
      <c r="E100" t="str">
        <f>T("[e북]내가 M이라니 1권")</f>
        <v>[e북]내가 M이라니 1권</v>
      </c>
      <c r="F100">
        <v>1</v>
      </c>
      <c r="G100" t="str">
        <f>T("죄송한취향")</f>
        <v>죄송한취향</v>
      </c>
      <c r="J100" t="str">
        <f>T("시계토끼")</f>
        <v>시계토끼</v>
      </c>
      <c r="K100" t="str">
        <f>T("[e북]내가 M이라니")</f>
        <v>[e북]내가 M이라니</v>
      </c>
      <c r="L100">
        <v>3000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73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73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S100">
        <v>0</v>
      </c>
      <c r="AT100">
        <v>0</v>
      </c>
      <c r="AV100">
        <v>0</v>
      </c>
      <c r="AW100">
        <v>0</v>
      </c>
      <c r="AY100">
        <v>0</v>
      </c>
      <c r="AZ100">
        <v>0</v>
      </c>
      <c r="BA100">
        <v>0</v>
      </c>
      <c r="BE100" t="str">
        <f>T("9791164094288")</f>
        <v>9791164094288</v>
      </c>
      <c r="BF100" t="str">
        <f>T("E778788")</f>
        <v>E778788</v>
      </c>
      <c r="BG100" t="str">
        <f>T("로판 e북 &gt; 서양풍 로판")</f>
        <v>로판 e북 &gt; 서양풍 로판</v>
      </c>
    </row>
    <row r="101" spans="1:60">
      <c r="A101" t="s">
        <v>60</v>
      </c>
      <c r="B101" s="1">
        <v>46131</v>
      </c>
      <c r="C101">
        <v>2378016714</v>
      </c>
      <c r="D101">
        <v>2378016717</v>
      </c>
      <c r="E101" t="str">
        <f>T("[e북]내가 M이라니 4권")</f>
        <v>[e북]내가 M이라니 4권</v>
      </c>
      <c r="F101">
        <v>4</v>
      </c>
      <c r="G101" t="str">
        <f>T("죄송한취향")</f>
        <v>죄송한취향</v>
      </c>
      <c r="J101" t="str">
        <f>T("시계토끼")</f>
        <v>시계토끼</v>
      </c>
      <c r="K101" t="str">
        <f>T("[e북]내가 M이라니")</f>
        <v>[e북]내가 M이라니</v>
      </c>
      <c r="L101">
        <v>3000</v>
      </c>
      <c r="M101">
        <v>24300</v>
      </c>
      <c r="N101">
        <v>9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24300</v>
      </c>
      <c r="AJ101">
        <v>9</v>
      </c>
      <c r="AK101">
        <v>0</v>
      </c>
      <c r="AL101">
        <v>0</v>
      </c>
      <c r="AM101">
        <v>13900</v>
      </c>
      <c r="AN101">
        <v>0</v>
      </c>
      <c r="AO101">
        <v>12480</v>
      </c>
      <c r="AP101">
        <v>-1800</v>
      </c>
      <c r="AQ101">
        <v>0</v>
      </c>
      <c r="AR101">
        <v>2760</v>
      </c>
      <c r="AS101">
        <v>-828</v>
      </c>
      <c r="AT101">
        <v>0</v>
      </c>
      <c r="AU101">
        <v>9720</v>
      </c>
      <c r="AV101">
        <v>-972</v>
      </c>
      <c r="AW101">
        <v>0</v>
      </c>
      <c r="AY101">
        <v>0</v>
      </c>
      <c r="AZ101">
        <v>0</v>
      </c>
      <c r="BA101">
        <v>17206</v>
      </c>
      <c r="BE101" t="str">
        <f>T("9791164094318")</f>
        <v>9791164094318</v>
      </c>
      <c r="BF101" t="str">
        <f>T("E778791")</f>
        <v>E778791</v>
      </c>
      <c r="BG101" t="str">
        <f>T("로판 e북 &gt; 서양풍 로판")</f>
        <v>로판 e북 &gt; 서양풍 로판</v>
      </c>
    </row>
    <row r="102" spans="1:60">
      <c r="A102" t="s">
        <v>60</v>
      </c>
      <c r="B102" s="1">
        <v>46131</v>
      </c>
      <c r="C102">
        <v>2378016714</v>
      </c>
      <c r="D102">
        <v>2378016719</v>
      </c>
      <c r="E102" t="str">
        <f>T("[e북]내가 M이라니 6권 (완결)")</f>
        <v>[e북]내가 M이라니 6권 (완결)</v>
      </c>
      <c r="F102">
        <v>6</v>
      </c>
      <c r="G102" t="str">
        <f>T("죄송한취향")</f>
        <v>죄송한취향</v>
      </c>
      <c r="J102" t="str">
        <f>T("시계토끼")</f>
        <v>시계토끼</v>
      </c>
      <c r="K102" t="str">
        <f>T("[e북]내가 M이라니")</f>
        <v>[e북]내가 M이라니</v>
      </c>
      <c r="L102">
        <v>3000</v>
      </c>
      <c r="M102">
        <v>16200</v>
      </c>
      <c r="N102">
        <v>6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16200</v>
      </c>
      <c r="AJ102">
        <v>6</v>
      </c>
      <c r="AK102">
        <v>0</v>
      </c>
      <c r="AL102">
        <v>0</v>
      </c>
      <c r="AM102">
        <v>12000</v>
      </c>
      <c r="AN102">
        <v>0</v>
      </c>
      <c r="AO102">
        <v>5040</v>
      </c>
      <c r="AP102">
        <v>-504</v>
      </c>
      <c r="AQ102">
        <v>0</v>
      </c>
      <c r="AS102">
        <v>0</v>
      </c>
      <c r="AT102">
        <v>0</v>
      </c>
      <c r="AU102">
        <v>5040</v>
      </c>
      <c r="AV102">
        <v>-504</v>
      </c>
      <c r="AW102">
        <v>0</v>
      </c>
      <c r="AY102">
        <v>0</v>
      </c>
      <c r="AZ102">
        <v>0</v>
      </c>
      <c r="BA102">
        <v>11575.2</v>
      </c>
      <c r="BE102" t="str">
        <f>T("9791164094332")</f>
        <v>9791164094332</v>
      </c>
      <c r="BF102" t="str">
        <f>T("E778793")</f>
        <v>E778793</v>
      </c>
      <c r="BG102" t="str">
        <f>T("로판 e북 &gt; 서양풍 로판")</f>
        <v>로판 e북 &gt; 서양풍 로판</v>
      </c>
    </row>
    <row r="103" spans="1:60">
      <c r="A103" t="s">
        <v>60</v>
      </c>
      <c r="B103" s="1">
        <v>46131</v>
      </c>
      <c r="C103">
        <v>2378016714</v>
      </c>
      <c r="D103">
        <v>2378016718</v>
      </c>
      <c r="E103" t="str">
        <f>T("[e북]내가 M이라니 5권")</f>
        <v>[e북]내가 M이라니 5권</v>
      </c>
      <c r="F103">
        <v>5</v>
      </c>
      <c r="G103" t="str">
        <f>T("죄송한취향")</f>
        <v>죄송한취향</v>
      </c>
      <c r="J103" t="str">
        <f>T("시계토끼")</f>
        <v>시계토끼</v>
      </c>
      <c r="K103" t="str">
        <f>T("[e북]내가 M이라니")</f>
        <v>[e북]내가 M이라니</v>
      </c>
      <c r="L103">
        <v>3000</v>
      </c>
      <c r="M103">
        <v>24300</v>
      </c>
      <c r="N103">
        <v>9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24300</v>
      </c>
      <c r="AJ103">
        <v>9</v>
      </c>
      <c r="AK103">
        <v>0</v>
      </c>
      <c r="AL103">
        <v>0</v>
      </c>
      <c r="AM103">
        <v>18900</v>
      </c>
      <c r="AN103">
        <v>0</v>
      </c>
      <c r="AO103">
        <v>6480</v>
      </c>
      <c r="AP103">
        <v>-648</v>
      </c>
      <c r="AQ103">
        <v>0</v>
      </c>
      <c r="AS103">
        <v>0</v>
      </c>
      <c r="AT103">
        <v>0</v>
      </c>
      <c r="AU103">
        <v>6480</v>
      </c>
      <c r="AV103">
        <v>-648</v>
      </c>
      <c r="AW103">
        <v>0</v>
      </c>
      <c r="AY103">
        <v>0</v>
      </c>
      <c r="AZ103">
        <v>0</v>
      </c>
      <c r="BA103">
        <v>17312.400000000001</v>
      </c>
      <c r="BE103" t="str">
        <f>T("9791164094325")</f>
        <v>9791164094325</v>
      </c>
      <c r="BF103" t="str">
        <f>T("E778792")</f>
        <v>E778792</v>
      </c>
      <c r="BG103" t="str">
        <f>T("로판 e북 &gt; 서양풍 로판")</f>
        <v>로판 e북 &gt; 서양풍 로판</v>
      </c>
    </row>
    <row r="104" spans="1:60">
      <c r="A104" t="s">
        <v>60</v>
      </c>
      <c r="B104" s="1">
        <v>46131</v>
      </c>
      <c r="C104">
        <v>2378016714</v>
      </c>
      <c r="D104">
        <v>2378016715</v>
      </c>
      <c r="E104" t="str">
        <f>T("[e북]내가 M이라니 2권")</f>
        <v>[e북]내가 M이라니 2권</v>
      </c>
      <c r="F104">
        <v>2</v>
      </c>
      <c r="G104" t="str">
        <f>T("죄송한취향")</f>
        <v>죄송한취향</v>
      </c>
      <c r="J104" t="str">
        <f>T("시계토끼")</f>
        <v>시계토끼</v>
      </c>
      <c r="K104" t="str">
        <f>T("[e북]내가 M이라니")</f>
        <v>[e북]내가 M이라니</v>
      </c>
      <c r="L104">
        <v>3000</v>
      </c>
      <c r="M104">
        <v>18900</v>
      </c>
      <c r="N104">
        <v>7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18900</v>
      </c>
      <c r="AJ104">
        <v>7</v>
      </c>
      <c r="AK104">
        <v>0</v>
      </c>
      <c r="AL104">
        <v>0</v>
      </c>
      <c r="AM104">
        <v>13500</v>
      </c>
      <c r="AN104">
        <v>0</v>
      </c>
      <c r="AO104">
        <v>6480</v>
      </c>
      <c r="AP104">
        <v>-1944</v>
      </c>
      <c r="AQ104">
        <v>0</v>
      </c>
      <c r="AR104">
        <v>6480</v>
      </c>
      <c r="AS104">
        <v>-1944</v>
      </c>
      <c r="AT104">
        <v>0</v>
      </c>
      <c r="AV104">
        <v>0</v>
      </c>
      <c r="AW104">
        <v>0</v>
      </c>
      <c r="AY104">
        <v>0</v>
      </c>
      <c r="AZ104">
        <v>0</v>
      </c>
      <c r="BA104">
        <v>12625.2</v>
      </c>
      <c r="BE104" t="str">
        <f>T("9791164094295")</f>
        <v>9791164094295</v>
      </c>
      <c r="BF104" t="str">
        <f>T("E778789")</f>
        <v>E778789</v>
      </c>
      <c r="BG104" t="str">
        <f>T("로판 e북 &gt; 서양풍 로판")</f>
        <v>로판 e북 &gt; 서양풍 로판</v>
      </c>
    </row>
    <row r="105" spans="1:60">
      <c r="A105" t="s">
        <v>60</v>
      </c>
      <c r="B105" s="1">
        <v>46131</v>
      </c>
      <c r="C105">
        <v>2378016714</v>
      </c>
      <c r="D105">
        <v>2378016716</v>
      </c>
      <c r="E105" t="str">
        <f>T("[e북]내가 M이라니 3권")</f>
        <v>[e북]내가 M이라니 3권</v>
      </c>
      <c r="F105">
        <v>3</v>
      </c>
      <c r="G105" t="str">
        <f>T("죄송한취향")</f>
        <v>죄송한취향</v>
      </c>
      <c r="J105" t="str">
        <f>T("시계토끼")</f>
        <v>시계토끼</v>
      </c>
      <c r="K105" t="str">
        <f>T("[e북]내가 M이라니")</f>
        <v>[e북]내가 M이라니</v>
      </c>
      <c r="L105">
        <v>3000</v>
      </c>
      <c r="M105">
        <v>24300</v>
      </c>
      <c r="N105">
        <v>9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24300</v>
      </c>
      <c r="AJ105">
        <v>9</v>
      </c>
      <c r="AK105">
        <v>0</v>
      </c>
      <c r="AL105">
        <v>0</v>
      </c>
      <c r="AM105">
        <v>18900</v>
      </c>
      <c r="AN105">
        <v>0</v>
      </c>
      <c r="AO105">
        <v>6480</v>
      </c>
      <c r="AP105">
        <v>-1944</v>
      </c>
      <c r="AQ105">
        <v>0</v>
      </c>
      <c r="AR105">
        <v>6480</v>
      </c>
      <c r="AS105">
        <v>-1944</v>
      </c>
      <c r="AT105">
        <v>0</v>
      </c>
      <c r="AV105">
        <v>0</v>
      </c>
      <c r="AW105">
        <v>0</v>
      </c>
      <c r="AY105">
        <v>0</v>
      </c>
      <c r="AZ105">
        <v>0</v>
      </c>
      <c r="BA105">
        <v>16405.2</v>
      </c>
      <c r="BE105" t="str">
        <f>T("9791164094301")</f>
        <v>9791164094301</v>
      </c>
      <c r="BF105" t="str">
        <f>T("E778790")</f>
        <v>E778790</v>
      </c>
      <c r="BG105" t="str">
        <f>T("로판 e북 &gt; 서양풍 로판")</f>
        <v>로판 e북 &gt; 서양풍 로판</v>
      </c>
    </row>
    <row r="106" spans="1:60">
      <c r="A106" t="s">
        <v>60</v>
      </c>
      <c r="B106" s="1">
        <v>46129</v>
      </c>
      <c r="C106">
        <v>2378035187</v>
      </c>
      <c r="D106">
        <v>2378035187</v>
      </c>
      <c r="E106" t="str">
        <f>T("[e북]내게 양기를 바치렴 1권")</f>
        <v>[e북]내게 양기를 바치렴 1권</v>
      </c>
      <c r="F106">
        <v>1</v>
      </c>
      <c r="G106" t="str">
        <f>T("이자나")</f>
        <v>이자나</v>
      </c>
      <c r="J106" t="str">
        <f>T("시계토끼")</f>
        <v>시계토끼</v>
      </c>
      <c r="K106" t="str">
        <f>T("[e북]내게 양기를 바치렴")</f>
        <v>[e북]내게 양기를 바치렴</v>
      </c>
      <c r="L106">
        <v>3300</v>
      </c>
      <c r="M106">
        <v>3300</v>
      </c>
      <c r="N106">
        <v>1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3300</v>
      </c>
      <c r="AJ106">
        <v>1</v>
      </c>
      <c r="AK106">
        <v>0</v>
      </c>
      <c r="AL106">
        <v>0</v>
      </c>
      <c r="AM106">
        <v>3300</v>
      </c>
      <c r="AN106">
        <v>0</v>
      </c>
      <c r="AO106">
        <v>0</v>
      </c>
      <c r="AP106">
        <v>0</v>
      </c>
      <c r="AQ106">
        <v>0</v>
      </c>
      <c r="AS106">
        <v>0</v>
      </c>
      <c r="AT106">
        <v>0</v>
      </c>
      <c r="AV106">
        <v>0</v>
      </c>
      <c r="AW106">
        <v>0</v>
      </c>
      <c r="AY106">
        <v>0</v>
      </c>
      <c r="AZ106">
        <v>0</v>
      </c>
      <c r="BA106">
        <v>2310</v>
      </c>
      <c r="BE106" t="str">
        <f>T("9791164097067")</f>
        <v>9791164097067</v>
      </c>
      <c r="BF106" t="str">
        <f>T("N105493")</f>
        <v>N105493</v>
      </c>
      <c r="BG106" t="str">
        <f>T("로맨스 e북 &gt; 역사/시대물")</f>
        <v>로맨스 e북 &gt; 역사/시대물</v>
      </c>
      <c r="BH106" t="str">
        <f>T("로맨스 e북 &gt; 19+")</f>
        <v>로맨스 e북 &gt; 19+</v>
      </c>
    </row>
    <row r="107" spans="1:60">
      <c r="A107" t="s">
        <v>60</v>
      </c>
      <c r="B107" s="1">
        <v>46130</v>
      </c>
      <c r="C107">
        <v>2378035187</v>
      </c>
      <c r="D107">
        <v>2378035425</v>
      </c>
      <c r="E107" t="str">
        <f>T("[e북]내게 양기를 바치렴 2권")</f>
        <v>[e북]내게 양기를 바치렴 2권</v>
      </c>
      <c r="F107">
        <v>2</v>
      </c>
      <c r="G107" t="str">
        <f>T("이자나")</f>
        <v>이자나</v>
      </c>
      <c r="J107" t="str">
        <f>T("시계토끼")</f>
        <v>시계토끼</v>
      </c>
      <c r="K107" t="str">
        <f>T("[e북]내게 양기를 바치렴")</f>
        <v>[e북]내게 양기를 바치렴</v>
      </c>
      <c r="L107">
        <v>3300</v>
      </c>
      <c r="M107">
        <v>3300</v>
      </c>
      <c r="N107">
        <v>1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3300</v>
      </c>
      <c r="AJ107">
        <v>1</v>
      </c>
      <c r="AK107">
        <v>0</v>
      </c>
      <c r="AL107">
        <v>0</v>
      </c>
      <c r="AM107">
        <v>3300</v>
      </c>
      <c r="AN107">
        <v>0</v>
      </c>
      <c r="AO107">
        <v>0</v>
      </c>
      <c r="AP107">
        <v>0</v>
      </c>
      <c r="AQ107">
        <v>0</v>
      </c>
      <c r="AS107">
        <v>0</v>
      </c>
      <c r="AT107">
        <v>0</v>
      </c>
      <c r="AV107">
        <v>0</v>
      </c>
      <c r="AW107">
        <v>0</v>
      </c>
      <c r="AY107">
        <v>0</v>
      </c>
      <c r="AZ107">
        <v>0</v>
      </c>
      <c r="BA107">
        <v>2310</v>
      </c>
      <c r="BE107" t="str">
        <f>T("9791164097074")</f>
        <v>9791164097074</v>
      </c>
      <c r="BF107" t="str">
        <f>T("N105494")</f>
        <v>N105494</v>
      </c>
      <c r="BG107" t="str">
        <f>T("로맨스 e북 &gt; 역사/시대물")</f>
        <v>로맨스 e북 &gt; 역사/시대물</v>
      </c>
      <c r="BH107" t="str">
        <f>T("로맨스 e북 &gt; 19+")</f>
        <v>로맨스 e북 &gt; 19+</v>
      </c>
    </row>
    <row r="108" spans="1:60">
      <c r="A108" t="s">
        <v>60</v>
      </c>
      <c r="B108" s="1">
        <v>46130</v>
      </c>
      <c r="C108">
        <v>2378035187</v>
      </c>
      <c r="D108">
        <v>2378035426</v>
      </c>
      <c r="E108" t="str">
        <f>T("[e북]내게 양기를 바치렴 3권")</f>
        <v>[e북]내게 양기를 바치렴 3권</v>
      </c>
      <c r="F108">
        <v>3</v>
      </c>
      <c r="G108" t="str">
        <f>T("이자나")</f>
        <v>이자나</v>
      </c>
      <c r="J108" t="str">
        <f>T("시계토끼")</f>
        <v>시계토끼</v>
      </c>
      <c r="K108" t="str">
        <f>T("[e북]내게 양기를 바치렴")</f>
        <v>[e북]내게 양기를 바치렴</v>
      </c>
      <c r="L108">
        <v>3300</v>
      </c>
      <c r="M108">
        <v>3300</v>
      </c>
      <c r="N108">
        <v>1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3300</v>
      </c>
      <c r="AJ108">
        <v>1</v>
      </c>
      <c r="AK108">
        <v>0</v>
      </c>
      <c r="AL108">
        <v>0</v>
      </c>
      <c r="AM108">
        <v>3300</v>
      </c>
      <c r="AN108">
        <v>0</v>
      </c>
      <c r="AO108">
        <v>0</v>
      </c>
      <c r="AP108">
        <v>0</v>
      </c>
      <c r="AQ108">
        <v>0</v>
      </c>
      <c r="AS108">
        <v>0</v>
      </c>
      <c r="AT108">
        <v>0</v>
      </c>
      <c r="AV108">
        <v>0</v>
      </c>
      <c r="AW108">
        <v>0</v>
      </c>
      <c r="AY108">
        <v>0</v>
      </c>
      <c r="AZ108">
        <v>0</v>
      </c>
      <c r="BA108">
        <v>2310</v>
      </c>
      <c r="BE108" t="str">
        <f>T("9791164097081")</f>
        <v>9791164097081</v>
      </c>
      <c r="BF108" t="str">
        <f>T("N105495")</f>
        <v>N105495</v>
      </c>
      <c r="BG108" t="str">
        <f>T("로맨스 e북 &gt; 역사/시대물")</f>
        <v>로맨스 e북 &gt; 역사/시대물</v>
      </c>
      <c r="BH108" t="str">
        <f>T("로맨스 e북 &gt; 19+")</f>
        <v>로맨스 e북 &gt; 19+</v>
      </c>
    </row>
    <row r="109" spans="1:60">
      <c r="A109" t="s">
        <v>60</v>
      </c>
      <c r="B109" s="1">
        <v>46130</v>
      </c>
      <c r="C109">
        <v>2378035187</v>
      </c>
      <c r="D109">
        <v>2378035427</v>
      </c>
      <c r="E109" t="str">
        <f>T("[e북]내게 양기를 바치렴 4권 (완결)")</f>
        <v>[e북]내게 양기를 바치렴 4권 (완결)</v>
      </c>
      <c r="F109">
        <v>4</v>
      </c>
      <c r="G109" t="str">
        <f>T("이자나")</f>
        <v>이자나</v>
      </c>
      <c r="J109" t="str">
        <f>T("시계토끼")</f>
        <v>시계토끼</v>
      </c>
      <c r="K109" t="str">
        <f>T("[e북]내게 양기를 바치렴")</f>
        <v>[e북]내게 양기를 바치렴</v>
      </c>
      <c r="L109">
        <v>3300</v>
      </c>
      <c r="M109">
        <v>3300</v>
      </c>
      <c r="N109">
        <v>1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3300</v>
      </c>
      <c r="AJ109">
        <v>1</v>
      </c>
      <c r="AK109">
        <v>0</v>
      </c>
      <c r="AL109">
        <v>0</v>
      </c>
      <c r="AM109">
        <v>3300</v>
      </c>
      <c r="AN109">
        <v>0</v>
      </c>
      <c r="AO109">
        <v>0</v>
      </c>
      <c r="AP109">
        <v>0</v>
      </c>
      <c r="AQ109">
        <v>0</v>
      </c>
      <c r="AS109">
        <v>0</v>
      </c>
      <c r="AT109">
        <v>0</v>
      </c>
      <c r="AV109">
        <v>0</v>
      </c>
      <c r="AW109">
        <v>0</v>
      </c>
      <c r="AY109">
        <v>0</v>
      </c>
      <c r="AZ109">
        <v>0</v>
      </c>
      <c r="BA109">
        <v>2310</v>
      </c>
      <c r="BE109" t="str">
        <f>T("9791164097098")</f>
        <v>9791164097098</v>
      </c>
      <c r="BF109" t="str">
        <f>T("N105496")</f>
        <v>N105496</v>
      </c>
      <c r="BG109" t="str">
        <f>T("로맨스 e북 &gt; 역사/시대물")</f>
        <v>로맨스 e북 &gt; 역사/시대물</v>
      </c>
      <c r="BH109" t="str">
        <f>T("로맨스 e북 &gt; 19+")</f>
        <v>로맨스 e북 &gt; 19+</v>
      </c>
    </row>
    <row r="110" spans="1:60">
      <c r="A110" t="s">
        <v>60</v>
      </c>
      <c r="B110" s="1">
        <v>46129</v>
      </c>
      <c r="C110">
        <v>2378037593</v>
      </c>
      <c r="D110">
        <v>2378037593</v>
      </c>
      <c r="E110" t="str">
        <f>T("[e북]너를 노예로 삼은 것을 후회한다 1권")</f>
        <v>[e북]너를 노예로 삼은 것을 후회한다 1권</v>
      </c>
      <c r="F110">
        <v>1</v>
      </c>
      <c r="G110" t="str">
        <f>T("뮤사203")</f>
        <v>뮤사203</v>
      </c>
      <c r="J110" t="str">
        <f>T("시계토끼")</f>
        <v>시계토끼</v>
      </c>
      <c r="K110" t="str">
        <f>T("[e북]너를 노예로 삼은 것을 후회한다")</f>
        <v>[e북]너를 노예로 삼은 것을 후회한다</v>
      </c>
      <c r="L110">
        <v>3500</v>
      </c>
      <c r="M110">
        <v>3500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3500</v>
      </c>
      <c r="AJ110">
        <v>1</v>
      </c>
      <c r="AK110">
        <v>0</v>
      </c>
      <c r="AL110">
        <v>0</v>
      </c>
      <c r="AM110">
        <v>3500</v>
      </c>
      <c r="AN110">
        <v>0</v>
      </c>
      <c r="AO110">
        <v>0</v>
      </c>
      <c r="AP110">
        <v>0</v>
      </c>
      <c r="AQ110">
        <v>0</v>
      </c>
      <c r="AS110">
        <v>0</v>
      </c>
      <c r="AT110">
        <v>0</v>
      </c>
      <c r="AV110">
        <v>0</v>
      </c>
      <c r="AW110">
        <v>0</v>
      </c>
      <c r="AY110">
        <v>0</v>
      </c>
      <c r="AZ110">
        <v>0</v>
      </c>
      <c r="BA110">
        <v>2450</v>
      </c>
      <c r="BE110" t="str">
        <f>T("9791164092642")</f>
        <v>9791164092642</v>
      </c>
      <c r="BF110" t="str">
        <f>T("N135349")</f>
        <v>N135349</v>
      </c>
      <c r="BG110" t="str">
        <f>T("로판 e북 &gt; 서양풍 로판")</f>
        <v>로판 e북 &gt; 서양풍 로판</v>
      </c>
    </row>
    <row r="111" spans="1:60">
      <c r="A111" t="s">
        <v>60</v>
      </c>
      <c r="B111" s="1">
        <v>46129</v>
      </c>
      <c r="C111">
        <v>2378037593</v>
      </c>
      <c r="D111">
        <v>2378037600</v>
      </c>
      <c r="E111" t="str">
        <f>T("[e북]너를 노예로 삼은 것을 후회한다 2권")</f>
        <v>[e북]너를 노예로 삼은 것을 후회한다 2권</v>
      </c>
      <c r="F111">
        <v>2</v>
      </c>
      <c r="G111" t="str">
        <f>T("뮤사203")</f>
        <v>뮤사203</v>
      </c>
      <c r="J111" t="str">
        <f>T("시계토끼")</f>
        <v>시계토끼</v>
      </c>
      <c r="K111" t="str">
        <f>T("[e북]너를 노예로 삼은 것을 후회한다")</f>
        <v>[e북]너를 노예로 삼은 것을 후회한다</v>
      </c>
      <c r="L111">
        <v>3500</v>
      </c>
      <c r="M111">
        <v>3500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3500</v>
      </c>
      <c r="AJ111">
        <v>1</v>
      </c>
      <c r="AK111">
        <v>0</v>
      </c>
      <c r="AL111">
        <v>0</v>
      </c>
      <c r="AM111">
        <v>3500</v>
      </c>
      <c r="AN111">
        <v>0</v>
      </c>
      <c r="AO111">
        <v>0</v>
      </c>
      <c r="AP111">
        <v>0</v>
      </c>
      <c r="AQ111">
        <v>0</v>
      </c>
      <c r="AS111">
        <v>0</v>
      </c>
      <c r="AT111">
        <v>0</v>
      </c>
      <c r="AV111">
        <v>0</v>
      </c>
      <c r="AW111">
        <v>0</v>
      </c>
      <c r="AY111">
        <v>0</v>
      </c>
      <c r="AZ111">
        <v>0</v>
      </c>
      <c r="BA111">
        <v>2450</v>
      </c>
      <c r="BE111" t="str">
        <f>T("9791164092659")</f>
        <v>9791164092659</v>
      </c>
      <c r="BF111" t="str">
        <f>T("N135350")</f>
        <v>N135350</v>
      </c>
      <c r="BG111" t="str">
        <f>T("로판 e북 &gt; 서양풍 로판")</f>
        <v>로판 e북 &gt; 서양풍 로판</v>
      </c>
    </row>
    <row r="112" spans="1:60">
      <c r="A112" t="s">
        <v>60</v>
      </c>
      <c r="B112" s="1">
        <v>46130</v>
      </c>
      <c r="C112">
        <v>2378037593</v>
      </c>
      <c r="D112">
        <v>2378068742</v>
      </c>
      <c r="E112" t="str">
        <f>T("[e북]너를 노예로 삼은 것을 후회한다 특전")</f>
        <v>[e북]너를 노예로 삼은 것을 후회한다 특전</v>
      </c>
      <c r="F112">
        <v>6</v>
      </c>
      <c r="G112" t="str">
        <f>T("뮤사203")</f>
        <v>뮤사203</v>
      </c>
      <c r="J112" t="str">
        <f>T("시계토끼")</f>
        <v>시계토끼</v>
      </c>
      <c r="K112" t="str">
        <f>T("[e북]너를 노예로 삼은 것을 후회한다")</f>
        <v>[e북]너를 노예로 삼은 것을 후회한다</v>
      </c>
      <c r="L112">
        <v>0</v>
      </c>
      <c r="M112">
        <v>0</v>
      </c>
      <c r="N112">
        <v>0</v>
      </c>
      <c r="O112">
        <v>2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2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S112">
        <v>0</v>
      </c>
      <c r="AT112">
        <v>0</v>
      </c>
      <c r="AV112">
        <v>0</v>
      </c>
      <c r="AW112">
        <v>0</v>
      </c>
      <c r="AY112">
        <v>0</v>
      </c>
      <c r="AZ112">
        <v>0</v>
      </c>
      <c r="BA112">
        <v>0</v>
      </c>
      <c r="BE112" t="str">
        <f>T("9791172820879")</f>
        <v>9791172820879</v>
      </c>
      <c r="BF112" t="str">
        <f>T("k387703")</f>
        <v>k387703</v>
      </c>
      <c r="BG112" t="str">
        <f>T("로판 e북 &gt; 서양풍 로판")</f>
        <v>로판 e북 &gt; 서양풍 로판</v>
      </c>
    </row>
    <row r="113" spans="1:59">
      <c r="A113" t="s">
        <v>60</v>
      </c>
      <c r="B113" s="1">
        <v>46130</v>
      </c>
      <c r="C113">
        <v>2378037593</v>
      </c>
      <c r="D113">
        <v>2378037602</v>
      </c>
      <c r="E113" t="str">
        <f>T("[e북]너를 노예로 삼은 것을 후회한다 4권 (완결)")</f>
        <v>[e북]너를 노예로 삼은 것을 후회한다 4권 (완결)</v>
      </c>
      <c r="F113">
        <v>4</v>
      </c>
      <c r="G113" t="str">
        <f>T("뮤사203")</f>
        <v>뮤사203</v>
      </c>
      <c r="J113" t="str">
        <f>T("시계토끼")</f>
        <v>시계토끼</v>
      </c>
      <c r="K113" t="str">
        <f>T("[e북]너를 노예로 삼은 것을 후회한다")</f>
        <v>[e북]너를 노예로 삼은 것을 후회한다</v>
      </c>
      <c r="L113">
        <v>3500</v>
      </c>
      <c r="M113">
        <v>3500</v>
      </c>
      <c r="N113">
        <v>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3500</v>
      </c>
      <c r="AJ113">
        <v>1</v>
      </c>
      <c r="AK113">
        <v>0</v>
      </c>
      <c r="AL113">
        <v>0</v>
      </c>
      <c r="AM113">
        <v>3500</v>
      </c>
      <c r="AN113">
        <v>0</v>
      </c>
      <c r="AO113">
        <v>0</v>
      </c>
      <c r="AP113">
        <v>0</v>
      </c>
      <c r="AQ113">
        <v>0</v>
      </c>
      <c r="AS113">
        <v>0</v>
      </c>
      <c r="AT113">
        <v>0</v>
      </c>
      <c r="AV113">
        <v>0</v>
      </c>
      <c r="AW113">
        <v>0</v>
      </c>
      <c r="AY113">
        <v>0</v>
      </c>
      <c r="AZ113">
        <v>0</v>
      </c>
      <c r="BA113">
        <v>2450</v>
      </c>
      <c r="BE113" t="str">
        <f>T("9791164092888")</f>
        <v>9791164092888</v>
      </c>
      <c r="BF113" t="str">
        <f>T("N135352")</f>
        <v>N135352</v>
      </c>
      <c r="BG113" t="str">
        <f>T("로판 e북 &gt; 서양풍 로판")</f>
        <v>로판 e북 &gt; 서양풍 로판</v>
      </c>
    </row>
    <row r="114" spans="1:59">
      <c r="A114" t="s">
        <v>60</v>
      </c>
      <c r="B114" s="1">
        <v>46130</v>
      </c>
      <c r="C114">
        <v>2378037593</v>
      </c>
      <c r="D114">
        <v>2378037593</v>
      </c>
      <c r="E114" t="str">
        <f>T("[e북]너를 노예로 삼은 것을 후회한다 1권")</f>
        <v>[e북]너를 노예로 삼은 것을 후회한다 1권</v>
      </c>
      <c r="F114">
        <v>1</v>
      </c>
      <c r="G114" t="str">
        <f>T("뮤사203")</f>
        <v>뮤사203</v>
      </c>
      <c r="J114" t="str">
        <f>T("시계토끼")</f>
        <v>시계토끼</v>
      </c>
      <c r="K114" t="str">
        <f>T("[e북]너를 노예로 삼은 것을 후회한다")</f>
        <v>[e북]너를 노예로 삼은 것을 후회한다</v>
      </c>
      <c r="L114">
        <v>3500</v>
      </c>
      <c r="M114">
        <v>3500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3500</v>
      </c>
      <c r="AJ114">
        <v>1</v>
      </c>
      <c r="AK114">
        <v>0</v>
      </c>
      <c r="AL114">
        <v>0</v>
      </c>
      <c r="AM114">
        <v>3500</v>
      </c>
      <c r="AN114">
        <v>0</v>
      </c>
      <c r="AO114">
        <v>0</v>
      </c>
      <c r="AP114">
        <v>0</v>
      </c>
      <c r="AQ114">
        <v>0</v>
      </c>
      <c r="AS114">
        <v>0</v>
      </c>
      <c r="AT114">
        <v>0</v>
      </c>
      <c r="AV114">
        <v>0</v>
      </c>
      <c r="AW114">
        <v>0</v>
      </c>
      <c r="AY114">
        <v>0</v>
      </c>
      <c r="AZ114">
        <v>0</v>
      </c>
      <c r="BA114">
        <v>2450</v>
      </c>
      <c r="BE114" t="str">
        <f>T("9791164092642")</f>
        <v>9791164092642</v>
      </c>
      <c r="BF114" t="str">
        <f>T("N135349")</f>
        <v>N135349</v>
      </c>
      <c r="BG114" t="str">
        <f>T("로판 e북 &gt; 서양풍 로판")</f>
        <v>로판 e북 &gt; 서양풍 로판</v>
      </c>
    </row>
    <row r="115" spans="1:59">
      <c r="A115" t="s">
        <v>60</v>
      </c>
      <c r="B115" s="1">
        <v>46131</v>
      </c>
      <c r="C115">
        <v>2378037593</v>
      </c>
      <c r="D115">
        <v>2378037602</v>
      </c>
      <c r="E115" t="str">
        <f>T("[e북]너를 노예로 삼은 것을 후회한다 4권 (완결)")</f>
        <v>[e북]너를 노예로 삼은 것을 후회한다 4권 (완결)</v>
      </c>
      <c r="F115">
        <v>4</v>
      </c>
      <c r="G115" t="str">
        <f>T("뮤사203")</f>
        <v>뮤사203</v>
      </c>
      <c r="J115" t="str">
        <f>T("시계토끼")</f>
        <v>시계토끼</v>
      </c>
      <c r="K115" t="str">
        <f>T("[e북]너를 노예로 삼은 것을 후회한다")</f>
        <v>[e북]너를 노예로 삼은 것을 후회한다</v>
      </c>
      <c r="L115">
        <v>3500</v>
      </c>
      <c r="M115">
        <v>3500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3500</v>
      </c>
      <c r="AJ115">
        <v>1</v>
      </c>
      <c r="AK115">
        <v>0</v>
      </c>
      <c r="AL115">
        <v>0</v>
      </c>
      <c r="AM115">
        <v>3500</v>
      </c>
      <c r="AN115">
        <v>0</v>
      </c>
      <c r="AO115">
        <v>0</v>
      </c>
      <c r="AP115">
        <v>0</v>
      </c>
      <c r="AQ115">
        <v>0</v>
      </c>
      <c r="AS115">
        <v>0</v>
      </c>
      <c r="AT115">
        <v>0</v>
      </c>
      <c r="AV115">
        <v>0</v>
      </c>
      <c r="AW115">
        <v>0</v>
      </c>
      <c r="AY115">
        <v>0</v>
      </c>
      <c r="AZ115">
        <v>0</v>
      </c>
      <c r="BA115">
        <v>2450</v>
      </c>
      <c r="BE115" t="str">
        <f>T("9791164092888")</f>
        <v>9791164092888</v>
      </c>
      <c r="BF115" t="str">
        <f>T("N135352")</f>
        <v>N135352</v>
      </c>
      <c r="BG115" t="str">
        <f>T("로판 e북 &gt; 서양풍 로판")</f>
        <v>로판 e북 &gt; 서양풍 로판</v>
      </c>
    </row>
    <row r="116" spans="1:59">
      <c r="A116" t="s">
        <v>60</v>
      </c>
      <c r="B116" s="1">
        <v>46131</v>
      </c>
      <c r="C116">
        <v>2378037593</v>
      </c>
      <c r="D116">
        <v>2378068742</v>
      </c>
      <c r="E116" t="str">
        <f>T("[e북]너를 노예로 삼은 것을 후회한다 특전")</f>
        <v>[e북]너를 노예로 삼은 것을 후회한다 특전</v>
      </c>
      <c r="F116">
        <v>6</v>
      </c>
      <c r="G116" t="str">
        <f>T("뮤사203")</f>
        <v>뮤사203</v>
      </c>
      <c r="J116" t="str">
        <f>T("시계토끼")</f>
        <v>시계토끼</v>
      </c>
      <c r="K116" t="str">
        <f>T("[e북]너를 노예로 삼은 것을 후회한다")</f>
        <v>[e북]너를 노예로 삼은 것을 후회한다</v>
      </c>
      <c r="L116">
        <v>0</v>
      </c>
      <c r="M116">
        <v>0</v>
      </c>
      <c r="N116">
        <v>0</v>
      </c>
      <c r="O116">
        <v>2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2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S116">
        <v>0</v>
      </c>
      <c r="AT116">
        <v>0</v>
      </c>
      <c r="AV116">
        <v>0</v>
      </c>
      <c r="AW116">
        <v>0</v>
      </c>
      <c r="AY116">
        <v>0</v>
      </c>
      <c r="AZ116">
        <v>0</v>
      </c>
      <c r="BA116">
        <v>0</v>
      </c>
      <c r="BE116" t="str">
        <f>T("9791172820879")</f>
        <v>9791172820879</v>
      </c>
      <c r="BF116" t="str">
        <f>T("k387703")</f>
        <v>k387703</v>
      </c>
      <c r="BG116" t="str">
        <f>T("로판 e북 &gt; 서양풍 로판")</f>
        <v>로판 e북 &gt; 서양풍 로판</v>
      </c>
    </row>
    <row r="117" spans="1:59">
      <c r="A117" t="s">
        <v>60</v>
      </c>
      <c r="B117" s="1">
        <v>46131</v>
      </c>
      <c r="C117">
        <v>2378037593</v>
      </c>
      <c r="D117">
        <v>2378037600</v>
      </c>
      <c r="E117" t="str">
        <f>T("[e북]너를 노예로 삼은 것을 후회한다 2권")</f>
        <v>[e북]너를 노예로 삼은 것을 후회한다 2권</v>
      </c>
      <c r="F117">
        <v>2</v>
      </c>
      <c r="G117" t="str">
        <f>T("뮤사203")</f>
        <v>뮤사203</v>
      </c>
      <c r="J117" t="str">
        <f>T("시계토끼")</f>
        <v>시계토끼</v>
      </c>
      <c r="K117" t="str">
        <f>T("[e북]너를 노예로 삼은 것을 후회한다")</f>
        <v>[e북]너를 노예로 삼은 것을 후회한다</v>
      </c>
      <c r="L117">
        <v>3500</v>
      </c>
      <c r="M117">
        <v>7000</v>
      </c>
      <c r="N117">
        <v>2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7000</v>
      </c>
      <c r="AJ117">
        <v>2</v>
      </c>
      <c r="AK117">
        <v>0</v>
      </c>
      <c r="AL117">
        <v>0</v>
      </c>
      <c r="AM117">
        <v>7000</v>
      </c>
      <c r="AN117">
        <v>0</v>
      </c>
      <c r="AO117">
        <v>0</v>
      </c>
      <c r="AP117">
        <v>0</v>
      </c>
      <c r="AQ117">
        <v>0</v>
      </c>
      <c r="AS117">
        <v>0</v>
      </c>
      <c r="AT117">
        <v>0</v>
      </c>
      <c r="AV117">
        <v>0</v>
      </c>
      <c r="AW117">
        <v>0</v>
      </c>
      <c r="AY117">
        <v>0</v>
      </c>
      <c r="AZ117">
        <v>0</v>
      </c>
      <c r="BA117">
        <v>4900</v>
      </c>
      <c r="BE117" t="str">
        <f>T("9791164092659")</f>
        <v>9791164092659</v>
      </c>
      <c r="BF117" t="str">
        <f>T("N135350")</f>
        <v>N135350</v>
      </c>
      <c r="BG117" t="str">
        <f>T("로판 e북 &gt; 서양풍 로판")</f>
        <v>로판 e북 &gt; 서양풍 로판</v>
      </c>
    </row>
    <row r="118" spans="1:59">
      <c r="A118" t="s">
        <v>60</v>
      </c>
      <c r="B118" s="1">
        <v>46131</v>
      </c>
      <c r="C118">
        <v>2378037593</v>
      </c>
      <c r="D118">
        <v>2378037593</v>
      </c>
      <c r="E118" t="str">
        <f>T("[e북]너를 노예로 삼은 것을 후회한다 1권")</f>
        <v>[e북]너를 노예로 삼은 것을 후회한다 1권</v>
      </c>
      <c r="F118">
        <v>1</v>
      </c>
      <c r="G118" t="str">
        <f>T("뮤사203")</f>
        <v>뮤사203</v>
      </c>
      <c r="J118" t="str">
        <f>T("시계토끼")</f>
        <v>시계토끼</v>
      </c>
      <c r="K118" t="str">
        <f>T("[e북]너를 노예로 삼은 것을 후회한다")</f>
        <v>[e북]너를 노예로 삼은 것을 후회한다</v>
      </c>
      <c r="L118">
        <v>3500</v>
      </c>
      <c r="M118">
        <v>3500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3500</v>
      </c>
      <c r="AJ118">
        <v>1</v>
      </c>
      <c r="AK118">
        <v>0</v>
      </c>
      <c r="AL118">
        <v>0</v>
      </c>
      <c r="AM118">
        <v>3500</v>
      </c>
      <c r="AN118">
        <v>0</v>
      </c>
      <c r="AO118">
        <v>0</v>
      </c>
      <c r="AP118">
        <v>0</v>
      </c>
      <c r="AQ118">
        <v>0</v>
      </c>
      <c r="AS118">
        <v>0</v>
      </c>
      <c r="AT118">
        <v>0</v>
      </c>
      <c r="AV118">
        <v>0</v>
      </c>
      <c r="AW118">
        <v>0</v>
      </c>
      <c r="AY118">
        <v>0</v>
      </c>
      <c r="AZ118">
        <v>0</v>
      </c>
      <c r="BA118">
        <v>2450</v>
      </c>
      <c r="BE118" t="str">
        <f>T("9791164092642")</f>
        <v>9791164092642</v>
      </c>
      <c r="BF118" t="str">
        <f>T("N135349")</f>
        <v>N135349</v>
      </c>
      <c r="BG118" t="str">
        <f>T("로판 e북 &gt; 서양풍 로판")</f>
        <v>로판 e북 &gt; 서양풍 로판</v>
      </c>
    </row>
    <row r="119" spans="1:59">
      <c r="A119" t="s">
        <v>60</v>
      </c>
      <c r="B119" s="1">
        <v>46130</v>
      </c>
      <c r="C119">
        <v>2378065332</v>
      </c>
      <c r="D119">
        <v>2378065333</v>
      </c>
      <c r="E119" t="str">
        <f>T("[e북]늦장마 2권")</f>
        <v>[e북]늦장마 2권</v>
      </c>
      <c r="F119">
        <v>2</v>
      </c>
      <c r="G119" t="str">
        <f>T("혜율")</f>
        <v>혜율</v>
      </c>
      <c r="J119" t="str">
        <f>T("하트퀸")</f>
        <v>하트퀸</v>
      </c>
      <c r="K119" t="str">
        <f>T("[e북]늦장마")</f>
        <v>[e북]늦장마</v>
      </c>
      <c r="L119">
        <v>3200</v>
      </c>
      <c r="M119">
        <v>3200</v>
      </c>
      <c r="N119">
        <v>1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3200</v>
      </c>
      <c r="AJ119">
        <v>1</v>
      </c>
      <c r="AK119">
        <v>0</v>
      </c>
      <c r="AL119">
        <v>0</v>
      </c>
      <c r="AM119">
        <v>3200</v>
      </c>
      <c r="AN119">
        <v>0</v>
      </c>
      <c r="AO119">
        <v>0</v>
      </c>
      <c r="AP119">
        <v>0</v>
      </c>
      <c r="AQ119">
        <v>0</v>
      </c>
      <c r="AS119">
        <v>0</v>
      </c>
      <c r="AT119">
        <v>0</v>
      </c>
      <c r="AV119">
        <v>0</v>
      </c>
      <c r="AW119">
        <v>0</v>
      </c>
      <c r="AY119">
        <v>0</v>
      </c>
      <c r="AZ119">
        <v>0</v>
      </c>
      <c r="BA119">
        <v>2240</v>
      </c>
      <c r="BE119" t="str">
        <f>T("9791171500802")</f>
        <v>9791171500802</v>
      </c>
      <c r="BF119" t="str">
        <f>T("k289759")</f>
        <v>k289759</v>
      </c>
      <c r="BG119" t="str">
        <f>T("로맨스 e북 &gt; 현대물")</f>
        <v>로맨스 e북 &gt; 현대물</v>
      </c>
    </row>
    <row r="120" spans="1:59">
      <c r="A120" t="s">
        <v>60</v>
      </c>
      <c r="B120" s="1">
        <v>46130</v>
      </c>
      <c r="C120">
        <v>2378065332</v>
      </c>
      <c r="D120">
        <v>2378065334</v>
      </c>
      <c r="E120" t="str">
        <f>T("[e북]늦장마 3권")</f>
        <v>[e북]늦장마 3권</v>
      </c>
      <c r="F120">
        <v>3</v>
      </c>
      <c r="G120" t="str">
        <f>T("혜율")</f>
        <v>혜율</v>
      </c>
      <c r="J120" t="str">
        <f>T("하트퀸")</f>
        <v>하트퀸</v>
      </c>
      <c r="K120" t="str">
        <f>T("[e북]늦장마")</f>
        <v>[e북]늦장마</v>
      </c>
      <c r="L120">
        <v>3200</v>
      </c>
      <c r="M120">
        <v>3200</v>
      </c>
      <c r="N120">
        <v>1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3200</v>
      </c>
      <c r="AJ120">
        <v>1</v>
      </c>
      <c r="AK120">
        <v>0</v>
      </c>
      <c r="AL120">
        <v>0</v>
      </c>
      <c r="AM120">
        <v>3200</v>
      </c>
      <c r="AN120">
        <v>0</v>
      </c>
      <c r="AO120">
        <v>0</v>
      </c>
      <c r="AP120">
        <v>0</v>
      </c>
      <c r="AQ120">
        <v>0</v>
      </c>
      <c r="AS120">
        <v>0</v>
      </c>
      <c r="AT120">
        <v>0</v>
      </c>
      <c r="AV120">
        <v>0</v>
      </c>
      <c r="AW120">
        <v>0</v>
      </c>
      <c r="AY120">
        <v>0</v>
      </c>
      <c r="AZ120">
        <v>0</v>
      </c>
      <c r="BA120">
        <v>2240</v>
      </c>
      <c r="BE120" t="str">
        <f>T("9791171500819")</f>
        <v>9791171500819</v>
      </c>
      <c r="BF120" t="str">
        <f>T("k289760")</f>
        <v>k289760</v>
      </c>
      <c r="BG120" t="str">
        <f>T("로맨스 e북 &gt; 현대물")</f>
        <v>로맨스 e북 &gt; 현대물</v>
      </c>
    </row>
    <row r="121" spans="1:59">
      <c r="A121" t="s">
        <v>60</v>
      </c>
      <c r="B121" s="1">
        <v>46129</v>
      </c>
      <c r="C121">
        <v>2378052724</v>
      </c>
      <c r="D121">
        <v>2378052724</v>
      </c>
      <c r="E121" t="str">
        <f>T("[e북]다정강호 1권")</f>
        <v>[e북]다정강호 1권</v>
      </c>
      <c r="F121">
        <v>1</v>
      </c>
      <c r="G121" t="str">
        <f>T("산수화")</f>
        <v>산수화</v>
      </c>
      <c r="J121" t="str">
        <f>T("PJ미디어")</f>
        <v>PJ미디어</v>
      </c>
      <c r="K121" t="str">
        <f>T("[e북]다정강호")</f>
        <v>[e북]다정강호</v>
      </c>
      <c r="L121">
        <v>0</v>
      </c>
      <c r="M121">
        <v>0</v>
      </c>
      <c r="N121">
        <v>0</v>
      </c>
      <c r="O121">
        <v>1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1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S121">
        <v>0</v>
      </c>
      <c r="AT121">
        <v>0</v>
      </c>
      <c r="AV121">
        <v>0</v>
      </c>
      <c r="AW121">
        <v>0</v>
      </c>
      <c r="AY121">
        <v>0</v>
      </c>
      <c r="AZ121">
        <v>0</v>
      </c>
      <c r="BA121">
        <v>0</v>
      </c>
      <c r="BE121" t="str">
        <f>T("9791198261410")</f>
        <v>9791198261410</v>
      </c>
      <c r="BF121" t="str">
        <f>T("k106416")</f>
        <v>k106416</v>
      </c>
      <c r="BG121" t="str">
        <f>T("판타지 e북 &gt; 신무협")</f>
        <v>판타지 e북 &gt; 신무협</v>
      </c>
    </row>
    <row r="122" spans="1:59">
      <c r="A122" t="s">
        <v>60</v>
      </c>
      <c r="B122" s="1">
        <v>46129</v>
      </c>
      <c r="C122">
        <v>2378006625</v>
      </c>
      <c r="D122">
        <v>2378006631</v>
      </c>
      <c r="E122" t="str">
        <f>T("[e북]대물 스카우터 7권")</f>
        <v>[e북]대물 스카우터 7권</v>
      </c>
      <c r="F122">
        <v>7</v>
      </c>
      <c r="G122" t="str">
        <f>T("휴도")</f>
        <v>휴도</v>
      </c>
      <c r="J122" t="str">
        <f>T("매드햇")</f>
        <v>매드햇</v>
      </c>
      <c r="K122" t="str">
        <f>T("[e북]대물 스카우터")</f>
        <v>[e북]대물 스카우터</v>
      </c>
      <c r="L122">
        <v>3000</v>
      </c>
      <c r="M122">
        <v>0</v>
      </c>
      <c r="N122">
        <v>0</v>
      </c>
      <c r="O122">
        <v>0</v>
      </c>
      <c r="P122">
        <v>900</v>
      </c>
      <c r="Q122">
        <v>1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900</v>
      </c>
      <c r="AJ122">
        <v>1</v>
      </c>
      <c r="AK122">
        <v>0</v>
      </c>
      <c r="AL122">
        <v>0</v>
      </c>
      <c r="AM122">
        <v>900</v>
      </c>
      <c r="AN122">
        <v>0</v>
      </c>
      <c r="AO122">
        <v>0</v>
      </c>
      <c r="AP122">
        <v>0</v>
      </c>
      <c r="AQ122">
        <v>0</v>
      </c>
      <c r="AS122">
        <v>0</v>
      </c>
      <c r="AT122">
        <v>0</v>
      </c>
      <c r="AV122">
        <v>0</v>
      </c>
      <c r="AW122">
        <v>0</v>
      </c>
      <c r="AY122">
        <v>0</v>
      </c>
      <c r="AZ122">
        <v>0</v>
      </c>
      <c r="BA122">
        <v>630</v>
      </c>
      <c r="BC122" t="str">
        <f>T("0000000000000")</f>
        <v>0000000000000</v>
      </c>
      <c r="BE122" t="str">
        <f>T("9791162587751")</f>
        <v>9791162587751</v>
      </c>
      <c r="BF122" t="str">
        <f>T("E367361")</f>
        <v>E367361</v>
      </c>
      <c r="BG122" t="str">
        <f>T("판타지 e북 &gt; 현대 판타지")</f>
        <v>판타지 e북 &gt; 현대 판타지</v>
      </c>
    </row>
    <row r="123" spans="1:59">
      <c r="A123" t="s">
        <v>60</v>
      </c>
      <c r="B123" s="1">
        <v>46131</v>
      </c>
      <c r="C123">
        <v>2378006625</v>
      </c>
      <c r="D123">
        <v>2378006625</v>
      </c>
      <c r="E123" t="str">
        <f>T("[e북]대물 스카우터 1권")</f>
        <v>[e북]대물 스카우터 1권</v>
      </c>
      <c r="F123">
        <v>1</v>
      </c>
      <c r="G123" t="str">
        <f>T("휴도")</f>
        <v>휴도</v>
      </c>
      <c r="J123" t="str">
        <f>T("매드햇")</f>
        <v>매드햇</v>
      </c>
      <c r="K123" t="str">
        <f>T("[e북]대물 스카우터")</f>
        <v>[e북]대물 스카우터</v>
      </c>
      <c r="L123">
        <v>0</v>
      </c>
      <c r="M123">
        <v>0</v>
      </c>
      <c r="N123">
        <v>0</v>
      </c>
      <c r="O123">
        <v>1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S123">
        <v>0</v>
      </c>
      <c r="AT123">
        <v>0</v>
      </c>
      <c r="AV123">
        <v>0</v>
      </c>
      <c r="AW123">
        <v>0</v>
      </c>
      <c r="AY123">
        <v>0</v>
      </c>
      <c r="AZ123">
        <v>0</v>
      </c>
      <c r="BA123">
        <v>0</v>
      </c>
      <c r="BC123" t="str">
        <f>T("0000000000000")</f>
        <v>0000000000000</v>
      </c>
      <c r="BE123" t="str">
        <f>T("9791162587690")</f>
        <v>9791162587690</v>
      </c>
      <c r="BF123" t="str">
        <f>T("E367355")</f>
        <v>E367355</v>
      </c>
      <c r="BG123" t="str">
        <f>T("판타지 e북 &gt; 현대 판타지")</f>
        <v>판타지 e북 &gt; 현대 판타지</v>
      </c>
    </row>
    <row r="124" spans="1:59">
      <c r="A124" t="s">
        <v>60</v>
      </c>
      <c r="B124" s="1">
        <v>46129</v>
      </c>
      <c r="C124">
        <v>2378078697</v>
      </c>
      <c r="D124">
        <v>2378078697</v>
      </c>
      <c r="E124" t="str">
        <f>T("[e북]대형 설서린 1권")</f>
        <v>[e북]대형 설서린 1권</v>
      </c>
      <c r="F124">
        <v>1</v>
      </c>
      <c r="G124" t="str">
        <f>T("설봉")</f>
        <v>설봉</v>
      </c>
      <c r="J124" t="str">
        <f>T("매드햇")</f>
        <v>매드햇</v>
      </c>
      <c r="K124" t="str">
        <f>T("[e북]대형 설서린")</f>
        <v>[e북]대형 설서린</v>
      </c>
      <c r="L124">
        <v>0</v>
      </c>
      <c r="M124">
        <v>0</v>
      </c>
      <c r="N124">
        <v>0</v>
      </c>
      <c r="O124">
        <v>1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1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S124">
        <v>0</v>
      </c>
      <c r="AT124">
        <v>0</v>
      </c>
      <c r="AV124">
        <v>0</v>
      </c>
      <c r="AW124">
        <v>0</v>
      </c>
      <c r="AY124">
        <v>0</v>
      </c>
      <c r="AZ124">
        <v>0</v>
      </c>
      <c r="BA124">
        <v>0</v>
      </c>
      <c r="BE124" t="str">
        <f>T("9791162583425")</f>
        <v>9791162583425</v>
      </c>
      <c r="BF124" t="str">
        <f>T("E309177")</f>
        <v>E309177</v>
      </c>
      <c r="BG124" t="str">
        <f>T("판타지 e북 &gt; 신무협")</f>
        <v>판타지 e북 &gt; 신무협</v>
      </c>
    </row>
    <row r="125" spans="1:59">
      <c r="A125" t="s">
        <v>60</v>
      </c>
      <c r="B125" s="1">
        <v>46131</v>
      </c>
      <c r="C125">
        <v>2378078697</v>
      </c>
      <c r="D125">
        <v>2378078697</v>
      </c>
      <c r="E125" t="str">
        <f>T("[e북]대형 설서린 1권")</f>
        <v>[e북]대형 설서린 1권</v>
      </c>
      <c r="F125">
        <v>1</v>
      </c>
      <c r="G125" t="str">
        <f>T("설봉")</f>
        <v>설봉</v>
      </c>
      <c r="J125" t="str">
        <f>T("매드햇")</f>
        <v>매드햇</v>
      </c>
      <c r="K125" t="str">
        <f>T("[e북]대형 설서린")</f>
        <v>[e북]대형 설서린</v>
      </c>
      <c r="L125">
        <v>0</v>
      </c>
      <c r="M125">
        <v>0</v>
      </c>
      <c r="N125">
        <v>0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1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S125">
        <v>0</v>
      </c>
      <c r="AT125">
        <v>0</v>
      </c>
      <c r="AV125">
        <v>0</v>
      </c>
      <c r="AW125">
        <v>0</v>
      </c>
      <c r="AY125">
        <v>0</v>
      </c>
      <c r="AZ125">
        <v>0</v>
      </c>
      <c r="BA125">
        <v>0</v>
      </c>
      <c r="BE125" t="str">
        <f>T("9791162583425")</f>
        <v>9791162583425</v>
      </c>
      <c r="BF125" t="str">
        <f>T("E309177")</f>
        <v>E309177</v>
      </c>
      <c r="BG125" t="str">
        <f>T("판타지 e북 &gt; 신무협")</f>
        <v>판타지 e북 &gt; 신무협</v>
      </c>
    </row>
    <row r="126" spans="1:59">
      <c r="A126" t="s">
        <v>60</v>
      </c>
      <c r="B126" s="1">
        <v>46129</v>
      </c>
      <c r="C126">
        <v>2378007052</v>
      </c>
      <c r="D126">
        <v>2378007052</v>
      </c>
      <c r="E126" t="str">
        <f>T("[e북]더 로딩 1권")</f>
        <v>[e북]더 로딩 1권</v>
      </c>
      <c r="F126">
        <v>1</v>
      </c>
      <c r="G126" t="str">
        <f>T("강원산")</f>
        <v>강원산</v>
      </c>
      <c r="J126" t="str">
        <f>T("매드햇")</f>
        <v>매드햇</v>
      </c>
      <c r="K126" t="str">
        <f>T("[e북]더 로딩")</f>
        <v>[e북]더 로딩</v>
      </c>
      <c r="L126">
        <v>0</v>
      </c>
      <c r="M126">
        <v>0</v>
      </c>
      <c r="N126">
        <v>0</v>
      </c>
      <c r="O126">
        <v>1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1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S126">
        <v>0</v>
      </c>
      <c r="AT126">
        <v>0</v>
      </c>
      <c r="AV126">
        <v>0</v>
      </c>
      <c r="AW126">
        <v>0</v>
      </c>
      <c r="AY126">
        <v>0</v>
      </c>
      <c r="AZ126">
        <v>0</v>
      </c>
      <c r="BA126">
        <v>0</v>
      </c>
      <c r="BC126" t="str">
        <f>T("0000000000000")</f>
        <v>0000000000000</v>
      </c>
      <c r="BE126" t="str">
        <f>T("9791162588246")</f>
        <v>9791162588246</v>
      </c>
      <c r="BF126" t="str">
        <f>T("E388410")</f>
        <v>E388410</v>
      </c>
      <c r="BG126" t="str">
        <f>T("판타지 e북 &gt; 게임 판타지")</f>
        <v>판타지 e북 &gt; 게임 판타지</v>
      </c>
    </row>
    <row r="127" spans="1:59">
      <c r="A127" t="s">
        <v>60</v>
      </c>
      <c r="B127" s="1">
        <v>46129</v>
      </c>
      <c r="C127">
        <v>2378023684</v>
      </c>
      <c r="D127">
        <v>2378023684</v>
      </c>
      <c r="E127" t="str">
        <f>T("[e북]더 아레스 1권")</f>
        <v>[e북]더 아레스 1권</v>
      </c>
      <c r="F127">
        <v>1</v>
      </c>
      <c r="G127" t="str">
        <f>T("흰백작")</f>
        <v>흰백작</v>
      </c>
      <c r="J127" t="str">
        <f>T("팀오쉬")</f>
        <v>팀오쉬</v>
      </c>
      <c r="K127" t="str">
        <f>T("[e북]더 아레스")</f>
        <v>[e북]더 아레스</v>
      </c>
      <c r="L127">
        <v>0</v>
      </c>
      <c r="M127">
        <v>0</v>
      </c>
      <c r="N127">
        <v>0</v>
      </c>
      <c r="O127">
        <v>1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1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S127">
        <v>0</v>
      </c>
      <c r="AT127">
        <v>0</v>
      </c>
      <c r="AV127">
        <v>0</v>
      </c>
      <c r="AW127">
        <v>0</v>
      </c>
      <c r="AY127">
        <v>0</v>
      </c>
      <c r="AZ127">
        <v>0</v>
      </c>
      <c r="BA127">
        <v>0</v>
      </c>
      <c r="BC127" t="str">
        <f>T("0000000000000")</f>
        <v>0000000000000</v>
      </c>
      <c r="BE127" t="str">
        <f>T("9791190415415")</f>
        <v>9791190415415</v>
      </c>
      <c r="BG127" t="str">
        <f>T("판타지 e북 &gt; 퓨전 판타지")</f>
        <v>판타지 e북 &gt; 퓨전 판타지</v>
      </c>
    </row>
    <row r="128" spans="1:59">
      <c r="A128" t="s">
        <v>60</v>
      </c>
      <c r="B128" s="1">
        <v>46129</v>
      </c>
      <c r="C128">
        <v>2378023684</v>
      </c>
      <c r="D128">
        <v>2378023685</v>
      </c>
      <c r="E128" t="str">
        <f>T("[e북]더 아레스 2권")</f>
        <v>[e북]더 아레스 2권</v>
      </c>
      <c r="F128">
        <v>2</v>
      </c>
      <c r="G128" t="str">
        <f>T("흰백작")</f>
        <v>흰백작</v>
      </c>
      <c r="J128" t="str">
        <f>T("팀오쉬")</f>
        <v>팀오쉬</v>
      </c>
      <c r="K128" t="str">
        <f>T("[e북]더 아레스")</f>
        <v>[e북]더 아레스</v>
      </c>
      <c r="L128">
        <v>0</v>
      </c>
      <c r="M128">
        <v>0</v>
      </c>
      <c r="N128">
        <v>0</v>
      </c>
      <c r="O128">
        <v>1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1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S128">
        <v>0</v>
      </c>
      <c r="AT128">
        <v>0</v>
      </c>
      <c r="AV128">
        <v>0</v>
      </c>
      <c r="AW128">
        <v>0</v>
      </c>
      <c r="AY128">
        <v>0</v>
      </c>
      <c r="AZ128">
        <v>0</v>
      </c>
      <c r="BA128">
        <v>0</v>
      </c>
      <c r="BC128" t="str">
        <f>T("0000000000000")</f>
        <v>0000000000000</v>
      </c>
      <c r="BE128" t="str">
        <f>T("9791190415422")</f>
        <v>9791190415422</v>
      </c>
      <c r="BG128" t="str">
        <f>T("판타지 e북 &gt; 퓨전 판타지")</f>
        <v>판타지 e북 &gt; 퓨전 판타지</v>
      </c>
    </row>
    <row r="129" spans="1:59">
      <c r="A129" t="s">
        <v>60</v>
      </c>
      <c r="B129" s="1">
        <v>46129</v>
      </c>
      <c r="C129">
        <v>2378023684</v>
      </c>
      <c r="D129">
        <v>2378023686</v>
      </c>
      <c r="E129" t="str">
        <f>T("[e북]더 아레스 3권")</f>
        <v>[e북]더 아레스 3권</v>
      </c>
      <c r="F129">
        <v>3</v>
      </c>
      <c r="G129" t="str">
        <f>T("흰백작")</f>
        <v>흰백작</v>
      </c>
      <c r="J129" t="str">
        <f>T("팀오쉬")</f>
        <v>팀오쉬</v>
      </c>
      <c r="K129" t="str">
        <f>T("[e북]더 아레스")</f>
        <v>[e북]더 아레스</v>
      </c>
      <c r="L129">
        <v>0</v>
      </c>
      <c r="M129">
        <v>0</v>
      </c>
      <c r="N129">
        <v>0</v>
      </c>
      <c r="O129">
        <v>1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1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S129">
        <v>0</v>
      </c>
      <c r="AT129">
        <v>0</v>
      </c>
      <c r="AV129">
        <v>0</v>
      </c>
      <c r="AW129">
        <v>0</v>
      </c>
      <c r="AY129">
        <v>0</v>
      </c>
      <c r="AZ129">
        <v>0</v>
      </c>
      <c r="BA129">
        <v>0</v>
      </c>
      <c r="BC129" t="str">
        <f>T("0000000000000")</f>
        <v>0000000000000</v>
      </c>
      <c r="BE129" t="str">
        <f>T("9791190415439")</f>
        <v>9791190415439</v>
      </c>
      <c r="BG129" t="str">
        <f>T("판타지 e북 &gt; 퓨전 판타지")</f>
        <v>판타지 e북 &gt; 퓨전 판타지</v>
      </c>
    </row>
    <row r="130" spans="1:59">
      <c r="A130" t="s">
        <v>60</v>
      </c>
      <c r="B130" s="1">
        <v>46129</v>
      </c>
      <c r="C130">
        <v>2378023684</v>
      </c>
      <c r="D130">
        <v>2378023687</v>
      </c>
      <c r="E130" t="str">
        <f>T("[e북]더 아레스 4권")</f>
        <v>[e북]더 아레스 4권</v>
      </c>
      <c r="F130">
        <v>4</v>
      </c>
      <c r="G130" t="str">
        <f>T("흰백작")</f>
        <v>흰백작</v>
      </c>
      <c r="J130" t="str">
        <f>T("팀오쉬")</f>
        <v>팀오쉬</v>
      </c>
      <c r="K130" t="str">
        <f>T("[e북]더 아레스")</f>
        <v>[e북]더 아레스</v>
      </c>
      <c r="L130">
        <v>800</v>
      </c>
      <c r="M130">
        <v>800</v>
      </c>
      <c r="N130">
        <v>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800</v>
      </c>
      <c r="AJ130">
        <v>1</v>
      </c>
      <c r="AK130">
        <v>0</v>
      </c>
      <c r="AL130">
        <v>0</v>
      </c>
      <c r="AM130">
        <v>800</v>
      </c>
      <c r="AN130">
        <v>0</v>
      </c>
      <c r="AO130">
        <v>0</v>
      </c>
      <c r="AP130">
        <v>0</v>
      </c>
      <c r="AQ130">
        <v>0</v>
      </c>
      <c r="AS130">
        <v>0</v>
      </c>
      <c r="AT130">
        <v>0</v>
      </c>
      <c r="AV130">
        <v>0</v>
      </c>
      <c r="AW130">
        <v>0</v>
      </c>
      <c r="AY130">
        <v>0</v>
      </c>
      <c r="AZ130">
        <v>0</v>
      </c>
      <c r="BA130">
        <v>560</v>
      </c>
      <c r="BC130" t="str">
        <f>T("0000000000000")</f>
        <v>0000000000000</v>
      </c>
      <c r="BE130" t="str">
        <f>T("9791190415446")</f>
        <v>9791190415446</v>
      </c>
      <c r="BG130" t="str">
        <f>T("판타지 e북 &gt; 퓨전 판타지")</f>
        <v>판타지 e북 &gt; 퓨전 판타지</v>
      </c>
    </row>
    <row r="131" spans="1:59">
      <c r="A131" t="s">
        <v>60</v>
      </c>
      <c r="B131" s="1">
        <v>46129</v>
      </c>
      <c r="C131">
        <v>2378023684</v>
      </c>
      <c r="D131">
        <v>2378023688</v>
      </c>
      <c r="E131" t="str">
        <f>T("[e북]더 아레스 5권")</f>
        <v>[e북]더 아레스 5권</v>
      </c>
      <c r="F131">
        <v>5</v>
      </c>
      <c r="G131" t="str">
        <f>T("흰백작")</f>
        <v>흰백작</v>
      </c>
      <c r="J131" t="str">
        <f>T("팀오쉬")</f>
        <v>팀오쉬</v>
      </c>
      <c r="K131" t="str">
        <f>T("[e북]더 아레스")</f>
        <v>[e북]더 아레스</v>
      </c>
      <c r="L131">
        <v>800</v>
      </c>
      <c r="M131">
        <v>800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>
        <v>800</v>
      </c>
      <c r="AJ131">
        <v>1</v>
      </c>
      <c r="AK131">
        <v>0</v>
      </c>
      <c r="AL131">
        <v>0</v>
      </c>
      <c r="AM131">
        <v>800</v>
      </c>
      <c r="AN131">
        <v>0</v>
      </c>
      <c r="AO131">
        <v>0</v>
      </c>
      <c r="AP131">
        <v>0</v>
      </c>
      <c r="AQ131">
        <v>0</v>
      </c>
      <c r="AS131">
        <v>0</v>
      </c>
      <c r="AT131">
        <v>0</v>
      </c>
      <c r="AV131">
        <v>0</v>
      </c>
      <c r="AW131">
        <v>0</v>
      </c>
      <c r="AY131">
        <v>0</v>
      </c>
      <c r="AZ131">
        <v>0</v>
      </c>
      <c r="BA131">
        <v>560</v>
      </c>
      <c r="BC131" t="str">
        <f>T("0000000000000")</f>
        <v>0000000000000</v>
      </c>
      <c r="BE131" t="str">
        <f>T("9791190415453")</f>
        <v>9791190415453</v>
      </c>
      <c r="BG131" t="str">
        <f>T("판타지 e북 &gt; 퓨전 판타지")</f>
        <v>판타지 e북 &gt; 퓨전 판타지</v>
      </c>
    </row>
    <row r="132" spans="1:59">
      <c r="A132" t="s">
        <v>60</v>
      </c>
      <c r="B132" s="1">
        <v>46130</v>
      </c>
      <c r="C132">
        <v>2378023684</v>
      </c>
      <c r="D132">
        <v>2378023684</v>
      </c>
      <c r="E132" t="str">
        <f>T("[e북]더 아레스 1권")</f>
        <v>[e북]더 아레스 1권</v>
      </c>
      <c r="F132">
        <v>1</v>
      </c>
      <c r="G132" t="str">
        <f>T("흰백작")</f>
        <v>흰백작</v>
      </c>
      <c r="J132" t="str">
        <f>T("팀오쉬")</f>
        <v>팀오쉬</v>
      </c>
      <c r="K132" t="str">
        <f>T("[e북]더 아레스")</f>
        <v>[e북]더 아레스</v>
      </c>
      <c r="L132">
        <v>0</v>
      </c>
      <c r="M132">
        <v>0</v>
      </c>
      <c r="N132">
        <v>0</v>
      </c>
      <c r="O132">
        <v>1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1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S132">
        <v>0</v>
      </c>
      <c r="AT132">
        <v>0</v>
      </c>
      <c r="AV132">
        <v>0</v>
      </c>
      <c r="AW132">
        <v>0</v>
      </c>
      <c r="AY132">
        <v>0</v>
      </c>
      <c r="AZ132">
        <v>0</v>
      </c>
      <c r="BA132">
        <v>0</v>
      </c>
      <c r="BC132" t="str">
        <f>T("0000000000000")</f>
        <v>0000000000000</v>
      </c>
      <c r="BE132" t="str">
        <f>T("9791190415415")</f>
        <v>9791190415415</v>
      </c>
      <c r="BG132" t="str">
        <f>T("판타지 e북 &gt; 퓨전 판타지")</f>
        <v>판타지 e북 &gt; 퓨전 판타지</v>
      </c>
    </row>
    <row r="133" spans="1:59">
      <c r="A133" t="s">
        <v>60</v>
      </c>
      <c r="B133" s="1">
        <v>46130</v>
      </c>
      <c r="C133">
        <v>2378023684</v>
      </c>
      <c r="D133">
        <v>2378023689</v>
      </c>
      <c r="E133" t="str">
        <f>T("[e북]더 아레스 6권")</f>
        <v>[e북]더 아레스 6권</v>
      </c>
      <c r="F133">
        <v>6</v>
      </c>
      <c r="G133" t="str">
        <f>T("흰백작")</f>
        <v>흰백작</v>
      </c>
      <c r="J133" t="str">
        <f>T("팀오쉬")</f>
        <v>팀오쉬</v>
      </c>
      <c r="K133" t="str">
        <f>T("[e북]더 아레스")</f>
        <v>[e북]더 아레스</v>
      </c>
      <c r="L133">
        <v>800</v>
      </c>
      <c r="M133">
        <v>800</v>
      </c>
      <c r="N133">
        <v>1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800</v>
      </c>
      <c r="AJ133">
        <v>1</v>
      </c>
      <c r="AK133">
        <v>0</v>
      </c>
      <c r="AL133">
        <v>0</v>
      </c>
      <c r="AM133">
        <v>800</v>
      </c>
      <c r="AN133">
        <v>0</v>
      </c>
      <c r="AO133">
        <v>0</v>
      </c>
      <c r="AP133">
        <v>0</v>
      </c>
      <c r="AQ133">
        <v>0</v>
      </c>
      <c r="AS133">
        <v>0</v>
      </c>
      <c r="AT133">
        <v>0</v>
      </c>
      <c r="AV133">
        <v>0</v>
      </c>
      <c r="AW133">
        <v>0</v>
      </c>
      <c r="AY133">
        <v>0</v>
      </c>
      <c r="AZ133">
        <v>0</v>
      </c>
      <c r="BA133">
        <v>560</v>
      </c>
      <c r="BC133" t="str">
        <f>T("0000000000000")</f>
        <v>0000000000000</v>
      </c>
      <c r="BE133" t="str">
        <f>T("9791190415460")</f>
        <v>9791190415460</v>
      </c>
      <c r="BG133" t="str">
        <f>T("판타지 e북 &gt; 퓨전 판타지")</f>
        <v>판타지 e북 &gt; 퓨전 판타지</v>
      </c>
    </row>
    <row r="134" spans="1:59">
      <c r="A134" t="s">
        <v>60</v>
      </c>
      <c r="B134" s="1">
        <v>46130</v>
      </c>
      <c r="C134">
        <v>2378023684</v>
      </c>
      <c r="D134">
        <v>2378023685</v>
      </c>
      <c r="E134" t="str">
        <f>T("[e북]더 아레스 2권")</f>
        <v>[e북]더 아레스 2권</v>
      </c>
      <c r="F134">
        <v>2</v>
      </c>
      <c r="G134" t="str">
        <f>T("흰백작")</f>
        <v>흰백작</v>
      </c>
      <c r="J134" t="str">
        <f>T("팀오쉬")</f>
        <v>팀오쉬</v>
      </c>
      <c r="K134" t="str">
        <f>T("[e북]더 아레스")</f>
        <v>[e북]더 아레스</v>
      </c>
      <c r="L134">
        <v>0</v>
      </c>
      <c r="M134">
        <v>0</v>
      </c>
      <c r="N134">
        <v>0</v>
      </c>
      <c r="O134">
        <v>1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1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S134">
        <v>0</v>
      </c>
      <c r="AT134">
        <v>0</v>
      </c>
      <c r="AV134">
        <v>0</v>
      </c>
      <c r="AW134">
        <v>0</v>
      </c>
      <c r="AY134">
        <v>0</v>
      </c>
      <c r="AZ134">
        <v>0</v>
      </c>
      <c r="BA134">
        <v>0</v>
      </c>
      <c r="BC134" t="str">
        <f>T("0000000000000")</f>
        <v>0000000000000</v>
      </c>
      <c r="BE134" t="str">
        <f>T("9791190415422")</f>
        <v>9791190415422</v>
      </c>
      <c r="BG134" t="str">
        <f>T("판타지 e북 &gt; 퓨전 판타지")</f>
        <v>판타지 e북 &gt; 퓨전 판타지</v>
      </c>
    </row>
    <row r="135" spans="1:59">
      <c r="A135" t="s">
        <v>60</v>
      </c>
      <c r="B135" s="1">
        <v>46130</v>
      </c>
      <c r="C135">
        <v>2378023684</v>
      </c>
      <c r="D135">
        <v>2378023686</v>
      </c>
      <c r="E135" t="str">
        <f>T("[e북]더 아레스 3권")</f>
        <v>[e북]더 아레스 3권</v>
      </c>
      <c r="F135">
        <v>3</v>
      </c>
      <c r="G135" t="str">
        <f>T("흰백작")</f>
        <v>흰백작</v>
      </c>
      <c r="J135" t="str">
        <f>T("팀오쉬")</f>
        <v>팀오쉬</v>
      </c>
      <c r="K135" t="str">
        <f>T("[e북]더 아레스")</f>
        <v>[e북]더 아레스</v>
      </c>
      <c r="L135">
        <v>0</v>
      </c>
      <c r="M135">
        <v>0</v>
      </c>
      <c r="N135">
        <v>0</v>
      </c>
      <c r="O135">
        <v>1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1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S135">
        <v>0</v>
      </c>
      <c r="AT135">
        <v>0</v>
      </c>
      <c r="AV135">
        <v>0</v>
      </c>
      <c r="AW135">
        <v>0</v>
      </c>
      <c r="AY135">
        <v>0</v>
      </c>
      <c r="AZ135">
        <v>0</v>
      </c>
      <c r="BA135">
        <v>0</v>
      </c>
      <c r="BC135" t="str">
        <f>T("0000000000000")</f>
        <v>0000000000000</v>
      </c>
      <c r="BE135" t="str">
        <f>T("9791190415439")</f>
        <v>9791190415439</v>
      </c>
      <c r="BG135" t="str">
        <f>T("판타지 e북 &gt; 퓨전 판타지")</f>
        <v>판타지 e북 &gt; 퓨전 판타지</v>
      </c>
    </row>
    <row r="136" spans="1:59">
      <c r="A136" t="s">
        <v>60</v>
      </c>
      <c r="B136" s="1">
        <v>46131</v>
      </c>
      <c r="C136">
        <v>2378023684</v>
      </c>
      <c r="D136">
        <v>2378023691</v>
      </c>
      <c r="E136" t="str">
        <f>T("[e북]더 아레스 8권")</f>
        <v>[e북]더 아레스 8권</v>
      </c>
      <c r="F136">
        <v>8</v>
      </c>
      <c r="G136" t="str">
        <f>T("흰백작")</f>
        <v>흰백작</v>
      </c>
      <c r="J136" t="str">
        <f>T("팀오쉬")</f>
        <v>팀오쉬</v>
      </c>
      <c r="K136" t="str">
        <f>T("[e북]더 아레스")</f>
        <v>[e북]더 아레스</v>
      </c>
      <c r="L136">
        <v>800</v>
      </c>
      <c r="M136">
        <v>800</v>
      </c>
      <c r="N136">
        <v>1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800</v>
      </c>
      <c r="AJ136">
        <v>1</v>
      </c>
      <c r="AK136">
        <v>0</v>
      </c>
      <c r="AL136">
        <v>0</v>
      </c>
      <c r="AM136">
        <v>800</v>
      </c>
      <c r="AN136">
        <v>0</v>
      </c>
      <c r="AO136">
        <v>0</v>
      </c>
      <c r="AP136">
        <v>0</v>
      </c>
      <c r="AQ136">
        <v>0</v>
      </c>
      <c r="AS136">
        <v>0</v>
      </c>
      <c r="AT136">
        <v>0</v>
      </c>
      <c r="AV136">
        <v>0</v>
      </c>
      <c r="AW136">
        <v>0</v>
      </c>
      <c r="AY136">
        <v>0</v>
      </c>
      <c r="AZ136">
        <v>0</v>
      </c>
      <c r="BA136">
        <v>560</v>
      </c>
      <c r="BC136" t="str">
        <f>T("0000000000000")</f>
        <v>0000000000000</v>
      </c>
      <c r="BE136" t="str">
        <f>T("9791190415484")</f>
        <v>9791190415484</v>
      </c>
      <c r="BG136" t="str">
        <f>T("판타지 e북 &gt; 퓨전 판타지")</f>
        <v>판타지 e북 &gt; 퓨전 판타지</v>
      </c>
    </row>
    <row r="137" spans="1:59">
      <c r="A137" t="s">
        <v>60</v>
      </c>
      <c r="B137" s="1">
        <v>46131</v>
      </c>
      <c r="C137">
        <v>2378023684</v>
      </c>
      <c r="D137">
        <v>2378023690</v>
      </c>
      <c r="E137" t="str">
        <f>T("[e북]더 아레스 7권")</f>
        <v>[e북]더 아레스 7권</v>
      </c>
      <c r="F137">
        <v>7</v>
      </c>
      <c r="G137" t="str">
        <f>T("흰백작")</f>
        <v>흰백작</v>
      </c>
      <c r="J137" t="str">
        <f>T("팀오쉬")</f>
        <v>팀오쉬</v>
      </c>
      <c r="K137" t="str">
        <f>T("[e북]더 아레스")</f>
        <v>[e북]더 아레스</v>
      </c>
      <c r="L137">
        <v>800</v>
      </c>
      <c r="M137">
        <v>800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800</v>
      </c>
      <c r="AJ137">
        <v>1</v>
      </c>
      <c r="AK137">
        <v>0</v>
      </c>
      <c r="AL137">
        <v>0</v>
      </c>
      <c r="AM137">
        <v>800</v>
      </c>
      <c r="AN137">
        <v>0</v>
      </c>
      <c r="AO137">
        <v>0</v>
      </c>
      <c r="AP137">
        <v>0</v>
      </c>
      <c r="AQ137">
        <v>0</v>
      </c>
      <c r="AS137">
        <v>0</v>
      </c>
      <c r="AT137">
        <v>0</v>
      </c>
      <c r="AV137">
        <v>0</v>
      </c>
      <c r="AW137">
        <v>0</v>
      </c>
      <c r="AY137">
        <v>0</v>
      </c>
      <c r="AZ137">
        <v>0</v>
      </c>
      <c r="BA137">
        <v>560</v>
      </c>
      <c r="BC137" t="str">
        <f>T("0000000000000")</f>
        <v>0000000000000</v>
      </c>
      <c r="BE137" t="str">
        <f>T("9791190415477")</f>
        <v>9791190415477</v>
      </c>
      <c r="BG137" t="str">
        <f>T("판타지 e북 &gt; 퓨전 판타지")</f>
        <v>판타지 e북 &gt; 퓨전 판타지</v>
      </c>
    </row>
    <row r="138" spans="1:59">
      <c r="A138" t="s">
        <v>60</v>
      </c>
      <c r="B138" s="1">
        <v>46131</v>
      </c>
      <c r="C138">
        <v>2378023684</v>
      </c>
      <c r="D138">
        <v>2378023692</v>
      </c>
      <c r="E138" t="str">
        <f>T("[e북]더 아레스 9권")</f>
        <v>[e북]더 아레스 9권</v>
      </c>
      <c r="F138">
        <v>9</v>
      </c>
      <c r="G138" t="str">
        <f>T("흰백작")</f>
        <v>흰백작</v>
      </c>
      <c r="J138" t="str">
        <f>T("팀오쉬")</f>
        <v>팀오쉬</v>
      </c>
      <c r="K138" t="str">
        <f>T("[e북]더 아레스")</f>
        <v>[e북]더 아레스</v>
      </c>
      <c r="L138">
        <v>800</v>
      </c>
      <c r="M138">
        <v>800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800</v>
      </c>
      <c r="AJ138">
        <v>1</v>
      </c>
      <c r="AK138">
        <v>0</v>
      </c>
      <c r="AL138">
        <v>0</v>
      </c>
      <c r="AM138">
        <v>800</v>
      </c>
      <c r="AN138">
        <v>0</v>
      </c>
      <c r="AO138">
        <v>0</v>
      </c>
      <c r="AP138">
        <v>0</v>
      </c>
      <c r="AQ138">
        <v>0</v>
      </c>
      <c r="AS138">
        <v>0</v>
      </c>
      <c r="AT138">
        <v>0</v>
      </c>
      <c r="AV138">
        <v>0</v>
      </c>
      <c r="AW138">
        <v>0</v>
      </c>
      <c r="AY138">
        <v>0</v>
      </c>
      <c r="AZ138">
        <v>0</v>
      </c>
      <c r="BA138">
        <v>560</v>
      </c>
      <c r="BC138" t="str">
        <f>T("0000000000000")</f>
        <v>0000000000000</v>
      </c>
      <c r="BE138" t="str">
        <f>T("9791190415491")</f>
        <v>9791190415491</v>
      </c>
      <c r="BG138" t="str">
        <f>T("판타지 e북 &gt; 퓨전 판타지")</f>
        <v>판타지 e북 &gt; 퓨전 판타지</v>
      </c>
    </row>
    <row r="139" spans="1:59">
      <c r="A139" t="s">
        <v>60</v>
      </c>
      <c r="B139" s="1">
        <v>46129</v>
      </c>
      <c r="C139">
        <v>2378063708</v>
      </c>
      <c r="D139">
        <v>2378063708</v>
      </c>
      <c r="E139" t="str">
        <f>T("[e북]도망의 끝에서 널 만났다 1권")</f>
        <v>[e북]도망의 끝에서 널 만났다 1권</v>
      </c>
      <c r="F139">
        <v>1</v>
      </c>
      <c r="G139" t="str">
        <f>T("유주신")</f>
        <v>유주신</v>
      </c>
      <c r="J139" t="str">
        <f>T("시계토끼")</f>
        <v>시계토끼</v>
      </c>
      <c r="K139" t="str">
        <f>T("[e북]도망의 끝에서 널 만났다")</f>
        <v>[e북]도망의 끝에서 널 만났다</v>
      </c>
      <c r="L139">
        <v>3300</v>
      </c>
      <c r="M139">
        <v>3300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3300</v>
      </c>
      <c r="AJ139">
        <v>1</v>
      </c>
      <c r="AK139">
        <v>0</v>
      </c>
      <c r="AL139">
        <v>0</v>
      </c>
      <c r="AM139">
        <v>3300</v>
      </c>
      <c r="AN139">
        <v>0</v>
      </c>
      <c r="AO139">
        <v>0</v>
      </c>
      <c r="AP139">
        <v>0</v>
      </c>
      <c r="AQ139">
        <v>0</v>
      </c>
      <c r="AS139">
        <v>0</v>
      </c>
      <c r="AT139">
        <v>0</v>
      </c>
      <c r="AV139">
        <v>0</v>
      </c>
      <c r="AW139">
        <v>0</v>
      </c>
      <c r="AY139">
        <v>0</v>
      </c>
      <c r="AZ139">
        <v>0</v>
      </c>
      <c r="BA139">
        <v>2310</v>
      </c>
      <c r="BE139" t="str">
        <f>T("9791164099948")</f>
        <v>9791164099948</v>
      </c>
      <c r="BF139" t="str">
        <f>T("k255299")</f>
        <v>k255299</v>
      </c>
      <c r="BG139" t="str">
        <f>T("로판 e북 &gt; 서양풍 로판")</f>
        <v>로판 e북 &gt; 서양풍 로판</v>
      </c>
    </row>
    <row r="140" spans="1:59">
      <c r="A140" t="s">
        <v>60</v>
      </c>
      <c r="B140" s="1">
        <v>46129</v>
      </c>
      <c r="C140">
        <v>2378063708</v>
      </c>
      <c r="D140">
        <v>2378063709</v>
      </c>
      <c r="E140" t="str">
        <f>T("[e북]도망의 끝에서 널 만났다 2권")</f>
        <v>[e북]도망의 끝에서 널 만났다 2권</v>
      </c>
      <c r="F140">
        <v>2</v>
      </c>
      <c r="G140" t="str">
        <f>T("유주신")</f>
        <v>유주신</v>
      </c>
      <c r="J140" t="str">
        <f>T("시계토끼")</f>
        <v>시계토끼</v>
      </c>
      <c r="K140" t="str">
        <f>T("[e북]도망의 끝에서 널 만났다")</f>
        <v>[e북]도망의 끝에서 널 만났다</v>
      </c>
      <c r="L140">
        <v>3300</v>
      </c>
      <c r="M140">
        <v>3300</v>
      </c>
      <c r="N140">
        <v>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3300</v>
      </c>
      <c r="AJ140">
        <v>1</v>
      </c>
      <c r="AK140">
        <v>0</v>
      </c>
      <c r="AL140">
        <v>0</v>
      </c>
      <c r="AM140">
        <v>3300</v>
      </c>
      <c r="AN140">
        <v>0</v>
      </c>
      <c r="AO140">
        <v>0</v>
      </c>
      <c r="AP140">
        <v>0</v>
      </c>
      <c r="AQ140">
        <v>0</v>
      </c>
      <c r="AS140">
        <v>0</v>
      </c>
      <c r="AT140">
        <v>0</v>
      </c>
      <c r="AV140">
        <v>0</v>
      </c>
      <c r="AW140">
        <v>0</v>
      </c>
      <c r="AY140">
        <v>0</v>
      </c>
      <c r="AZ140">
        <v>0</v>
      </c>
      <c r="BA140">
        <v>2310</v>
      </c>
      <c r="BE140" t="str">
        <f>T("9791164099955")</f>
        <v>9791164099955</v>
      </c>
      <c r="BF140" t="str">
        <f>T("k255300")</f>
        <v>k255300</v>
      </c>
      <c r="BG140" t="str">
        <f>T("로판 e북 &gt; 서양풍 로판")</f>
        <v>로판 e북 &gt; 서양풍 로판</v>
      </c>
    </row>
    <row r="141" spans="1:59">
      <c r="A141" t="s">
        <v>60</v>
      </c>
      <c r="B141" s="1">
        <v>46129</v>
      </c>
      <c r="C141">
        <v>2378011888</v>
      </c>
      <c r="D141">
        <v>2378011888</v>
      </c>
      <c r="E141" t="str">
        <f>T("[e북]도원향 1권")</f>
        <v>[e북]도원향 1권</v>
      </c>
      <c r="F141">
        <v>1</v>
      </c>
      <c r="G141" t="str">
        <f>T("Magoing")</f>
        <v>Magoing</v>
      </c>
      <c r="J141" t="str">
        <f>T("시계토끼")</f>
        <v>시계토끼</v>
      </c>
      <c r="K141" t="str">
        <f>T("[e북]도원향")</f>
        <v>[e북]도원향</v>
      </c>
      <c r="L141">
        <v>4500</v>
      </c>
      <c r="M141">
        <v>4500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4500</v>
      </c>
      <c r="AJ141">
        <v>1</v>
      </c>
      <c r="AK141">
        <v>0</v>
      </c>
      <c r="AL141">
        <v>0</v>
      </c>
      <c r="AM141">
        <v>4500</v>
      </c>
      <c r="AN141">
        <v>0</v>
      </c>
      <c r="AO141">
        <v>0</v>
      </c>
      <c r="AP141">
        <v>0</v>
      </c>
      <c r="AQ141">
        <v>0</v>
      </c>
      <c r="AS141">
        <v>0</v>
      </c>
      <c r="AT141">
        <v>0</v>
      </c>
      <c r="AV141">
        <v>0</v>
      </c>
      <c r="AW141">
        <v>0</v>
      </c>
      <c r="AY141">
        <v>0</v>
      </c>
      <c r="AZ141">
        <v>0</v>
      </c>
      <c r="BA141">
        <v>3150</v>
      </c>
      <c r="BC141" t="str">
        <f>T("0000000000000")</f>
        <v>0000000000000</v>
      </c>
      <c r="BE141" t="str">
        <f>T("9791164092697")</f>
        <v>9791164092697</v>
      </c>
      <c r="BF141" t="str">
        <f>T("E661433")</f>
        <v>E661433</v>
      </c>
      <c r="BG141" t="str">
        <f>T("로맨스 e북 &gt; 현대물")</f>
        <v>로맨스 e북 &gt; 현대물</v>
      </c>
    </row>
    <row r="142" spans="1:59">
      <c r="A142" t="s">
        <v>60</v>
      </c>
      <c r="B142" s="1">
        <v>46129</v>
      </c>
      <c r="C142">
        <v>2378011888</v>
      </c>
      <c r="D142">
        <v>2378011890</v>
      </c>
      <c r="E142" t="str">
        <f>T("[e북]도원향 2권 (완결)")</f>
        <v>[e북]도원향 2권 (완결)</v>
      </c>
      <c r="F142">
        <v>2</v>
      </c>
      <c r="G142" t="str">
        <f>T("Magoing")</f>
        <v>Magoing</v>
      </c>
      <c r="J142" t="str">
        <f>T("시계토끼")</f>
        <v>시계토끼</v>
      </c>
      <c r="K142" t="str">
        <f>T("[e북]도원향")</f>
        <v>[e북]도원향</v>
      </c>
      <c r="L142">
        <v>4500</v>
      </c>
      <c r="M142">
        <v>4500</v>
      </c>
      <c r="N142">
        <v>1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4500</v>
      </c>
      <c r="AJ142">
        <v>1</v>
      </c>
      <c r="AK142">
        <v>0</v>
      </c>
      <c r="AL142">
        <v>0</v>
      </c>
      <c r="AM142">
        <v>4500</v>
      </c>
      <c r="AN142">
        <v>0</v>
      </c>
      <c r="AO142">
        <v>0</v>
      </c>
      <c r="AP142">
        <v>0</v>
      </c>
      <c r="AQ142">
        <v>0</v>
      </c>
      <c r="AS142">
        <v>0</v>
      </c>
      <c r="AT142">
        <v>0</v>
      </c>
      <c r="AV142">
        <v>0</v>
      </c>
      <c r="AW142">
        <v>0</v>
      </c>
      <c r="AY142">
        <v>0</v>
      </c>
      <c r="AZ142">
        <v>0</v>
      </c>
      <c r="BA142">
        <v>3150</v>
      </c>
      <c r="BC142" t="str">
        <f>T("0000000000000")</f>
        <v>0000000000000</v>
      </c>
      <c r="BE142" t="str">
        <f>T("9791164092703")</f>
        <v>9791164092703</v>
      </c>
      <c r="BF142" t="str">
        <f>T("E661434")</f>
        <v>E661434</v>
      </c>
      <c r="BG142" t="str">
        <f>T("로맨스 e북 &gt; 현대물")</f>
        <v>로맨스 e북 &gt; 현대물</v>
      </c>
    </row>
    <row r="143" spans="1:59">
      <c r="A143" t="s">
        <v>60</v>
      </c>
      <c r="B143" s="1">
        <v>46129</v>
      </c>
      <c r="C143">
        <v>2378011888</v>
      </c>
      <c r="D143">
        <v>2378011891</v>
      </c>
      <c r="E143" t="str">
        <f>T("[e북]도원향 (외전)")</f>
        <v>[e북]도원향 (외전)</v>
      </c>
      <c r="F143">
        <v>3</v>
      </c>
      <c r="G143" t="str">
        <f>T("Magoing")</f>
        <v>Magoing</v>
      </c>
      <c r="J143" t="str">
        <f>T("시계토끼")</f>
        <v>시계토끼</v>
      </c>
      <c r="K143" t="str">
        <f>T("[e북]도원향")</f>
        <v>[e북]도원향</v>
      </c>
      <c r="L143">
        <v>1200</v>
      </c>
      <c r="M143">
        <v>1200</v>
      </c>
      <c r="N143">
        <v>1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1200</v>
      </c>
      <c r="AJ143">
        <v>1</v>
      </c>
      <c r="AK143">
        <v>0</v>
      </c>
      <c r="AL143">
        <v>0</v>
      </c>
      <c r="AM143">
        <v>1200</v>
      </c>
      <c r="AN143">
        <v>0</v>
      </c>
      <c r="AO143">
        <v>0</v>
      </c>
      <c r="AP143">
        <v>0</v>
      </c>
      <c r="AQ143">
        <v>0</v>
      </c>
      <c r="AS143">
        <v>0</v>
      </c>
      <c r="AT143">
        <v>0</v>
      </c>
      <c r="AV143">
        <v>0</v>
      </c>
      <c r="AW143">
        <v>0</v>
      </c>
      <c r="AY143">
        <v>0</v>
      </c>
      <c r="AZ143">
        <v>0</v>
      </c>
      <c r="BA143">
        <v>840</v>
      </c>
      <c r="BC143" t="str">
        <f>T("0000000000000")</f>
        <v>0000000000000</v>
      </c>
      <c r="BE143" t="str">
        <f>T("9791164092710")</f>
        <v>9791164092710</v>
      </c>
      <c r="BF143" t="str">
        <f>T("E661435")</f>
        <v>E661435</v>
      </c>
      <c r="BG143" t="str">
        <f>T("로맨스 e북 &gt; 현대물")</f>
        <v>로맨스 e북 &gt; 현대물</v>
      </c>
    </row>
    <row r="144" spans="1:59">
      <c r="A144" t="s">
        <v>60</v>
      </c>
      <c r="B144" s="1">
        <v>46129</v>
      </c>
      <c r="C144">
        <v>2378080442</v>
      </c>
      <c r="D144">
        <v>2378080442</v>
      </c>
      <c r="E144" t="str">
        <f>T("[e북]독보강호의 귀환 1권")</f>
        <v>[e북]독보강호의 귀환 1권</v>
      </c>
      <c r="F144">
        <v>1</v>
      </c>
      <c r="G144" t="str">
        <f>T("천우한")</f>
        <v>천우한</v>
      </c>
      <c r="J144" t="str">
        <f>T("심월")</f>
        <v>심월</v>
      </c>
      <c r="K144" t="str">
        <f>T("[e북]독보강호의 귀환")</f>
        <v>[e북]독보강호의 귀환</v>
      </c>
      <c r="L144">
        <v>0</v>
      </c>
      <c r="M144">
        <v>0</v>
      </c>
      <c r="N144">
        <v>0</v>
      </c>
      <c r="O144">
        <v>3</v>
      </c>
      <c r="P144">
        <v>0</v>
      </c>
      <c r="Q144">
        <v>0</v>
      </c>
      <c r="R144">
        <v>6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9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S144">
        <v>0</v>
      </c>
      <c r="AT144">
        <v>0</v>
      </c>
      <c r="AV144">
        <v>0</v>
      </c>
      <c r="AW144">
        <v>0</v>
      </c>
      <c r="AY144">
        <v>0</v>
      </c>
      <c r="AZ144">
        <v>0</v>
      </c>
      <c r="BA144">
        <v>0</v>
      </c>
      <c r="BF144" t="str">
        <f>T("D207051")</f>
        <v>D207051</v>
      </c>
      <c r="BG144" t="str">
        <f>T("판타지 e북 &gt; 전통 무협")</f>
        <v>판타지 e북 &gt; 전통 무협</v>
      </c>
    </row>
    <row r="145" spans="1:59">
      <c r="A145" t="s">
        <v>60</v>
      </c>
      <c r="B145" s="1">
        <v>46129</v>
      </c>
      <c r="C145">
        <v>2378080442</v>
      </c>
      <c r="D145">
        <v>2378080443</v>
      </c>
      <c r="E145" t="str">
        <f>T("[e북]독보강호의 귀환 2권")</f>
        <v>[e북]독보강호의 귀환 2권</v>
      </c>
      <c r="F145">
        <v>2</v>
      </c>
      <c r="G145" t="str">
        <f>T("천우한")</f>
        <v>천우한</v>
      </c>
      <c r="J145" t="str">
        <f>T("심월")</f>
        <v>심월</v>
      </c>
      <c r="K145" t="str">
        <f>T("[e북]독보강호의 귀환")</f>
        <v>[e북]독보강호의 귀환</v>
      </c>
      <c r="L145">
        <v>3000</v>
      </c>
      <c r="M145">
        <v>0</v>
      </c>
      <c r="N145">
        <v>0</v>
      </c>
      <c r="O145">
        <v>0</v>
      </c>
      <c r="P145">
        <v>3600</v>
      </c>
      <c r="Q145">
        <v>4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3600</v>
      </c>
      <c r="AJ145">
        <v>4</v>
      </c>
      <c r="AK145">
        <v>0</v>
      </c>
      <c r="AL145">
        <v>0</v>
      </c>
      <c r="AM145">
        <v>1800</v>
      </c>
      <c r="AN145">
        <v>0</v>
      </c>
      <c r="AO145">
        <v>2160</v>
      </c>
      <c r="AP145">
        <v>-216</v>
      </c>
      <c r="AQ145">
        <v>0</v>
      </c>
      <c r="AS145">
        <v>0</v>
      </c>
      <c r="AT145">
        <v>0</v>
      </c>
      <c r="AU145">
        <v>2160</v>
      </c>
      <c r="AV145">
        <v>-216</v>
      </c>
      <c r="AW145">
        <v>0</v>
      </c>
      <c r="AY145">
        <v>0</v>
      </c>
      <c r="AZ145">
        <v>0</v>
      </c>
      <c r="BA145">
        <v>2620.8000000000002</v>
      </c>
      <c r="BF145" t="str">
        <f>T("D207052")</f>
        <v>D207052</v>
      </c>
      <c r="BG145" t="str">
        <f>T("판타지 e북 &gt; 전통 무협")</f>
        <v>판타지 e북 &gt; 전통 무협</v>
      </c>
    </row>
    <row r="146" spans="1:59">
      <c r="A146" t="s">
        <v>60</v>
      </c>
      <c r="B146" s="1">
        <v>46129</v>
      </c>
      <c r="C146">
        <v>2378080442</v>
      </c>
      <c r="D146">
        <v>2378080444</v>
      </c>
      <c r="E146" t="str">
        <f>T("[e북]독보강호의 귀환 3권")</f>
        <v>[e북]독보강호의 귀환 3권</v>
      </c>
      <c r="F146">
        <v>3</v>
      </c>
      <c r="G146" t="str">
        <f>T("천우한")</f>
        <v>천우한</v>
      </c>
      <c r="J146" t="str">
        <f>T("심월")</f>
        <v>심월</v>
      </c>
      <c r="K146" t="str">
        <f>T("[e북]독보강호의 귀환")</f>
        <v>[e북]독보강호의 귀환</v>
      </c>
      <c r="L146">
        <v>3000</v>
      </c>
      <c r="M146">
        <v>0</v>
      </c>
      <c r="N146">
        <v>0</v>
      </c>
      <c r="O146">
        <v>0</v>
      </c>
      <c r="P146">
        <v>1800</v>
      </c>
      <c r="Q146">
        <v>2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1800</v>
      </c>
      <c r="AJ146">
        <v>2</v>
      </c>
      <c r="AK146">
        <v>0</v>
      </c>
      <c r="AL146">
        <v>0</v>
      </c>
      <c r="AM146">
        <v>1800</v>
      </c>
      <c r="AN146">
        <v>0</v>
      </c>
      <c r="AO146">
        <v>0</v>
      </c>
      <c r="AP146">
        <v>0</v>
      </c>
      <c r="AQ146">
        <v>0</v>
      </c>
      <c r="AS146">
        <v>0</v>
      </c>
      <c r="AT146">
        <v>0</v>
      </c>
      <c r="AV146">
        <v>0</v>
      </c>
      <c r="AW146">
        <v>0</v>
      </c>
      <c r="AY146">
        <v>0</v>
      </c>
      <c r="AZ146">
        <v>0</v>
      </c>
      <c r="BA146">
        <v>1260</v>
      </c>
      <c r="BF146" t="str">
        <f>T("D207053")</f>
        <v>D207053</v>
      </c>
      <c r="BG146" t="str">
        <f>T("판타지 e북 &gt; 전통 무협")</f>
        <v>판타지 e북 &gt; 전통 무협</v>
      </c>
    </row>
    <row r="147" spans="1:59">
      <c r="A147" t="s">
        <v>60</v>
      </c>
      <c r="B147" s="1">
        <v>46129</v>
      </c>
      <c r="C147">
        <v>2378080442</v>
      </c>
      <c r="D147">
        <v>2378080446</v>
      </c>
      <c r="E147" t="str">
        <f>T("[e북]독보강호의 귀환 5권")</f>
        <v>[e북]독보강호의 귀환 5권</v>
      </c>
      <c r="F147">
        <v>5</v>
      </c>
      <c r="G147" t="str">
        <f>T("천우한")</f>
        <v>천우한</v>
      </c>
      <c r="J147" t="str">
        <f>T("심월")</f>
        <v>심월</v>
      </c>
      <c r="K147" t="str">
        <f>T("[e북]독보강호의 귀환")</f>
        <v>[e북]독보강호의 귀환</v>
      </c>
      <c r="L147">
        <v>3000</v>
      </c>
      <c r="M147">
        <v>0</v>
      </c>
      <c r="N147">
        <v>0</v>
      </c>
      <c r="O147">
        <v>0</v>
      </c>
      <c r="P147">
        <v>900</v>
      </c>
      <c r="Q147">
        <v>1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900</v>
      </c>
      <c r="AJ147">
        <v>1</v>
      </c>
      <c r="AK147">
        <v>0</v>
      </c>
      <c r="AL147">
        <v>0</v>
      </c>
      <c r="AM147">
        <v>900</v>
      </c>
      <c r="AN147">
        <v>0</v>
      </c>
      <c r="AO147">
        <v>0</v>
      </c>
      <c r="AP147">
        <v>0</v>
      </c>
      <c r="AQ147">
        <v>0</v>
      </c>
      <c r="AS147">
        <v>0</v>
      </c>
      <c r="AT147">
        <v>0</v>
      </c>
      <c r="AV147">
        <v>0</v>
      </c>
      <c r="AW147">
        <v>0</v>
      </c>
      <c r="AY147">
        <v>0</v>
      </c>
      <c r="AZ147">
        <v>0</v>
      </c>
      <c r="BA147">
        <v>630</v>
      </c>
      <c r="BF147" t="str">
        <f>T("D207055")</f>
        <v>D207055</v>
      </c>
      <c r="BG147" t="str">
        <f>T("판타지 e북 &gt; 전통 무협")</f>
        <v>판타지 e북 &gt; 전통 무협</v>
      </c>
    </row>
    <row r="148" spans="1:59">
      <c r="A148" t="s">
        <v>60</v>
      </c>
      <c r="B148" s="1">
        <v>46129</v>
      </c>
      <c r="C148">
        <v>2378080442</v>
      </c>
      <c r="D148">
        <v>2378080449</v>
      </c>
      <c r="E148" t="str">
        <f>T("[e북]독보강호의 귀환 8권")</f>
        <v>[e북]독보강호의 귀환 8권</v>
      </c>
      <c r="F148">
        <v>8</v>
      </c>
      <c r="G148" t="str">
        <f>T("천우한")</f>
        <v>천우한</v>
      </c>
      <c r="J148" t="str">
        <f>T("심월")</f>
        <v>심월</v>
      </c>
      <c r="K148" t="str">
        <f>T("[e북]독보강호의 귀환")</f>
        <v>[e북]독보강호의 귀환</v>
      </c>
      <c r="L148">
        <v>3000</v>
      </c>
      <c r="M148">
        <v>0</v>
      </c>
      <c r="N148">
        <v>0</v>
      </c>
      <c r="O148">
        <v>0</v>
      </c>
      <c r="P148">
        <v>900</v>
      </c>
      <c r="Q148">
        <v>1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900</v>
      </c>
      <c r="AJ148">
        <v>1</v>
      </c>
      <c r="AK148">
        <v>0</v>
      </c>
      <c r="AL148">
        <v>0</v>
      </c>
      <c r="AM148">
        <v>0</v>
      </c>
      <c r="AN148">
        <v>0</v>
      </c>
      <c r="AO148">
        <v>1080</v>
      </c>
      <c r="AP148">
        <v>-108</v>
      </c>
      <c r="AQ148">
        <v>0</v>
      </c>
      <c r="AS148">
        <v>0</v>
      </c>
      <c r="AT148">
        <v>0</v>
      </c>
      <c r="AU148">
        <v>1080</v>
      </c>
      <c r="AV148">
        <v>-108</v>
      </c>
      <c r="AW148">
        <v>0</v>
      </c>
      <c r="AY148">
        <v>0</v>
      </c>
      <c r="AZ148">
        <v>0</v>
      </c>
      <c r="BA148">
        <v>680.4</v>
      </c>
      <c r="BF148" t="str">
        <f>T("D207058")</f>
        <v>D207058</v>
      </c>
      <c r="BG148" t="str">
        <f>T("판타지 e북 &gt; 전통 무협")</f>
        <v>판타지 e북 &gt; 전통 무협</v>
      </c>
    </row>
    <row r="149" spans="1:59">
      <c r="A149" t="s">
        <v>60</v>
      </c>
      <c r="B149" s="1">
        <v>46129</v>
      </c>
      <c r="C149">
        <v>2378080442</v>
      </c>
      <c r="D149">
        <v>2378080450</v>
      </c>
      <c r="E149" t="str">
        <f>T("[e북]독보강호의 귀환 9권")</f>
        <v>[e북]독보강호의 귀환 9권</v>
      </c>
      <c r="F149">
        <v>9</v>
      </c>
      <c r="G149" t="str">
        <f>T("천우한")</f>
        <v>천우한</v>
      </c>
      <c r="J149" t="str">
        <f>T("심월")</f>
        <v>심월</v>
      </c>
      <c r="K149" t="str">
        <f>T("[e북]독보강호의 귀환")</f>
        <v>[e북]독보강호의 귀환</v>
      </c>
      <c r="L149">
        <v>3000</v>
      </c>
      <c r="M149">
        <v>0</v>
      </c>
      <c r="N149">
        <v>0</v>
      </c>
      <c r="O149">
        <v>0</v>
      </c>
      <c r="P149">
        <v>900</v>
      </c>
      <c r="Q149">
        <v>1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900</v>
      </c>
      <c r="AJ149">
        <v>1</v>
      </c>
      <c r="AK149">
        <v>0</v>
      </c>
      <c r="AL149">
        <v>0</v>
      </c>
      <c r="AM149">
        <v>900</v>
      </c>
      <c r="AN149">
        <v>0</v>
      </c>
      <c r="AO149">
        <v>0</v>
      </c>
      <c r="AP149">
        <v>0</v>
      </c>
      <c r="AQ149">
        <v>0</v>
      </c>
      <c r="AS149">
        <v>0</v>
      </c>
      <c r="AT149">
        <v>0</v>
      </c>
      <c r="AV149">
        <v>0</v>
      </c>
      <c r="AW149">
        <v>0</v>
      </c>
      <c r="AY149">
        <v>0</v>
      </c>
      <c r="AZ149">
        <v>0</v>
      </c>
      <c r="BA149">
        <v>630</v>
      </c>
      <c r="BF149" t="str">
        <f>T("D207059")</f>
        <v>D207059</v>
      </c>
      <c r="BG149" t="str">
        <f>T("판타지 e북 &gt; 전통 무협")</f>
        <v>판타지 e북 &gt; 전통 무협</v>
      </c>
    </row>
    <row r="150" spans="1:59">
      <c r="A150" t="s">
        <v>60</v>
      </c>
      <c r="B150" s="1">
        <v>46129</v>
      </c>
      <c r="C150">
        <v>2378080442</v>
      </c>
      <c r="D150">
        <v>2378080451</v>
      </c>
      <c r="E150" t="str">
        <f>T("[e북]독보강호의 귀환 10권")</f>
        <v>[e북]독보강호의 귀환 10권</v>
      </c>
      <c r="F150">
        <v>10</v>
      </c>
      <c r="G150" t="str">
        <f>T("천우한")</f>
        <v>천우한</v>
      </c>
      <c r="J150" t="str">
        <f>T("심월")</f>
        <v>심월</v>
      </c>
      <c r="K150" t="str">
        <f>T("[e북]독보강호의 귀환")</f>
        <v>[e북]독보강호의 귀환</v>
      </c>
      <c r="L150">
        <v>3000</v>
      </c>
      <c r="M150">
        <v>0</v>
      </c>
      <c r="N150">
        <v>0</v>
      </c>
      <c r="O150">
        <v>0</v>
      </c>
      <c r="P150">
        <v>900</v>
      </c>
      <c r="Q150">
        <v>1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900</v>
      </c>
      <c r="AJ150">
        <v>1</v>
      </c>
      <c r="AK150">
        <v>0</v>
      </c>
      <c r="AL150">
        <v>0</v>
      </c>
      <c r="AM150">
        <v>900</v>
      </c>
      <c r="AN150">
        <v>0</v>
      </c>
      <c r="AO150">
        <v>0</v>
      </c>
      <c r="AP150">
        <v>0</v>
      </c>
      <c r="AQ150">
        <v>0</v>
      </c>
      <c r="AS150">
        <v>0</v>
      </c>
      <c r="AT150">
        <v>0</v>
      </c>
      <c r="AV150">
        <v>0</v>
      </c>
      <c r="AW150">
        <v>0</v>
      </c>
      <c r="AY150">
        <v>0</v>
      </c>
      <c r="AZ150">
        <v>0</v>
      </c>
      <c r="BA150">
        <v>630</v>
      </c>
      <c r="BF150" t="str">
        <f>T("D207060")</f>
        <v>D207060</v>
      </c>
      <c r="BG150" t="str">
        <f>T("판타지 e북 &gt; 전통 무협")</f>
        <v>판타지 e북 &gt; 전통 무협</v>
      </c>
    </row>
    <row r="151" spans="1:59">
      <c r="A151" t="s">
        <v>60</v>
      </c>
      <c r="B151" s="1">
        <v>46129</v>
      </c>
      <c r="C151">
        <v>2378080442</v>
      </c>
      <c r="D151">
        <v>2378080452</v>
      </c>
      <c r="E151" t="str">
        <f>T("[e북]독보강호의 귀환 11권")</f>
        <v>[e북]독보강호의 귀환 11권</v>
      </c>
      <c r="F151">
        <v>11</v>
      </c>
      <c r="G151" t="str">
        <f>T("천우한")</f>
        <v>천우한</v>
      </c>
      <c r="J151" t="str">
        <f>T("심월")</f>
        <v>심월</v>
      </c>
      <c r="K151" t="str">
        <f>T("[e북]독보강호의 귀환")</f>
        <v>[e북]독보강호의 귀환</v>
      </c>
      <c r="L151">
        <v>3000</v>
      </c>
      <c r="M151">
        <v>0</v>
      </c>
      <c r="N151">
        <v>0</v>
      </c>
      <c r="O151">
        <v>0</v>
      </c>
      <c r="P151">
        <v>900</v>
      </c>
      <c r="Q151">
        <v>1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900</v>
      </c>
      <c r="AJ151">
        <v>1</v>
      </c>
      <c r="AK151">
        <v>0</v>
      </c>
      <c r="AL151">
        <v>0</v>
      </c>
      <c r="AM151">
        <v>900</v>
      </c>
      <c r="AN151">
        <v>0</v>
      </c>
      <c r="AO151">
        <v>0</v>
      </c>
      <c r="AP151">
        <v>0</v>
      </c>
      <c r="AQ151">
        <v>0</v>
      </c>
      <c r="AS151">
        <v>0</v>
      </c>
      <c r="AT151">
        <v>0</v>
      </c>
      <c r="AV151">
        <v>0</v>
      </c>
      <c r="AW151">
        <v>0</v>
      </c>
      <c r="AY151">
        <v>0</v>
      </c>
      <c r="AZ151">
        <v>0</v>
      </c>
      <c r="BA151">
        <v>630</v>
      </c>
      <c r="BF151" t="str">
        <f>T("D207061")</f>
        <v>D207061</v>
      </c>
      <c r="BG151" t="str">
        <f>T("판타지 e북 &gt; 전통 무협")</f>
        <v>판타지 e북 &gt; 전통 무협</v>
      </c>
    </row>
    <row r="152" spans="1:59">
      <c r="A152" t="s">
        <v>60</v>
      </c>
      <c r="B152" s="1">
        <v>46129</v>
      </c>
      <c r="C152">
        <v>2378080442</v>
      </c>
      <c r="D152">
        <v>2378080453</v>
      </c>
      <c r="E152" t="str">
        <f>T("[e북]독보강호의 귀환 12권")</f>
        <v>[e북]독보강호의 귀환 12권</v>
      </c>
      <c r="F152">
        <v>12</v>
      </c>
      <c r="G152" t="str">
        <f>T("천우한")</f>
        <v>천우한</v>
      </c>
      <c r="J152" t="str">
        <f>T("심월")</f>
        <v>심월</v>
      </c>
      <c r="K152" t="str">
        <f>T("[e북]독보강호의 귀환")</f>
        <v>[e북]독보강호의 귀환</v>
      </c>
      <c r="L152">
        <v>3000</v>
      </c>
      <c r="M152">
        <v>0</v>
      </c>
      <c r="N152">
        <v>0</v>
      </c>
      <c r="O152">
        <v>0</v>
      </c>
      <c r="P152">
        <v>1800</v>
      </c>
      <c r="Q152">
        <v>2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1800</v>
      </c>
      <c r="AJ152">
        <v>2</v>
      </c>
      <c r="AK152">
        <v>0</v>
      </c>
      <c r="AL152">
        <v>0</v>
      </c>
      <c r="AM152">
        <v>900</v>
      </c>
      <c r="AN152">
        <v>0</v>
      </c>
      <c r="AO152">
        <v>1080</v>
      </c>
      <c r="AP152">
        <v>-108</v>
      </c>
      <c r="AQ152">
        <v>0</v>
      </c>
      <c r="AS152">
        <v>0</v>
      </c>
      <c r="AT152">
        <v>0</v>
      </c>
      <c r="AU152">
        <v>1080</v>
      </c>
      <c r="AV152">
        <v>-108</v>
      </c>
      <c r="AW152">
        <v>0</v>
      </c>
      <c r="AY152">
        <v>0</v>
      </c>
      <c r="AZ152">
        <v>0</v>
      </c>
      <c r="BA152">
        <v>1310.4000000000001</v>
      </c>
      <c r="BF152" t="str">
        <f>T("D207062")</f>
        <v>D207062</v>
      </c>
      <c r="BG152" t="str">
        <f>T("판타지 e북 &gt; 전통 무협")</f>
        <v>판타지 e북 &gt; 전통 무협</v>
      </c>
    </row>
    <row r="153" spans="1:59">
      <c r="A153" t="s">
        <v>60</v>
      </c>
      <c r="B153" s="1">
        <v>46129</v>
      </c>
      <c r="C153">
        <v>2378080442</v>
      </c>
      <c r="D153">
        <v>2378080454</v>
      </c>
      <c r="E153" t="str">
        <f>T("[e북]독보강호의 귀환 13권")</f>
        <v>[e북]독보강호의 귀환 13권</v>
      </c>
      <c r="F153">
        <v>13</v>
      </c>
      <c r="G153" t="str">
        <f>T("천우한")</f>
        <v>천우한</v>
      </c>
      <c r="J153" t="str">
        <f>T("심월")</f>
        <v>심월</v>
      </c>
      <c r="K153" t="str">
        <f>T("[e북]독보강호의 귀환")</f>
        <v>[e북]독보강호의 귀환</v>
      </c>
      <c r="L153">
        <v>3000</v>
      </c>
      <c r="M153">
        <v>0</v>
      </c>
      <c r="N153">
        <v>0</v>
      </c>
      <c r="O153">
        <v>0</v>
      </c>
      <c r="P153">
        <v>900</v>
      </c>
      <c r="Q153">
        <v>1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900</v>
      </c>
      <c r="AJ153">
        <v>1</v>
      </c>
      <c r="AK153">
        <v>0</v>
      </c>
      <c r="AL153">
        <v>0</v>
      </c>
      <c r="AM153">
        <v>900</v>
      </c>
      <c r="AN153">
        <v>0</v>
      </c>
      <c r="AO153">
        <v>0</v>
      </c>
      <c r="AP153">
        <v>0</v>
      </c>
      <c r="AQ153">
        <v>0</v>
      </c>
      <c r="AS153">
        <v>0</v>
      </c>
      <c r="AT153">
        <v>0</v>
      </c>
      <c r="AV153">
        <v>0</v>
      </c>
      <c r="AW153">
        <v>0</v>
      </c>
      <c r="AY153">
        <v>0</v>
      </c>
      <c r="AZ153">
        <v>0</v>
      </c>
      <c r="BA153">
        <v>630</v>
      </c>
      <c r="BF153" t="str">
        <f>T("D207063")</f>
        <v>D207063</v>
      </c>
      <c r="BG153" t="str">
        <f>T("판타지 e북 &gt; 전통 무협")</f>
        <v>판타지 e북 &gt; 전통 무협</v>
      </c>
    </row>
    <row r="154" spans="1:59">
      <c r="A154" t="s">
        <v>60</v>
      </c>
      <c r="B154" s="1">
        <v>46129</v>
      </c>
      <c r="C154">
        <v>2378080442</v>
      </c>
      <c r="D154">
        <v>2378080455</v>
      </c>
      <c r="E154" t="str">
        <f>T("[e북]독보강호의 귀환 14권")</f>
        <v>[e북]독보강호의 귀환 14권</v>
      </c>
      <c r="F154">
        <v>14</v>
      </c>
      <c r="G154" t="str">
        <f>T("천우한")</f>
        <v>천우한</v>
      </c>
      <c r="J154" t="str">
        <f>T("심월")</f>
        <v>심월</v>
      </c>
      <c r="K154" t="str">
        <f>T("[e북]독보강호의 귀환")</f>
        <v>[e북]독보강호의 귀환</v>
      </c>
      <c r="L154">
        <v>3000</v>
      </c>
      <c r="M154">
        <v>0</v>
      </c>
      <c r="N154">
        <v>0</v>
      </c>
      <c r="O154">
        <v>0</v>
      </c>
      <c r="P154">
        <v>900</v>
      </c>
      <c r="Q154">
        <v>1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900</v>
      </c>
      <c r="AJ154">
        <v>1</v>
      </c>
      <c r="AK154">
        <v>0</v>
      </c>
      <c r="AL154">
        <v>0</v>
      </c>
      <c r="AM154">
        <v>900</v>
      </c>
      <c r="AN154">
        <v>0</v>
      </c>
      <c r="AO154">
        <v>0</v>
      </c>
      <c r="AP154">
        <v>0</v>
      </c>
      <c r="AQ154">
        <v>0</v>
      </c>
      <c r="AS154">
        <v>0</v>
      </c>
      <c r="AT154">
        <v>0</v>
      </c>
      <c r="AV154">
        <v>0</v>
      </c>
      <c r="AW154">
        <v>0</v>
      </c>
      <c r="AY154">
        <v>0</v>
      </c>
      <c r="AZ154">
        <v>0</v>
      </c>
      <c r="BA154">
        <v>630</v>
      </c>
      <c r="BF154" t="str">
        <f>T("D207064")</f>
        <v>D207064</v>
      </c>
      <c r="BG154" t="str">
        <f>T("판타지 e북 &gt; 전통 무협")</f>
        <v>판타지 e북 &gt; 전통 무협</v>
      </c>
    </row>
    <row r="155" spans="1:59">
      <c r="A155" t="s">
        <v>60</v>
      </c>
      <c r="B155" s="1">
        <v>46130</v>
      </c>
      <c r="C155">
        <v>2378080442</v>
      </c>
      <c r="D155">
        <v>2378080442</v>
      </c>
      <c r="E155" t="str">
        <f>T("[e북]독보강호의 귀환 1권")</f>
        <v>[e북]독보강호의 귀환 1권</v>
      </c>
      <c r="F155">
        <v>1</v>
      </c>
      <c r="G155" t="str">
        <f>T("천우한")</f>
        <v>천우한</v>
      </c>
      <c r="J155" t="str">
        <f>T("심월")</f>
        <v>심월</v>
      </c>
      <c r="K155" t="str">
        <f>T("[e북]독보강호의 귀환")</f>
        <v>[e북]독보강호의 귀환</v>
      </c>
      <c r="L155">
        <v>0</v>
      </c>
      <c r="M155">
        <v>0</v>
      </c>
      <c r="N155">
        <v>0</v>
      </c>
      <c r="O155">
        <v>2</v>
      </c>
      <c r="P155">
        <v>0</v>
      </c>
      <c r="Q155">
        <v>0</v>
      </c>
      <c r="R155">
        <v>3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5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0</v>
      </c>
      <c r="AS155">
        <v>0</v>
      </c>
      <c r="AT155">
        <v>0</v>
      </c>
      <c r="AV155">
        <v>0</v>
      </c>
      <c r="AW155">
        <v>0</v>
      </c>
      <c r="AY155">
        <v>0</v>
      </c>
      <c r="AZ155">
        <v>0</v>
      </c>
      <c r="BA155">
        <v>0</v>
      </c>
      <c r="BF155" t="str">
        <f>T("D207051")</f>
        <v>D207051</v>
      </c>
      <c r="BG155" t="str">
        <f>T("판타지 e북 &gt; 전통 무협")</f>
        <v>판타지 e북 &gt; 전통 무협</v>
      </c>
    </row>
    <row r="156" spans="1:59">
      <c r="A156" t="s">
        <v>60</v>
      </c>
      <c r="B156" s="1">
        <v>46130</v>
      </c>
      <c r="C156">
        <v>2378080442</v>
      </c>
      <c r="D156">
        <v>2378080443</v>
      </c>
      <c r="E156" t="str">
        <f>T("[e북]독보강호의 귀환 2권")</f>
        <v>[e북]독보강호의 귀환 2권</v>
      </c>
      <c r="F156">
        <v>2</v>
      </c>
      <c r="G156" t="str">
        <f>T("천우한")</f>
        <v>천우한</v>
      </c>
      <c r="J156" t="str">
        <f>T("심월")</f>
        <v>심월</v>
      </c>
      <c r="K156" t="str">
        <f>T("[e북]독보강호의 귀환")</f>
        <v>[e북]독보강호의 귀환</v>
      </c>
      <c r="L156">
        <v>3000</v>
      </c>
      <c r="M156">
        <v>0</v>
      </c>
      <c r="N156">
        <v>0</v>
      </c>
      <c r="O156">
        <v>0</v>
      </c>
      <c r="P156">
        <v>1800</v>
      </c>
      <c r="Q156">
        <v>2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1800</v>
      </c>
      <c r="AJ156">
        <v>2</v>
      </c>
      <c r="AK156">
        <v>0</v>
      </c>
      <c r="AL156">
        <v>0</v>
      </c>
      <c r="AM156">
        <v>900</v>
      </c>
      <c r="AN156">
        <v>0</v>
      </c>
      <c r="AO156">
        <v>1080</v>
      </c>
      <c r="AP156">
        <v>-108</v>
      </c>
      <c r="AQ156">
        <v>0</v>
      </c>
      <c r="AS156">
        <v>0</v>
      </c>
      <c r="AT156">
        <v>0</v>
      </c>
      <c r="AU156">
        <v>1080</v>
      </c>
      <c r="AV156">
        <v>-108</v>
      </c>
      <c r="AW156">
        <v>0</v>
      </c>
      <c r="AY156">
        <v>0</v>
      </c>
      <c r="AZ156">
        <v>0</v>
      </c>
      <c r="BA156">
        <v>1310.4000000000001</v>
      </c>
      <c r="BF156" t="str">
        <f>T("D207052")</f>
        <v>D207052</v>
      </c>
      <c r="BG156" t="str">
        <f>T("판타지 e북 &gt; 전통 무협")</f>
        <v>판타지 e북 &gt; 전통 무협</v>
      </c>
    </row>
    <row r="157" spans="1:59">
      <c r="A157" t="s">
        <v>60</v>
      </c>
      <c r="B157" s="1">
        <v>46130</v>
      </c>
      <c r="C157">
        <v>2378080442</v>
      </c>
      <c r="D157">
        <v>2378080456</v>
      </c>
      <c r="E157" t="str">
        <f>T("[e북]독보강호의 귀환 15권")</f>
        <v>[e북]독보강호의 귀환 15권</v>
      </c>
      <c r="F157">
        <v>15</v>
      </c>
      <c r="G157" t="str">
        <f>T("천우한")</f>
        <v>천우한</v>
      </c>
      <c r="J157" t="str">
        <f>T("심월")</f>
        <v>심월</v>
      </c>
      <c r="K157" t="str">
        <f>T("[e북]독보강호의 귀환")</f>
        <v>[e북]독보강호의 귀환</v>
      </c>
      <c r="L157">
        <v>3000</v>
      </c>
      <c r="M157">
        <v>0</v>
      </c>
      <c r="N157">
        <v>0</v>
      </c>
      <c r="O157">
        <v>0</v>
      </c>
      <c r="P157">
        <v>900</v>
      </c>
      <c r="Q157">
        <v>1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900</v>
      </c>
      <c r="AJ157">
        <v>1</v>
      </c>
      <c r="AK157">
        <v>0</v>
      </c>
      <c r="AL157">
        <v>0</v>
      </c>
      <c r="AM157">
        <v>900</v>
      </c>
      <c r="AN157">
        <v>0</v>
      </c>
      <c r="AO157">
        <v>0</v>
      </c>
      <c r="AP157">
        <v>0</v>
      </c>
      <c r="AQ157">
        <v>0</v>
      </c>
      <c r="AS157">
        <v>0</v>
      </c>
      <c r="AT157">
        <v>0</v>
      </c>
      <c r="AV157">
        <v>0</v>
      </c>
      <c r="AW157">
        <v>0</v>
      </c>
      <c r="AY157">
        <v>0</v>
      </c>
      <c r="AZ157">
        <v>0</v>
      </c>
      <c r="BA157">
        <v>630</v>
      </c>
      <c r="BF157" t="str">
        <f>T("D207065")</f>
        <v>D207065</v>
      </c>
      <c r="BG157" t="str">
        <f>T("판타지 e북 &gt; 전통 무협")</f>
        <v>판타지 e북 &gt; 전통 무협</v>
      </c>
    </row>
    <row r="158" spans="1:59">
      <c r="A158" t="s">
        <v>60</v>
      </c>
      <c r="B158" s="1">
        <v>46130</v>
      </c>
      <c r="C158">
        <v>2378080442</v>
      </c>
      <c r="D158">
        <v>2378080454</v>
      </c>
      <c r="E158" t="str">
        <f>T("[e북]독보강호의 귀환 13권")</f>
        <v>[e북]독보강호의 귀환 13권</v>
      </c>
      <c r="F158">
        <v>13</v>
      </c>
      <c r="G158" t="str">
        <f>T("천우한")</f>
        <v>천우한</v>
      </c>
      <c r="J158" t="str">
        <f>T("심월")</f>
        <v>심월</v>
      </c>
      <c r="K158" t="str">
        <f>T("[e북]독보강호의 귀환")</f>
        <v>[e북]독보강호의 귀환</v>
      </c>
      <c r="L158">
        <v>3000</v>
      </c>
      <c r="M158">
        <v>0</v>
      </c>
      <c r="N158">
        <v>0</v>
      </c>
      <c r="O158">
        <v>0</v>
      </c>
      <c r="P158">
        <v>1800</v>
      </c>
      <c r="Q158">
        <v>2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1800</v>
      </c>
      <c r="AJ158">
        <v>2</v>
      </c>
      <c r="AK158">
        <v>0</v>
      </c>
      <c r="AL158">
        <v>0</v>
      </c>
      <c r="AM158">
        <v>900</v>
      </c>
      <c r="AN158">
        <v>0</v>
      </c>
      <c r="AO158">
        <v>1080</v>
      </c>
      <c r="AP158">
        <v>-108</v>
      </c>
      <c r="AQ158">
        <v>0</v>
      </c>
      <c r="AS158">
        <v>0</v>
      </c>
      <c r="AT158">
        <v>0</v>
      </c>
      <c r="AU158">
        <v>1080</v>
      </c>
      <c r="AV158">
        <v>-108</v>
      </c>
      <c r="AW158">
        <v>0</v>
      </c>
      <c r="AY158">
        <v>0</v>
      </c>
      <c r="AZ158">
        <v>0</v>
      </c>
      <c r="BA158">
        <v>1310.4000000000001</v>
      </c>
      <c r="BF158" t="str">
        <f>T("D207063")</f>
        <v>D207063</v>
      </c>
      <c r="BG158" t="str">
        <f>T("판타지 e북 &gt; 전통 무협")</f>
        <v>판타지 e북 &gt; 전통 무협</v>
      </c>
    </row>
    <row r="159" spans="1:59">
      <c r="A159" t="s">
        <v>60</v>
      </c>
      <c r="B159" s="1">
        <v>46130</v>
      </c>
      <c r="C159">
        <v>2378080442</v>
      </c>
      <c r="D159">
        <v>2378080457</v>
      </c>
      <c r="E159" t="str">
        <f>T("[e북]독보강호의 귀환 16권")</f>
        <v>[e북]독보강호의 귀환 16권</v>
      </c>
      <c r="F159">
        <v>16</v>
      </c>
      <c r="G159" t="str">
        <f>T("천우한")</f>
        <v>천우한</v>
      </c>
      <c r="J159" t="str">
        <f>T("심월")</f>
        <v>심월</v>
      </c>
      <c r="K159" t="str">
        <f>T("[e북]독보강호의 귀환")</f>
        <v>[e북]독보강호의 귀환</v>
      </c>
      <c r="L159">
        <v>3000</v>
      </c>
      <c r="M159">
        <v>0</v>
      </c>
      <c r="N159">
        <v>0</v>
      </c>
      <c r="O159">
        <v>0</v>
      </c>
      <c r="P159">
        <v>900</v>
      </c>
      <c r="Q159">
        <v>1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900</v>
      </c>
      <c r="AJ159">
        <v>1</v>
      </c>
      <c r="AK159">
        <v>0</v>
      </c>
      <c r="AL159">
        <v>0</v>
      </c>
      <c r="AM159">
        <v>900</v>
      </c>
      <c r="AN159">
        <v>0</v>
      </c>
      <c r="AO159">
        <v>0</v>
      </c>
      <c r="AP159">
        <v>0</v>
      </c>
      <c r="AQ159">
        <v>0</v>
      </c>
      <c r="AS159">
        <v>0</v>
      </c>
      <c r="AT159">
        <v>0</v>
      </c>
      <c r="AV159">
        <v>0</v>
      </c>
      <c r="AW159">
        <v>0</v>
      </c>
      <c r="AY159">
        <v>0</v>
      </c>
      <c r="AZ159">
        <v>0</v>
      </c>
      <c r="BA159">
        <v>630</v>
      </c>
      <c r="BF159" t="str">
        <f>T("D207066")</f>
        <v>D207066</v>
      </c>
      <c r="BG159" t="str">
        <f>T("판타지 e북 &gt; 전통 무협")</f>
        <v>판타지 e북 &gt; 전통 무협</v>
      </c>
    </row>
    <row r="160" spans="1:59">
      <c r="A160" t="s">
        <v>60</v>
      </c>
      <c r="B160" s="1">
        <v>46130</v>
      </c>
      <c r="C160">
        <v>2378080442</v>
      </c>
      <c r="D160">
        <v>2378080452</v>
      </c>
      <c r="E160" t="str">
        <f>T("[e북]독보강호의 귀환 11권")</f>
        <v>[e북]독보강호의 귀환 11권</v>
      </c>
      <c r="F160">
        <v>11</v>
      </c>
      <c r="G160" t="str">
        <f>T("천우한")</f>
        <v>천우한</v>
      </c>
      <c r="J160" t="str">
        <f>T("심월")</f>
        <v>심월</v>
      </c>
      <c r="K160" t="str">
        <f>T("[e북]독보강호의 귀환")</f>
        <v>[e북]독보강호의 귀환</v>
      </c>
      <c r="L160">
        <v>3000</v>
      </c>
      <c r="M160">
        <v>0</v>
      </c>
      <c r="N160">
        <v>0</v>
      </c>
      <c r="O160">
        <v>0</v>
      </c>
      <c r="P160">
        <v>900</v>
      </c>
      <c r="Q160">
        <v>1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900</v>
      </c>
      <c r="AJ160">
        <v>1</v>
      </c>
      <c r="AK160">
        <v>0</v>
      </c>
      <c r="AL160">
        <v>0</v>
      </c>
      <c r="AM160">
        <v>900</v>
      </c>
      <c r="AN160">
        <v>0</v>
      </c>
      <c r="AO160">
        <v>0</v>
      </c>
      <c r="AP160">
        <v>0</v>
      </c>
      <c r="AQ160">
        <v>0</v>
      </c>
      <c r="AS160">
        <v>0</v>
      </c>
      <c r="AT160">
        <v>0</v>
      </c>
      <c r="AV160">
        <v>0</v>
      </c>
      <c r="AW160">
        <v>0</v>
      </c>
      <c r="AY160">
        <v>0</v>
      </c>
      <c r="AZ160">
        <v>0</v>
      </c>
      <c r="BA160">
        <v>630</v>
      </c>
      <c r="BF160" t="str">
        <f>T("D207061")</f>
        <v>D207061</v>
      </c>
      <c r="BG160" t="str">
        <f>T("판타지 e북 &gt; 전통 무협")</f>
        <v>판타지 e북 &gt; 전통 무협</v>
      </c>
    </row>
    <row r="161" spans="1:59">
      <c r="A161" t="s">
        <v>60</v>
      </c>
      <c r="B161" s="1">
        <v>46130</v>
      </c>
      <c r="C161">
        <v>2378080442</v>
      </c>
      <c r="D161">
        <v>2378080448</v>
      </c>
      <c r="E161" t="str">
        <f>T("[e북]독보강호의 귀환 7권")</f>
        <v>[e북]독보강호의 귀환 7권</v>
      </c>
      <c r="F161">
        <v>7</v>
      </c>
      <c r="G161" t="str">
        <f>T("천우한")</f>
        <v>천우한</v>
      </c>
      <c r="J161" t="str">
        <f>T("심월")</f>
        <v>심월</v>
      </c>
      <c r="K161" t="str">
        <f>T("[e북]독보강호의 귀환")</f>
        <v>[e북]독보강호의 귀환</v>
      </c>
      <c r="L161">
        <v>3000</v>
      </c>
      <c r="M161">
        <v>0</v>
      </c>
      <c r="N161">
        <v>0</v>
      </c>
      <c r="O161">
        <v>0</v>
      </c>
      <c r="P161">
        <v>900</v>
      </c>
      <c r="Q161">
        <v>1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900</v>
      </c>
      <c r="AJ161">
        <v>1</v>
      </c>
      <c r="AK161">
        <v>0</v>
      </c>
      <c r="AL161">
        <v>0</v>
      </c>
      <c r="AM161">
        <v>0</v>
      </c>
      <c r="AN161">
        <v>0</v>
      </c>
      <c r="AO161">
        <v>1080</v>
      </c>
      <c r="AP161">
        <v>-108</v>
      </c>
      <c r="AQ161">
        <v>0</v>
      </c>
      <c r="AS161">
        <v>0</v>
      </c>
      <c r="AT161">
        <v>0</v>
      </c>
      <c r="AU161">
        <v>1080</v>
      </c>
      <c r="AV161">
        <v>-108</v>
      </c>
      <c r="AW161">
        <v>0</v>
      </c>
      <c r="AY161">
        <v>0</v>
      </c>
      <c r="AZ161">
        <v>0</v>
      </c>
      <c r="BA161">
        <v>680.4</v>
      </c>
      <c r="BF161" t="str">
        <f>T("D207057")</f>
        <v>D207057</v>
      </c>
      <c r="BG161" t="str">
        <f>T("판타지 e북 &gt; 전통 무협")</f>
        <v>판타지 e북 &gt; 전통 무협</v>
      </c>
    </row>
    <row r="162" spans="1:59">
      <c r="A162" t="s">
        <v>60</v>
      </c>
      <c r="B162" s="1">
        <v>46130</v>
      </c>
      <c r="C162">
        <v>2378080442</v>
      </c>
      <c r="D162">
        <v>2378080445</v>
      </c>
      <c r="E162" t="str">
        <f>T("[e북]독보강호의 귀환 4권")</f>
        <v>[e북]독보강호의 귀환 4권</v>
      </c>
      <c r="F162">
        <v>4</v>
      </c>
      <c r="G162" t="str">
        <f>T("천우한")</f>
        <v>천우한</v>
      </c>
      <c r="J162" t="str">
        <f>T("심월")</f>
        <v>심월</v>
      </c>
      <c r="K162" t="str">
        <f>T("[e북]독보강호의 귀환")</f>
        <v>[e북]독보강호의 귀환</v>
      </c>
      <c r="L162">
        <v>3000</v>
      </c>
      <c r="M162">
        <v>0</v>
      </c>
      <c r="N162">
        <v>0</v>
      </c>
      <c r="O162">
        <v>0</v>
      </c>
      <c r="P162">
        <v>900</v>
      </c>
      <c r="Q162">
        <v>1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900</v>
      </c>
      <c r="AJ162">
        <v>1</v>
      </c>
      <c r="AK162">
        <v>0</v>
      </c>
      <c r="AL162">
        <v>0</v>
      </c>
      <c r="AM162">
        <v>900</v>
      </c>
      <c r="AN162">
        <v>0</v>
      </c>
      <c r="AO162">
        <v>0</v>
      </c>
      <c r="AP162">
        <v>0</v>
      </c>
      <c r="AQ162">
        <v>0</v>
      </c>
      <c r="AS162">
        <v>0</v>
      </c>
      <c r="AT162">
        <v>0</v>
      </c>
      <c r="AV162">
        <v>0</v>
      </c>
      <c r="AW162">
        <v>0</v>
      </c>
      <c r="AY162">
        <v>0</v>
      </c>
      <c r="AZ162">
        <v>0</v>
      </c>
      <c r="BA162">
        <v>630</v>
      </c>
      <c r="BF162" t="str">
        <f>T("D207054")</f>
        <v>D207054</v>
      </c>
      <c r="BG162" t="str">
        <f>T("판타지 e북 &gt; 전통 무협")</f>
        <v>판타지 e북 &gt; 전통 무협</v>
      </c>
    </row>
    <row r="163" spans="1:59">
      <c r="A163" t="s">
        <v>60</v>
      </c>
      <c r="B163" s="1">
        <v>46130</v>
      </c>
      <c r="C163">
        <v>2378080442</v>
      </c>
      <c r="D163">
        <v>2378080447</v>
      </c>
      <c r="E163" t="str">
        <f>T("[e북]독보강호의 귀환 6권")</f>
        <v>[e북]독보강호의 귀환 6권</v>
      </c>
      <c r="F163">
        <v>6</v>
      </c>
      <c r="G163" t="str">
        <f>T("천우한")</f>
        <v>천우한</v>
      </c>
      <c r="J163" t="str">
        <f>T("심월")</f>
        <v>심월</v>
      </c>
      <c r="K163" t="str">
        <f>T("[e북]독보강호의 귀환")</f>
        <v>[e북]독보강호의 귀환</v>
      </c>
      <c r="L163">
        <v>3000</v>
      </c>
      <c r="M163">
        <v>0</v>
      </c>
      <c r="N163">
        <v>0</v>
      </c>
      <c r="O163">
        <v>0</v>
      </c>
      <c r="P163">
        <v>900</v>
      </c>
      <c r="Q163">
        <v>1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900</v>
      </c>
      <c r="AJ163">
        <v>1</v>
      </c>
      <c r="AK163">
        <v>0</v>
      </c>
      <c r="AL163">
        <v>0</v>
      </c>
      <c r="AM163">
        <v>900</v>
      </c>
      <c r="AN163">
        <v>0</v>
      </c>
      <c r="AO163">
        <v>0</v>
      </c>
      <c r="AP163">
        <v>0</v>
      </c>
      <c r="AQ163">
        <v>0</v>
      </c>
      <c r="AS163">
        <v>0</v>
      </c>
      <c r="AT163">
        <v>0</v>
      </c>
      <c r="AV163">
        <v>0</v>
      </c>
      <c r="AW163">
        <v>0</v>
      </c>
      <c r="AY163">
        <v>0</v>
      </c>
      <c r="AZ163">
        <v>0</v>
      </c>
      <c r="BA163">
        <v>630</v>
      </c>
      <c r="BF163" t="str">
        <f>T("D207056")</f>
        <v>D207056</v>
      </c>
      <c r="BG163" t="str">
        <f>T("판타지 e북 &gt; 전통 무협")</f>
        <v>판타지 e북 &gt; 전통 무협</v>
      </c>
    </row>
    <row r="164" spans="1:59">
      <c r="A164" t="s">
        <v>60</v>
      </c>
      <c r="B164" s="1">
        <v>46130</v>
      </c>
      <c r="C164">
        <v>2378080442</v>
      </c>
      <c r="D164">
        <v>2378080453</v>
      </c>
      <c r="E164" t="str">
        <f>T("[e북]독보강호의 귀환 12권")</f>
        <v>[e북]독보강호의 귀환 12권</v>
      </c>
      <c r="F164">
        <v>12</v>
      </c>
      <c r="G164" t="str">
        <f>T("천우한")</f>
        <v>천우한</v>
      </c>
      <c r="J164" t="str">
        <f>T("심월")</f>
        <v>심월</v>
      </c>
      <c r="K164" t="str">
        <f>T("[e북]독보강호의 귀환")</f>
        <v>[e북]독보강호의 귀환</v>
      </c>
      <c r="L164">
        <v>3000</v>
      </c>
      <c r="M164">
        <v>0</v>
      </c>
      <c r="N164">
        <v>0</v>
      </c>
      <c r="O164">
        <v>0</v>
      </c>
      <c r="P164">
        <v>900</v>
      </c>
      <c r="Q164">
        <v>1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900</v>
      </c>
      <c r="AJ164">
        <v>1</v>
      </c>
      <c r="AK164">
        <v>0</v>
      </c>
      <c r="AL164">
        <v>0</v>
      </c>
      <c r="AM164">
        <v>900</v>
      </c>
      <c r="AN164">
        <v>0</v>
      </c>
      <c r="AO164">
        <v>0</v>
      </c>
      <c r="AP164">
        <v>0</v>
      </c>
      <c r="AQ164">
        <v>0</v>
      </c>
      <c r="AS164">
        <v>0</v>
      </c>
      <c r="AT164">
        <v>0</v>
      </c>
      <c r="AV164">
        <v>0</v>
      </c>
      <c r="AW164">
        <v>0</v>
      </c>
      <c r="AY164">
        <v>0</v>
      </c>
      <c r="AZ164">
        <v>0</v>
      </c>
      <c r="BA164">
        <v>630</v>
      </c>
      <c r="BF164" t="str">
        <f>T("D207062")</f>
        <v>D207062</v>
      </c>
      <c r="BG164" t="str">
        <f>T("판타지 e북 &gt; 전통 무협")</f>
        <v>판타지 e북 &gt; 전통 무협</v>
      </c>
    </row>
    <row r="165" spans="1:59">
      <c r="A165" t="s">
        <v>60</v>
      </c>
      <c r="B165" s="1">
        <v>46130</v>
      </c>
      <c r="C165">
        <v>2378080442</v>
      </c>
      <c r="D165">
        <v>2378080458</v>
      </c>
      <c r="E165" t="str">
        <f>T("[e북]독보강호의 귀환 17권")</f>
        <v>[e북]독보강호의 귀환 17권</v>
      </c>
      <c r="F165">
        <v>17</v>
      </c>
      <c r="G165" t="str">
        <f>T("천우한")</f>
        <v>천우한</v>
      </c>
      <c r="J165" t="str">
        <f>T("심월")</f>
        <v>심월</v>
      </c>
      <c r="K165" t="str">
        <f>T("[e북]독보강호의 귀환")</f>
        <v>[e북]독보강호의 귀환</v>
      </c>
      <c r="L165">
        <v>3000</v>
      </c>
      <c r="M165">
        <v>0</v>
      </c>
      <c r="N165">
        <v>0</v>
      </c>
      <c r="O165">
        <v>0</v>
      </c>
      <c r="P165">
        <v>1800</v>
      </c>
      <c r="Q165">
        <v>2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1800</v>
      </c>
      <c r="AJ165">
        <v>2</v>
      </c>
      <c r="AK165">
        <v>0</v>
      </c>
      <c r="AL165">
        <v>0</v>
      </c>
      <c r="AM165">
        <v>1800</v>
      </c>
      <c r="AN165">
        <v>0</v>
      </c>
      <c r="AO165">
        <v>0</v>
      </c>
      <c r="AP165">
        <v>0</v>
      </c>
      <c r="AQ165">
        <v>0</v>
      </c>
      <c r="AS165">
        <v>0</v>
      </c>
      <c r="AT165">
        <v>0</v>
      </c>
      <c r="AV165">
        <v>0</v>
      </c>
      <c r="AW165">
        <v>0</v>
      </c>
      <c r="AY165">
        <v>0</v>
      </c>
      <c r="AZ165">
        <v>0</v>
      </c>
      <c r="BA165">
        <v>1260</v>
      </c>
      <c r="BF165" t="str">
        <f>T("D207067")</f>
        <v>D207067</v>
      </c>
      <c r="BG165" t="str">
        <f>T("판타지 e북 &gt; 전통 무협")</f>
        <v>판타지 e북 &gt; 전통 무협</v>
      </c>
    </row>
    <row r="166" spans="1:59">
      <c r="A166" t="s">
        <v>60</v>
      </c>
      <c r="B166" s="1">
        <v>46130</v>
      </c>
      <c r="C166">
        <v>2378080442</v>
      </c>
      <c r="D166">
        <v>2378080460</v>
      </c>
      <c r="E166" t="str">
        <f>T("[e북]독보강호의 귀환 19권 (완결)")</f>
        <v>[e북]독보강호의 귀환 19권 (완결)</v>
      </c>
      <c r="F166">
        <v>19</v>
      </c>
      <c r="G166" t="str">
        <f>T("천우한")</f>
        <v>천우한</v>
      </c>
      <c r="J166" t="str">
        <f>T("심월")</f>
        <v>심월</v>
      </c>
      <c r="K166" t="str">
        <f>T("[e북]독보강호의 귀환")</f>
        <v>[e북]독보강호의 귀환</v>
      </c>
      <c r="L166">
        <v>3000</v>
      </c>
      <c r="M166">
        <v>0</v>
      </c>
      <c r="N166">
        <v>0</v>
      </c>
      <c r="O166">
        <v>0</v>
      </c>
      <c r="P166">
        <v>900</v>
      </c>
      <c r="Q166">
        <v>1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900</v>
      </c>
      <c r="AJ166">
        <v>1</v>
      </c>
      <c r="AK166">
        <v>0</v>
      </c>
      <c r="AL166">
        <v>0</v>
      </c>
      <c r="AM166">
        <v>900</v>
      </c>
      <c r="AN166">
        <v>0</v>
      </c>
      <c r="AO166">
        <v>0</v>
      </c>
      <c r="AP166">
        <v>0</v>
      </c>
      <c r="AQ166">
        <v>0</v>
      </c>
      <c r="AS166">
        <v>0</v>
      </c>
      <c r="AT166">
        <v>0</v>
      </c>
      <c r="AV166">
        <v>0</v>
      </c>
      <c r="AW166">
        <v>0</v>
      </c>
      <c r="AY166">
        <v>0</v>
      </c>
      <c r="AZ166">
        <v>0</v>
      </c>
      <c r="BA166">
        <v>630</v>
      </c>
      <c r="BF166" t="str">
        <f>T("D207069")</f>
        <v>D207069</v>
      </c>
      <c r="BG166" t="str">
        <f>T("판타지 e북 &gt; 전통 무협")</f>
        <v>판타지 e북 &gt; 전통 무협</v>
      </c>
    </row>
    <row r="167" spans="1:59">
      <c r="A167" t="s">
        <v>60</v>
      </c>
      <c r="B167" s="1">
        <v>46130</v>
      </c>
      <c r="C167">
        <v>2378080442</v>
      </c>
      <c r="D167">
        <v>2378080444</v>
      </c>
      <c r="E167" t="str">
        <f>T("[e북]독보강호의 귀환 3권")</f>
        <v>[e북]독보강호의 귀환 3권</v>
      </c>
      <c r="F167">
        <v>3</v>
      </c>
      <c r="G167" t="str">
        <f>T("천우한")</f>
        <v>천우한</v>
      </c>
      <c r="J167" t="str">
        <f>T("심월")</f>
        <v>심월</v>
      </c>
      <c r="K167" t="str">
        <f>T("[e북]독보강호의 귀환")</f>
        <v>[e북]독보강호의 귀환</v>
      </c>
      <c r="L167">
        <v>3000</v>
      </c>
      <c r="M167">
        <v>0</v>
      </c>
      <c r="N167">
        <v>0</v>
      </c>
      <c r="O167">
        <v>0</v>
      </c>
      <c r="P167">
        <v>3600</v>
      </c>
      <c r="Q167">
        <v>4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3600</v>
      </c>
      <c r="AJ167">
        <v>4</v>
      </c>
      <c r="AK167">
        <v>0</v>
      </c>
      <c r="AL167">
        <v>0</v>
      </c>
      <c r="AM167">
        <v>1800</v>
      </c>
      <c r="AN167">
        <v>0</v>
      </c>
      <c r="AO167">
        <v>2160</v>
      </c>
      <c r="AP167">
        <v>-216</v>
      </c>
      <c r="AQ167">
        <v>0</v>
      </c>
      <c r="AS167">
        <v>0</v>
      </c>
      <c r="AT167">
        <v>0</v>
      </c>
      <c r="AU167">
        <v>2160</v>
      </c>
      <c r="AV167">
        <v>-216</v>
      </c>
      <c r="AW167">
        <v>0</v>
      </c>
      <c r="AY167">
        <v>0</v>
      </c>
      <c r="AZ167">
        <v>0</v>
      </c>
      <c r="BA167">
        <v>2620.8000000000002</v>
      </c>
      <c r="BF167" t="str">
        <f>T("D207053")</f>
        <v>D207053</v>
      </c>
      <c r="BG167" t="str">
        <f>T("판타지 e북 &gt; 전통 무협")</f>
        <v>판타지 e북 &gt; 전통 무협</v>
      </c>
    </row>
    <row r="168" spans="1:59">
      <c r="A168" t="s">
        <v>60</v>
      </c>
      <c r="B168" s="1">
        <v>46130</v>
      </c>
      <c r="C168">
        <v>2378080442</v>
      </c>
      <c r="D168">
        <v>2378080455</v>
      </c>
      <c r="E168" t="str">
        <f>T("[e북]독보강호의 귀환 14권")</f>
        <v>[e북]독보강호의 귀환 14권</v>
      </c>
      <c r="F168">
        <v>14</v>
      </c>
      <c r="G168" t="str">
        <f>T("천우한")</f>
        <v>천우한</v>
      </c>
      <c r="J168" t="str">
        <f>T("심월")</f>
        <v>심월</v>
      </c>
      <c r="K168" t="str">
        <f>T("[e북]독보강호의 귀환")</f>
        <v>[e북]독보강호의 귀환</v>
      </c>
      <c r="L168">
        <v>3000</v>
      </c>
      <c r="M168">
        <v>0</v>
      </c>
      <c r="N168">
        <v>0</v>
      </c>
      <c r="O168">
        <v>0</v>
      </c>
      <c r="P168">
        <v>900</v>
      </c>
      <c r="Q168">
        <v>1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900</v>
      </c>
      <c r="AJ168">
        <v>1</v>
      </c>
      <c r="AK168">
        <v>0</v>
      </c>
      <c r="AL168">
        <v>0</v>
      </c>
      <c r="AM168">
        <v>900</v>
      </c>
      <c r="AN168">
        <v>0</v>
      </c>
      <c r="AO168">
        <v>0</v>
      </c>
      <c r="AP168">
        <v>0</v>
      </c>
      <c r="AQ168">
        <v>0</v>
      </c>
      <c r="AS168">
        <v>0</v>
      </c>
      <c r="AT168">
        <v>0</v>
      </c>
      <c r="AV168">
        <v>0</v>
      </c>
      <c r="AW168">
        <v>0</v>
      </c>
      <c r="AY168">
        <v>0</v>
      </c>
      <c r="AZ168">
        <v>0</v>
      </c>
      <c r="BA168">
        <v>630</v>
      </c>
      <c r="BF168" t="str">
        <f>T("D207064")</f>
        <v>D207064</v>
      </c>
      <c r="BG168" t="str">
        <f>T("판타지 e북 &gt; 전통 무협")</f>
        <v>판타지 e북 &gt; 전통 무협</v>
      </c>
    </row>
    <row r="169" spans="1:59">
      <c r="A169" t="s">
        <v>60</v>
      </c>
      <c r="B169" s="1">
        <v>46131</v>
      </c>
      <c r="C169">
        <v>2378080442</v>
      </c>
      <c r="D169">
        <v>2378080459</v>
      </c>
      <c r="E169" t="str">
        <f>T("[e북]독보강호의 귀환 18권")</f>
        <v>[e북]독보강호의 귀환 18권</v>
      </c>
      <c r="F169">
        <v>18</v>
      </c>
      <c r="G169" t="str">
        <f>T("천우한")</f>
        <v>천우한</v>
      </c>
      <c r="J169" t="str">
        <f>T("심월")</f>
        <v>심월</v>
      </c>
      <c r="K169" t="str">
        <f>T("[e북]독보강호의 귀환")</f>
        <v>[e북]독보강호의 귀환</v>
      </c>
      <c r="L169">
        <v>3000</v>
      </c>
      <c r="M169">
        <v>0</v>
      </c>
      <c r="N169">
        <v>0</v>
      </c>
      <c r="O169">
        <v>0</v>
      </c>
      <c r="P169">
        <v>1800</v>
      </c>
      <c r="Q169">
        <v>2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1800</v>
      </c>
      <c r="AJ169">
        <v>2</v>
      </c>
      <c r="AK169">
        <v>0</v>
      </c>
      <c r="AL169">
        <v>0</v>
      </c>
      <c r="AM169">
        <v>900</v>
      </c>
      <c r="AN169">
        <v>0</v>
      </c>
      <c r="AO169">
        <v>1080</v>
      </c>
      <c r="AP169">
        <v>-108</v>
      </c>
      <c r="AQ169">
        <v>0</v>
      </c>
      <c r="AS169">
        <v>0</v>
      </c>
      <c r="AT169">
        <v>0</v>
      </c>
      <c r="AU169">
        <v>1080</v>
      </c>
      <c r="AV169">
        <v>-108</v>
      </c>
      <c r="AW169">
        <v>0</v>
      </c>
      <c r="AY169">
        <v>0</v>
      </c>
      <c r="AZ169">
        <v>0</v>
      </c>
      <c r="BA169">
        <v>1310.4000000000001</v>
      </c>
      <c r="BF169" t="str">
        <f>T("D207068")</f>
        <v>D207068</v>
      </c>
      <c r="BG169" t="str">
        <f>T("판타지 e북 &gt; 전통 무협")</f>
        <v>판타지 e북 &gt; 전통 무협</v>
      </c>
    </row>
    <row r="170" spans="1:59">
      <c r="A170" t="s">
        <v>60</v>
      </c>
      <c r="B170" s="1">
        <v>46131</v>
      </c>
      <c r="C170">
        <v>2378080442</v>
      </c>
      <c r="D170">
        <v>2378080455</v>
      </c>
      <c r="E170" t="str">
        <f>T("[e북]독보강호의 귀환 14권")</f>
        <v>[e북]독보강호의 귀환 14권</v>
      </c>
      <c r="F170">
        <v>14</v>
      </c>
      <c r="G170" t="str">
        <f>T("천우한")</f>
        <v>천우한</v>
      </c>
      <c r="J170" t="str">
        <f>T("심월")</f>
        <v>심월</v>
      </c>
      <c r="K170" t="str">
        <f>T("[e북]독보강호의 귀환")</f>
        <v>[e북]독보강호의 귀환</v>
      </c>
      <c r="L170">
        <v>3000</v>
      </c>
      <c r="M170">
        <v>0</v>
      </c>
      <c r="N170">
        <v>0</v>
      </c>
      <c r="O170">
        <v>0</v>
      </c>
      <c r="P170">
        <v>1800</v>
      </c>
      <c r="Q170">
        <v>2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1800</v>
      </c>
      <c r="AJ170">
        <v>2</v>
      </c>
      <c r="AK170">
        <v>0</v>
      </c>
      <c r="AL170">
        <v>0</v>
      </c>
      <c r="AM170">
        <v>900</v>
      </c>
      <c r="AN170">
        <v>0</v>
      </c>
      <c r="AO170">
        <v>1080</v>
      </c>
      <c r="AP170">
        <v>-108</v>
      </c>
      <c r="AQ170">
        <v>0</v>
      </c>
      <c r="AS170">
        <v>0</v>
      </c>
      <c r="AT170">
        <v>0</v>
      </c>
      <c r="AU170">
        <v>1080</v>
      </c>
      <c r="AV170">
        <v>-108</v>
      </c>
      <c r="AW170">
        <v>0</v>
      </c>
      <c r="AY170">
        <v>0</v>
      </c>
      <c r="AZ170">
        <v>0</v>
      </c>
      <c r="BA170">
        <v>1310.4000000000001</v>
      </c>
      <c r="BF170" t="str">
        <f>T("D207064")</f>
        <v>D207064</v>
      </c>
      <c r="BG170" t="str">
        <f>T("판타지 e북 &gt; 전통 무협")</f>
        <v>판타지 e북 &gt; 전통 무협</v>
      </c>
    </row>
    <row r="171" spans="1:59">
      <c r="A171" t="s">
        <v>60</v>
      </c>
      <c r="B171" s="1">
        <v>46131</v>
      </c>
      <c r="C171">
        <v>2378080442</v>
      </c>
      <c r="D171">
        <v>2378080442</v>
      </c>
      <c r="E171" t="str">
        <f>T("[e북]독보강호의 귀환 1권")</f>
        <v>[e북]독보강호의 귀환 1권</v>
      </c>
      <c r="F171">
        <v>1</v>
      </c>
      <c r="G171" t="str">
        <f>T("천우한")</f>
        <v>천우한</v>
      </c>
      <c r="J171" t="str">
        <f>T("심월")</f>
        <v>심월</v>
      </c>
      <c r="K171" t="str">
        <f>T("[e북]독보강호의 귀환")</f>
        <v>[e북]독보강호의 귀환</v>
      </c>
      <c r="L171">
        <v>0</v>
      </c>
      <c r="M171">
        <v>0</v>
      </c>
      <c r="N171">
        <v>0</v>
      </c>
      <c r="O171">
        <v>3</v>
      </c>
      <c r="P171">
        <v>0</v>
      </c>
      <c r="Q171">
        <v>0</v>
      </c>
      <c r="R171">
        <v>10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13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S171">
        <v>0</v>
      </c>
      <c r="AT171">
        <v>0</v>
      </c>
      <c r="AV171">
        <v>0</v>
      </c>
      <c r="AW171">
        <v>0</v>
      </c>
      <c r="AY171">
        <v>0</v>
      </c>
      <c r="AZ171">
        <v>0</v>
      </c>
      <c r="BA171">
        <v>0</v>
      </c>
      <c r="BF171" t="str">
        <f>T("D207051")</f>
        <v>D207051</v>
      </c>
      <c r="BG171" t="str">
        <f>T("판타지 e북 &gt; 전통 무협")</f>
        <v>판타지 e북 &gt; 전통 무협</v>
      </c>
    </row>
    <row r="172" spans="1:59">
      <c r="A172" t="s">
        <v>60</v>
      </c>
      <c r="B172" s="1">
        <v>46131</v>
      </c>
      <c r="C172">
        <v>2378080442</v>
      </c>
      <c r="D172">
        <v>2378080457</v>
      </c>
      <c r="E172" t="str">
        <f>T("[e북]독보강호의 귀환 16권")</f>
        <v>[e북]독보강호의 귀환 16권</v>
      </c>
      <c r="F172">
        <v>16</v>
      </c>
      <c r="G172" t="str">
        <f>T("천우한")</f>
        <v>천우한</v>
      </c>
      <c r="J172" t="str">
        <f>T("심월")</f>
        <v>심월</v>
      </c>
      <c r="K172" t="str">
        <f>T("[e북]독보강호의 귀환")</f>
        <v>[e북]독보강호의 귀환</v>
      </c>
      <c r="L172">
        <v>3000</v>
      </c>
      <c r="M172">
        <v>0</v>
      </c>
      <c r="N172">
        <v>0</v>
      </c>
      <c r="O172">
        <v>0</v>
      </c>
      <c r="P172">
        <v>1800</v>
      </c>
      <c r="Q172">
        <v>2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1800</v>
      </c>
      <c r="AJ172">
        <v>2</v>
      </c>
      <c r="AK172">
        <v>0</v>
      </c>
      <c r="AL172">
        <v>0</v>
      </c>
      <c r="AM172">
        <v>900</v>
      </c>
      <c r="AN172">
        <v>0</v>
      </c>
      <c r="AO172">
        <v>1080</v>
      </c>
      <c r="AP172">
        <v>-108</v>
      </c>
      <c r="AQ172">
        <v>0</v>
      </c>
      <c r="AS172">
        <v>0</v>
      </c>
      <c r="AT172">
        <v>0</v>
      </c>
      <c r="AU172">
        <v>1080</v>
      </c>
      <c r="AV172">
        <v>-108</v>
      </c>
      <c r="AW172">
        <v>0</v>
      </c>
      <c r="AY172">
        <v>0</v>
      </c>
      <c r="AZ172">
        <v>0</v>
      </c>
      <c r="BA172">
        <v>1310.4000000000001</v>
      </c>
      <c r="BF172" t="str">
        <f>T("D207066")</f>
        <v>D207066</v>
      </c>
      <c r="BG172" t="str">
        <f>T("판타지 e북 &gt; 전통 무협")</f>
        <v>판타지 e북 &gt; 전통 무협</v>
      </c>
    </row>
    <row r="173" spans="1:59">
      <c r="A173" t="s">
        <v>60</v>
      </c>
      <c r="B173" s="1">
        <v>46131</v>
      </c>
      <c r="C173">
        <v>2378080442</v>
      </c>
      <c r="D173">
        <v>2378080449</v>
      </c>
      <c r="E173" t="str">
        <f>T("[e북]독보강호의 귀환 8권")</f>
        <v>[e북]독보강호의 귀환 8권</v>
      </c>
      <c r="F173">
        <v>8</v>
      </c>
      <c r="G173" t="str">
        <f>T("천우한")</f>
        <v>천우한</v>
      </c>
      <c r="J173" t="str">
        <f>T("심월")</f>
        <v>심월</v>
      </c>
      <c r="K173" t="str">
        <f>T("[e북]독보강호의 귀환")</f>
        <v>[e북]독보강호의 귀환</v>
      </c>
      <c r="L173">
        <v>3000</v>
      </c>
      <c r="M173">
        <v>0</v>
      </c>
      <c r="N173">
        <v>0</v>
      </c>
      <c r="O173">
        <v>0</v>
      </c>
      <c r="P173">
        <v>900</v>
      </c>
      <c r="Q173">
        <v>1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900</v>
      </c>
      <c r="AJ173">
        <v>1</v>
      </c>
      <c r="AK173">
        <v>0</v>
      </c>
      <c r="AL173">
        <v>0</v>
      </c>
      <c r="AM173">
        <v>0</v>
      </c>
      <c r="AN173">
        <v>0</v>
      </c>
      <c r="AO173">
        <v>1080</v>
      </c>
      <c r="AP173">
        <v>-108</v>
      </c>
      <c r="AQ173">
        <v>0</v>
      </c>
      <c r="AS173">
        <v>0</v>
      </c>
      <c r="AT173">
        <v>0</v>
      </c>
      <c r="AU173">
        <v>1080</v>
      </c>
      <c r="AV173">
        <v>-108</v>
      </c>
      <c r="AW173">
        <v>0</v>
      </c>
      <c r="AY173">
        <v>0</v>
      </c>
      <c r="AZ173">
        <v>0</v>
      </c>
      <c r="BA173">
        <v>680.4</v>
      </c>
      <c r="BF173" t="str">
        <f>T("D207058")</f>
        <v>D207058</v>
      </c>
      <c r="BG173" t="str">
        <f>T("판타지 e북 &gt; 전통 무협")</f>
        <v>판타지 e북 &gt; 전통 무협</v>
      </c>
    </row>
    <row r="174" spans="1:59">
      <c r="A174" t="s">
        <v>60</v>
      </c>
      <c r="B174" s="1">
        <v>46131</v>
      </c>
      <c r="C174">
        <v>2378080442</v>
      </c>
      <c r="D174">
        <v>2378080458</v>
      </c>
      <c r="E174" t="str">
        <f>T("[e북]독보강호의 귀환 17권")</f>
        <v>[e북]독보강호의 귀환 17권</v>
      </c>
      <c r="F174">
        <v>17</v>
      </c>
      <c r="G174" t="str">
        <f>T("천우한")</f>
        <v>천우한</v>
      </c>
      <c r="J174" t="str">
        <f>T("심월")</f>
        <v>심월</v>
      </c>
      <c r="K174" t="str">
        <f>T("[e북]독보강호의 귀환")</f>
        <v>[e북]독보강호의 귀환</v>
      </c>
      <c r="L174">
        <v>3000</v>
      </c>
      <c r="M174">
        <v>0</v>
      </c>
      <c r="N174">
        <v>0</v>
      </c>
      <c r="O174">
        <v>0</v>
      </c>
      <c r="P174">
        <v>900</v>
      </c>
      <c r="Q174">
        <v>1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900</v>
      </c>
      <c r="AJ174">
        <v>1</v>
      </c>
      <c r="AK174">
        <v>0</v>
      </c>
      <c r="AL174">
        <v>0</v>
      </c>
      <c r="AM174">
        <v>0</v>
      </c>
      <c r="AN174">
        <v>0</v>
      </c>
      <c r="AO174">
        <v>1080</v>
      </c>
      <c r="AP174">
        <v>-108</v>
      </c>
      <c r="AQ174">
        <v>0</v>
      </c>
      <c r="AS174">
        <v>0</v>
      </c>
      <c r="AT174">
        <v>0</v>
      </c>
      <c r="AU174">
        <v>1080</v>
      </c>
      <c r="AV174">
        <v>-108</v>
      </c>
      <c r="AW174">
        <v>0</v>
      </c>
      <c r="AY174">
        <v>0</v>
      </c>
      <c r="AZ174">
        <v>0</v>
      </c>
      <c r="BA174">
        <v>680.4</v>
      </c>
      <c r="BF174" t="str">
        <f>T("D207067")</f>
        <v>D207067</v>
      </c>
      <c r="BG174" t="str">
        <f>T("판타지 e북 &gt; 전통 무협")</f>
        <v>판타지 e북 &gt; 전통 무협</v>
      </c>
    </row>
    <row r="175" spans="1:59">
      <c r="A175" t="s">
        <v>60</v>
      </c>
      <c r="B175" s="1">
        <v>46131</v>
      </c>
      <c r="C175">
        <v>2378080442</v>
      </c>
      <c r="D175">
        <v>2378080448</v>
      </c>
      <c r="E175" t="str">
        <f>T("[e북]독보강호의 귀환 7권")</f>
        <v>[e북]독보강호의 귀환 7권</v>
      </c>
      <c r="F175">
        <v>7</v>
      </c>
      <c r="G175" t="str">
        <f>T("천우한")</f>
        <v>천우한</v>
      </c>
      <c r="J175" t="str">
        <f>T("심월")</f>
        <v>심월</v>
      </c>
      <c r="K175" t="str">
        <f>T("[e북]독보강호의 귀환")</f>
        <v>[e북]독보강호의 귀환</v>
      </c>
      <c r="L175">
        <v>3000</v>
      </c>
      <c r="M175">
        <v>0</v>
      </c>
      <c r="N175">
        <v>0</v>
      </c>
      <c r="O175">
        <v>0</v>
      </c>
      <c r="P175">
        <v>900</v>
      </c>
      <c r="Q175">
        <v>1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900</v>
      </c>
      <c r="AJ175">
        <v>1</v>
      </c>
      <c r="AK175">
        <v>0</v>
      </c>
      <c r="AL175">
        <v>0</v>
      </c>
      <c r="AM175">
        <v>900</v>
      </c>
      <c r="AN175">
        <v>0</v>
      </c>
      <c r="AO175">
        <v>0</v>
      </c>
      <c r="AP175">
        <v>0</v>
      </c>
      <c r="AQ175">
        <v>0</v>
      </c>
      <c r="AS175">
        <v>0</v>
      </c>
      <c r="AT175">
        <v>0</v>
      </c>
      <c r="AV175">
        <v>0</v>
      </c>
      <c r="AW175">
        <v>0</v>
      </c>
      <c r="AY175">
        <v>0</v>
      </c>
      <c r="AZ175">
        <v>0</v>
      </c>
      <c r="BA175">
        <v>630</v>
      </c>
      <c r="BF175" t="str">
        <f>T("D207057")</f>
        <v>D207057</v>
      </c>
      <c r="BG175" t="str">
        <f>T("판타지 e북 &gt; 전통 무협")</f>
        <v>판타지 e북 &gt; 전통 무협</v>
      </c>
    </row>
    <row r="176" spans="1:59">
      <c r="A176" t="s">
        <v>60</v>
      </c>
      <c r="B176" s="1">
        <v>46131</v>
      </c>
      <c r="C176">
        <v>2378080442</v>
      </c>
      <c r="D176">
        <v>2378080456</v>
      </c>
      <c r="E176" t="str">
        <f>T("[e북]독보강호의 귀환 15권")</f>
        <v>[e북]독보강호의 귀환 15권</v>
      </c>
      <c r="F176">
        <v>15</v>
      </c>
      <c r="G176" t="str">
        <f>T("천우한")</f>
        <v>천우한</v>
      </c>
      <c r="J176" t="str">
        <f>T("심월")</f>
        <v>심월</v>
      </c>
      <c r="K176" t="str">
        <f>T("[e북]독보강호의 귀환")</f>
        <v>[e북]독보강호의 귀환</v>
      </c>
      <c r="L176">
        <v>3000</v>
      </c>
      <c r="M176">
        <v>0</v>
      </c>
      <c r="N176">
        <v>0</v>
      </c>
      <c r="O176">
        <v>0</v>
      </c>
      <c r="P176">
        <v>2700</v>
      </c>
      <c r="Q176">
        <v>3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2700</v>
      </c>
      <c r="AJ176">
        <v>3</v>
      </c>
      <c r="AK176">
        <v>0</v>
      </c>
      <c r="AL176">
        <v>0</v>
      </c>
      <c r="AM176">
        <v>1800</v>
      </c>
      <c r="AN176">
        <v>0</v>
      </c>
      <c r="AO176">
        <v>1080</v>
      </c>
      <c r="AP176">
        <v>-108</v>
      </c>
      <c r="AQ176">
        <v>0</v>
      </c>
      <c r="AS176">
        <v>0</v>
      </c>
      <c r="AT176">
        <v>0</v>
      </c>
      <c r="AU176">
        <v>1080</v>
      </c>
      <c r="AV176">
        <v>-108</v>
      </c>
      <c r="AW176">
        <v>0</v>
      </c>
      <c r="AY176">
        <v>0</v>
      </c>
      <c r="AZ176">
        <v>0</v>
      </c>
      <c r="BA176">
        <v>1940.4</v>
      </c>
      <c r="BF176" t="str">
        <f>T("D207065")</f>
        <v>D207065</v>
      </c>
      <c r="BG176" t="str">
        <f>T("판타지 e북 &gt; 전통 무협")</f>
        <v>판타지 e북 &gt; 전통 무협</v>
      </c>
    </row>
    <row r="177" spans="1:59">
      <c r="A177" t="s">
        <v>60</v>
      </c>
      <c r="B177" s="1">
        <v>46131</v>
      </c>
      <c r="C177">
        <v>2378080442</v>
      </c>
      <c r="D177">
        <v>2378080460</v>
      </c>
      <c r="E177" t="str">
        <f>T("[e북]독보강호의 귀환 19권 (완결)")</f>
        <v>[e북]독보강호의 귀환 19권 (완결)</v>
      </c>
      <c r="F177">
        <v>19</v>
      </c>
      <c r="G177" t="str">
        <f>T("천우한")</f>
        <v>천우한</v>
      </c>
      <c r="J177" t="str">
        <f>T("심월")</f>
        <v>심월</v>
      </c>
      <c r="K177" t="str">
        <f>T("[e북]독보강호의 귀환")</f>
        <v>[e북]독보강호의 귀환</v>
      </c>
      <c r="L177">
        <v>3000</v>
      </c>
      <c r="M177">
        <v>0</v>
      </c>
      <c r="N177">
        <v>0</v>
      </c>
      <c r="O177">
        <v>0</v>
      </c>
      <c r="P177">
        <v>900</v>
      </c>
      <c r="Q177">
        <v>1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900</v>
      </c>
      <c r="AJ177">
        <v>1</v>
      </c>
      <c r="AK177">
        <v>0</v>
      </c>
      <c r="AL177">
        <v>0</v>
      </c>
      <c r="AM177">
        <v>900</v>
      </c>
      <c r="AN177">
        <v>0</v>
      </c>
      <c r="AO177">
        <v>0</v>
      </c>
      <c r="AP177">
        <v>0</v>
      </c>
      <c r="AQ177">
        <v>0</v>
      </c>
      <c r="AS177">
        <v>0</v>
      </c>
      <c r="AT177">
        <v>0</v>
      </c>
      <c r="AV177">
        <v>0</v>
      </c>
      <c r="AW177">
        <v>0</v>
      </c>
      <c r="AY177">
        <v>0</v>
      </c>
      <c r="AZ177">
        <v>0</v>
      </c>
      <c r="BA177">
        <v>630</v>
      </c>
      <c r="BF177" t="str">
        <f>T("D207069")</f>
        <v>D207069</v>
      </c>
      <c r="BG177" t="str">
        <f>T("판타지 e북 &gt; 전통 무협")</f>
        <v>판타지 e북 &gt; 전통 무협</v>
      </c>
    </row>
    <row r="178" spans="1:59">
      <c r="A178" t="s">
        <v>60</v>
      </c>
      <c r="B178" s="1">
        <v>46131</v>
      </c>
      <c r="C178">
        <v>2378080442</v>
      </c>
      <c r="D178">
        <v>2378080450</v>
      </c>
      <c r="E178" t="str">
        <f>T("[e북]독보강호의 귀환 9권")</f>
        <v>[e북]독보강호의 귀환 9권</v>
      </c>
      <c r="F178">
        <v>9</v>
      </c>
      <c r="G178" t="str">
        <f>T("천우한")</f>
        <v>천우한</v>
      </c>
      <c r="J178" t="str">
        <f>T("심월")</f>
        <v>심월</v>
      </c>
      <c r="K178" t="str">
        <f>T("[e북]독보강호의 귀환")</f>
        <v>[e북]독보강호의 귀환</v>
      </c>
      <c r="L178">
        <v>3000</v>
      </c>
      <c r="M178">
        <v>0</v>
      </c>
      <c r="N178">
        <v>0</v>
      </c>
      <c r="O178">
        <v>0</v>
      </c>
      <c r="P178">
        <v>900</v>
      </c>
      <c r="Q178">
        <v>1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900</v>
      </c>
      <c r="AJ178">
        <v>1</v>
      </c>
      <c r="AK178">
        <v>0</v>
      </c>
      <c r="AL178">
        <v>0</v>
      </c>
      <c r="AM178">
        <v>0</v>
      </c>
      <c r="AN178">
        <v>0</v>
      </c>
      <c r="AO178">
        <v>1080</v>
      </c>
      <c r="AP178">
        <v>-108</v>
      </c>
      <c r="AQ178">
        <v>0</v>
      </c>
      <c r="AS178">
        <v>0</v>
      </c>
      <c r="AT178">
        <v>0</v>
      </c>
      <c r="AU178">
        <v>1080</v>
      </c>
      <c r="AV178">
        <v>-108</v>
      </c>
      <c r="AW178">
        <v>0</v>
      </c>
      <c r="AY178">
        <v>0</v>
      </c>
      <c r="AZ178">
        <v>0</v>
      </c>
      <c r="BA178">
        <v>680.4</v>
      </c>
      <c r="BF178" t="str">
        <f>T("D207059")</f>
        <v>D207059</v>
      </c>
      <c r="BG178" t="str">
        <f>T("판타지 e북 &gt; 전통 무협")</f>
        <v>판타지 e북 &gt; 전통 무협</v>
      </c>
    </row>
    <row r="179" spans="1:59">
      <c r="A179" t="s">
        <v>60</v>
      </c>
      <c r="B179" s="1">
        <v>46131</v>
      </c>
      <c r="C179">
        <v>2378080442</v>
      </c>
      <c r="D179">
        <v>2378080445</v>
      </c>
      <c r="E179" t="str">
        <f>T("[e북]독보강호의 귀환 4권")</f>
        <v>[e북]독보강호의 귀환 4권</v>
      </c>
      <c r="F179">
        <v>4</v>
      </c>
      <c r="G179" t="str">
        <f>T("천우한")</f>
        <v>천우한</v>
      </c>
      <c r="J179" t="str">
        <f>T("심월")</f>
        <v>심월</v>
      </c>
      <c r="K179" t="str">
        <f>T("[e북]독보강호의 귀환")</f>
        <v>[e북]독보강호의 귀환</v>
      </c>
      <c r="L179">
        <v>3000</v>
      </c>
      <c r="M179">
        <v>0</v>
      </c>
      <c r="N179">
        <v>0</v>
      </c>
      <c r="O179">
        <v>0</v>
      </c>
      <c r="P179">
        <v>1800</v>
      </c>
      <c r="Q179">
        <v>2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1800</v>
      </c>
      <c r="AJ179">
        <v>2</v>
      </c>
      <c r="AK179">
        <v>0</v>
      </c>
      <c r="AL179">
        <v>0</v>
      </c>
      <c r="AM179">
        <v>0</v>
      </c>
      <c r="AN179">
        <v>0</v>
      </c>
      <c r="AO179">
        <v>2160</v>
      </c>
      <c r="AP179">
        <v>-216</v>
      </c>
      <c r="AQ179">
        <v>0</v>
      </c>
      <c r="AS179">
        <v>0</v>
      </c>
      <c r="AT179">
        <v>0</v>
      </c>
      <c r="AU179">
        <v>2160</v>
      </c>
      <c r="AV179">
        <v>-216</v>
      </c>
      <c r="AW179">
        <v>0</v>
      </c>
      <c r="AY179">
        <v>0</v>
      </c>
      <c r="AZ179">
        <v>0</v>
      </c>
      <c r="BA179">
        <v>1360.8</v>
      </c>
      <c r="BF179" t="str">
        <f>T("D207054")</f>
        <v>D207054</v>
      </c>
      <c r="BG179" t="str">
        <f>T("판타지 e북 &gt; 전통 무협")</f>
        <v>판타지 e북 &gt; 전통 무협</v>
      </c>
    </row>
    <row r="180" spans="1:59">
      <c r="A180" t="s">
        <v>60</v>
      </c>
      <c r="B180" s="1">
        <v>46131</v>
      </c>
      <c r="C180">
        <v>2378080442</v>
      </c>
      <c r="D180">
        <v>2378080443</v>
      </c>
      <c r="E180" t="str">
        <f>T("[e북]독보강호의 귀환 2권")</f>
        <v>[e북]독보강호의 귀환 2권</v>
      </c>
      <c r="F180">
        <v>2</v>
      </c>
      <c r="G180" t="str">
        <f>T("천우한")</f>
        <v>천우한</v>
      </c>
      <c r="J180" t="str">
        <f>T("심월")</f>
        <v>심월</v>
      </c>
      <c r="K180" t="str">
        <f>T("[e북]독보강호의 귀환")</f>
        <v>[e북]독보강호의 귀환</v>
      </c>
      <c r="L180">
        <v>3000</v>
      </c>
      <c r="M180">
        <v>0</v>
      </c>
      <c r="N180">
        <v>0</v>
      </c>
      <c r="O180">
        <v>0</v>
      </c>
      <c r="P180">
        <v>1800</v>
      </c>
      <c r="Q180">
        <v>2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1800</v>
      </c>
      <c r="AJ180">
        <v>2</v>
      </c>
      <c r="AK180">
        <v>0</v>
      </c>
      <c r="AL180">
        <v>0</v>
      </c>
      <c r="AM180">
        <v>900</v>
      </c>
      <c r="AN180">
        <v>0</v>
      </c>
      <c r="AO180">
        <v>1080</v>
      </c>
      <c r="AP180">
        <v>-108</v>
      </c>
      <c r="AQ180">
        <v>0</v>
      </c>
      <c r="AS180">
        <v>0</v>
      </c>
      <c r="AT180">
        <v>0</v>
      </c>
      <c r="AU180">
        <v>1080</v>
      </c>
      <c r="AV180">
        <v>-108</v>
      </c>
      <c r="AW180">
        <v>0</v>
      </c>
      <c r="AY180">
        <v>0</v>
      </c>
      <c r="AZ180">
        <v>0</v>
      </c>
      <c r="BA180">
        <v>1310.4000000000001</v>
      </c>
      <c r="BF180" t="str">
        <f>T("D207052")</f>
        <v>D207052</v>
      </c>
      <c r="BG180" t="str">
        <f>T("판타지 e북 &gt; 전통 무협")</f>
        <v>판타지 e북 &gt; 전통 무협</v>
      </c>
    </row>
    <row r="181" spans="1:59">
      <c r="A181" t="s">
        <v>60</v>
      </c>
      <c r="B181" s="1">
        <v>46131</v>
      </c>
      <c r="C181">
        <v>2378080442</v>
      </c>
      <c r="D181">
        <v>2378080444</v>
      </c>
      <c r="E181" t="str">
        <f>T("[e북]독보강호의 귀환 3권")</f>
        <v>[e북]독보강호의 귀환 3권</v>
      </c>
      <c r="F181">
        <v>3</v>
      </c>
      <c r="G181" t="str">
        <f>T("천우한")</f>
        <v>천우한</v>
      </c>
      <c r="J181" t="str">
        <f>T("심월")</f>
        <v>심월</v>
      </c>
      <c r="K181" t="str">
        <f>T("[e북]독보강호의 귀환")</f>
        <v>[e북]독보강호의 귀환</v>
      </c>
      <c r="L181">
        <v>3000</v>
      </c>
      <c r="M181">
        <v>0</v>
      </c>
      <c r="N181">
        <v>0</v>
      </c>
      <c r="O181">
        <v>0</v>
      </c>
      <c r="P181">
        <v>900</v>
      </c>
      <c r="Q181">
        <v>1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900</v>
      </c>
      <c r="AJ181">
        <v>1</v>
      </c>
      <c r="AK181">
        <v>0</v>
      </c>
      <c r="AL181">
        <v>0</v>
      </c>
      <c r="AM181">
        <v>900</v>
      </c>
      <c r="AN181">
        <v>0</v>
      </c>
      <c r="AO181">
        <v>0</v>
      </c>
      <c r="AP181">
        <v>0</v>
      </c>
      <c r="AQ181">
        <v>0</v>
      </c>
      <c r="AS181">
        <v>0</v>
      </c>
      <c r="AT181">
        <v>0</v>
      </c>
      <c r="AV181">
        <v>0</v>
      </c>
      <c r="AW181">
        <v>0</v>
      </c>
      <c r="AY181">
        <v>0</v>
      </c>
      <c r="AZ181">
        <v>0</v>
      </c>
      <c r="BA181">
        <v>630</v>
      </c>
      <c r="BF181" t="str">
        <f>T("D207053")</f>
        <v>D207053</v>
      </c>
      <c r="BG181" t="str">
        <f>T("판타지 e북 &gt; 전통 무협")</f>
        <v>판타지 e북 &gt; 전통 무협</v>
      </c>
    </row>
    <row r="182" spans="1:59">
      <c r="A182" t="s">
        <v>60</v>
      </c>
      <c r="B182" s="1">
        <v>46131</v>
      </c>
      <c r="C182">
        <v>2378009720</v>
      </c>
      <c r="D182">
        <v>2378009721</v>
      </c>
      <c r="E182" t="str">
        <f>T("[e북][체험판] 독을 집어삼키다")</f>
        <v>[e북][체험판] 독을 집어삼키다</v>
      </c>
      <c r="F182">
        <v>1</v>
      </c>
      <c r="G182" t="str">
        <f>T("원수정")</f>
        <v>원수정</v>
      </c>
      <c r="J182" t="str">
        <f>T("시계토끼")</f>
        <v>시계토끼</v>
      </c>
      <c r="K182" t="str">
        <f>T("[e북]독을 집어삼키다")</f>
        <v>[e북]독을 집어삼키다</v>
      </c>
      <c r="L182">
        <v>0</v>
      </c>
      <c r="M182">
        <v>0</v>
      </c>
      <c r="N182">
        <v>0</v>
      </c>
      <c r="O182">
        <v>1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1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S182">
        <v>0</v>
      </c>
      <c r="AT182">
        <v>0</v>
      </c>
      <c r="AV182">
        <v>0</v>
      </c>
      <c r="AW182">
        <v>0</v>
      </c>
      <c r="AY182">
        <v>0</v>
      </c>
      <c r="AZ182">
        <v>0</v>
      </c>
      <c r="BA182">
        <v>0</v>
      </c>
      <c r="BC182" t="str">
        <f>T("0000000000000")</f>
        <v>0000000000000</v>
      </c>
      <c r="BE182" t="str">
        <f>T("9791164091331")</f>
        <v>9791164091331</v>
      </c>
      <c r="BF182" t="str">
        <f>T("E463254")</f>
        <v>E463254</v>
      </c>
      <c r="BG182" t="str">
        <f>T("로판 e북 &gt; 서양풍 로판")</f>
        <v>로판 e북 &gt; 서양풍 로판</v>
      </c>
    </row>
    <row r="183" spans="1:59">
      <c r="A183" t="s">
        <v>60</v>
      </c>
      <c r="B183" s="1">
        <v>46131</v>
      </c>
      <c r="C183">
        <v>2378077932</v>
      </c>
      <c r="D183">
        <v>2378081086</v>
      </c>
      <c r="E183" t="str">
        <f>T("[e북]디어 스트로베리 (특별외전)")</f>
        <v>[e북]디어 스트로베리 (특별외전)</v>
      </c>
      <c r="F183">
        <v>4</v>
      </c>
      <c r="G183" t="str">
        <f>T("문스톤")</f>
        <v>문스톤</v>
      </c>
      <c r="J183" t="str">
        <f>T("하트퀸")</f>
        <v>하트퀸</v>
      </c>
      <c r="K183" t="str">
        <f>T("[e북]디어 스트로베리")</f>
        <v>[e북]디어 스트로베리</v>
      </c>
      <c r="L183">
        <v>800</v>
      </c>
      <c r="M183">
        <v>800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800</v>
      </c>
      <c r="AJ183">
        <v>1</v>
      </c>
      <c r="AK183">
        <v>0</v>
      </c>
      <c r="AL183">
        <v>0</v>
      </c>
      <c r="AM183">
        <v>800</v>
      </c>
      <c r="AN183">
        <v>0</v>
      </c>
      <c r="AO183">
        <v>0</v>
      </c>
      <c r="AP183">
        <v>0</v>
      </c>
      <c r="AQ183">
        <v>0</v>
      </c>
      <c r="AS183">
        <v>0</v>
      </c>
      <c r="AT183">
        <v>0</v>
      </c>
      <c r="AV183">
        <v>0</v>
      </c>
      <c r="AW183">
        <v>0</v>
      </c>
      <c r="AY183">
        <v>0</v>
      </c>
      <c r="AZ183">
        <v>0</v>
      </c>
      <c r="BA183">
        <v>560</v>
      </c>
      <c r="BF183" t="str">
        <f>T("D220171")</f>
        <v>D220171</v>
      </c>
      <c r="BG183" t="str">
        <f>T("로맨스 e북 &gt; 현대물")</f>
        <v>로맨스 e북 &gt; 현대물</v>
      </c>
    </row>
    <row r="184" spans="1:59">
      <c r="A184" t="s">
        <v>60</v>
      </c>
      <c r="B184" s="1">
        <v>46131</v>
      </c>
      <c r="C184">
        <v>2378077928</v>
      </c>
      <c r="D184">
        <v>2378077929</v>
      </c>
      <c r="E184" t="str">
        <f>T("[e북]때려 줘, 도망가지 말고 2권 (완결)")</f>
        <v>[e북]때려 줘, 도망가지 말고 2권 (완결)</v>
      </c>
      <c r="F184">
        <v>2</v>
      </c>
      <c r="G184" t="str">
        <f>T("흑진주7")</f>
        <v>흑진주7</v>
      </c>
      <c r="J184" t="str">
        <f>T("하트퀸")</f>
        <v>하트퀸</v>
      </c>
      <c r="K184" t="str">
        <f>T("[e북]때려 줘, 도망가지 말고")</f>
        <v>[e북]때려 줘, 도망가지 말고</v>
      </c>
      <c r="L184">
        <v>3000</v>
      </c>
      <c r="M184">
        <v>3000</v>
      </c>
      <c r="N184">
        <v>1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3000</v>
      </c>
      <c r="AJ184">
        <v>1</v>
      </c>
      <c r="AK184">
        <v>0</v>
      </c>
      <c r="AL184">
        <v>0</v>
      </c>
      <c r="AM184">
        <v>3000</v>
      </c>
      <c r="AN184">
        <v>0</v>
      </c>
      <c r="AO184">
        <v>0</v>
      </c>
      <c r="AP184">
        <v>0</v>
      </c>
      <c r="AQ184">
        <v>0</v>
      </c>
      <c r="AS184">
        <v>0</v>
      </c>
      <c r="AT184">
        <v>0</v>
      </c>
      <c r="AV184">
        <v>0</v>
      </c>
      <c r="AW184">
        <v>0</v>
      </c>
      <c r="AY184">
        <v>0</v>
      </c>
      <c r="AZ184">
        <v>0</v>
      </c>
      <c r="BA184">
        <v>2100</v>
      </c>
      <c r="BE184" t="str">
        <f>T("9791171502912")</f>
        <v>9791171502912</v>
      </c>
      <c r="BF184" t="str">
        <f>T("D112349")</f>
        <v>D112349</v>
      </c>
      <c r="BG184" t="str">
        <f>T("로맨스 e북 &gt; 현대물")</f>
        <v>로맨스 e북 &gt; 현대물</v>
      </c>
    </row>
    <row r="185" spans="1:59">
      <c r="A185" t="s">
        <v>60</v>
      </c>
      <c r="B185" s="1">
        <v>46129</v>
      </c>
      <c r="C185">
        <v>2378080416</v>
      </c>
      <c r="D185">
        <v>2378080416</v>
      </c>
      <c r="E185" t="str">
        <f>T("[e북]레이디 가넷의 나쁜 스캔들 활용법 1권")</f>
        <v>[e북]레이디 가넷의 나쁜 스캔들 활용법 1권</v>
      </c>
      <c r="F185">
        <v>1</v>
      </c>
      <c r="G185" t="str">
        <f>T("목화커피")</f>
        <v>목화커피</v>
      </c>
      <c r="J185" t="str">
        <f>T("시계토끼")</f>
        <v>시계토끼</v>
      </c>
      <c r="K185" t="str">
        <f>T("[e북]레이디 가넷의 나쁜 스캔들 활용법")</f>
        <v>[e북]레이디 가넷의 나쁜 스캔들 활용법</v>
      </c>
      <c r="L185">
        <v>3000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13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13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S185">
        <v>0</v>
      </c>
      <c r="AT185">
        <v>0</v>
      </c>
      <c r="AV185">
        <v>0</v>
      </c>
      <c r="AW185">
        <v>0</v>
      </c>
      <c r="AY185">
        <v>0</v>
      </c>
      <c r="AZ185">
        <v>0</v>
      </c>
      <c r="BA185">
        <v>0</v>
      </c>
      <c r="BF185" t="str">
        <f>T("D222674")</f>
        <v>D222674</v>
      </c>
      <c r="BG185" t="str">
        <f>T("로판 e북 &gt; 서양풍 로판")</f>
        <v>로판 e북 &gt; 서양풍 로판</v>
      </c>
    </row>
    <row r="186" spans="1:59">
      <c r="A186" t="s">
        <v>60</v>
      </c>
      <c r="B186" s="1">
        <v>46130</v>
      </c>
      <c r="C186">
        <v>2378080416</v>
      </c>
      <c r="D186">
        <v>2378080416</v>
      </c>
      <c r="E186" t="str">
        <f>T("[e북]레이디 가넷의 나쁜 스캔들 활용법 1권")</f>
        <v>[e북]레이디 가넷의 나쁜 스캔들 활용법 1권</v>
      </c>
      <c r="F186">
        <v>1</v>
      </c>
      <c r="G186" t="str">
        <f>T("목화커피")</f>
        <v>목화커피</v>
      </c>
      <c r="J186" t="str">
        <f>T("시계토끼")</f>
        <v>시계토끼</v>
      </c>
      <c r="K186" t="str">
        <f>T("[e북]레이디 가넷의 나쁜 스캔들 활용법")</f>
        <v>[e북]레이디 가넷의 나쁜 스캔들 활용법</v>
      </c>
      <c r="L186">
        <v>3000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4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4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S186">
        <v>0</v>
      </c>
      <c r="AT186">
        <v>0</v>
      </c>
      <c r="AV186">
        <v>0</v>
      </c>
      <c r="AW186">
        <v>0</v>
      </c>
      <c r="AY186">
        <v>0</v>
      </c>
      <c r="AZ186">
        <v>0</v>
      </c>
      <c r="BA186">
        <v>0</v>
      </c>
      <c r="BF186" t="str">
        <f>T("D222674")</f>
        <v>D222674</v>
      </c>
      <c r="BG186" t="str">
        <f>T("로판 e북 &gt; 서양풍 로판")</f>
        <v>로판 e북 &gt; 서양풍 로판</v>
      </c>
    </row>
    <row r="187" spans="1:59">
      <c r="A187" t="s">
        <v>60</v>
      </c>
      <c r="B187" s="1">
        <v>46131</v>
      </c>
      <c r="C187">
        <v>2378080416</v>
      </c>
      <c r="D187">
        <v>2378080416</v>
      </c>
      <c r="E187" t="str">
        <f>T("[e북]레이디 가넷의 나쁜 스캔들 활용법 1권")</f>
        <v>[e북]레이디 가넷의 나쁜 스캔들 활용법 1권</v>
      </c>
      <c r="F187">
        <v>1</v>
      </c>
      <c r="G187" t="str">
        <f>T("목화커피")</f>
        <v>목화커피</v>
      </c>
      <c r="J187" t="str">
        <f>T("시계토끼")</f>
        <v>시계토끼</v>
      </c>
      <c r="K187" t="str">
        <f>T("[e북]레이디 가넷의 나쁜 스캔들 활용법")</f>
        <v>[e북]레이디 가넷의 나쁜 스캔들 활용법</v>
      </c>
      <c r="L187">
        <v>3000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6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6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S187">
        <v>0</v>
      </c>
      <c r="AT187">
        <v>0</v>
      </c>
      <c r="AV187">
        <v>0</v>
      </c>
      <c r="AW187">
        <v>0</v>
      </c>
      <c r="AY187">
        <v>0</v>
      </c>
      <c r="AZ187">
        <v>0</v>
      </c>
      <c r="BA187">
        <v>0</v>
      </c>
      <c r="BF187" t="str">
        <f>T("D222674")</f>
        <v>D222674</v>
      </c>
      <c r="BG187" t="str">
        <f>T("로판 e북 &gt; 서양풍 로판")</f>
        <v>로판 e북 &gt; 서양풍 로판</v>
      </c>
    </row>
    <row r="188" spans="1:59">
      <c r="A188" t="s">
        <v>60</v>
      </c>
      <c r="B188" s="1">
        <v>46130</v>
      </c>
      <c r="C188">
        <v>2378064781</v>
      </c>
      <c r="D188">
        <v>2378078387</v>
      </c>
      <c r="E188" t="str">
        <f>T("[e북]리턴 투 베이스 (외전)")</f>
        <v>[e북]리턴 투 베이스 (외전)</v>
      </c>
      <c r="F188">
        <v>3</v>
      </c>
      <c r="G188" t="str">
        <f>T("반올림")</f>
        <v>반올림</v>
      </c>
      <c r="J188" t="str">
        <f>T("하트퀸")</f>
        <v>하트퀸</v>
      </c>
      <c r="K188" t="str">
        <f>T("[e북]리턴 투 베이스")</f>
        <v>[e북]리턴 투 베이스</v>
      </c>
      <c r="L188">
        <v>600</v>
      </c>
      <c r="M188">
        <v>600</v>
      </c>
      <c r="N188">
        <v>1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600</v>
      </c>
      <c r="AJ188">
        <v>1</v>
      </c>
      <c r="AK188">
        <v>0</v>
      </c>
      <c r="AL188">
        <v>0</v>
      </c>
      <c r="AM188">
        <v>600</v>
      </c>
      <c r="AN188">
        <v>0</v>
      </c>
      <c r="AO188">
        <v>0</v>
      </c>
      <c r="AP188">
        <v>0</v>
      </c>
      <c r="AQ188">
        <v>0</v>
      </c>
      <c r="AS188">
        <v>0</v>
      </c>
      <c r="AT188">
        <v>0</v>
      </c>
      <c r="AV188">
        <v>0</v>
      </c>
      <c r="AW188">
        <v>0</v>
      </c>
      <c r="AY188">
        <v>0</v>
      </c>
      <c r="AZ188">
        <v>0</v>
      </c>
      <c r="BA188">
        <v>420</v>
      </c>
      <c r="BE188" t="str">
        <f>T("9791171502998")</f>
        <v>9791171502998</v>
      </c>
      <c r="BF188" t="str">
        <f>T("D147881")</f>
        <v>D147881</v>
      </c>
      <c r="BG188" t="str">
        <f>T("로맨스 e북 &gt; 현대물")</f>
        <v>로맨스 e북 &gt; 현대물</v>
      </c>
    </row>
    <row r="189" spans="1:59">
      <c r="A189" t="s">
        <v>60</v>
      </c>
      <c r="B189" s="1">
        <v>46129</v>
      </c>
      <c r="C189">
        <v>2378073583</v>
      </c>
      <c r="D189">
        <v>2378073583</v>
      </c>
      <c r="E189" t="str">
        <f>T("[e북]마법소녀였는데, 퇴마합니다! 1권")</f>
        <v>[e북]마법소녀였는데, 퇴마합니다! 1권</v>
      </c>
      <c r="F189">
        <v>1</v>
      </c>
      <c r="G189" t="str">
        <f>T("괭잩낛")</f>
        <v>괭잩낛</v>
      </c>
      <c r="J189" t="str">
        <f>T("매드햇")</f>
        <v>매드햇</v>
      </c>
      <c r="K189" t="str">
        <f>T("[e북]마법소녀였는데, 퇴마합니다!")</f>
        <v>[e북]마법소녀였는데, 퇴마합니다!</v>
      </c>
      <c r="L189">
        <v>0</v>
      </c>
      <c r="M189">
        <v>0</v>
      </c>
      <c r="N189">
        <v>0</v>
      </c>
      <c r="O189">
        <v>2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2</v>
      </c>
      <c r="AK189">
        <v>0</v>
      </c>
      <c r="AL189">
        <v>1</v>
      </c>
      <c r="AM189">
        <v>0</v>
      </c>
      <c r="AN189">
        <v>0</v>
      </c>
      <c r="AO189">
        <v>0</v>
      </c>
      <c r="AP189">
        <v>0</v>
      </c>
      <c r="AQ189">
        <v>0</v>
      </c>
      <c r="AS189">
        <v>0</v>
      </c>
      <c r="AT189">
        <v>0</v>
      </c>
      <c r="AV189">
        <v>0</v>
      </c>
      <c r="AW189">
        <v>0</v>
      </c>
      <c r="AY189">
        <v>0</v>
      </c>
      <c r="AZ189">
        <v>0</v>
      </c>
      <c r="BA189">
        <v>0</v>
      </c>
      <c r="BE189" t="str">
        <f>T("9791137022652")</f>
        <v>9791137022652</v>
      </c>
      <c r="BF189" t="str">
        <f>T("B036489")</f>
        <v>B036489</v>
      </c>
      <c r="BG189" t="str">
        <f>T("판타지 e북 &gt; 퓨전 판타지")</f>
        <v>판타지 e북 &gt; 퓨전 판타지</v>
      </c>
    </row>
    <row r="190" spans="1:59">
      <c r="A190" t="s">
        <v>60</v>
      </c>
      <c r="B190" s="1">
        <v>46129</v>
      </c>
      <c r="C190">
        <v>2378073583</v>
      </c>
      <c r="D190">
        <v>2378073584</v>
      </c>
      <c r="E190" t="str">
        <f>T("[e북]마법소녀였는데, 퇴마합니다! 2권")</f>
        <v>[e북]마법소녀였는데, 퇴마합니다! 2권</v>
      </c>
      <c r="F190">
        <v>2</v>
      </c>
      <c r="G190" t="str">
        <f>T("괭잩낛")</f>
        <v>괭잩낛</v>
      </c>
      <c r="J190" t="str">
        <f>T("매드햇")</f>
        <v>매드햇</v>
      </c>
      <c r="K190" t="str">
        <f>T("[e북]마법소녀였는데, 퇴마합니다!")</f>
        <v>[e북]마법소녀였는데, 퇴마합니다!</v>
      </c>
      <c r="L190">
        <v>3000</v>
      </c>
      <c r="M190">
        <v>3000</v>
      </c>
      <c r="N190">
        <v>1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-3000</v>
      </c>
      <c r="Z190">
        <v>1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3000</v>
      </c>
      <c r="AJ190">
        <v>1</v>
      </c>
      <c r="AK190">
        <v>-3000</v>
      </c>
      <c r="AL190">
        <v>1</v>
      </c>
      <c r="AM190">
        <v>3000</v>
      </c>
      <c r="AN190">
        <v>-3000</v>
      </c>
      <c r="AO190">
        <v>0</v>
      </c>
      <c r="AP190">
        <v>0</v>
      </c>
      <c r="AQ190">
        <v>0</v>
      </c>
      <c r="AS190">
        <v>0</v>
      </c>
      <c r="AT190">
        <v>0</v>
      </c>
      <c r="AV190">
        <v>0</v>
      </c>
      <c r="AW190">
        <v>0</v>
      </c>
      <c r="AY190">
        <v>0</v>
      </c>
      <c r="AZ190">
        <v>0</v>
      </c>
      <c r="BA190">
        <v>0</v>
      </c>
      <c r="BE190" t="str">
        <f>T("9791137022669")</f>
        <v>9791137022669</v>
      </c>
      <c r="BF190" t="str">
        <f>T("B036490")</f>
        <v>B036490</v>
      </c>
      <c r="BG190" t="str">
        <f>T("판타지 e북 &gt; 퓨전 판타지")</f>
        <v>판타지 e북 &gt; 퓨전 판타지</v>
      </c>
    </row>
    <row r="191" spans="1:59">
      <c r="A191" t="s">
        <v>60</v>
      </c>
      <c r="B191" s="1">
        <v>46129</v>
      </c>
      <c r="C191">
        <v>2378073583</v>
      </c>
      <c r="D191">
        <v>2378073585</v>
      </c>
      <c r="E191" t="str">
        <f>T("[e북]마법소녀였는데, 퇴마합니다! 3권")</f>
        <v>[e북]마법소녀였는데, 퇴마합니다! 3권</v>
      </c>
      <c r="F191">
        <v>3</v>
      </c>
      <c r="G191" t="str">
        <f>T("괭잩낛")</f>
        <v>괭잩낛</v>
      </c>
      <c r="J191" t="str">
        <f>T("매드햇")</f>
        <v>매드햇</v>
      </c>
      <c r="K191" t="str">
        <f>T("[e북]마법소녀였는데, 퇴마합니다!")</f>
        <v>[e북]마법소녀였는데, 퇴마합니다!</v>
      </c>
      <c r="L191">
        <v>3000</v>
      </c>
      <c r="M191">
        <v>3000</v>
      </c>
      <c r="N191">
        <v>1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-3000</v>
      </c>
      <c r="Z191">
        <v>1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3000</v>
      </c>
      <c r="AJ191">
        <v>1</v>
      </c>
      <c r="AK191">
        <v>-3000</v>
      </c>
      <c r="AL191">
        <v>1</v>
      </c>
      <c r="AM191">
        <v>3000</v>
      </c>
      <c r="AN191">
        <v>-3000</v>
      </c>
      <c r="AO191">
        <v>0</v>
      </c>
      <c r="AP191">
        <v>0</v>
      </c>
      <c r="AQ191">
        <v>0</v>
      </c>
      <c r="AS191">
        <v>0</v>
      </c>
      <c r="AT191">
        <v>0</v>
      </c>
      <c r="AV191">
        <v>0</v>
      </c>
      <c r="AW191">
        <v>0</v>
      </c>
      <c r="AY191">
        <v>0</v>
      </c>
      <c r="AZ191">
        <v>0</v>
      </c>
      <c r="BA191">
        <v>0</v>
      </c>
      <c r="BE191" t="str">
        <f>T("9791137022676")</f>
        <v>9791137022676</v>
      </c>
      <c r="BF191" t="str">
        <f>T("B036491")</f>
        <v>B036491</v>
      </c>
      <c r="BG191" t="str">
        <f>T("판타지 e북 &gt; 퓨전 판타지")</f>
        <v>판타지 e북 &gt; 퓨전 판타지</v>
      </c>
    </row>
    <row r="192" spans="1:59">
      <c r="A192" t="s">
        <v>60</v>
      </c>
      <c r="B192" s="1">
        <v>46129</v>
      </c>
      <c r="C192">
        <v>2378073583</v>
      </c>
      <c r="D192">
        <v>2378073586</v>
      </c>
      <c r="E192" t="str">
        <f>T("[e북]마법소녀였는데, 퇴마합니다! 4권")</f>
        <v>[e북]마법소녀였는데, 퇴마합니다! 4권</v>
      </c>
      <c r="F192">
        <v>4</v>
      </c>
      <c r="G192" t="str">
        <f>T("괭잩낛")</f>
        <v>괭잩낛</v>
      </c>
      <c r="J192" t="str">
        <f>T("매드햇")</f>
        <v>매드햇</v>
      </c>
      <c r="K192" t="str">
        <f>T("[e북]마법소녀였는데, 퇴마합니다!")</f>
        <v>[e북]마법소녀였는데, 퇴마합니다!</v>
      </c>
      <c r="L192">
        <v>3000</v>
      </c>
      <c r="M192">
        <v>3000</v>
      </c>
      <c r="N192">
        <v>1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-3000</v>
      </c>
      <c r="Z192">
        <v>1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3000</v>
      </c>
      <c r="AJ192">
        <v>1</v>
      </c>
      <c r="AK192">
        <v>-3000</v>
      </c>
      <c r="AL192">
        <v>1</v>
      </c>
      <c r="AM192">
        <v>3000</v>
      </c>
      <c r="AN192">
        <v>-3000</v>
      </c>
      <c r="AO192">
        <v>0</v>
      </c>
      <c r="AP192">
        <v>0</v>
      </c>
      <c r="AQ192">
        <v>0</v>
      </c>
      <c r="AS192">
        <v>0</v>
      </c>
      <c r="AT192">
        <v>0</v>
      </c>
      <c r="AV192">
        <v>0</v>
      </c>
      <c r="AW192">
        <v>0</v>
      </c>
      <c r="AY192">
        <v>0</v>
      </c>
      <c r="AZ192">
        <v>0</v>
      </c>
      <c r="BA192">
        <v>0</v>
      </c>
      <c r="BE192" t="str">
        <f>T("9791137022683")</f>
        <v>9791137022683</v>
      </c>
      <c r="BF192" t="str">
        <f>T("B036492")</f>
        <v>B036492</v>
      </c>
      <c r="BG192" t="str">
        <f>T("판타지 e북 &gt; 퓨전 판타지")</f>
        <v>판타지 e북 &gt; 퓨전 판타지</v>
      </c>
    </row>
    <row r="193" spans="1:59">
      <c r="A193" t="s">
        <v>60</v>
      </c>
      <c r="B193" s="1">
        <v>46129</v>
      </c>
      <c r="C193">
        <v>2378073583</v>
      </c>
      <c r="D193">
        <v>2378073587</v>
      </c>
      <c r="E193" t="str">
        <f>T("[e북]마법소녀였는데, 퇴마합니다! 5권")</f>
        <v>[e북]마법소녀였는데, 퇴마합니다! 5권</v>
      </c>
      <c r="F193">
        <v>5</v>
      </c>
      <c r="G193" t="str">
        <f>T("괭잩낛")</f>
        <v>괭잩낛</v>
      </c>
      <c r="J193" t="str">
        <f>T("매드햇")</f>
        <v>매드햇</v>
      </c>
      <c r="K193" t="str">
        <f>T("[e북]마법소녀였는데, 퇴마합니다!")</f>
        <v>[e북]마법소녀였는데, 퇴마합니다!</v>
      </c>
      <c r="L193">
        <v>3000</v>
      </c>
      <c r="M193">
        <v>3000</v>
      </c>
      <c r="N193">
        <v>1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-3000</v>
      </c>
      <c r="Z193">
        <v>1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3000</v>
      </c>
      <c r="AJ193">
        <v>1</v>
      </c>
      <c r="AK193">
        <v>-3000</v>
      </c>
      <c r="AL193">
        <v>1</v>
      </c>
      <c r="AM193">
        <v>3000</v>
      </c>
      <c r="AN193">
        <v>-3000</v>
      </c>
      <c r="AO193">
        <v>0</v>
      </c>
      <c r="AP193">
        <v>0</v>
      </c>
      <c r="AQ193">
        <v>0</v>
      </c>
      <c r="AS193">
        <v>0</v>
      </c>
      <c r="AT193">
        <v>0</v>
      </c>
      <c r="AV193">
        <v>0</v>
      </c>
      <c r="AW193">
        <v>0</v>
      </c>
      <c r="AY193">
        <v>0</v>
      </c>
      <c r="AZ193">
        <v>0</v>
      </c>
      <c r="BA193">
        <v>0</v>
      </c>
      <c r="BE193" t="str">
        <f>T("9791137022690")</f>
        <v>9791137022690</v>
      </c>
      <c r="BF193" t="str">
        <f>T("B036493")</f>
        <v>B036493</v>
      </c>
      <c r="BG193" t="str">
        <f>T("판타지 e북 &gt; 퓨전 판타지")</f>
        <v>판타지 e북 &gt; 퓨전 판타지</v>
      </c>
    </row>
    <row r="194" spans="1:59">
      <c r="A194" t="s">
        <v>60</v>
      </c>
      <c r="B194" s="1">
        <v>46130</v>
      </c>
      <c r="C194">
        <v>2378073583</v>
      </c>
      <c r="D194">
        <v>2378073583</v>
      </c>
      <c r="E194" t="str">
        <f>T("[e북]마법소녀였는데, 퇴마합니다! 1권")</f>
        <v>[e북]마법소녀였는데, 퇴마합니다! 1권</v>
      </c>
      <c r="F194">
        <v>1</v>
      </c>
      <c r="G194" t="str">
        <f>T("괭잩낛")</f>
        <v>괭잩낛</v>
      </c>
      <c r="J194" t="str">
        <f>T("매드햇")</f>
        <v>매드햇</v>
      </c>
      <c r="K194" t="str">
        <f>T("[e북]마법소녀였는데, 퇴마합니다!")</f>
        <v>[e북]마법소녀였는데, 퇴마합니다!</v>
      </c>
      <c r="L194">
        <v>0</v>
      </c>
      <c r="M194">
        <v>0</v>
      </c>
      <c r="N194">
        <v>0</v>
      </c>
      <c r="O194">
        <v>1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1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S194">
        <v>0</v>
      </c>
      <c r="AT194">
        <v>0</v>
      </c>
      <c r="AV194">
        <v>0</v>
      </c>
      <c r="AW194">
        <v>0</v>
      </c>
      <c r="AY194">
        <v>0</v>
      </c>
      <c r="AZ194">
        <v>0</v>
      </c>
      <c r="BA194">
        <v>0</v>
      </c>
      <c r="BE194" t="str">
        <f>T("9791137022652")</f>
        <v>9791137022652</v>
      </c>
      <c r="BF194" t="str">
        <f>T("B036489")</f>
        <v>B036489</v>
      </c>
      <c r="BG194" t="str">
        <f>T("판타지 e북 &gt; 퓨전 판타지")</f>
        <v>판타지 e북 &gt; 퓨전 판타지</v>
      </c>
    </row>
    <row r="195" spans="1:59">
      <c r="A195" t="s">
        <v>60</v>
      </c>
      <c r="B195" s="1">
        <v>46131</v>
      </c>
      <c r="C195">
        <v>2378073583</v>
      </c>
      <c r="D195">
        <v>2378073583</v>
      </c>
      <c r="E195" t="str">
        <f>T("[e북]마법소녀였는데, 퇴마합니다! 1권")</f>
        <v>[e북]마법소녀였는데, 퇴마합니다! 1권</v>
      </c>
      <c r="F195">
        <v>1</v>
      </c>
      <c r="G195" t="str">
        <f>T("괭잩낛")</f>
        <v>괭잩낛</v>
      </c>
      <c r="J195" t="str">
        <f>T("매드햇")</f>
        <v>매드햇</v>
      </c>
      <c r="K195" t="str">
        <f>T("[e북]마법소녀였는데, 퇴마합니다!")</f>
        <v>[e북]마법소녀였는데, 퇴마합니다!</v>
      </c>
      <c r="L195">
        <v>0</v>
      </c>
      <c r="M195">
        <v>0</v>
      </c>
      <c r="N195">
        <v>0</v>
      </c>
      <c r="O195">
        <v>2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2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S195">
        <v>0</v>
      </c>
      <c r="AT195">
        <v>0</v>
      </c>
      <c r="AV195">
        <v>0</v>
      </c>
      <c r="AW195">
        <v>0</v>
      </c>
      <c r="AY195">
        <v>0</v>
      </c>
      <c r="AZ195">
        <v>0</v>
      </c>
      <c r="BA195">
        <v>0</v>
      </c>
      <c r="BE195" t="str">
        <f>T("9791137022652")</f>
        <v>9791137022652</v>
      </c>
      <c r="BF195" t="str">
        <f>T("B036489")</f>
        <v>B036489</v>
      </c>
      <c r="BG195" t="str">
        <f>T("판타지 e북 &gt; 퓨전 판타지")</f>
        <v>판타지 e북 &gt; 퓨전 판타지</v>
      </c>
    </row>
    <row r="196" spans="1:59">
      <c r="A196" t="s">
        <v>60</v>
      </c>
      <c r="B196" s="1">
        <v>46131</v>
      </c>
      <c r="C196">
        <v>2378050618</v>
      </c>
      <c r="D196">
        <v>2378050618</v>
      </c>
      <c r="E196" t="str">
        <f>T("[e북]마왕의 아이로 살아남는 법 1권")</f>
        <v>[e북]마왕의 아이로 살아남는 법 1권</v>
      </c>
      <c r="F196">
        <v>1</v>
      </c>
      <c r="G196" t="str">
        <f>T("이현성")</f>
        <v>이현성</v>
      </c>
      <c r="J196" t="str">
        <f>T("시계토끼")</f>
        <v>시계토끼</v>
      </c>
      <c r="K196" t="str">
        <f>T("[e북]마왕의 아이로 살아남는 법")</f>
        <v>[e북]마왕의 아이로 살아남는 법</v>
      </c>
      <c r="L196">
        <v>3500</v>
      </c>
      <c r="M196">
        <v>3500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3500</v>
      </c>
      <c r="AJ196">
        <v>1</v>
      </c>
      <c r="AK196">
        <v>0</v>
      </c>
      <c r="AL196">
        <v>0</v>
      </c>
      <c r="AM196">
        <v>3500</v>
      </c>
      <c r="AN196">
        <v>0</v>
      </c>
      <c r="AO196">
        <v>0</v>
      </c>
      <c r="AP196">
        <v>0</v>
      </c>
      <c r="AQ196">
        <v>0</v>
      </c>
      <c r="AS196">
        <v>0</v>
      </c>
      <c r="AT196">
        <v>0</v>
      </c>
      <c r="AV196">
        <v>0</v>
      </c>
      <c r="AW196">
        <v>0</v>
      </c>
      <c r="AY196">
        <v>0</v>
      </c>
      <c r="AZ196">
        <v>0</v>
      </c>
      <c r="BA196">
        <v>2450</v>
      </c>
      <c r="BE196" t="str">
        <f>T("9791164097937")</f>
        <v>9791164097937</v>
      </c>
      <c r="BF196" t="str">
        <f>T("k000383")</f>
        <v>k000383</v>
      </c>
      <c r="BG196" t="str">
        <f>T("로판 e북 &gt; 서양풍 로판")</f>
        <v>로판 e북 &gt; 서양풍 로판</v>
      </c>
    </row>
    <row r="197" spans="1:59">
      <c r="A197" t="s">
        <v>60</v>
      </c>
      <c r="B197" s="1">
        <v>46131</v>
      </c>
      <c r="C197">
        <v>2378050618</v>
      </c>
      <c r="D197">
        <v>2378050619</v>
      </c>
      <c r="E197" t="str">
        <f>T("[e북]마왕의 아이로 살아남는 법 2권")</f>
        <v>[e북]마왕의 아이로 살아남는 법 2권</v>
      </c>
      <c r="F197">
        <v>2</v>
      </c>
      <c r="G197" t="str">
        <f>T("이현성")</f>
        <v>이현성</v>
      </c>
      <c r="J197" t="str">
        <f>T("시계토끼")</f>
        <v>시계토끼</v>
      </c>
      <c r="K197" t="str">
        <f>T("[e북]마왕의 아이로 살아남는 법")</f>
        <v>[e북]마왕의 아이로 살아남는 법</v>
      </c>
      <c r="L197">
        <v>3500</v>
      </c>
      <c r="M197">
        <v>3500</v>
      </c>
      <c r="N197">
        <v>1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3500</v>
      </c>
      <c r="AJ197">
        <v>1</v>
      </c>
      <c r="AK197">
        <v>0</v>
      </c>
      <c r="AL197">
        <v>0</v>
      </c>
      <c r="AM197">
        <v>3500</v>
      </c>
      <c r="AN197">
        <v>0</v>
      </c>
      <c r="AO197">
        <v>0</v>
      </c>
      <c r="AP197">
        <v>0</v>
      </c>
      <c r="AQ197">
        <v>0</v>
      </c>
      <c r="AS197">
        <v>0</v>
      </c>
      <c r="AT197">
        <v>0</v>
      </c>
      <c r="AV197">
        <v>0</v>
      </c>
      <c r="AW197">
        <v>0</v>
      </c>
      <c r="AY197">
        <v>0</v>
      </c>
      <c r="AZ197">
        <v>0</v>
      </c>
      <c r="BA197">
        <v>2450</v>
      </c>
      <c r="BE197" t="str">
        <f>T("9791164097944")</f>
        <v>9791164097944</v>
      </c>
      <c r="BF197" t="str">
        <f>T("k000384")</f>
        <v>k000384</v>
      </c>
      <c r="BG197" t="str">
        <f>T("로판 e북 &gt; 서양풍 로판")</f>
        <v>로판 e북 &gt; 서양풍 로판</v>
      </c>
    </row>
    <row r="198" spans="1:59">
      <c r="A198" t="s">
        <v>60</v>
      </c>
      <c r="B198" s="1">
        <v>46131</v>
      </c>
      <c r="C198">
        <v>2378050618</v>
      </c>
      <c r="D198">
        <v>2378050620</v>
      </c>
      <c r="E198" t="str">
        <f>T("[e북]마왕의 아이로 살아남는 법 3권")</f>
        <v>[e북]마왕의 아이로 살아남는 법 3권</v>
      </c>
      <c r="F198">
        <v>3</v>
      </c>
      <c r="G198" t="str">
        <f>T("이현성")</f>
        <v>이현성</v>
      </c>
      <c r="J198" t="str">
        <f>T("시계토끼")</f>
        <v>시계토끼</v>
      </c>
      <c r="K198" t="str">
        <f>T("[e북]마왕의 아이로 살아남는 법")</f>
        <v>[e북]마왕의 아이로 살아남는 법</v>
      </c>
      <c r="L198">
        <v>3500</v>
      </c>
      <c r="M198">
        <v>3500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3500</v>
      </c>
      <c r="AJ198">
        <v>1</v>
      </c>
      <c r="AK198">
        <v>0</v>
      </c>
      <c r="AL198">
        <v>0</v>
      </c>
      <c r="AM198">
        <v>3500</v>
      </c>
      <c r="AN198">
        <v>0</v>
      </c>
      <c r="AO198">
        <v>0</v>
      </c>
      <c r="AP198">
        <v>0</v>
      </c>
      <c r="AQ198">
        <v>0</v>
      </c>
      <c r="AS198">
        <v>0</v>
      </c>
      <c r="AT198">
        <v>0</v>
      </c>
      <c r="AV198">
        <v>0</v>
      </c>
      <c r="AW198">
        <v>0</v>
      </c>
      <c r="AY198">
        <v>0</v>
      </c>
      <c r="AZ198">
        <v>0</v>
      </c>
      <c r="BA198">
        <v>2450</v>
      </c>
      <c r="BE198" t="str">
        <f>T("9791164097951")</f>
        <v>9791164097951</v>
      </c>
      <c r="BF198" t="str">
        <f>T("k000385")</f>
        <v>k000385</v>
      </c>
      <c r="BG198" t="str">
        <f>T("로판 e북 &gt; 서양풍 로판")</f>
        <v>로판 e북 &gt; 서양풍 로판</v>
      </c>
    </row>
    <row r="199" spans="1:59">
      <c r="A199" t="s">
        <v>60</v>
      </c>
      <c r="B199" s="1">
        <v>46131</v>
      </c>
      <c r="C199">
        <v>2378016094</v>
      </c>
      <c r="D199">
        <v>2378016094</v>
      </c>
      <c r="E199" t="str">
        <f>T("[e북]마왕출사 [개정판] 1권")</f>
        <v>[e북]마왕출사 [개정판] 1권</v>
      </c>
      <c r="F199">
        <v>1</v>
      </c>
      <c r="G199" t="str">
        <f>T("청산")</f>
        <v>청산</v>
      </c>
      <c r="J199" t="str">
        <f>T("매드햇")</f>
        <v>매드햇</v>
      </c>
      <c r="K199" t="str">
        <f>T("[e북]마왕출사 [개정판]")</f>
        <v>[e북]마왕출사 [개정판]</v>
      </c>
      <c r="L199">
        <v>0</v>
      </c>
      <c r="M199">
        <v>0</v>
      </c>
      <c r="N199">
        <v>0</v>
      </c>
      <c r="O199">
        <v>1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1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S199">
        <v>0</v>
      </c>
      <c r="AT199">
        <v>0</v>
      </c>
      <c r="AV199">
        <v>0</v>
      </c>
      <c r="AW199">
        <v>0</v>
      </c>
      <c r="AY199">
        <v>0</v>
      </c>
      <c r="AZ199">
        <v>0</v>
      </c>
      <c r="BA199">
        <v>0</v>
      </c>
      <c r="BE199" t="str">
        <f>T("9791137002258")</f>
        <v>9791137002258</v>
      </c>
      <c r="BG199" t="str">
        <f>T("판타지 e북 &gt; 신무협")</f>
        <v>판타지 e북 &gt; 신무협</v>
      </c>
    </row>
    <row r="200" spans="1:59">
      <c r="A200" t="s">
        <v>60</v>
      </c>
      <c r="B200" s="1">
        <v>46129</v>
      </c>
      <c r="C200">
        <v>2378077981</v>
      </c>
      <c r="D200">
        <v>2378077984</v>
      </c>
      <c r="E200" t="str">
        <f>T("[e북]망나니 검사가 달라졌다 4권")</f>
        <v>[e북]망나니 검사가 달라졌다 4권</v>
      </c>
      <c r="F200">
        <v>4</v>
      </c>
      <c r="G200" t="str">
        <f>T("안현")</f>
        <v>안현</v>
      </c>
      <c r="J200" t="str">
        <f>T("매드햇")</f>
        <v>매드햇</v>
      </c>
      <c r="K200" t="str">
        <f>T("[e북]망나니 검사가 달라졌다")</f>
        <v>[e북]망나니 검사가 달라졌다</v>
      </c>
      <c r="L200">
        <v>3000</v>
      </c>
      <c r="M200">
        <v>3000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3000</v>
      </c>
      <c r="AJ200">
        <v>1</v>
      </c>
      <c r="AK200">
        <v>0</v>
      </c>
      <c r="AL200">
        <v>0</v>
      </c>
      <c r="AM200">
        <v>3000</v>
      </c>
      <c r="AN200">
        <v>0</v>
      </c>
      <c r="AO200">
        <v>0</v>
      </c>
      <c r="AP200">
        <v>0</v>
      </c>
      <c r="AQ200">
        <v>0</v>
      </c>
      <c r="AS200">
        <v>0</v>
      </c>
      <c r="AT200">
        <v>0</v>
      </c>
      <c r="AV200">
        <v>0</v>
      </c>
      <c r="AW200">
        <v>0</v>
      </c>
      <c r="AY200">
        <v>0</v>
      </c>
      <c r="AZ200">
        <v>0</v>
      </c>
      <c r="BA200">
        <v>2100</v>
      </c>
      <c r="BE200" t="str">
        <f>T("9791137009493")</f>
        <v>9791137009493</v>
      </c>
      <c r="BF200" t="str">
        <f>T("D132011")</f>
        <v>D132011</v>
      </c>
      <c r="BG200" t="str">
        <f>T("판타지 e북 &gt; 현대 판타지")</f>
        <v>판타지 e북 &gt; 현대 판타지</v>
      </c>
    </row>
    <row r="201" spans="1:59">
      <c r="A201" t="s">
        <v>60</v>
      </c>
      <c r="B201" s="1">
        <v>46131</v>
      </c>
      <c r="C201">
        <v>2378077981</v>
      </c>
      <c r="D201">
        <v>2378077981</v>
      </c>
      <c r="E201" t="str">
        <f>T("[e북]망나니 검사가 달라졌다 1권")</f>
        <v>[e북]망나니 검사가 달라졌다 1권</v>
      </c>
      <c r="F201">
        <v>1</v>
      </c>
      <c r="G201" t="str">
        <f>T("안현")</f>
        <v>안현</v>
      </c>
      <c r="J201" t="str">
        <f>T("매드햇")</f>
        <v>매드햇</v>
      </c>
      <c r="K201" t="str">
        <f>T("[e북]망나니 검사가 달라졌다")</f>
        <v>[e북]망나니 검사가 달라졌다</v>
      </c>
      <c r="L201">
        <v>0</v>
      </c>
      <c r="M201">
        <v>0</v>
      </c>
      <c r="N201">
        <v>0</v>
      </c>
      <c r="O201">
        <v>1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1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S201">
        <v>0</v>
      </c>
      <c r="AT201">
        <v>0</v>
      </c>
      <c r="AV201">
        <v>0</v>
      </c>
      <c r="AW201">
        <v>0</v>
      </c>
      <c r="AY201">
        <v>0</v>
      </c>
      <c r="AZ201">
        <v>0</v>
      </c>
      <c r="BA201">
        <v>0</v>
      </c>
      <c r="BE201" t="str">
        <f>T("9791137009462")</f>
        <v>9791137009462</v>
      </c>
      <c r="BF201" t="str">
        <f>T("D132008")</f>
        <v>D132008</v>
      </c>
      <c r="BG201" t="str">
        <f>T("판타지 e북 &gt; 현대 판타지")</f>
        <v>판타지 e북 &gt; 현대 판타지</v>
      </c>
    </row>
    <row r="202" spans="1:59">
      <c r="A202" t="s">
        <v>60</v>
      </c>
      <c r="B202" s="1">
        <v>46131</v>
      </c>
      <c r="C202">
        <v>2378077981</v>
      </c>
      <c r="D202">
        <v>2378077983</v>
      </c>
      <c r="E202" t="str">
        <f>T("[e북]망나니 검사가 달라졌다 3권")</f>
        <v>[e북]망나니 검사가 달라졌다 3권</v>
      </c>
      <c r="F202">
        <v>3</v>
      </c>
      <c r="G202" t="str">
        <f>T("안현")</f>
        <v>안현</v>
      </c>
      <c r="J202" t="str">
        <f>T("매드햇")</f>
        <v>매드햇</v>
      </c>
      <c r="K202" t="str">
        <f>T("[e북]망나니 검사가 달라졌다")</f>
        <v>[e북]망나니 검사가 달라졌다</v>
      </c>
      <c r="L202">
        <v>3000</v>
      </c>
      <c r="M202">
        <v>3000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3000</v>
      </c>
      <c r="AJ202">
        <v>1</v>
      </c>
      <c r="AK202">
        <v>0</v>
      </c>
      <c r="AL202">
        <v>0</v>
      </c>
      <c r="AM202">
        <v>3000</v>
      </c>
      <c r="AN202">
        <v>0</v>
      </c>
      <c r="AO202">
        <v>0</v>
      </c>
      <c r="AP202">
        <v>0</v>
      </c>
      <c r="AQ202">
        <v>0</v>
      </c>
      <c r="AS202">
        <v>0</v>
      </c>
      <c r="AT202">
        <v>0</v>
      </c>
      <c r="AV202">
        <v>0</v>
      </c>
      <c r="AW202">
        <v>0</v>
      </c>
      <c r="AY202">
        <v>0</v>
      </c>
      <c r="AZ202">
        <v>0</v>
      </c>
      <c r="BA202">
        <v>2100</v>
      </c>
      <c r="BE202" t="str">
        <f>T("9791137009486")</f>
        <v>9791137009486</v>
      </c>
      <c r="BF202" t="str">
        <f>T("D132010")</f>
        <v>D132010</v>
      </c>
      <c r="BG202" t="str">
        <f>T("판타지 e북 &gt; 현대 판타지")</f>
        <v>판타지 e북 &gt; 현대 판타지</v>
      </c>
    </row>
    <row r="203" spans="1:59">
      <c r="A203" t="s">
        <v>60</v>
      </c>
      <c r="B203" s="1">
        <v>46129</v>
      </c>
      <c r="C203">
        <v>2378067642</v>
      </c>
      <c r="D203">
        <v>2378067642</v>
      </c>
      <c r="E203" t="str">
        <f>T("[e북]망나니 PD 아이돌로 살아남기 1권")</f>
        <v>[e북]망나니 PD 아이돌로 살아남기 1권</v>
      </c>
      <c r="F203">
        <v>1</v>
      </c>
      <c r="G203" t="str">
        <f>T("문찐")</f>
        <v>문찐</v>
      </c>
      <c r="J203" t="str">
        <f>T("매드햇")</f>
        <v>매드햇</v>
      </c>
      <c r="K203" t="str">
        <f>T("[e북]망나니 PD 아이돌로 살아남기")</f>
        <v>[e북]망나니 PD 아이돌로 살아남기</v>
      </c>
      <c r="L203">
        <v>0</v>
      </c>
      <c r="M203">
        <v>0</v>
      </c>
      <c r="N203">
        <v>0</v>
      </c>
      <c r="O203">
        <v>6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6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S203">
        <v>0</v>
      </c>
      <c r="AT203">
        <v>0</v>
      </c>
      <c r="AV203">
        <v>0</v>
      </c>
      <c r="AW203">
        <v>0</v>
      </c>
      <c r="AY203">
        <v>0</v>
      </c>
      <c r="AZ203">
        <v>0</v>
      </c>
      <c r="BA203">
        <v>0</v>
      </c>
      <c r="BE203" t="str">
        <f>T("9791137019553")</f>
        <v>9791137019553</v>
      </c>
      <c r="BF203" t="str">
        <f>T("k335575")</f>
        <v>k335575</v>
      </c>
      <c r="BG203" t="str">
        <f>T("판타지 e북 &gt; 현대 판타지")</f>
        <v>판타지 e북 &gt; 현대 판타지</v>
      </c>
    </row>
    <row r="204" spans="1:59">
      <c r="A204" t="s">
        <v>60</v>
      </c>
      <c r="B204" s="1">
        <v>46129</v>
      </c>
      <c r="C204">
        <v>2378067642</v>
      </c>
      <c r="D204">
        <v>2378067643</v>
      </c>
      <c r="E204" t="str">
        <f>T("[e북]망나니 PD 아이돌로 살아남기 2권")</f>
        <v>[e북]망나니 PD 아이돌로 살아남기 2권</v>
      </c>
      <c r="F204">
        <v>2</v>
      </c>
      <c r="G204" t="str">
        <f>T("문찐")</f>
        <v>문찐</v>
      </c>
      <c r="J204" t="str">
        <f>T("매드햇")</f>
        <v>매드햇</v>
      </c>
      <c r="K204" t="str">
        <f>T("[e북]망나니 PD 아이돌로 살아남기")</f>
        <v>[e북]망나니 PD 아이돌로 살아남기</v>
      </c>
      <c r="L204">
        <v>3600</v>
      </c>
      <c r="M204">
        <v>3600</v>
      </c>
      <c r="N204">
        <v>1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3600</v>
      </c>
      <c r="AJ204">
        <v>1</v>
      </c>
      <c r="AK204">
        <v>0</v>
      </c>
      <c r="AL204">
        <v>0</v>
      </c>
      <c r="AM204">
        <v>3600</v>
      </c>
      <c r="AN204">
        <v>0</v>
      </c>
      <c r="AO204">
        <v>0</v>
      </c>
      <c r="AP204">
        <v>0</v>
      </c>
      <c r="AQ204">
        <v>0</v>
      </c>
      <c r="AS204">
        <v>0</v>
      </c>
      <c r="AT204">
        <v>0</v>
      </c>
      <c r="AV204">
        <v>0</v>
      </c>
      <c r="AW204">
        <v>0</v>
      </c>
      <c r="AY204">
        <v>0</v>
      </c>
      <c r="AZ204">
        <v>0</v>
      </c>
      <c r="BA204">
        <v>2520</v>
      </c>
      <c r="BE204" t="str">
        <f>T("9791137019560")</f>
        <v>9791137019560</v>
      </c>
      <c r="BF204" t="str">
        <f>T("k335576")</f>
        <v>k335576</v>
      </c>
      <c r="BG204" t="str">
        <f>T("판타지 e북 &gt; 현대 판타지")</f>
        <v>판타지 e북 &gt; 현대 판타지</v>
      </c>
    </row>
    <row r="205" spans="1:59">
      <c r="A205" t="s">
        <v>60</v>
      </c>
      <c r="B205" s="1">
        <v>46129</v>
      </c>
      <c r="C205">
        <v>2378067642</v>
      </c>
      <c r="D205">
        <v>2378067644</v>
      </c>
      <c r="E205" t="str">
        <f>T("[e북]망나니 PD 아이돌로 살아남기 3권")</f>
        <v>[e북]망나니 PD 아이돌로 살아남기 3권</v>
      </c>
      <c r="F205">
        <v>3</v>
      </c>
      <c r="G205" t="str">
        <f>T("문찐")</f>
        <v>문찐</v>
      </c>
      <c r="J205" t="str">
        <f>T("매드햇")</f>
        <v>매드햇</v>
      </c>
      <c r="K205" t="str">
        <f>T("[e북]망나니 PD 아이돌로 살아남기")</f>
        <v>[e북]망나니 PD 아이돌로 살아남기</v>
      </c>
      <c r="L205">
        <v>3600</v>
      </c>
      <c r="M205">
        <v>7200</v>
      </c>
      <c r="N205">
        <v>2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7200</v>
      </c>
      <c r="AJ205">
        <v>2</v>
      </c>
      <c r="AK205">
        <v>0</v>
      </c>
      <c r="AL205">
        <v>0</v>
      </c>
      <c r="AM205">
        <v>3600</v>
      </c>
      <c r="AN205">
        <v>0</v>
      </c>
      <c r="AO205">
        <v>4320</v>
      </c>
      <c r="AP205">
        <v>-1296</v>
      </c>
      <c r="AQ205">
        <v>0</v>
      </c>
      <c r="AR205">
        <v>4320</v>
      </c>
      <c r="AS205">
        <v>-1296</v>
      </c>
      <c r="AT205">
        <v>0</v>
      </c>
      <c r="AV205">
        <v>0</v>
      </c>
      <c r="AW205">
        <v>0</v>
      </c>
      <c r="AY205">
        <v>0</v>
      </c>
      <c r="AZ205">
        <v>0</v>
      </c>
      <c r="BA205">
        <v>4636.8</v>
      </c>
      <c r="BE205" t="str">
        <f>T("9791137019577")</f>
        <v>9791137019577</v>
      </c>
      <c r="BF205" t="str">
        <f>T("k335577")</f>
        <v>k335577</v>
      </c>
      <c r="BG205" t="str">
        <f>T("판타지 e북 &gt; 현대 판타지")</f>
        <v>판타지 e북 &gt; 현대 판타지</v>
      </c>
    </row>
    <row r="206" spans="1:59">
      <c r="A206" t="s">
        <v>60</v>
      </c>
      <c r="B206" s="1">
        <v>46129</v>
      </c>
      <c r="C206">
        <v>2378067642</v>
      </c>
      <c r="D206">
        <v>2378067645</v>
      </c>
      <c r="E206" t="str">
        <f>T("[e북]망나니 PD 아이돌로 살아남기 4권")</f>
        <v>[e북]망나니 PD 아이돌로 살아남기 4권</v>
      </c>
      <c r="F206">
        <v>4</v>
      </c>
      <c r="G206" t="str">
        <f>T("문찐")</f>
        <v>문찐</v>
      </c>
      <c r="J206" t="str">
        <f>T("매드햇")</f>
        <v>매드햇</v>
      </c>
      <c r="K206" t="str">
        <f>T("[e북]망나니 PD 아이돌로 살아남기")</f>
        <v>[e북]망나니 PD 아이돌로 살아남기</v>
      </c>
      <c r="L206">
        <v>3600</v>
      </c>
      <c r="M206">
        <v>7200</v>
      </c>
      <c r="N206">
        <v>2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7200</v>
      </c>
      <c r="AJ206">
        <v>2</v>
      </c>
      <c r="AK206">
        <v>0</v>
      </c>
      <c r="AL206">
        <v>0</v>
      </c>
      <c r="AM206">
        <v>7200</v>
      </c>
      <c r="AN206">
        <v>0</v>
      </c>
      <c r="AO206">
        <v>0</v>
      </c>
      <c r="AP206">
        <v>0</v>
      </c>
      <c r="AQ206">
        <v>0</v>
      </c>
      <c r="AS206">
        <v>0</v>
      </c>
      <c r="AT206">
        <v>0</v>
      </c>
      <c r="AV206">
        <v>0</v>
      </c>
      <c r="AW206">
        <v>0</v>
      </c>
      <c r="AY206">
        <v>0</v>
      </c>
      <c r="AZ206">
        <v>0</v>
      </c>
      <c r="BA206">
        <v>5040</v>
      </c>
      <c r="BE206" t="str">
        <f>T("9791137019584")</f>
        <v>9791137019584</v>
      </c>
      <c r="BF206" t="str">
        <f>T("k335578")</f>
        <v>k335578</v>
      </c>
      <c r="BG206" t="str">
        <f>T("판타지 e북 &gt; 현대 판타지")</f>
        <v>판타지 e북 &gt; 현대 판타지</v>
      </c>
    </row>
    <row r="207" spans="1:59">
      <c r="A207" t="s">
        <v>60</v>
      </c>
      <c r="B207" s="1">
        <v>46129</v>
      </c>
      <c r="C207">
        <v>2378067642</v>
      </c>
      <c r="D207">
        <v>2378067646</v>
      </c>
      <c r="E207" t="str">
        <f>T("[e북]망나니 PD 아이돌로 살아남기 5권")</f>
        <v>[e북]망나니 PD 아이돌로 살아남기 5권</v>
      </c>
      <c r="F207">
        <v>5</v>
      </c>
      <c r="G207" t="str">
        <f>T("문찐")</f>
        <v>문찐</v>
      </c>
      <c r="J207" t="str">
        <f>T("매드햇")</f>
        <v>매드햇</v>
      </c>
      <c r="K207" t="str">
        <f>T("[e북]망나니 PD 아이돌로 살아남기")</f>
        <v>[e북]망나니 PD 아이돌로 살아남기</v>
      </c>
      <c r="L207">
        <v>3600</v>
      </c>
      <c r="M207">
        <v>3600</v>
      </c>
      <c r="N207">
        <v>1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3600</v>
      </c>
      <c r="AJ207">
        <v>1</v>
      </c>
      <c r="AK207">
        <v>0</v>
      </c>
      <c r="AL207">
        <v>0</v>
      </c>
      <c r="AM207">
        <v>3600</v>
      </c>
      <c r="AN207">
        <v>0</v>
      </c>
      <c r="AO207">
        <v>0</v>
      </c>
      <c r="AP207">
        <v>0</v>
      </c>
      <c r="AQ207">
        <v>0</v>
      </c>
      <c r="AS207">
        <v>0</v>
      </c>
      <c r="AT207">
        <v>0</v>
      </c>
      <c r="AV207">
        <v>0</v>
      </c>
      <c r="AW207">
        <v>0</v>
      </c>
      <c r="AY207">
        <v>0</v>
      </c>
      <c r="AZ207">
        <v>0</v>
      </c>
      <c r="BA207">
        <v>2520</v>
      </c>
      <c r="BE207" t="str">
        <f>T("9791137019591")</f>
        <v>9791137019591</v>
      </c>
      <c r="BF207" t="str">
        <f>T("k335579")</f>
        <v>k335579</v>
      </c>
      <c r="BG207" t="str">
        <f>T("판타지 e북 &gt; 현대 판타지")</f>
        <v>판타지 e북 &gt; 현대 판타지</v>
      </c>
    </row>
    <row r="208" spans="1:59">
      <c r="A208" t="s">
        <v>60</v>
      </c>
      <c r="B208" s="1">
        <v>46129</v>
      </c>
      <c r="C208">
        <v>2378067642</v>
      </c>
      <c r="D208">
        <v>2378067647</v>
      </c>
      <c r="E208" t="str">
        <f>T("[e북]망나니 PD 아이돌로 살아남기 6권")</f>
        <v>[e북]망나니 PD 아이돌로 살아남기 6권</v>
      </c>
      <c r="F208">
        <v>6</v>
      </c>
      <c r="G208" t="str">
        <f>T("문찐")</f>
        <v>문찐</v>
      </c>
      <c r="J208" t="str">
        <f>T("매드햇")</f>
        <v>매드햇</v>
      </c>
      <c r="K208" t="str">
        <f>T("[e북]망나니 PD 아이돌로 살아남기")</f>
        <v>[e북]망나니 PD 아이돌로 살아남기</v>
      </c>
      <c r="L208">
        <v>3600</v>
      </c>
      <c r="M208">
        <v>3600</v>
      </c>
      <c r="N208">
        <v>1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3600</v>
      </c>
      <c r="AJ208">
        <v>1</v>
      </c>
      <c r="AK208">
        <v>0</v>
      </c>
      <c r="AL208">
        <v>0</v>
      </c>
      <c r="AM208">
        <v>3600</v>
      </c>
      <c r="AN208">
        <v>0</v>
      </c>
      <c r="AO208">
        <v>0</v>
      </c>
      <c r="AP208">
        <v>0</v>
      </c>
      <c r="AQ208">
        <v>0</v>
      </c>
      <c r="AS208">
        <v>0</v>
      </c>
      <c r="AT208">
        <v>0</v>
      </c>
      <c r="AV208">
        <v>0</v>
      </c>
      <c r="AW208">
        <v>0</v>
      </c>
      <c r="AY208">
        <v>0</v>
      </c>
      <c r="AZ208">
        <v>0</v>
      </c>
      <c r="BA208">
        <v>2520</v>
      </c>
      <c r="BE208" t="str">
        <f>T("9791137019607")</f>
        <v>9791137019607</v>
      </c>
      <c r="BF208" t="str">
        <f>T("k335580")</f>
        <v>k335580</v>
      </c>
      <c r="BG208" t="str">
        <f>T("판타지 e북 &gt; 현대 판타지")</f>
        <v>판타지 e북 &gt; 현대 판타지</v>
      </c>
    </row>
    <row r="209" spans="1:59">
      <c r="A209" t="s">
        <v>60</v>
      </c>
      <c r="B209" s="1">
        <v>46129</v>
      </c>
      <c r="C209">
        <v>2378067642</v>
      </c>
      <c r="D209">
        <v>2378067648</v>
      </c>
      <c r="E209" t="str">
        <f>T("[e북]망나니 PD 아이돌로 살아남기 7권")</f>
        <v>[e북]망나니 PD 아이돌로 살아남기 7권</v>
      </c>
      <c r="F209">
        <v>7</v>
      </c>
      <c r="G209" t="str">
        <f>T("문찐")</f>
        <v>문찐</v>
      </c>
      <c r="J209" t="str">
        <f>T("매드햇")</f>
        <v>매드햇</v>
      </c>
      <c r="K209" t="str">
        <f>T("[e북]망나니 PD 아이돌로 살아남기")</f>
        <v>[e북]망나니 PD 아이돌로 살아남기</v>
      </c>
      <c r="L209">
        <v>3600</v>
      </c>
      <c r="M209">
        <v>3600</v>
      </c>
      <c r="N209">
        <v>1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3600</v>
      </c>
      <c r="AJ209">
        <v>1</v>
      </c>
      <c r="AK209">
        <v>0</v>
      </c>
      <c r="AL209">
        <v>0</v>
      </c>
      <c r="AM209">
        <v>3600</v>
      </c>
      <c r="AN209">
        <v>0</v>
      </c>
      <c r="AO209">
        <v>0</v>
      </c>
      <c r="AP209">
        <v>0</v>
      </c>
      <c r="AQ209">
        <v>0</v>
      </c>
      <c r="AS209">
        <v>0</v>
      </c>
      <c r="AT209">
        <v>0</v>
      </c>
      <c r="AV209">
        <v>0</v>
      </c>
      <c r="AW209">
        <v>0</v>
      </c>
      <c r="AY209">
        <v>0</v>
      </c>
      <c r="AZ209">
        <v>0</v>
      </c>
      <c r="BA209">
        <v>2520</v>
      </c>
      <c r="BE209" t="str">
        <f>T("9791137019614")</f>
        <v>9791137019614</v>
      </c>
      <c r="BF209" t="str">
        <f>T("k335581")</f>
        <v>k335581</v>
      </c>
      <c r="BG209" t="str">
        <f>T("판타지 e북 &gt; 현대 판타지")</f>
        <v>판타지 e북 &gt; 현대 판타지</v>
      </c>
    </row>
    <row r="210" spans="1:59">
      <c r="A210" t="s">
        <v>60</v>
      </c>
      <c r="B210" s="1">
        <v>46129</v>
      </c>
      <c r="C210">
        <v>2378067642</v>
      </c>
      <c r="D210">
        <v>2378068698</v>
      </c>
      <c r="E210" t="str">
        <f>T("[e북]망나니 PD 아이돌로 살아남기 (특별 외전)")</f>
        <v>[e북]망나니 PD 아이돌로 살아남기 (특별 외전)</v>
      </c>
      <c r="F210">
        <v>20</v>
      </c>
      <c r="G210" t="str">
        <f>T("문찐")</f>
        <v>문찐</v>
      </c>
      <c r="J210" t="str">
        <f>T("매드햇")</f>
        <v>매드햇</v>
      </c>
      <c r="K210" t="str">
        <f>T("[e북]망나니 PD 아이돌로 살아남기")</f>
        <v>[e북]망나니 PD 아이돌로 살아남기</v>
      </c>
      <c r="L210">
        <v>0</v>
      </c>
      <c r="M210">
        <v>0</v>
      </c>
      <c r="N210">
        <v>0</v>
      </c>
      <c r="O210">
        <v>5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5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S210">
        <v>0</v>
      </c>
      <c r="AT210">
        <v>0</v>
      </c>
      <c r="AV210">
        <v>0</v>
      </c>
      <c r="AW210">
        <v>0</v>
      </c>
      <c r="AY210">
        <v>0</v>
      </c>
      <c r="AZ210">
        <v>0</v>
      </c>
      <c r="BA210">
        <v>0</v>
      </c>
      <c r="BE210" t="str">
        <f>T("9791137020368")</f>
        <v>9791137020368</v>
      </c>
      <c r="BF210" t="str">
        <f>T("k385674")</f>
        <v>k385674</v>
      </c>
      <c r="BG210" t="str">
        <f>T("판타지 e북 &gt; 현대 판타지")</f>
        <v>판타지 e북 &gt; 현대 판타지</v>
      </c>
    </row>
    <row r="211" spans="1:59">
      <c r="A211" t="s">
        <v>60</v>
      </c>
      <c r="B211" s="1">
        <v>46129</v>
      </c>
      <c r="C211">
        <v>2378067642</v>
      </c>
      <c r="D211">
        <v>2378069573</v>
      </c>
      <c r="E211" t="str">
        <f>T("[e북]망나니 PD 아이돌로 살아남기 8권")</f>
        <v>[e북]망나니 PD 아이돌로 살아남기 8권</v>
      </c>
      <c r="F211">
        <v>8</v>
      </c>
      <c r="G211" t="str">
        <f>T("문찐")</f>
        <v>문찐</v>
      </c>
      <c r="J211" t="str">
        <f>T("매드햇")</f>
        <v>매드햇</v>
      </c>
      <c r="K211" t="str">
        <f>T("[e북]망나니 PD 아이돌로 살아남기")</f>
        <v>[e북]망나니 PD 아이돌로 살아남기</v>
      </c>
      <c r="L211">
        <v>3600</v>
      </c>
      <c r="M211">
        <v>3600</v>
      </c>
      <c r="N211">
        <v>1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3600</v>
      </c>
      <c r="AJ211">
        <v>1</v>
      </c>
      <c r="AK211">
        <v>0</v>
      </c>
      <c r="AL211">
        <v>0</v>
      </c>
      <c r="AM211">
        <v>3600</v>
      </c>
      <c r="AN211">
        <v>0</v>
      </c>
      <c r="AO211">
        <v>0</v>
      </c>
      <c r="AP211">
        <v>0</v>
      </c>
      <c r="AQ211">
        <v>0</v>
      </c>
      <c r="AS211">
        <v>0</v>
      </c>
      <c r="AT211">
        <v>0</v>
      </c>
      <c r="AV211">
        <v>0</v>
      </c>
      <c r="AW211">
        <v>0</v>
      </c>
      <c r="AY211">
        <v>0</v>
      </c>
      <c r="AZ211">
        <v>0</v>
      </c>
      <c r="BA211">
        <v>2520</v>
      </c>
      <c r="BE211" t="str">
        <f>T("9791137020627")</f>
        <v>9791137020627</v>
      </c>
      <c r="BF211" t="str">
        <f>T("k408825")</f>
        <v>k408825</v>
      </c>
      <c r="BG211" t="str">
        <f>T("판타지 e북 &gt; 현대 판타지")</f>
        <v>판타지 e북 &gt; 현대 판타지</v>
      </c>
    </row>
    <row r="212" spans="1:59">
      <c r="A212" t="s">
        <v>60</v>
      </c>
      <c r="B212" s="1">
        <v>46129</v>
      </c>
      <c r="C212">
        <v>2378067642</v>
      </c>
      <c r="D212">
        <v>2378069574</v>
      </c>
      <c r="E212" t="str">
        <f>T("[e북]망나니 PD 아이돌로 살아남기 9권")</f>
        <v>[e북]망나니 PD 아이돌로 살아남기 9권</v>
      </c>
      <c r="F212">
        <v>9</v>
      </c>
      <c r="G212" t="str">
        <f>T("문찐")</f>
        <v>문찐</v>
      </c>
      <c r="J212" t="str">
        <f>T("매드햇")</f>
        <v>매드햇</v>
      </c>
      <c r="K212" t="str">
        <f>T("[e북]망나니 PD 아이돌로 살아남기")</f>
        <v>[e북]망나니 PD 아이돌로 살아남기</v>
      </c>
      <c r="L212">
        <v>3600</v>
      </c>
      <c r="M212">
        <v>7200</v>
      </c>
      <c r="N212">
        <v>2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7200</v>
      </c>
      <c r="AJ212">
        <v>2</v>
      </c>
      <c r="AK212">
        <v>0</v>
      </c>
      <c r="AL212">
        <v>0</v>
      </c>
      <c r="AM212">
        <v>7200</v>
      </c>
      <c r="AN212">
        <v>0</v>
      </c>
      <c r="AO212">
        <v>0</v>
      </c>
      <c r="AP212">
        <v>0</v>
      </c>
      <c r="AQ212">
        <v>0</v>
      </c>
      <c r="AS212">
        <v>0</v>
      </c>
      <c r="AT212">
        <v>0</v>
      </c>
      <c r="AV212">
        <v>0</v>
      </c>
      <c r="AW212">
        <v>0</v>
      </c>
      <c r="AY212">
        <v>0</v>
      </c>
      <c r="AZ212">
        <v>0</v>
      </c>
      <c r="BA212">
        <v>5040</v>
      </c>
      <c r="BE212" t="str">
        <f>T("9791137020634")</f>
        <v>9791137020634</v>
      </c>
      <c r="BF212" t="str">
        <f>T("k408826")</f>
        <v>k408826</v>
      </c>
      <c r="BG212" t="str">
        <f>T("판타지 e북 &gt; 현대 판타지")</f>
        <v>판타지 e북 &gt; 현대 판타지</v>
      </c>
    </row>
    <row r="213" spans="1:59">
      <c r="A213" t="s">
        <v>60</v>
      </c>
      <c r="B213" s="1">
        <v>46129</v>
      </c>
      <c r="C213">
        <v>2378067642</v>
      </c>
      <c r="D213">
        <v>2378069575</v>
      </c>
      <c r="E213" t="str">
        <f>T("[e북]망나니 PD 아이돌로 살아남기 10권")</f>
        <v>[e북]망나니 PD 아이돌로 살아남기 10권</v>
      </c>
      <c r="F213">
        <v>10</v>
      </c>
      <c r="G213" t="str">
        <f>T("문찐")</f>
        <v>문찐</v>
      </c>
      <c r="J213" t="str">
        <f>T("매드햇")</f>
        <v>매드햇</v>
      </c>
      <c r="K213" t="str">
        <f>T("[e북]망나니 PD 아이돌로 살아남기")</f>
        <v>[e북]망나니 PD 아이돌로 살아남기</v>
      </c>
      <c r="L213">
        <v>3600</v>
      </c>
      <c r="M213">
        <v>10800</v>
      </c>
      <c r="N213">
        <v>3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10800</v>
      </c>
      <c r="AJ213">
        <v>3</v>
      </c>
      <c r="AK213">
        <v>0</v>
      </c>
      <c r="AL213">
        <v>0</v>
      </c>
      <c r="AM213">
        <v>10800</v>
      </c>
      <c r="AN213">
        <v>0</v>
      </c>
      <c r="AO213">
        <v>0</v>
      </c>
      <c r="AP213">
        <v>0</v>
      </c>
      <c r="AQ213">
        <v>0</v>
      </c>
      <c r="AS213">
        <v>0</v>
      </c>
      <c r="AT213">
        <v>0</v>
      </c>
      <c r="AV213">
        <v>0</v>
      </c>
      <c r="AW213">
        <v>0</v>
      </c>
      <c r="AY213">
        <v>0</v>
      </c>
      <c r="AZ213">
        <v>0</v>
      </c>
      <c r="BA213">
        <v>7560</v>
      </c>
      <c r="BE213" t="str">
        <f>T("9791137020641")</f>
        <v>9791137020641</v>
      </c>
      <c r="BF213" t="str">
        <f>T("k408827")</f>
        <v>k408827</v>
      </c>
      <c r="BG213" t="str">
        <f>T("판타지 e북 &gt; 현대 판타지")</f>
        <v>판타지 e북 &gt; 현대 판타지</v>
      </c>
    </row>
    <row r="214" spans="1:59">
      <c r="A214" t="s">
        <v>60</v>
      </c>
      <c r="B214" s="1">
        <v>46129</v>
      </c>
      <c r="C214">
        <v>2378067642</v>
      </c>
      <c r="D214">
        <v>2378069576</v>
      </c>
      <c r="E214" t="str">
        <f>T("[e북]망나니 PD 아이돌로 살아남기 11권")</f>
        <v>[e북]망나니 PD 아이돌로 살아남기 11권</v>
      </c>
      <c r="F214">
        <v>11</v>
      </c>
      <c r="G214" t="str">
        <f>T("문찐")</f>
        <v>문찐</v>
      </c>
      <c r="J214" t="str">
        <f>T("매드햇")</f>
        <v>매드햇</v>
      </c>
      <c r="K214" t="str">
        <f>T("[e북]망나니 PD 아이돌로 살아남기")</f>
        <v>[e북]망나니 PD 아이돌로 살아남기</v>
      </c>
      <c r="L214">
        <v>3600</v>
      </c>
      <c r="M214">
        <v>3600</v>
      </c>
      <c r="N214">
        <v>1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3600</v>
      </c>
      <c r="AJ214">
        <v>1</v>
      </c>
      <c r="AK214">
        <v>0</v>
      </c>
      <c r="AL214">
        <v>0</v>
      </c>
      <c r="AM214">
        <v>3600</v>
      </c>
      <c r="AN214">
        <v>0</v>
      </c>
      <c r="AO214">
        <v>0</v>
      </c>
      <c r="AP214">
        <v>0</v>
      </c>
      <c r="AQ214">
        <v>0</v>
      </c>
      <c r="AS214">
        <v>0</v>
      </c>
      <c r="AT214">
        <v>0</v>
      </c>
      <c r="AV214">
        <v>0</v>
      </c>
      <c r="AW214">
        <v>0</v>
      </c>
      <c r="AY214">
        <v>0</v>
      </c>
      <c r="AZ214">
        <v>0</v>
      </c>
      <c r="BA214">
        <v>2520</v>
      </c>
      <c r="BE214" t="str">
        <f>T("9791137020658")</f>
        <v>9791137020658</v>
      </c>
      <c r="BF214" t="str">
        <f>T("k408828")</f>
        <v>k408828</v>
      </c>
      <c r="BG214" t="str">
        <f>T("판타지 e북 &gt; 현대 판타지")</f>
        <v>판타지 e북 &gt; 현대 판타지</v>
      </c>
    </row>
    <row r="215" spans="1:59">
      <c r="A215" t="s">
        <v>60</v>
      </c>
      <c r="B215" s="1">
        <v>46129</v>
      </c>
      <c r="C215">
        <v>2378067642</v>
      </c>
      <c r="D215">
        <v>2378069577</v>
      </c>
      <c r="E215" t="str">
        <f>T("[e북]망나니 PD 아이돌로 살아남기 12권")</f>
        <v>[e북]망나니 PD 아이돌로 살아남기 12권</v>
      </c>
      <c r="F215">
        <v>12</v>
      </c>
      <c r="G215" t="str">
        <f>T("문찐")</f>
        <v>문찐</v>
      </c>
      <c r="J215" t="str">
        <f>T("매드햇")</f>
        <v>매드햇</v>
      </c>
      <c r="K215" t="str">
        <f>T("[e북]망나니 PD 아이돌로 살아남기")</f>
        <v>[e북]망나니 PD 아이돌로 살아남기</v>
      </c>
      <c r="L215">
        <v>3600</v>
      </c>
      <c r="M215">
        <v>3600</v>
      </c>
      <c r="N215">
        <v>1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3600</v>
      </c>
      <c r="AJ215">
        <v>1</v>
      </c>
      <c r="AK215">
        <v>0</v>
      </c>
      <c r="AL215">
        <v>0</v>
      </c>
      <c r="AM215">
        <v>3600</v>
      </c>
      <c r="AN215">
        <v>0</v>
      </c>
      <c r="AO215">
        <v>0</v>
      </c>
      <c r="AP215">
        <v>0</v>
      </c>
      <c r="AQ215">
        <v>0</v>
      </c>
      <c r="AS215">
        <v>0</v>
      </c>
      <c r="AT215">
        <v>0</v>
      </c>
      <c r="AV215">
        <v>0</v>
      </c>
      <c r="AW215">
        <v>0</v>
      </c>
      <c r="AY215">
        <v>0</v>
      </c>
      <c r="AZ215">
        <v>0</v>
      </c>
      <c r="BA215">
        <v>2520</v>
      </c>
      <c r="BE215" t="str">
        <f>T("9791137020665")</f>
        <v>9791137020665</v>
      </c>
      <c r="BF215" t="str">
        <f>T("k408829")</f>
        <v>k408829</v>
      </c>
      <c r="BG215" t="str">
        <f>T("판타지 e북 &gt; 현대 판타지")</f>
        <v>판타지 e북 &gt; 현대 판타지</v>
      </c>
    </row>
    <row r="216" spans="1:59">
      <c r="A216" t="s">
        <v>60</v>
      </c>
      <c r="B216" s="1">
        <v>46129</v>
      </c>
      <c r="C216">
        <v>2378067642</v>
      </c>
      <c r="D216">
        <v>2378072195</v>
      </c>
      <c r="E216" t="str">
        <f>T("[e북]망나니 PD 아이돌로 살아남기 13권")</f>
        <v>[e북]망나니 PD 아이돌로 살아남기 13권</v>
      </c>
      <c r="F216">
        <v>13</v>
      </c>
      <c r="G216" t="str">
        <f>T("문찐")</f>
        <v>문찐</v>
      </c>
      <c r="J216" t="str">
        <f>T("매드햇")</f>
        <v>매드햇</v>
      </c>
      <c r="K216" t="str">
        <f>T("[e북]망나니 PD 아이돌로 살아남기")</f>
        <v>[e북]망나니 PD 아이돌로 살아남기</v>
      </c>
      <c r="L216">
        <v>3600</v>
      </c>
      <c r="M216">
        <v>14400</v>
      </c>
      <c r="N216">
        <v>4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14400</v>
      </c>
      <c r="AJ216">
        <v>4</v>
      </c>
      <c r="AK216">
        <v>0</v>
      </c>
      <c r="AL216">
        <v>0</v>
      </c>
      <c r="AM216">
        <v>14400</v>
      </c>
      <c r="AN216">
        <v>0</v>
      </c>
      <c r="AO216">
        <v>0</v>
      </c>
      <c r="AP216">
        <v>0</v>
      </c>
      <c r="AQ216">
        <v>0</v>
      </c>
      <c r="AS216">
        <v>0</v>
      </c>
      <c r="AT216">
        <v>0</v>
      </c>
      <c r="AV216">
        <v>0</v>
      </c>
      <c r="AW216">
        <v>0</v>
      </c>
      <c r="AY216">
        <v>0</v>
      </c>
      <c r="AZ216">
        <v>0</v>
      </c>
      <c r="BA216">
        <v>10080</v>
      </c>
      <c r="BE216" t="str">
        <f>T("9791137010192")</f>
        <v>9791137010192</v>
      </c>
      <c r="BF216" t="str">
        <f>T("B000126")</f>
        <v>B000126</v>
      </c>
      <c r="BG216" t="str">
        <f>T("판타지 e북 &gt; 현대 판타지")</f>
        <v>판타지 e북 &gt; 현대 판타지</v>
      </c>
    </row>
    <row r="217" spans="1:59">
      <c r="A217" t="s">
        <v>60</v>
      </c>
      <c r="B217" s="1">
        <v>46129</v>
      </c>
      <c r="C217">
        <v>2378067642</v>
      </c>
      <c r="D217">
        <v>2378072196</v>
      </c>
      <c r="E217" t="str">
        <f>T("[e북]망나니 PD 아이돌로 살아남기 14권")</f>
        <v>[e북]망나니 PD 아이돌로 살아남기 14권</v>
      </c>
      <c r="F217">
        <v>14</v>
      </c>
      <c r="G217" t="str">
        <f>T("문찐")</f>
        <v>문찐</v>
      </c>
      <c r="J217" t="str">
        <f>T("매드햇")</f>
        <v>매드햇</v>
      </c>
      <c r="K217" t="str">
        <f>T("[e북]망나니 PD 아이돌로 살아남기")</f>
        <v>[e북]망나니 PD 아이돌로 살아남기</v>
      </c>
      <c r="L217">
        <v>3600</v>
      </c>
      <c r="M217">
        <v>14400</v>
      </c>
      <c r="N217">
        <v>4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14400</v>
      </c>
      <c r="AJ217">
        <v>4</v>
      </c>
      <c r="AK217">
        <v>0</v>
      </c>
      <c r="AL217">
        <v>0</v>
      </c>
      <c r="AM217">
        <v>14400</v>
      </c>
      <c r="AN217">
        <v>0</v>
      </c>
      <c r="AO217">
        <v>0</v>
      </c>
      <c r="AP217">
        <v>0</v>
      </c>
      <c r="AQ217">
        <v>0</v>
      </c>
      <c r="AS217">
        <v>0</v>
      </c>
      <c r="AT217">
        <v>0</v>
      </c>
      <c r="AV217">
        <v>0</v>
      </c>
      <c r="AW217">
        <v>0</v>
      </c>
      <c r="AY217">
        <v>0</v>
      </c>
      <c r="AZ217">
        <v>0</v>
      </c>
      <c r="BA217">
        <v>10080</v>
      </c>
      <c r="BE217" t="str">
        <f>T("9791137010208")</f>
        <v>9791137010208</v>
      </c>
      <c r="BF217" t="str">
        <f>T("B000127")</f>
        <v>B000127</v>
      </c>
      <c r="BG217" t="str">
        <f>T("판타지 e북 &gt; 현대 판타지")</f>
        <v>판타지 e북 &gt; 현대 판타지</v>
      </c>
    </row>
    <row r="218" spans="1:59">
      <c r="A218" t="s">
        <v>60</v>
      </c>
      <c r="B218" s="1">
        <v>46129</v>
      </c>
      <c r="C218">
        <v>2378067642</v>
      </c>
      <c r="D218">
        <v>2378072197</v>
      </c>
      <c r="E218" t="str">
        <f>T("[e북]망나니 PD 아이돌로 살아남기 15권")</f>
        <v>[e북]망나니 PD 아이돌로 살아남기 15권</v>
      </c>
      <c r="F218">
        <v>15</v>
      </c>
      <c r="G218" t="str">
        <f>T("문찐")</f>
        <v>문찐</v>
      </c>
      <c r="J218" t="str">
        <f>T("매드햇")</f>
        <v>매드햇</v>
      </c>
      <c r="K218" t="str">
        <f>T("[e북]망나니 PD 아이돌로 살아남기")</f>
        <v>[e북]망나니 PD 아이돌로 살아남기</v>
      </c>
      <c r="L218">
        <v>3600</v>
      </c>
      <c r="M218">
        <v>14400</v>
      </c>
      <c r="N218">
        <v>4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14400</v>
      </c>
      <c r="AJ218">
        <v>4</v>
      </c>
      <c r="AK218">
        <v>0</v>
      </c>
      <c r="AL218">
        <v>0</v>
      </c>
      <c r="AM218">
        <v>14400</v>
      </c>
      <c r="AN218">
        <v>0</v>
      </c>
      <c r="AO218">
        <v>0</v>
      </c>
      <c r="AP218">
        <v>0</v>
      </c>
      <c r="AQ218">
        <v>0</v>
      </c>
      <c r="AS218">
        <v>0</v>
      </c>
      <c r="AT218">
        <v>0</v>
      </c>
      <c r="AV218">
        <v>0</v>
      </c>
      <c r="AW218">
        <v>0</v>
      </c>
      <c r="AY218">
        <v>0</v>
      </c>
      <c r="AZ218">
        <v>0</v>
      </c>
      <c r="BA218">
        <v>10080</v>
      </c>
      <c r="BE218" t="str">
        <f>T("9791137010215")</f>
        <v>9791137010215</v>
      </c>
      <c r="BF218" t="str">
        <f>T("B000128")</f>
        <v>B000128</v>
      </c>
      <c r="BG218" t="str">
        <f>T("판타지 e북 &gt; 현대 판타지")</f>
        <v>판타지 e북 &gt; 현대 판타지</v>
      </c>
    </row>
    <row r="219" spans="1:59">
      <c r="A219" t="s">
        <v>60</v>
      </c>
      <c r="B219" s="1">
        <v>46129</v>
      </c>
      <c r="C219">
        <v>2378067642</v>
      </c>
      <c r="D219">
        <v>2378072198</v>
      </c>
      <c r="E219" t="str">
        <f>T("[e북]망나니 PD 아이돌로 살아남기 16권")</f>
        <v>[e북]망나니 PD 아이돌로 살아남기 16권</v>
      </c>
      <c r="F219">
        <v>16</v>
      </c>
      <c r="G219" t="str">
        <f>T("문찐")</f>
        <v>문찐</v>
      </c>
      <c r="J219" t="str">
        <f>T("매드햇")</f>
        <v>매드햇</v>
      </c>
      <c r="K219" t="str">
        <f>T("[e북]망나니 PD 아이돌로 살아남기")</f>
        <v>[e북]망나니 PD 아이돌로 살아남기</v>
      </c>
      <c r="L219">
        <v>3600</v>
      </c>
      <c r="M219">
        <v>14400</v>
      </c>
      <c r="N219">
        <v>4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14400</v>
      </c>
      <c r="AJ219">
        <v>4</v>
      </c>
      <c r="AK219">
        <v>0</v>
      </c>
      <c r="AL219">
        <v>0</v>
      </c>
      <c r="AM219">
        <v>14400</v>
      </c>
      <c r="AN219">
        <v>0</v>
      </c>
      <c r="AO219">
        <v>0</v>
      </c>
      <c r="AP219">
        <v>0</v>
      </c>
      <c r="AQ219">
        <v>0</v>
      </c>
      <c r="AS219">
        <v>0</v>
      </c>
      <c r="AT219">
        <v>0</v>
      </c>
      <c r="AV219">
        <v>0</v>
      </c>
      <c r="AW219">
        <v>0</v>
      </c>
      <c r="AY219">
        <v>0</v>
      </c>
      <c r="AZ219">
        <v>0</v>
      </c>
      <c r="BA219">
        <v>10080</v>
      </c>
      <c r="BE219" t="str">
        <f>T("9791137010222")</f>
        <v>9791137010222</v>
      </c>
      <c r="BF219" t="str">
        <f>T("B000129")</f>
        <v>B000129</v>
      </c>
      <c r="BG219" t="str">
        <f>T("판타지 e북 &gt; 현대 판타지")</f>
        <v>판타지 e북 &gt; 현대 판타지</v>
      </c>
    </row>
    <row r="220" spans="1:59">
      <c r="A220" t="s">
        <v>60</v>
      </c>
      <c r="B220" s="1">
        <v>46129</v>
      </c>
      <c r="C220">
        <v>2378067642</v>
      </c>
      <c r="D220">
        <v>2378072199</v>
      </c>
      <c r="E220" t="str">
        <f>T("[e북]망나니 PD 아이돌로 살아남기 17권")</f>
        <v>[e북]망나니 PD 아이돌로 살아남기 17권</v>
      </c>
      <c r="F220">
        <v>17</v>
      </c>
      <c r="G220" t="str">
        <f>T("문찐")</f>
        <v>문찐</v>
      </c>
      <c r="J220" t="str">
        <f>T("매드햇")</f>
        <v>매드햇</v>
      </c>
      <c r="K220" t="str">
        <f>T("[e북]망나니 PD 아이돌로 살아남기")</f>
        <v>[e북]망나니 PD 아이돌로 살아남기</v>
      </c>
      <c r="L220">
        <v>3600</v>
      </c>
      <c r="M220">
        <v>14400</v>
      </c>
      <c r="N220">
        <v>4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14400</v>
      </c>
      <c r="AJ220">
        <v>4</v>
      </c>
      <c r="AK220">
        <v>0</v>
      </c>
      <c r="AL220">
        <v>0</v>
      </c>
      <c r="AM220">
        <v>14400</v>
      </c>
      <c r="AN220">
        <v>0</v>
      </c>
      <c r="AO220">
        <v>0</v>
      </c>
      <c r="AP220">
        <v>0</v>
      </c>
      <c r="AQ220">
        <v>0</v>
      </c>
      <c r="AS220">
        <v>0</v>
      </c>
      <c r="AT220">
        <v>0</v>
      </c>
      <c r="AV220">
        <v>0</v>
      </c>
      <c r="AW220">
        <v>0</v>
      </c>
      <c r="AY220">
        <v>0</v>
      </c>
      <c r="AZ220">
        <v>0</v>
      </c>
      <c r="BA220">
        <v>10080</v>
      </c>
      <c r="BE220" t="str">
        <f>T("9791137010239")</f>
        <v>9791137010239</v>
      </c>
      <c r="BF220" t="str">
        <f>T("B000130")</f>
        <v>B000130</v>
      </c>
      <c r="BG220" t="str">
        <f>T("판타지 e북 &gt; 현대 판타지")</f>
        <v>판타지 e북 &gt; 현대 판타지</v>
      </c>
    </row>
    <row r="221" spans="1:59">
      <c r="A221" t="s">
        <v>60</v>
      </c>
      <c r="B221" s="1">
        <v>46129</v>
      </c>
      <c r="C221">
        <v>2378067642</v>
      </c>
      <c r="D221">
        <v>2378072200</v>
      </c>
      <c r="E221" t="str">
        <f>T("[e북]망나니 PD 아이돌로 살아남기 18권")</f>
        <v>[e북]망나니 PD 아이돌로 살아남기 18권</v>
      </c>
      <c r="F221">
        <v>18</v>
      </c>
      <c r="G221" t="str">
        <f>T("문찐")</f>
        <v>문찐</v>
      </c>
      <c r="J221" t="str">
        <f>T("매드햇")</f>
        <v>매드햇</v>
      </c>
      <c r="K221" t="str">
        <f>T("[e북]망나니 PD 아이돌로 살아남기")</f>
        <v>[e북]망나니 PD 아이돌로 살아남기</v>
      </c>
      <c r="L221">
        <v>3600</v>
      </c>
      <c r="M221">
        <v>14400</v>
      </c>
      <c r="N221">
        <v>4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14400</v>
      </c>
      <c r="AJ221">
        <v>4</v>
      </c>
      <c r="AK221">
        <v>0</v>
      </c>
      <c r="AL221">
        <v>0</v>
      </c>
      <c r="AM221">
        <v>14400</v>
      </c>
      <c r="AN221">
        <v>0</v>
      </c>
      <c r="AO221">
        <v>0</v>
      </c>
      <c r="AP221">
        <v>0</v>
      </c>
      <c r="AQ221">
        <v>0</v>
      </c>
      <c r="AS221">
        <v>0</v>
      </c>
      <c r="AT221">
        <v>0</v>
      </c>
      <c r="AV221">
        <v>0</v>
      </c>
      <c r="AW221">
        <v>0</v>
      </c>
      <c r="AY221">
        <v>0</v>
      </c>
      <c r="AZ221">
        <v>0</v>
      </c>
      <c r="BA221">
        <v>10080</v>
      </c>
      <c r="BE221" t="str">
        <f>T("9791137010246")</f>
        <v>9791137010246</v>
      </c>
      <c r="BF221" t="str">
        <f>T("B000131")</f>
        <v>B000131</v>
      </c>
      <c r="BG221" t="str">
        <f>T("판타지 e북 &gt; 현대 판타지")</f>
        <v>판타지 e북 &gt; 현대 판타지</v>
      </c>
    </row>
    <row r="222" spans="1:59">
      <c r="A222" t="s">
        <v>60</v>
      </c>
      <c r="B222" s="1">
        <v>46129</v>
      </c>
      <c r="C222">
        <v>2378067642</v>
      </c>
      <c r="D222">
        <v>2378072201</v>
      </c>
      <c r="E222" t="str">
        <f>T("[e북]망나니 PD 아이돌로 살아남기 19권 (완결)")</f>
        <v>[e북]망나니 PD 아이돌로 살아남기 19권 (완결)</v>
      </c>
      <c r="F222">
        <v>19</v>
      </c>
      <c r="G222" t="str">
        <f>T("문찐")</f>
        <v>문찐</v>
      </c>
      <c r="J222" t="str">
        <f>T("매드햇")</f>
        <v>매드햇</v>
      </c>
      <c r="K222" t="str">
        <f>T("[e북]망나니 PD 아이돌로 살아남기")</f>
        <v>[e북]망나니 PD 아이돌로 살아남기</v>
      </c>
      <c r="L222">
        <v>3600</v>
      </c>
      <c r="M222">
        <v>14400</v>
      </c>
      <c r="N222">
        <v>4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14400</v>
      </c>
      <c r="AJ222">
        <v>4</v>
      </c>
      <c r="AK222">
        <v>0</v>
      </c>
      <c r="AL222">
        <v>0</v>
      </c>
      <c r="AM222">
        <v>14400</v>
      </c>
      <c r="AN222">
        <v>0</v>
      </c>
      <c r="AO222">
        <v>0</v>
      </c>
      <c r="AP222">
        <v>0</v>
      </c>
      <c r="AQ222">
        <v>0</v>
      </c>
      <c r="AS222">
        <v>0</v>
      </c>
      <c r="AT222">
        <v>0</v>
      </c>
      <c r="AV222">
        <v>0</v>
      </c>
      <c r="AW222">
        <v>0</v>
      </c>
      <c r="AY222">
        <v>0</v>
      </c>
      <c r="AZ222">
        <v>0</v>
      </c>
      <c r="BA222">
        <v>10080</v>
      </c>
      <c r="BE222" t="str">
        <f>T("9791137010253")</f>
        <v>9791137010253</v>
      </c>
      <c r="BF222" t="str">
        <f>T("B000132")</f>
        <v>B000132</v>
      </c>
      <c r="BG222" t="str">
        <f>T("판타지 e북 &gt; 현대 판타지")</f>
        <v>판타지 e북 &gt; 현대 판타지</v>
      </c>
    </row>
    <row r="223" spans="1:59">
      <c r="A223" t="s">
        <v>60</v>
      </c>
      <c r="B223" s="1">
        <v>46130</v>
      </c>
      <c r="C223">
        <v>2378067642</v>
      </c>
      <c r="D223">
        <v>2378069575</v>
      </c>
      <c r="E223" t="str">
        <f>T("[e북]망나니 PD 아이돌로 살아남기 10권")</f>
        <v>[e북]망나니 PD 아이돌로 살아남기 10권</v>
      </c>
      <c r="F223">
        <v>10</v>
      </c>
      <c r="G223" t="str">
        <f>T("문찐")</f>
        <v>문찐</v>
      </c>
      <c r="J223" t="str">
        <f>T("매드햇")</f>
        <v>매드햇</v>
      </c>
      <c r="K223" t="str">
        <f>T("[e북]망나니 PD 아이돌로 살아남기")</f>
        <v>[e북]망나니 PD 아이돌로 살아남기</v>
      </c>
      <c r="L223">
        <v>3600</v>
      </c>
      <c r="M223">
        <v>3600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3600</v>
      </c>
      <c r="AJ223">
        <v>1</v>
      </c>
      <c r="AK223">
        <v>0</v>
      </c>
      <c r="AL223">
        <v>0</v>
      </c>
      <c r="AM223">
        <v>3600</v>
      </c>
      <c r="AN223">
        <v>0</v>
      </c>
      <c r="AO223">
        <v>0</v>
      </c>
      <c r="AP223">
        <v>0</v>
      </c>
      <c r="AQ223">
        <v>0</v>
      </c>
      <c r="AS223">
        <v>0</v>
      </c>
      <c r="AT223">
        <v>0</v>
      </c>
      <c r="AV223">
        <v>0</v>
      </c>
      <c r="AW223">
        <v>0</v>
      </c>
      <c r="AY223">
        <v>0</v>
      </c>
      <c r="AZ223">
        <v>0</v>
      </c>
      <c r="BA223">
        <v>2520</v>
      </c>
      <c r="BE223" t="str">
        <f>T("9791137020641")</f>
        <v>9791137020641</v>
      </c>
      <c r="BF223" t="str">
        <f>T("k408827")</f>
        <v>k408827</v>
      </c>
      <c r="BG223" t="str">
        <f>T("판타지 e북 &gt; 현대 판타지")</f>
        <v>판타지 e북 &gt; 현대 판타지</v>
      </c>
    </row>
    <row r="224" spans="1:59">
      <c r="A224" t="s">
        <v>60</v>
      </c>
      <c r="B224" s="1">
        <v>46130</v>
      </c>
      <c r="C224">
        <v>2378067642</v>
      </c>
      <c r="D224">
        <v>2378067642</v>
      </c>
      <c r="E224" t="str">
        <f>T("[e북]망나니 PD 아이돌로 살아남기 1권")</f>
        <v>[e북]망나니 PD 아이돌로 살아남기 1권</v>
      </c>
      <c r="F224">
        <v>1</v>
      </c>
      <c r="G224" t="str">
        <f>T("문찐")</f>
        <v>문찐</v>
      </c>
      <c r="J224" t="str">
        <f>T("매드햇")</f>
        <v>매드햇</v>
      </c>
      <c r="K224" t="str">
        <f>T("[e북]망나니 PD 아이돌로 살아남기")</f>
        <v>[e북]망나니 PD 아이돌로 살아남기</v>
      </c>
      <c r="L224">
        <v>0</v>
      </c>
      <c r="M224">
        <v>0</v>
      </c>
      <c r="N224">
        <v>0</v>
      </c>
      <c r="O224">
        <v>7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7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S224">
        <v>0</v>
      </c>
      <c r="AT224">
        <v>0</v>
      </c>
      <c r="AV224">
        <v>0</v>
      </c>
      <c r="AW224">
        <v>0</v>
      </c>
      <c r="AY224">
        <v>0</v>
      </c>
      <c r="AZ224">
        <v>0</v>
      </c>
      <c r="BA224">
        <v>0</v>
      </c>
      <c r="BE224" t="str">
        <f>T("9791137019553")</f>
        <v>9791137019553</v>
      </c>
      <c r="BF224" t="str">
        <f>T("k335575")</f>
        <v>k335575</v>
      </c>
      <c r="BG224" t="str">
        <f>T("판타지 e북 &gt; 현대 판타지")</f>
        <v>판타지 e북 &gt; 현대 판타지</v>
      </c>
    </row>
    <row r="225" spans="1:59">
      <c r="A225" t="s">
        <v>60</v>
      </c>
      <c r="B225" s="1">
        <v>46130</v>
      </c>
      <c r="C225">
        <v>2378067642</v>
      </c>
      <c r="D225">
        <v>2378067643</v>
      </c>
      <c r="E225" t="str">
        <f>T("[e북]망나니 PD 아이돌로 살아남기 2권")</f>
        <v>[e북]망나니 PD 아이돌로 살아남기 2권</v>
      </c>
      <c r="F225">
        <v>2</v>
      </c>
      <c r="G225" t="str">
        <f>T("문찐")</f>
        <v>문찐</v>
      </c>
      <c r="J225" t="str">
        <f>T("매드햇")</f>
        <v>매드햇</v>
      </c>
      <c r="K225" t="str">
        <f>T("[e북]망나니 PD 아이돌로 살아남기")</f>
        <v>[e북]망나니 PD 아이돌로 살아남기</v>
      </c>
      <c r="L225">
        <v>3600</v>
      </c>
      <c r="M225">
        <v>3600</v>
      </c>
      <c r="N225">
        <v>1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3600</v>
      </c>
      <c r="AJ225">
        <v>1</v>
      </c>
      <c r="AK225">
        <v>0</v>
      </c>
      <c r="AL225">
        <v>0</v>
      </c>
      <c r="AM225">
        <v>3600</v>
      </c>
      <c r="AN225">
        <v>0</v>
      </c>
      <c r="AO225">
        <v>0</v>
      </c>
      <c r="AP225">
        <v>0</v>
      </c>
      <c r="AQ225">
        <v>0</v>
      </c>
      <c r="AS225">
        <v>0</v>
      </c>
      <c r="AT225">
        <v>0</v>
      </c>
      <c r="AV225">
        <v>0</v>
      </c>
      <c r="AW225">
        <v>0</v>
      </c>
      <c r="AY225">
        <v>0</v>
      </c>
      <c r="AZ225">
        <v>0</v>
      </c>
      <c r="BA225">
        <v>2520</v>
      </c>
      <c r="BE225" t="str">
        <f>T("9791137019560")</f>
        <v>9791137019560</v>
      </c>
      <c r="BF225" t="str">
        <f>T("k335576")</f>
        <v>k335576</v>
      </c>
      <c r="BG225" t="str">
        <f>T("판타지 e북 &gt; 현대 판타지")</f>
        <v>판타지 e북 &gt; 현대 판타지</v>
      </c>
    </row>
    <row r="226" spans="1:59">
      <c r="A226" t="s">
        <v>60</v>
      </c>
      <c r="B226" s="1">
        <v>46130</v>
      </c>
      <c r="C226">
        <v>2378067642</v>
      </c>
      <c r="D226">
        <v>2378068698</v>
      </c>
      <c r="E226" t="str">
        <f>T("[e북]망나니 PD 아이돌로 살아남기 (특별 외전)")</f>
        <v>[e북]망나니 PD 아이돌로 살아남기 (특별 외전)</v>
      </c>
      <c r="F226">
        <v>20</v>
      </c>
      <c r="G226" t="str">
        <f>T("문찐")</f>
        <v>문찐</v>
      </c>
      <c r="J226" t="str">
        <f>T("매드햇")</f>
        <v>매드햇</v>
      </c>
      <c r="K226" t="str">
        <f>T("[e북]망나니 PD 아이돌로 살아남기")</f>
        <v>[e북]망나니 PD 아이돌로 살아남기</v>
      </c>
      <c r="L226">
        <v>0</v>
      </c>
      <c r="M226">
        <v>0</v>
      </c>
      <c r="N226">
        <v>0</v>
      </c>
      <c r="O226">
        <v>2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2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S226">
        <v>0</v>
      </c>
      <c r="AT226">
        <v>0</v>
      </c>
      <c r="AV226">
        <v>0</v>
      </c>
      <c r="AW226">
        <v>0</v>
      </c>
      <c r="AY226">
        <v>0</v>
      </c>
      <c r="AZ226">
        <v>0</v>
      </c>
      <c r="BA226">
        <v>0</v>
      </c>
      <c r="BE226" t="str">
        <f>T("9791137020368")</f>
        <v>9791137020368</v>
      </c>
      <c r="BF226" t="str">
        <f>T("k385674")</f>
        <v>k385674</v>
      </c>
      <c r="BG226" t="str">
        <f>T("판타지 e북 &gt; 현대 판타지")</f>
        <v>판타지 e북 &gt; 현대 판타지</v>
      </c>
    </row>
    <row r="227" spans="1:59">
      <c r="A227" t="s">
        <v>60</v>
      </c>
      <c r="B227" s="1">
        <v>46130</v>
      </c>
      <c r="C227">
        <v>2378067642</v>
      </c>
      <c r="D227">
        <v>2378069576</v>
      </c>
      <c r="E227" t="str">
        <f>T("[e북]망나니 PD 아이돌로 살아남기 11권")</f>
        <v>[e북]망나니 PD 아이돌로 살아남기 11권</v>
      </c>
      <c r="F227">
        <v>11</v>
      </c>
      <c r="G227" t="str">
        <f>T("문찐")</f>
        <v>문찐</v>
      </c>
      <c r="J227" t="str">
        <f>T("매드햇")</f>
        <v>매드햇</v>
      </c>
      <c r="K227" t="str">
        <f>T("[e북]망나니 PD 아이돌로 살아남기")</f>
        <v>[e북]망나니 PD 아이돌로 살아남기</v>
      </c>
      <c r="L227">
        <v>3600</v>
      </c>
      <c r="M227">
        <v>7200</v>
      </c>
      <c r="N227">
        <v>2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7200</v>
      </c>
      <c r="AJ227">
        <v>2</v>
      </c>
      <c r="AK227">
        <v>0</v>
      </c>
      <c r="AL227">
        <v>0</v>
      </c>
      <c r="AM227">
        <v>7200</v>
      </c>
      <c r="AN227">
        <v>0</v>
      </c>
      <c r="AO227">
        <v>0</v>
      </c>
      <c r="AP227">
        <v>0</v>
      </c>
      <c r="AQ227">
        <v>0</v>
      </c>
      <c r="AS227">
        <v>0</v>
      </c>
      <c r="AT227">
        <v>0</v>
      </c>
      <c r="AV227">
        <v>0</v>
      </c>
      <c r="AW227">
        <v>0</v>
      </c>
      <c r="AY227">
        <v>0</v>
      </c>
      <c r="AZ227">
        <v>0</v>
      </c>
      <c r="BA227">
        <v>5040</v>
      </c>
      <c r="BE227" t="str">
        <f>T("9791137020658")</f>
        <v>9791137020658</v>
      </c>
      <c r="BF227" t="str">
        <f>T("k408828")</f>
        <v>k408828</v>
      </c>
      <c r="BG227" t="str">
        <f>T("판타지 e북 &gt; 현대 판타지")</f>
        <v>판타지 e북 &gt; 현대 판타지</v>
      </c>
    </row>
    <row r="228" spans="1:59">
      <c r="A228" t="s">
        <v>60</v>
      </c>
      <c r="B228" s="1">
        <v>46130</v>
      </c>
      <c r="C228">
        <v>2378067642</v>
      </c>
      <c r="D228">
        <v>2378069577</v>
      </c>
      <c r="E228" t="str">
        <f>T("[e북]망나니 PD 아이돌로 살아남기 12권")</f>
        <v>[e북]망나니 PD 아이돌로 살아남기 12권</v>
      </c>
      <c r="F228">
        <v>12</v>
      </c>
      <c r="G228" t="str">
        <f>T("문찐")</f>
        <v>문찐</v>
      </c>
      <c r="J228" t="str">
        <f>T("매드햇")</f>
        <v>매드햇</v>
      </c>
      <c r="K228" t="str">
        <f>T("[e북]망나니 PD 아이돌로 살아남기")</f>
        <v>[e북]망나니 PD 아이돌로 살아남기</v>
      </c>
      <c r="L228">
        <v>3600</v>
      </c>
      <c r="M228">
        <v>7200</v>
      </c>
      <c r="N228">
        <v>2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7200</v>
      </c>
      <c r="AJ228">
        <v>2</v>
      </c>
      <c r="AK228">
        <v>0</v>
      </c>
      <c r="AL228">
        <v>0</v>
      </c>
      <c r="AM228">
        <v>7200</v>
      </c>
      <c r="AN228">
        <v>0</v>
      </c>
      <c r="AO228">
        <v>0</v>
      </c>
      <c r="AP228">
        <v>0</v>
      </c>
      <c r="AQ228">
        <v>0</v>
      </c>
      <c r="AS228">
        <v>0</v>
      </c>
      <c r="AT228">
        <v>0</v>
      </c>
      <c r="AV228">
        <v>0</v>
      </c>
      <c r="AW228">
        <v>0</v>
      </c>
      <c r="AY228">
        <v>0</v>
      </c>
      <c r="AZ228">
        <v>0</v>
      </c>
      <c r="BA228">
        <v>5040</v>
      </c>
      <c r="BE228" t="str">
        <f>T("9791137020665")</f>
        <v>9791137020665</v>
      </c>
      <c r="BF228" t="str">
        <f>T("k408829")</f>
        <v>k408829</v>
      </c>
      <c r="BG228" t="str">
        <f>T("판타지 e북 &gt; 현대 판타지")</f>
        <v>판타지 e북 &gt; 현대 판타지</v>
      </c>
    </row>
    <row r="229" spans="1:59">
      <c r="A229" t="s">
        <v>60</v>
      </c>
      <c r="B229" s="1">
        <v>46130</v>
      </c>
      <c r="C229">
        <v>2378067642</v>
      </c>
      <c r="D229">
        <v>2378072195</v>
      </c>
      <c r="E229" t="str">
        <f>T("[e북]망나니 PD 아이돌로 살아남기 13권")</f>
        <v>[e북]망나니 PD 아이돌로 살아남기 13권</v>
      </c>
      <c r="F229">
        <v>13</v>
      </c>
      <c r="G229" t="str">
        <f>T("문찐")</f>
        <v>문찐</v>
      </c>
      <c r="J229" t="str">
        <f>T("매드햇")</f>
        <v>매드햇</v>
      </c>
      <c r="K229" t="str">
        <f>T("[e북]망나니 PD 아이돌로 살아남기")</f>
        <v>[e북]망나니 PD 아이돌로 살아남기</v>
      </c>
      <c r="L229">
        <v>3600</v>
      </c>
      <c r="M229">
        <v>3600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3600</v>
      </c>
      <c r="AJ229">
        <v>1</v>
      </c>
      <c r="AK229">
        <v>0</v>
      </c>
      <c r="AL229">
        <v>0</v>
      </c>
      <c r="AM229">
        <v>3600</v>
      </c>
      <c r="AN229">
        <v>0</v>
      </c>
      <c r="AO229">
        <v>0</v>
      </c>
      <c r="AP229">
        <v>0</v>
      </c>
      <c r="AQ229">
        <v>0</v>
      </c>
      <c r="AS229">
        <v>0</v>
      </c>
      <c r="AT229">
        <v>0</v>
      </c>
      <c r="AV229">
        <v>0</v>
      </c>
      <c r="AW229">
        <v>0</v>
      </c>
      <c r="AY229">
        <v>0</v>
      </c>
      <c r="AZ229">
        <v>0</v>
      </c>
      <c r="BA229">
        <v>2520</v>
      </c>
      <c r="BE229" t="str">
        <f>T("9791137010192")</f>
        <v>9791137010192</v>
      </c>
      <c r="BF229" t="str">
        <f>T("B000126")</f>
        <v>B000126</v>
      </c>
      <c r="BG229" t="str">
        <f>T("판타지 e북 &gt; 현대 판타지")</f>
        <v>판타지 e북 &gt; 현대 판타지</v>
      </c>
    </row>
    <row r="230" spans="1:59">
      <c r="A230" t="s">
        <v>60</v>
      </c>
      <c r="B230" s="1">
        <v>46130</v>
      </c>
      <c r="C230">
        <v>2378067642</v>
      </c>
      <c r="D230">
        <v>2378072196</v>
      </c>
      <c r="E230" t="str">
        <f>T("[e북]망나니 PD 아이돌로 살아남기 14권")</f>
        <v>[e북]망나니 PD 아이돌로 살아남기 14권</v>
      </c>
      <c r="F230">
        <v>14</v>
      </c>
      <c r="G230" t="str">
        <f>T("문찐")</f>
        <v>문찐</v>
      </c>
      <c r="J230" t="str">
        <f>T("매드햇")</f>
        <v>매드햇</v>
      </c>
      <c r="K230" t="str">
        <f>T("[e북]망나니 PD 아이돌로 살아남기")</f>
        <v>[e북]망나니 PD 아이돌로 살아남기</v>
      </c>
      <c r="L230">
        <v>3600</v>
      </c>
      <c r="M230">
        <v>3600</v>
      </c>
      <c r="N230">
        <v>1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3600</v>
      </c>
      <c r="AJ230">
        <v>1</v>
      </c>
      <c r="AK230">
        <v>0</v>
      </c>
      <c r="AL230">
        <v>0</v>
      </c>
      <c r="AM230">
        <v>3600</v>
      </c>
      <c r="AN230">
        <v>0</v>
      </c>
      <c r="AO230">
        <v>0</v>
      </c>
      <c r="AP230">
        <v>0</v>
      </c>
      <c r="AQ230">
        <v>0</v>
      </c>
      <c r="AS230">
        <v>0</v>
      </c>
      <c r="AT230">
        <v>0</v>
      </c>
      <c r="AV230">
        <v>0</v>
      </c>
      <c r="AW230">
        <v>0</v>
      </c>
      <c r="AY230">
        <v>0</v>
      </c>
      <c r="AZ230">
        <v>0</v>
      </c>
      <c r="BA230">
        <v>2520</v>
      </c>
      <c r="BE230" t="str">
        <f>T("9791137010208")</f>
        <v>9791137010208</v>
      </c>
      <c r="BF230" t="str">
        <f>T("B000127")</f>
        <v>B000127</v>
      </c>
      <c r="BG230" t="str">
        <f>T("판타지 e북 &gt; 현대 판타지")</f>
        <v>판타지 e북 &gt; 현대 판타지</v>
      </c>
    </row>
    <row r="231" spans="1:59">
      <c r="A231" t="s">
        <v>60</v>
      </c>
      <c r="B231" s="1">
        <v>46130</v>
      </c>
      <c r="C231">
        <v>2378067642</v>
      </c>
      <c r="D231">
        <v>2378072197</v>
      </c>
      <c r="E231" t="str">
        <f>T("[e북]망나니 PD 아이돌로 살아남기 15권")</f>
        <v>[e북]망나니 PD 아이돌로 살아남기 15권</v>
      </c>
      <c r="F231">
        <v>15</v>
      </c>
      <c r="G231" t="str">
        <f>T("문찐")</f>
        <v>문찐</v>
      </c>
      <c r="J231" t="str">
        <f>T("매드햇")</f>
        <v>매드햇</v>
      </c>
      <c r="K231" t="str">
        <f>T("[e북]망나니 PD 아이돌로 살아남기")</f>
        <v>[e북]망나니 PD 아이돌로 살아남기</v>
      </c>
      <c r="L231">
        <v>3600</v>
      </c>
      <c r="M231">
        <v>3600</v>
      </c>
      <c r="N231">
        <v>1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3600</v>
      </c>
      <c r="AJ231">
        <v>1</v>
      </c>
      <c r="AK231">
        <v>0</v>
      </c>
      <c r="AL231">
        <v>0</v>
      </c>
      <c r="AM231">
        <v>3600</v>
      </c>
      <c r="AN231">
        <v>0</v>
      </c>
      <c r="AO231">
        <v>0</v>
      </c>
      <c r="AP231">
        <v>0</v>
      </c>
      <c r="AQ231">
        <v>0</v>
      </c>
      <c r="AS231">
        <v>0</v>
      </c>
      <c r="AT231">
        <v>0</v>
      </c>
      <c r="AV231">
        <v>0</v>
      </c>
      <c r="AW231">
        <v>0</v>
      </c>
      <c r="AY231">
        <v>0</v>
      </c>
      <c r="AZ231">
        <v>0</v>
      </c>
      <c r="BA231">
        <v>2520</v>
      </c>
      <c r="BE231" t="str">
        <f>T("9791137010215")</f>
        <v>9791137010215</v>
      </c>
      <c r="BF231" t="str">
        <f>T("B000128")</f>
        <v>B000128</v>
      </c>
      <c r="BG231" t="str">
        <f>T("판타지 e북 &gt; 현대 판타지")</f>
        <v>판타지 e북 &gt; 현대 판타지</v>
      </c>
    </row>
    <row r="232" spans="1:59">
      <c r="A232" t="s">
        <v>60</v>
      </c>
      <c r="B232" s="1">
        <v>46130</v>
      </c>
      <c r="C232">
        <v>2378067642</v>
      </c>
      <c r="D232">
        <v>2378072198</v>
      </c>
      <c r="E232" t="str">
        <f>T("[e북]망나니 PD 아이돌로 살아남기 16권")</f>
        <v>[e북]망나니 PD 아이돌로 살아남기 16권</v>
      </c>
      <c r="F232">
        <v>16</v>
      </c>
      <c r="G232" t="str">
        <f>T("문찐")</f>
        <v>문찐</v>
      </c>
      <c r="J232" t="str">
        <f>T("매드햇")</f>
        <v>매드햇</v>
      </c>
      <c r="K232" t="str">
        <f>T("[e북]망나니 PD 아이돌로 살아남기")</f>
        <v>[e북]망나니 PD 아이돌로 살아남기</v>
      </c>
      <c r="L232">
        <v>3600</v>
      </c>
      <c r="M232">
        <v>3600</v>
      </c>
      <c r="N232">
        <v>1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3600</v>
      </c>
      <c r="AJ232">
        <v>1</v>
      </c>
      <c r="AK232">
        <v>0</v>
      </c>
      <c r="AL232">
        <v>0</v>
      </c>
      <c r="AM232">
        <v>3600</v>
      </c>
      <c r="AN232">
        <v>0</v>
      </c>
      <c r="AO232">
        <v>0</v>
      </c>
      <c r="AP232">
        <v>0</v>
      </c>
      <c r="AQ232">
        <v>0</v>
      </c>
      <c r="AS232">
        <v>0</v>
      </c>
      <c r="AT232">
        <v>0</v>
      </c>
      <c r="AV232">
        <v>0</v>
      </c>
      <c r="AW232">
        <v>0</v>
      </c>
      <c r="AY232">
        <v>0</v>
      </c>
      <c r="AZ232">
        <v>0</v>
      </c>
      <c r="BA232">
        <v>2520</v>
      </c>
      <c r="BE232" t="str">
        <f>T("9791137010222")</f>
        <v>9791137010222</v>
      </c>
      <c r="BF232" t="str">
        <f>T("B000129")</f>
        <v>B000129</v>
      </c>
      <c r="BG232" t="str">
        <f>T("판타지 e북 &gt; 현대 판타지")</f>
        <v>판타지 e북 &gt; 현대 판타지</v>
      </c>
    </row>
    <row r="233" spans="1:59">
      <c r="A233" t="s">
        <v>60</v>
      </c>
      <c r="B233" s="1">
        <v>46130</v>
      </c>
      <c r="C233">
        <v>2378067642</v>
      </c>
      <c r="D233">
        <v>2378072199</v>
      </c>
      <c r="E233" t="str">
        <f>T("[e북]망나니 PD 아이돌로 살아남기 17권")</f>
        <v>[e북]망나니 PD 아이돌로 살아남기 17권</v>
      </c>
      <c r="F233">
        <v>17</v>
      </c>
      <c r="G233" t="str">
        <f>T("문찐")</f>
        <v>문찐</v>
      </c>
      <c r="J233" t="str">
        <f>T("매드햇")</f>
        <v>매드햇</v>
      </c>
      <c r="K233" t="str">
        <f>T("[e북]망나니 PD 아이돌로 살아남기")</f>
        <v>[e북]망나니 PD 아이돌로 살아남기</v>
      </c>
      <c r="L233">
        <v>3600</v>
      </c>
      <c r="M233">
        <v>3600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3600</v>
      </c>
      <c r="AJ233">
        <v>1</v>
      </c>
      <c r="AK233">
        <v>0</v>
      </c>
      <c r="AL233">
        <v>0</v>
      </c>
      <c r="AM233">
        <v>3600</v>
      </c>
      <c r="AN233">
        <v>0</v>
      </c>
      <c r="AO233">
        <v>0</v>
      </c>
      <c r="AP233">
        <v>0</v>
      </c>
      <c r="AQ233">
        <v>0</v>
      </c>
      <c r="AS233">
        <v>0</v>
      </c>
      <c r="AT233">
        <v>0</v>
      </c>
      <c r="AV233">
        <v>0</v>
      </c>
      <c r="AW233">
        <v>0</v>
      </c>
      <c r="AY233">
        <v>0</v>
      </c>
      <c r="AZ233">
        <v>0</v>
      </c>
      <c r="BA233">
        <v>2520</v>
      </c>
      <c r="BE233" t="str">
        <f>T("9791137010239")</f>
        <v>9791137010239</v>
      </c>
      <c r="BF233" t="str">
        <f>T("B000130")</f>
        <v>B000130</v>
      </c>
      <c r="BG233" t="str">
        <f>T("판타지 e북 &gt; 현대 판타지")</f>
        <v>판타지 e북 &gt; 현대 판타지</v>
      </c>
    </row>
    <row r="234" spans="1:59">
      <c r="A234" t="s">
        <v>60</v>
      </c>
      <c r="B234" s="1">
        <v>46130</v>
      </c>
      <c r="C234">
        <v>2378067642</v>
      </c>
      <c r="D234">
        <v>2378072200</v>
      </c>
      <c r="E234" t="str">
        <f>T("[e북]망나니 PD 아이돌로 살아남기 18권")</f>
        <v>[e북]망나니 PD 아이돌로 살아남기 18권</v>
      </c>
      <c r="F234">
        <v>18</v>
      </c>
      <c r="G234" t="str">
        <f>T("문찐")</f>
        <v>문찐</v>
      </c>
      <c r="J234" t="str">
        <f>T("매드햇")</f>
        <v>매드햇</v>
      </c>
      <c r="K234" t="str">
        <f>T("[e북]망나니 PD 아이돌로 살아남기")</f>
        <v>[e북]망나니 PD 아이돌로 살아남기</v>
      </c>
      <c r="L234">
        <v>3600</v>
      </c>
      <c r="M234">
        <v>3600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3600</v>
      </c>
      <c r="AJ234">
        <v>1</v>
      </c>
      <c r="AK234">
        <v>0</v>
      </c>
      <c r="AL234">
        <v>0</v>
      </c>
      <c r="AM234">
        <v>3600</v>
      </c>
      <c r="AN234">
        <v>0</v>
      </c>
      <c r="AO234">
        <v>0</v>
      </c>
      <c r="AP234">
        <v>0</v>
      </c>
      <c r="AQ234">
        <v>0</v>
      </c>
      <c r="AS234">
        <v>0</v>
      </c>
      <c r="AT234">
        <v>0</v>
      </c>
      <c r="AV234">
        <v>0</v>
      </c>
      <c r="AW234">
        <v>0</v>
      </c>
      <c r="AY234">
        <v>0</v>
      </c>
      <c r="AZ234">
        <v>0</v>
      </c>
      <c r="BA234">
        <v>2520</v>
      </c>
      <c r="BE234" t="str">
        <f>T("9791137010246")</f>
        <v>9791137010246</v>
      </c>
      <c r="BF234" t="str">
        <f>T("B000131")</f>
        <v>B000131</v>
      </c>
      <c r="BG234" t="str">
        <f>T("판타지 e북 &gt; 현대 판타지")</f>
        <v>판타지 e북 &gt; 현대 판타지</v>
      </c>
    </row>
    <row r="235" spans="1:59">
      <c r="A235" t="s">
        <v>60</v>
      </c>
      <c r="B235" s="1">
        <v>46130</v>
      </c>
      <c r="C235">
        <v>2378067642</v>
      </c>
      <c r="D235">
        <v>2378072201</v>
      </c>
      <c r="E235" t="str">
        <f>T("[e북]망나니 PD 아이돌로 살아남기 19권 (완결)")</f>
        <v>[e북]망나니 PD 아이돌로 살아남기 19권 (완결)</v>
      </c>
      <c r="F235">
        <v>19</v>
      </c>
      <c r="G235" t="str">
        <f>T("문찐")</f>
        <v>문찐</v>
      </c>
      <c r="J235" t="str">
        <f>T("매드햇")</f>
        <v>매드햇</v>
      </c>
      <c r="K235" t="str">
        <f>T("[e북]망나니 PD 아이돌로 살아남기")</f>
        <v>[e북]망나니 PD 아이돌로 살아남기</v>
      </c>
      <c r="L235">
        <v>3600</v>
      </c>
      <c r="M235">
        <v>3600</v>
      </c>
      <c r="N235">
        <v>1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3600</v>
      </c>
      <c r="AJ235">
        <v>1</v>
      </c>
      <c r="AK235">
        <v>0</v>
      </c>
      <c r="AL235">
        <v>0</v>
      </c>
      <c r="AM235">
        <v>3600</v>
      </c>
      <c r="AN235">
        <v>0</v>
      </c>
      <c r="AO235">
        <v>0</v>
      </c>
      <c r="AP235">
        <v>0</v>
      </c>
      <c r="AQ235">
        <v>0</v>
      </c>
      <c r="AS235">
        <v>0</v>
      </c>
      <c r="AT235">
        <v>0</v>
      </c>
      <c r="AV235">
        <v>0</v>
      </c>
      <c r="AW235">
        <v>0</v>
      </c>
      <c r="AY235">
        <v>0</v>
      </c>
      <c r="AZ235">
        <v>0</v>
      </c>
      <c r="BA235">
        <v>2520</v>
      </c>
      <c r="BE235" t="str">
        <f>T("9791137010253")</f>
        <v>9791137010253</v>
      </c>
      <c r="BF235" t="str">
        <f>T("B000132")</f>
        <v>B000132</v>
      </c>
      <c r="BG235" t="str">
        <f>T("판타지 e북 &gt; 현대 판타지")</f>
        <v>판타지 e북 &gt; 현대 판타지</v>
      </c>
    </row>
    <row r="236" spans="1:59">
      <c r="A236" t="s">
        <v>60</v>
      </c>
      <c r="B236" s="1">
        <v>46130</v>
      </c>
      <c r="C236">
        <v>2378067642</v>
      </c>
      <c r="D236">
        <v>2378067647</v>
      </c>
      <c r="E236" t="str">
        <f>T("[e북]망나니 PD 아이돌로 살아남기 6권")</f>
        <v>[e북]망나니 PD 아이돌로 살아남기 6권</v>
      </c>
      <c r="F236">
        <v>6</v>
      </c>
      <c r="G236" t="str">
        <f>T("문찐")</f>
        <v>문찐</v>
      </c>
      <c r="J236" t="str">
        <f>T("매드햇")</f>
        <v>매드햇</v>
      </c>
      <c r="K236" t="str">
        <f>T("[e북]망나니 PD 아이돌로 살아남기")</f>
        <v>[e북]망나니 PD 아이돌로 살아남기</v>
      </c>
      <c r="L236">
        <v>3600</v>
      </c>
      <c r="M236">
        <v>7200</v>
      </c>
      <c r="N236">
        <v>2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7200</v>
      </c>
      <c r="AJ236">
        <v>2</v>
      </c>
      <c r="AK236">
        <v>0</v>
      </c>
      <c r="AL236">
        <v>0</v>
      </c>
      <c r="AM236">
        <v>3600</v>
      </c>
      <c r="AN236">
        <v>0</v>
      </c>
      <c r="AO236">
        <v>4320</v>
      </c>
      <c r="AP236">
        <v>-1296</v>
      </c>
      <c r="AQ236">
        <v>0</v>
      </c>
      <c r="AR236">
        <v>4320</v>
      </c>
      <c r="AS236">
        <v>-1296</v>
      </c>
      <c r="AT236">
        <v>0</v>
      </c>
      <c r="AV236">
        <v>0</v>
      </c>
      <c r="AW236">
        <v>0</v>
      </c>
      <c r="AY236">
        <v>0</v>
      </c>
      <c r="AZ236">
        <v>0</v>
      </c>
      <c r="BA236">
        <v>4636.8</v>
      </c>
      <c r="BE236" t="str">
        <f>T("9791137019607")</f>
        <v>9791137019607</v>
      </c>
      <c r="BF236" t="str">
        <f>T("k335580")</f>
        <v>k335580</v>
      </c>
      <c r="BG236" t="str">
        <f>T("판타지 e북 &gt; 현대 판타지")</f>
        <v>판타지 e북 &gt; 현대 판타지</v>
      </c>
    </row>
    <row r="237" spans="1:59">
      <c r="A237" t="s">
        <v>60</v>
      </c>
      <c r="B237" s="1">
        <v>46130</v>
      </c>
      <c r="C237">
        <v>2378067642</v>
      </c>
      <c r="D237">
        <v>2378067645</v>
      </c>
      <c r="E237" t="str">
        <f>T("[e북]망나니 PD 아이돌로 살아남기 4권")</f>
        <v>[e북]망나니 PD 아이돌로 살아남기 4권</v>
      </c>
      <c r="F237">
        <v>4</v>
      </c>
      <c r="G237" t="str">
        <f>T("문찐")</f>
        <v>문찐</v>
      </c>
      <c r="J237" t="str">
        <f>T("매드햇")</f>
        <v>매드햇</v>
      </c>
      <c r="K237" t="str">
        <f>T("[e북]망나니 PD 아이돌로 살아남기")</f>
        <v>[e북]망나니 PD 아이돌로 살아남기</v>
      </c>
      <c r="L237">
        <v>3600</v>
      </c>
      <c r="M237">
        <v>3600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3600</v>
      </c>
      <c r="AJ237">
        <v>1</v>
      </c>
      <c r="AK237">
        <v>0</v>
      </c>
      <c r="AL237">
        <v>0</v>
      </c>
      <c r="AM237">
        <v>2130</v>
      </c>
      <c r="AN237">
        <v>0</v>
      </c>
      <c r="AO237">
        <v>1764</v>
      </c>
      <c r="AP237">
        <v>-529.20000000000005</v>
      </c>
      <c r="AQ237">
        <v>0</v>
      </c>
      <c r="AR237">
        <v>1764</v>
      </c>
      <c r="AS237">
        <v>-529.20000000000005</v>
      </c>
      <c r="AT237">
        <v>0</v>
      </c>
      <c r="AV237">
        <v>0</v>
      </c>
      <c r="AW237">
        <v>0</v>
      </c>
      <c r="AY237">
        <v>0</v>
      </c>
      <c r="AZ237">
        <v>0</v>
      </c>
      <c r="BA237">
        <v>2355.36</v>
      </c>
      <c r="BE237" t="str">
        <f>T("9791137019584")</f>
        <v>9791137019584</v>
      </c>
      <c r="BF237" t="str">
        <f>T("k335578")</f>
        <v>k335578</v>
      </c>
      <c r="BG237" t="str">
        <f>T("판타지 e북 &gt; 현대 판타지")</f>
        <v>판타지 e북 &gt; 현대 판타지</v>
      </c>
    </row>
    <row r="238" spans="1:59">
      <c r="A238" t="s">
        <v>60</v>
      </c>
      <c r="B238" s="1">
        <v>46130</v>
      </c>
      <c r="C238">
        <v>2378067642</v>
      </c>
      <c r="D238">
        <v>2378067646</v>
      </c>
      <c r="E238" t="str">
        <f>T("[e북]망나니 PD 아이돌로 살아남기 5권")</f>
        <v>[e북]망나니 PD 아이돌로 살아남기 5권</v>
      </c>
      <c r="F238">
        <v>5</v>
      </c>
      <c r="G238" t="str">
        <f>T("문찐")</f>
        <v>문찐</v>
      </c>
      <c r="J238" t="str">
        <f>T("매드햇")</f>
        <v>매드햇</v>
      </c>
      <c r="K238" t="str">
        <f>T("[e북]망나니 PD 아이돌로 살아남기")</f>
        <v>[e북]망나니 PD 아이돌로 살아남기</v>
      </c>
      <c r="L238">
        <v>3600</v>
      </c>
      <c r="M238">
        <v>3600</v>
      </c>
      <c r="N238">
        <v>1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3600</v>
      </c>
      <c r="AJ238">
        <v>1</v>
      </c>
      <c r="AK238">
        <v>0</v>
      </c>
      <c r="AL238">
        <v>0</v>
      </c>
      <c r="AM238">
        <v>3600</v>
      </c>
      <c r="AN238">
        <v>0</v>
      </c>
      <c r="AO238">
        <v>0</v>
      </c>
      <c r="AP238">
        <v>0</v>
      </c>
      <c r="AQ238">
        <v>0</v>
      </c>
      <c r="AS238">
        <v>0</v>
      </c>
      <c r="AT238">
        <v>0</v>
      </c>
      <c r="AV238">
        <v>0</v>
      </c>
      <c r="AW238">
        <v>0</v>
      </c>
      <c r="AY238">
        <v>0</v>
      </c>
      <c r="AZ238">
        <v>0</v>
      </c>
      <c r="BA238">
        <v>2520</v>
      </c>
      <c r="BE238" t="str">
        <f>T("9791137019591")</f>
        <v>9791137019591</v>
      </c>
      <c r="BF238" t="str">
        <f>T("k335579")</f>
        <v>k335579</v>
      </c>
      <c r="BG238" t="str">
        <f>T("판타지 e북 &gt; 현대 판타지")</f>
        <v>판타지 e북 &gt; 현대 판타지</v>
      </c>
    </row>
    <row r="239" spans="1:59">
      <c r="A239" t="s">
        <v>60</v>
      </c>
      <c r="B239" s="1">
        <v>46130</v>
      </c>
      <c r="C239">
        <v>2378067642</v>
      </c>
      <c r="D239">
        <v>2378067644</v>
      </c>
      <c r="E239" t="str">
        <f>T("[e북]망나니 PD 아이돌로 살아남기 3권")</f>
        <v>[e북]망나니 PD 아이돌로 살아남기 3권</v>
      </c>
      <c r="F239">
        <v>3</v>
      </c>
      <c r="G239" t="str">
        <f>T("문찐")</f>
        <v>문찐</v>
      </c>
      <c r="J239" t="str">
        <f>T("매드햇")</f>
        <v>매드햇</v>
      </c>
      <c r="K239" t="str">
        <f>T("[e북]망나니 PD 아이돌로 살아남기")</f>
        <v>[e북]망나니 PD 아이돌로 살아남기</v>
      </c>
      <c r="L239">
        <v>3600</v>
      </c>
      <c r="M239">
        <v>3600</v>
      </c>
      <c r="N239">
        <v>1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3600</v>
      </c>
      <c r="AJ239">
        <v>1</v>
      </c>
      <c r="AK239">
        <v>0</v>
      </c>
      <c r="AL239">
        <v>0</v>
      </c>
      <c r="AM239">
        <v>3600</v>
      </c>
      <c r="AN239">
        <v>0</v>
      </c>
      <c r="AO239">
        <v>0</v>
      </c>
      <c r="AP239">
        <v>0</v>
      </c>
      <c r="AQ239">
        <v>0</v>
      </c>
      <c r="AS239">
        <v>0</v>
      </c>
      <c r="AT239">
        <v>0</v>
      </c>
      <c r="AV239">
        <v>0</v>
      </c>
      <c r="AW239">
        <v>0</v>
      </c>
      <c r="AY239">
        <v>0</v>
      </c>
      <c r="AZ239">
        <v>0</v>
      </c>
      <c r="BA239">
        <v>2520</v>
      </c>
      <c r="BE239" t="str">
        <f>T("9791137019577")</f>
        <v>9791137019577</v>
      </c>
      <c r="BF239" t="str">
        <f>T("k335577")</f>
        <v>k335577</v>
      </c>
      <c r="BG239" t="str">
        <f>T("판타지 e북 &gt; 현대 판타지")</f>
        <v>판타지 e북 &gt; 현대 판타지</v>
      </c>
    </row>
    <row r="240" spans="1:59">
      <c r="A240" t="s">
        <v>60</v>
      </c>
      <c r="B240" s="1">
        <v>46130</v>
      </c>
      <c r="C240">
        <v>2378067642</v>
      </c>
      <c r="D240">
        <v>2378067648</v>
      </c>
      <c r="E240" t="str">
        <f>T("[e북]망나니 PD 아이돌로 살아남기 7권")</f>
        <v>[e북]망나니 PD 아이돌로 살아남기 7권</v>
      </c>
      <c r="F240">
        <v>7</v>
      </c>
      <c r="G240" t="str">
        <f>T("문찐")</f>
        <v>문찐</v>
      </c>
      <c r="J240" t="str">
        <f>T("매드햇")</f>
        <v>매드햇</v>
      </c>
      <c r="K240" t="str">
        <f>T("[e북]망나니 PD 아이돌로 살아남기")</f>
        <v>[e북]망나니 PD 아이돌로 살아남기</v>
      </c>
      <c r="L240">
        <v>3600</v>
      </c>
      <c r="M240">
        <v>3600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3600</v>
      </c>
      <c r="AJ240">
        <v>1</v>
      </c>
      <c r="AK240">
        <v>0</v>
      </c>
      <c r="AL240">
        <v>0</v>
      </c>
      <c r="AM240">
        <v>3600</v>
      </c>
      <c r="AN240">
        <v>0</v>
      </c>
      <c r="AO240">
        <v>0</v>
      </c>
      <c r="AP240">
        <v>0</v>
      </c>
      <c r="AQ240">
        <v>0</v>
      </c>
      <c r="AS240">
        <v>0</v>
      </c>
      <c r="AT240">
        <v>0</v>
      </c>
      <c r="AV240">
        <v>0</v>
      </c>
      <c r="AW240">
        <v>0</v>
      </c>
      <c r="AY240">
        <v>0</v>
      </c>
      <c r="AZ240">
        <v>0</v>
      </c>
      <c r="BA240">
        <v>2520</v>
      </c>
      <c r="BE240" t="str">
        <f>T("9791137019614")</f>
        <v>9791137019614</v>
      </c>
      <c r="BF240" t="str">
        <f>T("k335581")</f>
        <v>k335581</v>
      </c>
      <c r="BG240" t="str">
        <f>T("판타지 e북 &gt; 현대 판타지")</f>
        <v>판타지 e북 &gt; 현대 판타지</v>
      </c>
    </row>
    <row r="241" spans="1:59">
      <c r="A241" t="s">
        <v>60</v>
      </c>
      <c r="B241" s="1">
        <v>46131</v>
      </c>
      <c r="C241">
        <v>2378067642</v>
      </c>
      <c r="D241">
        <v>2378067645</v>
      </c>
      <c r="E241" t="str">
        <f>T("[e북]망나니 PD 아이돌로 살아남기 4권")</f>
        <v>[e북]망나니 PD 아이돌로 살아남기 4권</v>
      </c>
      <c r="F241">
        <v>4</v>
      </c>
      <c r="G241" t="str">
        <f>T("문찐")</f>
        <v>문찐</v>
      </c>
      <c r="J241" t="str">
        <f>T("매드햇")</f>
        <v>매드햇</v>
      </c>
      <c r="K241" t="str">
        <f>T("[e북]망나니 PD 아이돌로 살아남기")</f>
        <v>[e북]망나니 PD 아이돌로 살아남기</v>
      </c>
      <c r="L241">
        <v>3600</v>
      </c>
      <c r="M241">
        <v>7200</v>
      </c>
      <c r="N241">
        <v>2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7200</v>
      </c>
      <c r="AJ241">
        <v>2</v>
      </c>
      <c r="AK241">
        <v>0</v>
      </c>
      <c r="AL241">
        <v>0</v>
      </c>
      <c r="AM241">
        <v>7200</v>
      </c>
      <c r="AN241">
        <v>0</v>
      </c>
      <c r="AO241">
        <v>0</v>
      </c>
      <c r="AP241">
        <v>0</v>
      </c>
      <c r="AQ241">
        <v>0</v>
      </c>
      <c r="AS241">
        <v>0</v>
      </c>
      <c r="AT241">
        <v>0</v>
      </c>
      <c r="AV241">
        <v>0</v>
      </c>
      <c r="AW241">
        <v>0</v>
      </c>
      <c r="AY241">
        <v>0</v>
      </c>
      <c r="AZ241">
        <v>0</v>
      </c>
      <c r="BA241">
        <v>5040</v>
      </c>
      <c r="BE241" t="str">
        <f>T("9791137019584")</f>
        <v>9791137019584</v>
      </c>
      <c r="BF241" t="str">
        <f>T("k335578")</f>
        <v>k335578</v>
      </c>
      <c r="BG241" t="str">
        <f>T("판타지 e북 &gt; 현대 판타지")</f>
        <v>판타지 e북 &gt; 현대 판타지</v>
      </c>
    </row>
    <row r="242" spans="1:59">
      <c r="A242" t="s">
        <v>60</v>
      </c>
      <c r="B242" s="1">
        <v>46131</v>
      </c>
      <c r="C242">
        <v>2378067642</v>
      </c>
      <c r="D242">
        <v>2378067646</v>
      </c>
      <c r="E242" t="str">
        <f>T("[e북]망나니 PD 아이돌로 살아남기 5권")</f>
        <v>[e북]망나니 PD 아이돌로 살아남기 5권</v>
      </c>
      <c r="F242">
        <v>5</v>
      </c>
      <c r="G242" t="str">
        <f>T("문찐")</f>
        <v>문찐</v>
      </c>
      <c r="J242" t="str">
        <f>T("매드햇")</f>
        <v>매드햇</v>
      </c>
      <c r="K242" t="str">
        <f>T("[e북]망나니 PD 아이돌로 살아남기")</f>
        <v>[e북]망나니 PD 아이돌로 살아남기</v>
      </c>
      <c r="L242">
        <v>3600</v>
      </c>
      <c r="M242">
        <v>3600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3600</v>
      </c>
      <c r="AJ242">
        <v>1</v>
      </c>
      <c r="AK242">
        <v>0</v>
      </c>
      <c r="AL242">
        <v>0</v>
      </c>
      <c r="AM242">
        <v>3600</v>
      </c>
      <c r="AN242">
        <v>0</v>
      </c>
      <c r="AO242">
        <v>0</v>
      </c>
      <c r="AP242">
        <v>0</v>
      </c>
      <c r="AQ242">
        <v>0</v>
      </c>
      <c r="AS242">
        <v>0</v>
      </c>
      <c r="AT242">
        <v>0</v>
      </c>
      <c r="AV242">
        <v>0</v>
      </c>
      <c r="AW242">
        <v>0</v>
      </c>
      <c r="AY242">
        <v>0</v>
      </c>
      <c r="AZ242">
        <v>0</v>
      </c>
      <c r="BA242">
        <v>2520</v>
      </c>
      <c r="BE242" t="str">
        <f>T("9791137019591")</f>
        <v>9791137019591</v>
      </c>
      <c r="BF242" t="str">
        <f>T("k335579")</f>
        <v>k335579</v>
      </c>
      <c r="BG242" t="str">
        <f>T("판타지 e북 &gt; 현대 판타지")</f>
        <v>판타지 e북 &gt; 현대 판타지</v>
      </c>
    </row>
    <row r="243" spans="1:59">
      <c r="A243" t="s">
        <v>60</v>
      </c>
      <c r="B243" s="1">
        <v>46131</v>
      </c>
      <c r="C243">
        <v>2378067642</v>
      </c>
      <c r="D243">
        <v>2378068698</v>
      </c>
      <c r="E243" t="str">
        <f>T("[e북]망나니 PD 아이돌로 살아남기 (특별 외전)")</f>
        <v>[e북]망나니 PD 아이돌로 살아남기 (특별 외전)</v>
      </c>
      <c r="F243">
        <v>20</v>
      </c>
      <c r="G243" t="str">
        <f>T("문찐")</f>
        <v>문찐</v>
      </c>
      <c r="J243" t="str">
        <f>T("매드햇")</f>
        <v>매드햇</v>
      </c>
      <c r="K243" t="str">
        <f>T("[e북]망나니 PD 아이돌로 살아남기")</f>
        <v>[e북]망나니 PD 아이돌로 살아남기</v>
      </c>
      <c r="L243">
        <v>0</v>
      </c>
      <c r="M243">
        <v>0</v>
      </c>
      <c r="N243">
        <v>0</v>
      </c>
      <c r="O243">
        <v>4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4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S243">
        <v>0</v>
      </c>
      <c r="AT243">
        <v>0</v>
      </c>
      <c r="AV243">
        <v>0</v>
      </c>
      <c r="AW243">
        <v>0</v>
      </c>
      <c r="AY243">
        <v>0</v>
      </c>
      <c r="AZ243">
        <v>0</v>
      </c>
      <c r="BA243">
        <v>0</v>
      </c>
      <c r="BE243" t="str">
        <f>T("9791137020368")</f>
        <v>9791137020368</v>
      </c>
      <c r="BF243" t="str">
        <f>T("k385674")</f>
        <v>k385674</v>
      </c>
      <c r="BG243" t="str">
        <f>T("판타지 e북 &gt; 현대 판타지")</f>
        <v>판타지 e북 &gt; 현대 판타지</v>
      </c>
    </row>
    <row r="244" spans="1:59">
      <c r="A244" t="s">
        <v>60</v>
      </c>
      <c r="B244" s="1">
        <v>46131</v>
      </c>
      <c r="C244">
        <v>2378067642</v>
      </c>
      <c r="D244">
        <v>2378072195</v>
      </c>
      <c r="E244" t="str">
        <f>T("[e북]망나니 PD 아이돌로 살아남기 13권")</f>
        <v>[e북]망나니 PD 아이돌로 살아남기 13권</v>
      </c>
      <c r="F244">
        <v>13</v>
      </c>
      <c r="G244" t="str">
        <f>T("문찐")</f>
        <v>문찐</v>
      </c>
      <c r="J244" t="str">
        <f>T("매드햇")</f>
        <v>매드햇</v>
      </c>
      <c r="K244" t="str">
        <f>T("[e북]망나니 PD 아이돌로 살아남기")</f>
        <v>[e북]망나니 PD 아이돌로 살아남기</v>
      </c>
      <c r="L244">
        <v>3600</v>
      </c>
      <c r="M244">
        <v>10800</v>
      </c>
      <c r="N244">
        <v>3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10800</v>
      </c>
      <c r="AJ244">
        <v>3</v>
      </c>
      <c r="AK244">
        <v>0</v>
      </c>
      <c r="AL244">
        <v>0</v>
      </c>
      <c r="AM244">
        <v>10800</v>
      </c>
      <c r="AN244">
        <v>0</v>
      </c>
      <c r="AO244">
        <v>0</v>
      </c>
      <c r="AP244">
        <v>0</v>
      </c>
      <c r="AQ244">
        <v>0</v>
      </c>
      <c r="AS244">
        <v>0</v>
      </c>
      <c r="AT244">
        <v>0</v>
      </c>
      <c r="AV244">
        <v>0</v>
      </c>
      <c r="AW244">
        <v>0</v>
      </c>
      <c r="AY244">
        <v>0</v>
      </c>
      <c r="AZ244">
        <v>0</v>
      </c>
      <c r="BA244">
        <v>7560</v>
      </c>
      <c r="BE244" t="str">
        <f>T("9791137010192")</f>
        <v>9791137010192</v>
      </c>
      <c r="BF244" t="str">
        <f>T("B000126")</f>
        <v>B000126</v>
      </c>
      <c r="BG244" t="str">
        <f>T("판타지 e북 &gt; 현대 판타지")</f>
        <v>판타지 e북 &gt; 현대 판타지</v>
      </c>
    </row>
    <row r="245" spans="1:59">
      <c r="A245" t="s">
        <v>60</v>
      </c>
      <c r="B245" s="1">
        <v>46131</v>
      </c>
      <c r="C245">
        <v>2378067642</v>
      </c>
      <c r="D245">
        <v>2378067643</v>
      </c>
      <c r="E245" t="str">
        <f>T("[e북]망나니 PD 아이돌로 살아남기 2권")</f>
        <v>[e북]망나니 PD 아이돌로 살아남기 2권</v>
      </c>
      <c r="F245">
        <v>2</v>
      </c>
      <c r="G245" t="str">
        <f>T("문찐")</f>
        <v>문찐</v>
      </c>
      <c r="J245" t="str">
        <f>T("매드햇")</f>
        <v>매드햇</v>
      </c>
      <c r="K245" t="str">
        <f>T("[e북]망나니 PD 아이돌로 살아남기")</f>
        <v>[e북]망나니 PD 아이돌로 살아남기</v>
      </c>
      <c r="L245">
        <v>3600</v>
      </c>
      <c r="M245">
        <v>10800</v>
      </c>
      <c r="N245">
        <v>3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10800</v>
      </c>
      <c r="AJ245">
        <v>3</v>
      </c>
      <c r="AK245">
        <v>0</v>
      </c>
      <c r="AL245">
        <v>0</v>
      </c>
      <c r="AM245">
        <v>10800</v>
      </c>
      <c r="AN245">
        <v>0</v>
      </c>
      <c r="AO245">
        <v>0</v>
      </c>
      <c r="AP245">
        <v>0</v>
      </c>
      <c r="AQ245">
        <v>0</v>
      </c>
      <c r="AS245">
        <v>0</v>
      </c>
      <c r="AT245">
        <v>0</v>
      </c>
      <c r="AV245">
        <v>0</v>
      </c>
      <c r="AW245">
        <v>0</v>
      </c>
      <c r="AY245">
        <v>0</v>
      </c>
      <c r="AZ245">
        <v>0</v>
      </c>
      <c r="BA245">
        <v>7560</v>
      </c>
      <c r="BE245" t="str">
        <f>T("9791137019560")</f>
        <v>9791137019560</v>
      </c>
      <c r="BF245" t="str">
        <f>T("k335576")</f>
        <v>k335576</v>
      </c>
      <c r="BG245" t="str">
        <f>T("판타지 e북 &gt; 현대 판타지")</f>
        <v>판타지 e북 &gt; 현대 판타지</v>
      </c>
    </row>
    <row r="246" spans="1:59">
      <c r="A246" t="s">
        <v>60</v>
      </c>
      <c r="B246" s="1">
        <v>46131</v>
      </c>
      <c r="C246">
        <v>2378067642</v>
      </c>
      <c r="D246">
        <v>2378069576</v>
      </c>
      <c r="E246" t="str">
        <f>T("[e북]망나니 PD 아이돌로 살아남기 11권")</f>
        <v>[e북]망나니 PD 아이돌로 살아남기 11권</v>
      </c>
      <c r="F246">
        <v>11</v>
      </c>
      <c r="G246" t="str">
        <f>T("문찐")</f>
        <v>문찐</v>
      </c>
      <c r="J246" t="str">
        <f>T("매드햇")</f>
        <v>매드햇</v>
      </c>
      <c r="K246" t="str">
        <f>T("[e북]망나니 PD 아이돌로 살아남기")</f>
        <v>[e북]망나니 PD 아이돌로 살아남기</v>
      </c>
      <c r="L246">
        <v>3600</v>
      </c>
      <c r="M246">
        <v>7200</v>
      </c>
      <c r="N246">
        <v>2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7200</v>
      </c>
      <c r="AJ246">
        <v>2</v>
      </c>
      <c r="AK246">
        <v>0</v>
      </c>
      <c r="AL246">
        <v>0</v>
      </c>
      <c r="AM246">
        <v>7200</v>
      </c>
      <c r="AN246">
        <v>0</v>
      </c>
      <c r="AO246">
        <v>0</v>
      </c>
      <c r="AP246">
        <v>0</v>
      </c>
      <c r="AQ246">
        <v>0</v>
      </c>
      <c r="AS246">
        <v>0</v>
      </c>
      <c r="AT246">
        <v>0</v>
      </c>
      <c r="AV246">
        <v>0</v>
      </c>
      <c r="AW246">
        <v>0</v>
      </c>
      <c r="AY246">
        <v>0</v>
      </c>
      <c r="AZ246">
        <v>0</v>
      </c>
      <c r="BA246">
        <v>5040</v>
      </c>
      <c r="BE246" t="str">
        <f>T("9791137020658")</f>
        <v>9791137020658</v>
      </c>
      <c r="BF246" t="str">
        <f>T("k408828")</f>
        <v>k408828</v>
      </c>
      <c r="BG246" t="str">
        <f>T("판타지 e북 &gt; 현대 판타지")</f>
        <v>판타지 e북 &gt; 현대 판타지</v>
      </c>
    </row>
    <row r="247" spans="1:59">
      <c r="A247" t="s">
        <v>60</v>
      </c>
      <c r="B247" s="1">
        <v>46131</v>
      </c>
      <c r="C247">
        <v>2378067642</v>
      </c>
      <c r="D247">
        <v>2378067644</v>
      </c>
      <c r="E247" t="str">
        <f>T("[e북]망나니 PD 아이돌로 살아남기 3권")</f>
        <v>[e북]망나니 PD 아이돌로 살아남기 3권</v>
      </c>
      <c r="F247">
        <v>3</v>
      </c>
      <c r="G247" t="str">
        <f>T("문찐")</f>
        <v>문찐</v>
      </c>
      <c r="J247" t="str">
        <f>T("매드햇")</f>
        <v>매드햇</v>
      </c>
      <c r="K247" t="str">
        <f>T("[e북]망나니 PD 아이돌로 살아남기")</f>
        <v>[e북]망나니 PD 아이돌로 살아남기</v>
      </c>
      <c r="L247">
        <v>3600</v>
      </c>
      <c r="M247">
        <v>7200</v>
      </c>
      <c r="N247">
        <v>2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7200</v>
      </c>
      <c r="AJ247">
        <v>2</v>
      </c>
      <c r="AK247">
        <v>0</v>
      </c>
      <c r="AL247">
        <v>0</v>
      </c>
      <c r="AM247">
        <v>7200</v>
      </c>
      <c r="AN247">
        <v>0</v>
      </c>
      <c r="AO247">
        <v>0</v>
      </c>
      <c r="AP247">
        <v>0</v>
      </c>
      <c r="AQ247">
        <v>0</v>
      </c>
      <c r="AS247">
        <v>0</v>
      </c>
      <c r="AT247">
        <v>0</v>
      </c>
      <c r="AV247">
        <v>0</v>
      </c>
      <c r="AW247">
        <v>0</v>
      </c>
      <c r="AY247">
        <v>0</v>
      </c>
      <c r="AZ247">
        <v>0</v>
      </c>
      <c r="BA247">
        <v>5040</v>
      </c>
      <c r="BE247" t="str">
        <f>T("9791137019577")</f>
        <v>9791137019577</v>
      </c>
      <c r="BF247" t="str">
        <f>T("k335577")</f>
        <v>k335577</v>
      </c>
      <c r="BG247" t="str">
        <f>T("판타지 e북 &gt; 현대 판타지")</f>
        <v>판타지 e북 &gt; 현대 판타지</v>
      </c>
    </row>
    <row r="248" spans="1:59">
      <c r="A248" t="s">
        <v>60</v>
      </c>
      <c r="B248" s="1">
        <v>46131</v>
      </c>
      <c r="C248">
        <v>2378067642</v>
      </c>
      <c r="D248">
        <v>2378072196</v>
      </c>
      <c r="E248" t="str">
        <f>T("[e북]망나니 PD 아이돌로 살아남기 14권")</f>
        <v>[e북]망나니 PD 아이돌로 살아남기 14권</v>
      </c>
      <c r="F248">
        <v>14</v>
      </c>
      <c r="G248" t="str">
        <f>T("문찐")</f>
        <v>문찐</v>
      </c>
      <c r="J248" t="str">
        <f>T("매드햇")</f>
        <v>매드햇</v>
      </c>
      <c r="K248" t="str">
        <f>T("[e북]망나니 PD 아이돌로 살아남기")</f>
        <v>[e북]망나니 PD 아이돌로 살아남기</v>
      </c>
      <c r="L248">
        <v>3600</v>
      </c>
      <c r="M248">
        <v>7200</v>
      </c>
      <c r="N248">
        <v>2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7200</v>
      </c>
      <c r="AJ248">
        <v>2</v>
      </c>
      <c r="AK248">
        <v>0</v>
      </c>
      <c r="AL248">
        <v>0</v>
      </c>
      <c r="AM248">
        <v>7200</v>
      </c>
      <c r="AN248">
        <v>0</v>
      </c>
      <c r="AO248">
        <v>0</v>
      </c>
      <c r="AP248">
        <v>0</v>
      </c>
      <c r="AQ248">
        <v>0</v>
      </c>
      <c r="AS248">
        <v>0</v>
      </c>
      <c r="AT248">
        <v>0</v>
      </c>
      <c r="AV248">
        <v>0</v>
      </c>
      <c r="AW248">
        <v>0</v>
      </c>
      <c r="AY248">
        <v>0</v>
      </c>
      <c r="AZ248">
        <v>0</v>
      </c>
      <c r="BA248">
        <v>5040</v>
      </c>
      <c r="BE248" t="str">
        <f>T("9791137010208")</f>
        <v>9791137010208</v>
      </c>
      <c r="BF248" t="str">
        <f>T("B000127")</f>
        <v>B000127</v>
      </c>
      <c r="BG248" t="str">
        <f>T("판타지 e북 &gt; 현대 판타지")</f>
        <v>판타지 e북 &gt; 현대 판타지</v>
      </c>
    </row>
    <row r="249" spans="1:59">
      <c r="A249" t="s">
        <v>60</v>
      </c>
      <c r="B249" s="1">
        <v>46131</v>
      </c>
      <c r="C249">
        <v>2378067642</v>
      </c>
      <c r="D249">
        <v>2378067648</v>
      </c>
      <c r="E249" t="str">
        <f>T("[e북]망나니 PD 아이돌로 살아남기 7권")</f>
        <v>[e북]망나니 PD 아이돌로 살아남기 7권</v>
      </c>
      <c r="F249">
        <v>7</v>
      </c>
      <c r="G249" t="str">
        <f>T("문찐")</f>
        <v>문찐</v>
      </c>
      <c r="J249" t="str">
        <f>T("매드햇")</f>
        <v>매드햇</v>
      </c>
      <c r="K249" t="str">
        <f>T("[e북]망나니 PD 아이돌로 살아남기")</f>
        <v>[e북]망나니 PD 아이돌로 살아남기</v>
      </c>
      <c r="L249">
        <v>3600</v>
      </c>
      <c r="M249">
        <v>3600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3600</v>
      </c>
      <c r="AJ249">
        <v>1</v>
      </c>
      <c r="AK249">
        <v>0</v>
      </c>
      <c r="AL249">
        <v>0</v>
      </c>
      <c r="AM249">
        <v>0</v>
      </c>
      <c r="AN249">
        <v>0</v>
      </c>
      <c r="AO249">
        <v>4320</v>
      </c>
      <c r="AP249">
        <v>-1296</v>
      </c>
      <c r="AQ249">
        <v>0</v>
      </c>
      <c r="AR249">
        <v>4320</v>
      </c>
      <c r="AS249">
        <v>-1296</v>
      </c>
      <c r="AT249">
        <v>0</v>
      </c>
      <c r="AV249">
        <v>0</v>
      </c>
      <c r="AW249">
        <v>0</v>
      </c>
      <c r="AY249">
        <v>0</v>
      </c>
      <c r="AZ249">
        <v>0</v>
      </c>
      <c r="BA249">
        <v>2116.8000000000002</v>
      </c>
      <c r="BE249" t="str">
        <f>T("9791137019614")</f>
        <v>9791137019614</v>
      </c>
      <c r="BF249" t="str">
        <f>T("k335581")</f>
        <v>k335581</v>
      </c>
      <c r="BG249" t="str">
        <f>T("판타지 e북 &gt; 현대 판타지")</f>
        <v>판타지 e북 &gt; 현대 판타지</v>
      </c>
    </row>
    <row r="250" spans="1:59">
      <c r="A250" t="s">
        <v>60</v>
      </c>
      <c r="B250" s="1">
        <v>46131</v>
      </c>
      <c r="C250">
        <v>2378067642</v>
      </c>
      <c r="D250">
        <v>2378067642</v>
      </c>
      <c r="E250" t="str">
        <f>T("[e북]망나니 PD 아이돌로 살아남기 1권")</f>
        <v>[e북]망나니 PD 아이돌로 살아남기 1권</v>
      </c>
      <c r="F250">
        <v>1</v>
      </c>
      <c r="G250" t="str">
        <f>T("문찐")</f>
        <v>문찐</v>
      </c>
      <c r="J250" t="str">
        <f>T("매드햇")</f>
        <v>매드햇</v>
      </c>
      <c r="K250" t="str">
        <f>T("[e북]망나니 PD 아이돌로 살아남기")</f>
        <v>[e북]망나니 PD 아이돌로 살아남기</v>
      </c>
      <c r="L250">
        <v>0</v>
      </c>
      <c r="M250">
        <v>0</v>
      </c>
      <c r="N250">
        <v>0</v>
      </c>
      <c r="O250">
        <v>3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3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S250">
        <v>0</v>
      </c>
      <c r="AT250">
        <v>0</v>
      </c>
      <c r="AV250">
        <v>0</v>
      </c>
      <c r="AW250">
        <v>0</v>
      </c>
      <c r="AY250">
        <v>0</v>
      </c>
      <c r="AZ250">
        <v>0</v>
      </c>
      <c r="BA250">
        <v>0</v>
      </c>
      <c r="BE250" t="str">
        <f>T("9791137019553")</f>
        <v>9791137019553</v>
      </c>
      <c r="BF250" t="str">
        <f>T("k335575")</f>
        <v>k335575</v>
      </c>
      <c r="BG250" t="str">
        <f>T("판타지 e북 &gt; 현대 판타지")</f>
        <v>판타지 e북 &gt; 현대 판타지</v>
      </c>
    </row>
    <row r="251" spans="1:59">
      <c r="A251" t="s">
        <v>60</v>
      </c>
      <c r="B251" s="1">
        <v>46131</v>
      </c>
      <c r="C251">
        <v>2378067642</v>
      </c>
      <c r="D251">
        <v>2378069573</v>
      </c>
      <c r="E251" t="str">
        <f>T("[e북]망나니 PD 아이돌로 살아남기 8권")</f>
        <v>[e북]망나니 PD 아이돌로 살아남기 8권</v>
      </c>
      <c r="F251">
        <v>8</v>
      </c>
      <c r="G251" t="str">
        <f>T("문찐")</f>
        <v>문찐</v>
      </c>
      <c r="J251" t="str">
        <f>T("매드햇")</f>
        <v>매드햇</v>
      </c>
      <c r="K251" t="str">
        <f>T("[e북]망나니 PD 아이돌로 살아남기")</f>
        <v>[e북]망나니 PD 아이돌로 살아남기</v>
      </c>
      <c r="L251">
        <v>3600</v>
      </c>
      <c r="M251">
        <v>3600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3600</v>
      </c>
      <c r="AJ251">
        <v>1</v>
      </c>
      <c r="AK251">
        <v>0</v>
      </c>
      <c r="AL251">
        <v>0</v>
      </c>
      <c r="AM251">
        <v>3600</v>
      </c>
      <c r="AN251">
        <v>0</v>
      </c>
      <c r="AO251">
        <v>0</v>
      </c>
      <c r="AP251">
        <v>0</v>
      </c>
      <c r="AQ251">
        <v>0</v>
      </c>
      <c r="AS251">
        <v>0</v>
      </c>
      <c r="AT251">
        <v>0</v>
      </c>
      <c r="AV251">
        <v>0</v>
      </c>
      <c r="AW251">
        <v>0</v>
      </c>
      <c r="AY251">
        <v>0</v>
      </c>
      <c r="AZ251">
        <v>0</v>
      </c>
      <c r="BA251">
        <v>2520</v>
      </c>
      <c r="BE251" t="str">
        <f>T("9791137020627")</f>
        <v>9791137020627</v>
      </c>
      <c r="BF251" t="str">
        <f>T("k408825")</f>
        <v>k408825</v>
      </c>
      <c r="BG251" t="str">
        <f>T("판타지 e북 &gt; 현대 판타지")</f>
        <v>판타지 e북 &gt; 현대 판타지</v>
      </c>
    </row>
    <row r="252" spans="1:59">
      <c r="A252" t="s">
        <v>60</v>
      </c>
      <c r="B252" s="1">
        <v>46131</v>
      </c>
      <c r="C252">
        <v>2378067642</v>
      </c>
      <c r="D252">
        <v>2378072198</v>
      </c>
      <c r="E252" t="str">
        <f>T("[e북]망나니 PD 아이돌로 살아남기 16권")</f>
        <v>[e북]망나니 PD 아이돌로 살아남기 16권</v>
      </c>
      <c r="F252">
        <v>16</v>
      </c>
      <c r="G252" t="str">
        <f>T("문찐")</f>
        <v>문찐</v>
      </c>
      <c r="J252" t="str">
        <f>T("매드햇")</f>
        <v>매드햇</v>
      </c>
      <c r="K252" t="str">
        <f>T("[e북]망나니 PD 아이돌로 살아남기")</f>
        <v>[e북]망나니 PD 아이돌로 살아남기</v>
      </c>
      <c r="L252">
        <v>3600</v>
      </c>
      <c r="M252">
        <v>7200</v>
      </c>
      <c r="N252">
        <v>2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7200</v>
      </c>
      <c r="AJ252">
        <v>2</v>
      </c>
      <c r="AK252">
        <v>0</v>
      </c>
      <c r="AL252">
        <v>0</v>
      </c>
      <c r="AM252">
        <v>7200</v>
      </c>
      <c r="AN252">
        <v>0</v>
      </c>
      <c r="AO252">
        <v>0</v>
      </c>
      <c r="AP252">
        <v>0</v>
      </c>
      <c r="AQ252">
        <v>0</v>
      </c>
      <c r="AS252">
        <v>0</v>
      </c>
      <c r="AT252">
        <v>0</v>
      </c>
      <c r="AV252">
        <v>0</v>
      </c>
      <c r="AW252">
        <v>0</v>
      </c>
      <c r="AY252">
        <v>0</v>
      </c>
      <c r="AZ252">
        <v>0</v>
      </c>
      <c r="BA252">
        <v>5040</v>
      </c>
      <c r="BE252" t="str">
        <f>T("9791137010222")</f>
        <v>9791137010222</v>
      </c>
      <c r="BF252" t="str">
        <f>T("B000129")</f>
        <v>B000129</v>
      </c>
      <c r="BG252" t="str">
        <f>T("판타지 e북 &gt; 현대 판타지")</f>
        <v>판타지 e북 &gt; 현대 판타지</v>
      </c>
    </row>
    <row r="253" spans="1:59">
      <c r="A253" t="s">
        <v>60</v>
      </c>
      <c r="B253" s="1">
        <v>46131</v>
      </c>
      <c r="C253">
        <v>2378067642</v>
      </c>
      <c r="D253">
        <v>2378072199</v>
      </c>
      <c r="E253" t="str">
        <f>T("[e북]망나니 PD 아이돌로 살아남기 17권")</f>
        <v>[e북]망나니 PD 아이돌로 살아남기 17권</v>
      </c>
      <c r="F253">
        <v>17</v>
      </c>
      <c r="G253" t="str">
        <f>T("문찐")</f>
        <v>문찐</v>
      </c>
      <c r="J253" t="str">
        <f>T("매드햇")</f>
        <v>매드햇</v>
      </c>
      <c r="K253" t="str">
        <f>T("[e북]망나니 PD 아이돌로 살아남기")</f>
        <v>[e북]망나니 PD 아이돌로 살아남기</v>
      </c>
      <c r="L253">
        <v>3600</v>
      </c>
      <c r="M253">
        <v>7200</v>
      </c>
      <c r="N253">
        <v>2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7200</v>
      </c>
      <c r="AJ253">
        <v>2</v>
      </c>
      <c r="AK253">
        <v>0</v>
      </c>
      <c r="AL253">
        <v>0</v>
      </c>
      <c r="AM253">
        <v>7200</v>
      </c>
      <c r="AN253">
        <v>0</v>
      </c>
      <c r="AO253">
        <v>0</v>
      </c>
      <c r="AP253">
        <v>0</v>
      </c>
      <c r="AQ253">
        <v>0</v>
      </c>
      <c r="AS253">
        <v>0</v>
      </c>
      <c r="AT253">
        <v>0</v>
      </c>
      <c r="AV253">
        <v>0</v>
      </c>
      <c r="AW253">
        <v>0</v>
      </c>
      <c r="AY253">
        <v>0</v>
      </c>
      <c r="AZ253">
        <v>0</v>
      </c>
      <c r="BA253">
        <v>5040</v>
      </c>
      <c r="BE253" t="str">
        <f>T("9791137010239")</f>
        <v>9791137010239</v>
      </c>
      <c r="BF253" t="str">
        <f>T("B000130")</f>
        <v>B000130</v>
      </c>
      <c r="BG253" t="str">
        <f>T("판타지 e북 &gt; 현대 판타지")</f>
        <v>판타지 e북 &gt; 현대 판타지</v>
      </c>
    </row>
    <row r="254" spans="1:59">
      <c r="A254" t="s">
        <v>60</v>
      </c>
      <c r="B254" s="1">
        <v>46131</v>
      </c>
      <c r="C254">
        <v>2378067642</v>
      </c>
      <c r="D254">
        <v>2378072197</v>
      </c>
      <c r="E254" t="str">
        <f>T("[e북]망나니 PD 아이돌로 살아남기 15권")</f>
        <v>[e북]망나니 PD 아이돌로 살아남기 15권</v>
      </c>
      <c r="F254">
        <v>15</v>
      </c>
      <c r="G254" t="str">
        <f>T("문찐")</f>
        <v>문찐</v>
      </c>
      <c r="J254" t="str">
        <f>T("매드햇")</f>
        <v>매드햇</v>
      </c>
      <c r="K254" t="str">
        <f>T("[e북]망나니 PD 아이돌로 살아남기")</f>
        <v>[e북]망나니 PD 아이돌로 살아남기</v>
      </c>
      <c r="L254">
        <v>3600</v>
      </c>
      <c r="M254">
        <v>7200</v>
      </c>
      <c r="N254">
        <v>2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7200</v>
      </c>
      <c r="AJ254">
        <v>2</v>
      </c>
      <c r="AK254">
        <v>0</v>
      </c>
      <c r="AL254">
        <v>0</v>
      </c>
      <c r="AM254">
        <v>7200</v>
      </c>
      <c r="AN254">
        <v>0</v>
      </c>
      <c r="AO254">
        <v>0</v>
      </c>
      <c r="AP254">
        <v>0</v>
      </c>
      <c r="AQ254">
        <v>0</v>
      </c>
      <c r="AS254">
        <v>0</v>
      </c>
      <c r="AT254">
        <v>0</v>
      </c>
      <c r="AV254">
        <v>0</v>
      </c>
      <c r="AW254">
        <v>0</v>
      </c>
      <c r="AY254">
        <v>0</v>
      </c>
      <c r="AZ254">
        <v>0</v>
      </c>
      <c r="BA254">
        <v>5040</v>
      </c>
      <c r="BE254" t="str">
        <f>T("9791137010215")</f>
        <v>9791137010215</v>
      </c>
      <c r="BF254" t="str">
        <f>T("B000128")</f>
        <v>B000128</v>
      </c>
      <c r="BG254" t="str">
        <f>T("판타지 e북 &gt; 현대 판타지")</f>
        <v>판타지 e북 &gt; 현대 판타지</v>
      </c>
    </row>
    <row r="255" spans="1:59">
      <c r="A255" t="s">
        <v>60</v>
      </c>
      <c r="B255" s="1">
        <v>46129</v>
      </c>
      <c r="C255">
        <v>2378004922</v>
      </c>
      <c r="D255">
        <v>2378004923</v>
      </c>
      <c r="E255" t="str">
        <f>T("[e북][체험판] 모래신부")</f>
        <v>[e북][체험판] 모래신부</v>
      </c>
      <c r="F255">
        <v>1</v>
      </c>
      <c r="G255" t="str">
        <f>T("Magoing")</f>
        <v>Magoing</v>
      </c>
      <c r="J255" t="str">
        <f>T("시계토끼")</f>
        <v>시계토끼</v>
      </c>
      <c r="K255" t="str">
        <f>T("[e북]모래신부")</f>
        <v>[e북]모래신부</v>
      </c>
      <c r="L255">
        <v>0</v>
      </c>
      <c r="M255">
        <v>0</v>
      </c>
      <c r="N255">
        <v>0</v>
      </c>
      <c r="O255">
        <v>2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2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S255">
        <v>0</v>
      </c>
      <c r="AT255">
        <v>0</v>
      </c>
      <c r="AV255">
        <v>0</v>
      </c>
      <c r="AW255">
        <v>0</v>
      </c>
      <c r="AY255">
        <v>0</v>
      </c>
      <c r="AZ255">
        <v>0</v>
      </c>
      <c r="BA255">
        <v>0</v>
      </c>
      <c r="BC255" t="str">
        <f>T("0000000000000")</f>
        <v>0000000000000</v>
      </c>
      <c r="BE255" t="str">
        <f>T("9791164090051")</f>
        <v>9791164090051</v>
      </c>
      <c r="BF255" t="str">
        <f>T("E343469")</f>
        <v>E343469</v>
      </c>
      <c r="BG255" t="str">
        <f>T("로판 e북 &gt; 서양풍 로판")</f>
        <v>로판 e북 &gt; 서양풍 로판</v>
      </c>
    </row>
    <row r="256" spans="1:59">
      <c r="A256" t="s">
        <v>60</v>
      </c>
      <c r="B256" s="1">
        <v>46130</v>
      </c>
      <c r="C256">
        <v>2378004922</v>
      </c>
      <c r="D256">
        <v>2378004922</v>
      </c>
      <c r="E256" t="str">
        <f>T("[e북]모래신부")</f>
        <v>[e북]모래신부</v>
      </c>
      <c r="F256">
        <v>1</v>
      </c>
      <c r="G256" t="str">
        <f>T("Magoing")</f>
        <v>Magoing</v>
      </c>
      <c r="J256" t="str">
        <f>T("시계토끼")</f>
        <v>시계토끼</v>
      </c>
      <c r="K256" t="str">
        <f>T("[e북]모래신부")</f>
        <v>[e북]모래신부</v>
      </c>
      <c r="L256">
        <v>4000</v>
      </c>
      <c r="M256">
        <v>4000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4000</v>
      </c>
      <c r="AJ256">
        <v>1</v>
      </c>
      <c r="AK256">
        <v>0</v>
      </c>
      <c r="AL256">
        <v>0</v>
      </c>
      <c r="AM256">
        <v>4000</v>
      </c>
      <c r="AN256">
        <v>0</v>
      </c>
      <c r="AO256">
        <v>0</v>
      </c>
      <c r="AP256">
        <v>0</v>
      </c>
      <c r="AQ256">
        <v>0</v>
      </c>
      <c r="AS256">
        <v>0</v>
      </c>
      <c r="AT256">
        <v>0</v>
      </c>
      <c r="AV256">
        <v>0</v>
      </c>
      <c r="AW256">
        <v>0</v>
      </c>
      <c r="AY256">
        <v>0</v>
      </c>
      <c r="AZ256">
        <v>0</v>
      </c>
      <c r="BA256">
        <v>2800</v>
      </c>
      <c r="BC256" t="str">
        <f>T("0000000000000")</f>
        <v>0000000000000</v>
      </c>
      <c r="BE256" t="str">
        <f>T("9791164090051")</f>
        <v>9791164090051</v>
      </c>
      <c r="BF256" t="str">
        <f>T("E343469")</f>
        <v>E343469</v>
      </c>
      <c r="BG256" t="str">
        <f>T("로판 e북 &gt; 서양풍 로판")</f>
        <v>로판 e북 &gt; 서양풍 로판</v>
      </c>
    </row>
    <row r="257" spans="1:59">
      <c r="A257" t="s">
        <v>60</v>
      </c>
      <c r="B257" s="1">
        <v>46130</v>
      </c>
      <c r="C257">
        <v>2378004922</v>
      </c>
      <c r="D257">
        <v>2378004923</v>
      </c>
      <c r="E257" t="str">
        <f>T("[e북][체험판] 모래신부")</f>
        <v>[e북][체험판] 모래신부</v>
      </c>
      <c r="F257">
        <v>1</v>
      </c>
      <c r="G257" t="str">
        <f>T("Magoing")</f>
        <v>Magoing</v>
      </c>
      <c r="J257" t="str">
        <f>T("시계토끼")</f>
        <v>시계토끼</v>
      </c>
      <c r="K257" t="str">
        <f>T("[e북]모래신부")</f>
        <v>[e북]모래신부</v>
      </c>
      <c r="L257">
        <v>0</v>
      </c>
      <c r="M257">
        <v>0</v>
      </c>
      <c r="N257">
        <v>0</v>
      </c>
      <c r="O257">
        <v>1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1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S257">
        <v>0</v>
      </c>
      <c r="AT257">
        <v>0</v>
      </c>
      <c r="AV257">
        <v>0</v>
      </c>
      <c r="AW257">
        <v>0</v>
      </c>
      <c r="AY257">
        <v>0</v>
      </c>
      <c r="AZ257">
        <v>0</v>
      </c>
      <c r="BA257">
        <v>0</v>
      </c>
      <c r="BC257" t="str">
        <f>T("0000000000000")</f>
        <v>0000000000000</v>
      </c>
      <c r="BE257" t="str">
        <f>T("9791164090051")</f>
        <v>9791164090051</v>
      </c>
      <c r="BF257" t="str">
        <f>T("E343469")</f>
        <v>E343469</v>
      </c>
      <c r="BG257" t="str">
        <f>T("로판 e북 &gt; 서양풍 로판")</f>
        <v>로판 e북 &gt; 서양풍 로판</v>
      </c>
    </row>
    <row r="258" spans="1:59">
      <c r="A258" t="s">
        <v>60</v>
      </c>
      <c r="B258" s="1">
        <v>46131</v>
      </c>
      <c r="C258">
        <v>2378004922</v>
      </c>
      <c r="D258">
        <v>2378004923</v>
      </c>
      <c r="E258" t="str">
        <f>T("[e북][체험판] 모래신부")</f>
        <v>[e북][체험판] 모래신부</v>
      </c>
      <c r="F258">
        <v>1</v>
      </c>
      <c r="G258" t="str">
        <f>T("Magoing")</f>
        <v>Magoing</v>
      </c>
      <c r="J258" t="str">
        <f>T("시계토끼")</f>
        <v>시계토끼</v>
      </c>
      <c r="K258" t="str">
        <f>T("[e북]모래신부")</f>
        <v>[e북]모래신부</v>
      </c>
      <c r="L258">
        <v>0</v>
      </c>
      <c r="M258">
        <v>0</v>
      </c>
      <c r="N258">
        <v>0</v>
      </c>
      <c r="O258">
        <v>6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6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S258">
        <v>0</v>
      </c>
      <c r="AT258">
        <v>0</v>
      </c>
      <c r="AV258">
        <v>0</v>
      </c>
      <c r="AW258">
        <v>0</v>
      </c>
      <c r="AY258">
        <v>0</v>
      </c>
      <c r="AZ258">
        <v>0</v>
      </c>
      <c r="BA258">
        <v>0</v>
      </c>
      <c r="BC258" t="str">
        <f>T("0000000000000")</f>
        <v>0000000000000</v>
      </c>
      <c r="BE258" t="str">
        <f>T("9791164090051")</f>
        <v>9791164090051</v>
      </c>
      <c r="BF258" t="str">
        <f>T("E343469")</f>
        <v>E343469</v>
      </c>
      <c r="BG258" t="str">
        <f>T("로판 e북 &gt; 서양풍 로판")</f>
        <v>로판 e북 &gt; 서양풍 로판</v>
      </c>
    </row>
    <row r="259" spans="1:59">
      <c r="A259" t="s">
        <v>60</v>
      </c>
      <c r="B259" s="1">
        <v>46129</v>
      </c>
      <c r="C259">
        <v>2378002873</v>
      </c>
      <c r="D259">
        <v>2378002873</v>
      </c>
      <c r="E259" t="str">
        <f>T("[e북]무사 1권")</f>
        <v>[e북]무사 1권</v>
      </c>
      <c r="F259">
        <v>1</v>
      </c>
      <c r="G259" t="str">
        <f>T("보헤미아")</f>
        <v>보헤미아</v>
      </c>
      <c r="J259" t="str">
        <f>T("매드햇")</f>
        <v>매드햇</v>
      </c>
      <c r="K259" t="str">
        <f>T("[e북]무사")</f>
        <v>[e북]무사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1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1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S259">
        <v>0</v>
      </c>
      <c r="AT259">
        <v>0</v>
      </c>
      <c r="AV259">
        <v>0</v>
      </c>
      <c r="AW259">
        <v>0</v>
      </c>
      <c r="AY259">
        <v>0</v>
      </c>
      <c r="AZ259">
        <v>0</v>
      </c>
      <c r="BA259">
        <v>0</v>
      </c>
      <c r="BC259" t="str">
        <f>T("0000000000000")</f>
        <v>0000000000000</v>
      </c>
      <c r="BE259" t="str">
        <f>T("9791162581209")</f>
        <v>9791162581209</v>
      </c>
      <c r="BF259" t="str">
        <f>T("E312323")</f>
        <v>E312323</v>
      </c>
      <c r="BG259" t="str">
        <f>T("판타지 e북 &gt; 대체 역사물")</f>
        <v>판타지 e북 &gt; 대체 역사물</v>
      </c>
    </row>
    <row r="260" spans="1:59">
      <c r="A260" t="s">
        <v>60</v>
      </c>
      <c r="B260" s="1">
        <v>46129</v>
      </c>
      <c r="C260">
        <v>2378066498</v>
      </c>
      <c r="D260">
        <v>2378066498</v>
      </c>
      <c r="E260" t="str">
        <f>T("[e북]문과라도 안 죄송한 이세계로 감 1권")</f>
        <v>[e북]문과라도 안 죄송한 이세계로 감 1권</v>
      </c>
      <c r="F260">
        <v>1</v>
      </c>
      <c r="G260" t="str">
        <f>T("정수읠")</f>
        <v>정수읠</v>
      </c>
      <c r="J260" t="str">
        <f>T("매드햇")</f>
        <v>매드햇</v>
      </c>
      <c r="K260" t="str">
        <f>T("[e북]문과라도 안 죄송한 이세계로 감")</f>
        <v>[e북]문과라도 안 죄송한 이세계로 감</v>
      </c>
      <c r="L260">
        <v>0</v>
      </c>
      <c r="M260">
        <v>0</v>
      </c>
      <c r="N260">
        <v>0</v>
      </c>
      <c r="O260">
        <v>5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5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S260">
        <v>0</v>
      </c>
      <c r="AT260">
        <v>0</v>
      </c>
      <c r="AV260">
        <v>0</v>
      </c>
      <c r="AW260">
        <v>0</v>
      </c>
      <c r="AY260">
        <v>0</v>
      </c>
      <c r="AZ260">
        <v>0</v>
      </c>
      <c r="BA260">
        <v>0</v>
      </c>
      <c r="BE260" t="str">
        <f>T("9791137009837")</f>
        <v>9791137009837</v>
      </c>
      <c r="BF260" t="str">
        <f>T("k307370")</f>
        <v>k307370</v>
      </c>
      <c r="BG260" t="str">
        <f>T("판타지 e북 &gt; 퓨전 판타지")</f>
        <v>판타지 e북 &gt; 퓨전 판타지</v>
      </c>
    </row>
    <row r="261" spans="1:59">
      <c r="A261" t="s">
        <v>60</v>
      </c>
      <c r="B261" s="1">
        <v>46129</v>
      </c>
      <c r="C261">
        <v>2378066498</v>
      </c>
      <c r="D261">
        <v>2378066499</v>
      </c>
      <c r="E261" t="str">
        <f>T("[e북]문과라도 안 죄송한 이세계로 감 2권")</f>
        <v>[e북]문과라도 안 죄송한 이세계로 감 2권</v>
      </c>
      <c r="F261">
        <v>2</v>
      </c>
      <c r="G261" t="str">
        <f>T("정수읠")</f>
        <v>정수읠</v>
      </c>
      <c r="J261" t="str">
        <f>T("매드햇")</f>
        <v>매드햇</v>
      </c>
      <c r="K261" t="str">
        <f>T("[e북]문과라도 안 죄송한 이세계로 감")</f>
        <v>[e북]문과라도 안 죄송한 이세계로 감</v>
      </c>
      <c r="L261">
        <v>3500</v>
      </c>
      <c r="M261">
        <v>10500</v>
      </c>
      <c r="N261">
        <v>3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10500</v>
      </c>
      <c r="AJ261">
        <v>3</v>
      </c>
      <c r="AK261">
        <v>0</v>
      </c>
      <c r="AL261">
        <v>0</v>
      </c>
      <c r="AM261">
        <v>350</v>
      </c>
      <c r="AN261">
        <v>0</v>
      </c>
      <c r="AO261">
        <v>12180</v>
      </c>
      <c r="AP261">
        <v>-1218</v>
      </c>
      <c r="AQ261">
        <v>0</v>
      </c>
      <c r="AS261">
        <v>0</v>
      </c>
      <c r="AT261">
        <v>0</v>
      </c>
      <c r="AU261">
        <v>7980</v>
      </c>
      <c r="AV261">
        <v>-798</v>
      </c>
      <c r="AW261">
        <v>0</v>
      </c>
      <c r="AX261">
        <v>4200</v>
      </c>
      <c r="AY261">
        <v>-420</v>
      </c>
      <c r="AZ261">
        <v>0</v>
      </c>
      <c r="BA261">
        <v>7918.4</v>
      </c>
      <c r="BE261" t="str">
        <f>T("9791137009820")</f>
        <v>9791137009820</v>
      </c>
      <c r="BF261" t="str">
        <f>T("k307371")</f>
        <v>k307371</v>
      </c>
      <c r="BG261" t="str">
        <f>T("판타지 e북 &gt; 퓨전 판타지")</f>
        <v>판타지 e북 &gt; 퓨전 판타지</v>
      </c>
    </row>
    <row r="262" spans="1:59">
      <c r="A262" t="s">
        <v>60</v>
      </c>
      <c r="B262" s="1">
        <v>46129</v>
      </c>
      <c r="C262">
        <v>2378066498</v>
      </c>
      <c r="D262">
        <v>2378066500</v>
      </c>
      <c r="E262" t="str">
        <f>T("[e북]문과라도 안 죄송한 이세계로 감 3권")</f>
        <v>[e북]문과라도 안 죄송한 이세계로 감 3권</v>
      </c>
      <c r="F262">
        <v>3</v>
      </c>
      <c r="G262" t="str">
        <f>T("정수읠")</f>
        <v>정수읠</v>
      </c>
      <c r="J262" t="str">
        <f>T("매드햇")</f>
        <v>매드햇</v>
      </c>
      <c r="K262" t="str">
        <f>T("[e북]문과라도 안 죄송한 이세계로 감")</f>
        <v>[e북]문과라도 안 죄송한 이세계로 감</v>
      </c>
      <c r="L262">
        <v>3500</v>
      </c>
      <c r="M262">
        <v>3500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3500</v>
      </c>
      <c r="AJ262">
        <v>1</v>
      </c>
      <c r="AK262">
        <v>0</v>
      </c>
      <c r="AL262">
        <v>0</v>
      </c>
      <c r="AM262">
        <v>350</v>
      </c>
      <c r="AN262">
        <v>0</v>
      </c>
      <c r="AO262">
        <v>3780</v>
      </c>
      <c r="AP262">
        <v>-378</v>
      </c>
      <c r="AQ262">
        <v>0</v>
      </c>
      <c r="AS262">
        <v>0</v>
      </c>
      <c r="AT262">
        <v>0</v>
      </c>
      <c r="AU262">
        <v>3780</v>
      </c>
      <c r="AV262">
        <v>-378</v>
      </c>
      <c r="AW262">
        <v>0</v>
      </c>
      <c r="AY262">
        <v>0</v>
      </c>
      <c r="AZ262">
        <v>0</v>
      </c>
      <c r="BA262">
        <v>2626.4</v>
      </c>
      <c r="BE262" t="str">
        <f>T("9791137009721")</f>
        <v>9791137009721</v>
      </c>
      <c r="BF262" t="str">
        <f>T("k307372")</f>
        <v>k307372</v>
      </c>
      <c r="BG262" t="str">
        <f>T("판타지 e북 &gt; 퓨전 판타지")</f>
        <v>판타지 e북 &gt; 퓨전 판타지</v>
      </c>
    </row>
    <row r="263" spans="1:59">
      <c r="A263" t="s">
        <v>60</v>
      </c>
      <c r="B263" s="1">
        <v>46129</v>
      </c>
      <c r="C263">
        <v>2378066498</v>
      </c>
      <c r="D263">
        <v>2378066501</v>
      </c>
      <c r="E263" t="str">
        <f>T("[e북]문과라도 안 죄송한 이세계로 감 4권")</f>
        <v>[e북]문과라도 안 죄송한 이세계로 감 4권</v>
      </c>
      <c r="F263">
        <v>4</v>
      </c>
      <c r="G263" t="str">
        <f>T("정수읠")</f>
        <v>정수읠</v>
      </c>
      <c r="J263" t="str">
        <f>T("매드햇")</f>
        <v>매드햇</v>
      </c>
      <c r="K263" t="str">
        <f>T("[e북]문과라도 안 죄송한 이세계로 감")</f>
        <v>[e북]문과라도 안 죄송한 이세계로 감</v>
      </c>
      <c r="L263">
        <v>3500</v>
      </c>
      <c r="M263">
        <v>3500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3500</v>
      </c>
      <c r="AJ263">
        <v>1</v>
      </c>
      <c r="AK263">
        <v>0</v>
      </c>
      <c r="AL263">
        <v>0</v>
      </c>
      <c r="AM263">
        <v>350</v>
      </c>
      <c r="AN263">
        <v>0</v>
      </c>
      <c r="AO263">
        <v>3780</v>
      </c>
      <c r="AP263">
        <v>-378</v>
      </c>
      <c r="AQ263">
        <v>0</v>
      </c>
      <c r="AS263">
        <v>0</v>
      </c>
      <c r="AT263">
        <v>0</v>
      </c>
      <c r="AU263">
        <v>3780</v>
      </c>
      <c r="AV263">
        <v>-378</v>
      </c>
      <c r="AW263">
        <v>0</v>
      </c>
      <c r="AY263">
        <v>0</v>
      </c>
      <c r="AZ263">
        <v>0</v>
      </c>
      <c r="BA263">
        <v>2626.4</v>
      </c>
      <c r="BE263" t="str">
        <f>T("9791137009844")</f>
        <v>9791137009844</v>
      </c>
      <c r="BF263" t="str">
        <f>T("k307373")</f>
        <v>k307373</v>
      </c>
      <c r="BG263" t="str">
        <f>T("판타지 e북 &gt; 퓨전 판타지")</f>
        <v>판타지 e북 &gt; 퓨전 판타지</v>
      </c>
    </row>
    <row r="264" spans="1:59">
      <c r="A264" t="s">
        <v>60</v>
      </c>
      <c r="B264" s="1">
        <v>46129</v>
      </c>
      <c r="C264">
        <v>2378066498</v>
      </c>
      <c r="D264">
        <v>2378066502</v>
      </c>
      <c r="E264" t="str">
        <f>T("[e북]문과라도 안 죄송한 이세계로 감 5권")</f>
        <v>[e북]문과라도 안 죄송한 이세계로 감 5권</v>
      </c>
      <c r="F264">
        <v>5</v>
      </c>
      <c r="G264" t="str">
        <f>T("정수읠")</f>
        <v>정수읠</v>
      </c>
      <c r="J264" t="str">
        <f>T("매드햇")</f>
        <v>매드햇</v>
      </c>
      <c r="K264" t="str">
        <f>T("[e북]문과라도 안 죄송한 이세계로 감")</f>
        <v>[e북]문과라도 안 죄송한 이세계로 감</v>
      </c>
      <c r="L264">
        <v>3500</v>
      </c>
      <c r="M264">
        <v>3500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3500</v>
      </c>
      <c r="AJ264">
        <v>1</v>
      </c>
      <c r="AK264">
        <v>0</v>
      </c>
      <c r="AL264">
        <v>0</v>
      </c>
      <c r="AM264">
        <v>350</v>
      </c>
      <c r="AN264">
        <v>0</v>
      </c>
      <c r="AO264">
        <v>3780</v>
      </c>
      <c r="AP264">
        <v>-378</v>
      </c>
      <c r="AQ264">
        <v>0</v>
      </c>
      <c r="AS264">
        <v>0</v>
      </c>
      <c r="AT264">
        <v>0</v>
      </c>
      <c r="AU264">
        <v>3780</v>
      </c>
      <c r="AV264">
        <v>-378</v>
      </c>
      <c r="AW264">
        <v>0</v>
      </c>
      <c r="AY264">
        <v>0</v>
      </c>
      <c r="AZ264">
        <v>0</v>
      </c>
      <c r="BA264">
        <v>2626.4</v>
      </c>
      <c r="BE264" t="str">
        <f>T("9791137009875")</f>
        <v>9791137009875</v>
      </c>
      <c r="BF264" t="str">
        <f>T("k307374")</f>
        <v>k307374</v>
      </c>
      <c r="BG264" t="str">
        <f>T("판타지 e북 &gt; 퓨전 판타지")</f>
        <v>판타지 e북 &gt; 퓨전 판타지</v>
      </c>
    </row>
    <row r="265" spans="1:59">
      <c r="A265" t="s">
        <v>60</v>
      </c>
      <c r="B265" s="1">
        <v>46129</v>
      </c>
      <c r="C265">
        <v>2378066498</v>
      </c>
      <c r="D265">
        <v>2378066503</v>
      </c>
      <c r="E265" t="str">
        <f>T("[e북]문과라도 안 죄송한 이세계로 감 6권")</f>
        <v>[e북]문과라도 안 죄송한 이세계로 감 6권</v>
      </c>
      <c r="F265">
        <v>6</v>
      </c>
      <c r="G265" t="str">
        <f>T("정수읠")</f>
        <v>정수읠</v>
      </c>
      <c r="J265" t="str">
        <f>T("매드햇")</f>
        <v>매드햇</v>
      </c>
      <c r="K265" t="str">
        <f>T("[e북]문과라도 안 죄송한 이세계로 감")</f>
        <v>[e북]문과라도 안 죄송한 이세계로 감</v>
      </c>
      <c r="L265">
        <v>3500</v>
      </c>
      <c r="M265">
        <v>3500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3500</v>
      </c>
      <c r="AJ265">
        <v>1</v>
      </c>
      <c r="AK265">
        <v>0</v>
      </c>
      <c r="AL265">
        <v>0</v>
      </c>
      <c r="AM265">
        <v>350</v>
      </c>
      <c r="AN265">
        <v>0</v>
      </c>
      <c r="AO265">
        <v>3780</v>
      </c>
      <c r="AP265">
        <v>-378</v>
      </c>
      <c r="AQ265">
        <v>0</v>
      </c>
      <c r="AS265">
        <v>0</v>
      </c>
      <c r="AT265">
        <v>0</v>
      </c>
      <c r="AU265">
        <v>3780</v>
      </c>
      <c r="AV265">
        <v>-378</v>
      </c>
      <c r="AW265">
        <v>0</v>
      </c>
      <c r="AY265">
        <v>0</v>
      </c>
      <c r="AZ265">
        <v>0</v>
      </c>
      <c r="BA265">
        <v>2626.4</v>
      </c>
      <c r="BE265" t="str">
        <f>T("9791137009882")</f>
        <v>9791137009882</v>
      </c>
      <c r="BF265" t="str">
        <f>T("k307375")</f>
        <v>k307375</v>
      </c>
      <c r="BG265" t="str">
        <f>T("판타지 e북 &gt; 퓨전 판타지")</f>
        <v>판타지 e북 &gt; 퓨전 판타지</v>
      </c>
    </row>
    <row r="266" spans="1:59">
      <c r="A266" t="s">
        <v>60</v>
      </c>
      <c r="B266" s="1">
        <v>46129</v>
      </c>
      <c r="C266">
        <v>2378066498</v>
      </c>
      <c r="D266">
        <v>2378066504</v>
      </c>
      <c r="E266" t="str">
        <f>T("[e북]문과라도 안 죄송한 이세계로 감 7권")</f>
        <v>[e북]문과라도 안 죄송한 이세계로 감 7권</v>
      </c>
      <c r="F266">
        <v>7</v>
      </c>
      <c r="G266" t="str">
        <f>T("정수읠")</f>
        <v>정수읠</v>
      </c>
      <c r="J266" t="str">
        <f>T("매드햇")</f>
        <v>매드햇</v>
      </c>
      <c r="K266" t="str">
        <f>T("[e북]문과라도 안 죄송한 이세계로 감")</f>
        <v>[e북]문과라도 안 죄송한 이세계로 감</v>
      </c>
      <c r="L266">
        <v>3500</v>
      </c>
      <c r="M266">
        <v>3500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3500</v>
      </c>
      <c r="AJ266">
        <v>1</v>
      </c>
      <c r="AK266">
        <v>0</v>
      </c>
      <c r="AL266">
        <v>0</v>
      </c>
      <c r="AM266">
        <v>350</v>
      </c>
      <c r="AN266">
        <v>0</v>
      </c>
      <c r="AO266">
        <v>3780</v>
      </c>
      <c r="AP266">
        <v>-378</v>
      </c>
      <c r="AQ266">
        <v>0</v>
      </c>
      <c r="AS266">
        <v>0</v>
      </c>
      <c r="AT266">
        <v>0</v>
      </c>
      <c r="AU266">
        <v>3780</v>
      </c>
      <c r="AV266">
        <v>-378</v>
      </c>
      <c r="AW266">
        <v>0</v>
      </c>
      <c r="AY266">
        <v>0</v>
      </c>
      <c r="AZ266">
        <v>0</v>
      </c>
      <c r="BA266">
        <v>2626.4</v>
      </c>
      <c r="BE266" t="str">
        <f>T("9791137009936")</f>
        <v>9791137009936</v>
      </c>
      <c r="BF266" t="str">
        <f>T("k307376")</f>
        <v>k307376</v>
      </c>
      <c r="BG266" t="str">
        <f>T("판타지 e북 &gt; 퓨전 판타지")</f>
        <v>판타지 e북 &gt; 퓨전 판타지</v>
      </c>
    </row>
    <row r="267" spans="1:59">
      <c r="A267" t="s">
        <v>60</v>
      </c>
      <c r="B267" s="1">
        <v>46129</v>
      </c>
      <c r="C267">
        <v>2378066498</v>
      </c>
      <c r="D267">
        <v>2378066505</v>
      </c>
      <c r="E267" t="str">
        <f>T("[e북]문과라도 안 죄송한 이세계로 감 8권")</f>
        <v>[e북]문과라도 안 죄송한 이세계로 감 8권</v>
      </c>
      <c r="F267">
        <v>8</v>
      </c>
      <c r="G267" t="str">
        <f>T("정수읠")</f>
        <v>정수읠</v>
      </c>
      <c r="J267" t="str">
        <f>T("매드햇")</f>
        <v>매드햇</v>
      </c>
      <c r="K267" t="str">
        <f>T("[e북]문과라도 안 죄송한 이세계로 감")</f>
        <v>[e북]문과라도 안 죄송한 이세계로 감</v>
      </c>
      <c r="L267">
        <v>3500</v>
      </c>
      <c r="M267">
        <v>3500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3500</v>
      </c>
      <c r="AJ267">
        <v>1</v>
      </c>
      <c r="AK267">
        <v>0</v>
      </c>
      <c r="AL267">
        <v>0</v>
      </c>
      <c r="AM267">
        <v>350</v>
      </c>
      <c r="AN267">
        <v>0</v>
      </c>
      <c r="AO267">
        <v>3780</v>
      </c>
      <c r="AP267">
        <v>-378</v>
      </c>
      <c r="AQ267">
        <v>0</v>
      </c>
      <c r="AS267">
        <v>0</v>
      </c>
      <c r="AT267">
        <v>0</v>
      </c>
      <c r="AU267">
        <v>3780</v>
      </c>
      <c r="AV267">
        <v>-378</v>
      </c>
      <c r="AW267">
        <v>0</v>
      </c>
      <c r="AY267">
        <v>0</v>
      </c>
      <c r="AZ267">
        <v>0</v>
      </c>
      <c r="BA267">
        <v>2626.4</v>
      </c>
      <c r="BE267" t="str">
        <f>T("9791137009738")</f>
        <v>9791137009738</v>
      </c>
      <c r="BF267" t="str">
        <f>T("k307377")</f>
        <v>k307377</v>
      </c>
      <c r="BG267" t="str">
        <f>T("판타지 e북 &gt; 퓨전 판타지")</f>
        <v>판타지 e북 &gt; 퓨전 판타지</v>
      </c>
    </row>
    <row r="268" spans="1:59">
      <c r="A268" t="s">
        <v>60</v>
      </c>
      <c r="B268" s="1">
        <v>46129</v>
      </c>
      <c r="C268">
        <v>2378066498</v>
      </c>
      <c r="D268">
        <v>2378066506</v>
      </c>
      <c r="E268" t="str">
        <f>T("[e북]문과라도 안 죄송한 이세계로 감 9권")</f>
        <v>[e북]문과라도 안 죄송한 이세계로 감 9권</v>
      </c>
      <c r="F268">
        <v>9</v>
      </c>
      <c r="G268" t="str">
        <f>T("정수읠")</f>
        <v>정수읠</v>
      </c>
      <c r="J268" t="str">
        <f>T("매드햇")</f>
        <v>매드햇</v>
      </c>
      <c r="K268" t="str">
        <f>T("[e북]문과라도 안 죄송한 이세계로 감")</f>
        <v>[e북]문과라도 안 죄송한 이세계로 감</v>
      </c>
      <c r="L268">
        <v>3500</v>
      </c>
      <c r="M268">
        <v>3500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3500</v>
      </c>
      <c r="AJ268">
        <v>1</v>
      </c>
      <c r="AK268">
        <v>0</v>
      </c>
      <c r="AL268">
        <v>0</v>
      </c>
      <c r="AM268">
        <v>350</v>
      </c>
      <c r="AN268">
        <v>0</v>
      </c>
      <c r="AO268">
        <v>3780</v>
      </c>
      <c r="AP268">
        <v>-378</v>
      </c>
      <c r="AQ268">
        <v>0</v>
      </c>
      <c r="AS268">
        <v>0</v>
      </c>
      <c r="AT268">
        <v>0</v>
      </c>
      <c r="AU268">
        <v>3780</v>
      </c>
      <c r="AV268">
        <v>-378</v>
      </c>
      <c r="AW268">
        <v>0</v>
      </c>
      <c r="AY268">
        <v>0</v>
      </c>
      <c r="AZ268">
        <v>0</v>
      </c>
      <c r="BA268">
        <v>2626.4</v>
      </c>
      <c r="BE268" t="str">
        <f>T("9791137009905")</f>
        <v>9791137009905</v>
      </c>
      <c r="BF268" t="str">
        <f>T("k307378")</f>
        <v>k307378</v>
      </c>
      <c r="BG268" t="str">
        <f>T("판타지 e북 &gt; 퓨전 판타지")</f>
        <v>판타지 e북 &gt; 퓨전 판타지</v>
      </c>
    </row>
    <row r="269" spans="1:59">
      <c r="A269" t="s">
        <v>60</v>
      </c>
      <c r="B269" s="1">
        <v>46129</v>
      </c>
      <c r="C269">
        <v>2378066498</v>
      </c>
      <c r="D269">
        <v>2378066507</v>
      </c>
      <c r="E269" t="str">
        <f>T("[e북]문과라도 안 죄송한 이세계로 감 10권")</f>
        <v>[e북]문과라도 안 죄송한 이세계로 감 10권</v>
      </c>
      <c r="F269">
        <v>10</v>
      </c>
      <c r="G269" t="str">
        <f>T("정수읠")</f>
        <v>정수읠</v>
      </c>
      <c r="J269" t="str">
        <f>T("매드햇")</f>
        <v>매드햇</v>
      </c>
      <c r="K269" t="str">
        <f>T("[e북]문과라도 안 죄송한 이세계로 감")</f>
        <v>[e북]문과라도 안 죄송한 이세계로 감</v>
      </c>
      <c r="L269">
        <v>3500</v>
      </c>
      <c r="M269">
        <v>3500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3500</v>
      </c>
      <c r="AJ269">
        <v>1</v>
      </c>
      <c r="AK269">
        <v>0</v>
      </c>
      <c r="AL269">
        <v>0</v>
      </c>
      <c r="AM269">
        <v>350</v>
      </c>
      <c r="AN269">
        <v>0</v>
      </c>
      <c r="AO269">
        <v>3780</v>
      </c>
      <c r="AP269">
        <v>-378</v>
      </c>
      <c r="AQ269">
        <v>0</v>
      </c>
      <c r="AS269">
        <v>0</v>
      </c>
      <c r="AT269">
        <v>0</v>
      </c>
      <c r="AU269">
        <v>3780</v>
      </c>
      <c r="AV269">
        <v>-378</v>
      </c>
      <c r="AW269">
        <v>0</v>
      </c>
      <c r="AY269">
        <v>0</v>
      </c>
      <c r="AZ269">
        <v>0</v>
      </c>
      <c r="BA269">
        <v>2626.4</v>
      </c>
      <c r="BE269" t="str">
        <f>T("9791137009967")</f>
        <v>9791137009967</v>
      </c>
      <c r="BF269" t="str">
        <f>T("k307379")</f>
        <v>k307379</v>
      </c>
      <c r="BG269" t="str">
        <f>T("판타지 e북 &gt; 퓨전 판타지")</f>
        <v>판타지 e북 &gt; 퓨전 판타지</v>
      </c>
    </row>
    <row r="270" spans="1:59">
      <c r="A270" t="s">
        <v>60</v>
      </c>
      <c r="B270" s="1">
        <v>46129</v>
      </c>
      <c r="C270">
        <v>2378066498</v>
      </c>
      <c r="D270">
        <v>2378066508</v>
      </c>
      <c r="E270" t="str">
        <f>T("[e북]문과라도 안 죄송한 이세계로 감 11권")</f>
        <v>[e북]문과라도 안 죄송한 이세계로 감 11권</v>
      </c>
      <c r="F270">
        <v>11</v>
      </c>
      <c r="G270" t="str">
        <f>T("정수읠")</f>
        <v>정수읠</v>
      </c>
      <c r="J270" t="str">
        <f>T("매드햇")</f>
        <v>매드햇</v>
      </c>
      <c r="K270" t="str">
        <f>T("[e북]문과라도 안 죄송한 이세계로 감")</f>
        <v>[e북]문과라도 안 죄송한 이세계로 감</v>
      </c>
      <c r="L270">
        <v>3500</v>
      </c>
      <c r="M270">
        <v>3500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3500</v>
      </c>
      <c r="AJ270">
        <v>1</v>
      </c>
      <c r="AK270">
        <v>0</v>
      </c>
      <c r="AL270">
        <v>0</v>
      </c>
      <c r="AM270">
        <v>350</v>
      </c>
      <c r="AN270">
        <v>0</v>
      </c>
      <c r="AO270">
        <v>3780</v>
      </c>
      <c r="AP270">
        <v>-378</v>
      </c>
      <c r="AQ270">
        <v>0</v>
      </c>
      <c r="AS270">
        <v>0</v>
      </c>
      <c r="AT270">
        <v>0</v>
      </c>
      <c r="AU270">
        <v>3780</v>
      </c>
      <c r="AV270">
        <v>-378</v>
      </c>
      <c r="AW270">
        <v>0</v>
      </c>
      <c r="AY270">
        <v>0</v>
      </c>
      <c r="AZ270">
        <v>0</v>
      </c>
      <c r="BA270">
        <v>2626.4</v>
      </c>
      <c r="BE270" t="str">
        <f>T("9791137009950")</f>
        <v>9791137009950</v>
      </c>
      <c r="BF270" t="str">
        <f>T("k307380")</f>
        <v>k307380</v>
      </c>
      <c r="BG270" t="str">
        <f>T("판타지 e북 &gt; 퓨전 판타지")</f>
        <v>판타지 e북 &gt; 퓨전 판타지</v>
      </c>
    </row>
    <row r="271" spans="1:59">
      <c r="A271" t="s">
        <v>60</v>
      </c>
      <c r="B271" s="1">
        <v>46130</v>
      </c>
      <c r="C271">
        <v>2378066498</v>
      </c>
      <c r="D271">
        <v>2378066499</v>
      </c>
      <c r="E271" t="str">
        <f>T("[e북]문과라도 안 죄송한 이세계로 감 2권")</f>
        <v>[e북]문과라도 안 죄송한 이세계로 감 2권</v>
      </c>
      <c r="F271">
        <v>2</v>
      </c>
      <c r="G271" t="str">
        <f>T("정수읠")</f>
        <v>정수읠</v>
      </c>
      <c r="J271" t="str">
        <f>T("매드햇")</f>
        <v>매드햇</v>
      </c>
      <c r="K271" t="str">
        <f>T("[e북]문과라도 안 죄송한 이세계로 감")</f>
        <v>[e북]문과라도 안 죄송한 이세계로 감</v>
      </c>
      <c r="L271">
        <v>3500</v>
      </c>
      <c r="M271">
        <v>10500</v>
      </c>
      <c r="N271">
        <v>3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10500</v>
      </c>
      <c r="AJ271">
        <v>3</v>
      </c>
      <c r="AK271">
        <v>0</v>
      </c>
      <c r="AL271">
        <v>0</v>
      </c>
      <c r="AM271">
        <v>10500</v>
      </c>
      <c r="AN271">
        <v>0</v>
      </c>
      <c r="AO271">
        <v>0</v>
      </c>
      <c r="AP271">
        <v>0</v>
      </c>
      <c r="AQ271">
        <v>0</v>
      </c>
      <c r="AS271">
        <v>0</v>
      </c>
      <c r="AT271">
        <v>0</v>
      </c>
      <c r="AV271">
        <v>0</v>
      </c>
      <c r="AW271">
        <v>0</v>
      </c>
      <c r="AY271">
        <v>0</v>
      </c>
      <c r="AZ271">
        <v>0</v>
      </c>
      <c r="BA271">
        <v>7350</v>
      </c>
      <c r="BE271" t="str">
        <f>T("9791137009820")</f>
        <v>9791137009820</v>
      </c>
      <c r="BF271" t="str">
        <f>T("k307371")</f>
        <v>k307371</v>
      </c>
      <c r="BG271" t="str">
        <f>T("판타지 e북 &gt; 퓨전 판타지")</f>
        <v>판타지 e북 &gt; 퓨전 판타지</v>
      </c>
    </row>
    <row r="272" spans="1:59">
      <c r="A272" t="s">
        <v>60</v>
      </c>
      <c r="B272" s="1">
        <v>46130</v>
      </c>
      <c r="C272">
        <v>2378066498</v>
      </c>
      <c r="D272">
        <v>2378066498</v>
      </c>
      <c r="E272" t="str">
        <f>T("[e북]문과라도 안 죄송한 이세계로 감 1권")</f>
        <v>[e북]문과라도 안 죄송한 이세계로 감 1권</v>
      </c>
      <c r="F272">
        <v>1</v>
      </c>
      <c r="G272" t="str">
        <f>T("정수읠")</f>
        <v>정수읠</v>
      </c>
      <c r="J272" t="str">
        <f>T("매드햇")</f>
        <v>매드햇</v>
      </c>
      <c r="K272" t="str">
        <f>T("[e북]문과라도 안 죄송한 이세계로 감")</f>
        <v>[e북]문과라도 안 죄송한 이세계로 감</v>
      </c>
      <c r="L272">
        <v>0</v>
      </c>
      <c r="M272">
        <v>0</v>
      </c>
      <c r="N272">
        <v>0</v>
      </c>
      <c r="O272">
        <v>9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9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S272">
        <v>0</v>
      </c>
      <c r="AT272">
        <v>0</v>
      </c>
      <c r="AV272">
        <v>0</v>
      </c>
      <c r="AW272">
        <v>0</v>
      </c>
      <c r="AY272">
        <v>0</v>
      </c>
      <c r="AZ272">
        <v>0</v>
      </c>
      <c r="BA272">
        <v>0</v>
      </c>
      <c r="BE272" t="str">
        <f>T("9791137009837")</f>
        <v>9791137009837</v>
      </c>
      <c r="BF272" t="str">
        <f>T("k307370")</f>
        <v>k307370</v>
      </c>
      <c r="BG272" t="str">
        <f>T("판타지 e북 &gt; 퓨전 판타지")</f>
        <v>판타지 e북 &gt; 퓨전 판타지</v>
      </c>
    </row>
    <row r="273" spans="1:59">
      <c r="A273" t="s">
        <v>60</v>
      </c>
      <c r="B273" s="1">
        <v>46130</v>
      </c>
      <c r="C273">
        <v>2378066498</v>
      </c>
      <c r="D273">
        <v>2378066500</v>
      </c>
      <c r="E273" t="str">
        <f>T("[e북]문과라도 안 죄송한 이세계로 감 3권")</f>
        <v>[e북]문과라도 안 죄송한 이세계로 감 3권</v>
      </c>
      <c r="F273">
        <v>3</v>
      </c>
      <c r="G273" t="str">
        <f>T("정수읠")</f>
        <v>정수읠</v>
      </c>
      <c r="J273" t="str">
        <f>T("매드햇")</f>
        <v>매드햇</v>
      </c>
      <c r="K273" t="str">
        <f>T("[e북]문과라도 안 죄송한 이세계로 감")</f>
        <v>[e북]문과라도 안 죄송한 이세계로 감</v>
      </c>
      <c r="L273">
        <v>3500</v>
      </c>
      <c r="M273">
        <v>10500</v>
      </c>
      <c r="N273">
        <v>3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10500</v>
      </c>
      <c r="AJ273">
        <v>3</v>
      </c>
      <c r="AK273">
        <v>0</v>
      </c>
      <c r="AL273">
        <v>0</v>
      </c>
      <c r="AM273">
        <v>10500</v>
      </c>
      <c r="AN273">
        <v>0</v>
      </c>
      <c r="AO273">
        <v>0</v>
      </c>
      <c r="AP273">
        <v>0</v>
      </c>
      <c r="AQ273">
        <v>0</v>
      </c>
      <c r="AS273">
        <v>0</v>
      </c>
      <c r="AT273">
        <v>0</v>
      </c>
      <c r="AV273">
        <v>0</v>
      </c>
      <c r="AW273">
        <v>0</v>
      </c>
      <c r="AY273">
        <v>0</v>
      </c>
      <c r="AZ273">
        <v>0</v>
      </c>
      <c r="BA273">
        <v>7350</v>
      </c>
      <c r="BE273" t="str">
        <f>T("9791137009721")</f>
        <v>9791137009721</v>
      </c>
      <c r="BF273" t="str">
        <f>T("k307372")</f>
        <v>k307372</v>
      </c>
      <c r="BG273" t="str">
        <f>T("판타지 e북 &gt; 퓨전 판타지")</f>
        <v>판타지 e북 &gt; 퓨전 판타지</v>
      </c>
    </row>
    <row r="274" spans="1:59">
      <c r="A274" t="s">
        <v>60</v>
      </c>
      <c r="B274" s="1">
        <v>46130</v>
      </c>
      <c r="C274">
        <v>2378066498</v>
      </c>
      <c r="D274">
        <v>2378066501</v>
      </c>
      <c r="E274" t="str">
        <f>T("[e북]문과라도 안 죄송한 이세계로 감 4권")</f>
        <v>[e북]문과라도 안 죄송한 이세계로 감 4권</v>
      </c>
      <c r="F274">
        <v>4</v>
      </c>
      <c r="G274" t="str">
        <f>T("정수읠")</f>
        <v>정수읠</v>
      </c>
      <c r="J274" t="str">
        <f>T("매드햇")</f>
        <v>매드햇</v>
      </c>
      <c r="K274" t="str">
        <f>T("[e북]문과라도 안 죄송한 이세계로 감")</f>
        <v>[e북]문과라도 안 죄송한 이세계로 감</v>
      </c>
      <c r="L274">
        <v>3500</v>
      </c>
      <c r="M274">
        <v>7000</v>
      </c>
      <c r="N274">
        <v>2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7000</v>
      </c>
      <c r="AJ274">
        <v>2</v>
      </c>
      <c r="AK274">
        <v>0</v>
      </c>
      <c r="AL274">
        <v>0</v>
      </c>
      <c r="AM274">
        <v>7000</v>
      </c>
      <c r="AN274">
        <v>0</v>
      </c>
      <c r="AO274">
        <v>0</v>
      </c>
      <c r="AP274">
        <v>0</v>
      </c>
      <c r="AQ274">
        <v>0</v>
      </c>
      <c r="AS274">
        <v>0</v>
      </c>
      <c r="AT274">
        <v>0</v>
      </c>
      <c r="AV274">
        <v>0</v>
      </c>
      <c r="AW274">
        <v>0</v>
      </c>
      <c r="AY274">
        <v>0</v>
      </c>
      <c r="AZ274">
        <v>0</v>
      </c>
      <c r="BA274">
        <v>4900</v>
      </c>
      <c r="BE274" t="str">
        <f>T("9791137009844")</f>
        <v>9791137009844</v>
      </c>
      <c r="BF274" t="str">
        <f>T("k307373")</f>
        <v>k307373</v>
      </c>
      <c r="BG274" t="str">
        <f>T("판타지 e북 &gt; 퓨전 판타지")</f>
        <v>판타지 e북 &gt; 퓨전 판타지</v>
      </c>
    </row>
    <row r="275" spans="1:59">
      <c r="A275" t="s">
        <v>60</v>
      </c>
      <c r="B275" s="1">
        <v>46131</v>
      </c>
      <c r="C275">
        <v>2378066498</v>
      </c>
      <c r="D275">
        <v>2378066506</v>
      </c>
      <c r="E275" t="str">
        <f>T("[e북]문과라도 안 죄송한 이세계로 감 9권")</f>
        <v>[e북]문과라도 안 죄송한 이세계로 감 9권</v>
      </c>
      <c r="F275">
        <v>9</v>
      </c>
      <c r="G275" t="str">
        <f>T("정수읠")</f>
        <v>정수읠</v>
      </c>
      <c r="J275" t="str">
        <f>T("매드햇")</f>
        <v>매드햇</v>
      </c>
      <c r="K275" t="str">
        <f>T("[e북]문과라도 안 죄송한 이세계로 감")</f>
        <v>[e북]문과라도 안 죄송한 이세계로 감</v>
      </c>
      <c r="L275">
        <v>3500</v>
      </c>
      <c r="M275">
        <v>10500</v>
      </c>
      <c r="N275">
        <v>3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10500</v>
      </c>
      <c r="AJ275">
        <v>3</v>
      </c>
      <c r="AK275">
        <v>0</v>
      </c>
      <c r="AL275">
        <v>0</v>
      </c>
      <c r="AM275">
        <v>10500</v>
      </c>
      <c r="AN275">
        <v>0</v>
      </c>
      <c r="AO275">
        <v>0</v>
      </c>
      <c r="AP275">
        <v>0</v>
      </c>
      <c r="AQ275">
        <v>0</v>
      </c>
      <c r="AS275">
        <v>0</v>
      </c>
      <c r="AT275">
        <v>0</v>
      </c>
      <c r="AV275">
        <v>0</v>
      </c>
      <c r="AW275">
        <v>0</v>
      </c>
      <c r="AY275">
        <v>0</v>
      </c>
      <c r="AZ275">
        <v>0</v>
      </c>
      <c r="BA275">
        <v>7350</v>
      </c>
      <c r="BE275" t="str">
        <f>T("9791137009905")</f>
        <v>9791137009905</v>
      </c>
      <c r="BF275" t="str">
        <f>T("k307378")</f>
        <v>k307378</v>
      </c>
      <c r="BG275" t="str">
        <f>T("판타지 e북 &gt; 퓨전 판타지")</f>
        <v>판타지 e북 &gt; 퓨전 판타지</v>
      </c>
    </row>
    <row r="276" spans="1:59">
      <c r="A276" t="s">
        <v>60</v>
      </c>
      <c r="B276" s="1">
        <v>46131</v>
      </c>
      <c r="C276">
        <v>2378066498</v>
      </c>
      <c r="D276">
        <v>2378066507</v>
      </c>
      <c r="E276" t="str">
        <f>T("[e북]문과라도 안 죄송한 이세계로 감 10권")</f>
        <v>[e북]문과라도 안 죄송한 이세계로 감 10권</v>
      </c>
      <c r="F276">
        <v>10</v>
      </c>
      <c r="G276" t="str">
        <f>T("정수읠")</f>
        <v>정수읠</v>
      </c>
      <c r="J276" t="str">
        <f>T("매드햇")</f>
        <v>매드햇</v>
      </c>
      <c r="K276" t="str">
        <f>T("[e북]문과라도 안 죄송한 이세계로 감")</f>
        <v>[e북]문과라도 안 죄송한 이세계로 감</v>
      </c>
      <c r="L276">
        <v>3500</v>
      </c>
      <c r="M276">
        <v>10500</v>
      </c>
      <c r="N276">
        <v>3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10500</v>
      </c>
      <c r="AJ276">
        <v>3</v>
      </c>
      <c r="AK276">
        <v>0</v>
      </c>
      <c r="AL276">
        <v>0</v>
      </c>
      <c r="AM276">
        <v>10500</v>
      </c>
      <c r="AN276">
        <v>0</v>
      </c>
      <c r="AO276">
        <v>0</v>
      </c>
      <c r="AP276">
        <v>0</v>
      </c>
      <c r="AQ276">
        <v>0</v>
      </c>
      <c r="AS276">
        <v>0</v>
      </c>
      <c r="AT276">
        <v>0</v>
      </c>
      <c r="AV276">
        <v>0</v>
      </c>
      <c r="AW276">
        <v>0</v>
      </c>
      <c r="AY276">
        <v>0</v>
      </c>
      <c r="AZ276">
        <v>0</v>
      </c>
      <c r="BA276">
        <v>7350</v>
      </c>
      <c r="BE276" t="str">
        <f>T("9791137009967")</f>
        <v>9791137009967</v>
      </c>
      <c r="BF276" t="str">
        <f>T("k307379")</f>
        <v>k307379</v>
      </c>
      <c r="BG276" t="str">
        <f>T("판타지 e북 &gt; 퓨전 판타지")</f>
        <v>판타지 e북 &gt; 퓨전 판타지</v>
      </c>
    </row>
    <row r="277" spans="1:59">
      <c r="A277" t="s">
        <v>60</v>
      </c>
      <c r="B277" s="1">
        <v>46131</v>
      </c>
      <c r="C277">
        <v>2378066498</v>
      </c>
      <c r="D277">
        <v>2378066508</v>
      </c>
      <c r="E277" t="str">
        <f>T("[e북]문과라도 안 죄송한 이세계로 감 11권")</f>
        <v>[e북]문과라도 안 죄송한 이세계로 감 11권</v>
      </c>
      <c r="F277">
        <v>11</v>
      </c>
      <c r="G277" t="str">
        <f>T("정수읠")</f>
        <v>정수읠</v>
      </c>
      <c r="J277" t="str">
        <f>T("매드햇")</f>
        <v>매드햇</v>
      </c>
      <c r="K277" t="str">
        <f>T("[e북]문과라도 안 죄송한 이세계로 감")</f>
        <v>[e북]문과라도 안 죄송한 이세계로 감</v>
      </c>
      <c r="L277">
        <v>3500</v>
      </c>
      <c r="M277">
        <v>10500</v>
      </c>
      <c r="N277">
        <v>3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10500</v>
      </c>
      <c r="AJ277">
        <v>3</v>
      </c>
      <c r="AK277">
        <v>0</v>
      </c>
      <c r="AL277">
        <v>0</v>
      </c>
      <c r="AM277">
        <v>10500</v>
      </c>
      <c r="AN277">
        <v>0</v>
      </c>
      <c r="AO277">
        <v>0</v>
      </c>
      <c r="AP277">
        <v>0</v>
      </c>
      <c r="AQ277">
        <v>0</v>
      </c>
      <c r="AS277">
        <v>0</v>
      </c>
      <c r="AT277">
        <v>0</v>
      </c>
      <c r="AV277">
        <v>0</v>
      </c>
      <c r="AW277">
        <v>0</v>
      </c>
      <c r="AY277">
        <v>0</v>
      </c>
      <c r="AZ277">
        <v>0</v>
      </c>
      <c r="BA277">
        <v>7350</v>
      </c>
      <c r="BE277" t="str">
        <f>T("9791137009950")</f>
        <v>9791137009950</v>
      </c>
      <c r="BF277" t="str">
        <f>T("k307380")</f>
        <v>k307380</v>
      </c>
      <c r="BG277" t="str">
        <f>T("판타지 e북 &gt; 퓨전 판타지")</f>
        <v>판타지 e북 &gt; 퓨전 판타지</v>
      </c>
    </row>
    <row r="278" spans="1:59">
      <c r="A278" t="s">
        <v>60</v>
      </c>
      <c r="B278" s="1">
        <v>46131</v>
      </c>
      <c r="C278">
        <v>2378066498</v>
      </c>
      <c r="D278">
        <v>2378066501</v>
      </c>
      <c r="E278" t="str">
        <f>T("[e북]문과라도 안 죄송한 이세계로 감 4권")</f>
        <v>[e북]문과라도 안 죄송한 이세계로 감 4권</v>
      </c>
      <c r="F278">
        <v>4</v>
      </c>
      <c r="G278" t="str">
        <f>T("정수읠")</f>
        <v>정수읠</v>
      </c>
      <c r="J278" t="str">
        <f>T("매드햇")</f>
        <v>매드햇</v>
      </c>
      <c r="K278" t="str">
        <f>T("[e북]문과라도 안 죄송한 이세계로 감")</f>
        <v>[e북]문과라도 안 죄송한 이세계로 감</v>
      </c>
      <c r="L278">
        <v>3500</v>
      </c>
      <c r="M278">
        <v>7000</v>
      </c>
      <c r="N278">
        <v>2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7000</v>
      </c>
      <c r="AJ278">
        <v>2</v>
      </c>
      <c r="AK278">
        <v>0</v>
      </c>
      <c r="AL278">
        <v>0</v>
      </c>
      <c r="AM278">
        <v>7000</v>
      </c>
      <c r="AN278">
        <v>0</v>
      </c>
      <c r="AO278">
        <v>0</v>
      </c>
      <c r="AP278">
        <v>0</v>
      </c>
      <c r="AQ278">
        <v>0</v>
      </c>
      <c r="AS278">
        <v>0</v>
      </c>
      <c r="AT278">
        <v>0</v>
      </c>
      <c r="AV278">
        <v>0</v>
      </c>
      <c r="AW278">
        <v>0</v>
      </c>
      <c r="AY278">
        <v>0</v>
      </c>
      <c r="AZ278">
        <v>0</v>
      </c>
      <c r="BA278">
        <v>4900</v>
      </c>
      <c r="BE278" t="str">
        <f>T("9791137009844")</f>
        <v>9791137009844</v>
      </c>
      <c r="BF278" t="str">
        <f>T("k307373")</f>
        <v>k307373</v>
      </c>
      <c r="BG278" t="str">
        <f>T("판타지 e북 &gt; 퓨전 판타지")</f>
        <v>판타지 e북 &gt; 퓨전 판타지</v>
      </c>
    </row>
    <row r="279" spans="1:59">
      <c r="A279" t="s">
        <v>60</v>
      </c>
      <c r="B279" s="1">
        <v>46131</v>
      </c>
      <c r="C279">
        <v>2378066498</v>
      </c>
      <c r="D279">
        <v>2378066502</v>
      </c>
      <c r="E279" t="str">
        <f>T("[e북]문과라도 안 죄송한 이세계로 감 5권")</f>
        <v>[e북]문과라도 안 죄송한 이세계로 감 5권</v>
      </c>
      <c r="F279">
        <v>5</v>
      </c>
      <c r="G279" t="str">
        <f>T("정수읠")</f>
        <v>정수읠</v>
      </c>
      <c r="J279" t="str">
        <f>T("매드햇")</f>
        <v>매드햇</v>
      </c>
      <c r="K279" t="str">
        <f>T("[e북]문과라도 안 죄송한 이세계로 감")</f>
        <v>[e북]문과라도 안 죄송한 이세계로 감</v>
      </c>
      <c r="L279">
        <v>3500</v>
      </c>
      <c r="M279">
        <v>10500</v>
      </c>
      <c r="N279">
        <v>3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10500</v>
      </c>
      <c r="AJ279">
        <v>3</v>
      </c>
      <c r="AK279">
        <v>0</v>
      </c>
      <c r="AL279">
        <v>0</v>
      </c>
      <c r="AM279">
        <v>10500</v>
      </c>
      <c r="AN279">
        <v>0</v>
      </c>
      <c r="AO279">
        <v>0</v>
      </c>
      <c r="AP279">
        <v>0</v>
      </c>
      <c r="AQ279">
        <v>0</v>
      </c>
      <c r="AS279">
        <v>0</v>
      </c>
      <c r="AT279">
        <v>0</v>
      </c>
      <c r="AV279">
        <v>0</v>
      </c>
      <c r="AW279">
        <v>0</v>
      </c>
      <c r="AY279">
        <v>0</v>
      </c>
      <c r="AZ279">
        <v>0</v>
      </c>
      <c r="BA279">
        <v>7350</v>
      </c>
      <c r="BE279" t="str">
        <f>T("9791137009875")</f>
        <v>9791137009875</v>
      </c>
      <c r="BF279" t="str">
        <f>T("k307374")</f>
        <v>k307374</v>
      </c>
      <c r="BG279" t="str">
        <f>T("판타지 e북 &gt; 퓨전 판타지")</f>
        <v>판타지 e북 &gt; 퓨전 판타지</v>
      </c>
    </row>
    <row r="280" spans="1:59">
      <c r="A280" t="s">
        <v>60</v>
      </c>
      <c r="B280" s="1">
        <v>46131</v>
      </c>
      <c r="C280">
        <v>2378066498</v>
      </c>
      <c r="D280">
        <v>2378066503</v>
      </c>
      <c r="E280" t="str">
        <f>T("[e북]문과라도 안 죄송한 이세계로 감 6권")</f>
        <v>[e북]문과라도 안 죄송한 이세계로 감 6권</v>
      </c>
      <c r="F280">
        <v>6</v>
      </c>
      <c r="G280" t="str">
        <f>T("정수읠")</f>
        <v>정수읠</v>
      </c>
      <c r="J280" t="str">
        <f>T("매드햇")</f>
        <v>매드햇</v>
      </c>
      <c r="K280" t="str">
        <f>T("[e북]문과라도 안 죄송한 이세계로 감")</f>
        <v>[e북]문과라도 안 죄송한 이세계로 감</v>
      </c>
      <c r="L280">
        <v>3500</v>
      </c>
      <c r="M280">
        <v>10500</v>
      </c>
      <c r="N280">
        <v>3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10500</v>
      </c>
      <c r="AJ280">
        <v>3</v>
      </c>
      <c r="AK280">
        <v>0</v>
      </c>
      <c r="AL280">
        <v>0</v>
      </c>
      <c r="AM280">
        <v>10500</v>
      </c>
      <c r="AN280">
        <v>0</v>
      </c>
      <c r="AO280">
        <v>0</v>
      </c>
      <c r="AP280">
        <v>0</v>
      </c>
      <c r="AQ280">
        <v>0</v>
      </c>
      <c r="AS280">
        <v>0</v>
      </c>
      <c r="AT280">
        <v>0</v>
      </c>
      <c r="AV280">
        <v>0</v>
      </c>
      <c r="AW280">
        <v>0</v>
      </c>
      <c r="AY280">
        <v>0</v>
      </c>
      <c r="AZ280">
        <v>0</v>
      </c>
      <c r="BA280">
        <v>7350</v>
      </c>
      <c r="BE280" t="str">
        <f>T("9791137009882")</f>
        <v>9791137009882</v>
      </c>
      <c r="BF280" t="str">
        <f>T("k307375")</f>
        <v>k307375</v>
      </c>
      <c r="BG280" t="str">
        <f>T("판타지 e북 &gt; 퓨전 판타지")</f>
        <v>판타지 e북 &gt; 퓨전 판타지</v>
      </c>
    </row>
    <row r="281" spans="1:59">
      <c r="A281" t="s">
        <v>60</v>
      </c>
      <c r="B281" s="1">
        <v>46131</v>
      </c>
      <c r="C281">
        <v>2378066498</v>
      </c>
      <c r="D281">
        <v>2378066504</v>
      </c>
      <c r="E281" t="str">
        <f>T("[e북]문과라도 안 죄송한 이세계로 감 7권")</f>
        <v>[e북]문과라도 안 죄송한 이세계로 감 7권</v>
      </c>
      <c r="F281">
        <v>7</v>
      </c>
      <c r="G281" t="str">
        <f>T("정수읠")</f>
        <v>정수읠</v>
      </c>
      <c r="J281" t="str">
        <f>T("매드햇")</f>
        <v>매드햇</v>
      </c>
      <c r="K281" t="str">
        <f>T("[e북]문과라도 안 죄송한 이세계로 감")</f>
        <v>[e북]문과라도 안 죄송한 이세계로 감</v>
      </c>
      <c r="L281">
        <v>3500</v>
      </c>
      <c r="M281">
        <v>10500</v>
      </c>
      <c r="N281">
        <v>3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10500</v>
      </c>
      <c r="AJ281">
        <v>3</v>
      </c>
      <c r="AK281">
        <v>0</v>
      </c>
      <c r="AL281">
        <v>0</v>
      </c>
      <c r="AM281">
        <v>10500</v>
      </c>
      <c r="AN281">
        <v>0</v>
      </c>
      <c r="AO281">
        <v>0</v>
      </c>
      <c r="AP281">
        <v>0</v>
      </c>
      <c r="AQ281">
        <v>0</v>
      </c>
      <c r="AS281">
        <v>0</v>
      </c>
      <c r="AT281">
        <v>0</v>
      </c>
      <c r="AV281">
        <v>0</v>
      </c>
      <c r="AW281">
        <v>0</v>
      </c>
      <c r="AY281">
        <v>0</v>
      </c>
      <c r="AZ281">
        <v>0</v>
      </c>
      <c r="BA281">
        <v>7350</v>
      </c>
      <c r="BE281" t="str">
        <f>T("9791137009936")</f>
        <v>9791137009936</v>
      </c>
      <c r="BF281" t="str">
        <f>T("k307376")</f>
        <v>k307376</v>
      </c>
      <c r="BG281" t="str">
        <f>T("판타지 e북 &gt; 퓨전 판타지")</f>
        <v>판타지 e북 &gt; 퓨전 판타지</v>
      </c>
    </row>
    <row r="282" spans="1:59">
      <c r="A282" t="s">
        <v>60</v>
      </c>
      <c r="B282" s="1">
        <v>46131</v>
      </c>
      <c r="C282">
        <v>2378066498</v>
      </c>
      <c r="D282">
        <v>2378066505</v>
      </c>
      <c r="E282" t="str">
        <f>T("[e북]문과라도 안 죄송한 이세계로 감 8권")</f>
        <v>[e북]문과라도 안 죄송한 이세계로 감 8권</v>
      </c>
      <c r="F282">
        <v>8</v>
      </c>
      <c r="G282" t="str">
        <f>T("정수읠")</f>
        <v>정수읠</v>
      </c>
      <c r="J282" t="str">
        <f>T("매드햇")</f>
        <v>매드햇</v>
      </c>
      <c r="K282" t="str">
        <f>T("[e북]문과라도 안 죄송한 이세계로 감")</f>
        <v>[e북]문과라도 안 죄송한 이세계로 감</v>
      </c>
      <c r="L282">
        <v>3500</v>
      </c>
      <c r="M282">
        <v>7000</v>
      </c>
      <c r="N282">
        <v>2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7000</v>
      </c>
      <c r="AJ282">
        <v>2</v>
      </c>
      <c r="AK282">
        <v>0</v>
      </c>
      <c r="AL282">
        <v>0</v>
      </c>
      <c r="AM282">
        <v>7000</v>
      </c>
      <c r="AN282">
        <v>0</v>
      </c>
      <c r="AO282">
        <v>0</v>
      </c>
      <c r="AP282">
        <v>0</v>
      </c>
      <c r="AQ282">
        <v>0</v>
      </c>
      <c r="AS282">
        <v>0</v>
      </c>
      <c r="AT282">
        <v>0</v>
      </c>
      <c r="AV282">
        <v>0</v>
      </c>
      <c r="AW282">
        <v>0</v>
      </c>
      <c r="AY282">
        <v>0</v>
      </c>
      <c r="AZ282">
        <v>0</v>
      </c>
      <c r="BA282">
        <v>4900</v>
      </c>
      <c r="BE282" t="str">
        <f>T("9791137009738")</f>
        <v>9791137009738</v>
      </c>
      <c r="BF282" t="str">
        <f>T("k307377")</f>
        <v>k307377</v>
      </c>
      <c r="BG282" t="str">
        <f>T("판타지 e북 &gt; 퓨전 판타지")</f>
        <v>판타지 e북 &gt; 퓨전 판타지</v>
      </c>
    </row>
    <row r="283" spans="1:59">
      <c r="A283" t="s">
        <v>60</v>
      </c>
      <c r="B283" s="1">
        <v>46131</v>
      </c>
      <c r="C283">
        <v>2378066498</v>
      </c>
      <c r="D283">
        <v>2378066498</v>
      </c>
      <c r="E283" t="str">
        <f>T("[e북]문과라도 안 죄송한 이세계로 감 1권")</f>
        <v>[e북]문과라도 안 죄송한 이세계로 감 1권</v>
      </c>
      <c r="F283">
        <v>1</v>
      </c>
      <c r="G283" t="str">
        <f>T("정수읠")</f>
        <v>정수읠</v>
      </c>
      <c r="J283" t="str">
        <f>T("매드햇")</f>
        <v>매드햇</v>
      </c>
      <c r="K283" t="str">
        <f>T("[e북]문과라도 안 죄송한 이세계로 감")</f>
        <v>[e북]문과라도 안 죄송한 이세계로 감</v>
      </c>
      <c r="L283">
        <v>0</v>
      </c>
      <c r="M283">
        <v>0</v>
      </c>
      <c r="N283">
        <v>0</v>
      </c>
      <c r="O283">
        <v>10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10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S283">
        <v>0</v>
      </c>
      <c r="AT283">
        <v>0</v>
      </c>
      <c r="AV283">
        <v>0</v>
      </c>
      <c r="AW283">
        <v>0</v>
      </c>
      <c r="AY283">
        <v>0</v>
      </c>
      <c r="AZ283">
        <v>0</v>
      </c>
      <c r="BA283">
        <v>0</v>
      </c>
      <c r="BE283" t="str">
        <f>T("9791137009837")</f>
        <v>9791137009837</v>
      </c>
      <c r="BF283" t="str">
        <f>T("k307370")</f>
        <v>k307370</v>
      </c>
      <c r="BG283" t="str">
        <f>T("판타지 e북 &gt; 퓨전 판타지")</f>
        <v>판타지 e북 &gt; 퓨전 판타지</v>
      </c>
    </row>
    <row r="284" spans="1:59">
      <c r="A284" t="s">
        <v>60</v>
      </c>
      <c r="B284" s="1">
        <v>46131</v>
      </c>
      <c r="C284">
        <v>2378066498</v>
      </c>
      <c r="D284">
        <v>2378066499</v>
      </c>
      <c r="E284" t="str">
        <f>T("[e북]문과라도 안 죄송한 이세계로 감 2권")</f>
        <v>[e북]문과라도 안 죄송한 이세계로 감 2권</v>
      </c>
      <c r="F284">
        <v>2</v>
      </c>
      <c r="G284" t="str">
        <f>T("정수읠")</f>
        <v>정수읠</v>
      </c>
      <c r="J284" t="str">
        <f>T("매드햇")</f>
        <v>매드햇</v>
      </c>
      <c r="K284" t="str">
        <f>T("[e북]문과라도 안 죄송한 이세계로 감")</f>
        <v>[e북]문과라도 안 죄송한 이세계로 감</v>
      </c>
      <c r="L284">
        <v>3500</v>
      </c>
      <c r="M284">
        <v>10500</v>
      </c>
      <c r="N284">
        <v>3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10500</v>
      </c>
      <c r="AJ284">
        <v>3</v>
      </c>
      <c r="AK284">
        <v>0</v>
      </c>
      <c r="AL284">
        <v>0</v>
      </c>
      <c r="AM284">
        <v>10500</v>
      </c>
      <c r="AN284">
        <v>0</v>
      </c>
      <c r="AO284">
        <v>0</v>
      </c>
      <c r="AP284">
        <v>0</v>
      </c>
      <c r="AQ284">
        <v>0</v>
      </c>
      <c r="AS284">
        <v>0</v>
      </c>
      <c r="AT284">
        <v>0</v>
      </c>
      <c r="AV284">
        <v>0</v>
      </c>
      <c r="AW284">
        <v>0</v>
      </c>
      <c r="AY284">
        <v>0</v>
      </c>
      <c r="AZ284">
        <v>0</v>
      </c>
      <c r="BA284">
        <v>7350</v>
      </c>
      <c r="BE284" t="str">
        <f>T("9791137009820")</f>
        <v>9791137009820</v>
      </c>
      <c r="BF284" t="str">
        <f>T("k307371")</f>
        <v>k307371</v>
      </c>
      <c r="BG284" t="str">
        <f>T("판타지 e북 &gt; 퓨전 판타지")</f>
        <v>판타지 e북 &gt; 퓨전 판타지</v>
      </c>
    </row>
    <row r="285" spans="1:59">
      <c r="A285" t="s">
        <v>60</v>
      </c>
      <c r="B285" s="1">
        <v>46131</v>
      </c>
      <c r="C285">
        <v>2378066498</v>
      </c>
      <c r="D285">
        <v>2378066500</v>
      </c>
      <c r="E285" t="str">
        <f>T("[e북]문과라도 안 죄송한 이세계로 감 3권")</f>
        <v>[e북]문과라도 안 죄송한 이세계로 감 3권</v>
      </c>
      <c r="F285">
        <v>3</v>
      </c>
      <c r="G285" t="str">
        <f>T("정수읠")</f>
        <v>정수읠</v>
      </c>
      <c r="J285" t="str">
        <f>T("매드햇")</f>
        <v>매드햇</v>
      </c>
      <c r="K285" t="str">
        <f>T("[e북]문과라도 안 죄송한 이세계로 감")</f>
        <v>[e북]문과라도 안 죄송한 이세계로 감</v>
      </c>
      <c r="L285">
        <v>3500</v>
      </c>
      <c r="M285">
        <v>14000</v>
      </c>
      <c r="N285">
        <v>4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14000</v>
      </c>
      <c r="AJ285">
        <v>4</v>
      </c>
      <c r="AK285">
        <v>0</v>
      </c>
      <c r="AL285">
        <v>0</v>
      </c>
      <c r="AM285">
        <v>10500</v>
      </c>
      <c r="AN285">
        <v>0</v>
      </c>
      <c r="AO285">
        <v>4200</v>
      </c>
      <c r="AP285">
        <v>-420</v>
      </c>
      <c r="AQ285">
        <v>0</v>
      </c>
      <c r="AS285">
        <v>0</v>
      </c>
      <c r="AT285">
        <v>0</v>
      </c>
      <c r="AU285">
        <v>4200</v>
      </c>
      <c r="AV285">
        <v>-420</v>
      </c>
      <c r="AW285">
        <v>0</v>
      </c>
      <c r="AY285">
        <v>0</v>
      </c>
      <c r="AZ285">
        <v>0</v>
      </c>
      <c r="BA285">
        <v>9996</v>
      </c>
      <c r="BE285" t="str">
        <f>T("9791137009721")</f>
        <v>9791137009721</v>
      </c>
      <c r="BF285" t="str">
        <f>T("k307372")</f>
        <v>k307372</v>
      </c>
      <c r="BG285" t="str">
        <f>T("판타지 e북 &gt; 퓨전 판타지")</f>
        <v>판타지 e북 &gt; 퓨전 판타지</v>
      </c>
    </row>
    <row r="286" spans="1:59">
      <c r="A286" t="s">
        <v>60</v>
      </c>
      <c r="B286" s="1">
        <v>46130</v>
      </c>
      <c r="C286">
        <v>2378054700</v>
      </c>
      <c r="D286">
        <v>2378054700</v>
      </c>
      <c r="E286" t="str">
        <f>T("[e북]미국 로또로 역대급 재벌! 1권")</f>
        <v>[e북]미국 로또로 역대급 재벌! 1권</v>
      </c>
      <c r="F286">
        <v>1</v>
      </c>
      <c r="G286" t="str">
        <f>T("강바기")</f>
        <v>강바기</v>
      </c>
      <c r="J286" t="str">
        <f>T("매드햇")</f>
        <v>매드햇</v>
      </c>
      <c r="K286" t="str">
        <f>T("[e북]미국 로또로 역대급 재벌!")</f>
        <v>[e북]미국 로또로 역대급 재벌!</v>
      </c>
      <c r="L286">
        <v>0</v>
      </c>
      <c r="M286">
        <v>0</v>
      </c>
      <c r="N286">
        <v>0</v>
      </c>
      <c r="O286">
        <v>1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1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S286">
        <v>0</v>
      </c>
      <c r="AT286">
        <v>0</v>
      </c>
      <c r="AV286">
        <v>0</v>
      </c>
      <c r="AW286">
        <v>0</v>
      </c>
      <c r="AY286">
        <v>0</v>
      </c>
      <c r="AZ286">
        <v>0</v>
      </c>
      <c r="BA286">
        <v>0</v>
      </c>
      <c r="BE286" t="str">
        <f>T("9791137009226")</f>
        <v>9791137009226</v>
      </c>
      <c r="BF286" t="str">
        <f>T("k119080")</f>
        <v>k119080</v>
      </c>
      <c r="BG286" t="str">
        <f>T("판타지 e북 &gt; 현대 판타지")</f>
        <v>판타지 e북 &gt; 현대 판타지</v>
      </c>
    </row>
    <row r="287" spans="1:59">
      <c r="A287" t="s">
        <v>60</v>
      </c>
      <c r="B287" s="1">
        <v>46129</v>
      </c>
      <c r="C287">
        <v>2378081087</v>
      </c>
      <c r="D287">
        <v>2378081087</v>
      </c>
      <c r="E287" t="str">
        <f>T("[e북]미인흉맹 1권")</f>
        <v>[e북]미인흉맹 1권</v>
      </c>
      <c r="F287">
        <v>1</v>
      </c>
      <c r="G287" t="str">
        <f>T("목수유")</f>
        <v>목수유</v>
      </c>
      <c r="J287" t="str">
        <f>T("화월(花月)")</f>
        <v>화월(花月)</v>
      </c>
      <c r="K287" t="str">
        <f>T("[e북]미인흉맹")</f>
        <v>[e북]미인흉맹</v>
      </c>
      <c r="L287">
        <v>0</v>
      </c>
      <c r="M287">
        <v>0</v>
      </c>
      <c r="N287">
        <v>0</v>
      </c>
      <c r="O287">
        <v>10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10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S287">
        <v>0</v>
      </c>
      <c r="AT287">
        <v>0</v>
      </c>
      <c r="AV287">
        <v>0</v>
      </c>
      <c r="AW287">
        <v>0</v>
      </c>
      <c r="AY287">
        <v>0</v>
      </c>
      <c r="AZ287">
        <v>0</v>
      </c>
      <c r="BA287">
        <v>0</v>
      </c>
      <c r="BF287" t="str">
        <f>T("D248397")</f>
        <v>D248397</v>
      </c>
      <c r="BG287" t="str">
        <f>T("로판 e북 &gt; 해외 소설")</f>
        <v>로판 e북 &gt; 해외 소설</v>
      </c>
    </row>
    <row r="288" spans="1:59">
      <c r="A288" t="s">
        <v>60</v>
      </c>
      <c r="B288" s="1">
        <v>46129</v>
      </c>
      <c r="C288">
        <v>2378081087</v>
      </c>
      <c r="D288">
        <v>2378081088</v>
      </c>
      <c r="E288" t="str">
        <f>T("[e북]미인흉맹 2권")</f>
        <v>[e북]미인흉맹 2권</v>
      </c>
      <c r="F288">
        <v>2</v>
      </c>
      <c r="G288" t="str">
        <f>T("목수유")</f>
        <v>목수유</v>
      </c>
      <c r="J288" t="str">
        <f>T("화월(花月)")</f>
        <v>화월(花月)</v>
      </c>
      <c r="K288" t="str">
        <f>T("[e북]미인흉맹")</f>
        <v>[e북]미인흉맹</v>
      </c>
      <c r="L288">
        <v>3000</v>
      </c>
      <c r="M288">
        <v>9000</v>
      </c>
      <c r="N288">
        <v>3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9000</v>
      </c>
      <c r="AJ288">
        <v>3</v>
      </c>
      <c r="AK288">
        <v>0</v>
      </c>
      <c r="AL288">
        <v>0</v>
      </c>
      <c r="AM288">
        <v>9000</v>
      </c>
      <c r="AN288">
        <v>0</v>
      </c>
      <c r="AO288">
        <v>0</v>
      </c>
      <c r="AP288">
        <v>0</v>
      </c>
      <c r="AQ288">
        <v>0</v>
      </c>
      <c r="AS288">
        <v>0</v>
      </c>
      <c r="AT288">
        <v>0</v>
      </c>
      <c r="AV288">
        <v>0</v>
      </c>
      <c r="AW288">
        <v>0</v>
      </c>
      <c r="AY288">
        <v>0</v>
      </c>
      <c r="AZ288">
        <v>0</v>
      </c>
      <c r="BA288">
        <v>6300</v>
      </c>
      <c r="BF288" t="str">
        <f>T("D248398")</f>
        <v>D248398</v>
      </c>
      <c r="BG288" t="str">
        <f>T("로판 e북 &gt; 해외 소설")</f>
        <v>로판 e북 &gt; 해외 소설</v>
      </c>
    </row>
    <row r="289" spans="1:59">
      <c r="A289" t="s">
        <v>60</v>
      </c>
      <c r="B289" s="1">
        <v>46129</v>
      </c>
      <c r="C289">
        <v>2378081087</v>
      </c>
      <c r="D289">
        <v>2378081089</v>
      </c>
      <c r="E289" t="str">
        <f>T("[e북]미인흉맹 3권")</f>
        <v>[e북]미인흉맹 3권</v>
      </c>
      <c r="F289">
        <v>3</v>
      </c>
      <c r="G289" t="str">
        <f>T("목수유")</f>
        <v>목수유</v>
      </c>
      <c r="J289" t="str">
        <f>T("화월(花月)")</f>
        <v>화월(花月)</v>
      </c>
      <c r="K289" t="str">
        <f>T("[e북]미인흉맹")</f>
        <v>[e북]미인흉맹</v>
      </c>
      <c r="L289">
        <v>3000</v>
      </c>
      <c r="M289">
        <v>9000</v>
      </c>
      <c r="N289">
        <v>3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9000</v>
      </c>
      <c r="AJ289">
        <v>3</v>
      </c>
      <c r="AK289">
        <v>0</v>
      </c>
      <c r="AL289">
        <v>0</v>
      </c>
      <c r="AM289">
        <v>9000</v>
      </c>
      <c r="AN289">
        <v>0</v>
      </c>
      <c r="AO289">
        <v>0</v>
      </c>
      <c r="AP289">
        <v>0</v>
      </c>
      <c r="AQ289">
        <v>0</v>
      </c>
      <c r="AS289">
        <v>0</v>
      </c>
      <c r="AT289">
        <v>0</v>
      </c>
      <c r="AV289">
        <v>0</v>
      </c>
      <c r="AW289">
        <v>0</v>
      </c>
      <c r="AY289">
        <v>0</v>
      </c>
      <c r="AZ289">
        <v>0</v>
      </c>
      <c r="BA289">
        <v>6300</v>
      </c>
      <c r="BF289" t="str">
        <f>T("D248399")</f>
        <v>D248399</v>
      </c>
      <c r="BG289" t="str">
        <f>T("로판 e북 &gt; 해외 소설")</f>
        <v>로판 e북 &gt; 해외 소설</v>
      </c>
    </row>
    <row r="290" spans="1:59">
      <c r="A290" t="s">
        <v>60</v>
      </c>
      <c r="B290" s="1">
        <v>46129</v>
      </c>
      <c r="C290">
        <v>2378081087</v>
      </c>
      <c r="D290">
        <v>2378081090</v>
      </c>
      <c r="E290" t="str">
        <f>T("[e북]미인흉맹 4권")</f>
        <v>[e북]미인흉맹 4권</v>
      </c>
      <c r="F290">
        <v>4</v>
      </c>
      <c r="G290" t="str">
        <f>T("목수유")</f>
        <v>목수유</v>
      </c>
      <c r="J290" t="str">
        <f>T("화월(花月)")</f>
        <v>화월(花月)</v>
      </c>
      <c r="K290" t="str">
        <f>T("[e북]미인흉맹")</f>
        <v>[e북]미인흉맹</v>
      </c>
      <c r="L290">
        <v>3000</v>
      </c>
      <c r="M290">
        <v>9000</v>
      </c>
      <c r="N290">
        <v>3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9000</v>
      </c>
      <c r="AJ290">
        <v>3</v>
      </c>
      <c r="AK290">
        <v>0</v>
      </c>
      <c r="AL290">
        <v>0</v>
      </c>
      <c r="AM290">
        <v>9000</v>
      </c>
      <c r="AN290">
        <v>0</v>
      </c>
      <c r="AO290">
        <v>0</v>
      </c>
      <c r="AP290">
        <v>0</v>
      </c>
      <c r="AQ290">
        <v>0</v>
      </c>
      <c r="AS290">
        <v>0</v>
      </c>
      <c r="AT290">
        <v>0</v>
      </c>
      <c r="AV290">
        <v>0</v>
      </c>
      <c r="AW290">
        <v>0</v>
      </c>
      <c r="AY290">
        <v>0</v>
      </c>
      <c r="AZ290">
        <v>0</v>
      </c>
      <c r="BA290">
        <v>6300</v>
      </c>
      <c r="BF290" t="str">
        <f>T("D248400")</f>
        <v>D248400</v>
      </c>
      <c r="BG290" t="str">
        <f>T("로판 e북 &gt; 해외 소설")</f>
        <v>로판 e북 &gt; 해외 소설</v>
      </c>
    </row>
    <row r="291" spans="1:59">
      <c r="A291" t="s">
        <v>60</v>
      </c>
      <c r="B291" s="1">
        <v>46129</v>
      </c>
      <c r="C291">
        <v>2378081087</v>
      </c>
      <c r="D291">
        <v>2378081091</v>
      </c>
      <c r="E291" t="str">
        <f>T("[e북]미인흉맹 5권")</f>
        <v>[e북]미인흉맹 5권</v>
      </c>
      <c r="F291">
        <v>5</v>
      </c>
      <c r="G291" t="str">
        <f>T("목수유")</f>
        <v>목수유</v>
      </c>
      <c r="J291" t="str">
        <f>T("화월(花月)")</f>
        <v>화월(花月)</v>
      </c>
      <c r="K291" t="str">
        <f>T("[e북]미인흉맹")</f>
        <v>[e북]미인흉맹</v>
      </c>
      <c r="L291">
        <v>3000</v>
      </c>
      <c r="M291">
        <v>12000</v>
      </c>
      <c r="N291">
        <v>4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12000</v>
      </c>
      <c r="AJ291">
        <v>4</v>
      </c>
      <c r="AK291">
        <v>0</v>
      </c>
      <c r="AL291">
        <v>0</v>
      </c>
      <c r="AM291">
        <v>12000</v>
      </c>
      <c r="AN291">
        <v>0</v>
      </c>
      <c r="AO291">
        <v>0</v>
      </c>
      <c r="AP291">
        <v>0</v>
      </c>
      <c r="AQ291">
        <v>0</v>
      </c>
      <c r="AS291">
        <v>0</v>
      </c>
      <c r="AT291">
        <v>0</v>
      </c>
      <c r="AV291">
        <v>0</v>
      </c>
      <c r="AW291">
        <v>0</v>
      </c>
      <c r="AY291">
        <v>0</v>
      </c>
      <c r="AZ291">
        <v>0</v>
      </c>
      <c r="BA291">
        <v>8400</v>
      </c>
      <c r="BF291" t="str">
        <f>T("D248401")</f>
        <v>D248401</v>
      </c>
      <c r="BG291" t="str">
        <f>T("로판 e북 &gt; 해외 소설")</f>
        <v>로판 e북 &gt; 해외 소설</v>
      </c>
    </row>
    <row r="292" spans="1:59">
      <c r="A292" t="s">
        <v>60</v>
      </c>
      <c r="B292" s="1">
        <v>46129</v>
      </c>
      <c r="C292">
        <v>2378081087</v>
      </c>
      <c r="D292">
        <v>2378081092</v>
      </c>
      <c r="E292" t="str">
        <f>T("[e북]미인흉맹 6권")</f>
        <v>[e북]미인흉맹 6권</v>
      </c>
      <c r="F292">
        <v>6</v>
      </c>
      <c r="G292" t="str">
        <f>T("목수유")</f>
        <v>목수유</v>
      </c>
      <c r="J292" t="str">
        <f>T("화월(花月)")</f>
        <v>화월(花月)</v>
      </c>
      <c r="K292" t="str">
        <f>T("[e북]미인흉맹")</f>
        <v>[e북]미인흉맹</v>
      </c>
      <c r="L292">
        <v>3000</v>
      </c>
      <c r="M292">
        <v>3000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3000</v>
      </c>
      <c r="AJ292">
        <v>1</v>
      </c>
      <c r="AK292">
        <v>0</v>
      </c>
      <c r="AL292">
        <v>0</v>
      </c>
      <c r="AM292">
        <v>3000</v>
      </c>
      <c r="AN292">
        <v>0</v>
      </c>
      <c r="AO292">
        <v>0</v>
      </c>
      <c r="AP292">
        <v>0</v>
      </c>
      <c r="AQ292">
        <v>0</v>
      </c>
      <c r="AS292">
        <v>0</v>
      </c>
      <c r="AT292">
        <v>0</v>
      </c>
      <c r="AV292">
        <v>0</v>
      </c>
      <c r="AW292">
        <v>0</v>
      </c>
      <c r="AY292">
        <v>0</v>
      </c>
      <c r="AZ292">
        <v>0</v>
      </c>
      <c r="BA292">
        <v>2100</v>
      </c>
      <c r="BF292" t="str">
        <f>T("D248402")</f>
        <v>D248402</v>
      </c>
      <c r="BG292" t="str">
        <f>T("로판 e북 &gt; 해외 소설")</f>
        <v>로판 e북 &gt; 해외 소설</v>
      </c>
    </row>
    <row r="293" spans="1:59">
      <c r="A293" t="s">
        <v>60</v>
      </c>
      <c r="B293" s="1">
        <v>46129</v>
      </c>
      <c r="C293">
        <v>2378081087</v>
      </c>
      <c r="D293">
        <v>2378081093</v>
      </c>
      <c r="E293" t="str">
        <f>T("[e북]미인흉맹 7권")</f>
        <v>[e북]미인흉맹 7권</v>
      </c>
      <c r="F293">
        <v>7</v>
      </c>
      <c r="G293" t="str">
        <f>T("목수유")</f>
        <v>목수유</v>
      </c>
      <c r="J293" t="str">
        <f>T("화월(花月)")</f>
        <v>화월(花月)</v>
      </c>
      <c r="K293" t="str">
        <f>T("[e북]미인흉맹")</f>
        <v>[e북]미인흉맹</v>
      </c>
      <c r="L293">
        <v>3000</v>
      </c>
      <c r="M293">
        <v>12000</v>
      </c>
      <c r="N293">
        <v>4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12000</v>
      </c>
      <c r="AJ293">
        <v>4</v>
      </c>
      <c r="AK293">
        <v>0</v>
      </c>
      <c r="AL293">
        <v>0</v>
      </c>
      <c r="AM293">
        <v>12000</v>
      </c>
      <c r="AN293">
        <v>0</v>
      </c>
      <c r="AO293">
        <v>0</v>
      </c>
      <c r="AP293">
        <v>0</v>
      </c>
      <c r="AQ293">
        <v>0</v>
      </c>
      <c r="AS293">
        <v>0</v>
      </c>
      <c r="AT293">
        <v>0</v>
      </c>
      <c r="AV293">
        <v>0</v>
      </c>
      <c r="AW293">
        <v>0</v>
      </c>
      <c r="AY293">
        <v>0</v>
      </c>
      <c r="AZ293">
        <v>0</v>
      </c>
      <c r="BA293">
        <v>8400</v>
      </c>
      <c r="BF293" t="str">
        <f>T("D248403")</f>
        <v>D248403</v>
      </c>
      <c r="BG293" t="str">
        <f>T("로판 e북 &gt; 해외 소설")</f>
        <v>로판 e북 &gt; 해외 소설</v>
      </c>
    </row>
    <row r="294" spans="1:59">
      <c r="A294" t="s">
        <v>60</v>
      </c>
      <c r="B294" s="1">
        <v>46129</v>
      </c>
      <c r="C294">
        <v>2378081087</v>
      </c>
      <c r="D294">
        <v>2378081094</v>
      </c>
      <c r="E294" t="str">
        <f>T("[e북]미인흉맹 8권")</f>
        <v>[e북]미인흉맹 8권</v>
      </c>
      <c r="F294">
        <v>8</v>
      </c>
      <c r="G294" t="str">
        <f>T("목수유")</f>
        <v>목수유</v>
      </c>
      <c r="J294" t="str">
        <f>T("화월(花月)")</f>
        <v>화월(花月)</v>
      </c>
      <c r="K294" t="str">
        <f>T("[e북]미인흉맹")</f>
        <v>[e북]미인흉맹</v>
      </c>
      <c r="L294">
        <v>3000</v>
      </c>
      <c r="M294">
        <v>9000</v>
      </c>
      <c r="N294">
        <v>3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9000</v>
      </c>
      <c r="AJ294">
        <v>3</v>
      </c>
      <c r="AK294">
        <v>0</v>
      </c>
      <c r="AL294">
        <v>0</v>
      </c>
      <c r="AM294">
        <v>9000</v>
      </c>
      <c r="AN294">
        <v>0</v>
      </c>
      <c r="AO294">
        <v>0</v>
      </c>
      <c r="AP294">
        <v>0</v>
      </c>
      <c r="AQ294">
        <v>0</v>
      </c>
      <c r="AS294">
        <v>0</v>
      </c>
      <c r="AT294">
        <v>0</v>
      </c>
      <c r="AV294">
        <v>0</v>
      </c>
      <c r="AW294">
        <v>0</v>
      </c>
      <c r="AY294">
        <v>0</v>
      </c>
      <c r="AZ294">
        <v>0</v>
      </c>
      <c r="BA294">
        <v>6300</v>
      </c>
      <c r="BF294" t="str">
        <f>T("D248404")</f>
        <v>D248404</v>
      </c>
      <c r="BG294" t="str">
        <f>T("로판 e북 &gt; 해외 소설")</f>
        <v>로판 e북 &gt; 해외 소설</v>
      </c>
    </row>
    <row r="295" spans="1:59">
      <c r="A295" t="s">
        <v>60</v>
      </c>
      <c r="B295" s="1">
        <v>46129</v>
      </c>
      <c r="C295">
        <v>2378081087</v>
      </c>
      <c r="D295">
        <v>2378081095</v>
      </c>
      <c r="E295" t="str">
        <f>T("[e북]미인흉맹 9권")</f>
        <v>[e북]미인흉맹 9권</v>
      </c>
      <c r="F295">
        <v>9</v>
      </c>
      <c r="G295" t="str">
        <f>T("목수유")</f>
        <v>목수유</v>
      </c>
      <c r="J295" t="str">
        <f>T("화월(花月)")</f>
        <v>화월(花月)</v>
      </c>
      <c r="K295" t="str">
        <f>T("[e북]미인흉맹")</f>
        <v>[e북]미인흉맹</v>
      </c>
      <c r="L295">
        <v>3000</v>
      </c>
      <c r="M295">
        <v>12000</v>
      </c>
      <c r="N295">
        <v>4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12000</v>
      </c>
      <c r="AJ295">
        <v>4</v>
      </c>
      <c r="AK295">
        <v>0</v>
      </c>
      <c r="AL295">
        <v>0</v>
      </c>
      <c r="AM295">
        <v>12000</v>
      </c>
      <c r="AN295">
        <v>0</v>
      </c>
      <c r="AO295">
        <v>0</v>
      </c>
      <c r="AP295">
        <v>0</v>
      </c>
      <c r="AQ295">
        <v>0</v>
      </c>
      <c r="AS295">
        <v>0</v>
      </c>
      <c r="AT295">
        <v>0</v>
      </c>
      <c r="AV295">
        <v>0</v>
      </c>
      <c r="AW295">
        <v>0</v>
      </c>
      <c r="AY295">
        <v>0</v>
      </c>
      <c r="AZ295">
        <v>0</v>
      </c>
      <c r="BA295">
        <v>8400</v>
      </c>
      <c r="BF295" t="str">
        <f>T("D248405")</f>
        <v>D248405</v>
      </c>
      <c r="BG295" t="str">
        <f>T("로판 e북 &gt; 해외 소설")</f>
        <v>로판 e북 &gt; 해외 소설</v>
      </c>
    </row>
    <row r="296" spans="1:59">
      <c r="A296" t="s">
        <v>60</v>
      </c>
      <c r="B296" s="1">
        <v>46129</v>
      </c>
      <c r="C296">
        <v>2378081087</v>
      </c>
      <c r="D296">
        <v>2378081096</v>
      </c>
      <c r="E296" t="str">
        <f>T("[e북]미인흉맹 10권")</f>
        <v>[e북]미인흉맹 10권</v>
      </c>
      <c r="F296">
        <v>10</v>
      </c>
      <c r="G296" t="str">
        <f>T("목수유")</f>
        <v>목수유</v>
      </c>
      <c r="J296" t="str">
        <f>T("화월(花月)")</f>
        <v>화월(花月)</v>
      </c>
      <c r="K296" t="str">
        <f>T("[e북]미인흉맹")</f>
        <v>[e북]미인흉맹</v>
      </c>
      <c r="L296">
        <v>3000</v>
      </c>
      <c r="M296">
        <v>15000</v>
      </c>
      <c r="N296">
        <v>5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15000</v>
      </c>
      <c r="AJ296">
        <v>5</v>
      </c>
      <c r="AK296">
        <v>0</v>
      </c>
      <c r="AL296">
        <v>0</v>
      </c>
      <c r="AM296">
        <v>15000</v>
      </c>
      <c r="AN296">
        <v>0</v>
      </c>
      <c r="AO296">
        <v>0</v>
      </c>
      <c r="AP296">
        <v>0</v>
      </c>
      <c r="AQ296">
        <v>0</v>
      </c>
      <c r="AS296">
        <v>0</v>
      </c>
      <c r="AT296">
        <v>0</v>
      </c>
      <c r="AV296">
        <v>0</v>
      </c>
      <c r="AW296">
        <v>0</v>
      </c>
      <c r="AY296">
        <v>0</v>
      </c>
      <c r="AZ296">
        <v>0</v>
      </c>
      <c r="BA296">
        <v>10500</v>
      </c>
      <c r="BF296" t="str">
        <f>T("D248406")</f>
        <v>D248406</v>
      </c>
      <c r="BG296" t="str">
        <f>T("로판 e북 &gt; 해외 소설")</f>
        <v>로판 e북 &gt; 해외 소설</v>
      </c>
    </row>
    <row r="297" spans="1:59">
      <c r="A297" t="s">
        <v>60</v>
      </c>
      <c r="B297" s="1">
        <v>46129</v>
      </c>
      <c r="C297">
        <v>2378081087</v>
      </c>
      <c r="D297">
        <v>2378081097</v>
      </c>
      <c r="E297" t="str">
        <f>T("[e북]미인흉맹 11권")</f>
        <v>[e북]미인흉맹 11권</v>
      </c>
      <c r="F297">
        <v>11</v>
      </c>
      <c r="G297" t="str">
        <f>T("목수유")</f>
        <v>목수유</v>
      </c>
      <c r="J297" t="str">
        <f>T("화월(花月)")</f>
        <v>화월(花月)</v>
      </c>
      <c r="K297" t="str">
        <f>T("[e북]미인흉맹")</f>
        <v>[e북]미인흉맹</v>
      </c>
      <c r="L297">
        <v>3000</v>
      </c>
      <c r="M297">
        <v>12000</v>
      </c>
      <c r="N297">
        <v>4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12000</v>
      </c>
      <c r="AJ297">
        <v>4</v>
      </c>
      <c r="AK297">
        <v>0</v>
      </c>
      <c r="AL297">
        <v>0</v>
      </c>
      <c r="AM297">
        <v>12000</v>
      </c>
      <c r="AN297">
        <v>0</v>
      </c>
      <c r="AO297">
        <v>0</v>
      </c>
      <c r="AP297">
        <v>0</v>
      </c>
      <c r="AQ297">
        <v>0</v>
      </c>
      <c r="AS297">
        <v>0</v>
      </c>
      <c r="AT297">
        <v>0</v>
      </c>
      <c r="AV297">
        <v>0</v>
      </c>
      <c r="AW297">
        <v>0</v>
      </c>
      <c r="AY297">
        <v>0</v>
      </c>
      <c r="AZ297">
        <v>0</v>
      </c>
      <c r="BA297">
        <v>8400</v>
      </c>
      <c r="BF297" t="str">
        <f>T("D248407")</f>
        <v>D248407</v>
      </c>
      <c r="BG297" t="str">
        <f>T("로판 e북 &gt; 해외 소설")</f>
        <v>로판 e북 &gt; 해외 소설</v>
      </c>
    </row>
    <row r="298" spans="1:59">
      <c r="A298" t="s">
        <v>60</v>
      </c>
      <c r="B298" s="1">
        <v>46129</v>
      </c>
      <c r="C298">
        <v>2378081087</v>
      </c>
      <c r="D298">
        <v>2378081098</v>
      </c>
      <c r="E298" t="str">
        <f>T("[e북]미인흉맹 12권")</f>
        <v>[e북]미인흉맹 12권</v>
      </c>
      <c r="F298">
        <v>12</v>
      </c>
      <c r="G298" t="str">
        <f>T("목수유")</f>
        <v>목수유</v>
      </c>
      <c r="J298" t="str">
        <f>T("화월(花月)")</f>
        <v>화월(花月)</v>
      </c>
      <c r="K298" t="str">
        <f>T("[e북]미인흉맹")</f>
        <v>[e북]미인흉맹</v>
      </c>
      <c r="L298">
        <v>3000</v>
      </c>
      <c r="M298">
        <v>9000</v>
      </c>
      <c r="N298">
        <v>3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9000</v>
      </c>
      <c r="AJ298">
        <v>3</v>
      </c>
      <c r="AK298">
        <v>0</v>
      </c>
      <c r="AL298">
        <v>0</v>
      </c>
      <c r="AM298">
        <v>9000</v>
      </c>
      <c r="AN298">
        <v>0</v>
      </c>
      <c r="AO298">
        <v>0</v>
      </c>
      <c r="AP298">
        <v>0</v>
      </c>
      <c r="AQ298">
        <v>0</v>
      </c>
      <c r="AS298">
        <v>0</v>
      </c>
      <c r="AT298">
        <v>0</v>
      </c>
      <c r="AV298">
        <v>0</v>
      </c>
      <c r="AW298">
        <v>0</v>
      </c>
      <c r="AY298">
        <v>0</v>
      </c>
      <c r="AZ298">
        <v>0</v>
      </c>
      <c r="BA298">
        <v>6300</v>
      </c>
      <c r="BF298" t="str">
        <f>T("D248408")</f>
        <v>D248408</v>
      </c>
      <c r="BG298" t="str">
        <f>T("로판 e북 &gt; 해외 소설")</f>
        <v>로판 e북 &gt; 해외 소설</v>
      </c>
    </row>
    <row r="299" spans="1:59">
      <c r="A299" t="s">
        <v>60</v>
      </c>
      <c r="B299" s="1">
        <v>46129</v>
      </c>
      <c r="C299">
        <v>2378081087</v>
      </c>
      <c r="D299">
        <v>2378081099</v>
      </c>
      <c r="E299" t="str">
        <f>T("[e북]미인흉맹 13권")</f>
        <v>[e북]미인흉맹 13권</v>
      </c>
      <c r="F299">
        <v>13</v>
      </c>
      <c r="G299" t="str">
        <f>T("목수유")</f>
        <v>목수유</v>
      </c>
      <c r="J299" t="str">
        <f>T("화월(花月)")</f>
        <v>화월(花月)</v>
      </c>
      <c r="K299" t="str">
        <f>T("[e북]미인흉맹")</f>
        <v>[e북]미인흉맹</v>
      </c>
      <c r="L299">
        <v>3000</v>
      </c>
      <c r="M299">
        <v>9000</v>
      </c>
      <c r="N299">
        <v>3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9000</v>
      </c>
      <c r="AJ299">
        <v>3</v>
      </c>
      <c r="AK299">
        <v>0</v>
      </c>
      <c r="AL299">
        <v>0</v>
      </c>
      <c r="AM299">
        <v>6000</v>
      </c>
      <c r="AN299">
        <v>0</v>
      </c>
      <c r="AO299">
        <v>3600</v>
      </c>
      <c r="AP299">
        <v>-360</v>
      </c>
      <c r="AQ299">
        <v>0</v>
      </c>
      <c r="AS299">
        <v>0</v>
      </c>
      <c r="AT299">
        <v>0</v>
      </c>
      <c r="AU299">
        <v>3600</v>
      </c>
      <c r="AV299">
        <v>-360</v>
      </c>
      <c r="AW299">
        <v>0</v>
      </c>
      <c r="AY299">
        <v>0</v>
      </c>
      <c r="AZ299">
        <v>0</v>
      </c>
      <c r="BA299">
        <v>6468</v>
      </c>
      <c r="BF299" t="str">
        <f>T("D248409")</f>
        <v>D248409</v>
      </c>
      <c r="BG299" t="str">
        <f>T("로판 e북 &gt; 해외 소설")</f>
        <v>로판 e북 &gt; 해외 소설</v>
      </c>
    </row>
    <row r="300" spans="1:59">
      <c r="A300" t="s">
        <v>60</v>
      </c>
      <c r="B300" s="1">
        <v>46129</v>
      </c>
      <c r="C300">
        <v>2378081087</v>
      </c>
      <c r="D300">
        <v>2378081100</v>
      </c>
      <c r="E300" t="str">
        <f>T("[e북]미인흉맹 14권 (완결)")</f>
        <v>[e북]미인흉맹 14권 (완결)</v>
      </c>
      <c r="F300">
        <v>14</v>
      </c>
      <c r="G300" t="str">
        <f>T("목수유")</f>
        <v>목수유</v>
      </c>
      <c r="J300" t="str">
        <f>T("화월(花月)")</f>
        <v>화월(花月)</v>
      </c>
      <c r="K300" t="str">
        <f>T("[e북]미인흉맹")</f>
        <v>[e북]미인흉맹</v>
      </c>
      <c r="L300">
        <v>3000</v>
      </c>
      <c r="M300">
        <v>3000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3000</v>
      </c>
      <c r="AJ300">
        <v>1</v>
      </c>
      <c r="AK300">
        <v>0</v>
      </c>
      <c r="AL300">
        <v>0</v>
      </c>
      <c r="AM300">
        <v>3000</v>
      </c>
      <c r="AN300">
        <v>0</v>
      </c>
      <c r="AO300">
        <v>0</v>
      </c>
      <c r="AP300">
        <v>0</v>
      </c>
      <c r="AQ300">
        <v>0</v>
      </c>
      <c r="AS300">
        <v>0</v>
      </c>
      <c r="AT300">
        <v>0</v>
      </c>
      <c r="AV300">
        <v>0</v>
      </c>
      <c r="AW300">
        <v>0</v>
      </c>
      <c r="AY300">
        <v>0</v>
      </c>
      <c r="AZ300">
        <v>0</v>
      </c>
      <c r="BA300">
        <v>2100</v>
      </c>
      <c r="BF300" t="str">
        <f>T("D248410")</f>
        <v>D248410</v>
      </c>
      <c r="BG300" t="str">
        <f>T("로판 e북 &gt; 해외 소설")</f>
        <v>로판 e북 &gt; 해외 소설</v>
      </c>
    </row>
    <row r="301" spans="1:59">
      <c r="A301" t="s">
        <v>60</v>
      </c>
      <c r="B301" s="1">
        <v>46130</v>
      </c>
      <c r="C301">
        <v>2378081087</v>
      </c>
      <c r="D301">
        <v>2378081092</v>
      </c>
      <c r="E301" t="str">
        <f>T("[e북]미인흉맹 6권")</f>
        <v>[e북]미인흉맹 6권</v>
      </c>
      <c r="F301">
        <v>6</v>
      </c>
      <c r="G301" t="str">
        <f>T("목수유")</f>
        <v>목수유</v>
      </c>
      <c r="J301" t="str">
        <f>T("화월(花月)")</f>
        <v>화월(花月)</v>
      </c>
      <c r="K301" t="str">
        <f>T("[e북]미인흉맹")</f>
        <v>[e북]미인흉맹</v>
      </c>
      <c r="L301">
        <v>3000</v>
      </c>
      <c r="M301">
        <v>6000</v>
      </c>
      <c r="N301">
        <v>2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6000</v>
      </c>
      <c r="AJ301">
        <v>2</v>
      </c>
      <c r="AK301">
        <v>0</v>
      </c>
      <c r="AL301">
        <v>0</v>
      </c>
      <c r="AM301">
        <v>6000</v>
      </c>
      <c r="AN301">
        <v>0</v>
      </c>
      <c r="AO301">
        <v>0</v>
      </c>
      <c r="AP301">
        <v>0</v>
      </c>
      <c r="AQ301">
        <v>0</v>
      </c>
      <c r="AS301">
        <v>0</v>
      </c>
      <c r="AT301">
        <v>0</v>
      </c>
      <c r="AV301">
        <v>0</v>
      </c>
      <c r="AW301">
        <v>0</v>
      </c>
      <c r="AY301">
        <v>0</v>
      </c>
      <c r="AZ301">
        <v>0</v>
      </c>
      <c r="BA301">
        <v>4200</v>
      </c>
      <c r="BF301" t="str">
        <f>T("D248402")</f>
        <v>D248402</v>
      </c>
      <c r="BG301" t="str">
        <f>T("로판 e북 &gt; 해외 소설")</f>
        <v>로판 e북 &gt; 해외 소설</v>
      </c>
    </row>
    <row r="302" spans="1:59">
      <c r="A302" t="s">
        <v>60</v>
      </c>
      <c r="B302" s="1">
        <v>46130</v>
      </c>
      <c r="C302">
        <v>2378081087</v>
      </c>
      <c r="D302">
        <v>2378081093</v>
      </c>
      <c r="E302" t="str">
        <f>T("[e북]미인흉맹 7권")</f>
        <v>[e북]미인흉맹 7권</v>
      </c>
      <c r="F302">
        <v>7</v>
      </c>
      <c r="G302" t="str">
        <f>T("목수유")</f>
        <v>목수유</v>
      </c>
      <c r="J302" t="str">
        <f>T("화월(花月)")</f>
        <v>화월(花月)</v>
      </c>
      <c r="K302" t="str">
        <f>T("[e북]미인흉맹")</f>
        <v>[e북]미인흉맹</v>
      </c>
      <c r="L302">
        <v>3000</v>
      </c>
      <c r="M302">
        <v>12000</v>
      </c>
      <c r="N302">
        <v>4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12000</v>
      </c>
      <c r="AJ302">
        <v>4</v>
      </c>
      <c r="AK302">
        <v>0</v>
      </c>
      <c r="AL302">
        <v>0</v>
      </c>
      <c r="AM302">
        <v>9000</v>
      </c>
      <c r="AN302">
        <v>0</v>
      </c>
      <c r="AO302">
        <v>3600</v>
      </c>
      <c r="AP302">
        <v>-360</v>
      </c>
      <c r="AQ302">
        <v>0</v>
      </c>
      <c r="AS302">
        <v>0</v>
      </c>
      <c r="AT302">
        <v>0</v>
      </c>
      <c r="AU302">
        <v>3600</v>
      </c>
      <c r="AV302">
        <v>-360</v>
      </c>
      <c r="AW302">
        <v>0</v>
      </c>
      <c r="AY302">
        <v>0</v>
      </c>
      <c r="AZ302">
        <v>0</v>
      </c>
      <c r="BA302">
        <v>8568</v>
      </c>
      <c r="BF302" t="str">
        <f>T("D248403")</f>
        <v>D248403</v>
      </c>
      <c r="BG302" t="str">
        <f>T("로판 e북 &gt; 해외 소설")</f>
        <v>로판 e북 &gt; 해외 소설</v>
      </c>
    </row>
    <row r="303" spans="1:59">
      <c r="A303" t="s">
        <v>60</v>
      </c>
      <c r="B303" s="1">
        <v>46130</v>
      </c>
      <c r="C303">
        <v>2378081087</v>
      </c>
      <c r="D303">
        <v>2378081094</v>
      </c>
      <c r="E303" t="str">
        <f>T("[e북]미인흉맹 8권")</f>
        <v>[e북]미인흉맹 8권</v>
      </c>
      <c r="F303">
        <v>8</v>
      </c>
      <c r="G303" t="str">
        <f>T("목수유")</f>
        <v>목수유</v>
      </c>
      <c r="J303" t="str">
        <f>T("화월(花月)")</f>
        <v>화월(花月)</v>
      </c>
      <c r="K303" t="str">
        <f>T("[e북]미인흉맹")</f>
        <v>[e북]미인흉맹</v>
      </c>
      <c r="L303">
        <v>3000</v>
      </c>
      <c r="M303">
        <v>9000</v>
      </c>
      <c r="N303">
        <v>3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9000</v>
      </c>
      <c r="AJ303">
        <v>3</v>
      </c>
      <c r="AK303">
        <v>0</v>
      </c>
      <c r="AL303">
        <v>0</v>
      </c>
      <c r="AM303">
        <v>9000</v>
      </c>
      <c r="AN303">
        <v>0</v>
      </c>
      <c r="AO303">
        <v>0</v>
      </c>
      <c r="AP303">
        <v>0</v>
      </c>
      <c r="AQ303">
        <v>0</v>
      </c>
      <c r="AS303">
        <v>0</v>
      </c>
      <c r="AT303">
        <v>0</v>
      </c>
      <c r="AV303">
        <v>0</v>
      </c>
      <c r="AW303">
        <v>0</v>
      </c>
      <c r="AY303">
        <v>0</v>
      </c>
      <c r="AZ303">
        <v>0</v>
      </c>
      <c r="BA303">
        <v>6300</v>
      </c>
      <c r="BF303" t="str">
        <f>T("D248404")</f>
        <v>D248404</v>
      </c>
      <c r="BG303" t="str">
        <f>T("로판 e북 &gt; 해외 소설")</f>
        <v>로판 e북 &gt; 해외 소설</v>
      </c>
    </row>
    <row r="304" spans="1:59">
      <c r="A304" t="s">
        <v>60</v>
      </c>
      <c r="B304" s="1">
        <v>46130</v>
      </c>
      <c r="C304">
        <v>2378081087</v>
      </c>
      <c r="D304">
        <v>2378081095</v>
      </c>
      <c r="E304" t="str">
        <f>T("[e북]미인흉맹 9권")</f>
        <v>[e북]미인흉맹 9권</v>
      </c>
      <c r="F304">
        <v>9</v>
      </c>
      <c r="G304" t="str">
        <f>T("목수유")</f>
        <v>목수유</v>
      </c>
      <c r="J304" t="str">
        <f>T("화월(花月)")</f>
        <v>화월(花月)</v>
      </c>
      <c r="K304" t="str">
        <f>T("[e북]미인흉맹")</f>
        <v>[e북]미인흉맹</v>
      </c>
      <c r="L304">
        <v>3000</v>
      </c>
      <c r="M304">
        <v>3000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3000</v>
      </c>
      <c r="AJ304">
        <v>1</v>
      </c>
      <c r="AK304">
        <v>0</v>
      </c>
      <c r="AL304">
        <v>0</v>
      </c>
      <c r="AM304">
        <v>3000</v>
      </c>
      <c r="AN304">
        <v>0</v>
      </c>
      <c r="AO304">
        <v>0</v>
      </c>
      <c r="AP304">
        <v>0</v>
      </c>
      <c r="AQ304">
        <v>0</v>
      </c>
      <c r="AS304">
        <v>0</v>
      </c>
      <c r="AT304">
        <v>0</v>
      </c>
      <c r="AV304">
        <v>0</v>
      </c>
      <c r="AW304">
        <v>0</v>
      </c>
      <c r="AY304">
        <v>0</v>
      </c>
      <c r="AZ304">
        <v>0</v>
      </c>
      <c r="BA304">
        <v>2100</v>
      </c>
      <c r="BF304" t="str">
        <f>T("D248405")</f>
        <v>D248405</v>
      </c>
      <c r="BG304" t="str">
        <f>T("로판 e북 &gt; 해외 소설")</f>
        <v>로판 e북 &gt; 해외 소설</v>
      </c>
    </row>
    <row r="305" spans="1:59">
      <c r="A305" t="s">
        <v>60</v>
      </c>
      <c r="B305" s="1">
        <v>46130</v>
      </c>
      <c r="C305">
        <v>2378081087</v>
      </c>
      <c r="D305">
        <v>2378081096</v>
      </c>
      <c r="E305" t="str">
        <f>T("[e북]미인흉맹 10권")</f>
        <v>[e북]미인흉맹 10권</v>
      </c>
      <c r="F305">
        <v>10</v>
      </c>
      <c r="G305" t="str">
        <f>T("목수유")</f>
        <v>목수유</v>
      </c>
      <c r="J305" t="str">
        <f>T("화월(花月)")</f>
        <v>화월(花月)</v>
      </c>
      <c r="K305" t="str">
        <f>T("[e북]미인흉맹")</f>
        <v>[e북]미인흉맹</v>
      </c>
      <c r="L305">
        <v>3000</v>
      </c>
      <c r="M305">
        <v>3000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3000</v>
      </c>
      <c r="AJ305">
        <v>1</v>
      </c>
      <c r="AK305">
        <v>0</v>
      </c>
      <c r="AL305">
        <v>0</v>
      </c>
      <c r="AM305">
        <v>3000</v>
      </c>
      <c r="AN305">
        <v>0</v>
      </c>
      <c r="AO305">
        <v>0</v>
      </c>
      <c r="AP305">
        <v>0</v>
      </c>
      <c r="AQ305">
        <v>0</v>
      </c>
      <c r="AS305">
        <v>0</v>
      </c>
      <c r="AT305">
        <v>0</v>
      </c>
      <c r="AV305">
        <v>0</v>
      </c>
      <c r="AW305">
        <v>0</v>
      </c>
      <c r="AY305">
        <v>0</v>
      </c>
      <c r="AZ305">
        <v>0</v>
      </c>
      <c r="BA305">
        <v>2100</v>
      </c>
      <c r="BF305" t="str">
        <f>T("D248406")</f>
        <v>D248406</v>
      </c>
      <c r="BG305" t="str">
        <f>T("로판 e북 &gt; 해외 소설")</f>
        <v>로판 e북 &gt; 해외 소설</v>
      </c>
    </row>
    <row r="306" spans="1:59">
      <c r="A306" t="s">
        <v>60</v>
      </c>
      <c r="B306" s="1">
        <v>46130</v>
      </c>
      <c r="C306">
        <v>2378081087</v>
      </c>
      <c r="D306">
        <v>2378081097</v>
      </c>
      <c r="E306" t="str">
        <f>T("[e북]미인흉맹 11권")</f>
        <v>[e북]미인흉맹 11권</v>
      </c>
      <c r="F306">
        <v>11</v>
      </c>
      <c r="G306" t="str">
        <f>T("목수유")</f>
        <v>목수유</v>
      </c>
      <c r="J306" t="str">
        <f>T("화월(花月)")</f>
        <v>화월(花月)</v>
      </c>
      <c r="K306" t="str">
        <f>T("[e북]미인흉맹")</f>
        <v>[e북]미인흉맹</v>
      </c>
      <c r="L306">
        <v>3000</v>
      </c>
      <c r="M306">
        <v>12000</v>
      </c>
      <c r="N306">
        <v>4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12000</v>
      </c>
      <c r="AJ306">
        <v>4</v>
      </c>
      <c r="AK306">
        <v>0</v>
      </c>
      <c r="AL306">
        <v>0</v>
      </c>
      <c r="AM306">
        <v>9550</v>
      </c>
      <c r="AN306">
        <v>0</v>
      </c>
      <c r="AO306">
        <v>2940</v>
      </c>
      <c r="AP306">
        <v>-882</v>
      </c>
      <c r="AQ306">
        <v>0</v>
      </c>
      <c r="AR306">
        <v>2940</v>
      </c>
      <c r="AS306">
        <v>-882</v>
      </c>
      <c r="AT306">
        <v>0</v>
      </c>
      <c r="AV306">
        <v>0</v>
      </c>
      <c r="AW306">
        <v>0</v>
      </c>
      <c r="AY306">
        <v>0</v>
      </c>
      <c r="AZ306">
        <v>0</v>
      </c>
      <c r="BA306">
        <v>8125.6</v>
      </c>
      <c r="BF306" t="str">
        <f>T("D248407")</f>
        <v>D248407</v>
      </c>
      <c r="BG306" t="str">
        <f>T("로판 e북 &gt; 해외 소설")</f>
        <v>로판 e북 &gt; 해외 소설</v>
      </c>
    </row>
    <row r="307" spans="1:59">
      <c r="A307" t="s">
        <v>60</v>
      </c>
      <c r="B307" s="1">
        <v>46130</v>
      </c>
      <c r="C307">
        <v>2378081087</v>
      </c>
      <c r="D307">
        <v>2378081098</v>
      </c>
      <c r="E307" t="str">
        <f>T("[e북]미인흉맹 12권")</f>
        <v>[e북]미인흉맹 12권</v>
      </c>
      <c r="F307">
        <v>12</v>
      </c>
      <c r="G307" t="str">
        <f>T("목수유")</f>
        <v>목수유</v>
      </c>
      <c r="J307" t="str">
        <f>T("화월(花月)")</f>
        <v>화월(花月)</v>
      </c>
      <c r="K307" t="str">
        <f>T("[e북]미인흉맹")</f>
        <v>[e북]미인흉맹</v>
      </c>
      <c r="L307">
        <v>3000</v>
      </c>
      <c r="M307">
        <v>15000</v>
      </c>
      <c r="N307">
        <v>5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15000</v>
      </c>
      <c r="AJ307">
        <v>5</v>
      </c>
      <c r="AK307">
        <v>0</v>
      </c>
      <c r="AL307">
        <v>0</v>
      </c>
      <c r="AM307">
        <v>12550</v>
      </c>
      <c r="AN307">
        <v>0</v>
      </c>
      <c r="AO307">
        <v>2940</v>
      </c>
      <c r="AP307">
        <v>-882</v>
      </c>
      <c r="AQ307">
        <v>0</v>
      </c>
      <c r="AR307">
        <v>2940</v>
      </c>
      <c r="AS307">
        <v>-882</v>
      </c>
      <c r="AT307">
        <v>0</v>
      </c>
      <c r="AV307">
        <v>0</v>
      </c>
      <c r="AW307">
        <v>0</v>
      </c>
      <c r="AY307">
        <v>0</v>
      </c>
      <c r="AZ307">
        <v>0</v>
      </c>
      <c r="BA307">
        <v>10225.6</v>
      </c>
      <c r="BF307" t="str">
        <f>T("D248408")</f>
        <v>D248408</v>
      </c>
      <c r="BG307" t="str">
        <f>T("로판 e북 &gt; 해외 소설")</f>
        <v>로판 e북 &gt; 해외 소설</v>
      </c>
    </row>
    <row r="308" spans="1:59">
      <c r="A308" t="s">
        <v>60</v>
      </c>
      <c r="B308" s="1">
        <v>46130</v>
      </c>
      <c r="C308">
        <v>2378081087</v>
      </c>
      <c r="D308">
        <v>2378081099</v>
      </c>
      <c r="E308" t="str">
        <f>T("[e북]미인흉맹 13권")</f>
        <v>[e북]미인흉맹 13권</v>
      </c>
      <c r="F308">
        <v>13</v>
      </c>
      <c r="G308" t="str">
        <f>T("목수유")</f>
        <v>목수유</v>
      </c>
      <c r="J308" t="str">
        <f>T("화월(花月)")</f>
        <v>화월(花月)</v>
      </c>
      <c r="K308" t="str">
        <f>T("[e북]미인흉맹")</f>
        <v>[e북]미인흉맹</v>
      </c>
      <c r="L308">
        <v>3000</v>
      </c>
      <c r="M308">
        <v>15000</v>
      </c>
      <c r="N308">
        <v>5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15000</v>
      </c>
      <c r="AJ308">
        <v>5</v>
      </c>
      <c r="AK308">
        <v>0</v>
      </c>
      <c r="AL308">
        <v>0</v>
      </c>
      <c r="AM308">
        <v>12550</v>
      </c>
      <c r="AN308">
        <v>0</v>
      </c>
      <c r="AO308">
        <v>2940</v>
      </c>
      <c r="AP308">
        <v>-882</v>
      </c>
      <c r="AQ308">
        <v>0</v>
      </c>
      <c r="AR308">
        <v>2940</v>
      </c>
      <c r="AS308">
        <v>-882</v>
      </c>
      <c r="AT308">
        <v>0</v>
      </c>
      <c r="AV308">
        <v>0</v>
      </c>
      <c r="AW308">
        <v>0</v>
      </c>
      <c r="AY308">
        <v>0</v>
      </c>
      <c r="AZ308">
        <v>0</v>
      </c>
      <c r="BA308">
        <v>10225.6</v>
      </c>
      <c r="BF308" t="str">
        <f>T("D248409")</f>
        <v>D248409</v>
      </c>
      <c r="BG308" t="str">
        <f>T("로판 e북 &gt; 해외 소설")</f>
        <v>로판 e북 &gt; 해외 소설</v>
      </c>
    </row>
    <row r="309" spans="1:59">
      <c r="A309" t="s">
        <v>60</v>
      </c>
      <c r="B309" s="1">
        <v>46130</v>
      </c>
      <c r="C309">
        <v>2378081087</v>
      </c>
      <c r="D309">
        <v>2378081100</v>
      </c>
      <c r="E309" t="str">
        <f>T("[e북]미인흉맹 14권 (완결)")</f>
        <v>[e북]미인흉맹 14권 (완결)</v>
      </c>
      <c r="F309">
        <v>14</v>
      </c>
      <c r="G309" t="str">
        <f>T("목수유")</f>
        <v>목수유</v>
      </c>
      <c r="J309" t="str">
        <f>T("화월(花月)")</f>
        <v>화월(花月)</v>
      </c>
      <c r="K309" t="str">
        <f>T("[e북]미인흉맹")</f>
        <v>[e북]미인흉맹</v>
      </c>
      <c r="L309">
        <v>3000</v>
      </c>
      <c r="M309">
        <v>15000</v>
      </c>
      <c r="N309">
        <v>5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15000</v>
      </c>
      <c r="AJ309">
        <v>5</v>
      </c>
      <c r="AK309">
        <v>0</v>
      </c>
      <c r="AL309">
        <v>0</v>
      </c>
      <c r="AM309">
        <v>9550</v>
      </c>
      <c r="AN309">
        <v>0</v>
      </c>
      <c r="AO309">
        <v>6540</v>
      </c>
      <c r="AP309">
        <v>-1242</v>
      </c>
      <c r="AQ309">
        <v>0</v>
      </c>
      <c r="AR309">
        <v>2940</v>
      </c>
      <c r="AS309">
        <v>-882</v>
      </c>
      <c r="AT309">
        <v>0</v>
      </c>
      <c r="AU309">
        <v>3600</v>
      </c>
      <c r="AV309">
        <v>-360</v>
      </c>
      <c r="AW309">
        <v>0</v>
      </c>
      <c r="AY309">
        <v>0</v>
      </c>
      <c r="AZ309">
        <v>0</v>
      </c>
      <c r="BA309">
        <v>10393.6</v>
      </c>
      <c r="BF309" t="str">
        <f>T("D248410")</f>
        <v>D248410</v>
      </c>
      <c r="BG309" t="str">
        <f>T("로판 e북 &gt; 해외 소설")</f>
        <v>로판 e북 &gt; 해외 소설</v>
      </c>
    </row>
    <row r="310" spans="1:59">
      <c r="A310" t="s">
        <v>60</v>
      </c>
      <c r="B310" s="1">
        <v>46130</v>
      </c>
      <c r="C310">
        <v>2378081087</v>
      </c>
      <c r="D310">
        <v>2378081091</v>
      </c>
      <c r="E310" t="str">
        <f>T("[e북]미인흉맹 5권")</f>
        <v>[e북]미인흉맹 5권</v>
      </c>
      <c r="F310">
        <v>5</v>
      </c>
      <c r="G310" t="str">
        <f>T("목수유")</f>
        <v>목수유</v>
      </c>
      <c r="J310" t="str">
        <f>T("화월(花月)")</f>
        <v>화월(花月)</v>
      </c>
      <c r="K310" t="str">
        <f>T("[e북]미인흉맹")</f>
        <v>[e북]미인흉맹</v>
      </c>
      <c r="L310">
        <v>3000</v>
      </c>
      <c r="M310">
        <v>6000</v>
      </c>
      <c r="N310">
        <v>2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6000</v>
      </c>
      <c r="AJ310">
        <v>2</v>
      </c>
      <c r="AK310">
        <v>0</v>
      </c>
      <c r="AL310">
        <v>0</v>
      </c>
      <c r="AM310">
        <v>6000</v>
      </c>
      <c r="AN310">
        <v>0</v>
      </c>
      <c r="AO310">
        <v>0</v>
      </c>
      <c r="AP310">
        <v>0</v>
      </c>
      <c r="AQ310">
        <v>0</v>
      </c>
      <c r="AS310">
        <v>0</v>
      </c>
      <c r="AT310">
        <v>0</v>
      </c>
      <c r="AV310">
        <v>0</v>
      </c>
      <c r="AW310">
        <v>0</v>
      </c>
      <c r="AY310">
        <v>0</v>
      </c>
      <c r="AZ310">
        <v>0</v>
      </c>
      <c r="BA310">
        <v>4200</v>
      </c>
      <c r="BF310" t="str">
        <f>T("D248401")</f>
        <v>D248401</v>
      </c>
      <c r="BG310" t="str">
        <f>T("로판 e북 &gt; 해외 소설")</f>
        <v>로판 e북 &gt; 해외 소설</v>
      </c>
    </row>
    <row r="311" spans="1:59">
      <c r="A311" t="s">
        <v>60</v>
      </c>
      <c r="B311" s="1">
        <v>46130</v>
      </c>
      <c r="C311">
        <v>2378081087</v>
      </c>
      <c r="D311">
        <v>2378081087</v>
      </c>
      <c r="E311" t="str">
        <f>T("[e북]미인흉맹 1권")</f>
        <v>[e북]미인흉맹 1권</v>
      </c>
      <c r="F311">
        <v>1</v>
      </c>
      <c r="G311" t="str">
        <f>T("목수유")</f>
        <v>목수유</v>
      </c>
      <c r="J311" t="str">
        <f>T("화월(花月)")</f>
        <v>화월(花月)</v>
      </c>
      <c r="K311" t="str">
        <f>T("[e북]미인흉맹")</f>
        <v>[e북]미인흉맹</v>
      </c>
      <c r="L311">
        <v>0</v>
      </c>
      <c r="M311">
        <v>0</v>
      </c>
      <c r="N311">
        <v>0</v>
      </c>
      <c r="O311">
        <v>2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2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S311">
        <v>0</v>
      </c>
      <c r="AT311">
        <v>0</v>
      </c>
      <c r="AV311">
        <v>0</v>
      </c>
      <c r="AW311">
        <v>0</v>
      </c>
      <c r="AY311">
        <v>0</v>
      </c>
      <c r="AZ311">
        <v>0</v>
      </c>
      <c r="BA311">
        <v>0</v>
      </c>
      <c r="BF311" t="str">
        <f>T("D248397")</f>
        <v>D248397</v>
      </c>
      <c r="BG311" t="str">
        <f>T("로판 e북 &gt; 해외 소설")</f>
        <v>로판 e북 &gt; 해외 소설</v>
      </c>
    </row>
    <row r="312" spans="1:59">
      <c r="A312" t="s">
        <v>60</v>
      </c>
      <c r="B312" s="1">
        <v>46130</v>
      </c>
      <c r="C312">
        <v>2378081087</v>
      </c>
      <c r="D312">
        <v>2378081088</v>
      </c>
      <c r="E312" t="str">
        <f>T("[e북]미인흉맹 2권")</f>
        <v>[e북]미인흉맹 2권</v>
      </c>
      <c r="F312">
        <v>2</v>
      </c>
      <c r="G312" t="str">
        <f>T("목수유")</f>
        <v>목수유</v>
      </c>
      <c r="J312" t="str">
        <f>T("화월(花月)")</f>
        <v>화월(花月)</v>
      </c>
      <c r="K312" t="str">
        <f>T("[e북]미인흉맹")</f>
        <v>[e북]미인흉맹</v>
      </c>
      <c r="L312">
        <v>3000</v>
      </c>
      <c r="M312">
        <v>15000</v>
      </c>
      <c r="N312">
        <v>5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15000</v>
      </c>
      <c r="AJ312">
        <v>5</v>
      </c>
      <c r="AK312">
        <v>0</v>
      </c>
      <c r="AL312">
        <v>0</v>
      </c>
      <c r="AM312">
        <v>15000</v>
      </c>
      <c r="AN312">
        <v>0</v>
      </c>
      <c r="AO312">
        <v>0</v>
      </c>
      <c r="AP312">
        <v>0</v>
      </c>
      <c r="AQ312">
        <v>0</v>
      </c>
      <c r="AS312">
        <v>0</v>
      </c>
      <c r="AT312">
        <v>0</v>
      </c>
      <c r="AV312">
        <v>0</v>
      </c>
      <c r="AW312">
        <v>0</v>
      </c>
      <c r="AY312">
        <v>0</v>
      </c>
      <c r="AZ312">
        <v>0</v>
      </c>
      <c r="BA312">
        <v>10500</v>
      </c>
      <c r="BF312" t="str">
        <f>T("D248398")</f>
        <v>D248398</v>
      </c>
      <c r="BG312" t="str">
        <f>T("로판 e북 &gt; 해외 소설")</f>
        <v>로판 e북 &gt; 해외 소설</v>
      </c>
    </row>
    <row r="313" spans="1:59">
      <c r="A313" t="s">
        <v>60</v>
      </c>
      <c r="B313" s="1">
        <v>46130</v>
      </c>
      <c r="C313">
        <v>2378081087</v>
      </c>
      <c r="D313">
        <v>2378081089</v>
      </c>
      <c r="E313" t="str">
        <f>T("[e북]미인흉맹 3권")</f>
        <v>[e북]미인흉맹 3권</v>
      </c>
      <c r="F313">
        <v>3</v>
      </c>
      <c r="G313" t="str">
        <f>T("목수유")</f>
        <v>목수유</v>
      </c>
      <c r="J313" t="str">
        <f>T("화월(花月)")</f>
        <v>화월(花月)</v>
      </c>
      <c r="K313" t="str">
        <f>T("[e북]미인흉맹")</f>
        <v>[e북]미인흉맹</v>
      </c>
      <c r="L313">
        <v>3000</v>
      </c>
      <c r="M313">
        <v>9000</v>
      </c>
      <c r="N313">
        <v>3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9000</v>
      </c>
      <c r="AJ313">
        <v>3</v>
      </c>
      <c r="AK313">
        <v>0</v>
      </c>
      <c r="AL313">
        <v>0</v>
      </c>
      <c r="AM313">
        <v>9000</v>
      </c>
      <c r="AN313">
        <v>0</v>
      </c>
      <c r="AO313">
        <v>0</v>
      </c>
      <c r="AP313">
        <v>0</v>
      </c>
      <c r="AQ313">
        <v>0</v>
      </c>
      <c r="AS313">
        <v>0</v>
      </c>
      <c r="AT313">
        <v>0</v>
      </c>
      <c r="AV313">
        <v>0</v>
      </c>
      <c r="AW313">
        <v>0</v>
      </c>
      <c r="AY313">
        <v>0</v>
      </c>
      <c r="AZ313">
        <v>0</v>
      </c>
      <c r="BA313">
        <v>6300</v>
      </c>
      <c r="BF313" t="str">
        <f>T("D248399")</f>
        <v>D248399</v>
      </c>
      <c r="BG313" t="str">
        <f>T("로판 e북 &gt; 해외 소설")</f>
        <v>로판 e북 &gt; 해외 소설</v>
      </c>
    </row>
    <row r="314" spans="1:59">
      <c r="A314" t="s">
        <v>60</v>
      </c>
      <c r="B314" s="1">
        <v>46130</v>
      </c>
      <c r="C314">
        <v>2378081087</v>
      </c>
      <c r="D314">
        <v>2378081090</v>
      </c>
      <c r="E314" t="str">
        <f>T("[e북]미인흉맹 4권")</f>
        <v>[e북]미인흉맹 4권</v>
      </c>
      <c r="F314">
        <v>4</v>
      </c>
      <c r="G314" t="str">
        <f>T("목수유")</f>
        <v>목수유</v>
      </c>
      <c r="J314" t="str">
        <f>T("화월(花月)")</f>
        <v>화월(花月)</v>
      </c>
      <c r="K314" t="str">
        <f>T("[e북]미인흉맹")</f>
        <v>[e북]미인흉맹</v>
      </c>
      <c r="L314">
        <v>3000</v>
      </c>
      <c r="M314">
        <v>12000</v>
      </c>
      <c r="N314">
        <v>4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12000</v>
      </c>
      <c r="AJ314">
        <v>4</v>
      </c>
      <c r="AK314">
        <v>0</v>
      </c>
      <c r="AL314">
        <v>0</v>
      </c>
      <c r="AM314">
        <v>12000</v>
      </c>
      <c r="AN314">
        <v>0</v>
      </c>
      <c r="AO314">
        <v>0</v>
      </c>
      <c r="AP314">
        <v>0</v>
      </c>
      <c r="AQ314">
        <v>0</v>
      </c>
      <c r="AS314">
        <v>0</v>
      </c>
      <c r="AT314">
        <v>0</v>
      </c>
      <c r="AV314">
        <v>0</v>
      </c>
      <c r="AW314">
        <v>0</v>
      </c>
      <c r="AY314">
        <v>0</v>
      </c>
      <c r="AZ314">
        <v>0</v>
      </c>
      <c r="BA314">
        <v>8400</v>
      </c>
      <c r="BF314" t="str">
        <f>T("D248400")</f>
        <v>D248400</v>
      </c>
      <c r="BG314" t="str">
        <f>T("로판 e북 &gt; 해외 소설")</f>
        <v>로판 e북 &gt; 해외 소설</v>
      </c>
    </row>
    <row r="315" spans="1:59">
      <c r="A315" t="s">
        <v>60</v>
      </c>
      <c r="B315" s="1">
        <v>46131</v>
      </c>
      <c r="C315">
        <v>2378081087</v>
      </c>
      <c r="D315">
        <v>2378081093</v>
      </c>
      <c r="E315" t="str">
        <f>T("[e북]미인흉맹 7권")</f>
        <v>[e북]미인흉맹 7권</v>
      </c>
      <c r="F315">
        <v>7</v>
      </c>
      <c r="G315" t="str">
        <f>T("목수유")</f>
        <v>목수유</v>
      </c>
      <c r="J315" t="str">
        <f>T("화월(花月)")</f>
        <v>화월(花月)</v>
      </c>
      <c r="K315" t="str">
        <f>T("[e북]미인흉맹")</f>
        <v>[e북]미인흉맹</v>
      </c>
      <c r="L315">
        <v>3000</v>
      </c>
      <c r="M315">
        <v>18000</v>
      </c>
      <c r="N315">
        <v>6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18000</v>
      </c>
      <c r="AJ315">
        <v>6</v>
      </c>
      <c r="AK315">
        <v>0</v>
      </c>
      <c r="AL315">
        <v>0</v>
      </c>
      <c r="AM315">
        <v>18000</v>
      </c>
      <c r="AN315">
        <v>0</v>
      </c>
      <c r="AO315">
        <v>0</v>
      </c>
      <c r="AP315">
        <v>0</v>
      </c>
      <c r="AQ315">
        <v>0</v>
      </c>
      <c r="AS315">
        <v>0</v>
      </c>
      <c r="AT315">
        <v>0</v>
      </c>
      <c r="AV315">
        <v>0</v>
      </c>
      <c r="AW315">
        <v>0</v>
      </c>
      <c r="AY315">
        <v>0</v>
      </c>
      <c r="AZ315">
        <v>0</v>
      </c>
      <c r="BA315">
        <v>12600</v>
      </c>
      <c r="BF315" t="str">
        <f>T("D248403")</f>
        <v>D248403</v>
      </c>
      <c r="BG315" t="str">
        <f>T("로판 e북 &gt; 해외 소설")</f>
        <v>로판 e북 &gt; 해외 소설</v>
      </c>
    </row>
    <row r="316" spans="1:59">
      <c r="A316" t="s">
        <v>60</v>
      </c>
      <c r="B316" s="1">
        <v>46131</v>
      </c>
      <c r="C316">
        <v>2378081087</v>
      </c>
      <c r="D316">
        <v>2378081094</v>
      </c>
      <c r="E316" t="str">
        <f>T("[e북]미인흉맹 8권")</f>
        <v>[e북]미인흉맹 8권</v>
      </c>
      <c r="F316">
        <v>8</v>
      </c>
      <c r="G316" t="str">
        <f>T("목수유")</f>
        <v>목수유</v>
      </c>
      <c r="J316" t="str">
        <f>T("화월(花月)")</f>
        <v>화월(花月)</v>
      </c>
      <c r="K316" t="str">
        <f>T("[e북]미인흉맹")</f>
        <v>[e북]미인흉맹</v>
      </c>
      <c r="L316">
        <v>3000</v>
      </c>
      <c r="M316">
        <v>18000</v>
      </c>
      <c r="N316">
        <v>6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18000</v>
      </c>
      <c r="AJ316">
        <v>6</v>
      </c>
      <c r="AK316">
        <v>0</v>
      </c>
      <c r="AL316">
        <v>0</v>
      </c>
      <c r="AM316">
        <v>18000</v>
      </c>
      <c r="AN316">
        <v>0</v>
      </c>
      <c r="AO316">
        <v>0</v>
      </c>
      <c r="AP316">
        <v>0</v>
      </c>
      <c r="AQ316">
        <v>0</v>
      </c>
      <c r="AS316">
        <v>0</v>
      </c>
      <c r="AT316">
        <v>0</v>
      </c>
      <c r="AV316">
        <v>0</v>
      </c>
      <c r="AW316">
        <v>0</v>
      </c>
      <c r="AY316">
        <v>0</v>
      </c>
      <c r="AZ316">
        <v>0</v>
      </c>
      <c r="BA316">
        <v>12600</v>
      </c>
      <c r="BF316" t="str">
        <f>T("D248404")</f>
        <v>D248404</v>
      </c>
      <c r="BG316" t="str">
        <f>T("로판 e북 &gt; 해외 소설")</f>
        <v>로판 e북 &gt; 해외 소설</v>
      </c>
    </row>
    <row r="317" spans="1:59">
      <c r="A317" t="s">
        <v>60</v>
      </c>
      <c r="B317" s="1">
        <v>46131</v>
      </c>
      <c r="C317">
        <v>2378081087</v>
      </c>
      <c r="D317">
        <v>2378081095</v>
      </c>
      <c r="E317" t="str">
        <f>T("[e북]미인흉맹 9권")</f>
        <v>[e북]미인흉맹 9권</v>
      </c>
      <c r="F317">
        <v>9</v>
      </c>
      <c r="G317" t="str">
        <f>T("목수유")</f>
        <v>목수유</v>
      </c>
      <c r="J317" t="str">
        <f>T("화월(花月)")</f>
        <v>화월(花月)</v>
      </c>
      <c r="K317" t="str">
        <f>T("[e북]미인흉맹")</f>
        <v>[e북]미인흉맹</v>
      </c>
      <c r="L317">
        <v>3000</v>
      </c>
      <c r="M317">
        <v>18000</v>
      </c>
      <c r="N317">
        <v>6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18000</v>
      </c>
      <c r="AJ317">
        <v>6</v>
      </c>
      <c r="AK317">
        <v>0</v>
      </c>
      <c r="AL317">
        <v>0</v>
      </c>
      <c r="AM317">
        <v>18000</v>
      </c>
      <c r="AN317">
        <v>0</v>
      </c>
      <c r="AO317">
        <v>0</v>
      </c>
      <c r="AP317">
        <v>0</v>
      </c>
      <c r="AQ317">
        <v>0</v>
      </c>
      <c r="AS317">
        <v>0</v>
      </c>
      <c r="AT317">
        <v>0</v>
      </c>
      <c r="AV317">
        <v>0</v>
      </c>
      <c r="AW317">
        <v>0</v>
      </c>
      <c r="AY317">
        <v>0</v>
      </c>
      <c r="AZ317">
        <v>0</v>
      </c>
      <c r="BA317">
        <v>12600</v>
      </c>
      <c r="BF317" t="str">
        <f>T("D248405")</f>
        <v>D248405</v>
      </c>
      <c r="BG317" t="str">
        <f>T("로판 e북 &gt; 해외 소설")</f>
        <v>로판 e북 &gt; 해외 소설</v>
      </c>
    </row>
    <row r="318" spans="1:59">
      <c r="A318" t="s">
        <v>60</v>
      </c>
      <c r="B318" s="1">
        <v>46131</v>
      </c>
      <c r="C318">
        <v>2378081087</v>
      </c>
      <c r="D318">
        <v>2378081100</v>
      </c>
      <c r="E318" t="str">
        <f>T("[e북]미인흉맹 14권 (완결)")</f>
        <v>[e북]미인흉맹 14권 (완결)</v>
      </c>
      <c r="F318">
        <v>14</v>
      </c>
      <c r="G318" t="str">
        <f>T("목수유")</f>
        <v>목수유</v>
      </c>
      <c r="J318" t="str">
        <f>T("화월(花月)")</f>
        <v>화월(花月)</v>
      </c>
      <c r="K318" t="str">
        <f>T("[e북]미인흉맹")</f>
        <v>[e북]미인흉맹</v>
      </c>
      <c r="L318">
        <v>3000</v>
      </c>
      <c r="M318">
        <v>12000</v>
      </c>
      <c r="N318">
        <v>4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12000</v>
      </c>
      <c r="AJ318">
        <v>4</v>
      </c>
      <c r="AK318">
        <v>0</v>
      </c>
      <c r="AL318">
        <v>0</v>
      </c>
      <c r="AM318">
        <v>12000</v>
      </c>
      <c r="AN318">
        <v>0</v>
      </c>
      <c r="AO318">
        <v>0</v>
      </c>
      <c r="AP318">
        <v>0</v>
      </c>
      <c r="AQ318">
        <v>0</v>
      </c>
      <c r="AS318">
        <v>0</v>
      </c>
      <c r="AT318">
        <v>0</v>
      </c>
      <c r="AV318">
        <v>0</v>
      </c>
      <c r="AW318">
        <v>0</v>
      </c>
      <c r="AY318">
        <v>0</v>
      </c>
      <c r="AZ318">
        <v>0</v>
      </c>
      <c r="BA318">
        <v>8400</v>
      </c>
      <c r="BF318" t="str">
        <f>T("D248410")</f>
        <v>D248410</v>
      </c>
      <c r="BG318" t="str">
        <f>T("로판 e북 &gt; 해외 소설")</f>
        <v>로판 e북 &gt; 해외 소설</v>
      </c>
    </row>
    <row r="319" spans="1:59">
      <c r="A319" t="s">
        <v>60</v>
      </c>
      <c r="B319" s="1">
        <v>46131</v>
      </c>
      <c r="C319">
        <v>2378081087</v>
      </c>
      <c r="D319">
        <v>2378081096</v>
      </c>
      <c r="E319" t="str">
        <f>T("[e북]미인흉맹 10권")</f>
        <v>[e북]미인흉맹 10권</v>
      </c>
      <c r="F319">
        <v>10</v>
      </c>
      <c r="G319" t="str">
        <f>T("목수유")</f>
        <v>목수유</v>
      </c>
      <c r="J319" t="str">
        <f>T("화월(花月)")</f>
        <v>화월(花月)</v>
      </c>
      <c r="K319" t="str">
        <f>T("[e북]미인흉맹")</f>
        <v>[e북]미인흉맹</v>
      </c>
      <c r="L319">
        <v>3000</v>
      </c>
      <c r="M319">
        <v>12000</v>
      </c>
      <c r="N319">
        <v>4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12000</v>
      </c>
      <c r="AJ319">
        <v>4</v>
      </c>
      <c r="AK319">
        <v>0</v>
      </c>
      <c r="AL319">
        <v>0</v>
      </c>
      <c r="AM319">
        <v>12000</v>
      </c>
      <c r="AN319">
        <v>0</v>
      </c>
      <c r="AO319">
        <v>0</v>
      </c>
      <c r="AP319">
        <v>0</v>
      </c>
      <c r="AQ319">
        <v>0</v>
      </c>
      <c r="AS319">
        <v>0</v>
      </c>
      <c r="AT319">
        <v>0</v>
      </c>
      <c r="AV319">
        <v>0</v>
      </c>
      <c r="AW319">
        <v>0</v>
      </c>
      <c r="AY319">
        <v>0</v>
      </c>
      <c r="AZ319">
        <v>0</v>
      </c>
      <c r="BA319">
        <v>8400</v>
      </c>
      <c r="BF319" t="str">
        <f>T("D248406")</f>
        <v>D248406</v>
      </c>
      <c r="BG319" t="str">
        <f>T("로판 e북 &gt; 해외 소설")</f>
        <v>로판 e북 &gt; 해외 소설</v>
      </c>
    </row>
    <row r="320" spans="1:59">
      <c r="A320" t="s">
        <v>60</v>
      </c>
      <c r="B320" s="1">
        <v>46131</v>
      </c>
      <c r="C320">
        <v>2378081087</v>
      </c>
      <c r="D320">
        <v>2378081087</v>
      </c>
      <c r="E320" t="str">
        <f>T("[e북]미인흉맹 1권")</f>
        <v>[e북]미인흉맹 1권</v>
      </c>
      <c r="F320">
        <v>1</v>
      </c>
      <c r="G320" t="str">
        <f>T("목수유")</f>
        <v>목수유</v>
      </c>
      <c r="J320" t="str">
        <f>T("화월(花月)")</f>
        <v>화월(花月)</v>
      </c>
      <c r="K320" t="str">
        <f>T("[e북]미인흉맹")</f>
        <v>[e북]미인흉맹</v>
      </c>
      <c r="L320">
        <v>0</v>
      </c>
      <c r="M320">
        <v>0</v>
      </c>
      <c r="N320">
        <v>0</v>
      </c>
      <c r="O320">
        <v>9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9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S320">
        <v>0</v>
      </c>
      <c r="AT320">
        <v>0</v>
      </c>
      <c r="AV320">
        <v>0</v>
      </c>
      <c r="AW320">
        <v>0</v>
      </c>
      <c r="AY320">
        <v>0</v>
      </c>
      <c r="AZ320">
        <v>0</v>
      </c>
      <c r="BA320">
        <v>0</v>
      </c>
      <c r="BF320" t="str">
        <f>T("D248397")</f>
        <v>D248397</v>
      </c>
      <c r="BG320" t="str">
        <f>T("로판 e북 &gt; 해외 소설")</f>
        <v>로판 e북 &gt; 해외 소설</v>
      </c>
    </row>
    <row r="321" spans="1:59">
      <c r="A321" t="s">
        <v>60</v>
      </c>
      <c r="B321" s="1">
        <v>46131</v>
      </c>
      <c r="C321">
        <v>2378081087</v>
      </c>
      <c r="D321">
        <v>2378081089</v>
      </c>
      <c r="E321" t="str">
        <f>T("[e북]미인흉맹 3권")</f>
        <v>[e북]미인흉맹 3권</v>
      </c>
      <c r="F321">
        <v>3</v>
      </c>
      <c r="G321" t="str">
        <f>T("목수유")</f>
        <v>목수유</v>
      </c>
      <c r="J321" t="str">
        <f>T("화월(花月)")</f>
        <v>화월(花月)</v>
      </c>
      <c r="K321" t="str">
        <f>T("[e북]미인흉맹")</f>
        <v>[e북]미인흉맹</v>
      </c>
      <c r="L321">
        <v>3000</v>
      </c>
      <c r="M321">
        <v>12000</v>
      </c>
      <c r="N321">
        <v>4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12000</v>
      </c>
      <c r="AJ321">
        <v>4</v>
      </c>
      <c r="AK321">
        <v>0</v>
      </c>
      <c r="AL321">
        <v>0</v>
      </c>
      <c r="AM321">
        <v>12000</v>
      </c>
      <c r="AN321">
        <v>0</v>
      </c>
      <c r="AO321">
        <v>0</v>
      </c>
      <c r="AP321">
        <v>0</v>
      </c>
      <c r="AQ321">
        <v>0</v>
      </c>
      <c r="AS321">
        <v>0</v>
      </c>
      <c r="AT321">
        <v>0</v>
      </c>
      <c r="AV321">
        <v>0</v>
      </c>
      <c r="AW321">
        <v>0</v>
      </c>
      <c r="AY321">
        <v>0</v>
      </c>
      <c r="AZ321">
        <v>0</v>
      </c>
      <c r="BA321">
        <v>8400</v>
      </c>
      <c r="BF321" t="str">
        <f>T("D248399")</f>
        <v>D248399</v>
      </c>
      <c r="BG321" t="str">
        <f>T("로판 e북 &gt; 해외 소설")</f>
        <v>로판 e북 &gt; 해외 소설</v>
      </c>
    </row>
    <row r="322" spans="1:59">
      <c r="A322" t="s">
        <v>60</v>
      </c>
      <c r="B322" s="1">
        <v>46131</v>
      </c>
      <c r="C322">
        <v>2378081087</v>
      </c>
      <c r="D322">
        <v>2378081090</v>
      </c>
      <c r="E322" t="str">
        <f>T("[e북]미인흉맹 4권")</f>
        <v>[e북]미인흉맹 4권</v>
      </c>
      <c r="F322">
        <v>4</v>
      </c>
      <c r="G322" t="str">
        <f>T("목수유")</f>
        <v>목수유</v>
      </c>
      <c r="J322" t="str">
        <f>T("화월(花月)")</f>
        <v>화월(花月)</v>
      </c>
      <c r="K322" t="str">
        <f>T("[e북]미인흉맹")</f>
        <v>[e북]미인흉맹</v>
      </c>
      <c r="L322">
        <v>3000</v>
      </c>
      <c r="M322">
        <v>15000</v>
      </c>
      <c r="N322">
        <v>5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15000</v>
      </c>
      <c r="AJ322">
        <v>5</v>
      </c>
      <c r="AK322">
        <v>0</v>
      </c>
      <c r="AL322">
        <v>0</v>
      </c>
      <c r="AM322">
        <v>15000</v>
      </c>
      <c r="AN322">
        <v>0</v>
      </c>
      <c r="AO322">
        <v>0</v>
      </c>
      <c r="AP322">
        <v>0</v>
      </c>
      <c r="AQ322">
        <v>0</v>
      </c>
      <c r="AS322">
        <v>0</v>
      </c>
      <c r="AT322">
        <v>0</v>
      </c>
      <c r="AV322">
        <v>0</v>
      </c>
      <c r="AW322">
        <v>0</v>
      </c>
      <c r="AY322">
        <v>0</v>
      </c>
      <c r="AZ322">
        <v>0</v>
      </c>
      <c r="BA322">
        <v>10500</v>
      </c>
      <c r="BF322" t="str">
        <f>T("D248400")</f>
        <v>D248400</v>
      </c>
      <c r="BG322" t="str">
        <f>T("로판 e북 &gt; 해외 소설")</f>
        <v>로판 e북 &gt; 해외 소설</v>
      </c>
    </row>
    <row r="323" spans="1:59">
      <c r="A323" t="s">
        <v>60</v>
      </c>
      <c r="B323" s="1">
        <v>46131</v>
      </c>
      <c r="C323">
        <v>2378081087</v>
      </c>
      <c r="D323">
        <v>2378081088</v>
      </c>
      <c r="E323" t="str">
        <f>T("[e북]미인흉맹 2권")</f>
        <v>[e북]미인흉맹 2권</v>
      </c>
      <c r="F323">
        <v>2</v>
      </c>
      <c r="G323" t="str">
        <f>T("목수유")</f>
        <v>목수유</v>
      </c>
      <c r="J323" t="str">
        <f>T("화월(花月)")</f>
        <v>화월(花月)</v>
      </c>
      <c r="K323" t="str">
        <f>T("[e북]미인흉맹")</f>
        <v>[e북]미인흉맹</v>
      </c>
      <c r="L323">
        <v>3000</v>
      </c>
      <c r="M323">
        <v>12000</v>
      </c>
      <c r="N323">
        <v>4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12000</v>
      </c>
      <c r="AJ323">
        <v>4</v>
      </c>
      <c r="AK323">
        <v>0</v>
      </c>
      <c r="AL323">
        <v>0</v>
      </c>
      <c r="AM323">
        <v>9000</v>
      </c>
      <c r="AN323">
        <v>0</v>
      </c>
      <c r="AO323">
        <v>3600</v>
      </c>
      <c r="AP323">
        <v>-360</v>
      </c>
      <c r="AQ323">
        <v>0</v>
      </c>
      <c r="AS323">
        <v>0</v>
      </c>
      <c r="AT323">
        <v>0</v>
      </c>
      <c r="AU323">
        <v>3600</v>
      </c>
      <c r="AV323">
        <v>-360</v>
      </c>
      <c r="AW323">
        <v>0</v>
      </c>
      <c r="AY323">
        <v>0</v>
      </c>
      <c r="AZ323">
        <v>0</v>
      </c>
      <c r="BA323">
        <v>8568</v>
      </c>
      <c r="BF323" t="str">
        <f>T("D248398")</f>
        <v>D248398</v>
      </c>
      <c r="BG323" t="str">
        <f>T("로판 e북 &gt; 해외 소설")</f>
        <v>로판 e북 &gt; 해외 소설</v>
      </c>
    </row>
    <row r="324" spans="1:59">
      <c r="A324" t="s">
        <v>60</v>
      </c>
      <c r="B324" s="1">
        <v>46131</v>
      </c>
      <c r="C324">
        <v>2378081087</v>
      </c>
      <c r="D324">
        <v>2378081092</v>
      </c>
      <c r="E324" t="str">
        <f>T("[e북]미인흉맹 6권")</f>
        <v>[e북]미인흉맹 6권</v>
      </c>
      <c r="F324">
        <v>6</v>
      </c>
      <c r="G324" t="str">
        <f>T("목수유")</f>
        <v>목수유</v>
      </c>
      <c r="J324" t="str">
        <f>T("화월(花月)")</f>
        <v>화월(花月)</v>
      </c>
      <c r="K324" t="str">
        <f>T("[e북]미인흉맹")</f>
        <v>[e북]미인흉맹</v>
      </c>
      <c r="L324">
        <v>3000</v>
      </c>
      <c r="M324">
        <v>21000</v>
      </c>
      <c r="N324">
        <v>7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21000</v>
      </c>
      <c r="AJ324">
        <v>7</v>
      </c>
      <c r="AK324">
        <v>0</v>
      </c>
      <c r="AL324">
        <v>0</v>
      </c>
      <c r="AM324">
        <v>21000</v>
      </c>
      <c r="AN324">
        <v>0</v>
      </c>
      <c r="AO324">
        <v>0</v>
      </c>
      <c r="AP324">
        <v>0</v>
      </c>
      <c r="AQ324">
        <v>0</v>
      </c>
      <c r="AS324">
        <v>0</v>
      </c>
      <c r="AT324">
        <v>0</v>
      </c>
      <c r="AV324">
        <v>0</v>
      </c>
      <c r="AW324">
        <v>0</v>
      </c>
      <c r="AY324">
        <v>0</v>
      </c>
      <c r="AZ324">
        <v>0</v>
      </c>
      <c r="BA324">
        <v>14700</v>
      </c>
      <c r="BF324" t="str">
        <f>T("D248402")</f>
        <v>D248402</v>
      </c>
      <c r="BG324" t="str">
        <f>T("로판 e북 &gt; 해외 소설")</f>
        <v>로판 e북 &gt; 해외 소설</v>
      </c>
    </row>
    <row r="325" spans="1:59">
      <c r="A325" t="s">
        <v>60</v>
      </c>
      <c r="B325" s="1">
        <v>46131</v>
      </c>
      <c r="C325">
        <v>2378081087</v>
      </c>
      <c r="D325">
        <v>2378081091</v>
      </c>
      <c r="E325" t="str">
        <f>T("[e북]미인흉맹 5권")</f>
        <v>[e북]미인흉맹 5권</v>
      </c>
      <c r="F325">
        <v>5</v>
      </c>
      <c r="G325" t="str">
        <f>T("목수유")</f>
        <v>목수유</v>
      </c>
      <c r="J325" t="str">
        <f>T("화월(花月)")</f>
        <v>화월(花月)</v>
      </c>
      <c r="K325" t="str">
        <f>T("[e북]미인흉맹")</f>
        <v>[e북]미인흉맹</v>
      </c>
      <c r="L325">
        <v>3000</v>
      </c>
      <c r="M325">
        <v>18000</v>
      </c>
      <c r="N325">
        <v>6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18000</v>
      </c>
      <c r="AJ325">
        <v>6</v>
      </c>
      <c r="AK325">
        <v>0</v>
      </c>
      <c r="AL325">
        <v>0</v>
      </c>
      <c r="AM325">
        <v>15000</v>
      </c>
      <c r="AN325">
        <v>0</v>
      </c>
      <c r="AO325">
        <v>3600</v>
      </c>
      <c r="AP325">
        <v>-360</v>
      </c>
      <c r="AQ325">
        <v>0</v>
      </c>
      <c r="AS325">
        <v>0</v>
      </c>
      <c r="AT325">
        <v>0</v>
      </c>
      <c r="AU325">
        <v>3600</v>
      </c>
      <c r="AV325">
        <v>-360</v>
      </c>
      <c r="AW325">
        <v>0</v>
      </c>
      <c r="AY325">
        <v>0</v>
      </c>
      <c r="AZ325">
        <v>0</v>
      </c>
      <c r="BA325">
        <v>12768</v>
      </c>
      <c r="BF325" t="str">
        <f>T("D248401")</f>
        <v>D248401</v>
      </c>
      <c r="BG325" t="str">
        <f>T("로판 e북 &gt; 해외 소설")</f>
        <v>로판 e북 &gt; 해외 소설</v>
      </c>
    </row>
    <row r="326" spans="1:59">
      <c r="A326" t="s">
        <v>60</v>
      </c>
      <c r="B326" s="1">
        <v>46131</v>
      </c>
      <c r="C326">
        <v>2378081087</v>
      </c>
      <c r="D326">
        <v>2378081097</v>
      </c>
      <c r="E326" t="str">
        <f>T("[e북]미인흉맹 11권")</f>
        <v>[e북]미인흉맹 11권</v>
      </c>
      <c r="F326">
        <v>11</v>
      </c>
      <c r="G326" t="str">
        <f>T("목수유")</f>
        <v>목수유</v>
      </c>
      <c r="J326" t="str">
        <f>T("화월(花月)")</f>
        <v>화월(花月)</v>
      </c>
      <c r="K326" t="str">
        <f>T("[e북]미인흉맹")</f>
        <v>[e북]미인흉맹</v>
      </c>
      <c r="L326">
        <v>3000</v>
      </c>
      <c r="M326">
        <v>12000</v>
      </c>
      <c r="N326">
        <v>4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12000</v>
      </c>
      <c r="AJ326">
        <v>4</v>
      </c>
      <c r="AK326">
        <v>0</v>
      </c>
      <c r="AL326">
        <v>0</v>
      </c>
      <c r="AM326">
        <v>12000</v>
      </c>
      <c r="AN326">
        <v>0</v>
      </c>
      <c r="AO326">
        <v>0</v>
      </c>
      <c r="AP326">
        <v>0</v>
      </c>
      <c r="AQ326">
        <v>0</v>
      </c>
      <c r="AS326">
        <v>0</v>
      </c>
      <c r="AT326">
        <v>0</v>
      </c>
      <c r="AV326">
        <v>0</v>
      </c>
      <c r="AW326">
        <v>0</v>
      </c>
      <c r="AY326">
        <v>0</v>
      </c>
      <c r="AZ326">
        <v>0</v>
      </c>
      <c r="BA326">
        <v>8400</v>
      </c>
      <c r="BF326" t="str">
        <f>T("D248407")</f>
        <v>D248407</v>
      </c>
      <c r="BG326" t="str">
        <f>T("로판 e북 &gt; 해외 소설")</f>
        <v>로판 e북 &gt; 해외 소설</v>
      </c>
    </row>
    <row r="327" spans="1:59">
      <c r="A327" t="s">
        <v>60</v>
      </c>
      <c r="B327" s="1">
        <v>46131</v>
      </c>
      <c r="C327">
        <v>2378081087</v>
      </c>
      <c r="D327">
        <v>2378081098</v>
      </c>
      <c r="E327" t="str">
        <f>T("[e북]미인흉맹 12권")</f>
        <v>[e북]미인흉맹 12권</v>
      </c>
      <c r="F327">
        <v>12</v>
      </c>
      <c r="G327" t="str">
        <f>T("목수유")</f>
        <v>목수유</v>
      </c>
      <c r="J327" t="str">
        <f>T("화월(花月)")</f>
        <v>화월(花月)</v>
      </c>
      <c r="K327" t="str">
        <f>T("[e북]미인흉맹")</f>
        <v>[e북]미인흉맹</v>
      </c>
      <c r="L327">
        <v>3000</v>
      </c>
      <c r="M327">
        <v>9000</v>
      </c>
      <c r="N327">
        <v>3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9000</v>
      </c>
      <c r="AJ327">
        <v>3</v>
      </c>
      <c r="AK327">
        <v>0</v>
      </c>
      <c r="AL327">
        <v>0</v>
      </c>
      <c r="AM327">
        <v>9000</v>
      </c>
      <c r="AN327">
        <v>0</v>
      </c>
      <c r="AO327">
        <v>0</v>
      </c>
      <c r="AP327">
        <v>0</v>
      </c>
      <c r="AQ327">
        <v>0</v>
      </c>
      <c r="AS327">
        <v>0</v>
      </c>
      <c r="AT327">
        <v>0</v>
      </c>
      <c r="AV327">
        <v>0</v>
      </c>
      <c r="AW327">
        <v>0</v>
      </c>
      <c r="AY327">
        <v>0</v>
      </c>
      <c r="AZ327">
        <v>0</v>
      </c>
      <c r="BA327">
        <v>6300</v>
      </c>
      <c r="BF327" t="str">
        <f>T("D248408")</f>
        <v>D248408</v>
      </c>
      <c r="BG327" t="str">
        <f>T("로판 e북 &gt; 해외 소설")</f>
        <v>로판 e북 &gt; 해외 소설</v>
      </c>
    </row>
    <row r="328" spans="1:59">
      <c r="A328" t="s">
        <v>60</v>
      </c>
      <c r="B328" s="1">
        <v>46131</v>
      </c>
      <c r="C328">
        <v>2378081087</v>
      </c>
      <c r="D328">
        <v>2378081099</v>
      </c>
      <c r="E328" t="str">
        <f>T("[e북]미인흉맹 13권")</f>
        <v>[e북]미인흉맹 13권</v>
      </c>
      <c r="F328">
        <v>13</v>
      </c>
      <c r="G328" t="str">
        <f>T("목수유")</f>
        <v>목수유</v>
      </c>
      <c r="J328" t="str">
        <f>T("화월(花月)")</f>
        <v>화월(花月)</v>
      </c>
      <c r="K328" t="str">
        <f>T("[e북]미인흉맹")</f>
        <v>[e북]미인흉맹</v>
      </c>
      <c r="L328">
        <v>3000</v>
      </c>
      <c r="M328">
        <v>9000</v>
      </c>
      <c r="N328">
        <v>3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9000</v>
      </c>
      <c r="AJ328">
        <v>3</v>
      </c>
      <c r="AK328">
        <v>0</v>
      </c>
      <c r="AL328">
        <v>0</v>
      </c>
      <c r="AM328">
        <v>9000</v>
      </c>
      <c r="AN328">
        <v>0</v>
      </c>
      <c r="AO328">
        <v>0</v>
      </c>
      <c r="AP328">
        <v>0</v>
      </c>
      <c r="AQ328">
        <v>0</v>
      </c>
      <c r="AS328">
        <v>0</v>
      </c>
      <c r="AT328">
        <v>0</v>
      </c>
      <c r="AV328">
        <v>0</v>
      </c>
      <c r="AW328">
        <v>0</v>
      </c>
      <c r="AY328">
        <v>0</v>
      </c>
      <c r="AZ328">
        <v>0</v>
      </c>
      <c r="BA328">
        <v>6300</v>
      </c>
      <c r="BF328" t="str">
        <f>T("D248409")</f>
        <v>D248409</v>
      </c>
      <c r="BG328" t="str">
        <f>T("로판 e북 &gt; 해외 소설")</f>
        <v>로판 e북 &gt; 해외 소설</v>
      </c>
    </row>
    <row r="329" spans="1:59">
      <c r="A329" t="s">
        <v>60</v>
      </c>
      <c r="B329" s="1">
        <v>46130</v>
      </c>
      <c r="C329">
        <v>2378066163</v>
      </c>
      <c r="D329">
        <v>2378066163</v>
      </c>
      <c r="E329" t="str">
        <f>T("[e북]미제 1권")</f>
        <v>[e북]미제 1권</v>
      </c>
      <c r="F329">
        <v>1</v>
      </c>
      <c r="G329" t="str">
        <f>T("밤라다")</f>
        <v>밤라다</v>
      </c>
      <c r="J329" t="str">
        <f>T("하트퀸")</f>
        <v>하트퀸</v>
      </c>
      <c r="K329" t="str">
        <f>T("[e북]미제")</f>
        <v>[e북]미제</v>
      </c>
      <c r="L329">
        <v>3000</v>
      </c>
      <c r="M329">
        <v>6000</v>
      </c>
      <c r="N329">
        <v>2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6000</v>
      </c>
      <c r="AJ329">
        <v>2</v>
      </c>
      <c r="AK329">
        <v>0</v>
      </c>
      <c r="AL329">
        <v>0</v>
      </c>
      <c r="AM329">
        <v>3000</v>
      </c>
      <c r="AN329">
        <v>0</v>
      </c>
      <c r="AO329">
        <v>3600</v>
      </c>
      <c r="AP329">
        <v>-360</v>
      </c>
      <c r="AQ329">
        <v>0</v>
      </c>
      <c r="AS329">
        <v>0</v>
      </c>
      <c r="AT329">
        <v>0</v>
      </c>
      <c r="AV329">
        <v>0</v>
      </c>
      <c r="AW329">
        <v>0</v>
      </c>
      <c r="AX329">
        <v>3600</v>
      </c>
      <c r="AY329">
        <v>-360</v>
      </c>
      <c r="AZ329">
        <v>0</v>
      </c>
      <c r="BA329">
        <v>4368</v>
      </c>
      <c r="BE329" t="str">
        <f>T("9791171500581")</f>
        <v>9791171500581</v>
      </c>
      <c r="BF329" t="str">
        <f>T("k248726")</f>
        <v>k248726</v>
      </c>
      <c r="BG329" t="str">
        <f>T("로맨스 e북 &gt; 현대물")</f>
        <v>로맨스 e북 &gt; 현대물</v>
      </c>
    </row>
    <row r="330" spans="1:59">
      <c r="A330" t="s">
        <v>60</v>
      </c>
      <c r="B330" s="1">
        <v>46129</v>
      </c>
      <c r="C330">
        <v>2378068695</v>
      </c>
      <c r="D330">
        <v>2378068695</v>
      </c>
      <c r="E330" t="str">
        <f>T("[e북]미친놈의 집착에서 벗어나는 법 1권")</f>
        <v>[e북]미친놈의 집착에서 벗어나는 법 1권</v>
      </c>
      <c r="F330">
        <v>1</v>
      </c>
      <c r="G330" t="str">
        <f>T("글쓰는아프로디테")</f>
        <v>글쓰는아프로디테</v>
      </c>
      <c r="J330" t="str">
        <f>T("시계토끼")</f>
        <v>시계토끼</v>
      </c>
      <c r="K330" t="str">
        <f>T("[e북]미친놈의 집착에서 벗어나는 법")</f>
        <v>[e북]미친놈의 집착에서 벗어나는 법</v>
      </c>
      <c r="L330">
        <v>3300</v>
      </c>
      <c r="M330">
        <v>3300</v>
      </c>
      <c r="N330">
        <v>1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3300</v>
      </c>
      <c r="AJ330">
        <v>1</v>
      </c>
      <c r="AK330">
        <v>0</v>
      </c>
      <c r="AL330">
        <v>0</v>
      </c>
      <c r="AM330">
        <v>3300</v>
      </c>
      <c r="AN330">
        <v>0</v>
      </c>
      <c r="AO330">
        <v>0</v>
      </c>
      <c r="AP330">
        <v>0</v>
      </c>
      <c r="AQ330">
        <v>0</v>
      </c>
      <c r="AS330">
        <v>0</v>
      </c>
      <c r="AT330">
        <v>0</v>
      </c>
      <c r="AV330">
        <v>0</v>
      </c>
      <c r="AW330">
        <v>0</v>
      </c>
      <c r="AY330">
        <v>0</v>
      </c>
      <c r="AZ330">
        <v>0</v>
      </c>
      <c r="BA330">
        <v>2310</v>
      </c>
      <c r="BE330" t="str">
        <f>T("9791172820824")</f>
        <v>9791172820824</v>
      </c>
      <c r="BF330" t="str">
        <f>T("k385475")</f>
        <v>k385475</v>
      </c>
      <c r="BG330" t="str">
        <f>T("로판 e북 &gt; 서양풍 로판")</f>
        <v>로판 e북 &gt; 서양풍 로판</v>
      </c>
    </row>
    <row r="331" spans="1:59">
      <c r="A331" t="s">
        <v>60</v>
      </c>
      <c r="B331" s="1">
        <v>46129</v>
      </c>
      <c r="C331">
        <v>2378068695</v>
      </c>
      <c r="D331">
        <v>2378068696</v>
      </c>
      <c r="E331" t="str">
        <f>T("[e북]미친놈의 집착에서 벗어나는 법 2권 (완결)")</f>
        <v>[e북]미친놈의 집착에서 벗어나는 법 2권 (완결)</v>
      </c>
      <c r="F331">
        <v>2</v>
      </c>
      <c r="G331" t="str">
        <f>T("글쓰는아프로디테")</f>
        <v>글쓰는아프로디테</v>
      </c>
      <c r="J331" t="str">
        <f>T("시계토끼")</f>
        <v>시계토끼</v>
      </c>
      <c r="K331" t="str">
        <f>T("[e북]미친놈의 집착에서 벗어나는 법")</f>
        <v>[e북]미친놈의 집착에서 벗어나는 법</v>
      </c>
      <c r="L331">
        <v>3300</v>
      </c>
      <c r="M331">
        <v>3300</v>
      </c>
      <c r="N331">
        <v>1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3300</v>
      </c>
      <c r="AJ331">
        <v>1</v>
      </c>
      <c r="AK331">
        <v>0</v>
      </c>
      <c r="AL331">
        <v>0</v>
      </c>
      <c r="AM331">
        <v>3300</v>
      </c>
      <c r="AN331">
        <v>0</v>
      </c>
      <c r="AO331">
        <v>0</v>
      </c>
      <c r="AP331">
        <v>0</v>
      </c>
      <c r="AQ331">
        <v>0</v>
      </c>
      <c r="AS331">
        <v>0</v>
      </c>
      <c r="AT331">
        <v>0</v>
      </c>
      <c r="AV331">
        <v>0</v>
      </c>
      <c r="AW331">
        <v>0</v>
      </c>
      <c r="AY331">
        <v>0</v>
      </c>
      <c r="AZ331">
        <v>0</v>
      </c>
      <c r="BA331">
        <v>2310</v>
      </c>
      <c r="BE331" t="str">
        <f>T("9791172820831")</f>
        <v>9791172820831</v>
      </c>
      <c r="BF331" t="str">
        <f>T("k385476")</f>
        <v>k385476</v>
      </c>
      <c r="BG331" t="str">
        <f>T("로판 e북 &gt; 서양풍 로판")</f>
        <v>로판 e북 &gt; 서양풍 로판</v>
      </c>
    </row>
    <row r="332" spans="1:59">
      <c r="A332" t="s">
        <v>60</v>
      </c>
      <c r="B332" s="1">
        <v>46130</v>
      </c>
      <c r="C332">
        <v>2378068695</v>
      </c>
      <c r="D332">
        <v>2378068696</v>
      </c>
      <c r="E332" t="str">
        <f>T("[e북]미친놈의 집착에서 벗어나는 법 2권 (완결)")</f>
        <v>[e북]미친놈의 집착에서 벗어나는 법 2권 (완결)</v>
      </c>
      <c r="F332">
        <v>2</v>
      </c>
      <c r="G332" t="str">
        <f>T("글쓰는아프로디테")</f>
        <v>글쓰는아프로디테</v>
      </c>
      <c r="J332" t="str">
        <f>T("시계토끼")</f>
        <v>시계토끼</v>
      </c>
      <c r="K332" t="str">
        <f>T("[e북]미친놈의 집착에서 벗어나는 법")</f>
        <v>[e북]미친놈의 집착에서 벗어나는 법</v>
      </c>
      <c r="L332">
        <v>3300</v>
      </c>
      <c r="M332">
        <v>3300</v>
      </c>
      <c r="N332">
        <v>1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3300</v>
      </c>
      <c r="AJ332">
        <v>1</v>
      </c>
      <c r="AK332">
        <v>0</v>
      </c>
      <c r="AL332">
        <v>0</v>
      </c>
      <c r="AM332">
        <v>3300</v>
      </c>
      <c r="AN332">
        <v>0</v>
      </c>
      <c r="AO332">
        <v>0</v>
      </c>
      <c r="AP332">
        <v>0</v>
      </c>
      <c r="AQ332">
        <v>0</v>
      </c>
      <c r="AS332">
        <v>0</v>
      </c>
      <c r="AT332">
        <v>0</v>
      </c>
      <c r="AV332">
        <v>0</v>
      </c>
      <c r="AW332">
        <v>0</v>
      </c>
      <c r="AY332">
        <v>0</v>
      </c>
      <c r="AZ332">
        <v>0</v>
      </c>
      <c r="BA332">
        <v>2310</v>
      </c>
      <c r="BE332" t="str">
        <f>T("9791172820831")</f>
        <v>9791172820831</v>
      </c>
      <c r="BF332" t="str">
        <f>T("k385476")</f>
        <v>k385476</v>
      </c>
      <c r="BG332" t="str">
        <f>T("로판 e북 &gt; 서양풍 로판")</f>
        <v>로판 e북 &gt; 서양풍 로판</v>
      </c>
    </row>
    <row r="333" spans="1:59">
      <c r="A333" t="s">
        <v>60</v>
      </c>
      <c r="B333" s="1">
        <v>46130</v>
      </c>
      <c r="C333">
        <v>2378068695</v>
      </c>
      <c r="D333">
        <v>2378068695</v>
      </c>
      <c r="E333" t="str">
        <f>T("[e북]미친놈의 집착에서 벗어나는 법 1권")</f>
        <v>[e북]미친놈의 집착에서 벗어나는 법 1권</v>
      </c>
      <c r="F333">
        <v>1</v>
      </c>
      <c r="G333" t="str">
        <f>T("글쓰는아프로디테")</f>
        <v>글쓰는아프로디테</v>
      </c>
      <c r="J333" t="str">
        <f>T("시계토끼")</f>
        <v>시계토끼</v>
      </c>
      <c r="K333" t="str">
        <f>T("[e북]미친놈의 집착에서 벗어나는 법")</f>
        <v>[e북]미친놈의 집착에서 벗어나는 법</v>
      </c>
      <c r="L333">
        <v>3300</v>
      </c>
      <c r="M333">
        <v>13200</v>
      </c>
      <c r="N333">
        <v>4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13200</v>
      </c>
      <c r="AJ333">
        <v>4</v>
      </c>
      <c r="AK333">
        <v>0</v>
      </c>
      <c r="AL333">
        <v>0</v>
      </c>
      <c r="AM333">
        <v>13200</v>
      </c>
      <c r="AN333">
        <v>0</v>
      </c>
      <c r="AO333">
        <v>0</v>
      </c>
      <c r="AP333">
        <v>0</v>
      </c>
      <c r="AQ333">
        <v>0</v>
      </c>
      <c r="AS333">
        <v>0</v>
      </c>
      <c r="AT333">
        <v>0</v>
      </c>
      <c r="AV333">
        <v>0</v>
      </c>
      <c r="AW333">
        <v>0</v>
      </c>
      <c r="AY333">
        <v>0</v>
      </c>
      <c r="AZ333">
        <v>0</v>
      </c>
      <c r="BA333">
        <v>9240</v>
      </c>
      <c r="BE333" t="str">
        <f>T("9791172820824")</f>
        <v>9791172820824</v>
      </c>
      <c r="BF333" t="str">
        <f>T("k385475")</f>
        <v>k385475</v>
      </c>
      <c r="BG333" t="str">
        <f>T("로판 e북 &gt; 서양풍 로판")</f>
        <v>로판 e북 &gt; 서양풍 로판</v>
      </c>
    </row>
    <row r="334" spans="1:59">
      <c r="A334" t="s">
        <v>60</v>
      </c>
      <c r="B334" s="1">
        <v>46131</v>
      </c>
      <c r="C334">
        <v>2378068695</v>
      </c>
      <c r="D334">
        <v>2378068696</v>
      </c>
      <c r="E334" t="str">
        <f>T("[e북]미친놈의 집착에서 벗어나는 법 2권 (완결)")</f>
        <v>[e북]미친놈의 집착에서 벗어나는 법 2권 (완결)</v>
      </c>
      <c r="F334">
        <v>2</v>
      </c>
      <c r="G334" t="str">
        <f>T("글쓰는아프로디테")</f>
        <v>글쓰는아프로디테</v>
      </c>
      <c r="J334" t="str">
        <f>T("시계토끼")</f>
        <v>시계토끼</v>
      </c>
      <c r="K334" t="str">
        <f>T("[e북]미친놈의 집착에서 벗어나는 법")</f>
        <v>[e북]미친놈의 집착에서 벗어나는 법</v>
      </c>
      <c r="L334">
        <v>3300</v>
      </c>
      <c r="M334">
        <v>3300</v>
      </c>
      <c r="N334">
        <v>1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3300</v>
      </c>
      <c r="AJ334">
        <v>1</v>
      </c>
      <c r="AK334">
        <v>0</v>
      </c>
      <c r="AL334">
        <v>0</v>
      </c>
      <c r="AM334">
        <v>3300</v>
      </c>
      <c r="AN334">
        <v>0</v>
      </c>
      <c r="AO334">
        <v>0</v>
      </c>
      <c r="AP334">
        <v>0</v>
      </c>
      <c r="AQ334">
        <v>0</v>
      </c>
      <c r="AS334">
        <v>0</v>
      </c>
      <c r="AT334">
        <v>0</v>
      </c>
      <c r="AV334">
        <v>0</v>
      </c>
      <c r="AW334">
        <v>0</v>
      </c>
      <c r="AY334">
        <v>0</v>
      </c>
      <c r="AZ334">
        <v>0</v>
      </c>
      <c r="BA334">
        <v>2310</v>
      </c>
      <c r="BE334" t="str">
        <f>T("9791172820831")</f>
        <v>9791172820831</v>
      </c>
      <c r="BF334" t="str">
        <f>T("k385476")</f>
        <v>k385476</v>
      </c>
      <c r="BG334" t="str">
        <f>T("로판 e북 &gt; 서양풍 로판")</f>
        <v>로판 e북 &gt; 서양풍 로판</v>
      </c>
    </row>
    <row r="335" spans="1:59">
      <c r="A335" t="s">
        <v>60</v>
      </c>
      <c r="B335" s="1">
        <v>46129</v>
      </c>
      <c r="C335">
        <v>2378058550</v>
      </c>
      <c r="D335">
        <v>2378058551</v>
      </c>
      <c r="E335" t="str">
        <f>T("[e북]박아주는 대물 택시 2권")</f>
        <v>[e북]박아주는 대물 택시 2권</v>
      </c>
      <c r="F335">
        <v>2</v>
      </c>
      <c r="G335" t="str">
        <f>T("마동팔")</f>
        <v>마동팔</v>
      </c>
      <c r="J335" t="str">
        <f>T("누디나잇")</f>
        <v>누디나잇</v>
      </c>
      <c r="K335" t="str">
        <f>T("[e북]박아주는 대물 택시")</f>
        <v>[e북]박아주는 대물 택시</v>
      </c>
      <c r="L335">
        <v>1000</v>
      </c>
      <c r="M335">
        <v>1000</v>
      </c>
      <c r="N335">
        <v>1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1000</v>
      </c>
      <c r="AJ335">
        <v>1</v>
      </c>
      <c r="AK335">
        <v>0</v>
      </c>
      <c r="AL335">
        <v>0</v>
      </c>
      <c r="AM335">
        <v>0</v>
      </c>
      <c r="AN335">
        <v>0</v>
      </c>
      <c r="AO335">
        <v>1200</v>
      </c>
      <c r="AP335">
        <v>-360</v>
      </c>
      <c r="AQ335">
        <v>0</v>
      </c>
      <c r="AR335">
        <v>1200</v>
      </c>
      <c r="AS335">
        <v>-360</v>
      </c>
      <c r="AT335">
        <v>0</v>
      </c>
      <c r="AV335">
        <v>0</v>
      </c>
      <c r="AW335">
        <v>0</v>
      </c>
      <c r="AY335">
        <v>0</v>
      </c>
      <c r="AZ335">
        <v>0</v>
      </c>
      <c r="BA335">
        <v>588</v>
      </c>
      <c r="BE335" t="str">
        <f>T("9791192166988")</f>
        <v>9791192166988</v>
      </c>
      <c r="BF335" t="str">
        <f>T("k120601")</f>
        <v>k120601</v>
      </c>
      <c r="BG335" t="str">
        <f>T("로맨스 e북 &gt; 섹슈얼 로맨스")</f>
        <v>로맨스 e북 &gt; 섹슈얼 로맨스</v>
      </c>
    </row>
    <row r="336" spans="1:59">
      <c r="A336" t="s">
        <v>60</v>
      </c>
      <c r="B336" s="1">
        <v>46129</v>
      </c>
      <c r="C336">
        <v>2378058550</v>
      </c>
      <c r="D336">
        <v>2378058552</v>
      </c>
      <c r="E336" t="str">
        <f>T("[e북]박아주는 대물 택시 3권 (완결)")</f>
        <v>[e북]박아주는 대물 택시 3권 (완결)</v>
      </c>
      <c r="F336">
        <v>3</v>
      </c>
      <c r="G336" t="str">
        <f>T("마동팔")</f>
        <v>마동팔</v>
      </c>
      <c r="J336" t="str">
        <f>T("누디나잇")</f>
        <v>누디나잇</v>
      </c>
      <c r="K336" t="str">
        <f>T("[e북]박아주는 대물 택시")</f>
        <v>[e북]박아주는 대물 택시</v>
      </c>
      <c r="L336">
        <v>1000</v>
      </c>
      <c r="M336">
        <v>2000</v>
      </c>
      <c r="N336">
        <v>2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2000</v>
      </c>
      <c r="AJ336">
        <v>2</v>
      </c>
      <c r="AK336">
        <v>0</v>
      </c>
      <c r="AL336">
        <v>0</v>
      </c>
      <c r="AM336">
        <v>1000</v>
      </c>
      <c r="AN336">
        <v>0</v>
      </c>
      <c r="AO336">
        <v>1200</v>
      </c>
      <c r="AP336">
        <v>-360</v>
      </c>
      <c r="AQ336">
        <v>0</v>
      </c>
      <c r="AR336">
        <v>1200</v>
      </c>
      <c r="AS336">
        <v>-360</v>
      </c>
      <c r="AT336">
        <v>0</v>
      </c>
      <c r="AV336">
        <v>0</v>
      </c>
      <c r="AW336">
        <v>0</v>
      </c>
      <c r="AY336">
        <v>0</v>
      </c>
      <c r="AZ336">
        <v>0</v>
      </c>
      <c r="BA336">
        <v>1288</v>
      </c>
      <c r="BE336" t="str">
        <f>T("9791193028995")</f>
        <v>9791193028995</v>
      </c>
      <c r="BF336" t="str">
        <f>T("k120602")</f>
        <v>k120602</v>
      </c>
      <c r="BG336" t="str">
        <f>T("로맨스 e북 &gt; 섹슈얼 로맨스")</f>
        <v>로맨스 e북 &gt; 섹슈얼 로맨스</v>
      </c>
    </row>
    <row r="337" spans="1:60">
      <c r="A337" t="s">
        <v>60</v>
      </c>
      <c r="B337" s="1">
        <v>46131</v>
      </c>
      <c r="C337">
        <v>2378058550</v>
      </c>
      <c r="D337">
        <v>2378058550</v>
      </c>
      <c r="E337" t="str">
        <f>T("[e북]박아주는 대물 택시 1권")</f>
        <v>[e북]박아주는 대물 택시 1권</v>
      </c>
      <c r="F337">
        <v>1</v>
      </c>
      <c r="G337" t="str">
        <f>T("마동팔")</f>
        <v>마동팔</v>
      </c>
      <c r="J337" t="str">
        <f>T("누디나잇")</f>
        <v>누디나잇</v>
      </c>
      <c r="K337" t="str">
        <f>T("[e북]박아주는 대물 택시")</f>
        <v>[e북]박아주는 대물 택시</v>
      </c>
      <c r="L337">
        <v>1000</v>
      </c>
      <c r="M337">
        <v>1000</v>
      </c>
      <c r="N337">
        <v>1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1000</v>
      </c>
      <c r="AJ337">
        <v>1</v>
      </c>
      <c r="AK337">
        <v>0</v>
      </c>
      <c r="AL337">
        <v>0</v>
      </c>
      <c r="AM337">
        <v>0</v>
      </c>
      <c r="AN337">
        <v>0</v>
      </c>
      <c r="AO337">
        <v>1200</v>
      </c>
      <c r="AP337">
        <v>-360</v>
      </c>
      <c r="AQ337">
        <v>0</v>
      </c>
      <c r="AR337">
        <v>1200</v>
      </c>
      <c r="AS337">
        <v>-360</v>
      </c>
      <c r="AT337">
        <v>0</v>
      </c>
      <c r="AV337">
        <v>0</v>
      </c>
      <c r="AW337">
        <v>0</v>
      </c>
      <c r="AY337">
        <v>0</v>
      </c>
      <c r="AZ337">
        <v>0</v>
      </c>
      <c r="BA337">
        <v>588</v>
      </c>
      <c r="BE337" t="str">
        <f>T("9791192166742")</f>
        <v>9791192166742</v>
      </c>
      <c r="BF337" t="str">
        <f>T("k075407")</f>
        <v>k075407</v>
      </c>
      <c r="BG337" t="str">
        <f>T("로맨스 e북 &gt; 섹슈얼 로맨스")</f>
        <v>로맨스 e북 &gt; 섹슈얼 로맨스</v>
      </c>
    </row>
    <row r="338" spans="1:60">
      <c r="A338" t="s">
        <v>60</v>
      </c>
      <c r="B338" s="1">
        <v>46131</v>
      </c>
      <c r="C338">
        <v>2378058550</v>
      </c>
      <c r="D338">
        <v>2378058551</v>
      </c>
      <c r="E338" t="str">
        <f>T("[e북]박아주는 대물 택시 2권")</f>
        <v>[e북]박아주는 대물 택시 2권</v>
      </c>
      <c r="F338">
        <v>2</v>
      </c>
      <c r="G338" t="str">
        <f>T("마동팔")</f>
        <v>마동팔</v>
      </c>
      <c r="J338" t="str">
        <f>T("누디나잇")</f>
        <v>누디나잇</v>
      </c>
      <c r="K338" t="str">
        <f>T("[e북]박아주는 대물 택시")</f>
        <v>[e북]박아주는 대물 택시</v>
      </c>
      <c r="L338">
        <v>1000</v>
      </c>
      <c r="M338">
        <v>1000</v>
      </c>
      <c r="N338">
        <v>1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1000</v>
      </c>
      <c r="AJ338">
        <v>1</v>
      </c>
      <c r="AK338">
        <v>0</v>
      </c>
      <c r="AL338">
        <v>0</v>
      </c>
      <c r="AM338">
        <v>0</v>
      </c>
      <c r="AN338">
        <v>0</v>
      </c>
      <c r="AO338">
        <v>1200</v>
      </c>
      <c r="AP338">
        <v>-360</v>
      </c>
      <c r="AQ338">
        <v>0</v>
      </c>
      <c r="AR338">
        <v>1200</v>
      </c>
      <c r="AS338">
        <v>-360</v>
      </c>
      <c r="AT338">
        <v>0</v>
      </c>
      <c r="AV338">
        <v>0</v>
      </c>
      <c r="AW338">
        <v>0</v>
      </c>
      <c r="AY338">
        <v>0</v>
      </c>
      <c r="AZ338">
        <v>0</v>
      </c>
      <c r="BA338">
        <v>588</v>
      </c>
      <c r="BE338" t="str">
        <f>T("9791192166988")</f>
        <v>9791192166988</v>
      </c>
      <c r="BF338" t="str">
        <f>T("k120601")</f>
        <v>k120601</v>
      </c>
      <c r="BG338" t="str">
        <f>T("로맨스 e북 &gt; 섹슈얼 로맨스")</f>
        <v>로맨스 e북 &gt; 섹슈얼 로맨스</v>
      </c>
    </row>
    <row r="339" spans="1:60">
      <c r="A339" t="s">
        <v>60</v>
      </c>
      <c r="B339" s="1">
        <v>46129</v>
      </c>
      <c r="C339">
        <v>2378034826</v>
      </c>
      <c r="D339">
        <v>2378034827</v>
      </c>
      <c r="E339" t="str">
        <f>T("[e북]방황하는 어린양에게 2권 (완결)")</f>
        <v>[e북]방황하는 어린양에게 2권 (완결)</v>
      </c>
      <c r="F339">
        <v>2</v>
      </c>
      <c r="G339" t="str">
        <f>T("초코요정")</f>
        <v>초코요정</v>
      </c>
      <c r="J339" t="str">
        <f>T("시계토끼")</f>
        <v>시계토끼</v>
      </c>
      <c r="K339" t="str">
        <f>T("[e북]방황하는 어린양에게")</f>
        <v>[e북]방황하는 어린양에게</v>
      </c>
      <c r="L339">
        <v>3200</v>
      </c>
      <c r="M339">
        <v>3200</v>
      </c>
      <c r="N339">
        <v>1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3200</v>
      </c>
      <c r="AJ339">
        <v>1</v>
      </c>
      <c r="AK339">
        <v>0</v>
      </c>
      <c r="AL339">
        <v>0</v>
      </c>
      <c r="AM339">
        <v>3200</v>
      </c>
      <c r="AN339">
        <v>0</v>
      </c>
      <c r="AO339">
        <v>0</v>
      </c>
      <c r="AP339">
        <v>0</v>
      </c>
      <c r="AQ339">
        <v>0</v>
      </c>
      <c r="AS339">
        <v>0</v>
      </c>
      <c r="AT339">
        <v>0</v>
      </c>
      <c r="AV339">
        <v>0</v>
      </c>
      <c r="AW339">
        <v>0</v>
      </c>
      <c r="AY339">
        <v>0</v>
      </c>
      <c r="AZ339">
        <v>0</v>
      </c>
      <c r="BA339">
        <v>2240</v>
      </c>
      <c r="BE339" t="str">
        <f>T("9791164097029")</f>
        <v>9791164097029</v>
      </c>
      <c r="BF339" t="str">
        <f>T("N099616")</f>
        <v>N099616</v>
      </c>
      <c r="BG339" t="str">
        <f>T("로판 e북 &gt; 서양풍 로판")</f>
        <v>로판 e북 &gt; 서양풍 로판</v>
      </c>
    </row>
    <row r="340" spans="1:60">
      <c r="A340" t="s">
        <v>60</v>
      </c>
      <c r="B340" s="1">
        <v>46131</v>
      </c>
      <c r="C340">
        <v>2378034826</v>
      </c>
      <c r="D340">
        <v>2378034826</v>
      </c>
      <c r="E340" t="str">
        <f>T("[e북]방황하는 어린양에게 1권")</f>
        <v>[e북]방황하는 어린양에게 1권</v>
      </c>
      <c r="F340">
        <v>1</v>
      </c>
      <c r="G340" t="str">
        <f>T("초코요정")</f>
        <v>초코요정</v>
      </c>
      <c r="J340" t="str">
        <f>T("시계토끼")</f>
        <v>시계토끼</v>
      </c>
      <c r="K340" t="str">
        <f>T("[e북]방황하는 어린양에게")</f>
        <v>[e북]방황하는 어린양에게</v>
      </c>
      <c r="L340">
        <v>3200</v>
      </c>
      <c r="M340">
        <v>6400</v>
      </c>
      <c r="N340">
        <v>2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6400</v>
      </c>
      <c r="AJ340">
        <v>2</v>
      </c>
      <c r="AK340">
        <v>0</v>
      </c>
      <c r="AL340">
        <v>0</v>
      </c>
      <c r="AM340">
        <v>3200</v>
      </c>
      <c r="AN340">
        <v>0</v>
      </c>
      <c r="AO340">
        <v>3840</v>
      </c>
      <c r="AP340">
        <v>-384</v>
      </c>
      <c r="AQ340">
        <v>0</v>
      </c>
      <c r="AS340">
        <v>0</v>
      </c>
      <c r="AT340">
        <v>0</v>
      </c>
      <c r="AU340">
        <v>3840</v>
      </c>
      <c r="AV340">
        <v>-384</v>
      </c>
      <c r="AW340">
        <v>0</v>
      </c>
      <c r="AY340">
        <v>0</v>
      </c>
      <c r="AZ340">
        <v>0</v>
      </c>
      <c r="BA340">
        <v>4659.2</v>
      </c>
      <c r="BE340" t="str">
        <f>T("9791164097012")</f>
        <v>9791164097012</v>
      </c>
      <c r="BF340" t="str">
        <f>T("N099615")</f>
        <v>N099615</v>
      </c>
      <c r="BG340" t="str">
        <f>T("로판 e북 &gt; 서양풍 로판")</f>
        <v>로판 e북 &gt; 서양풍 로판</v>
      </c>
    </row>
    <row r="341" spans="1:60">
      <c r="A341" t="s">
        <v>60</v>
      </c>
      <c r="B341" s="1">
        <v>46130</v>
      </c>
      <c r="C341">
        <v>2378003545</v>
      </c>
      <c r="D341">
        <v>2378003546</v>
      </c>
      <c r="E341" t="str">
        <f>T("[e북][체험판] 배꽃, 연시")</f>
        <v>[e북][체험판] 배꽃, 연시</v>
      </c>
      <c r="F341">
        <v>1</v>
      </c>
      <c r="G341" t="str">
        <f>T("라임별")</f>
        <v>라임별</v>
      </c>
      <c r="J341" t="str">
        <f>T("시계토끼")</f>
        <v>시계토끼</v>
      </c>
      <c r="K341" t="str">
        <f>T("[e북]배꽃, 연시")</f>
        <v>[e북]배꽃, 연시</v>
      </c>
      <c r="L341">
        <v>0</v>
      </c>
      <c r="M341">
        <v>0</v>
      </c>
      <c r="N341">
        <v>0</v>
      </c>
      <c r="O341">
        <v>1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1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S341">
        <v>0</v>
      </c>
      <c r="AT341">
        <v>0</v>
      </c>
      <c r="AV341">
        <v>0</v>
      </c>
      <c r="AW341">
        <v>0</v>
      </c>
      <c r="AY341">
        <v>0</v>
      </c>
      <c r="AZ341">
        <v>0</v>
      </c>
      <c r="BA341">
        <v>0</v>
      </c>
      <c r="BC341" t="str">
        <f>T("0000000000000")</f>
        <v>0000000000000</v>
      </c>
      <c r="BE341" t="str">
        <f>T("9791188698981")</f>
        <v>9791188698981</v>
      </c>
      <c r="BF341" t="str">
        <f>T("E322196")</f>
        <v>E322196</v>
      </c>
      <c r="BG341" t="str">
        <f>T("로맨스 e북 &gt; 역사/시대물")</f>
        <v>로맨스 e북 &gt; 역사/시대물</v>
      </c>
      <c r="BH341" t="str">
        <f>T("로맨스 e북 &gt; 19+")</f>
        <v>로맨스 e북 &gt; 19+</v>
      </c>
    </row>
    <row r="342" spans="1:60">
      <c r="A342" t="s">
        <v>60</v>
      </c>
      <c r="B342" s="1">
        <v>46131</v>
      </c>
      <c r="C342">
        <v>2378080112</v>
      </c>
      <c r="D342">
        <v>2378080112</v>
      </c>
      <c r="E342" t="str">
        <f>T("[e북]백사의 연인 1권")</f>
        <v>[e북]백사의 연인 1권</v>
      </c>
      <c r="F342">
        <v>1</v>
      </c>
      <c r="G342" t="str">
        <f>T("한소요")</f>
        <v>한소요</v>
      </c>
      <c r="J342" t="str">
        <f>T("시계토끼")</f>
        <v>시계토끼</v>
      </c>
      <c r="K342" t="str">
        <f>T("[e북]백사의 연인")</f>
        <v>[e북]백사의 연인</v>
      </c>
      <c r="L342">
        <v>2000</v>
      </c>
      <c r="M342">
        <v>2000</v>
      </c>
      <c r="N342">
        <v>1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2000</v>
      </c>
      <c r="AJ342">
        <v>1</v>
      </c>
      <c r="AK342">
        <v>0</v>
      </c>
      <c r="AL342">
        <v>0</v>
      </c>
      <c r="AM342">
        <v>2000</v>
      </c>
      <c r="AN342">
        <v>0</v>
      </c>
      <c r="AO342">
        <v>0</v>
      </c>
      <c r="AP342">
        <v>0</v>
      </c>
      <c r="AQ342">
        <v>0</v>
      </c>
      <c r="AS342">
        <v>0</v>
      </c>
      <c r="AT342">
        <v>0</v>
      </c>
      <c r="AV342">
        <v>0</v>
      </c>
      <c r="AW342">
        <v>0</v>
      </c>
      <c r="AY342">
        <v>0</v>
      </c>
      <c r="AZ342">
        <v>0</v>
      </c>
      <c r="BA342">
        <v>1400</v>
      </c>
      <c r="BF342" t="str">
        <f>T("D198896")</f>
        <v>D198896</v>
      </c>
      <c r="BG342" t="str">
        <f>T("로판 e북 &gt; 동양풍 로판")</f>
        <v>로판 e북 &gt; 동양풍 로판</v>
      </c>
    </row>
    <row r="343" spans="1:60">
      <c r="A343" t="s">
        <v>60</v>
      </c>
      <c r="B343" s="1">
        <v>46131</v>
      </c>
      <c r="C343">
        <v>2378080112</v>
      </c>
      <c r="D343">
        <v>2378080113</v>
      </c>
      <c r="E343" t="str">
        <f>T("[e북]백사의 연인 2권 (완결)")</f>
        <v>[e북]백사의 연인 2권 (완결)</v>
      </c>
      <c r="F343">
        <v>2</v>
      </c>
      <c r="G343" t="str">
        <f>T("한소요")</f>
        <v>한소요</v>
      </c>
      <c r="J343" t="str">
        <f>T("시계토끼")</f>
        <v>시계토끼</v>
      </c>
      <c r="K343" t="str">
        <f>T("[e북]백사의 연인")</f>
        <v>[e북]백사의 연인</v>
      </c>
      <c r="L343">
        <v>2000</v>
      </c>
      <c r="M343">
        <v>2000</v>
      </c>
      <c r="N343">
        <v>1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2000</v>
      </c>
      <c r="AJ343">
        <v>1</v>
      </c>
      <c r="AK343">
        <v>0</v>
      </c>
      <c r="AL343">
        <v>0</v>
      </c>
      <c r="AM343">
        <v>2000</v>
      </c>
      <c r="AN343">
        <v>0</v>
      </c>
      <c r="AO343">
        <v>0</v>
      </c>
      <c r="AP343">
        <v>0</v>
      </c>
      <c r="AQ343">
        <v>0</v>
      </c>
      <c r="AS343">
        <v>0</v>
      </c>
      <c r="AT343">
        <v>0</v>
      </c>
      <c r="AV343">
        <v>0</v>
      </c>
      <c r="AW343">
        <v>0</v>
      </c>
      <c r="AY343">
        <v>0</v>
      </c>
      <c r="AZ343">
        <v>0</v>
      </c>
      <c r="BA343">
        <v>1400</v>
      </c>
      <c r="BF343" t="str">
        <f>T("D198897")</f>
        <v>D198897</v>
      </c>
      <c r="BG343" t="str">
        <f>T("로판 e북 &gt; 동양풍 로판")</f>
        <v>로판 e북 &gt; 동양풍 로판</v>
      </c>
    </row>
    <row r="344" spans="1:60">
      <c r="A344" t="s">
        <v>60</v>
      </c>
      <c r="B344" s="1">
        <v>46129</v>
      </c>
      <c r="C344">
        <v>2378038355</v>
      </c>
      <c r="D344">
        <v>2378038355</v>
      </c>
      <c r="E344" t="str">
        <f>T("[e북]백송의 꽃말 1권")</f>
        <v>[e북]백송의 꽃말 1권</v>
      </c>
      <c r="F344">
        <v>1</v>
      </c>
      <c r="G344" t="str">
        <f>T("리도반")</f>
        <v>리도반</v>
      </c>
      <c r="J344" t="str">
        <f>T("체셔")</f>
        <v>체셔</v>
      </c>
      <c r="K344" t="str">
        <f>T("[e북]백송의 꽃말")</f>
        <v>[e북]백송의 꽃말</v>
      </c>
      <c r="L344">
        <v>3000</v>
      </c>
      <c r="M344">
        <v>9000</v>
      </c>
      <c r="N344">
        <v>3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9000</v>
      </c>
      <c r="AJ344">
        <v>3</v>
      </c>
      <c r="AK344">
        <v>0</v>
      </c>
      <c r="AL344">
        <v>0</v>
      </c>
      <c r="AM344">
        <v>3000</v>
      </c>
      <c r="AN344">
        <v>0</v>
      </c>
      <c r="AO344">
        <v>7200</v>
      </c>
      <c r="AP344">
        <v>-720</v>
      </c>
      <c r="AQ344">
        <v>0</v>
      </c>
      <c r="AS344">
        <v>0</v>
      </c>
      <c r="AT344">
        <v>0</v>
      </c>
      <c r="AU344">
        <v>7200</v>
      </c>
      <c r="AV344">
        <v>-720</v>
      </c>
      <c r="AW344">
        <v>0</v>
      </c>
      <c r="AY344">
        <v>0</v>
      </c>
      <c r="AZ344">
        <v>0</v>
      </c>
      <c r="BA344">
        <v>6636</v>
      </c>
      <c r="BE344" t="str">
        <f>T("9791164833559")</f>
        <v>9791164833559</v>
      </c>
      <c r="BF344" t="str">
        <f>T("N146592")</f>
        <v>N146592</v>
      </c>
      <c r="BG344" t="str">
        <f>T("BL 소설 e북 &gt; 역사/시대물")</f>
        <v>BL 소설 e북 &gt; 역사/시대물</v>
      </c>
    </row>
    <row r="345" spans="1:60">
      <c r="A345" t="s">
        <v>60</v>
      </c>
      <c r="B345" s="1">
        <v>46129</v>
      </c>
      <c r="C345">
        <v>2378038355</v>
      </c>
      <c r="D345">
        <v>2378038356</v>
      </c>
      <c r="E345" t="str">
        <f>T("[e북]백송의 꽃말 2권")</f>
        <v>[e북]백송의 꽃말 2권</v>
      </c>
      <c r="F345">
        <v>2</v>
      </c>
      <c r="G345" t="str">
        <f>T("리도반")</f>
        <v>리도반</v>
      </c>
      <c r="J345" t="str">
        <f>T("체셔")</f>
        <v>체셔</v>
      </c>
      <c r="K345" t="str">
        <f>T("[e북]백송의 꽃말")</f>
        <v>[e북]백송의 꽃말</v>
      </c>
      <c r="L345">
        <v>3000</v>
      </c>
      <c r="M345">
        <v>6000</v>
      </c>
      <c r="N345">
        <v>2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6000</v>
      </c>
      <c r="AJ345">
        <v>2</v>
      </c>
      <c r="AK345">
        <v>0</v>
      </c>
      <c r="AL345">
        <v>0</v>
      </c>
      <c r="AM345">
        <v>3000</v>
      </c>
      <c r="AN345">
        <v>0</v>
      </c>
      <c r="AO345">
        <v>3600</v>
      </c>
      <c r="AP345">
        <v>-360</v>
      </c>
      <c r="AQ345">
        <v>0</v>
      </c>
      <c r="AS345">
        <v>0</v>
      </c>
      <c r="AT345">
        <v>0</v>
      </c>
      <c r="AU345">
        <v>3600</v>
      </c>
      <c r="AV345">
        <v>-360</v>
      </c>
      <c r="AW345">
        <v>0</v>
      </c>
      <c r="AY345">
        <v>0</v>
      </c>
      <c r="AZ345">
        <v>0</v>
      </c>
      <c r="BA345">
        <v>4368</v>
      </c>
      <c r="BE345" t="str">
        <f>T("9791164833566")</f>
        <v>9791164833566</v>
      </c>
      <c r="BF345" t="str">
        <f>T("N146593")</f>
        <v>N146593</v>
      </c>
      <c r="BG345" t="str">
        <f>T("BL 소설 e북 &gt; 역사/시대물")</f>
        <v>BL 소설 e북 &gt; 역사/시대물</v>
      </c>
    </row>
    <row r="346" spans="1:60">
      <c r="A346" t="s">
        <v>60</v>
      </c>
      <c r="B346" s="1">
        <v>46129</v>
      </c>
      <c r="C346">
        <v>2378038355</v>
      </c>
      <c r="D346">
        <v>2378038357</v>
      </c>
      <c r="E346" t="str">
        <f>T("[e북]백송의 꽃말 3권 (완결)")</f>
        <v>[e북]백송의 꽃말 3권 (완결)</v>
      </c>
      <c r="F346">
        <v>3</v>
      </c>
      <c r="G346" t="str">
        <f>T("리도반")</f>
        <v>리도반</v>
      </c>
      <c r="J346" t="str">
        <f>T("체셔")</f>
        <v>체셔</v>
      </c>
      <c r="K346" t="str">
        <f>T("[e북]백송의 꽃말")</f>
        <v>[e북]백송의 꽃말</v>
      </c>
      <c r="L346">
        <v>3000</v>
      </c>
      <c r="M346">
        <v>3000</v>
      </c>
      <c r="N346">
        <v>1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3000</v>
      </c>
      <c r="AJ346">
        <v>1</v>
      </c>
      <c r="AK346">
        <v>0</v>
      </c>
      <c r="AL346">
        <v>0</v>
      </c>
      <c r="AM346">
        <v>0</v>
      </c>
      <c r="AN346">
        <v>0</v>
      </c>
      <c r="AO346">
        <v>3600</v>
      </c>
      <c r="AP346">
        <v>-360</v>
      </c>
      <c r="AQ346">
        <v>0</v>
      </c>
      <c r="AS346">
        <v>0</v>
      </c>
      <c r="AT346">
        <v>0</v>
      </c>
      <c r="AU346">
        <v>3600</v>
      </c>
      <c r="AV346">
        <v>-360</v>
      </c>
      <c r="AW346">
        <v>0</v>
      </c>
      <c r="AY346">
        <v>0</v>
      </c>
      <c r="AZ346">
        <v>0</v>
      </c>
      <c r="BA346">
        <v>2268</v>
      </c>
      <c r="BE346" t="str">
        <f>T("9791164833573")</f>
        <v>9791164833573</v>
      </c>
      <c r="BF346" t="str">
        <f>T("N146594")</f>
        <v>N146594</v>
      </c>
      <c r="BG346" t="str">
        <f>T("BL 소설 e북 &gt; 역사/시대물")</f>
        <v>BL 소설 e북 &gt; 역사/시대물</v>
      </c>
    </row>
    <row r="347" spans="1:60">
      <c r="A347" t="s">
        <v>60</v>
      </c>
      <c r="B347" s="1">
        <v>46129</v>
      </c>
      <c r="C347">
        <v>2378038355</v>
      </c>
      <c r="D347">
        <v>2378043367</v>
      </c>
      <c r="E347" t="str">
        <f>T("[e북]백송의 꽃말 (외전)")</f>
        <v>[e북]백송의 꽃말 (외전)</v>
      </c>
      <c r="F347">
        <v>4</v>
      </c>
      <c r="G347" t="str">
        <f>T("리도반")</f>
        <v>리도반</v>
      </c>
      <c r="J347" t="str">
        <f>T("체셔")</f>
        <v>체셔</v>
      </c>
      <c r="K347" t="str">
        <f>T("[e북]백송의 꽃말")</f>
        <v>[e북]백송의 꽃말</v>
      </c>
      <c r="L347">
        <v>3000</v>
      </c>
      <c r="M347">
        <v>3000</v>
      </c>
      <c r="N347">
        <v>1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3000</v>
      </c>
      <c r="AJ347">
        <v>1</v>
      </c>
      <c r="AK347">
        <v>0</v>
      </c>
      <c r="AL347">
        <v>0</v>
      </c>
      <c r="AM347">
        <v>0</v>
      </c>
      <c r="AN347">
        <v>0</v>
      </c>
      <c r="AO347">
        <v>3600</v>
      </c>
      <c r="AP347">
        <v>-360</v>
      </c>
      <c r="AQ347">
        <v>0</v>
      </c>
      <c r="AS347">
        <v>0</v>
      </c>
      <c r="AT347">
        <v>0</v>
      </c>
      <c r="AU347">
        <v>3600</v>
      </c>
      <c r="AV347">
        <v>-360</v>
      </c>
      <c r="AW347">
        <v>0</v>
      </c>
      <c r="AY347">
        <v>0</v>
      </c>
      <c r="AZ347">
        <v>0</v>
      </c>
      <c r="BA347">
        <v>2268</v>
      </c>
      <c r="BE347" t="str">
        <f>T("9791164833856")</f>
        <v>9791164833856</v>
      </c>
      <c r="BF347" t="str">
        <f>T("N217971")</f>
        <v>N217971</v>
      </c>
      <c r="BG347" t="str">
        <f>T("BL 소설 e북 &gt; 역사/시대물")</f>
        <v>BL 소설 e북 &gt; 역사/시대물</v>
      </c>
    </row>
    <row r="348" spans="1:60">
      <c r="A348" t="s">
        <v>60</v>
      </c>
      <c r="B348" s="1">
        <v>46129</v>
      </c>
      <c r="C348">
        <v>2378038355</v>
      </c>
      <c r="D348">
        <v>2378080102</v>
      </c>
      <c r="E348" t="str">
        <f>T("[e북]백송의 꽃말 (외전2)")</f>
        <v>[e북]백송의 꽃말 (외전2)</v>
      </c>
      <c r="F348">
        <v>5</v>
      </c>
      <c r="G348" t="str">
        <f>T("리도반")</f>
        <v>리도반</v>
      </c>
      <c r="J348" t="str">
        <f>T("체셔")</f>
        <v>체셔</v>
      </c>
      <c r="K348" t="str">
        <f>T("[e북]백송의 꽃말")</f>
        <v>[e북]백송의 꽃말</v>
      </c>
      <c r="L348">
        <v>2000</v>
      </c>
      <c r="M348">
        <v>4000</v>
      </c>
      <c r="N348">
        <v>2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4000</v>
      </c>
      <c r="AJ348">
        <v>2</v>
      </c>
      <c r="AK348">
        <v>0</v>
      </c>
      <c r="AL348">
        <v>0</v>
      </c>
      <c r="AM348">
        <v>2000</v>
      </c>
      <c r="AN348">
        <v>0</v>
      </c>
      <c r="AO348">
        <v>2400</v>
      </c>
      <c r="AP348">
        <v>-240</v>
      </c>
      <c r="AQ348">
        <v>0</v>
      </c>
      <c r="AS348">
        <v>0</v>
      </c>
      <c r="AT348">
        <v>0</v>
      </c>
      <c r="AU348">
        <v>2400</v>
      </c>
      <c r="AV348">
        <v>-240</v>
      </c>
      <c r="AW348">
        <v>0</v>
      </c>
      <c r="AY348">
        <v>0</v>
      </c>
      <c r="AZ348">
        <v>0</v>
      </c>
      <c r="BA348">
        <v>2912</v>
      </c>
      <c r="BE348" t="str">
        <f>T("9791164835362")</f>
        <v>9791164835362</v>
      </c>
      <c r="BF348" t="str">
        <f>T("D196240")</f>
        <v>D196240</v>
      </c>
      <c r="BG348" t="str">
        <f>T("BL 소설 e북 &gt; 역사/시대물")</f>
        <v>BL 소설 e북 &gt; 역사/시대물</v>
      </c>
    </row>
    <row r="349" spans="1:60">
      <c r="A349" t="s">
        <v>60</v>
      </c>
      <c r="B349" s="1">
        <v>46130</v>
      </c>
      <c r="C349">
        <v>2378038355</v>
      </c>
      <c r="D349">
        <v>2378038357</v>
      </c>
      <c r="E349" t="str">
        <f>T("[e북]백송의 꽃말 3권 (완결)")</f>
        <v>[e북]백송의 꽃말 3권 (완결)</v>
      </c>
      <c r="F349">
        <v>3</v>
      </c>
      <c r="G349" t="str">
        <f>T("리도반")</f>
        <v>리도반</v>
      </c>
      <c r="J349" t="str">
        <f>T("체셔")</f>
        <v>체셔</v>
      </c>
      <c r="K349" t="str">
        <f>T("[e북]백송의 꽃말")</f>
        <v>[e북]백송의 꽃말</v>
      </c>
      <c r="L349">
        <v>3000</v>
      </c>
      <c r="M349">
        <v>6000</v>
      </c>
      <c r="N349">
        <v>2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6000</v>
      </c>
      <c r="AJ349">
        <v>2</v>
      </c>
      <c r="AK349">
        <v>0</v>
      </c>
      <c r="AL349">
        <v>0</v>
      </c>
      <c r="AM349">
        <v>3000</v>
      </c>
      <c r="AN349">
        <v>0</v>
      </c>
      <c r="AO349">
        <v>3600</v>
      </c>
      <c r="AP349">
        <v>-360</v>
      </c>
      <c r="AQ349">
        <v>0</v>
      </c>
      <c r="AS349">
        <v>0</v>
      </c>
      <c r="AT349">
        <v>0</v>
      </c>
      <c r="AU349">
        <v>3600</v>
      </c>
      <c r="AV349">
        <v>-360</v>
      </c>
      <c r="AW349">
        <v>0</v>
      </c>
      <c r="AY349">
        <v>0</v>
      </c>
      <c r="AZ349">
        <v>0</v>
      </c>
      <c r="BA349">
        <v>4368</v>
      </c>
      <c r="BE349" t="str">
        <f>T("9791164833573")</f>
        <v>9791164833573</v>
      </c>
      <c r="BF349" t="str">
        <f>T("N146594")</f>
        <v>N146594</v>
      </c>
      <c r="BG349" t="str">
        <f>T("BL 소설 e북 &gt; 역사/시대물")</f>
        <v>BL 소설 e북 &gt; 역사/시대물</v>
      </c>
    </row>
    <row r="350" spans="1:60">
      <c r="A350" t="s">
        <v>60</v>
      </c>
      <c r="B350" s="1">
        <v>46130</v>
      </c>
      <c r="C350">
        <v>2378038355</v>
      </c>
      <c r="D350">
        <v>2378038355</v>
      </c>
      <c r="E350" t="str">
        <f>T("[e북]백송의 꽃말 1권")</f>
        <v>[e북]백송의 꽃말 1권</v>
      </c>
      <c r="F350">
        <v>1</v>
      </c>
      <c r="G350" t="str">
        <f>T("리도반")</f>
        <v>리도반</v>
      </c>
      <c r="J350" t="str">
        <f>T("체셔")</f>
        <v>체셔</v>
      </c>
      <c r="K350" t="str">
        <f>T("[e북]백송의 꽃말")</f>
        <v>[e북]백송의 꽃말</v>
      </c>
      <c r="L350">
        <v>3000</v>
      </c>
      <c r="M350">
        <v>3000</v>
      </c>
      <c r="N350">
        <v>1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3000</v>
      </c>
      <c r="AJ350">
        <v>1</v>
      </c>
      <c r="AK350">
        <v>0</v>
      </c>
      <c r="AL350">
        <v>0</v>
      </c>
      <c r="AM350">
        <v>3000</v>
      </c>
      <c r="AN350">
        <v>0</v>
      </c>
      <c r="AO350">
        <v>0</v>
      </c>
      <c r="AP350">
        <v>0</v>
      </c>
      <c r="AQ350">
        <v>0</v>
      </c>
      <c r="AS350">
        <v>0</v>
      </c>
      <c r="AT350">
        <v>0</v>
      </c>
      <c r="AV350">
        <v>0</v>
      </c>
      <c r="AW350">
        <v>0</v>
      </c>
      <c r="AY350">
        <v>0</v>
      </c>
      <c r="AZ350">
        <v>0</v>
      </c>
      <c r="BA350">
        <v>2100</v>
      </c>
      <c r="BE350" t="str">
        <f>T("9791164833559")</f>
        <v>9791164833559</v>
      </c>
      <c r="BF350" t="str">
        <f>T("N146592")</f>
        <v>N146592</v>
      </c>
      <c r="BG350" t="str">
        <f>T("BL 소설 e북 &gt; 역사/시대물")</f>
        <v>BL 소설 e북 &gt; 역사/시대물</v>
      </c>
    </row>
    <row r="351" spans="1:60">
      <c r="A351" t="s">
        <v>60</v>
      </c>
      <c r="B351" s="1">
        <v>46130</v>
      </c>
      <c r="C351">
        <v>2378038355</v>
      </c>
      <c r="D351">
        <v>2378043367</v>
      </c>
      <c r="E351" t="str">
        <f>T("[e북]백송의 꽃말 (외전)")</f>
        <v>[e북]백송의 꽃말 (외전)</v>
      </c>
      <c r="F351">
        <v>4</v>
      </c>
      <c r="G351" t="str">
        <f>T("리도반")</f>
        <v>리도반</v>
      </c>
      <c r="J351" t="str">
        <f>T("체셔")</f>
        <v>체셔</v>
      </c>
      <c r="K351" t="str">
        <f>T("[e북]백송의 꽃말")</f>
        <v>[e북]백송의 꽃말</v>
      </c>
      <c r="L351">
        <v>3000</v>
      </c>
      <c r="M351">
        <v>6000</v>
      </c>
      <c r="N351">
        <v>2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6000</v>
      </c>
      <c r="AJ351">
        <v>2</v>
      </c>
      <c r="AK351">
        <v>0</v>
      </c>
      <c r="AL351">
        <v>0</v>
      </c>
      <c r="AM351">
        <v>3000</v>
      </c>
      <c r="AN351">
        <v>0</v>
      </c>
      <c r="AO351">
        <v>3600</v>
      </c>
      <c r="AP351">
        <v>-360</v>
      </c>
      <c r="AQ351">
        <v>0</v>
      </c>
      <c r="AS351">
        <v>0</v>
      </c>
      <c r="AT351">
        <v>0</v>
      </c>
      <c r="AU351">
        <v>3600</v>
      </c>
      <c r="AV351">
        <v>-360</v>
      </c>
      <c r="AW351">
        <v>0</v>
      </c>
      <c r="AY351">
        <v>0</v>
      </c>
      <c r="AZ351">
        <v>0</v>
      </c>
      <c r="BA351">
        <v>4368</v>
      </c>
      <c r="BE351" t="str">
        <f>T("9791164833856")</f>
        <v>9791164833856</v>
      </c>
      <c r="BF351" t="str">
        <f>T("N217971")</f>
        <v>N217971</v>
      </c>
      <c r="BG351" t="str">
        <f>T("BL 소설 e북 &gt; 역사/시대물")</f>
        <v>BL 소설 e북 &gt; 역사/시대물</v>
      </c>
    </row>
    <row r="352" spans="1:60">
      <c r="A352" t="s">
        <v>60</v>
      </c>
      <c r="B352" s="1">
        <v>46130</v>
      </c>
      <c r="C352">
        <v>2378038355</v>
      </c>
      <c r="D352">
        <v>2378080102</v>
      </c>
      <c r="E352" t="str">
        <f>T("[e북]백송의 꽃말 (외전2)")</f>
        <v>[e북]백송의 꽃말 (외전2)</v>
      </c>
      <c r="F352">
        <v>5</v>
      </c>
      <c r="G352" t="str">
        <f>T("리도반")</f>
        <v>리도반</v>
      </c>
      <c r="J352" t="str">
        <f>T("체셔")</f>
        <v>체셔</v>
      </c>
      <c r="K352" t="str">
        <f>T("[e북]백송의 꽃말")</f>
        <v>[e북]백송의 꽃말</v>
      </c>
      <c r="L352">
        <v>2000</v>
      </c>
      <c r="M352">
        <v>6000</v>
      </c>
      <c r="N352">
        <v>3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6000</v>
      </c>
      <c r="AJ352">
        <v>3</v>
      </c>
      <c r="AK352">
        <v>0</v>
      </c>
      <c r="AL352">
        <v>0</v>
      </c>
      <c r="AM352">
        <v>2000</v>
      </c>
      <c r="AN352">
        <v>0</v>
      </c>
      <c r="AO352">
        <v>4800</v>
      </c>
      <c r="AP352">
        <v>-480</v>
      </c>
      <c r="AQ352">
        <v>0</v>
      </c>
      <c r="AS352">
        <v>0</v>
      </c>
      <c r="AT352">
        <v>0</v>
      </c>
      <c r="AU352">
        <v>4800</v>
      </c>
      <c r="AV352">
        <v>-480</v>
      </c>
      <c r="AW352">
        <v>0</v>
      </c>
      <c r="AY352">
        <v>0</v>
      </c>
      <c r="AZ352">
        <v>0</v>
      </c>
      <c r="BA352">
        <v>4424</v>
      </c>
      <c r="BE352" t="str">
        <f>T("9791164835362")</f>
        <v>9791164835362</v>
      </c>
      <c r="BF352" t="str">
        <f>T("D196240")</f>
        <v>D196240</v>
      </c>
      <c r="BG352" t="str">
        <f>T("BL 소설 e북 &gt; 역사/시대물")</f>
        <v>BL 소설 e북 &gt; 역사/시대물</v>
      </c>
    </row>
    <row r="353" spans="1:60">
      <c r="A353" t="s">
        <v>60</v>
      </c>
      <c r="B353" s="1">
        <v>46131</v>
      </c>
      <c r="C353">
        <v>2378038355</v>
      </c>
      <c r="D353">
        <v>2378038356</v>
      </c>
      <c r="E353" t="str">
        <f>T("[e북]백송의 꽃말 2권")</f>
        <v>[e북]백송의 꽃말 2권</v>
      </c>
      <c r="F353">
        <v>2</v>
      </c>
      <c r="G353" t="str">
        <f>T("리도반")</f>
        <v>리도반</v>
      </c>
      <c r="J353" t="str">
        <f>T("체셔")</f>
        <v>체셔</v>
      </c>
      <c r="K353" t="str">
        <f>T("[e북]백송의 꽃말")</f>
        <v>[e북]백송의 꽃말</v>
      </c>
      <c r="L353">
        <v>3000</v>
      </c>
      <c r="M353">
        <v>21000</v>
      </c>
      <c r="N353">
        <v>7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21000</v>
      </c>
      <c r="AJ353">
        <v>7</v>
      </c>
      <c r="AK353">
        <v>0</v>
      </c>
      <c r="AL353">
        <v>0</v>
      </c>
      <c r="AM353">
        <v>18000</v>
      </c>
      <c r="AN353">
        <v>0</v>
      </c>
      <c r="AO353">
        <v>3600</v>
      </c>
      <c r="AP353">
        <v>-360</v>
      </c>
      <c r="AQ353">
        <v>0</v>
      </c>
      <c r="AS353">
        <v>0</v>
      </c>
      <c r="AT353">
        <v>0</v>
      </c>
      <c r="AU353">
        <v>3600</v>
      </c>
      <c r="AV353">
        <v>-360</v>
      </c>
      <c r="AW353">
        <v>0</v>
      </c>
      <c r="AY353">
        <v>0</v>
      </c>
      <c r="AZ353">
        <v>0</v>
      </c>
      <c r="BA353">
        <v>14868</v>
      </c>
      <c r="BE353" t="str">
        <f>T("9791164833566")</f>
        <v>9791164833566</v>
      </c>
      <c r="BF353" t="str">
        <f>T("N146593")</f>
        <v>N146593</v>
      </c>
      <c r="BG353" t="str">
        <f>T("BL 소설 e북 &gt; 역사/시대물")</f>
        <v>BL 소설 e북 &gt; 역사/시대물</v>
      </c>
    </row>
    <row r="354" spans="1:60">
      <c r="A354" t="s">
        <v>60</v>
      </c>
      <c r="B354" s="1">
        <v>46131</v>
      </c>
      <c r="C354">
        <v>2378038355</v>
      </c>
      <c r="D354">
        <v>2378038357</v>
      </c>
      <c r="E354" t="str">
        <f>T("[e북]백송의 꽃말 3권 (완결)")</f>
        <v>[e북]백송의 꽃말 3권 (완결)</v>
      </c>
      <c r="F354">
        <v>3</v>
      </c>
      <c r="G354" t="str">
        <f>T("리도반")</f>
        <v>리도반</v>
      </c>
      <c r="J354" t="str">
        <f>T("체셔")</f>
        <v>체셔</v>
      </c>
      <c r="K354" t="str">
        <f>T("[e북]백송의 꽃말")</f>
        <v>[e북]백송의 꽃말</v>
      </c>
      <c r="L354">
        <v>3000</v>
      </c>
      <c r="M354">
        <v>21000</v>
      </c>
      <c r="N354">
        <v>7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21000</v>
      </c>
      <c r="AJ354">
        <v>7</v>
      </c>
      <c r="AK354">
        <v>0</v>
      </c>
      <c r="AL354">
        <v>0</v>
      </c>
      <c r="AM354">
        <v>15000</v>
      </c>
      <c r="AN354">
        <v>0</v>
      </c>
      <c r="AO354">
        <v>7200</v>
      </c>
      <c r="AP354">
        <v>-720</v>
      </c>
      <c r="AQ354">
        <v>0</v>
      </c>
      <c r="AS354">
        <v>0</v>
      </c>
      <c r="AT354">
        <v>0</v>
      </c>
      <c r="AU354">
        <v>7200</v>
      </c>
      <c r="AV354">
        <v>-720</v>
      </c>
      <c r="AW354">
        <v>0</v>
      </c>
      <c r="AY354">
        <v>0</v>
      </c>
      <c r="AZ354">
        <v>0</v>
      </c>
      <c r="BA354">
        <v>15036</v>
      </c>
      <c r="BE354" t="str">
        <f>T("9791164833573")</f>
        <v>9791164833573</v>
      </c>
      <c r="BF354" t="str">
        <f>T("N146594")</f>
        <v>N146594</v>
      </c>
      <c r="BG354" t="str">
        <f>T("BL 소설 e북 &gt; 역사/시대물")</f>
        <v>BL 소설 e북 &gt; 역사/시대물</v>
      </c>
    </row>
    <row r="355" spans="1:60">
      <c r="A355" t="s">
        <v>60</v>
      </c>
      <c r="B355" s="1">
        <v>46131</v>
      </c>
      <c r="C355">
        <v>2378038355</v>
      </c>
      <c r="D355">
        <v>2378038355</v>
      </c>
      <c r="E355" t="str">
        <f>T("[e북]백송의 꽃말 1권")</f>
        <v>[e북]백송의 꽃말 1권</v>
      </c>
      <c r="F355">
        <v>1</v>
      </c>
      <c r="G355" t="str">
        <f>T("리도반")</f>
        <v>리도반</v>
      </c>
      <c r="J355" t="str">
        <f>T("체셔")</f>
        <v>체셔</v>
      </c>
      <c r="K355" t="str">
        <f>T("[e북]백송의 꽃말")</f>
        <v>[e북]백송의 꽃말</v>
      </c>
      <c r="L355">
        <v>3000</v>
      </c>
      <c r="M355">
        <v>12000</v>
      </c>
      <c r="N355">
        <v>4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12000</v>
      </c>
      <c r="AJ355">
        <v>4</v>
      </c>
      <c r="AK355">
        <v>0</v>
      </c>
      <c r="AL355">
        <v>0</v>
      </c>
      <c r="AM355">
        <v>12000</v>
      </c>
      <c r="AN355">
        <v>0</v>
      </c>
      <c r="AO355">
        <v>0</v>
      </c>
      <c r="AP355">
        <v>0</v>
      </c>
      <c r="AQ355">
        <v>0</v>
      </c>
      <c r="AS355">
        <v>0</v>
      </c>
      <c r="AT355">
        <v>0</v>
      </c>
      <c r="AV355">
        <v>0</v>
      </c>
      <c r="AW355">
        <v>0</v>
      </c>
      <c r="AY355">
        <v>0</v>
      </c>
      <c r="AZ355">
        <v>0</v>
      </c>
      <c r="BA355">
        <v>8400</v>
      </c>
      <c r="BE355" t="str">
        <f>T("9791164833559")</f>
        <v>9791164833559</v>
      </c>
      <c r="BF355" t="str">
        <f>T("N146592")</f>
        <v>N146592</v>
      </c>
      <c r="BG355" t="str">
        <f>T("BL 소설 e북 &gt; 역사/시대물")</f>
        <v>BL 소설 e북 &gt; 역사/시대물</v>
      </c>
    </row>
    <row r="356" spans="1:60">
      <c r="A356" t="s">
        <v>60</v>
      </c>
      <c r="B356" s="1">
        <v>46131</v>
      </c>
      <c r="C356">
        <v>2378038355</v>
      </c>
      <c r="D356">
        <v>2378043367</v>
      </c>
      <c r="E356" t="str">
        <f>T("[e북]백송의 꽃말 (외전)")</f>
        <v>[e북]백송의 꽃말 (외전)</v>
      </c>
      <c r="F356">
        <v>4</v>
      </c>
      <c r="G356" t="str">
        <f>T("리도반")</f>
        <v>리도반</v>
      </c>
      <c r="J356" t="str">
        <f>T("체셔")</f>
        <v>체셔</v>
      </c>
      <c r="K356" t="str">
        <f>T("[e북]백송의 꽃말")</f>
        <v>[e북]백송의 꽃말</v>
      </c>
      <c r="L356">
        <v>3000</v>
      </c>
      <c r="M356">
        <v>9000</v>
      </c>
      <c r="N356">
        <v>3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9000</v>
      </c>
      <c r="AJ356">
        <v>3</v>
      </c>
      <c r="AK356">
        <v>0</v>
      </c>
      <c r="AL356">
        <v>0</v>
      </c>
      <c r="AM356">
        <v>6000</v>
      </c>
      <c r="AN356">
        <v>0</v>
      </c>
      <c r="AO356">
        <v>3600</v>
      </c>
      <c r="AP356">
        <v>-360</v>
      </c>
      <c r="AQ356">
        <v>0</v>
      </c>
      <c r="AS356">
        <v>0</v>
      </c>
      <c r="AT356">
        <v>0</v>
      </c>
      <c r="AU356">
        <v>3600</v>
      </c>
      <c r="AV356">
        <v>-360</v>
      </c>
      <c r="AW356">
        <v>0</v>
      </c>
      <c r="AY356">
        <v>0</v>
      </c>
      <c r="AZ356">
        <v>0</v>
      </c>
      <c r="BA356">
        <v>6468</v>
      </c>
      <c r="BE356" t="str">
        <f>T("9791164833856")</f>
        <v>9791164833856</v>
      </c>
      <c r="BF356" t="str">
        <f>T("N217971")</f>
        <v>N217971</v>
      </c>
      <c r="BG356" t="str">
        <f>T("BL 소설 e북 &gt; 역사/시대물")</f>
        <v>BL 소설 e북 &gt; 역사/시대물</v>
      </c>
    </row>
    <row r="357" spans="1:60">
      <c r="A357" t="s">
        <v>60</v>
      </c>
      <c r="B357" s="1">
        <v>46131</v>
      </c>
      <c r="C357">
        <v>2378038355</v>
      </c>
      <c r="D357">
        <v>2378080102</v>
      </c>
      <c r="E357" t="str">
        <f>T("[e북]백송의 꽃말 (외전2)")</f>
        <v>[e북]백송의 꽃말 (외전2)</v>
      </c>
      <c r="F357">
        <v>5</v>
      </c>
      <c r="G357" t="str">
        <f>T("리도반")</f>
        <v>리도반</v>
      </c>
      <c r="J357" t="str">
        <f>T("체셔")</f>
        <v>체셔</v>
      </c>
      <c r="K357" t="str">
        <f>T("[e북]백송의 꽃말")</f>
        <v>[e북]백송의 꽃말</v>
      </c>
      <c r="L357">
        <v>2000</v>
      </c>
      <c r="M357">
        <v>4000</v>
      </c>
      <c r="N357">
        <v>2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4000</v>
      </c>
      <c r="AJ357">
        <v>2</v>
      </c>
      <c r="AK357">
        <v>0</v>
      </c>
      <c r="AL357">
        <v>0</v>
      </c>
      <c r="AM357">
        <v>4000</v>
      </c>
      <c r="AN357">
        <v>0</v>
      </c>
      <c r="AO357">
        <v>0</v>
      </c>
      <c r="AP357">
        <v>0</v>
      </c>
      <c r="AQ357">
        <v>0</v>
      </c>
      <c r="AS357">
        <v>0</v>
      </c>
      <c r="AT357">
        <v>0</v>
      </c>
      <c r="AV357">
        <v>0</v>
      </c>
      <c r="AW357">
        <v>0</v>
      </c>
      <c r="AY357">
        <v>0</v>
      </c>
      <c r="AZ357">
        <v>0</v>
      </c>
      <c r="BA357">
        <v>2800</v>
      </c>
      <c r="BE357" t="str">
        <f>T("9791164835362")</f>
        <v>9791164835362</v>
      </c>
      <c r="BF357" t="str">
        <f>T("D196240")</f>
        <v>D196240</v>
      </c>
      <c r="BG357" t="str">
        <f>T("BL 소설 e북 &gt; 역사/시대물")</f>
        <v>BL 소설 e북 &gt; 역사/시대물</v>
      </c>
    </row>
    <row r="358" spans="1:60">
      <c r="A358" t="s">
        <v>60</v>
      </c>
      <c r="B358" s="1">
        <v>46130</v>
      </c>
      <c r="C358">
        <v>2378004859</v>
      </c>
      <c r="D358">
        <v>2378004859</v>
      </c>
      <c r="E358" t="str">
        <f>T("[e북]백정")</f>
        <v>[e북]백정</v>
      </c>
      <c r="F358">
        <v>1</v>
      </c>
      <c r="G358" t="str">
        <f>T("마뇽")</f>
        <v>마뇽</v>
      </c>
      <c r="J358" t="str">
        <f>T("시계토끼")</f>
        <v>시계토끼</v>
      </c>
      <c r="K358" t="str">
        <f>T("[e북]백정")</f>
        <v>[e북]백정</v>
      </c>
      <c r="L358">
        <v>2300</v>
      </c>
      <c r="M358">
        <v>2300</v>
      </c>
      <c r="N358">
        <v>1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2300</v>
      </c>
      <c r="AJ358">
        <v>1</v>
      </c>
      <c r="AK358">
        <v>0</v>
      </c>
      <c r="AL358">
        <v>0</v>
      </c>
      <c r="AM358">
        <v>0</v>
      </c>
      <c r="AN358">
        <v>0</v>
      </c>
      <c r="AO358">
        <v>2760</v>
      </c>
      <c r="AP358">
        <v>-276</v>
      </c>
      <c r="AQ358">
        <v>0</v>
      </c>
      <c r="AS358">
        <v>0</v>
      </c>
      <c r="AT358">
        <v>0</v>
      </c>
      <c r="AU358">
        <v>2760</v>
      </c>
      <c r="AV358">
        <v>-276</v>
      </c>
      <c r="AW358">
        <v>0</v>
      </c>
      <c r="AY358">
        <v>0</v>
      </c>
      <c r="AZ358">
        <v>0</v>
      </c>
      <c r="BA358">
        <v>1738.8</v>
      </c>
      <c r="BC358" t="str">
        <f>T("0000000000000")</f>
        <v>0000000000000</v>
      </c>
      <c r="BE358" t="str">
        <f>T("9791164090082")</f>
        <v>9791164090082</v>
      </c>
      <c r="BF358" t="str">
        <f>T("E342801")</f>
        <v>E342801</v>
      </c>
      <c r="BG358" t="str">
        <f>T("로맨스 e북 &gt; 역사/시대물")</f>
        <v>로맨스 e북 &gt; 역사/시대물</v>
      </c>
      <c r="BH358" t="str">
        <f>T("로맨스 e북 &gt; 19+")</f>
        <v>로맨스 e북 &gt; 19+</v>
      </c>
    </row>
    <row r="359" spans="1:60">
      <c r="A359" t="s">
        <v>60</v>
      </c>
      <c r="B359" s="1">
        <v>46131</v>
      </c>
      <c r="C359">
        <v>2378004859</v>
      </c>
      <c r="D359">
        <v>2378004859</v>
      </c>
      <c r="E359" t="str">
        <f>T("[e북]백정")</f>
        <v>[e북]백정</v>
      </c>
      <c r="F359">
        <v>1</v>
      </c>
      <c r="G359" t="str">
        <f>T("마뇽")</f>
        <v>마뇽</v>
      </c>
      <c r="J359" t="str">
        <f>T("시계토끼")</f>
        <v>시계토끼</v>
      </c>
      <c r="K359" t="str">
        <f>T("[e북]백정")</f>
        <v>[e북]백정</v>
      </c>
      <c r="L359">
        <v>2300</v>
      </c>
      <c r="M359">
        <v>2300</v>
      </c>
      <c r="N359">
        <v>1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2300</v>
      </c>
      <c r="AJ359">
        <v>1</v>
      </c>
      <c r="AK359">
        <v>0</v>
      </c>
      <c r="AL359">
        <v>0</v>
      </c>
      <c r="AM359">
        <v>0</v>
      </c>
      <c r="AN359">
        <v>0</v>
      </c>
      <c r="AO359">
        <v>2760</v>
      </c>
      <c r="AP359">
        <v>-276</v>
      </c>
      <c r="AQ359">
        <v>0</v>
      </c>
      <c r="AS359">
        <v>0</v>
      </c>
      <c r="AT359">
        <v>0</v>
      </c>
      <c r="AU359">
        <v>2760</v>
      </c>
      <c r="AV359">
        <v>-276</v>
      </c>
      <c r="AW359">
        <v>0</v>
      </c>
      <c r="AY359">
        <v>0</v>
      </c>
      <c r="AZ359">
        <v>0</v>
      </c>
      <c r="BA359">
        <v>1738.8</v>
      </c>
      <c r="BC359" t="str">
        <f>T("0000000000000")</f>
        <v>0000000000000</v>
      </c>
      <c r="BE359" t="str">
        <f>T("9791164090082")</f>
        <v>9791164090082</v>
      </c>
      <c r="BF359" t="str">
        <f>T("E342801")</f>
        <v>E342801</v>
      </c>
      <c r="BG359" t="str">
        <f>T("로맨스 e북 &gt; 역사/시대물")</f>
        <v>로맨스 e북 &gt; 역사/시대물</v>
      </c>
      <c r="BH359" t="str">
        <f>T("로맨스 e북 &gt; 19+")</f>
        <v>로맨스 e북 &gt; 19+</v>
      </c>
    </row>
    <row r="360" spans="1:60">
      <c r="A360" t="s">
        <v>60</v>
      </c>
      <c r="B360" s="1">
        <v>46131</v>
      </c>
      <c r="C360">
        <v>2378004859</v>
      </c>
      <c r="D360">
        <v>2378007619</v>
      </c>
      <c r="E360" t="str">
        <f>T("[e북]백정 (외전)")</f>
        <v>[e북]백정 (외전)</v>
      </c>
      <c r="F360">
        <v>2</v>
      </c>
      <c r="G360" t="str">
        <f>T("마뇽")</f>
        <v>마뇽</v>
      </c>
      <c r="J360" t="str">
        <f>T("시계토끼")</f>
        <v>시계토끼</v>
      </c>
      <c r="K360" t="str">
        <f>T("[e북]백정")</f>
        <v>[e북]백정</v>
      </c>
      <c r="L360">
        <v>500</v>
      </c>
      <c r="M360">
        <v>500</v>
      </c>
      <c r="N360">
        <v>1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500</v>
      </c>
      <c r="AJ360">
        <v>1</v>
      </c>
      <c r="AK360">
        <v>0</v>
      </c>
      <c r="AL360">
        <v>0</v>
      </c>
      <c r="AM360">
        <v>500</v>
      </c>
      <c r="AN360">
        <v>0</v>
      </c>
      <c r="AO360">
        <v>0</v>
      </c>
      <c r="AP360">
        <v>0</v>
      </c>
      <c r="AQ360">
        <v>0</v>
      </c>
      <c r="AS360">
        <v>0</v>
      </c>
      <c r="AT360">
        <v>0</v>
      </c>
      <c r="AV360">
        <v>0</v>
      </c>
      <c r="AW360">
        <v>0</v>
      </c>
      <c r="AY360">
        <v>0</v>
      </c>
      <c r="AZ360">
        <v>0</v>
      </c>
      <c r="BA360">
        <v>350</v>
      </c>
      <c r="BC360" t="str">
        <f>T("0000000000000")</f>
        <v>0000000000000</v>
      </c>
      <c r="BE360" t="str">
        <f>T("9791164090648")</f>
        <v>9791164090648</v>
      </c>
      <c r="BF360" t="str">
        <f>T("E415993")</f>
        <v>E415993</v>
      </c>
      <c r="BG360" t="str">
        <f>T("로맨스 e북 &gt; 역사/시대물")</f>
        <v>로맨스 e북 &gt; 역사/시대물</v>
      </c>
      <c r="BH360" t="str">
        <f>T("로맨스 e북 &gt; 19+")</f>
        <v>로맨스 e북 &gt; 19+</v>
      </c>
    </row>
    <row r="361" spans="1:60">
      <c r="A361" t="s">
        <v>60</v>
      </c>
      <c r="B361" s="1">
        <v>46129</v>
      </c>
      <c r="C361">
        <v>2378028904</v>
      </c>
      <c r="D361">
        <v>2378028904</v>
      </c>
      <c r="E361" t="str">
        <f>T("[e북]벨그레이브 후작가의 사정 1권")</f>
        <v>[e북]벨그레이브 후작가의 사정 1권</v>
      </c>
      <c r="F361">
        <v>1</v>
      </c>
      <c r="G361" t="str">
        <f>T("님도르신")</f>
        <v>님도르신</v>
      </c>
      <c r="J361" t="str">
        <f>T("시계토끼")</f>
        <v>시계토끼</v>
      </c>
      <c r="K361" t="str">
        <f>T("[e북]벨그레이브 후작가의 사정")</f>
        <v>[e북]벨그레이브 후작가의 사정</v>
      </c>
      <c r="L361">
        <v>2000</v>
      </c>
      <c r="M361">
        <v>2000</v>
      </c>
      <c r="N361">
        <v>1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2000</v>
      </c>
      <c r="AJ361">
        <v>1</v>
      </c>
      <c r="AK361">
        <v>0</v>
      </c>
      <c r="AL361">
        <v>0</v>
      </c>
      <c r="AM361">
        <v>2000</v>
      </c>
      <c r="AN361">
        <v>0</v>
      </c>
      <c r="AO361">
        <v>0</v>
      </c>
      <c r="AP361">
        <v>0</v>
      </c>
      <c r="AQ361">
        <v>0</v>
      </c>
      <c r="AS361">
        <v>0</v>
      </c>
      <c r="AT361">
        <v>0</v>
      </c>
      <c r="AV361">
        <v>0</v>
      </c>
      <c r="AW361">
        <v>0</v>
      </c>
      <c r="AY361">
        <v>0</v>
      </c>
      <c r="AZ361">
        <v>0</v>
      </c>
      <c r="BA361">
        <v>1400</v>
      </c>
      <c r="BE361" t="str">
        <f>T("9791164095254")</f>
        <v>9791164095254</v>
      </c>
      <c r="BF361" t="str">
        <f>T("E842541")</f>
        <v>E842541</v>
      </c>
      <c r="BG361" t="str">
        <f>T("로맨스 e북 &gt; 섹슈얼 로맨스")</f>
        <v>로맨스 e북 &gt; 섹슈얼 로맨스</v>
      </c>
    </row>
    <row r="362" spans="1:60">
      <c r="A362" t="s">
        <v>60</v>
      </c>
      <c r="B362" s="1">
        <v>46129</v>
      </c>
      <c r="C362">
        <v>2378009934</v>
      </c>
      <c r="D362">
        <v>2378009935</v>
      </c>
      <c r="E362" t="str">
        <f>T("[e북][체험판] 별의 몰락")</f>
        <v>[e북][체험판] 별의 몰락</v>
      </c>
      <c r="F362">
        <v>1</v>
      </c>
      <c r="G362" t="str">
        <f>T("꽃비밀림")</f>
        <v>꽃비밀림</v>
      </c>
      <c r="J362" t="str">
        <f>T("체셔")</f>
        <v>체셔</v>
      </c>
      <c r="K362" t="str">
        <f>T("[e북]별의 몰락")</f>
        <v>[e북]별의 몰락</v>
      </c>
      <c r="L362">
        <v>0</v>
      </c>
      <c r="M362">
        <v>0</v>
      </c>
      <c r="N362">
        <v>0</v>
      </c>
      <c r="O362">
        <v>1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1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S362">
        <v>0</v>
      </c>
      <c r="AT362">
        <v>0</v>
      </c>
      <c r="AV362">
        <v>0</v>
      </c>
      <c r="AW362">
        <v>0</v>
      </c>
      <c r="AY362">
        <v>0</v>
      </c>
      <c r="AZ362">
        <v>0</v>
      </c>
      <c r="BA362">
        <v>0</v>
      </c>
      <c r="BC362" t="str">
        <f>T("0000000000000")</f>
        <v>0000000000000</v>
      </c>
      <c r="BE362" t="str">
        <f>T("9791164831432")</f>
        <v>9791164831432</v>
      </c>
      <c r="BF362" t="str">
        <f>T("E460523")</f>
        <v>E460523</v>
      </c>
      <c r="BG362" t="str">
        <f>T("BL 소설 e북 &gt; 현대물")</f>
        <v>BL 소설 e북 &gt; 현대물</v>
      </c>
    </row>
    <row r="363" spans="1:60">
      <c r="A363" t="s">
        <v>60</v>
      </c>
      <c r="B363" s="1">
        <v>46129</v>
      </c>
      <c r="C363">
        <v>2378038489</v>
      </c>
      <c r="D363">
        <v>2378038489</v>
      </c>
      <c r="E363" t="str">
        <f>T("[e북]복숭아꽃 지는 곳의 노래 1권")</f>
        <v>[e북]복숭아꽃 지는 곳의 노래 1권</v>
      </c>
      <c r="F363">
        <v>1</v>
      </c>
      <c r="G363" t="str">
        <f>T("처처칭한(侧侧轻寒)")</f>
        <v>처처칭한(侧侧轻寒)</v>
      </c>
      <c r="J363" t="str">
        <f>T("시계토끼")</f>
        <v>시계토끼</v>
      </c>
      <c r="K363" t="str">
        <f>T("[e북]복숭아꽃 지는 곳의 노래")</f>
        <v>[e북]복숭아꽃 지는 곳의 노래</v>
      </c>
      <c r="L363">
        <v>0</v>
      </c>
      <c r="M363">
        <v>0</v>
      </c>
      <c r="N363">
        <v>0</v>
      </c>
      <c r="O363">
        <v>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1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S363">
        <v>0</v>
      </c>
      <c r="AT363">
        <v>0</v>
      </c>
      <c r="AV363">
        <v>0</v>
      </c>
      <c r="AW363">
        <v>0</v>
      </c>
      <c r="AY363">
        <v>0</v>
      </c>
      <c r="AZ363">
        <v>0</v>
      </c>
      <c r="BA363">
        <v>0</v>
      </c>
      <c r="BE363" t="str">
        <f>T("9791164095322")</f>
        <v>9791164095322</v>
      </c>
      <c r="BF363" t="str">
        <f>T("E829088")</f>
        <v>E829088</v>
      </c>
      <c r="BG363" t="str">
        <f>T("로판 e북 &gt; 해외 소설")</f>
        <v>로판 e북 &gt; 해외 소설</v>
      </c>
    </row>
    <row r="364" spans="1:60">
      <c r="A364" t="s">
        <v>60</v>
      </c>
      <c r="B364" s="1">
        <v>46129</v>
      </c>
      <c r="C364">
        <v>2378005367</v>
      </c>
      <c r="D364">
        <v>2378005368</v>
      </c>
      <c r="E364" t="str">
        <f>T("[e북]불사의 포식자 2권")</f>
        <v>[e북]불사의 포식자 2권</v>
      </c>
      <c r="F364">
        <v>2</v>
      </c>
      <c r="G364" t="str">
        <f>T("허풍선")</f>
        <v>허풍선</v>
      </c>
      <c r="J364" t="str">
        <f>T("매드햇")</f>
        <v>매드햇</v>
      </c>
      <c r="K364" t="str">
        <f>T("[e북]불사의 포식자")</f>
        <v>[e북]불사의 포식자</v>
      </c>
      <c r="L364">
        <v>3000</v>
      </c>
      <c r="M364">
        <v>0</v>
      </c>
      <c r="N364">
        <v>0</v>
      </c>
      <c r="O364">
        <v>0</v>
      </c>
      <c r="P364">
        <v>900</v>
      </c>
      <c r="Q364">
        <v>1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900</v>
      </c>
      <c r="AJ364">
        <v>1</v>
      </c>
      <c r="AK364">
        <v>0</v>
      </c>
      <c r="AL364">
        <v>0</v>
      </c>
      <c r="AM364">
        <v>0</v>
      </c>
      <c r="AN364">
        <v>0</v>
      </c>
      <c r="AO364">
        <v>1080</v>
      </c>
      <c r="AP364">
        <v>-108</v>
      </c>
      <c r="AQ364">
        <v>0</v>
      </c>
      <c r="AS364">
        <v>0</v>
      </c>
      <c r="AT364">
        <v>0</v>
      </c>
      <c r="AU364">
        <v>1080</v>
      </c>
      <c r="AV364">
        <v>-108</v>
      </c>
      <c r="AW364">
        <v>0</v>
      </c>
      <c r="AY364">
        <v>0</v>
      </c>
      <c r="AZ364">
        <v>0</v>
      </c>
      <c r="BA364">
        <v>680.4</v>
      </c>
      <c r="BC364" t="str">
        <f>T("0000000000000")</f>
        <v>0000000000000</v>
      </c>
      <c r="BE364" t="str">
        <f>T("9791162585948")</f>
        <v>9791162585948</v>
      </c>
      <c r="BF364" t="str">
        <f>T("E343473")</f>
        <v>E343473</v>
      </c>
      <c r="BG364" t="str">
        <f>T("판타지 e북 &gt; 현대 판타지")</f>
        <v>판타지 e북 &gt; 현대 판타지</v>
      </c>
    </row>
    <row r="365" spans="1:60">
      <c r="A365" t="s">
        <v>60</v>
      </c>
      <c r="B365" s="1">
        <v>46129</v>
      </c>
      <c r="C365">
        <v>2378073482</v>
      </c>
      <c r="D365">
        <v>2378073482</v>
      </c>
      <c r="E365" t="str">
        <f>T("[e북]불사자에게는 수호령이 있었다 1권")</f>
        <v>[e북]불사자에게는 수호령이 있었다 1권</v>
      </c>
      <c r="F365">
        <v>1</v>
      </c>
      <c r="G365" t="str">
        <f>T("덴피")</f>
        <v>덴피</v>
      </c>
      <c r="J365" t="str">
        <f>T("매드햇")</f>
        <v>매드햇</v>
      </c>
      <c r="K365" t="str">
        <f>T("[e북]불사자에게는 수호령이 있었다")</f>
        <v>[e북]불사자에게는 수호령이 있었다</v>
      </c>
      <c r="L365">
        <v>0</v>
      </c>
      <c r="M365">
        <v>0</v>
      </c>
      <c r="N365">
        <v>0</v>
      </c>
      <c r="O365">
        <v>2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2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S365">
        <v>0</v>
      </c>
      <c r="AT365">
        <v>0</v>
      </c>
      <c r="AV365">
        <v>0</v>
      </c>
      <c r="AW365">
        <v>0</v>
      </c>
      <c r="AY365">
        <v>0</v>
      </c>
      <c r="AZ365">
        <v>0</v>
      </c>
      <c r="BA365">
        <v>0</v>
      </c>
      <c r="BE365" t="str">
        <f>T("9791137010291")</f>
        <v>9791137010291</v>
      </c>
      <c r="BF365" t="str">
        <f>T("B030884")</f>
        <v>B030884</v>
      </c>
      <c r="BG365" t="str">
        <f>T("판타지 e북 &gt; 퓨전 판타지")</f>
        <v>판타지 e북 &gt; 퓨전 판타지</v>
      </c>
    </row>
    <row r="366" spans="1:60">
      <c r="A366" t="s">
        <v>60</v>
      </c>
      <c r="B366" s="1">
        <v>46129</v>
      </c>
      <c r="C366">
        <v>2378073482</v>
      </c>
      <c r="D366">
        <v>2378073486</v>
      </c>
      <c r="E366" t="str">
        <f>T("[e북]불사자에게는 수호령이 있었다 5권")</f>
        <v>[e북]불사자에게는 수호령이 있었다 5권</v>
      </c>
      <c r="F366">
        <v>5</v>
      </c>
      <c r="G366" t="str">
        <f>T("덴피")</f>
        <v>덴피</v>
      </c>
      <c r="J366" t="str">
        <f>T("매드햇")</f>
        <v>매드햇</v>
      </c>
      <c r="K366" t="str">
        <f>T("[e북]불사자에게는 수호령이 있었다")</f>
        <v>[e북]불사자에게는 수호령이 있었다</v>
      </c>
      <c r="L366">
        <v>3000</v>
      </c>
      <c r="M366">
        <v>3000</v>
      </c>
      <c r="N366">
        <v>1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3000</v>
      </c>
      <c r="AJ366">
        <v>1</v>
      </c>
      <c r="AK366">
        <v>0</v>
      </c>
      <c r="AL366">
        <v>0</v>
      </c>
      <c r="AM366">
        <v>3000</v>
      </c>
      <c r="AN366">
        <v>0</v>
      </c>
      <c r="AO366">
        <v>0</v>
      </c>
      <c r="AP366">
        <v>0</v>
      </c>
      <c r="AQ366">
        <v>0</v>
      </c>
      <c r="AS366">
        <v>0</v>
      </c>
      <c r="AT366">
        <v>0</v>
      </c>
      <c r="AV366">
        <v>0</v>
      </c>
      <c r="AW366">
        <v>0</v>
      </c>
      <c r="AY366">
        <v>0</v>
      </c>
      <c r="AZ366">
        <v>0</v>
      </c>
      <c r="BA366">
        <v>2100</v>
      </c>
      <c r="BE366" t="str">
        <f>T("9791137010338")</f>
        <v>9791137010338</v>
      </c>
      <c r="BF366" t="str">
        <f>T("B030888")</f>
        <v>B030888</v>
      </c>
      <c r="BG366" t="str">
        <f>T("판타지 e북 &gt; 퓨전 판타지")</f>
        <v>판타지 e북 &gt; 퓨전 판타지</v>
      </c>
    </row>
    <row r="367" spans="1:60">
      <c r="A367" t="s">
        <v>60</v>
      </c>
      <c r="B367" s="1">
        <v>46129</v>
      </c>
      <c r="C367">
        <v>2378073482</v>
      </c>
      <c r="D367">
        <v>2378073487</v>
      </c>
      <c r="E367" t="str">
        <f>T("[e북]불사자에게는 수호령이 있었다 6권")</f>
        <v>[e북]불사자에게는 수호령이 있었다 6권</v>
      </c>
      <c r="F367">
        <v>6</v>
      </c>
      <c r="G367" t="str">
        <f>T("덴피")</f>
        <v>덴피</v>
      </c>
      <c r="J367" t="str">
        <f>T("매드햇")</f>
        <v>매드햇</v>
      </c>
      <c r="K367" t="str">
        <f>T("[e북]불사자에게는 수호령이 있었다")</f>
        <v>[e북]불사자에게는 수호령이 있었다</v>
      </c>
      <c r="L367">
        <v>3000</v>
      </c>
      <c r="M367">
        <v>3000</v>
      </c>
      <c r="N367">
        <v>1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3000</v>
      </c>
      <c r="AJ367">
        <v>1</v>
      </c>
      <c r="AK367">
        <v>0</v>
      </c>
      <c r="AL367">
        <v>0</v>
      </c>
      <c r="AM367">
        <v>3000</v>
      </c>
      <c r="AN367">
        <v>0</v>
      </c>
      <c r="AO367">
        <v>0</v>
      </c>
      <c r="AP367">
        <v>0</v>
      </c>
      <c r="AQ367">
        <v>0</v>
      </c>
      <c r="AS367">
        <v>0</v>
      </c>
      <c r="AT367">
        <v>0</v>
      </c>
      <c r="AV367">
        <v>0</v>
      </c>
      <c r="AW367">
        <v>0</v>
      </c>
      <c r="AY367">
        <v>0</v>
      </c>
      <c r="AZ367">
        <v>0</v>
      </c>
      <c r="BA367">
        <v>2100</v>
      </c>
      <c r="BE367" t="str">
        <f>T("9791137010345")</f>
        <v>9791137010345</v>
      </c>
      <c r="BF367" t="str">
        <f>T("B030889")</f>
        <v>B030889</v>
      </c>
      <c r="BG367" t="str">
        <f>T("판타지 e북 &gt; 퓨전 판타지")</f>
        <v>판타지 e북 &gt; 퓨전 판타지</v>
      </c>
    </row>
    <row r="368" spans="1:60">
      <c r="A368" t="s">
        <v>60</v>
      </c>
      <c r="B368" s="1">
        <v>46130</v>
      </c>
      <c r="C368">
        <v>2378073482</v>
      </c>
      <c r="D368">
        <v>2378073485</v>
      </c>
      <c r="E368" t="str">
        <f>T("[e북]불사자에게는 수호령이 있었다 4권")</f>
        <v>[e북]불사자에게는 수호령이 있었다 4권</v>
      </c>
      <c r="F368">
        <v>4</v>
      </c>
      <c r="G368" t="str">
        <f>T("덴피")</f>
        <v>덴피</v>
      </c>
      <c r="J368" t="str">
        <f>T("매드햇")</f>
        <v>매드햇</v>
      </c>
      <c r="K368" t="str">
        <f>T("[e북]불사자에게는 수호령이 있었다")</f>
        <v>[e북]불사자에게는 수호령이 있었다</v>
      </c>
      <c r="L368">
        <v>3000</v>
      </c>
      <c r="M368">
        <v>3000</v>
      </c>
      <c r="N368">
        <v>1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3000</v>
      </c>
      <c r="AJ368">
        <v>1</v>
      </c>
      <c r="AK368">
        <v>0</v>
      </c>
      <c r="AL368">
        <v>0</v>
      </c>
      <c r="AM368">
        <v>3000</v>
      </c>
      <c r="AN368">
        <v>0</v>
      </c>
      <c r="AO368">
        <v>0</v>
      </c>
      <c r="AP368">
        <v>0</v>
      </c>
      <c r="AQ368">
        <v>0</v>
      </c>
      <c r="AS368">
        <v>0</v>
      </c>
      <c r="AT368">
        <v>0</v>
      </c>
      <c r="AV368">
        <v>0</v>
      </c>
      <c r="AW368">
        <v>0</v>
      </c>
      <c r="AY368">
        <v>0</v>
      </c>
      <c r="AZ368">
        <v>0</v>
      </c>
      <c r="BA368">
        <v>2100</v>
      </c>
      <c r="BE368" t="str">
        <f>T("9791137010321")</f>
        <v>9791137010321</v>
      </c>
      <c r="BF368" t="str">
        <f>T("B030887")</f>
        <v>B030887</v>
      </c>
      <c r="BG368" t="str">
        <f>T("판타지 e북 &gt; 퓨전 판타지")</f>
        <v>판타지 e북 &gt; 퓨전 판타지</v>
      </c>
    </row>
    <row r="369" spans="1:59">
      <c r="A369" t="s">
        <v>60</v>
      </c>
      <c r="B369" s="1">
        <v>46130</v>
      </c>
      <c r="C369">
        <v>2378073482</v>
      </c>
      <c r="D369">
        <v>2378073486</v>
      </c>
      <c r="E369" t="str">
        <f>T("[e북]불사자에게는 수호령이 있었다 5권")</f>
        <v>[e북]불사자에게는 수호령이 있었다 5권</v>
      </c>
      <c r="F369">
        <v>5</v>
      </c>
      <c r="G369" t="str">
        <f>T("덴피")</f>
        <v>덴피</v>
      </c>
      <c r="J369" t="str">
        <f>T("매드햇")</f>
        <v>매드햇</v>
      </c>
      <c r="K369" t="str">
        <f>T("[e북]불사자에게는 수호령이 있었다")</f>
        <v>[e북]불사자에게는 수호령이 있었다</v>
      </c>
      <c r="L369">
        <v>3000</v>
      </c>
      <c r="M369">
        <v>3000</v>
      </c>
      <c r="N369">
        <v>1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3000</v>
      </c>
      <c r="AJ369">
        <v>1</v>
      </c>
      <c r="AK369">
        <v>0</v>
      </c>
      <c r="AL369">
        <v>0</v>
      </c>
      <c r="AM369">
        <v>3000</v>
      </c>
      <c r="AN369">
        <v>0</v>
      </c>
      <c r="AO369">
        <v>0</v>
      </c>
      <c r="AP369">
        <v>0</v>
      </c>
      <c r="AQ369">
        <v>0</v>
      </c>
      <c r="AS369">
        <v>0</v>
      </c>
      <c r="AT369">
        <v>0</v>
      </c>
      <c r="AV369">
        <v>0</v>
      </c>
      <c r="AW369">
        <v>0</v>
      </c>
      <c r="AY369">
        <v>0</v>
      </c>
      <c r="AZ369">
        <v>0</v>
      </c>
      <c r="BA369">
        <v>2100</v>
      </c>
      <c r="BE369" t="str">
        <f>T("9791137010338")</f>
        <v>9791137010338</v>
      </c>
      <c r="BF369" t="str">
        <f>T("B030888")</f>
        <v>B030888</v>
      </c>
      <c r="BG369" t="str">
        <f>T("판타지 e북 &gt; 퓨전 판타지")</f>
        <v>판타지 e북 &gt; 퓨전 판타지</v>
      </c>
    </row>
    <row r="370" spans="1:59">
      <c r="A370" t="s">
        <v>60</v>
      </c>
      <c r="B370" s="1">
        <v>46130</v>
      </c>
      <c r="C370">
        <v>2378073482</v>
      </c>
      <c r="D370">
        <v>2378073487</v>
      </c>
      <c r="E370" t="str">
        <f>T("[e북]불사자에게는 수호령이 있었다 6권")</f>
        <v>[e북]불사자에게는 수호령이 있었다 6권</v>
      </c>
      <c r="F370">
        <v>6</v>
      </c>
      <c r="G370" t="str">
        <f>T("덴피")</f>
        <v>덴피</v>
      </c>
      <c r="J370" t="str">
        <f>T("매드햇")</f>
        <v>매드햇</v>
      </c>
      <c r="K370" t="str">
        <f>T("[e북]불사자에게는 수호령이 있었다")</f>
        <v>[e북]불사자에게는 수호령이 있었다</v>
      </c>
      <c r="L370">
        <v>3000</v>
      </c>
      <c r="M370">
        <v>3000</v>
      </c>
      <c r="N370">
        <v>1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3000</v>
      </c>
      <c r="AJ370">
        <v>1</v>
      </c>
      <c r="AK370">
        <v>0</v>
      </c>
      <c r="AL370">
        <v>0</v>
      </c>
      <c r="AM370">
        <v>3000</v>
      </c>
      <c r="AN370">
        <v>0</v>
      </c>
      <c r="AO370">
        <v>0</v>
      </c>
      <c r="AP370">
        <v>0</v>
      </c>
      <c r="AQ370">
        <v>0</v>
      </c>
      <c r="AS370">
        <v>0</v>
      </c>
      <c r="AT370">
        <v>0</v>
      </c>
      <c r="AV370">
        <v>0</v>
      </c>
      <c r="AW370">
        <v>0</v>
      </c>
      <c r="AY370">
        <v>0</v>
      </c>
      <c r="AZ370">
        <v>0</v>
      </c>
      <c r="BA370">
        <v>2100</v>
      </c>
      <c r="BE370" t="str">
        <f>T("9791137010345")</f>
        <v>9791137010345</v>
      </c>
      <c r="BF370" t="str">
        <f>T("B030889")</f>
        <v>B030889</v>
      </c>
      <c r="BG370" t="str">
        <f>T("판타지 e북 &gt; 퓨전 판타지")</f>
        <v>판타지 e북 &gt; 퓨전 판타지</v>
      </c>
    </row>
    <row r="371" spans="1:59">
      <c r="A371" t="s">
        <v>60</v>
      </c>
      <c r="B371" s="1">
        <v>46130</v>
      </c>
      <c r="C371">
        <v>2378073482</v>
      </c>
      <c r="D371">
        <v>2378073482</v>
      </c>
      <c r="E371" t="str">
        <f>T("[e북]불사자에게는 수호령이 있었다 1권")</f>
        <v>[e북]불사자에게는 수호령이 있었다 1권</v>
      </c>
      <c r="F371">
        <v>1</v>
      </c>
      <c r="G371" t="str">
        <f>T("덴피")</f>
        <v>덴피</v>
      </c>
      <c r="J371" t="str">
        <f>T("매드햇")</f>
        <v>매드햇</v>
      </c>
      <c r="K371" t="str">
        <f>T("[e북]불사자에게는 수호령이 있었다")</f>
        <v>[e북]불사자에게는 수호령이 있었다</v>
      </c>
      <c r="L371">
        <v>0</v>
      </c>
      <c r="M371">
        <v>0</v>
      </c>
      <c r="N371">
        <v>0</v>
      </c>
      <c r="O371">
        <v>2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2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S371">
        <v>0</v>
      </c>
      <c r="AT371">
        <v>0</v>
      </c>
      <c r="AV371">
        <v>0</v>
      </c>
      <c r="AW371">
        <v>0</v>
      </c>
      <c r="AY371">
        <v>0</v>
      </c>
      <c r="AZ371">
        <v>0</v>
      </c>
      <c r="BA371">
        <v>0</v>
      </c>
      <c r="BE371" t="str">
        <f>T("9791137010291")</f>
        <v>9791137010291</v>
      </c>
      <c r="BF371" t="str">
        <f>T("B030884")</f>
        <v>B030884</v>
      </c>
      <c r="BG371" t="str">
        <f>T("판타지 e북 &gt; 퓨전 판타지")</f>
        <v>판타지 e북 &gt; 퓨전 판타지</v>
      </c>
    </row>
    <row r="372" spans="1:59">
      <c r="A372" t="s">
        <v>60</v>
      </c>
      <c r="B372" s="1">
        <v>46131</v>
      </c>
      <c r="C372">
        <v>2378073482</v>
      </c>
      <c r="D372">
        <v>2378073482</v>
      </c>
      <c r="E372" t="str">
        <f>T("[e북]불사자에게는 수호령이 있었다 1권")</f>
        <v>[e북]불사자에게는 수호령이 있었다 1권</v>
      </c>
      <c r="F372">
        <v>1</v>
      </c>
      <c r="G372" t="str">
        <f>T("덴피")</f>
        <v>덴피</v>
      </c>
      <c r="J372" t="str">
        <f>T("매드햇")</f>
        <v>매드햇</v>
      </c>
      <c r="K372" t="str">
        <f>T("[e북]불사자에게는 수호령이 있었다")</f>
        <v>[e북]불사자에게는 수호령이 있었다</v>
      </c>
      <c r="L372">
        <v>0</v>
      </c>
      <c r="M372">
        <v>0</v>
      </c>
      <c r="N372">
        <v>0</v>
      </c>
      <c r="O372">
        <v>1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1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S372">
        <v>0</v>
      </c>
      <c r="AT372">
        <v>0</v>
      </c>
      <c r="AV372">
        <v>0</v>
      </c>
      <c r="AW372">
        <v>0</v>
      </c>
      <c r="AY372">
        <v>0</v>
      </c>
      <c r="AZ372">
        <v>0</v>
      </c>
      <c r="BA372">
        <v>0</v>
      </c>
      <c r="BE372" t="str">
        <f>T("9791137010291")</f>
        <v>9791137010291</v>
      </c>
      <c r="BF372" t="str">
        <f>T("B030884")</f>
        <v>B030884</v>
      </c>
      <c r="BG372" t="str">
        <f>T("판타지 e북 &gt; 퓨전 판타지")</f>
        <v>판타지 e북 &gt; 퓨전 판타지</v>
      </c>
    </row>
    <row r="373" spans="1:59">
      <c r="A373" t="s">
        <v>60</v>
      </c>
      <c r="B373" s="1">
        <v>46129</v>
      </c>
      <c r="C373">
        <v>2378077912</v>
      </c>
      <c r="D373">
        <v>2378077912</v>
      </c>
      <c r="E373" t="str">
        <f>T("[e북]블랙배저 1권")</f>
        <v>[e북]블랙배저 1권</v>
      </c>
      <c r="F373">
        <v>1</v>
      </c>
      <c r="G373" t="str">
        <f>T("썬터다운")</f>
        <v>썬터다운</v>
      </c>
      <c r="J373" t="str">
        <f>T("매드햇")</f>
        <v>매드햇</v>
      </c>
      <c r="K373" t="str">
        <f>T("[e북]블랙배저")</f>
        <v>[e북]블랙배저</v>
      </c>
      <c r="L373">
        <v>0</v>
      </c>
      <c r="M373">
        <v>0</v>
      </c>
      <c r="N373">
        <v>0</v>
      </c>
      <c r="O373">
        <v>15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15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S373">
        <v>0</v>
      </c>
      <c r="AT373">
        <v>0</v>
      </c>
      <c r="AV373">
        <v>0</v>
      </c>
      <c r="AW373">
        <v>0</v>
      </c>
      <c r="AY373">
        <v>0</v>
      </c>
      <c r="AZ373">
        <v>0</v>
      </c>
      <c r="BA373">
        <v>0</v>
      </c>
      <c r="BE373" t="str">
        <f>T("9791137010857")</f>
        <v>9791137010857</v>
      </c>
      <c r="BF373" t="str">
        <f>T("D130167")</f>
        <v>D130167</v>
      </c>
      <c r="BG373" t="str">
        <f>T("판타지 e북 &gt; 퓨전 판타지")</f>
        <v>판타지 e북 &gt; 퓨전 판타지</v>
      </c>
    </row>
    <row r="374" spans="1:59">
      <c r="A374" t="s">
        <v>60</v>
      </c>
      <c r="B374" s="1">
        <v>46129</v>
      </c>
      <c r="C374">
        <v>2378077912</v>
      </c>
      <c r="D374">
        <v>2378077913</v>
      </c>
      <c r="E374" t="str">
        <f>T("[e북]블랙배저 2권")</f>
        <v>[e북]블랙배저 2권</v>
      </c>
      <c r="F374">
        <v>2</v>
      </c>
      <c r="G374" t="str">
        <f>T("썬터다운")</f>
        <v>썬터다운</v>
      </c>
      <c r="J374" t="str">
        <f>T("매드햇")</f>
        <v>매드햇</v>
      </c>
      <c r="K374" t="str">
        <f>T("[e북]블랙배저")</f>
        <v>[e북]블랙배저</v>
      </c>
      <c r="L374">
        <v>3200</v>
      </c>
      <c r="M374">
        <v>9600</v>
      </c>
      <c r="N374">
        <v>3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9600</v>
      </c>
      <c r="AJ374">
        <v>3</v>
      </c>
      <c r="AK374">
        <v>0</v>
      </c>
      <c r="AL374">
        <v>0</v>
      </c>
      <c r="AM374">
        <v>6400</v>
      </c>
      <c r="AN374">
        <v>0</v>
      </c>
      <c r="AO374">
        <v>3840</v>
      </c>
      <c r="AP374">
        <v>-384</v>
      </c>
      <c r="AQ374">
        <v>0</v>
      </c>
      <c r="AS374">
        <v>0</v>
      </c>
      <c r="AT374">
        <v>0</v>
      </c>
      <c r="AU374">
        <v>3840</v>
      </c>
      <c r="AV374">
        <v>-384</v>
      </c>
      <c r="AW374">
        <v>0</v>
      </c>
      <c r="AY374">
        <v>0</v>
      </c>
      <c r="AZ374">
        <v>0</v>
      </c>
      <c r="BA374">
        <v>6899.2</v>
      </c>
      <c r="BE374" t="str">
        <f>T("9791137010864")</f>
        <v>9791137010864</v>
      </c>
      <c r="BF374" t="str">
        <f>T("D130168")</f>
        <v>D130168</v>
      </c>
      <c r="BG374" t="str">
        <f>T("판타지 e북 &gt; 퓨전 판타지")</f>
        <v>판타지 e북 &gt; 퓨전 판타지</v>
      </c>
    </row>
    <row r="375" spans="1:59">
      <c r="A375" t="s">
        <v>60</v>
      </c>
      <c r="B375" s="1">
        <v>46129</v>
      </c>
      <c r="C375">
        <v>2378077912</v>
      </c>
      <c r="D375">
        <v>2378077914</v>
      </c>
      <c r="E375" t="str">
        <f>T("[e북]블랙배저 3권")</f>
        <v>[e북]블랙배저 3권</v>
      </c>
      <c r="F375">
        <v>3</v>
      </c>
      <c r="G375" t="str">
        <f>T("썬터다운")</f>
        <v>썬터다운</v>
      </c>
      <c r="J375" t="str">
        <f>T("매드햇")</f>
        <v>매드햇</v>
      </c>
      <c r="K375" t="str">
        <f>T("[e북]블랙배저")</f>
        <v>[e북]블랙배저</v>
      </c>
      <c r="L375">
        <v>3200</v>
      </c>
      <c r="M375">
        <v>16000</v>
      </c>
      <c r="N375">
        <v>5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16000</v>
      </c>
      <c r="AJ375">
        <v>5</v>
      </c>
      <c r="AK375">
        <v>0</v>
      </c>
      <c r="AL375">
        <v>0</v>
      </c>
      <c r="AM375">
        <v>16000</v>
      </c>
      <c r="AN375">
        <v>0</v>
      </c>
      <c r="AO375">
        <v>0</v>
      </c>
      <c r="AP375">
        <v>0</v>
      </c>
      <c r="AQ375">
        <v>0</v>
      </c>
      <c r="AS375">
        <v>0</v>
      </c>
      <c r="AT375">
        <v>0</v>
      </c>
      <c r="AV375">
        <v>0</v>
      </c>
      <c r="AW375">
        <v>0</v>
      </c>
      <c r="AY375">
        <v>0</v>
      </c>
      <c r="AZ375">
        <v>0</v>
      </c>
      <c r="BA375">
        <v>11200</v>
      </c>
      <c r="BE375" t="str">
        <f>T("9791137010871")</f>
        <v>9791137010871</v>
      </c>
      <c r="BF375" t="str">
        <f>T("D130169")</f>
        <v>D130169</v>
      </c>
      <c r="BG375" t="str">
        <f>T("판타지 e북 &gt; 퓨전 판타지")</f>
        <v>판타지 e북 &gt; 퓨전 판타지</v>
      </c>
    </row>
    <row r="376" spans="1:59">
      <c r="A376" t="s">
        <v>60</v>
      </c>
      <c r="B376" s="1">
        <v>46129</v>
      </c>
      <c r="C376">
        <v>2378077912</v>
      </c>
      <c r="D376">
        <v>2378077915</v>
      </c>
      <c r="E376" t="str">
        <f>T("[e북]블랙배저 4권")</f>
        <v>[e북]블랙배저 4권</v>
      </c>
      <c r="F376">
        <v>4</v>
      </c>
      <c r="G376" t="str">
        <f>T("썬터다운")</f>
        <v>썬터다운</v>
      </c>
      <c r="J376" t="str">
        <f>T("매드햇")</f>
        <v>매드햇</v>
      </c>
      <c r="K376" t="str">
        <f>T("[e북]블랙배저")</f>
        <v>[e북]블랙배저</v>
      </c>
      <c r="L376">
        <v>3200</v>
      </c>
      <c r="M376">
        <v>19200</v>
      </c>
      <c r="N376">
        <v>6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19200</v>
      </c>
      <c r="AJ376">
        <v>6</v>
      </c>
      <c r="AK376">
        <v>0</v>
      </c>
      <c r="AL376">
        <v>0</v>
      </c>
      <c r="AM376">
        <v>19200</v>
      </c>
      <c r="AN376">
        <v>0</v>
      </c>
      <c r="AO376">
        <v>0</v>
      </c>
      <c r="AP376">
        <v>0</v>
      </c>
      <c r="AQ376">
        <v>0</v>
      </c>
      <c r="AS376">
        <v>0</v>
      </c>
      <c r="AT376">
        <v>0</v>
      </c>
      <c r="AV376">
        <v>0</v>
      </c>
      <c r="AW376">
        <v>0</v>
      </c>
      <c r="AY376">
        <v>0</v>
      </c>
      <c r="AZ376">
        <v>0</v>
      </c>
      <c r="BA376">
        <v>13440</v>
      </c>
      <c r="BE376" t="str">
        <f>T("9791137010888")</f>
        <v>9791137010888</v>
      </c>
      <c r="BF376" t="str">
        <f>T("D130170")</f>
        <v>D130170</v>
      </c>
      <c r="BG376" t="str">
        <f>T("판타지 e북 &gt; 퓨전 판타지")</f>
        <v>판타지 e북 &gt; 퓨전 판타지</v>
      </c>
    </row>
    <row r="377" spans="1:59">
      <c r="A377" t="s">
        <v>60</v>
      </c>
      <c r="B377" s="1">
        <v>46129</v>
      </c>
      <c r="C377">
        <v>2378077912</v>
      </c>
      <c r="D377">
        <v>2378077916</v>
      </c>
      <c r="E377" t="str">
        <f>T("[e북]블랙배저 5권")</f>
        <v>[e북]블랙배저 5권</v>
      </c>
      <c r="F377">
        <v>5</v>
      </c>
      <c r="G377" t="str">
        <f>T("썬터다운")</f>
        <v>썬터다운</v>
      </c>
      <c r="J377" t="str">
        <f>T("매드햇")</f>
        <v>매드햇</v>
      </c>
      <c r="K377" t="str">
        <f>T("[e북]블랙배저")</f>
        <v>[e북]블랙배저</v>
      </c>
      <c r="L377">
        <v>3200</v>
      </c>
      <c r="M377">
        <v>16000</v>
      </c>
      <c r="N377">
        <v>5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16000</v>
      </c>
      <c r="AJ377">
        <v>5</v>
      </c>
      <c r="AK377">
        <v>0</v>
      </c>
      <c r="AL377">
        <v>0</v>
      </c>
      <c r="AM377">
        <v>12800</v>
      </c>
      <c r="AN377">
        <v>0</v>
      </c>
      <c r="AO377">
        <v>3840</v>
      </c>
      <c r="AP377">
        <v>-384</v>
      </c>
      <c r="AQ377">
        <v>0</v>
      </c>
      <c r="AS377">
        <v>0</v>
      </c>
      <c r="AT377">
        <v>0</v>
      </c>
      <c r="AU377">
        <v>3840</v>
      </c>
      <c r="AV377">
        <v>-384</v>
      </c>
      <c r="AW377">
        <v>0</v>
      </c>
      <c r="AY377">
        <v>0</v>
      </c>
      <c r="AZ377">
        <v>0</v>
      </c>
      <c r="BA377">
        <v>11379.2</v>
      </c>
      <c r="BE377" t="str">
        <f>T("9791137010895")</f>
        <v>9791137010895</v>
      </c>
      <c r="BF377" t="str">
        <f>T("D130171")</f>
        <v>D130171</v>
      </c>
      <c r="BG377" t="str">
        <f>T("판타지 e북 &gt; 퓨전 판타지")</f>
        <v>판타지 e북 &gt; 퓨전 판타지</v>
      </c>
    </row>
    <row r="378" spans="1:59">
      <c r="A378" t="s">
        <v>60</v>
      </c>
      <c r="B378" s="1">
        <v>46129</v>
      </c>
      <c r="C378">
        <v>2378077912</v>
      </c>
      <c r="D378">
        <v>2378077917</v>
      </c>
      <c r="E378" t="str">
        <f>T("[e북]블랙배저 6권")</f>
        <v>[e북]블랙배저 6권</v>
      </c>
      <c r="F378">
        <v>6</v>
      </c>
      <c r="G378" t="str">
        <f>T("썬터다운")</f>
        <v>썬터다운</v>
      </c>
      <c r="J378" t="str">
        <f>T("매드햇")</f>
        <v>매드햇</v>
      </c>
      <c r="K378" t="str">
        <f>T("[e북]블랙배저")</f>
        <v>[e북]블랙배저</v>
      </c>
      <c r="L378">
        <v>3200</v>
      </c>
      <c r="M378">
        <v>9600</v>
      </c>
      <c r="N378">
        <v>3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9600</v>
      </c>
      <c r="AJ378">
        <v>3</v>
      </c>
      <c r="AK378">
        <v>0</v>
      </c>
      <c r="AL378">
        <v>0</v>
      </c>
      <c r="AM378">
        <v>9600</v>
      </c>
      <c r="AN378">
        <v>0</v>
      </c>
      <c r="AO378">
        <v>0</v>
      </c>
      <c r="AP378">
        <v>0</v>
      </c>
      <c r="AQ378">
        <v>0</v>
      </c>
      <c r="AS378">
        <v>0</v>
      </c>
      <c r="AT378">
        <v>0</v>
      </c>
      <c r="AV378">
        <v>0</v>
      </c>
      <c r="AW378">
        <v>0</v>
      </c>
      <c r="AY378">
        <v>0</v>
      </c>
      <c r="AZ378">
        <v>0</v>
      </c>
      <c r="BA378">
        <v>6720</v>
      </c>
      <c r="BE378" t="str">
        <f>T("9791137010901")</f>
        <v>9791137010901</v>
      </c>
      <c r="BF378" t="str">
        <f>T("D130172")</f>
        <v>D130172</v>
      </c>
      <c r="BG378" t="str">
        <f>T("판타지 e북 &gt; 퓨전 판타지")</f>
        <v>판타지 e북 &gt; 퓨전 판타지</v>
      </c>
    </row>
    <row r="379" spans="1:59">
      <c r="A379" t="s">
        <v>60</v>
      </c>
      <c r="B379" s="1">
        <v>46129</v>
      </c>
      <c r="C379">
        <v>2378077912</v>
      </c>
      <c r="D379">
        <v>2378077918</v>
      </c>
      <c r="E379" t="str">
        <f>T("[e북]블랙배저 7권")</f>
        <v>[e북]블랙배저 7권</v>
      </c>
      <c r="F379">
        <v>7</v>
      </c>
      <c r="G379" t="str">
        <f>T("썬터다운")</f>
        <v>썬터다운</v>
      </c>
      <c r="J379" t="str">
        <f>T("매드햇")</f>
        <v>매드햇</v>
      </c>
      <c r="K379" t="str">
        <f>T("[e북]블랙배저")</f>
        <v>[e북]블랙배저</v>
      </c>
      <c r="L379">
        <v>3200</v>
      </c>
      <c r="M379">
        <v>9600</v>
      </c>
      <c r="N379">
        <v>3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9600</v>
      </c>
      <c r="AJ379">
        <v>3</v>
      </c>
      <c r="AK379">
        <v>0</v>
      </c>
      <c r="AL379">
        <v>0</v>
      </c>
      <c r="AM379">
        <v>9600</v>
      </c>
      <c r="AN379">
        <v>0</v>
      </c>
      <c r="AO379">
        <v>0</v>
      </c>
      <c r="AP379">
        <v>0</v>
      </c>
      <c r="AQ379">
        <v>0</v>
      </c>
      <c r="AS379">
        <v>0</v>
      </c>
      <c r="AT379">
        <v>0</v>
      </c>
      <c r="AV379">
        <v>0</v>
      </c>
      <c r="AW379">
        <v>0</v>
      </c>
      <c r="AY379">
        <v>0</v>
      </c>
      <c r="AZ379">
        <v>0</v>
      </c>
      <c r="BA379">
        <v>6720</v>
      </c>
      <c r="BE379" t="str">
        <f>T("9791137010918")</f>
        <v>9791137010918</v>
      </c>
      <c r="BF379" t="str">
        <f>T("D130173")</f>
        <v>D130173</v>
      </c>
      <c r="BG379" t="str">
        <f>T("판타지 e북 &gt; 퓨전 판타지")</f>
        <v>판타지 e북 &gt; 퓨전 판타지</v>
      </c>
    </row>
    <row r="380" spans="1:59">
      <c r="A380" t="s">
        <v>60</v>
      </c>
      <c r="B380" s="1">
        <v>46129</v>
      </c>
      <c r="C380">
        <v>2378077912</v>
      </c>
      <c r="D380">
        <v>2378078993</v>
      </c>
      <c r="E380" t="str">
        <f>T("[e북]블랙배저 8권")</f>
        <v>[e북]블랙배저 8권</v>
      </c>
      <c r="F380">
        <v>8</v>
      </c>
      <c r="G380" t="str">
        <f>T("썬터다운")</f>
        <v>썬터다운</v>
      </c>
      <c r="J380" t="str">
        <f>T("매드햇")</f>
        <v>매드햇</v>
      </c>
      <c r="K380" t="str">
        <f>T("[e북]블랙배저")</f>
        <v>[e북]블랙배저</v>
      </c>
      <c r="L380">
        <v>3200</v>
      </c>
      <c r="M380">
        <v>16000</v>
      </c>
      <c r="N380">
        <v>5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16000</v>
      </c>
      <c r="AJ380">
        <v>5</v>
      </c>
      <c r="AK380">
        <v>0</v>
      </c>
      <c r="AL380">
        <v>0</v>
      </c>
      <c r="AM380">
        <v>16000</v>
      </c>
      <c r="AN380">
        <v>0</v>
      </c>
      <c r="AO380">
        <v>0</v>
      </c>
      <c r="AP380">
        <v>0</v>
      </c>
      <c r="AQ380">
        <v>0</v>
      </c>
      <c r="AS380">
        <v>0</v>
      </c>
      <c r="AT380">
        <v>0</v>
      </c>
      <c r="AV380">
        <v>0</v>
      </c>
      <c r="AW380">
        <v>0</v>
      </c>
      <c r="AY380">
        <v>0</v>
      </c>
      <c r="AZ380">
        <v>0</v>
      </c>
      <c r="BA380">
        <v>11200</v>
      </c>
      <c r="BF380" t="str">
        <f>T("D170945")</f>
        <v>D170945</v>
      </c>
      <c r="BG380" t="str">
        <f>T("판타지 e북 &gt; 퓨전 판타지")</f>
        <v>판타지 e북 &gt; 퓨전 판타지</v>
      </c>
    </row>
    <row r="381" spans="1:59">
      <c r="A381" t="s">
        <v>60</v>
      </c>
      <c r="B381" s="1">
        <v>46129</v>
      </c>
      <c r="C381">
        <v>2378077912</v>
      </c>
      <c r="D381">
        <v>2378078994</v>
      </c>
      <c r="E381" t="str">
        <f>T("[e북]블랙배저 9권")</f>
        <v>[e북]블랙배저 9권</v>
      </c>
      <c r="F381">
        <v>9</v>
      </c>
      <c r="G381" t="str">
        <f>T("썬터다운")</f>
        <v>썬터다운</v>
      </c>
      <c r="J381" t="str">
        <f>T("매드햇")</f>
        <v>매드햇</v>
      </c>
      <c r="K381" t="str">
        <f>T("[e북]블랙배저")</f>
        <v>[e북]블랙배저</v>
      </c>
      <c r="L381">
        <v>3200</v>
      </c>
      <c r="M381">
        <v>16000</v>
      </c>
      <c r="N381">
        <v>5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16000</v>
      </c>
      <c r="AJ381">
        <v>5</v>
      </c>
      <c r="AK381">
        <v>0</v>
      </c>
      <c r="AL381">
        <v>0</v>
      </c>
      <c r="AM381">
        <v>16000</v>
      </c>
      <c r="AN381">
        <v>0</v>
      </c>
      <c r="AO381">
        <v>0</v>
      </c>
      <c r="AP381">
        <v>0</v>
      </c>
      <c r="AQ381">
        <v>0</v>
      </c>
      <c r="AS381">
        <v>0</v>
      </c>
      <c r="AT381">
        <v>0</v>
      </c>
      <c r="AV381">
        <v>0</v>
      </c>
      <c r="AW381">
        <v>0</v>
      </c>
      <c r="AY381">
        <v>0</v>
      </c>
      <c r="AZ381">
        <v>0</v>
      </c>
      <c r="BA381">
        <v>11200</v>
      </c>
      <c r="BF381" t="str">
        <f>T("D170946")</f>
        <v>D170946</v>
      </c>
      <c r="BG381" t="str">
        <f>T("판타지 e북 &gt; 퓨전 판타지")</f>
        <v>판타지 e북 &gt; 퓨전 판타지</v>
      </c>
    </row>
    <row r="382" spans="1:59">
      <c r="A382" t="s">
        <v>60</v>
      </c>
      <c r="B382" s="1">
        <v>46129</v>
      </c>
      <c r="C382">
        <v>2378077912</v>
      </c>
      <c r="D382">
        <v>2378078995</v>
      </c>
      <c r="E382" t="str">
        <f>T("[e북]블랙배저 10권")</f>
        <v>[e북]블랙배저 10권</v>
      </c>
      <c r="F382">
        <v>10</v>
      </c>
      <c r="G382" t="str">
        <f>T("썬터다운")</f>
        <v>썬터다운</v>
      </c>
      <c r="J382" t="str">
        <f>T("매드햇")</f>
        <v>매드햇</v>
      </c>
      <c r="K382" t="str">
        <f>T("[e북]블랙배저")</f>
        <v>[e북]블랙배저</v>
      </c>
      <c r="L382">
        <v>3200</v>
      </c>
      <c r="M382">
        <v>9600</v>
      </c>
      <c r="N382">
        <v>3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9600</v>
      </c>
      <c r="AJ382">
        <v>3</v>
      </c>
      <c r="AK382">
        <v>0</v>
      </c>
      <c r="AL382">
        <v>0</v>
      </c>
      <c r="AM382">
        <v>9600</v>
      </c>
      <c r="AN382">
        <v>0</v>
      </c>
      <c r="AO382">
        <v>0</v>
      </c>
      <c r="AP382">
        <v>0</v>
      </c>
      <c r="AQ382">
        <v>0</v>
      </c>
      <c r="AS382">
        <v>0</v>
      </c>
      <c r="AT382">
        <v>0</v>
      </c>
      <c r="AV382">
        <v>0</v>
      </c>
      <c r="AW382">
        <v>0</v>
      </c>
      <c r="AY382">
        <v>0</v>
      </c>
      <c r="AZ382">
        <v>0</v>
      </c>
      <c r="BA382">
        <v>6720</v>
      </c>
      <c r="BF382" t="str">
        <f>T("D170947")</f>
        <v>D170947</v>
      </c>
      <c r="BG382" t="str">
        <f>T("판타지 e북 &gt; 퓨전 판타지")</f>
        <v>판타지 e북 &gt; 퓨전 판타지</v>
      </c>
    </row>
    <row r="383" spans="1:59">
      <c r="A383" t="s">
        <v>60</v>
      </c>
      <c r="B383" s="1">
        <v>46129</v>
      </c>
      <c r="C383">
        <v>2378077912</v>
      </c>
      <c r="D383">
        <v>2378078996</v>
      </c>
      <c r="E383" t="str">
        <f>T("[e북]블랙배저 11권")</f>
        <v>[e북]블랙배저 11권</v>
      </c>
      <c r="F383">
        <v>11</v>
      </c>
      <c r="G383" t="str">
        <f>T("썬터다운")</f>
        <v>썬터다운</v>
      </c>
      <c r="J383" t="str">
        <f>T("매드햇")</f>
        <v>매드햇</v>
      </c>
      <c r="K383" t="str">
        <f>T("[e북]블랙배저")</f>
        <v>[e북]블랙배저</v>
      </c>
      <c r="L383">
        <v>3200</v>
      </c>
      <c r="M383">
        <v>12800</v>
      </c>
      <c r="N383">
        <v>4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12800</v>
      </c>
      <c r="AJ383">
        <v>4</v>
      </c>
      <c r="AK383">
        <v>0</v>
      </c>
      <c r="AL383">
        <v>0</v>
      </c>
      <c r="AM383">
        <v>12800</v>
      </c>
      <c r="AN383">
        <v>0</v>
      </c>
      <c r="AO383">
        <v>0</v>
      </c>
      <c r="AP383">
        <v>0</v>
      </c>
      <c r="AQ383">
        <v>0</v>
      </c>
      <c r="AS383">
        <v>0</v>
      </c>
      <c r="AT383">
        <v>0</v>
      </c>
      <c r="AV383">
        <v>0</v>
      </c>
      <c r="AW383">
        <v>0</v>
      </c>
      <c r="AY383">
        <v>0</v>
      </c>
      <c r="AZ383">
        <v>0</v>
      </c>
      <c r="BA383">
        <v>8960</v>
      </c>
      <c r="BF383" t="str">
        <f>T("D170948")</f>
        <v>D170948</v>
      </c>
      <c r="BG383" t="str">
        <f>T("판타지 e북 &gt; 퓨전 판타지")</f>
        <v>판타지 e북 &gt; 퓨전 판타지</v>
      </c>
    </row>
    <row r="384" spans="1:59">
      <c r="A384" t="s">
        <v>60</v>
      </c>
      <c r="B384" s="1">
        <v>46129</v>
      </c>
      <c r="C384">
        <v>2378077912</v>
      </c>
      <c r="D384">
        <v>2378078997</v>
      </c>
      <c r="E384" t="str">
        <f>T("[e북]블랙배저 12권")</f>
        <v>[e북]블랙배저 12권</v>
      </c>
      <c r="F384">
        <v>12</v>
      </c>
      <c r="G384" t="str">
        <f>T("썬터다운")</f>
        <v>썬터다운</v>
      </c>
      <c r="J384" t="str">
        <f>T("매드햇")</f>
        <v>매드햇</v>
      </c>
      <c r="K384" t="str">
        <f>T("[e북]블랙배저")</f>
        <v>[e북]블랙배저</v>
      </c>
      <c r="L384">
        <v>3200</v>
      </c>
      <c r="M384">
        <v>16000</v>
      </c>
      <c r="N384">
        <v>5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16000</v>
      </c>
      <c r="AJ384">
        <v>5</v>
      </c>
      <c r="AK384">
        <v>0</v>
      </c>
      <c r="AL384">
        <v>0</v>
      </c>
      <c r="AM384">
        <v>12800</v>
      </c>
      <c r="AN384">
        <v>0</v>
      </c>
      <c r="AO384">
        <v>3840</v>
      </c>
      <c r="AP384">
        <v>-384</v>
      </c>
      <c r="AQ384">
        <v>0</v>
      </c>
      <c r="AS384">
        <v>0</v>
      </c>
      <c r="AT384">
        <v>0</v>
      </c>
      <c r="AU384">
        <v>3840</v>
      </c>
      <c r="AV384">
        <v>-384</v>
      </c>
      <c r="AW384">
        <v>0</v>
      </c>
      <c r="AY384">
        <v>0</v>
      </c>
      <c r="AZ384">
        <v>0</v>
      </c>
      <c r="BA384">
        <v>11379.2</v>
      </c>
      <c r="BF384" t="str">
        <f>T("D170949")</f>
        <v>D170949</v>
      </c>
      <c r="BG384" t="str">
        <f>T("판타지 e북 &gt; 퓨전 판타지")</f>
        <v>판타지 e북 &gt; 퓨전 판타지</v>
      </c>
    </row>
    <row r="385" spans="1:59">
      <c r="A385" t="s">
        <v>60</v>
      </c>
      <c r="B385" s="1">
        <v>46129</v>
      </c>
      <c r="C385">
        <v>2378077912</v>
      </c>
      <c r="D385">
        <v>2378078998</v>
      </c>
      <c r="E385" t="str">
        <f>T("[e북]블랙배저 13권")</f>
        <v>[e북]블랙배저 13권</v>
      </c>
      <c r="F385">
        <v>13</v>
      </c>
      <c r="G385" t="str">
        <f>T("썬터다운")</f>
        <v>썬터다운</v>
      </c>
      <c r="J385" t="str">
        <f>T("매드햇")</f>
        <v>매드햇</v>
      </c>
      <c r="K385" t="str">
        <f>T("[e북]블랙배저")</f>
        <v>[e북]블랙배저</v>
      </c>
      <c r="L385">
        <v>3200</v>
      </c>
      <c r="M385">
        <v>12800</v>
      </c>
      <c r="N385">
        <v>4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12800</v>
      </c>
      <c r="AJ385">
        <v>4</v>
      </c>
      <c r="AK385">
        <v>0</v>
      </c>
      <c r="AL385">
        <v>0</v>
      </c>
      <c r="AM385">
        <v>12800</v>
      </c>
      <c r="AN385">
        <v>0</v>
      </c>
      <c r="AO385">
        <v>0</v>
      </c>
      <c r="AP385">
        <v>0</v>
      </c>
      <c r="AQ385">
        <v>0</v>
      </c>
      <c r="AS385">
        <v>0</v>
      </c>
      <c r="AT385">
        <v>0</v>
      </c>
      <c r="AV385">
        <v>0</v>
      </c>
      <c r="AW385">
        <v>0</v>
      </c>
      <c r="AY385">
        <v>0</v>
      </c>
      <c r="AZ385">
        <v>0</v>
      </c>
      <c r="BA385">
        <v>8960</v>
      </c>
      <c r="BF385" t="str">
        <f>T("D170950")</f>
        <v>D170950</v>
      </c>
      <c r="BG385" t="str">
        <f>T("판타지 e북 &gt; 퓨전 판타지")</f>
        <v>판타지 e북 &gt; 퓨전 판타지</v>
      </c>
    </row>
    <row r="386" spans="1:59">
      <c r="A386" t="s">
        <v>60</v>
      </c>
      <c r="B386" s="1">
        <v>46129</v>
      </c>
      <c r="C386">
        <v>2378077912</v>
      </c>
      <c r="D386">
        <v>2378078999</v>
      </c>
      <c r="E386" t="str">
        <f>T("[e북]블랙배저 14권")</f>
        <v>[e북]블랙배저 14권</v>
      </c>
      <c r="F386">
        <v>14</v>
      </c>
      <c r="G386" t="str">
        <f>T("썬터다운")</f>
        <v>썬터다운</v>
      </c>
      <c r="J386" t="str">
        <f>T("매드햇")</f>
        <v>매드햇</v>
      </c>
      <c r="K386" t="str">
        <f>T("[e북]블랙배저")</f>
        <v>[e북]블랙배저</v>
      </c>
      <c r="L386">
        <v>3200</v>
      </c>
      <c r="M386">
        <v>12800</v>
      </c>
      <c r="N386">
        <v>4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12800</v>
      </c>
      <c r="AJ386">
        <v>4</v>
      </c>
      <c r="AK386">
        <v>0</v>
      </c>
      <c r="AL386">
        <v>0</v>
      </c>
      <c r="AM386">
        <v>12800</v>
      </c>
      <c r="AN386">
        <v>0</v>
      </c>
      <c r="AO386">
        <v>0</v>
      </c>
      <c r="AP386">
        <v>0</v>
      </c>
      <c r="AQ386">
        <v>0</v>
      </c>
      <c r="AS386">
        <v>0</v>
      </c>
      <c r="AT386">
        <v>0</v>
      </c>
      <c r="AV386">
        <v>0</v>
      </c>
      <c r="AW386">
        <v>0</v>
      </c>
      <c r="AY386">
        <v>0</v>
      </c>
      <c r="AZ386">
        <v>0</v>
      </c>
      <c r="BA386">
        <v>8960</v>
      </c>
      <c r="BF386" t="str">
        <f>T("D170951")</f>
        <v>D170951</v>
      </c>
      <c r="BG386" t="str">
        <f>T("판타지 e북 &gt; 퓨전 판타지")</f>
        <v>판타지 e북 &gt; 퓨전 판타지</v>
      </c>
    </row>
    <row r="387" spans="1:59">
      <c r="A387" t="s">
        <v>60</v>
      </c>
      <c r="B387" s="1">
        <v>46129</v>
      </c>
      <c r="C387">
        <v>2378077912</v>
      </c>
      <c r="D387">
        <v>2378079000</v>
      </c>
      <c r="E387" t="str">
        <f>T("[e북]블랙배저 15권")</f>
        <v>[e북]블랙배저 15권</v>
      </c>
      <c r="F387">
        <v>15</v>
      </c>
      <c r="G387" t="str">
        <f>T("썬터다운")</f>
        <v>썬터다운</v>
      </c>
      <c r="J387" t="str">
        <f>T("매드햇")</f>
        <v>매드햇</v>
      </c>
      <c r="K387" t="str">
        <f>T("[e북]블랙배저")</f>
        <v>[e북]블랙배저</v>
      </c>
      <c r="L387">
        <v>3200</v>
      </c>
      <c r="M387">
        <v>16000</v>
      </c>
      <c r="N387">
        <v>5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16000</v>
      </c>
      <c r="AJ387">
        <v>5</v>
      </c>
      <c r="AK387">
        <v>0</v>
      </c>
      <c r="AL387">
        <v>0</v>
      </c>
      <c r="AM387">
        <v>16000</v>
      </c>
      <c r="AN387">
        <v>0</v>
      </c>
      <c r="AO387">
        <v>0</v>
      </c>
      <c r="AP387">
        <v>0</v>
      </c>
      <c r="AQ387">
        <v>0</v>
      </c>
      <c r="AS387">
        <v>0</v>
      </c>
      <c r="AT387">
        <v>0</v>
      </c>
      <c r="AV387">
        <v>0</v>
      </c>
      <c r="AW387">
        <v>0</v>
      </c>
      <c r="AY387">
        <v>0</v>
      </c>
      <c r="AZ387">
        <v>0</v>
      </c>
      <c r="BA387">
        <v>11200</v>
      </c>
      <c r="BF387" t="str">
        <f>T("D170952")</f>
        <v>D170952</v>
      </c>
      <c r="BG387" t="str">
        <f>T("판타지 e북 &gt; 퓨전 판타지")</f>
        <v>판타지 e북 &gt; 퓨전 판타지</v>
      </c>
    </row>
    <row r="388" spans="1:59">
      <c r="A388" t="s">
        <v>60</v>
      </c>
      <c r="B388" s="1">
        <v>46129</v>
      </c>
      <c r="C388">
        <v>2378077912</v>
      </c>
      <c r="D388">
        <v>2378079001</v>
      </c>
      <c r="E388" t="str">
        <f>T("[e북]블랙배저 16권")</f>
        <v>[e북]블랙배저 16권</v>
      </c>
      <c r="F388">
        <v>16</v>
      </c>
      <c r="G388" t="str">
        <f>T("썬터다운")</f>
        <v>썬터다운</v>
      </c>
      <c r="J388" t="str">
        <f>T("매드햇")</f>
        <v>매드햇</v>
      </c>
      <c r="K388" t="str">
        <f>T("[e북]블랙배저")</f>
        <v>[e북]블랙배저</v>
      </c>
      <c r="L388">
        <v>3200</v>
      </c>
      <c r="M388">
        <v>16000</v>
      </c>
      <c r="N388">
        <v>5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16000</v>
      </c>
      <c r="AJ388">
        <v>5</v>
      </c>
      <c r="AK388">
        <v>0</v>
      </c>
      <c r="AL388">
        <v>0</v>
      </c>
      <c r="AM388">
        <v>16000</v>
      </c>
      <c r="AN388">
        <v>0</v>
      </c>
      <c r="AO388">
        <v>0</v>
      </c>
      <c r="AP388">
        <v>0</v>
      </c>
      <c r="AQ388">
        <v>0</v>
      </c>
      <c r="AS388">
        <v>0</v>
      </c>
      <c r="AT388">
        <v>0</v>
      </c>
      <c r="AV388">
        <v>0</v>
      </c>
      <c r="AW388">
        <v>0</v>
      </c>
      <c r="AY388">
        <v>0</v>
      </c>
      <c r="AZ388">
        <v>0</v>
      </c>
      <c r="BA388">
        <v>11200</v>
      </c>
      <c r="BF388" t="str">
        <f>T("D170953")</f>
        <v>D170953</v>
      </c>
      <c r="BG388" t="str">
        <f>T("판타지 e북 &gt; 퓨전 판타지")</f>
        <v>판타지 e북 &gt; 퓨전 판타지</v>
      </c>
    </row>
    <row r="389" spans="1:59">
      <c r="A389" t="s">
        <v>60</v>
      </c>
      <c r="B389" s="1">
        <v>46129</v>
      </c>
      <c r="C389">
        <v>2378077912</v>
      </c>
      <c r="D389">
        <v>2378080496</v>
      </c>
      <c r="E389" t="str">
        <f>T("[e북]블랙배저 17권")</f>
        <v>[e북]블랙배저 17권</v>
      </c>
      <c r="F389">
        <v>17</v>
      </c>
      <c r="G389" t="str">
        <f>T("썬터다운")</f>
        <v>썬터다운</v>
      </c>
      <c r="J389" t="str">
        <f>T("매드햇")</f>
        <v>매드햇</v>
      </c>
      <c r="K389" t="str">
        <f>T("[e북]블랙배저")</f>
        <v>[e북]블랙배저</v>
      </c>
      <c r="L389">
        <v>3200</v>
      </c>
      <c r="M389">
        <v>12800</v>
      </c>
      <c r="N389">
        <v>4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12800</v>
      </c>
      <c r="AJ389">
        <v>4</v>
      </c>
      <c r="AK389">
        <v>0</v>
      </c>
      <c r="AL389">
        <v>0</v>
      </c>
      <c r="AM389">
        <v>12800</v>
      </c>
      <c r="AN389">
        <v>0</v>
      </c>
      <c r="AO389">
        <v>0</v>
      </c>
      <c r="AP389">
        <v>0</v>
      </c>
      <c r="AQ389">
        <v>0</v>
      </c>
      <c r="AS389">
        <v>0</v>
      </c>
      <c r="AT389">
        <v>0</v>
      </c>
      <c r="AV389">
        <v>0</v>
      </c>
      <c r="AW389">
        <v>0</v>
      </c>
      <c r="AY389">
        <v>0</v>
      </c>
      <c r="AZ389">
        <v>0</v>
      </c>
      <c r="BA389">
        <v>8960</v>
      </c>
      <c r="BF389" t="str">
        <f>T("D225730")</f>
        <v>D225730</v>
      </c>
      <c r="BG389" t="str">
        <f>T("판타지 e북 &gt; 퓨전 판타지")</f>
        <v>판타지 e북 &gt; 퓨전 판타지</v>
      </c>
    </row>
    <row r="390" spans="1:59">
      <c r="A390" t="s">
        <v>60</v>
      </c>
      <c r="B390" s="1">
        <v>46129</v>
      </c>
      <c r="C390">
        <v>2378077912</v>
      </c>
      <c r="D390">
        <v>2378080497</v>
      </c>
      <c r="E390" t="str">
        <f>T("[e북]블랙배저 18권")</f>
        <v>[e북]블랙배저 18권</v>
      </c>
      <c r="F390">
        <v>18</v>
      </c>
      <c r="G390" t="str">
        <f>T("썬터다운")</f>
        <v>썬터다운</v>
      </c>
      <c r="J390" t="str">
        <f>T("매드햇")</f>
        <v>매드햇</v>
      </c>
      <c r="K390" t="str">
        <f>T("[e북]블랙배저")</f>
        <v>[e북]블랙배저</v>
      </c>
      <c r="L390">
        <v>3200</v>
      </c>
      <c r="M390">
        <v>9600</v>
      </c>
      <c r="N390">
        <v>3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9600</v>
      </c>
      <c r="AJ390">
        <v>3</v>
      </c>
      <c r="AK390">
        <v>0</v>
      </c>
      <c r="AL390">
        <v>0</v>
      </c>
      <c r="AM390">
        <v>9600</v>
      </c>
      <c r="AN390">
        <v>0</v>
      </c>
      <c r="AO390">
        <v>0</v>
      </c>
      <c r="AP390">
        <v>0</v>
      </c>
      <c r="AQ390">
        <v>0</v>
      </c>
      <c r="AS390">
        <v>0</v>
      </c>
      <c r="AT390">
        <v>0</v>
      </c>
      <c r="AV390">
        <v>0</v>
      </c>
      <c r="AW390">
        <v>0</v>
      </c>
      <c r="AY390">
        <v>0</v>
      </c>
      <c r="AZ390">
        <v>0</v>
      </c>
      <c r="BA390">
        <v>6720</v>
      </c>
      <c r="BF390" t="str">
        <f>T("D225731")</f>
        <v>D225731</v>
      </c>
      <c r="BG390" t="str">
        <f>T("판타지 e북 &gt; 퓨전 판타지")</f>
        <v>판타지 e북 &gt; 퓨전 판타지</v>
      </c>
    </row>
    <row r="391" spans="1:59">
      <c r="A391" t="s">
        <v>60</v>
      </c>
      <c r="B391" s="1">
        <v>46129</v>
      </c>
      <c r="C391">
        <v>2378077912</v>
      </c>
      <c r="D391">
        <v>2378080498</v>
      </c>
      <c r="E391" t="str">
        <f>T("[e북]블랙배저 19권")</f>
        <v>[e북]블랙배저 19권</v>
      </c>
      <c r="F391">
        <v>19</v>
      </c>
      <c r="G391" t="str">
        <f>T("썬터다운")</f>
        <v>썬터다운</v>
      </c>
      <c r="J391" t="str">
        <f>T("매드햇")</f>
        <v>매드햇</v>
      </c>
      <c r="K391" t="str">
        <f>T("[e북]블랙배저")</f>
        <v>[e북]블랙배저</v>
      </c>
      <c r="L391">
        <v>3200</v>
      </c>
      <c r="M391">
        <v>12800</v>
      </c>
      <c r="N391">
        <v>4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12800</v>
      </c>
      <c r="AJ391">
        <v>4</v>
      </c>
      <c r="AK391">
        <v>0</v>
      </c>
      <c r="AL391">
        <v>0</v>
      </c>
      <c r="AM391">
        <v>12800</v>
      </c>
      <c r="AN391">
        <v>0</v>
      </c>
      <c r="AO391">
        <v>0</v>
      </c>
      <c r="AP391">
        <v>0</v>
      </c>
      <c r="AQ391">
        <v>0</v>
      </c>
      <c r="AS391">
        <v>0</v>
      </c>
      <c r="AT391">
        <v>0</v>
      </c>
      <c r="AV391">
        <v>0</v>
      </c>
      <c r="AW391">
        <v>0</v>
      </c>
      <c r="AY391">
        <v>0</v>
      </c>
      <c r="AZ391">
        <v>0</v>
      </c>
      <c r="BA391">
        <v>8960</v>
      </c>
      <c r="BF391" t="str">
        <f>T("D225732")</f>
        <v>D225732</v>
      </c>
      <c r="BG391" t="str">
        <f>T("판타지 e북 &gt; 퓨전 판타지")</f>
        <v>판타지 e북 &gt; 퓨전 판타지</v>
      </c>
    </row>
    <row r="392" spans="1:59">
      <c r="A392" t="s">
        <v>60</v>
      </c>
      <c r="B392" s="1">
        <v>46129</v>
      </c>
      <c r="C392">
        <v>2378077912</v>
      </c>
      <c r="D392">
        <v>2378080499</v>
      </c>
      <c r="E392" t="str">
        <f>T("[e북]블랙배저 20권")</f>
        <v>[e북]블랙배저 20권</v>
      </c>
      <c r="F392">
        <v>20</v>
      </c>
      <c r="G392" t="str">
        <f>T("썬터다운")</f>
        <v>썬터다운</v>
      </c>
      <c r="J392" t="str">
        <f>T("매드햇")</f>
        <v>매드햇</v>
      </c>
      <c r="K392" t="str">
        <f>T("[e북]블랙배저")</f>
        <v>[e북]블랙배저</v>
      </c>
      <c r="L392">
        <v>3200</v>
      </c>
      <c r="M392">
        <v>6400</v>
      </c>
      <c r="N392">
        <v>2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6400</v>
      </c>
      <c r="AJ392">
        <v>2</v>
      </c>
      <c r="AK392">
        <v>0</v>
      </c>
      <c r="AL392">
        <v>0</v>
      </c>
      <c r="AM392">
        <v>6400</v>
      </c>
      <c r="AN392">
        <v>0</v>
      </c>
      <c r="AO392">
        <v>0</v>
      </c>
      <c r="AP392">
        <v>0</v>
      </c>
      <c r="AQ392">
        <v>0</v>
      </c>
      <c r="AS392">
        <v>0</v>
      </c>
      <c r="AT392">
        <v>0</v>
      </c>
      <c r="AV392">
        <v>0</v>
      </c>
      <c r="AW392">
        <v>0</v>
      </c>
      <c r="AY392">
        <v>0</v>
      </c>
      <c r="AZ392">
        <v>0</v>
      </c>
      <c r="BA392">
        <v>4480</v>
      </c>
      <c r="BF392" t="str">
        <f>T("D225733")</f>
        <v>D225733</v>
      </c>
      <c r="BG392" t="str">
        <f>T("판타지 e북 &gt; 퓨전 판타지")</f>
        <v>판타지 e북 &gt; 퓨전 판타지</v>
      </c>
    </row>
    <row r="393" spans="1:59">
      <c r="A393" t="s">
        <v>60</v>
      </c>
      <c r="B393" s="1">
        <v>46129</v>
      </c>
      <c r="C393">
        <v>2378077912</v>
      </c>
      <c r="D393">
        <v>2378080500</v>
      </c>
      <c r="E393" t="str">
        <f>T("[e북]블랙배저 21권")</f>
        <v>[e북]블랙배저 21권</v>
      </c>
      <c r="F393">
        <v>21</v>
      </c>
      <c r="G393" t="str">
        <f>T("썬터다운")</f>
        <v>썬터다운</v>
      </c>
      <c r="J393" t="str">
        <f>T("매드햇")</f>
        <v>매드햇</v>
      </c>
      <c r="K393" t="str">
        <f>T("[e북]블랙배저")</f>
        <v>[e북]블랙배저</v>
      </c>
      <c r="L393">
        <v>3200</v>
      </c>
      <c r="M393">
        <v>9600</v>
      </c>
      <c r="N393">
        <v>3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9600</v>
      </c>
      <c r="AJ393">
        <v>3</v>
      </c>
      <c r="AK393">
        <v>0</v>
      </c>
      <c r="AL393">
        <v>0</v>
      </c>
      <c r="AM393">
        <v>9600</v>
      </c>
      <c r="AN393">
        <v>0</v>
      </c>
      <c r="AO393">
        <v>0</v>
      </c>
      <c r="AP393">
        <v>0</v>
      </c>
      <c r="AQ393">
        <v>0</v>
      </c>
      <c r="AS393">
        <v>0</v>
      </c>
      <c r="AT393">
        <v>0</v>
      </c>
      <c r="AV393">
        <v>0</v>
      </c>
      <c r="AW393">
        <v>0</v>
      </c>
      <c r="AY393">
        <v>0</v>
      </c>
      <c r="AZ393">
        <v>0</v>
      </c>
      <c r="BA393">
        <v>6720</v>
      </c>
      <c r="BF393" t="str">
        <f>T("D225734")</f>
        <v>D225734</v>
      </c>
      <c r="BG393" t="str">
        <f>T("판타지 e북 &gt; 퓨전 판타지")</f>
        <v>판타지 e북 &gt; 퓨전 판타지</v>
      </c>
    </row>
    <row r="394" spans="1:59">
      <c r="A394" t="s">
        <v>60</v>
      </c>
      <c r="B394" s="1">
        <v>46129</v>
      </c>
      <c r="C394">
        <v>2378077912</v>
      </c>
      <c r="D394">
        <v>2378080501</v>
      </c>
      <c r="E394" t="str">
        <f>T("[e북]블랙배저 22권 (완결)")</f>
        <v>[e북]블랙배저 22권 (완결)</v>
      </c>
      <c r="F394">
        <v>22</v>
      </c>
      <c r="G394" t="str">
        <f>T("썬터다운")</f>
        <v>썬터다운</v>
      </c>
      <c r="J394" t="str">
        <f>T("매드햇")</f>
        <v>매드햇</v>
      </c>
      <c r="K394" t="str">
        <f>T("[e북]블랙배저")</f>
        <v>[e북]블랙배저</v>
      </c>
      <c r="L394">
        <v>3200</v>
      </c>
      <c r="M394">
        <v>16000</v>
      </c>
      <c r="N394">
        <v>5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16000</v>
      </c>
      <c r="AJ394">
        <v>5</v>
      </c>
      <c r="AK394">
        <v>0</v>
      </c>
      <c r="AL394">
        <v>0</v>
      </c>
      <c r="AM394">
        <v>16000</v>
      </c>
      <c r="AN394">
        <v>0</v>
      </c>
      <c r="AO394">
        <v>0</v>
      </c>
      <c r="AP394">
        <v>0</v>
      </c>
      <c r="AQ394">
        <v>0</v>
      </c>
      <c r="AS394">
        <v>0</v>
      </c>
      <c r="AT394">
        <v>0</v>
      </c>
      <c r="AV394">
        <v>0</v>
      </c>
      <c r="AW394">
        <v>0</v>
      </c>
      <c r="AY394">
        <v>0</v>
      </c>
      <c r="AZ394">
        <v>0</v>
      </c>
      <c r="BA394">
        <v>11200</v>
      </c>
      <c r="BF394" t="str">
        <f>T("D225735")</f>
        <v>D225735</v>
      </c>
      <c r="BG394" t="str">
        <f>T("판타지 e북 &gt; 퓨전 판타지")</f>
        <v>판타지 e북 &gt; 퓨전 판타지</v>
      </c>
    </row>
    <row r="395" spans="1:59">
      <c r="A395" t="s">
        <v>60</v>
      </c>
      <c r="B395" s="1">
        <v>46130</v>
      </c>
      <c r="C395">
        <v>2378077912</v>
      </c>
      <c r="D395">
        <v>2378077916</v>
      </c>
      <c r="E395" t="str">
        <f>T("[e북]블랙배저 5권")</f>
        <v>[e북]블랙배저 5권</v>
      </c>
      <c r="F395">
        <v>5</v>
      </c>
      <c r="G395" t="str">
        <f>T("썬터다운")</f>
        <v>썬터다운</v>
      </c>
      <c r="J395" t="str">
        <f>T("매드햇")</f>
        <v>매드햇</v>
      </c>
      <c r="K395" t="str">
        <f>T("[e북]블랙배저")</f>
        <v>[e북]블랙배저</v>
      </c>
      <c r="L395">
        <v>3200</v>
      </c>
      <c r="M395">
        <v>16000</v>
      </c>
      <c r="N395">
        <v>5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16000</v>
      </c>
      <c r="AJ395">
        <v>5</v>
      </c>
      <c r="AK395">
        <v>0</v>
      </c>
      <c r="AL395">
        <v>0</v>
      </c>
      <c r="AM395">
        <v>16000</v>
      </c>
      <c r="AN395">
        <v>0</v>
      </c>
      <c r="AO395">
        <v>0</v>
      </c>
      <c r="AP395">
        <v>0</v>
      </c>
      <c r="AQ395">
        <v>0</v>
      </c>
      <c r="AS395">
        <v>0</v>
      </c>
      <c r="AT395">
        <v>0</v>
      </c>
      <c r="AV395">
        <v>0</v>
      </c>
      <c r="AW395">
        <v>0</v>
      </c>
      <c r="AY395">
        <v>0</v>
      </c>
      <c r="AZ395">
        <v>0</v>
      </c>
      <c r="BA395">
        <v>11200</v>
      </c>
      <c r="BE395" t="str">
        <f>T("9791137010895")</f>
        <v>9791137010895</v>
      </c>
      <c r="BF395" t="str">
        <f>T("D130171")</f>
        <v>D130171</v>
      </c>
      <c r="BG395" t="str">
        <f>T("판타지 e북 &gt; 퓨전 판타지")</f>
        <v>판타지 e북 &gt; 퓨전 판타지</v>
      </c>
    </row>
    <row r="396" spans="1:59">
      <c r="A396" t="s">
        <v>60</v>
      </c>
      <c r="B396" s="1">
        <v>46130</v>
      </c>
      <c r="C396">
        <v>2378077912</v>
      </c>
      <c r="D396">
        <v>2378079000</v>
      </c>
      <c r="E396" t="str">
        <f>T("[e북]블랙배저 15권")</f>
        <v>[e북]블랙배저 15권</v>
      </c>
      <c r="F396">
        <v>15</v>
      </c>
      <c r="G396" t="str">
        <f>T("썬터다운")</f>
        <v>썬터다운</v>
      </c>
      <c r="J396" t="str">
        <f>T("매드햇")</f>
        <v>매드햇</v>
      </c>
      <c r="K396" t="str">
        <f>T("[e북]블랙배저")</f>
        <v>[e북]블랙배저</v>
      </c>
      <c r="L396">
        <v>3200</v>
      </c>
      <c r="M396">
        <v>12800</v>
      </c>
      <c r="N396">
        <v>4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12800</v>
      </c>
      <c r="AJ396">
        <v>4</v>
      </c>
      <c r="AK396">
        <v>0</v>
      </c>
      <c r="AL396">
        <v>0</v>
      </c>
      <c r="AM396">
        <v>12800</v>
      </c>
      <c r="AN396">
        <v>0</v>
      </c>
      <c r="AO396">
        <v>0</v>
      </c>
      <c r="AP396">
        <v>0</v>
      </c>
      <c r="AQ396">
        <v>0</v>
      </c>
      <c r="AS396">
        <v>0</v>
      </c>
      <c r="AT396">
        <v>0</v>
      </c>
      <c r="AV396">
        <v>0</v>
      </c>
      <c r="AW396">
        <v>0</v>
      </c>
      <c r="AY396">
        <v>0</v>
      </c>
      <c r="AZ396">
        <v>0</v>
      </c>
      <c r="BA396">
        <v>8960</v>
      </c>
      <c r="BF396" t="str">
        <f>T("D170952")</f>
        <v>D170952</v>
      </c>
      <c r="BG396" t="str">
        <f>T("판타지 e북 &gt; 퓨전 판타지")</f>
        <v>판타지 e북 &gt; 퓨전 판타지</v>
      </c>
    </row>
    <row r="397" spans="1:59">
      <c r="A397" t="s">
        <v>60</v>
      </c>
      <c r="B397" s="1">
        <v>46130</v>
      </c>
      <c r="C397">
        <v>2378077912</v>
      </c>
      <c r="D397">
        <v>2378079001</v>
      </c>
      <c r="E397" t="str">
        <f>T("[e북]블랙배저 16권")</f>
        <v>[e북]블랙배저 16권</v>
      </c>
      <c r="F397">
        <v>16</v>
      </c>
      <c r="G397" t="str">
        <f>T("썬터다운")</f>
        <v>썬터다운</v>
      </c>
      <c r="J397" t="str">
        <f>T("매드햇")</f>
        <v>매드햇</v>
      </c>
      <c r="K397" t="str">
        <f>T("[e북]블랙배저")</f>
        <v>[e북]블랙배저</v>
      </c>
      <c r="L397">
        <v>3200</v>
      </c>
      <c r="M397">
        <v>12800</v>
      </c>
      <c r="N397">
        <v>4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12800</v>
      </c>
      <c r="AJ397">
        <v>4</v>
      </c>
      <c r="AK397">
        <v>0</v>
      </c>
      <c r="AL397">
        <v>0</v>
      </c>
      <c r="AM397">
        <v>12800</v>
      </c>
      <c r="AN397">
        <v>0</v>
      </c>
      <c r="AO397">
        <v>0</v>
      </c>
      <c r="AP397">
        <v>0</v>
      </c>
      <c r="AQ397">
        <v>0</v>
      </c>
      <c r="AS397">
        <v>0</v>
      </c>
      <c r="AT397">
        <v>0</v>
      </c>
      <c r="AV397">
        <v>0</v>
      </c>
      <c r="AW397">
        <v>0</v>
      </c>
      <c r="AY397">
        <v>0</v>
      </c>
      <c r="AZ397">
        <v>0</v>
      </c>
      <c r="BA397">
        <v>8960</v>
      </c>
      <c r="BF397" t="str">
        <f>T("D170953")</f>
        <v>D170953</v>
      </c>
      <c r="BG397" t="str">
        <f>T("판타지 e북 &gt; 퓨전 판타지")</f>
        <v>판타지 e북 &gt; 퓨전 판타지</v>
      </c>
    </row>
    <row r="398" spans="1:59">
      <c r="A398" t="s">
        <v>60</v>
      </c>
      <c r="B398" s="1">
        <v>46130</v>
      </c>
      <c r="C398">
        <v>2378077912</v>
      </c>
      <c r="D398">
        <v>2378080499</v>
      </c>
      <c r="E398" t="str">
        <f>T("[e북]블랙배저 20권")</f>
        <v>[e북]블랙배저 20권</v>
      </c>
      <c r="F398">
        <v>20</v>
      </c>
      <c r="G398" t="str">
        <f>T("썬터다운")</f>
        <v>썬터다운</v>
      </c>
      <c r="J398" t="str">
        <f>T("매드햇")</f>
        <v>매드햇</v>
      </c>
      <c r="K398" t="str">
        <f>T("[e북]블랙배저")</f>
        <v>[e북]블랙배저</v>
      </c>
      <c r="L398">
        <v>3200</v>
      </c>
      <c r="M398">
        <v>22400</v>
      </c>
      <c r="N398">
        <v>7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22400</v>
      </c>
      <c r="AJ398">
        <v>7</v>
      </c>
      <c r="AK398">
        <v>0</v>
      </c>
      <c r="AL398">
        <v>0</v>
      </c>
      <c r="AM398">
        <v>22400</v>
      </c>
      <c r="AN398">
        <v>0</v>
      </c>
      <c r="AO398">
        <v>0</v>
      </c>
      <c r="AP398">
        <v>0</v>
      </c>
      <c r="AQ398">
        <v>0</v>
      </c>
      <c r="AS398">
        <v>0</v>
      </c>
      <c r="AT398">
        <v>0</v>
      </c>
      <c r="AV398">
        <v>0</v>
      </c>
      <c r="AW398">
        <v>0</v>
      </c>
      <c r="AY398">
        <v>0</v>
      </c>
      <c r="AZ398">
        <v>0</v>
      </c>
      <c r="BA398">
        <v>15680</v>
      </c>
      <c r="BF398" t="str">
        <f>T("D225733")</f>
        <v>D225733</v>
      </c>
      <c r="BG398" t="str">
        <f>T("판타지 e북 &gt; 퓨전 판타지")</f>
        <v>판타지 e북 &gt; 퓨전 판타지</v>
      </c>
    </row>
    <row r="399" spans="1:59">
      <c r="A399" t="s">
        <v>60</v>
      </c>
      <c r="B399" s="1">
        <v>46130</v>
      </c>
      <c r="C399">
        <v>2378077912</v>
      </c>
      <c r="D399">
        <v>2378077914</v>
      </c>
      <c r="E399" t="str">
        <f>T("[e북]블랙배저 3권")</f>
        <v>[e북]블랙배저 3권</v>
      </c>
      <c r="F399">
        <v>3</v>
      </c>
      <c r="G399" t="str">
        <f>T("썬터다운")</f>
        <v>썬터다운</v>
      </c>
      <c r="J399" t="str">
        <f>T("매드햇")</f>
        <v>매드햇</v>
      </c>
      <c r="K399" t="str">
        <f>T("[e북]블랙배저")</f>
        <v>[e북]블랙배저</v>
      </c>
      <c r="L399">
        <v>3200</v>
      </c>
      <c r="M399">
        <v>9600</v>
      </c>
      <c r="N399">
        <v>3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9600</v>
      </c>
      <c r="AJ399">
        <v>3</v>
      </c>
      <c r="AK399">
        <v>0</v>
      </c>
      <c r="AL399">
        <v>0</v>
      </c>
      <c r="AM399">
        <v>9600</v>
      </c>
      <c r="AN399">
        <v>0</v>
      </c>
      <c r="AO399">
        <v>0</v>
      </c>
      <c r="AP399">
        <v>0</v>
      </c>
      <c r="AQ399">
        <v>0</v>
      </c>
      <c r="AS399">
        <v>0</v>
      </c>
      <c r="AT399">
        <v>0</v>
      </c>
      <c r="AV399">
        <v>0</v>
      </c>
      <c r="AW399">
        <v>0</v>
      </c>
      <c r="AY399">
        <v>0</v>
      </c>
      <c r="AZ399">
        <v>0</v>
      </c>
      <c r="BA399">
        <v>6720</v>
      </c>
      <c r="BE399" t="str">
        <f>T("9791137010871")</f>
        <v>9791137010871</v>
      </c>
      <c r="BF399" t="str">
        <f>T("D130169")</f>
        <v>D130169</v>
      </c>
      <c r="BG399" t="str">
        <f>T("판타지 e북 &gt; 퓨전 판타지")</f>
        <v>판타지 e북 &gt; 퓨전 판타지</v>
      </c>
    </row>
    <row r="400" spans="1:59">
      <c r="A400" t="s">
        <v>60</v>
      </c>
      <c r="B400" s="1">
        <v>46130</v>
      </c>
      <c r="C400">
        <v>2378077912</v>
      </c>
      <c r="D400">
        <v>2378078995</v>
      </c>
      <c r="E400" t="str">
        <f>T("[e북]블랙배저 10권")</f>
        <v>[e북]블랙배저 10권</v>
      </c>
      <c r="F400">
        <v>10</v>
      </c>
      <c r="G400" t="str">
        <f>T("썬터다운")</f>
        <v>썬터다운</v>
      </c>
      <c r="J400" t="str">
        <f>T("매드햇")</f>
        <v>매드햇</v>
      </c>
      <c r="K400" t="str">
        <f>T("[e북]블랙배저")</f>
        <v>[e북]블랙배저</v>
      </c>
      <c r="L400">
        <v>3200</v>
      </c>
      <c r="M400">
        <v>12800</v>
      </c>
      <c r="N400">
        <v>4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12800</v>
      </c>
      <c r="AJ400">
        <v>4</v>
      </c>
      <c r="AK400">
        <v>0</v>
      </c>
      <c r="AL400">
        <v>0</v>
      </c>
      <c r="AM400">
        <v>12800</v>
      </c>
      <c r="AN400">
        <v>0</v>
      </c>
      <c r="AO400">
        <v>0</v>
      </c>
      <c r="AP400">
        <v>0</v>
      </c>
      <c r="AQ400">
        <v>0</v>
      </c>
      <c r="AS400">
        <v>0</v>
      </c>
      <c r="AT400">
        <v>0</v>
      </c>
      <c r="AV400">
        <v>0</v>
      </c>
      <c r="AW400">
        <v>0</v>
      </c>
      <c r="AY400">
        <v>0</v>
      </c>
      <c r="AZ400">
        <v>0</v>
      </c>
      <c r="BA400">
        <v>8960</v>
      </c>
      <c r="BF400" t="str">
        <f>T("D170947")</f>
        <v>D170947</v>
      </c>
      <c r="BG400" t="str">
        <f>T("판타지 e북 &gt; 퓨전 판타지")</f>
        <v>판타지 e북 &gt; 퓨전 판타지</v>
      </c>
    </row>
    <row r="401" spans="1:59">
      <c r="A401" t="s">
        <v>60</v>
      </c>
      <c r="B401" s="1">
        <v>46130</v>
      </c>
      <c r="C401">
        <v>2378077912</v>
      </c>
      <c r="D401">
        <v>2378077912</v>
      </c>
      <c r="E401" t="str">
        <f>T("[e북]블랙배저 1권")</f>
        <v>[e북]블랙배저 1권</v>
      </c>
      <c r="F401">
        <v>1</v>
      </c>
      <c r="G401" t="str">
        <f>T("썬터다운")</f>
        <v>썬터다운</v>
      </c>
      <c r="J401" t="str">
        <f>T("매드햇")</f>
        <v>매드햇</v>
      </c>
      <c r="K401" t="str">
        <f>T("[e북]블랙배저")</f>
        <v>[e북]블랙배저</v>
      </c>
      <c r="L401">
        <v>0</v>
      </c>
      <c r="M401">
        <v>0</v>
      </c>
      <c r="N401">
        <v>0</v>
      </c>
      <c r="O401">
        <v>11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11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S401">
        <v>0</v>
      </c>
      <c r="AT401">
        <v>0</v>
      </c>
      <c r="AV401">
        <v>0</v>
      </c>
      <c r="AW401">
        <v>0</v>
      </c>
      <c r="AY401">
        <v>0</v>
      </c>
      <c r="AZ401">
        <v>0</v>
      </c>
      <c r="BA401">
        <v>0</v>
      </c>
      <c r="BE401" t="str">
        <f>T("9791137010857")</f>
        <v>9791137010857</v>
      </c>
      <c r="BF401" t="str">
        <f>T("D130167")</f>
        <v>D130167</v>
      </c>
      <c r="BG401" t="str">
        <f>T("판타지 e북 &gt; 퓨전 판타지")</f>
        <v>판타지 e북 &gt; 퓨전 판타지</v>
      </c>
    </row>
    <row r="402" spans="1:59">
      <c r="A402" t="s">
        <v>60</v>
      </c>
      <c r="B402" s="1">
        <v>46130</v>
      </c>
      <c r="C402">
        <v>2378077912</v>
      </c>
      <c r="D402">
        <v>2378080497</v>
      </c>
      <c r="E402" t="str">
        <f>T("[e북]블랙배저 18권")</f>
        <v>[e북]블랙배저 18권</v>
      </c>
      <c r="F402">
        <v>18</v>
      </c>
      <c r="G402" t="str">
        <f>T("썬터다운")</f>
        <v>썬터다운</v>
      </c>
      <c r="J402" t="str">
        <f>T("매드햇")</f>
        <v>매드햇</v>
      </c>
      <c r="K402" t="str">
        <f>T("[e북]블랙배저")</f>
        <v>[e북]블랙배저</v>
      </c>
      <c r="L402">
        <v>3200</v>
      </c>
      <c r="M402">
        <v>25600</v>
      </c>
      <c r="N402">
        <v>8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25600</v>
      </c>
      <c r="AJ402">
        <v>8</v>
      </c>
      <c r="AK402">
        <v>0</v>
      </c>
      <c r="AL402">
        <v>0</v>
      </c>
      <c r="AM402">
        <v>25600</v>
      </c>
      <c r="AN402">
        <v>0</v>
      </c>
      <c r="AO402">
        <v>0</v>
      </c>
      <c r="AP402">
        <v>0</v>
      </c>
      <c r="AQ402">
        <v>0</v>
      </c>
      <c r="AS402">
        <v>0</v>
      </c>
      <c r="AT402">
        <v>0</v>
      </c>
      <c r="AV402">
        <v>0</v>
      </c>
      <c r="AW402">
        <v>0</v>
      </c>
      <c r="AY402">
        <v>0</v>
      </c>
      <c r="AZ402">
        <v>0</v>
      </c>
      <c r="BA402">
        <v>17920</v>
      </c>
      <c r="BF402" t="str">
        <f>T("D225731")</f>
        <v>D225731</v>
      </c>
      <c r="BG402" t="str">
        <f>T("판타지 e북 &gt; 퓨전 판타지")</f>
        <v>판타지 e북 &gt; 퓨전 판타지</v>
      </c>
    </row>
    <row r="403" spans="1:59">
      <c r="A403" t="s">
        <v>60</v>
      </c>
      <c r="B403" s="1">
        <v>46130</v>
      </c>
      <c r="C403">
        <v>2378077912</v>
      </c>
      <c r="D403">
        <v>2378077913</v>
      </c>
      <c r="E403" t="str">
        <f>T("[e북]블랙배저 2권")</f>
        <v>[e북]블랙배저 2권</v>
      </c>
      <c r="F403">
        <v>2</v>
      </c>
      <c r="G403" t="str">
        <f>T("썬터다운")</f>
        <v>썬터다운</v>
      </c>
      <c r="J403" t="str">
        <f>T("매드햇")</f>
        <v>매드햇</v>
      </c>
      <c r="K403" t="str">
        <f>T("[e북]블랙배저")</f>
        <v>[e북]블랙배저</v>
      </c>
      <c r="L403">
        <v>3200</v>
      </c>
      <c r="M403">
        <v>9600</v>
      </c>
      <c r="N403">
        <v>3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0</v>
      </c>
      <c r="AH403">
        <v>0</v>
      </c>
      <c r="AI403">
        <v>9600</v>
      </c>
      <c r="AJ403">
        <v>3</v>
      </c>
      <c r="AK403">
        <v>0</v>
      </c>
      <c r="AL403">
        <v>0</v>
      </c>
      <c r="AM403">
        <v>6400</v>
      </c>
      <c r="AN403">
        <v>0</v>
      </c>
      <c r="AO403">
        <v>3840</v>
      </c>
      <c r="AP403">
        <v>-384</v>
      </c>
      <c r="AQ403">
        <v>0</v>
      </c>
      <c r="AS403">
        <v>0</v>
      </c>
      <c r="AT403">
        <v>0</v>
      </c>
      <c r="AU403">
        <v>3840</v>
      </c>
      <c r="AV403">
        <v>-384</v>
      </c>
      <c r="AW403">
        <v>0</v>
      </c>
      <c r="AY403">
        <v>0</v>
      </c>
      <c r="AZ403">
        <v>0</v>
      </c>
      <c r="BA403">
        <v>6899.2</v>
      </c>
      <c r="BE403" t="str">
        <f>T("9791137010864")</f>
        <v>9791137010864</v>
      </c>
      <c r="BF403" t="str">
        <f>T("D130168")</f>
        <v>D130168</v>
      </c>
      <c r="BG403" t="str">
        <f>T("판타지 e북 &gt; 퓨전 판타지")</f>
        <v>판타지 e북 &gt; 퓨전 판타지</v>
      </c>
    </row>
    <row r="404" spans="1:59">
      <c r="A404" t="s">
        <v>60</v>
      </c>
      <c r="B404" s="1">
        <v>46130</v>
      </c>
      <c r="C404">
        <v>2378077912</v>
      </c>
      <c r="D404">
        <v>2378077915</v>
      </c>
      <c r="E404" t="str">
        <f>T("[e북]블랙배저 4권")</f>
        <v>[e북]블랙배저 4권</v>
      </c>
      <c r="F404">
        <v>4</v>
      </c>
      <c r="G404" t="str">
        <f>T("썬터다운")</f>
        <v>썬터다운</v>
      </c>
      <c r="J404" t="str">
        <f>T("매드햇")</f>
        <v>매드햇</v>
      </c>
      <c r="K404" t="str">
        <f>T("[e북]블랙배저")</f>
        <v>[e북]블랙배저</v>
      </c>
      <c r="L404">
        <v>3200</v>
      </c>
      <c r="M404">
        <v>9600</v>
      </c>
      <c r="N404">
        <v>3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9600</v>
      </c>
      <c r="AJ404">
        <v>3</v>
      </c>
      <c r="AK404">
        <v>0</v>
      </c>
      <c r="AL404">
        <v>0</v>
      </c>
      <c r="AM404">
        <v>9600</v>
      </c>
      <c r="AN404">
        <v>0</v>
      </c>
      <c r="AO404">
        <v>0</v>
      </c>
      <c r="AP404">
        <v>0</v>
      </c>
      <c r="AQ404">
        <v>0</v>
      </c>
      <c r="AS404">
        <v>0</v>
      </c>
      <c r="AT404">
        <v>0</v>
      </c>
      <c r="AV404">
        <v>0</v>
      </c>
      <c r="AW404">
        <v>0</v>
      </c>
      <c r="AY404">
        <v>0</v>
      </c>
      <c r="AZ404">
        <v>0</v>
      </c>
      <c r="BA404">
        <v>6720</v>
      </c>
      <c r="BE404" t="str">
        <f>T("9791137010888")</f>
        <v>9791137010888</v>
      </c>
      <c r="BF404" t="str">
        <f>T("D130170")</f>
        <v>D130170</v>
      </c>
      <c r="BG404" t="str">
        <f>T("판타지 e북 &gt; 퓨전 판타지")</f>
        <v>판타지 e북 &gt; 퓨전 판타지</v>
      </c>
    </row>
    <row r="405" spans="1:59">
      <c r="A405" t="s">
        <v>60</v>
      </c>
      <c r="B405" s="1">
        <v>46130</v>
      </c>
      <c r="C405">
        <v>2378077912</v>
      </c>
      <c r="D405">
        <v>2378077917</v>
      </c>
      <c r="E405" t="str">
        <f>T("[e북]블랙배저 6권")</f>
        <v>[e북]블랙배저 6권</v>
      </c>
      <c r="F405">
        <v>6</v>
      </c>
      <c r="G405" t="str">
        <f>T("썬터다운")</f>
        <v>썬터다운</v>
      </c>
      <c r="J405" t="str">
        <f>T("매드햇")</f>
        <v>매드햇</v>
      </c>
      <c r="K405" t="str">
        <f>T("[e북]블랙배저")</f>
        <v>[e북]블랙배저</v>
      </c>
      <c r="L405">
        <v>3200</v>
      </c>
      <c r="M405">
        <v>6400</v>
      </c>
      <c r="N405">
        <v>2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6400</v>
      </c>
      <c r="AJ405">
        <v>2</v>
      </c>
      <c r="AK405">
        <v>0</v>
      </c>
      <c r="AL405">
        <v>0</v>
      </c>
      <c r="AM405">
        <v>6400</v>
      </c>
      <c r="AN405">
        <v>0</v>
      </c>
      <c r="AO405">
        <v>0</v>
      </c>
      <c r="AP405">
        <v>0</v>
      </c>
      <c r="AQ405">
        <v>0</v>
      </c>
      <c r="AS405">
        <v>0</v>
      </c>
      <c r="AT405">
        <v>0</v>
      </c>
      <c r="AV405">
        <v>0</v>
      </c>
      <c r="AW405">
        <v>0</v>
      </c>
      <c r="AY405">
        <v>0</v>
      </c>
      <c r="AZ405">
        <v>0</v>
      </c>
      <c r="BA405">
        <v>4480</v>
      </c>
      <c r="BE405" t="str">
        <f>T("9791137010901")</f>
        <v>9791137010901</v>
      </c>
      <c r="BF405" t="str">
        <f>T("D130172")</f>
        <v>D130172</v>
      </c>
      <c r="BG405" t="str">
        <f>T("판타지 e북 &gt; 퓨전 판타지")</f>
        <v>판타지 e북 &gt; 퓨전 판타지</v>
      </c>
    </row>
    <row r="406" spans="1:59">
      <c r="A406" t="s">
        <v>60</v>
      </c>
      <c r="B406" s="1">
        <v>46130</v>
      </c>
      <c r="C406">
        <v>2378077912</v>
      </c>
      <c r="D406">
        <v>2378077918</v>
      </c>
      <c r="E406" t="str">
        <f>T("[e북]블랙배저 7권")</f>
        <v>[e북]블랙배저 7권</v>
      </c>
      <c r="F406">
        <v>7</v>
      </c>
      <c r="G406" t="str">
        <f>T("썬터다운")</f>
        <v>썬터다운</v>
      </c>
      <c r="J406" t="str">
        <f>T("매드햇")</f>
        <v>매드햇</v>
      </c>
      <c r="K406" t="str">
        <f>T("[e북]블랙배저")</f>
        <v>[e북]블랙배저</v>
      </c>
      <c r="L406">
        <v>3200</v>
      </c>
      <c r="M406">
        <v>6400</v>
      </c>
      <c r="N406">
        <v>2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6400</v>
      </c>
      <c r="AJ406">
        <v>2</v>
      </c>
      <c r="AK406">
        <v>0</v>
      </c>
      <c r="AL406">
        <v>0</v>
      </c>
      <c r="AM406">
        <v>6400</v>
      </c>
      <c r="AN406">
        <v>0</v>
      </c>
      <c r="AO406">
        <v>0</v>
      </c>
      <c r="AP406">
        <v>0</v>
      </c>
      <c r="AQ406">
        <v>0</v>
      </c>
      <c r="AS406">
        <v>0</v>
      </c>
      <c r="AT406">
        <v>0</v>
      </c>
      <c r="AV406">
        <v>0</v>
      </c>
      <c r="AW406">
        <v>0</v>
      </c>
      <c r="AY406">
        <v>0</v>
      </c>
      <c r="AZ406">
        <v>0</v>
      </c>
      <c r="BA406">
        <v>4480</v>
      </c>
      <c r="BE406" t="str">
        <f>T("9791137010918")</f>
        <v>9791137010918</v>
      </c>
      <c r="BF406" t="str">
        <f>T("D130173")</f>
        <v>D130173</v>
      </c>
      <c r="BG406" t="str">
        <f>T("판타지 e북 &gt; 퓨전 판타지")</f>
        <v>판타지 e북 &gt; 퓨전 판타지</v>
      </c>
    </row>
    <row r="407" spans="1:59">
      <c r="A407" t="s">
        <v>60</v>
      </c>
      <c r="B407" s="1">
        <v>46130</v>
      </c>
      <c r="C407">
        <v>2378077912</v>
      </c>
      <c r="D407">
        <v>2378078993</v>
      </c>
      <c r="E407" t="str">
        <f>T("[e북]블랙배저 8권")</f>
        <v>[e북]블랙배저 8권</v>
      </c>
      <c r="F407">
        <v>8</v>
      </c>
      <c r="G407" t="str">
        <f>T("썬터다운")</f>
        <v>썬터다운</v>
      </c>
      <c r="J407" t="str">
        <f>T("매드햇")</f>
        <v>매드햇</v>
      </c>
      <c r="K407" t="str">
        <f>T("[e북]블랙배저")</f>
        <v>[e북]블랙배저</v>
      </c>
      <c r="L407">
        <v>3200</v>
      </c>
      <c r="M407">
        <v>6400</v>
      </c>
      <c r="N407">
        <v>2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6400</v>
      </c>
      <c r="AJ407">
        <v>2</v>
      </c>
      <c r="AK407">
        <v>0</v>
      </c>
      <c r="AL407">
        <v>0</v>
      </c>
      <c r="AM407">
        <v>6400</v>
      </c>
      <c r="AN407">
        <v>0</v>
      </c>
      <c r="AO407">
        <v>0</v>
      </c>
      <c r="AP407">
        <v>0</v>
      </c>
      <c r="AQ407">
        <v>0</v>
      </c>
      <c r="AS407">
        <v>0</v>
      </c>
      <c r="AT407">
        <v>0</v>
      </c>
      <c r="AV407">
        <v>0</v>
      </c>
      <c r="AW407">
        <v>0</v>
      </c>
      <c r="AY407">
        <v>0</v>
      </c>
      <c r="AZ407">
        <v>0</v>
      </c>
      <c r="BA407">
        <v>4480</v>
      </c>
      <c r="BF407" t="str">
        <f>T("D170945")</f>
        <v>D170945</v>
      </c>
      <c r="BG407" t="str">
        <f>T("판타지 e북 &gt; 퓨전 판타지")</f>
        <v>판타지 e북 &gt; 퓨전 판타지</v>
      </c>
    </row>
    <row r="408" spans="1:59">
      <c r="A408" t="s">
        <v>60</v>
      </c>
      <c r="B408" s="1">
        <v>46130</v>
      </c>
      <c r="C408">
        <v>2378077912</v>
      </c>
      <c r="D408">
        <v>2378078994</v>
      </c>
      <c r="E408" t="str">
        <f>T("[e북]블랙배저 9권")</f>
        <v>[e북]블랙배저 9권</v>
      </c>
      <c r="F408">
        <v>9</v>
      </c>
      <c r="G408" t="str">
        <f>T("썬터다운")</f>
        <v>썬터다운</v>
      </c>
      <c r="J408" t="str">
        <f>T("매드햇")</f>
        <v>매드햇</v>
      </c>
      <c r="K408" t="str">
        <f>T("[e북]블랙배저")</f>
        <v>[e북]블랙배저</v>
      </c>
      <c r="L408">
        <v>3200</v>
      </c>
      <c r="M408">
        <v>6400</v>
      </c>
      <c r="N408">
        <v>2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6400</v>
      </c>
      <c r="AJ408">
        <v>2</v>
      </c>
      <c r="AK408">
        <v>0</v>
      </c>
      <c r="AL408">
        <v>0</v>
      </c>
      <c r="AM408">
        <v>6400</v>
      </c>
      <c r="AN408">
        <v>0</v>
      </c>
      <c r="AO408">
        <v>0</v>
      </c>
      <c r="AP408">
        <v>0</v>
      </c>
      <c r="AQ408">
        <v>0</v>
      </c>
      <c r="AS408">
        <v>0</v>
      </c>
      <c r="AT408">
        <v>0</v>
      </c>
      <c r="AV408">
        <v>0</v>
      </c>
      <c r="AW408">
        <v>0</v>
      </c>
      <c r="AY408">
        <v>0</v>
      </c>
      <c r="AZ408">
        <v>0</v>
      </c>
      <c r="BA408">
        <v>4480</v>
      </c>
      <c r="BF408" t="str">
        <f>T("D170946")</f>
        <v>D170946</v>
      </c>
      <c r="BG408" t="str">
        <f>T("판타지 e북 &gt; 퓨전 판타지")</f>
        <v>판타지 e북 &gt; 퓨전 판타지</v>
      </c>
    </row>
    <row r="409" spans="1:59">
      <c r="A409" t="s">
        <v>60</v>
      </c>
      <c r="B409" s="1">
        <v>46130</v>
      </c>
      <c r="C409">
        <v>2378077912</v>
      </c>
      <c r="D409">
        <v>2378078996</v>
      </c>
      <c r="E409" t="str">
        <f>T("[e북]블랙배저 11권")</f>
        <v>[e북]블랙배저 11권</v>
      </c>
      <c r="F409">
        <v>11</v>
      </c>
      <c r="G409" t="str">
        <f>T("썬터다운")</f>
        <v>썬터다운</v>
      </c>
      <c r="J409" t="str">
        <f>T("매드햇")</f>
        <v>매드햇</v>
      </c>
      <c r="K409" t="str">
        <f>T("[e북]블랙배저")</f>
        <v>[e북]블랙배저</v>
      </c>
      <c r="L409">
        <v>3200</v>
      </c>
      <c r="M409">
        <v>9600</v>
      </c>
      <c r="N409">
        <v>3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9600</v>
      </c>
      <c r="AJ409">
        <v>3</v>
      </c>
      <c r="AK409">
        <v>0</v>
      </c>
      <c r="AL409">
        <v>0</v>
      </c>
      <c r="AM409">
        <v>9600</v>
      </c>
      <c r="AN409">
        <v>0</v>
      </c>
      <c r="AO409">
        <v>0</v>
      </c>
      <c r="AP409">
        <v>0</v>
      </c>
      <c r="AQ409">
        <v>0</v>
      </c>
      <c r="AS409">
        <v>0</v>
      </c>
      <c r="AT409">
        <v>0</v>
      </c>
      <c r="AV409">
        <v>0</v>
      </c>
      <c r="AW409">
        <v>0</v>
      </c>
      <c r="AY409">
        <v>0</v>
      </c>
      <c r="AZ409">
        <v>0</v>
      </c>
      <c r="BA409">
        <v>6720</v>
      </c>
      <c r="BF409" t="str">
        <f>T("D170948")</f>
        <v>D170948</v>
      </c>
      <c r="BG409" t="str">
        <f>T("판타지 e북 &gt; 퓨전 판타지")</f>
        <v>판타지 e북 &gt; 퓨전 판타지</v>
      </c>
    </row>
    <row r="410" spans="1:59">
      <c r="A410" t="s">
        <v>60</v>
      </c>
      <c r="B410" s="1">
        <v>46130</v>
      </c>
      <c r="C410">
        <v>2378077912</v>
      </c>
      <c r="D410">
        <v>2378078997</v>
      </c>
      <c r="E410" t="str">
        <f>T("[e북]블랙배저 12권")</f>
        <v>[e북]블랙배저 12권</v>
      </c>
      <c r="F410">
        <v>12</v>
      </c>
      <c r="G410" t="str">
        <f>T("썬터다운")</f>
        <v>썬터다운</v>
      </c>
      <c r="J410" t="str">
        <f>T("매드햇")</f>
        <v>매드햇</v>
      </c>
      <c r="K410" t="str">
        <f>T("[e북]블랙배저")</f>
        <v>[e북]블랙배저</v>
      </c>
      <c r="L410">
        <v>3200</v>
      </c>
      <c r="M410">
        <v>12800</v>
      </c>
      <c r="N410">
        <v>4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12800</v>
      </c>
      <c r="AJ410">
        <v>4</v>
      </c>
      <c r="AK410">
        <v>0</v>
      </c>
      <c r="AL410">
        <v>0</v>
      </c>
      <c r="AM410">
        <v>12800</v>
      </c>
      <c r="AN410">
        <v>0</v>
      </c>
      <c r="AO410">
        <v>0</v>
      </c>
      <c r="AP410">
        <v>0</v>
      </c>
      <c r="AQ410">
        <v>0</v>
      </c>
      <c r="AS410">
        <v>0</v>
      </c>
      <c r="AT410">
        <v>0</v>
      </c>
      <c r="AV410">
        <v>0</v>
      </c>
      <c r="AW410">
        <v>0</v>
      </c>
      <c r="AY410">
        <v>0</v>
      </c>
      <c r="AZ410">
        <v>0</v>
      </c>
      <c r="BA410">
        <v>8960</v>
      </c>
      <c r="BF410" t="str">
        <f>T("D170949")</f>
        <v>D170949</v>
      </c>
      <c r="BG410" t="str">
        <f>T("판타지 e북 &gt; 퓨전 판타지")</f>
        <v>판타지 e북 &gt; 퓨전 판타지</v>
      </c>
    </row>
    <row r="411" spans="1:59">
      <c r="A411" t="s">
        <v>60</v>
      </c>
      <c r="B411" s="1">
        <v>46130</v>
      </c>
      <c r="C411">
        <v>2378077912</v>
      </c>
      <c r="D411">
        <v>2378078998</v>
      </c>
      <c r="E411" t="str">
        <f>T("[e북]블랙배저 13권")</f>
        <v>[e북]블랙배저 13권</v>
      </c>
      <c r="F411">
        <v>13</v>
      </c>
      <c r="G411" t="str">
        <f>T("썬터다운")</f>
        <v>썬터다운</v>
      </c>
      <c r="J411" t="str">
        <f>T("매드햇")</f>
        <v>매드햇</v>
      </c>
      <c r="K411" t="str">
        <f>T("[e북]블랙배저")</f>
        <v>[e북]블랙배저</v>
      </c>
      <c r="L411">
        <v>3200</v>
      </c>
      <c r="M411">
        <v>19200</v>
      </c>
      <c r="N411">
        <v>6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19200</v>
      </c>
      <c r="AJ411">
        <v>6</v>
      </c>
      <c r="AK411">
        <v>0</v>
      </c>
      <c r="AL411">
        <v>0</v>
      </c>
      <c r="AM411">
        <v>19200</v>
      </c>
      <c r="AN411">
        <v>0</v>
      </c>
      <c r="AO411">
        <v>0</v>
      </c>
      <c r="AP411">
        <v>0</v>
      </c>
      <c r="AQ411">
        <v>0</v>
      </c>
      <c r="AS411">
        <v>0</v>
      </c>
      <c r="AT411">
        <v>0</v>
      </c>
      <c r="AV411">
        <v>0</v>
      </c>
      <c r="AW411">
        <v>0</v>
      </c>
      <c r="AY411">
        <v>0</v>
      </c>
      <c r="AZ411">
        <v>0</v>
      </c>
      <c r="BA411">
        <v>13440</v>
      </c>
      <c r="BF411" t="str">
        <f>T("D170950")</f>
        <v>D170950</v>
      </c>
      <c r="BG411" t="str">
        <f>T("판타지 e북 &gt; 퓨전 판타지")</f>
        <v>판타지 e북 &gt; 퓨전 판타지</v>
      </c>
    </row>
    <row r="412" spans="1:59">
      <c r="A412" t="s">
        <v>60</v>
      </c>
      <c r="B412" s="1">
        <v>46130</v>
      </c>
      <c r="C412">
        <v>2378077912</v>
      </c>
      <c r="D412">
        <v>2378078999</v>
      </c>
      <c r="E412" t="str">
        <f>T("[e북]블랙배저 14권")</f>
        <v>[e북]블랙배저 14권</v>
      </c>
      <c r="F412">
        <v>14</v>
      </c>
      <c r="G412" t="str">
        <f>T("썬터다운")</f>
        <v>썬터다운</v>
      </c>
      <c r="J412" t="str">
        <f>T("매드햇")</f>
        <v>매드햇</v>
      </c>
      <c r="K412" t="str">
        <f>T("[e북]블랙배저")</f>
        <v>[e북]블랙배저</v>
      </c>
      <c r="L412">
        <v>3200</v>
      </c>
      <c r="M412">
        <v>9600</v>
      </c>
      <c r="N412">
        <v>3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9600</v>
      </c>
      <c r="AJ412">
        <v>3</v>
      </c>
      <c r="AK412">
        <v>0</v>
      </c>
      <c r="AL412">
        <v>0</v>
      </c>
      <c r="AM412">
        <v>9600</v>
      </c>
      <c r="AN412">
        <v>0</v>
      </c>
      <c r="AO412">
        <v>0</v>
      </c>
      <c r="AP412">
        <v>0</v>
      </c>
      <c r="AQ412">
        <v>0</v>
      </c>
      <c r="AS412">
        <v>0</v>
      </c>
      <c r="AT412">
        <v>0</v>
      </c>
      <c r="AV412">
        <v>0</v>
      </c>
      <c r="AW412">
        <v>0</v>
      </c>
      <c r="AY412">
        <v>0</v>
      </c>
      <c r="AZ412">
        <v>0</v>
      </c>
      <c r="BA412">
        <v>6720</v>
      </c>
      <c r="BF412" t="str">
        <f>T("D170951")</f>
        <v>D170951</v>
      </c>
      <c r="BG412" t="str">
        <f>T("판타지 e북 &gt; 퓨전 판타지")</f>
        <v>판타지 e북 &gt; 퓨전 판타지</v>
      </c>
    </row>
    <row r="413" spans="1:59">
      <c r="A413" t="s">
        <v>60</v>
      </c>
      <c r="B413" s="1">
        <v>46130</v>
      </c>
      <c r="C413">
        <v>2378077912</v>
      </c>
      <c r="D413">
        <v>2378080500</v>
      </c>
      <c r="E413" t="str">
        <f>T("[e북]블랙배저 21권")</f>
        <v>[e북]블랙배저 21권</v>
      </c>
      <c r="F413">
        <v>21</v>
      </c>
      <c r="G413" t="str">
        <f>T("썬터다운")</f>
        <v>썬터다운</v>
      </c>
      <c r="J413" t="str">
        <f>T("매드햇")</f>
        <v>매드햇</v>
      </c>
      <c r="K413" t="str">
        <f>T("[e북]블랙배저")</f>
        <v>[e북]블랙배저</v>
      </c>
      <c r="L413">
        <v>3200</v>
      </c>
      <c r="M413">
        <v>22400</v>
      </c>
      <c r="N413">
        <v>7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22400</v>
      </c>
      <c r="AJ413">
        <v>7</v>
      </c>
      <c r="AK413">
        <v>0</v>
      </c>
      <c r="AL413">
        <v>0</v>
      </c>
      <c r="AM413">
        <v>22400</v>
      </c>
      <c r="AN413">
        <v>0</v>
      </c>
      <c r="AO413">
        <v>0</v>
      </c>
      <c r="AP413">
        <v>0</v>
      </c>
      <c r="AQ413">
        <v>0</v>
      </c>
      <c r="AS413">
        <v>0</v>
      </c>
      <c r="AT413">
        <v>0</v>
      </c>
      <c r="AV413">
        <v>0</v>
      </c>
      <c r="AW413">
        <v>0</v>
      </c>
      <c r="AY413">
        <v>0</v>
      </c>
      <c r="AZ413">
        <v>0</v>
      </c>
      <c r="BA413">
        <v>15680</v>
      </c>
      <c r="BF413" t="str">
        <f>T("D225734")</f>
        <v>D225734</v>
      </c>
      <c r="BG413" t="str">
        <f>T("판타지 e북 &gt; 퓨전 판타지")</f>
        <v>판타지 e북 &gt; 퓨전 판타지</v>
      </c>
    </row>
    <row r="414" spans="1:59">
      <c r="A414" t="s">
        <v>60</v>
      </c>
      <c r="B414" s="1">
        <v>46130</v>
      </c>
      <c r="C414">
        <v>2378077912</v>
      </c>
      <c r="D414">
        <v>2378080501</v>
      </c>
      <c r="E414" t="str">
        <f>T("[e북]블랙배저 22권 (완결)")</f>
        <v>[e북]블랙배저 22권 (완결)</v>
      </c>
      <c r="F414">
        <v>22</v>
      </c>
      <c r="G414" t="str">
        <f>T("썬터다운")</f>
        <v>썬터다운</v>
      </c>
      <c r="J414" t="str">
        <f>T("매드햇")</f>
        <v>매드햇</v>
      </c>
      <c r="K414" t="str">
        <f>T("[e북]블랙배저")</f>
        <v>[e북]블랙배저</v>
      </c>
      <c r="L414">
        <v>3200</v>
      </c>
      <c r="M414">
        <v>19200</v>
      </c>
      <c r="N414">
        <v>6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19200</v>
      </c>
      <c r="AJ414">
        <v>6</v>
      </c>
      <c r="AK414">
        <v>0</v>
      </c>
      <c r="AL414">
        <v>0</v>
      </c>
      <c r="AM414">
        <v>19200</v>
      </c>
      <c r="AN414">
        <v>0</v>
      </c>
      <c r="AO414">
        <v>0</v>
      </c>
      <c r="AP414">
        <v>0</v>
      </c>
      <c r="AQ414">
        <v>0</v>
      </c>
      <c r="AS414">
        <v>0</v>
      </c>
      <c r="AT414">
        <v>0</v>
      </c>
      <c r="AV414">
        <v>0</v>
      </c>
      <c r="AW414">
        <v>0</v>
      </c>
      <c r="AY414">
        <v>0</v>
      </c>
      <c r="AZ414">
        <v>0</v>
      </c>
      <c r="BA414">
        <v>13440</v>
      </c>
      <c r="BF414" t="str">
        <f>T("D225735")</f>
        <v>D225735</v>
      </c>
      <c r="BG414" t="str">
        <f>T("판타지 e북 &gt; 퓨전 판타지")</f>
        <v>판타지 e북 &gt; 퓨전 판타지</v>
      </c>
    </row>
    <row r="415" spans="1:59">
      <c r="A415" t="s">
        <v>60</v>
      </c>
      <c r="B415" s="1">
        <v>46130</v>
      </c>
      <c r="C415">
        <v>2378077912</v>
      </c>
      <c r="D415">
        <v>2378080496</v>
      </c>
      <c r="E415" t="str">
        <f>T("[e북]블랙배저 17권")</f>
        <v>[e북]블랙배저 17권</v>
      </c>
      <c r="F415">
        <v>17</v>
      </c>
      <c r="G415" t="str">
        <f>T("썬터다운")</f>
        <v>썬터다운</v>
      </c>
      <c r="J415" t="str">
        <f>T("매드햇")</f>
        <v>매드햇</v>
      </c>
      <c r="K415" t="str">
        <f>T("[e북]블랙배저")</f>
        <v>[e북]블랙배저</v>
      </c>
      <c r="L415">
        <v>3200</v>
      </c>
      <c r="M415">
        <v>22400</v>
      </c>
      <c r="N415">
        <v>7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22400</v>
      </c>
      <c r="AJ415">
        <v>7</v>
      </c>
      <c r="AK415">
        <v>0</v>
      </c>
      <c r="AL415">
        <v>0</v>
      </c>
      <c r="AM415">
        <v>19200</v>
      </c>
      <c r="AN415">
        <v>0</v>
      </c>
      <c r="AO415">
        <v>3840</v>
      </c>
      <c r="AP415">
        <v>-384</v>
      </c>
      <c r="AQ415">
        <v>0</v>
      </c>
      <c r="AS415">
        <v>0</v>
      </c>
      <c r="AT415">
        <v>0</v>
      </c>
      <c r="AV415">
        <v>0</v>
      </c>
      <c r="AW415">
        <v>0</v>
      </c>
      <c r="AX415">
        <v>3840</v>
      </c>
      <c r="AY415">
        <v>-384</v>
      </c>
      <c r="AZ415">
        <v>0</v>
      </c>
      <c r="BA415">
        <v>15859.2</v>
      </c>
      <c r="BF415" t="str">
        <f>T("D225730")</f>
        <v>D225730</v>
      </c>
      <c r="BG415" t="str">
        <f>T("판타지 e북 &gt; 퓨전 판타지")</f>
        <v>판타지 e북 &gt; 퓨전 판타지</v>
      </c>
    </row>
    <row r="416" spans="1:59">
      <c r="A416" t="s">
        <v>60</v>
      </c>
      <c r="B416" s="1">
        <v>46130</v>
      </c>
      <c r="C416">
        <v>2378077912</v>
      </c>
      <c r="D416">
        <v>2378080498</v>
      </c>
      <c r="E416" t="str">
        <f>T("[e북]블랙배저 19권")</f>
        <v>[e북]블랙배저 19권</v>
      </c>
      <c r="F416">
        <v>19</v>
      </c>
      <c r="G416" t="str">
        <f>T("썬터다운")</f>
        <v>썬터다운</v>
      </c>
      <c r="J416" t="str">
        <f>T("매드햇")</f>
        <v>매드햇</v>
      </c>
      <c r="K416" t="str">
        <f>T("[e북]블랙배저")</f>
        <v>[e북]블랙배저</v>
      </c>
      <c r="L416">
        <v>3200</v>
      </c>
      <c r="M416">
        <v>19200</v>
      </c>
      <c r="N416">
        <v>6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19200</v>
      </c>
      <c r="AJ416">
        <v>6</v>
      </c>
      <c r="AK416">
        <v>0</v>
      </c>
      <c r="AL416">
        <v>0</v>
      </c>
      <c r="AM416">
        <v>19200</v>
      </c>
      <c r="AN416">
        <v>0</v>
      </c>
      <c r="AO416">
        <v>0</v>
      </c>
      <c r="AP416">
        <v>0</v>
      </c>
      <c r="AQ416">
        <v>0</v>
      </c>
      <c r="AS416">
        <v>0</v>
      </c>
      <c r="AT416">
        <v>0</v>
      </c>
      <c r="AV416">
        <v>0</v>
      </c>
      <c r="AW416">
        <v>0</v>
      </c>
      <c r="AY416">
        <v>0</v>
      </c>
      <c r="AZ416">
        <v>0</v>
      </c>
      <c r="BA416">
        <v>13440</v>
      </c>
      <c r="BF416" t="str">
        <f>T("D225732")</f>
        <v>D225732</v>
      </c>
      <c r="BG416" t="str">
        <f>T("판타지 e북 &gt; 퓨전 판타지")</f>
        <v>판타지 e북 &gt; 퓨전 판타지</v>
      </c>
    </row>
    <row r="417" spans="1:59">
      <c r="A417" t="s">
        <v>60</v>
      </c>
      <c r="B417" s="1">
        <v>46131</v>
      </c>
      <c r="C417">
        <v>2378077912</v>
      </c>
      <c r="D417">
        <v>2378077912</v>
      </c>
      <c r="E417" t="str">
        <f>T("[e북]블랙배저 1권")</f>
        <v>[e북]블랙배저 1권</v>
      </c>
      <c r="F417">
        <v>1</v>
      </c>
      <c r="G417" t="str">
        <f>T("썬터다운")</f>
        <v>썬터다운</v>
      </c>
      <c r="J417" t="str">
        <f>T("매드햇")</f>
        <v>매드햇</v>
      </c>
      <c r="K417" t="str">
        <f>T("[e북]블랙배저")</f>
        <v>[e북]블랙배저</v>
      </c>
      <c r="L417">
        <v>0</v>
      </c>
      <c r="M417">
        <v>0</v>
      </c>
      <c r="N417">
        <v>0</v>
      </c>
      <c r="O417">
        <v>19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19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S417">
        <v>0</v>
      </c>
      <c r="AT417">
        <v>0</v>
      </c>
      <c r="AV417">
        <v>0</v>
      </c>
      <c r="AW417">
        <v>0</v>
      </c>
      <c r="AY417">
        <v>0</v>
      </c>
      <c r="AZ417">
        <v>0</v>
      </c>
      <c r="BA417">
        <v>0</v>
      </c>
      <c r="BE417" t="str">
        <f>T("9791137010857")</f>
        <v>9791137010857</v>
      </c>
      <c r="BF417" t="str">
        <f>T("D130167")</f>
        <v>D130167</v>
      </c>
      <c r="BG417" t="str">
        <f>T("판타지 e북 &gt; 퓨전 판타지")</f>
        <v>판타지 e북 &gt; 퓨전 판타지</v>
      </c>
    </row>
    <row r="418" spans="1:59">
      <c r="A418" t="s">
        <v>60</v>
      </c>
      <c r="B418" s="1">
        <v>46131</v>
      </c>
      <c r="C418">
        <v>2378077912</v>
      </c>
      <c r="D418">
        <v>2378078998</v>
      </c>
      <c r="E418" t="str">
        <f>T("[e북]블랙배저 13권")</f>
        <v>[e북]블랙배저 13권</v>
      </c>
      <c r="F418">
        <v>13</v>
      </c>
      <c r="G418" t="str">
        <f>T("썬터다운")</f>
        <v>썬터다운</v>
      </c>
      <c r="J418" t="str">
        <f>T("매드햇")</f>
        <v>매드햇</v>
      </c>
      <c r="K418" t="str">
        <f>T("[e북]블랙배저")</f>
        <v>[e북]블랙배저</v>
      </c>
      <c r="L418">
        <v>3200</v>
      </c>
      <c r="M418">
        <v>16000</v>
      </c>
      <c r="N418">
        <v>5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16000</v>
      </c>
      <c r="AJ418">
        <v>5</v>
      </c>
      <c r="AK418">
        <v>0</v>
      </c>
      <c r="AL418">
        <v>0</v>
      </c>
      <c r="AM418">
        <v>16000</v>
      </c>
      <c r="AN418">
        <v>0</v>
      </c>
      <c r="AO418">
        <v>0</v>
      </c>
      <c r="AP418">
        <v>0</v>
      </c>
      <c r="AQ418">
        <v>0</v>
      </c>
      <c r="AS418">
        <v>0</v>
      </c>
      <c r="AT418">
        <v>0</v>
      </c>
      <c r="AV418">
        <v>0</v>
      </c>
      <c r="AW418">
        <v>0</v>
      </c>
      <c r="AY418">
        <v>0</v>
      </c>
      <c r="AZ418">
        <v>0</v>
      </c>
      <c r="BA418">
        <v>11200</v>
      </c>
      <c r="BF418" t="str">
        <f>T("D170950")</f>
        <v>D170950</v>
      </c>
      <c r="BG418" t="str">
        <f>T("판타지 e북 &gt; 퓨전 판타지")</f>
        <v>판타지 e북 &gt; 퓨전 판타지</v>
      </c>
    </row>
    <row r="419" spans="1:59">
      <c r="A419" t="s">
        <v>60</v>
      </c>
      <c r="B419" s="1">
        <v>46131</v>
      </c>
      <c r="C419">
        <v>2378077912</v>
      </c>
      <c r="D419">
        <v>2378078999</v>
      </c>
      <c r="E419" t="str">
        <f>T("[e북]블랙배저 14권")</f>
        <v>[e북]블랙배저 14권</v>
      </c>
      <c r="F419">
        <v>14</v>
      </c>
      <c r="G419" t="str">
        <f>T("썬터다운")</f>
        <v>썬터다운</v>
      </c>
      <c r="J419" t="str">
        <f>T("매드햇")</f>
        <v>매드햇</v>
      </c>
      <c r="K419" t="str">
        <f>T("[e북]블랙배저")</f>
        <v>[e북]블랙배저</v>
      </c>
      <c r="L419">
        <v>3200</v>
      </c>
      <c r="M419">
        <v>12800</v>
      </c>
      <c r="N419">
        <v>4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12800</v>
      </c>
      <c r="AJ419">
        <v>4</v>
      </c>
      <c r="AK419">
        <v>0</v>
      </c>
      <c r="AL419">
        <v>0</v>
      </c>
      <c r="AM419">
        <v>12800</v>
      </c>
      <c r="AN419">
        <v>0</v>
      </c>
      <c r="AO419">
        <v>0</v>
      </c>
      <c r="AP419">
        <v>0</v>
      </c>
      <c r="AQ419">
        <v>0</v>
      </c>
      <c r="AS419">
        <v>0</v>
      </c>
      <c r="AT419">
        <v>0</v>
      </c>
      <c r="AV419">
        <v>0</v>
      </c>
      <c r="AW419">
        <v>0</v>
      </c>
      <c r="AY419">
        <v>0</v>
      </c>
      <c r="AZ419">
        <v>0</v>
      </c>
      <c r="BA419">
        <v>8960</v>
      </c>
      <c r="BF419" t="str">
        <f>T("D170951")</f>
        <v>D170951</v>
      </c>
      <c r="BG419" t="str">
        <f>T("판타지 e북 &gt; 퓨전 판타지")</f>
        <v>판타지 e북 &gt; 퓨전 판타지</v>
      </c>
    </row>
    <row r="420" spans="1:59">
      <c r="A420" t="s">
        <v>60</v>
      </c>
      <c r="B420" s="1">
        <v>46131</v>
      </c>
      <c r="C420">
        <v>2378077912</v>
      </c>
      <c r="D420">
        <v>2378079000</v>
      </c>
      <c r="E420" t="str">
        <f>T("[e북]블랙배저 15권")</f>
        <v>[e북]블랙배저 15권</v>
      </c>
      <c r="F420">
        <v>15</v>
      </c>
      <c r="G420" t="str">
        <f>T("썬터다운")</f>
        <v>썬터다운</v>
      </c>
      <c r="J420" t="str">
        <f>T("매드햇")</f>
        <v>매드햇</v>
      </c>
      <c r="K420" t="str">
        <f>T("[e북]블랙배저")</f>
        <v>[e북]블랙배저</v>
      </c>
      <c r="L420">
        <v>3200</v>
      </c>
      <c r="M420">
        <v>9600</v>
      </c>
      <c r="N420">
        <v>3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9600</v>
      </c>
      <c r="AJ420">
        <v>3</v>
      </c>
      <c r="AK420">
        <v>0</v>
      </c>
      <c r="AL420">
        <v>0</v>
      </c>
      <c r="AM420">
        <v>9600</v>
      </c>
      <c r="AN420">
        <v>0</v>
      </c>
      <c r="AO420">
        <v>0</v>
      </c>
      <c r="AP420">
        <v>0</v>
      </c>
      <c r="AQ420">
        <v>0</v>
      </c>
      <c r="AS420">
        <v>0</v>
      </c>
      <c r="AT420">
        <v>0</v>
      </c>
      <c r="AV420">
        <v>0</v>
      </c>
      <c r="AW420">
        <v>0</v>
      </c>
      <c r="AY420">
        <v>0</v>
      </c>
      <c r="AZ420">
        <v>0</v>
      </c>
      <c r="BA420">
        <v>6720</v>
      </c>
      <c r="BF420" t="str">
        <f>T("D170952")</f>
        <v>D170952</v>
      </c>
      <c r="BG420" t="str">
        <f>T("판타지 e북 &gt; 퓨전 판타지")</f>
        <v>판타지 e북 &gt; 퓨전 판타지</v>
      </c>
    </row>
    <row r="421" spans="1:59">
      <c r="A421" t="s">
        <v>60</v>
      </c>
      <c r="B421" s="1">
        <v>46131</v>
      </c>
      <c r="C421">
        <v>2378077912</v>
      </c>
      <c r="D421">
        <v>2378079001</v>
      </c>
      <c r="E421" t="str">
        <f>T("[e북]블랙배저 16권")</f>
        <v>[e북]블랙배저 16권</v>
      </c>
      <c r="F421">
        <v>16</v>
      </c>
      <c r="G421" t="str">
        <f>T("썬터다운")</f>
        <v>썬터다운</v>
      </c>
      <c r="J421" t="str">
        <f>T("매드햇")</f>
        <v>매드햇</v>
      </c>
      <c r="K421" t="str">
        <f>T("[e북]블랙배저")</f>
        <v>[e북]블랙배저</v>
      </c>
      <c r="L421">
        <v>3200</v>
      </c>
      <c r="M421">
        <v>9600</v>
      </c>
      <c r="N421">
        <v>3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9600</v>
      </c>
      <c r="AJ421">
        <v>3</v>
      </c>
      <c r="AK421">
        <v>0</v>
      </c>
      <c r="AL421">
        <v>0</v>
      </c>
      <c r="AM421">
        <v>9600</v>
      </c>
      <c r="AN421">
        <v>0</v>
      </c>
      <c r="AO421">
        <v>0</v>
      </c>
      <c r="AP421">
        <v>0</v>
      </c>
      <c r="AQ421">
        <v>0</v>
      </c>
      <c r="AS421">
        <v>0</v>
      </c>
      <c r="AT421">
        <v>0</v>
      </c>
      <c r="AV421">
        <v>0</v>
      </c>
      <c r="AW421">
        <v>0</v>
      </c>
      <c r="AY421">
        <v>0</v>
      </c>
      <c r="AZ421">
        <v>0</v>
      </c>
      <c r="BA421">
        <v>6720</v>
      </c>
      <c r="BF421" t="str">
        <f>T("D170953")</f>
        <v>D170953</v>
      </c>
      <c r="BG421" t="str">
        <f>T("판타지 e북 &gt; 퓨전 판타지")</f>
        <v>판타지 e북 &gt; 퓨전 판타지</v>
      </c>
    </row>
    <row r="422" spans="1:59">
      <c r="A422" t="s">
        <v>60</v>
      </c>
      <c r="B422" s="1">
        <v>46131</v>
      </c>
      <c r="C422">
        <v>2378077912</v>
      </c>
      <c r="D422">
        <v>2378080496</v>
      </c>
      <c r="E422" t="str">
        <f>T("[e북]블랙배저 17권")</f>
        <v>[e북]블랙배저 17권</v>
      </c>
      <c r="F422">
        <v>17</v>
      </c>
      <c r="G422" t="str">
        <f>T("썬터다운")</f>
        <v>썬터다운</v>
      </c>
      <c r="J422" t="str">
        <f>T("매드햇")</f>
        <v>매드햇</v>
      </c>
      <c r="K422" t="str">
        <f>T("[e북]블랙배저")</f>
        <v>[e북]블랙배저</v>
      </c>
      <c r="L422">
        <v>3200</v>
      </c>
      <c r="M422">
        <v>6400</v>
      </c>
      <c r="N422">
        <v>2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6400</v>
      </c>
      <c r="AJ422">
        <v>2</v>
      </c>
      <c r="AK422">
        <v>0</v>
      </c>
      <c r="AL422">
        <v>0</v>
      </c>
      <c r="AM422">
        <v>6400</v>
      </c>
      <c r="AN422">
        <v>0</v>
      </c>
      <c r="AO422">
        <v>0</v>
      </c>
      <c r="AP422">
        <v>0</v>
      </c>
      <c r="AQ422">
        <v>0</v>
      </c>
      <c r="AS422">
        <v>0</v>
      </c>
      <c r="AT422">
        <v>0</v>
      </c>
      <c r="AV422">
        <v>0</v>
      </c>
      <c r="AW422">
        <v>0</v>
      </c>
      <c r="AY422">
        <v>0</v>
      </c>
      <c r="AZ422">
        <v>0</v>
      </c>
      <c r="BA422">
        <v>4480</v>
      </c>
      <c r="BF422" t="str">
        <f>T("D225730")</f>
        <v>D225730</v>
      </c>
      <c r="BG422" t="str">
        <f>T("판타지 e북 &gt; 퓨전 판타지")</f>
        <v>판타지 e북 &gt; 퓨전 판타지</v>
      </c>
    </row>
    <row r="423" spans="1:59">
      <c r="A423" t="s">
        <v>60</v>
      </c>
      <c r="B423" s="1">
        <v>46131</v>
      </c>
      <c r="C423">
        <v>2378077912</v>
      </c>
      <c r="D423">
        <v>2378080497</v>
      </c>
      <c r="E423" t="str">
        <f>T("[e북]블랙배저 18권")</f>
        <v>[e북]블랙배저 18권</v>
      </c>
      <c r="F423">
        <v>18</v>
      </c>
      <c r="G423" t="str">
        <f>T("썬터다운")</f>
        <v>썬터다운</v>
      </c>
      <c r="J423" t="str">
        <f>T("매드햇")</f>
        <v>매드햇</v>
      </c>
      <c r="K423" t="str">
        <f>T("[e북]블랙배저")</f>
        <v>[e북]블랙배저</v>
      </c>
      <c r="L423">
        <v>3200</v>
      </c>
      <c r="M423">
        <v>9600</v>
      </c>
      <c r="N423">
        <v>3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9600</v>
      </c>
      <c r="AJ423">
        <v>3</v>
      </c>
      <c r="AK423">
        <v>0</v>
      </c>
      <c r="AL423">
        <v>0</v>
      </c>
      <c r="AM423">
        <v>9600</v>
      </c>
      <c r="AN423">
        <v>0</v>
      </c>
      <c r="AO423">
        <v>0</v>
      </c>
      <c r="AP423">
        <v>0</v>
      </c>
      <c r="AQ423">
        <v>0</v>
      </c>
      <c r="AS423">
        <v>0</v>
      </c>
      <c r="AT423">
        <v>0</v>
      </c>
      <c r="AV423">
        <v>0</v>
      </c>
      <c r="AW423">
        <v>0</v>
      </c>
      <c r="AY423">
        <v>0</v>
      </c>
      <c r="AZ423">
        <v>0</v>
      </c>
      <c r="BA423">
        <v>6720</v>
      </c>
      <c r="BF423" t="str">
        <f>T("D225731")</f>
        <v>D225731</v>
      </c>
      <c r="BG423" t="str">
        <f>T("판타지 e북 &gt; 퓨전 판타지")</f>
        <v>판타지 e북 &gt; 퓨전 판타지</v>
      </c>
    </row>
    <row r="424" spans="1:59">
      <c r="A424" t="s">
        <v>60</v>
      </c>
      <c r="B424" s="1">
        <v>46131</v>
      </c>
      <c r="C424">
        <v>2378077912</v>
      </c>
      <c r="D424">
        <v>2378080498</v>
      </c>
      <c r="E424" t="str">
        <f>T("[e북]블랙배저 19권")</f>
        <v>[e북]블랙배저 19권</v>
      </c>
      <c r="F424">
        <v>19</v>
      </c>
      <c r="G424" t="str">
        <f>T("썬터다운")</f>
        <v>썬터다운</v>
      </c>
      <c r="J424" t="str">
        <f>T("매드햇")</f>
        <v>매드햇</v>
      </c>
      <c r="K424" t="str">
        <f>T("[e북]블랙배저")</f>
        <v>[e북]블랙배저</v>
      </c>
      <c r="L424">
        <v>3200</v>
      </c>
      <c r="M424">
        <v>9600</v>
      </c>
      <c r="N424">
        <v>3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9600</v>
      </c>
      <c r="AJ424">
        <v>3</v>
      </c>
      <c r="AK424">
        <v>0</v>
      </c>
      <c r="AL424">
        <v>0</v>
      </c>
      <c r="AM424">
        <v>9600</v>
      </c>
      <c r="AN424">
        <v>0</v>
      </c>
      <c r="AO424">
        <v>0</v>
      </c>
      <c r="AP424">
        <v>0</v>
      </c>
      <c r="AQ424">
        <v>0</v>
      </c>
      <c r="AS424">
        <v>0</v>
      </c>
      <c r="AT424">
        <v>0</v>
      </c>
      <c r="AV424">
        <v>0</v>
      </c>
      <c r="AW424">
        <v>0</v>
      </c>
      <c r="AY424">
        <v>0</v>
      </c>
      <c r="AZ424">
        <v>0</v>
      </c>
      <c r="BA424">
        <v>6720</v>
      </c>
      <c r="BF424" t="str">
        <f>T("D225732")</f>
        <v>D225732</v>
      </c>
      <c r="BG424" t="str">
        <f>T("판타지 e북 &gt; 퓨전 판타지")</f>
        <v>판타지 e북 &gt; 퓨전 판타지</v>
      </c>
    </row>
    <row r="425" spans="1:59">
      <c r="A425" t="s">
        <v>60</v>
      </c>
      <c r="B425" s="1">
        <v>46131</v>
      </c>
      <c r="C425">
        <v>2378077912</v>
      </c>
      <c r="D425">
        <v>2378080499</v>
      </c>
      <c r="E425" t="str">
        <f>T("[e북]블랙배저 20권")</f>
        <v>[e북]블랙배저 20권</v>
      </c>
      <c r="F425">
        <v>20</v>
      </c>
      <c r="G425" t="str">
        <f>T("썬터다운")</f>
        <v>썬터다운</v>
      </c>
      <c r="J425" t="str">
        <f>T("매드햇")</f>
        <v>매드햇</v>
      </c>
      <c r="K425" t="str">
        <f>T("[e북]블랙배저")</f>
        <v>[e북]블랙배저</v>
      </c>
      <c r="L425">
        <v>3200</v>
      </c>
      <c r="M425">
        <v>12800</v>
      </c>
      <c r="N425">
        <v>4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12800</v>
      </c>
      <c r="AJ425">
        <v>4</v>
      </c>
      <c r="AK425">
        <v>0</v>
      </c>
      <c r="AL425">
        <v>0</v>
      </c>
      <c r="AM425">
        <v>12800</v>
      </c>
      <c r="AN425">
        <v>0</v>
      </c>
      <c r="AO425">
        <v>0</v>
      </c>
      <c r="AP425">
        <v>0</v>
      </c>
      <c r="AQ425">
        <v>0</v>
      </c>
      <c r="AS425">
        <v>0</v>
      </c>
      <c r="AT425">
        <v>0</v>
      </c>
      <c r="AV425">
        <v>0</v>
      </c>
      <c r="AW425">
        <v>0</v>
      </c>
      <c r="AY425">
        <v>0</v>
      </c>
      <c r="AZ425">
        <v>0</v>
      </c>
      <c r="BA425">
        <v>8960</v>
      </c>
      <c r="BF425" t="str">
        <f>T("D225733")</f>
        <v>D225733</v>
      </c>
      <c r="BG425" t="str">
        <f>T("판타지 e북 &gt; 퓨전 판타지")</f>
        <v>판타지 e북 &gt; 퓨전 판타지</v>
      </c>
    </row>
    <row r="426" spans="1:59">
      <c r="A426" t="s">
        <v>60</v>
      </c>
      <c r="B426" s="1">
        <v>46131</v>
      </c>
      <c r="C426">
        <v>2378077912</v>
      </c>
      <c r="D426">
        <v>2378080500</v>
      </c>
      <c r="E426" t="str">
        <f>T("[e북]블랙배저 21권")</f>
        <v>[e북]블랙배저 21권</v>
      </c>
      <c r="F426">
        <v>21</v>
      </c>
      <c r="G426" t="str">
        <f>T("썬터다운")</f>
        <v>썬터다운</v>
      </c>
      <c r="J426" t="str">
        <f>T("매드햇")</f>
        <v>매드햇</v>
      </c>
      <c r="K426" t="str">
        <f>T("[e북]블랙배저")</f>
        <v>[e북]블랙배저</v>
      </c>
      <c r="L426">
        <v>3200</v>
      </c>
      <c r="M426">
        <v>12800</v>
      </c>
      <c r="N426">
        <v>4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12800</v>
      </c>
      <c r="AJ426">
        <v>4</v>
      </c>
      <c r="AK426">
        <v>0</v>
      </c>
      <c r="AL426">
        <v>0</v>
      </c>
      <c r="AM426">
        <v>12800</v>
      </c>
      <c r="AN426">
        <v>0</v>
      </c>
      <c r="AO426">
        <v>0</v>
      </c>
      <c r="AP426">
        <v>0</v>
      </c>
      <c r="AQ426">
        <v>0</v>
      </c>
      <c r="AS426">
        <v>0</v>
      </c>
      <c r="AT426">
        <v>0</v>
      </c>
      <c r="AV426">
        <v>0</v>
      </c>
      <c r="AW426">
        <v>0</v>
      </c>
      <c r="AY426">
        <v>0</v>
      </c>
      <c r="AZ426">
        <v>0</v>
      </c>
      <c r="BA426">
        <v>8960</v>
      </c>
      <c r="BF426" t="str">
        <f>T("D225734")</f>
        <v>D225734</v>
      </c>
      <c r="BG426" t="str">
        <f>T("판타지 e북 &gt; 퓨전 판타지")</f>
        <v>판타지 e북 &gt; 퓨전 판타지</v>
      </c>
    </row>
    <row r="427" spans="1:59">
      <c r="A427" t="s">
        <v>60</v>
      </c>
      <c r="B427" s="1">
        <v>46131</v>
      </c>
      <c r="C427">
        <v>2378077912</v>
      </c>
      <c r="D427">
        <v>2378080501</v>
      </c>
      <c r="E427" t="str">
        <f>T("[e북]블랙배저 22권 (완결)")</f>
        <v>[e북]블랙배저 22권 (완결)</v>
      </c>
      <c r="F427">
        <v>22</v>
      </c>
      <c r="G427" t="str">
        <f>T("썬터다운")</f>
        <v>썬터다운</v>
      </c>
      <c r="J427" t="str">
        <f>T("매드햇")</f>
        <v>매드햇</v>
      </c>
      <c r="K427" t="str">
        <f>T("[e북]블랙배저")</f>
        <v>[e북]블랙배저</v>
      </c>
      <c r="L427">
        <v>3200</v>
      </c>
      <c r="M427">
        <v>19200</v>
      </c>
      <c r="N427">
        <v>6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19200</v>
      </c>
      <c r="AJ427">
        <v>6</v>
      </c>
      <c r="AK427">
        <v>0</v>
      </c>
      <c r="AL427">
        <v>0</v>
      </c>
      <c r="AM427">
        <v>16000</v>
      </c>
      <c r="AN427">
        <v>0</v>
      </c>
      <c r="AO427">
        <v>3840</v>
      </c>
      <c r="AP427">
        <v>-384</v>
      </c>
      <c r="AQ427">
        <v>0</v>
      </c>
      <c r="AS427">
        <v>0</v>
      </c>
      <c r="AT427">
        <v>0</v>
      </c>
      <c r="AU427">
        <v>3840</v>
      </c>
      <c r="AV427">
        <v>-384</v>
      </c>
      <c r="AW427">
        <v>0</v>
      </c>
      <c r="AY427">
        <v>0</v>
      </c>
      <c r="AZ427">
        <v>0</v>
      </c>
      <c r="BA427">
        <v>13619.2</v>
      </c>
      <c r="BF427" t="str">
        <f>T("D225735")</f>
        <v>D225735</v>
      </c>
      <c r="BG427" t="str">
        <f>T("판타지 e북 &gt; 퓨전 판타지")</f>
        <v>판타지 e북 &gt; 퓨전 판타지</v>
      </c>
    </row>
    <row r="428" spans="1:59">
      <c r="A428" t="s">
        <v>60</v>
      </c>
      <c r="B428" s="1">
        <v>46131</v>
      </c>
      <c r="C428">
        <v>2378077912</v>
      </c>
      <c r="D428">
        <v>2378077918</v>
      </c>
      <c r="E428" t="str">
        <f>T("[e북]블랙배저 7권")</f>
        <v>[e북]블랙배저 7권</v>
      </c>
      <c r="F428">
        <v>7</v>
      </c>
      <c r="G428" t="str">
        <f>T("썬터다운")</f>
        <v>썬터다운</v>
      </c>
      <c r="J428" t="str">
        <f>T("매드햇")</f>
        <v>매드햇</v>
      </c>
      <c r="K428" t="str">
        <f>T("[e북]블랙배저")</f>
        <v>[e북]블랙배저</v>
      </c>
      <c r="L428">
        <v>3200</v>
      </c>
      <c r="M428">
        <v>6400</v>
      </c>
      <c r="N428">
        <v>2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6400</v>
      </c>
      <c r="AJ428">
        <v>2</v>
      </c>
      <c r="AK428">
        <v>0</v>
      </c>
      <c r="AL428">
        <v>0</v>
      </c>
      <c r="AM428">
        <v>6400</v>
      </c>
      <c r="AN428">
        <v>0</v>
      </c>
      <c r="AO428">
        <v>0</v>
      </c>
      <c r="AP428">
        <v>0</v>
      </c>
      <c r="AQ428">
        <v>0</v>
      </c>
      <c r="AS428">
        <v>0</v>
      </c>
      <c r="AT428">
        <v>0</v>
      </c>
      <c r="AV428">
        <v>0</v>
      </c>
      <c r="AW428">
        <v>0</v>
      </c>
      <c r="AY428">
        <v>0</v>
      </c>
      <c r="AZ428">
        <v>0</v>
      </c>
      <c r="BA428">
        <v>4480</v>
      </c>
      <c r="BE428" t="str">
        <f>T("9791137010918")</f>
        <v>9791137010918</v>
      </c>
      <c r="BF428" t="str">
        <f>T("D130173")</f>
        <v>D130173</v>
      </c>
      <c r="BG428" t="str">
        <f>T("판타지 e북 &gt; 퓨전 판타지")</f>
        <v>판타지 e북 &gt; 퓨전 판타지</v>
      </c>
    </row>
    <row r="429" spans="1:59">
      <c r="A429" t="s">
        <v>60</v>
      </c>
      <c r="B429" s="1">
        <v>46131</v>
      </c>
      <c r="C429">
        <v>2378077912</v>
      </c>
      <c r="D429">
        <v>2378078993</v>
      </c>
      <c r="E429" t="str">
        <f>T("[e북]블랙배저 8권")</f>
        <v>[e북]블랙배저 8권</v>
      </c>
      <c r="F429">
        <v>8</v>
      </c>
      <c r="G429" t="str">
        <f>T("썬터다운")</f>
        <v>썬터다운</v>
      </c>
      <c r="J429" t="str">
        <f>T("매드햇")</f>
        <v>매드햇</v>
      </c>
      <c r="K429" t="str">
        <f>T("[e북]블랙배저")</f>
        <v>[e북]블랙배저</v>
      </c>
      <c r="L429">
        <v>3200</v>
      </c>
      <c r="M429">
        <v>9600</v>
      </c>
      <c r="N429">
        <v>3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9600</v>
      </c>
      <c r="AJ429">
        <v>3</v>
      </c>
      <c r="AK429">
        <v>0</v>
      </c>
      <c r="AL429">
        <v>0</v>
      </c>
      <c r="AM429">
        <v>9600</v>
      </c>
      <c r="AN429">
        <v>0</v>
      </c>
      <c r="AO429">
        <v>0</v>
      </c>
      <c r="AP429">
        <v>0</v>
      </c>
      <c r="AQ429">
        <v>0</v>
      </c>
      <c r="AS429">
        <v>0</v>
      </c>
      <c r="AT429">
        <v>0</v>
      </c>
      <c r="AV429">
        <v>0</v>
      </c>
      <c r="AW429">
        <v>0</v>
      </c>
      <c r="AY429">
        <v>0</v>
      </c>
      <c r="AZ429">
        <v>0</v>
      </c>
      <c r="BA429">
        <v>6720</v>
      </c>
      <c r="BF429" t="str">
        <f>T("D170945")</f>
        <v>D170945</v>
      </c>
      <c r="BG429" t="str">
        <f>T("판타지 e북 &gt; 퓨전 판타지")</f>
        <v>판타지 e북 &gt; 퓨전 판타지</v>
      </c>
    </row>
    <row r="430" spans="1:59">
      <c r="A430" t="s">
        <v>60</v>
      </c>
      <c r="B430" s="1">
        <v>46131</v>
      </c>
      <c r="C430">
        <v>2378077912</v>
      </c>
      <c r="D430">
        <v>2378077913</v>
      </c>
      <c r="E430" t="str">
        <f>T("[e북]블랙배저 2권")</f>
        <v>[e북]블랙배저 2권</v>
      </c>
      <c r="F430">
        <v>2</v>
      </c>
      <c r="G430" t="str">
        <f>T("썬터다운")</f>
        <v>썬터다운</v>
      </c>
      <c r="J430" t="str">
        <f>T("매드햇")</f>
        <v>매드햇</v>
      </c>
      <c r="K430" t="str">
        <f>T("[e북]블랙배저")</f>
        <v>[e북]블랙배저</v>
      </c>
      <c r="L430">
        <v>3200</v>
      </c>
      <c r="M430">
        <v>22400</v>
      </c>
      <c r="N430">
        <v>7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22400</v>
      </c>
      <c r="AJ430">
        <v>7</v>
      </c>
      <c r="AK430">
        <v>0</v>
      </c>
      <c r="AL430">
        <v>0</v>
      </c>
      <c r="AM430">
        <v>19600</v>
      </c>
      <c r="AN430">
        <v>0</v>
      </c>
      <c r="AO430">
        <v>3360</v>
      </c>
      <c r="AP430">
        <v>-336</v>
      </c>
      <c r="AQ430">
        <v>0</v>
      </c>
      <c r="AS430">
        <v>0</v>
      </c>
      <c r="AT430">
        <v>0</v>
      </c>
      <c r="AU430">
        <v>3360</v>
      </c>
      <c r="AV430">
        <v>-336</v>
      </c>
      <c r="AW430">
        <v>0</v>
      </c>
      <c r="AY430">
        <v>0</v>
      </c>
      <c r="AZ430">
        <v>0</v>
      </c>
      <c r="BA430">
        <v>15836.8</v>
      </c>
      <c r="BE430" t="str">
        <f>T("9791137010864")</f>
        <v>9791137010864</v>
      </c>
      <c r="BF430" t="str">
        <f>T("D130168")</f>
        <v>D130168</v>
      </c>
      <c r="BG430" t="str">
        <f>T("판타지 e북 &gt; 퓨전 판타지")</f>
        <v>판타지 e북 &gt; 퓨전 판타지</v>
      </c>
    </row>
    <row r="431" spans="1:59">
      <c r="A431" t="s">
        <v>60</v>
      </c>
      <c r="B431" s="1">
        <v>46131</v>
      </c>
      <c r="C431">
        <v>2378077912</v>
      </c>
      <c r="D431">
        <v>2378077914</v>
      </c>
      <c r="E431" t="str">
        <f>T("[e북]블랙배저 3권")</f>
        <v>[e북]블랙배저 3권</v>
      </c>
      <c r="F431">
        <v>3</v>
      </c>
      <c r="G431" t="str">
        <f>T("썬터다운")</f>
        <v>썬터다운</v>
      </c>
      <c r="J431" t="str">
        <f>T("매드햇")</f>
        <v>매드햇</v>
      </c>
      <c r="K431" t="str">
        <f>T("[e북]블랙배저")</f>
        <v>[e북]블랙배저</v>
      </c>
      <c r="L431">
        <v>3200</v>
      </c>
      <c r="M431">
        <v>22400</v>
      </c>
      <c r="N431">
        <v>7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22400</v>
      </c>
      <c r="AJ431">
        <v>7</v>
      </c>
      <c r="AK431">
        <v>0</v>
      </c>
      <c r="AL431">
        <v>0</v>
      </c>
      <c r="AM431">
        <v>19200</v>
      </c>
      <c r="AN431">
        <v>0</v>
      </c>
      <c r="AO431">
        <v>3840</v>
      </c>
      <c r="AP431">
        <v>-384</v>
      </c>
      <c r="AQ431">
        <v>0</v>
      </c>
      <c r="AS431">
        <v>0</v>
      </c>
      <c r="AT431">
        <v>0</v>
      </c>
      <c r="AU431">
        <v>3840</v>
      </c>
      <c r="AV431">
        <v>-384</v>
      </c>
      <c r="AW431">
        <v>0</v>
      </c>
      <c r="AY431">
        <v>0</v>
      </c>
      <c r="AZ431">
        <v>0</v>
      </c>
      <c r="BA431">
        <v>15859.2</v>
      </c>
      <c r="BE431" t="str">
        <f>T("9791137010871")</f>
        <v>9791137010871</v>
      </c>
      <c r="BF431" t="str">
        <f>T("D130169")</f>
        <v>D130169</v>
      </c>
      <c r="BG431" t="str">
        <f>T("판타지 e북 &gt; 퓨전 판타지")</f>
        <v>판타지 e북 &gt; 퓨전 판타지</v>
      </c>
    </row>
    <row r="432" spans="1:59">
      <c r="A432" t="s">
        <v>60</v>
      </c>
      <c r="B432" s="1">
        <v>46131</v>
      </c>
      <c r="C432">
        <v>2378077912</v>
      </c>
      <c r="D432">
        <v>2378077915</v>
      </c>
      <c r="E432" t="str">
        <f>T("[e북]블랙배저 4권")</f>
        <v>[e북]블랙배저 4권</v>
      </c>
      <c r="F432">
        <v>4</v>
      </c>
      <c r="G432" t="str">
        <f>T("썬터다운")</f>
        <v>썬터다운</v>
      </c>
      <c r="J432" t="str">
        <f>T("매드햇")</f>
        <v>매드햇</v>
      </c>
      <c r="K432" t="str">
        <f>T("[e북]블랙배저")</f>
        <v>[e북]블랙배저</v>
      </c>
      <c r="L432">
        <v>3200</v>
      </c>
      <c r="M432">
        <v>16000</v>
      </c>
      <c r="N432">
        <v>5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16000</v>
      </c>
      <c r="AJ432">
        <v>5</v>
      </c>
      <c r="AK432">
        <v>0</v>
      </c>
      <c r="AL432">
        <v>0</v>
      </c>
      <c r="AM432">
        <v>16000</v>
      </c>
      <c r="AN432">
        <v>0</v>
      </c>
      <c r="AO432">
        <v>0</v>
      </c>
      <c r="AP432">
        <v>0</v>
      </c>
      <c r="AQ432">
        <v>0</v>
      </c>
      <c r="AS432">
        <v>0</v>
      </c>
      <c r="AT432">
        <v>0</v>
      </c>
      <c r="AV432">
        <v>0</v>
      </c>
      <c r="AW432">
        <v>0</v>
      </c>
      <c r="AY432">
        <v>0</v>
      </c>
      <c r="AZ432">
        <v>0</v>
      </c>
      <c r="BA432">
        <v>11200</v>
      </c>
      <c r="BE432" t="str">
        <f>T("9791137010888")</f>
        <v>9791137010888</v>
      </c>
      <c r="BF432" t="str">
        <f>T("D130170")</f>
        <v>D130170</v>
      </c>
      <c r="BG432" t="str">
        <f>T("판타지 e북 &gt; 퓨전 판타지")</f>
        <v>판타지 e북 &gt; 퓨전 판타지</v>
      </c>
    </row>
    <row r="433" spans="1:59">
      <c r="A433" t="s">
        <v>60</v>
      </c>
      <c r="B433" s="1">
        <v>46131</v>
      </c>
      <c r="C433">
        <v>2378077912</v>
      </c>
      <c r="D433">
        <v>2378077916</v>
      </c>
      <c r="E433" t="str">
        <f>T("[e북]블랙배저 5권")</f>
        <v>[e북]블랙배저 5권</v>
      </c>
      <c r="F433">
        <v>5</v>
      </c>
      <c r="G433" t="str">
        <f>T("썬터다운")</f>
        <v>썬터다운</v>
      </c>
      <c r="J433" t="str">
        <f>T("매드햇")</f>
        <v>매드햇</v>
      </c>
      <c r="K433" t="str">
        <f>T("[e북]블랙배저")</f>
        <v>[e북]블랙배저</v>
      </c>
      <c r="L433">
        <v>3200</v>
      </c>
      <c r="M433">
        <v>3200</v>
      </c>
      <c r="N433">
        <v>1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3200</v>
      </c>
      <c r="AJ433">
        <v>1</v>
      </c>
      <c r="AK433">
        <v>0</v>
      </c>
      <c r="AL433">
        <v>0</v>
      </c>
      <c r="AM433">
        <v>3200</v>
      </c>
      <c r="AN433">
        <v>0</v>
      </c>
      <c r="AO433">
        <v>0</v>
      </c>
      <c r="AP433">
        <v>0</v>
      </c>
      <c r="AQ433">
        <v>0</v>
      </c>
      <c r="AS433">
        <v>0</v>
      </c>
      <c r="AT433">
        <v>0</v>
      </c>
      <c r="AV433">
        <v>0</v>
      </c>
      <c r="AW433">
        <v>0</v>
      </c>
      <c r="AY433">
        <v>0</v>
      </c>
      <c r="AZ433">
        <v>0</v>
      </c>
      <c r="BA433">
        <v>2240</v>
      </c>
      <c r="BE433" t="str">
        <f>T("9791137010895")</f>
        <v>9791137010895</v>
      </c>
      <c r="BF433" t="str">
        <f>T("D130171")</f>
        <v>D130171</v>
      </c>
      <c r="BG433" t="str">
        <f>T("판타지 e북 &gt; 퓨전 판타지")</f>
        <v>판타지 e북 &gt; 퓨전 판타지</v>
      </c>
    </row>
    <row r="434" spans="1:59">
      <c r="A434" t="s">
        <v>60</v>
      </c>
      <c r="B434" s="1">
        <v>46131</v>
      </c>
      <c r="C434">
        <v>2378077912</v>
      </c>
      <c r="D434">
        <v>2378077917</v>
      </c>
      <c r="E434" t="str">
        <f>T("[e북]블랙배저 6권")</f>
        <v>[e북]블랙배저 6권</v>
      </c>
      <c r="F434">
        <v>6</v>
      </c>
      <c r="G434" t="str">
        <f>T("썬터다운")</f>
        <v>썬터다운</v>
      </c>
      <c r="J434" t="str">
        <f>T("매드햇")</f>
        <v>매드햇</v>
      </c>
      <c r="K434" t="str">
        <f>T("[e북]블랙배저")</f>
        <v>[e북]블랙배저</v>
      </c>
      <c r="L434">
        <v>3200</v>
      </c>
      <c r="M434">
        <v>6400</v>
      </c>
      <c r="N434">
        <v>2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6400</v>
      </c>
      <c r="AJ434">
        <v>2</v>
      </c>
      <c r="AK434">
        <v>0</v>
      </c>
      <c r="AL434">
        <v>0</v>
      </c>
      <c r="AM434">
        <v>6400</v>
      </c>
      <c r="AN434">
        <v>0</v>
      </c>
      <c r="AO434">
        <v>0</v>
      </c>
      <c r="AP434">
        <v>0</v>
      </c>
      <c r="AQ434">
        <v>0</v>
      </c>
      <c r="AS434">
        <v>0</v>
      </c>
      <c r="AT434">
        <v>0</v>
      </c>
      <c r="AV434">
        <v>0</v>
      </c>
      <c r="AW434">
        <v>0</v>
      </c>
      <c r="AY434">
        <v>0</v>
      </c>
      <c r="AZ434">
        <v>0</v>
      </c>
      <c r="BA434">
        <v>4480</v>
      </c>
      <c r="BE434" t="str">
        <f>T("9791137010901")</f>
        <v>9791137010901</v>
      </c>
      <c r="BF434" t="str">
        <f>T("D130172")</f>
        <v>D130172</v>
      </c>
      <c r="BG434" t="str">
        <f>T("판타지 e북 &gt; 퓨전 판타지")</f>
        <v>판타지 e북 &gt; 퓨전 판타지</v>
      </c>
    </row>
    <row r="435" spans="1:59">
      <c r="A435" t="s">
        <v>60</v>
      </c>
      <c r="B435" s="1">
        <v>46131</v>
      </c>
      <c r="C435">
        <v>2378077912</v>
      </c>
      <c r="D435">
        <v>2378078994</v>
      </c>
      <c r="E435" t="str">
        <f>T("[e북]블랙배저 9권")</f>
        <v>[e북]블랙배저 9권</v>
      </c>
      <c r="F435">
        <v>9</v>
      </c>
      <c r="G435" t="str">
        <f>T("썬터다운")</f>
        <v>썬터다운</v>
      </c>
      <c r="J435" t="str">
        <f>T("매드햇")</f>
        <v>매드햇</v>
      </c>
      <c r="K435" t="str">
        <f>T("[e북]블랙배저")</f>
        <v>[e북]블랙배저</v>
      </c>
      <c r="L435">
        <v>3200</v>
      </c>
      <c r="M435">
        <v>9600</v>
      </c>
      <c r="N435">
        <v>3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9600</v>
      </c>
      <c r="AJ435">
        <v>3</v>
      </c>
      <c r="AK435">
        <v>0</v>
      </c>
      <c r="AL435">
        <v>0</v>
      </c>
      <c r="AM435">
        <v>9600</v>
      </c>
      <c r="AN435">
        <v>0</v>
      </c>
      <c r="AO435">
        <v>0</v>
      </c>
      <c r="AP435">
        <v>0</v>
      </c>
      <c r="AQ435">
        <v>0</v>
      </c>
      <c r="AS435">
        <v>0</v>
      </c>
      <c r="AT435">
        <v>0</v>
      </c>
      <c r="AV435">
        <v>0</v>
      </c>
      <c r="AW435">
        <v>0</v>
      </c>
      <c r="AY435">
        <v>0</v>
      </c>
      <c r="AZ435">
        <v>0</v>
      </c>
      <c r="BA435">
        <v>6720</v>
      </c>
      <c r="BF435" t="str">
        <f>T("D170946")</f>
        <v>D170946</v>
      </c>
      <c r="BG435" t="str">
        <f>T("판타지 e북 &gt; 퓨전 판타지")</f>
        <v>판타지 e북 &gt; 퓨전 판타지</v>
      </c>
    </row>
    <row r="436" spans="1:59">
      <c r="A436" t="s">
        <v>60</v>
      </c>
      <c r="B436" s="1">
        <v>46131</v>
      </c>
      <c r="C436">
        <v>2378077912</v>
      </c>
      <c r="D436">
        <v>2378078995</v>
      </c>
      <c r="E436" t="str">
        <f>T("[e북]블랙배저 10권")</f>
        <v>[e북]블랙배저 10권</v>
      </c>
      <c r="F436">
        <v>10</v>
      </c>
      <c r="G436" t="str">
        <f>T("썬터다운")</f>
        <v>썬터다운</v>
      </c>
      <c r="J436" t="str">
        <f>T("매드햇")</f>
        <v>매드햇</v>
      </c>
      <c r="K436" t="str">
        <f>T("[e북]블랙배저")</f>
        <v>[e북]블랙배저</v>
      </c>
      <c r="L436">
        <v>3200</v>
      </c>
      <c r="M436">
        <v>6400</v>
      </c>
      <c r="N436">
        <v>2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6400</v>
      </c>
      <c r="AJ436">
        <v>2</v>
      </c>
      <c r="AK436">
        <v>0</v>
      </c>
      <c r="AL436">
        <v>0</v>
      </c>
      <c r="AM436">
        <v>6400</v>
      </c>
      <c r="AN436">
        <v>0</v>
      </c>
      <c r="AO436">
        <v>0</v>
      </c>
      <c r="AP436">
        <v>0</v>
      </c>
      <c r="AQ436">
        <v>0</v>
      </c>
      <c r="AS436">
        <v>0</v>
      </c>
      <c r="AT436">
        <v>0</v>
      </c>
      <c r="AV436">
        <v>0</v>
      </c>
      <c r="AW436">
        <v>0</v>
      </c>
      <c r="AY436">
        <v>0</v>
      </c>
      <c r="AZ436">
        <v>0</v>
      </c>
      <c r="BA436">
        <v>4480</v>
      </c>
      <c r="BF436" t="str">
        <f>T("D170947")</f>
        <v>D170947</v>
      </c>
      <c r="BG436" t="str">
        <f>T("판타지 e북 &gt; 퓨전 판타지")</f>
        <v>판타지 e북 &gt; 퓨전 판타지</v>
      </c>
    </row>
    <row r="437" spans="1:59">
      <c r="A437" t="s">
        <v>60</v>
      </c>
      <c r="B437" s="1">
        <v>46131</v>
      </c>
      <c r="C437">
        <v>2378077912</v>
      </c>
      <c r="D437">
        <v>2378078996</v>
      </c>
      <c r="E437" t="str">
        <f>T("[e북]블랙배저 11권")</f>
        <v>[e북]블랙배저 11권</v>
      </c>
      <c r="F437">
        <v>11</v>
      </c>
      <c r="G437" t="str">
        <f>T("썬터다운")</f>
        <v>썬터다운</v>
      </c>
      <c r="J437" t="str">
        <f>T("매드햇")</f>
        <v>매드햇</v>
      </c>
      <c r="K437" t="str">
        <f>T("[e북]블랙배저")</f>
        <v>[e북]블랙배저</v>
      </c>
      <c r="L437">
        <v>3200</v>
      </c>
      <c r="M437">
        <v>16000</v>
      </c>
      <c r="N437">
        <v>5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16000</v>
      </c>
      <c r="AJ437">
        <v>5</v>
      </c>
      <c r="AK437">
        <v>0</v>
      </c>
      <c r="AL437">
        <v>0</v>
      </c>
      <c r="AM437">
        <v>16000</v>
      </c>
      <c r="AN437">
        <v>0</v>
      </c>
      <c r="AO437">
        <v>0</v>
      </c>
      <c r="AP437">
        <v>0</v>
      </c>
      <c r="AQ437">
        <v>0</v>
      </c>
      <c r="AS437">
        <v>0</v>
      </c>
      <c r="AT437">
        <v>0</v>
      </c>
      <c r="AV437">
        <v>0</v>
      </c>
      <c r="AW437">
        <v>0</v>
      </c>
      <c r="AY437">
        <v>0</v>
      </c>
      <c r="AZ437">
        <v>0</v>
      </c>
      <c r="BA437">
        <v>11200</v>
      </c>
      <c r="BF437" t="str">
        <f>T("D170948")</f>
        <v>D170948</v>
      </c>
      <c r="BG437" t="str">
        <f>T("판타지 e북 &gt; 퓨전 판타지")</f>
        <v>판타지 e북 &gt; 퓨전 판타지</v>
      </c>
    </row>
    <row r="438" spans="1:59">
      <c r="A438" t="s">
        <v>60</v>
      </c>
      <c r="B438" s="1">
        <v>46131</v>
      </c>
      <c r="C438">
        <v>2378077912</v>
      </c>
      <c r="D438">
        <v>2378078997</v>
      </c>
      <c r="E438" t="str">
        <f>T("[e북]블랙배저 12권")</f>
        <v>[e북]블랙배저 12권</v>
      </c>
      <c r="F438">
        <v>12</v>
      </c>
      <c r="G438" t="str">
        <f>T("썬터다운")</f>
        <v>썬터다운</v>
      </c>
      <c r="J438" t="str">
        <f>T("매드햇")</f>
        <v>매드햇</v>
      </c>
      <c r="K438" t="str">
        <f>T("[e북]블랙배저")</f>
        <v>[e북]블랙배저</v>
      </c>
      <c r="L438">
        <v>3200</v>
      </c>
      <c r="M438">
        <v>12800</v>
      </c>
      <c r="N438">
        <v>4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12800</v>
      </c>
      <c r="AJ438">
        <v>4</v>
      </c>
      <c r="AK438">
        <v>0</v>
      </c>
      <c r="AL438">
        <v>0</v>
      </c>
      <c r="AM438">
        <v>12800</v>
      </c>
      <c r="AN438">
        <v>0</v>
      </c>
      <c r="AO438">
        <v>0</v>
      </c>
      <c r="AP438">
        <v>0</v>
      </c>
      <c r="AQ438">
        <v>0</v>
      </c>
      <c r="AS438">
        <v>0</v>
      </c>
      <c r="AT438">
        <v>0</v>
      </c>
      <c r="AV438">
        <v>0</v>
      </c>
      <c r="AW438">
        <v>0</v>
      </c>
      <c r="AY438">
        <v>0</v>
      </c>
      <c r="AZ438">
        <v>0</v>
      </c>
      <c r="BA438">
        <v>8960</v>
      </c>
      <c r="BF438" t="str">
        <f>T("D170949")</f>
        <v>D170949</v>
      </c>
      <c r="BG438" t="str">
        <f>T("판타지 e북 &gt; 퓨전 판타지")</f>
        <v>판타지 e북 &gt; 퓨전 판타지</v>
      </c>
    </row>
    <row r="439" spans="1:59">
      <c r="A439" t="s">
        <v>60</v>
      </c>
      <c r="B439" s="1">
        <v>46129</v>
      </c>
      <c r="C439">
        <v>2378080348</v>
      </c>
      <c r="D439">
        <v>2378080348</v>
      </c>
      <c r="E439" t="str">
        <f>T("[e북]비 마이 그린(Be My Green) 1권")</f>
        <v>[e북]비 마이 그린(Be My Green) 1권</v>
      </c>
      <c r="F439">
        <v>1</v>
      </c>
      <c r="G439" t="str">
        <f>T("새낱")</f>
        <v>새낱</v>
      </c>
      <c r="J439" t="str">
        <f>T("하트퀸")</f>
        <v>하트퀸</v>
      </c>
      <c r="K439" t="str">
        <f>T("[e북]비 마이 그린(Be My Green)")</f>
        <v>[e북]비 마이 그린(Be My Green)</v>
      </c>
      <c r="L439">
        <v>3300</v>
      </c>
      <c r="M439">
        <v>14850</v>
      </c>
      <c r="N439">
        <v>5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14850</v>
      </c>
      <c r="AJ439">
        <v>5</v>
      </c>
      <c r="AK439">
        <v>0</v>
      </c>
      <c r="AL439">
        <v>0</v>
      </c>
      <c r="AM439">
        <v>14850</v>
      </c>
      <c r="AN439">
        <v>0</v>
      </c>
      <c r="AO439">
        <v>0</v>
      </c>
      <c r="AP439">
        <v>0</v>
      </c>
      <c r="AQ439">
        <v>0</v>
      </c>
      <c r="AS439">
        <v>0</v>
      </c>
      <c r="AT439">
        <v>0</v>
      </c>
      <c r="AV439">
        <v>0</v>
      </c>
      <c r="AW439">
        <v>0</v>
      </c>
      <c r="AY439">
        <v>0</v>
      </c>
      <c r="AZ439">
        <v>0</v>
      </c>
      <c r="BA439">
        <v>8910</v>
      </c>
      <c r="BF439" t="str">
        <f>T("D209506")</f>
        <v>D209506</v>
      </c>
      <c r="BG439" t="str">
        <f>T("로맨스 e북 &gt; 현대물")</f>
        <v>로맨스 e북 &gt; 현대물</v>
      </c>
    </row>
    <row r="440" spans="1:59">
      <c r="A440" t="s">
        <v>60</v>
      </c>
      <c r="B440" s="1">
        <v>46129</v>
      </c>
      <c r="C440">
        <v>2378080348</v>
      </c>
      <c r="D440">
        <v>2378080349</v>
      </c>
      <c r="E440" t="str">
        <f>T("[e북]비 마이 그린(Be My Green) 2권")</f>
        <v>[e북]비 마이 그린(Be My Green) 2권</v>
      </c>
      <c r="F440">
        <v>2</v>
      </c>
      <c r="G440" t="str">
        <f>T("새낱")</f>
        <v>새낱</v>
      </c>
      <c r="J440" t="str">
        <f>T("하트퀸")</f>
        <v>하트퀸</v>
      </c>
      <c r="K440" t="str">
        <f>T("[e북]비 마이 그린(Be My Green)")</f>
        <v>[e북]비 마이 그린(Be My Green)</v>
      </c>
      <c r="L440">
        <v>3300</v>
      </c>
      <c r="M440">
        <v>5940</v>
      </c>
      <c r="N440">
        <v>2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5940</v>
      </c>
      <c r="AJ440">
        <v>2</v>
      </c>
      <c r="AK440">
        <v>0</v>
      </c>
      <c r="AL440">
        <v>0</v>
      </c>
      <c r="AM440">
        <v>5940</v>
      </c>
      <c r="AN440">
        <v>0</v>
      </c>
      <c r="AO440">
        <v>0</v>
      </c>
      <c r="AP440">
        <v>0</v>
      </c>
      <c r="AQ440">
        <v>0</v>
      </c>
      <c r="AS440">
        <v>0</v>
      </c>
      <c r="AT440">
        <v>0</v>
      </c>
      <c r="AV440">
        <v>0</v>
      </c>
      <c r="AW440">
        <v>0</v>
      </c>
      <c r="AY440">
        <v>0</v>
      </c>
      <c r="AZ440">
        <v>0</v>
      </c>
      <c r="BA440">
        <v>3564</v>
      </c>
      <c r="BF440" t="str">
        <f>T("D209507")</f>
        <v>D209507</v>
      </c>
      <c r="BG440" t="str">
        <f>T("로맨스 e북 &gt; 현대물")</f>
        <v>로맨스 e북 &gt; 현대물</v>
      </c>
    </row>
    <row r="441" spans="1:59">
      <c r="A441" t="s">
        <v>60</v>
      </c>
      <c r="B441" s="1">
        <v>46129</v>
      </c>
      <c r="C441">
        <v>2378080348</v>
      </c>
      <c r="D441">
        <v>2378080350</v>
      </c>
      <c r="E441" t="str">
        <f>T("[e북]비 마이 그린(Be My Green) 3권 (완결)")</f>
        <v>[e북]비 마이 그린(Be My Green) 3권 (완결)</v>
      </c>
      <c r="F441">
        <v>3</v>
      </c>
      <c r="G441" t="str">
        <f>T("새낱")</f>
        <v>새낱</v>
      </c>
      <c r="J441" t="str">
        <f>T("하트퀸")</f>
        <v>하트퀸</v>
      </c>
      <c r="K441" t="str">
        <f>T("[e북]비 마이 그린(Be My Green)")</f>
        <v>[e북]비 마이 그린(Be My Green)</v>
      </c>
      <c r="L441">
        <v>3300</v>
      </c>
      <c r="M441">
        <v>5940</v>
      </c>
      <c r="N441">
        <v>2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5940</v>
      </c>
      <c r="AJ441">
        <v>2</v>
      </c>
      <c r="AK441">
        <v>0</v>
      </c>
      <c r="AL441">
        <v>0</v>
      </c>
      <c r="AM441">
        <v>5940</v>
      </c>
      <c r="AN441">
        <v>0</v>
      </c>
      <c r="AO441">
        <v>0</v>
      </c>
      <c r="AP441">
        <v>0</v>
      </c>
      <c r="AQ441">
        <v>0</v>
      </c>
      <c r="AS441">
        <v>0</v>
      </c>
      <c r="AT441">
        <v>0</v>
      </c>
      <c r="AV441">
        <v>0</v>
      </c>
      <c r="AW441">
        <v>0</v>
      </c>
      <c r="AY441">
        <v>0</v>
      </c>
      <c r="AZ441">
        <v>0</v>
      </c>
      <c r="BA441">
        <v>3564</v>
      </c>
      <c r="BF441" t="str">
        <f>T("D209508")</f>
        <v>D209508</v>
      </c>
      <c r="BG441" t="str">
        <f>T("로맨스 e북 &gt; 현대물")</f>
        <v>로맨스 e북 &gt; 현대물</v>
      </c>
    </row>
    <row r="442" spans="1:59">
      <c r="A442" t="s">
        <v>60</v>
      </c>
      <c r="B442" s="1">
        <v>46130</v>
      </c>
      <c r="C442">
        <v>2378080348</v>
      </c>
      <c r="D442">
        <v>2378080348</v>
      </c>
      <c r="E442" t="str">
        <f>T("[e북]비 마이 그린(Be My Green) 1권")</f>
        <v>[e북]비 마이 그린(Be My Green) 1권</v>
      </c>
      <c r="F442">
        <v>1</v>
      </c>
      <c r="G442" t="str">
        <f>T("새낱")</f>
        <v>새낱</v>
      </c>
      <c r="J442" t="str">
        <f>T("하트퀸")</f>
        <v>하트퀸</v>
      </c>
      <c r="K442" t="str">
        <f>T("[e북]비 마이 그린(Be My Green)")</f>
        <v>[e북]비 마이 그린(Be My Green)</v>
      </c>
      <c r="L442">
        <v>3300</v>
      </c>
      <c r="M442">
        <v>8910</v>
      </c>
      <c r="N442">
        <v>3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8910</v>
      </c>
      <c r="AJ442">
        <v>3</v>
      </c>
      <c r="AK442">
        <v>0</v>
      </c>
      <c r="AL442">
        <v>0</v>
      </c>
      <c r="AM442">
        <v>8910</v>
      </c>
      <c r="AN442">
        <v>0</v>
      </c>
      <c r="AO442">
        <v>0</v>
      </c>
      <c r="AP442">
        <v>0</v>
      </c>
      <c r="AQ442">
        <v>0</v>
      </c>
      <c r="AS442">
        <v>0</v>
      </c>
      <c r="AT442">
        <v>0</v>
      </c>
      <c r="AV442">
        <v>0</v>
      </c>
      <c r="AW442">
        <v>0</v>
      </c>
      <c r="AY442">
        <v>0</v>
      </c>
      <c r="AZ442">
        <v>0</v>
      </c>
      <c r="BA442">
        <v>5346</v>
      </c>
      <c r="BF442" t="str">
        <f>T("D209506")</f>
        <v>D209506</v>
      </c>
      <c r="BG442" t="str">
        <f>T("로맨스 e북 &gt; 현대물")</f>
        <v>로맨스 e북 &gt; 현대물</v>
      </c>
    </row>
    <row r="443" spans="1:59">
      <c r="A443" t="s">
        <v>60</v>
      </c>
      <c r="B443" s="1">
        <v>46130</v>
      </c>
      <c r="C443">
        <v>2378080348</v>
      </c>
      <c r="D443">
        <v>2378080349</v>
      </c>
      <c r="E443" t="str">
        <f>T("[e북]비 마이 그린(Be My Green) 2권")</f>
        <v>[e북]비 마이 그린(Be My Green) 2권</v>
      </c>
      <c r="F443">
        <v>2</v>
      </c>
      <c r="G443" t="str">
        <f>T("새낱")</f>
        <v>새낱</v>
      </c>
      <c r="J443" t="str">
        <f>T("하트퀸")</f>
        <v>하트퀸</v>
      </c>
      <c r="K443" t="str">
        <f>T("[e북]비 마이 그린(Be My Green)")</f>
        <v>[e북]비 마이 그린(Be My Green)</v>
      </c>
      <c r="L443">
        <v>3300</v>
      </c>
      <c r="M443">
        <v>5940</v>
      </c>
      <c r="N443">
        <v>2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5940</v>
      </c>
      <c r="AJ443">
        <v>2</v>
      </c>
      <c r="AK443">
        <v>0</v>
      </c>
      <c r="AL443">
        <v>0</v>
      </c>
      <c r="AM443">
        <v>5940</v>
      </c>
      <c r="AN443">
        <v>0</v>
      </c>
      <c r="AO443">
        <v>0</v>
      </c>
      <c r="AP443">
        <v>0</v>
      </c>
      <c r="AQ443">
        <v>0</v>
      </c>
      <c r="AS443">
        <v>0</v>
      </c>
      <c r="AT443">
        <v>0</v>
      </c>
      <c r="AV443">
        <v>0</v>
      </c>
      <c r="AW443">
        <v>0</v>
      </c>
      <c r="AY443">
        <v>0</v>
      </c>
      <c r="AZ443">
        <v>0</v>
      </c>
      <c r="BA443">
        <v>3564</v>
      </c>
      <c r="BF443" t="str">
        <f>T("D209507")</f>
        <v>D209507</v>
      </c>
      <c r="BG443" t="str">
        <f>T("로맨스 e북 &gt; 현대물")</f>
        <v>로맨스 e북 &gt; 현대물</v>
      </c>
    </row>
    <row r="444" spans="1:59">
      <c r="A444" t="s">
        <v>60</v>
      </c>
      <c r="B444" s="1">
        <v>46130</v>
      </c>
      <c r="C444">
        <v>2378080348</v>
      </c>
      <c r="D444">
        <v>2378080350</v>
      </c>
      <c r="E444" t="str">
        <f>T("[e북]비 마이 그린(Be My Green) 3권 (완결)")</f>
        <v>[e북]비 마이 그린(Be My Green) 3권 (완결)</v>
      </c>
      <c r="F444">
        <v>3</v>
      </c>
      <c r="G444" t="str">
        <f>T("새낱")</f>
        <v>새낱</v>
      </c>
      <c r="J444" t="str">
        <f>T("하트퀸")</f>
        <v>하트퀸</v>
      </c>
      <c r="K444" t="str">
        <f>T("[e북]비 마이 그린(Be My Green)")</f>
        <v>[e북]비 마이 그린(Be My Green)</v>
      </c>
      <c r="L444">
        <v>3300</v>
      </c>
      <c r="M444">
        <v>5940</v>
      </c>
      <c r="N444">
        <v>2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5940</v>
      </c>
      <c r="AJ444">
        <v>2</v>
      </c>
      <c r="AK444">
        <v>0</v>
      </c>
      <c r="AL444">
        <v>0</v>
      </c>
      <c r="AM444">
        <v>5940</v>
      </c>
      <c r="AN444">
        <v>0</v>
      </c>
      <c r="AO444">
        <v>0</v>
      </c>
      <c r="AP444">
        <v>0</v>
      </c>
      <c r="AQ444">
        <v>0</v>
      </c>
      <c r="AS444">
        <v>0</v>
      </c>
      <c r="AT444">
        <v>0</v>
      </c>
      <c r="AV444">
        <v>0</v>
      </c>
      <c r="AW444">
        <v>0</v>
      </c>
      <c r="AY444">
        <v>0</v>
      </c>
      <c r="AZ444">
        <v>0</v>
      </c>
      <c r="BA444">
        <v>3564</v>
      </c>
      <c r="BF444" t="str">
        <f>T("D209508")</f>
        <v>D209508</v>
      </c>
      <c r="BG444" t="str">
        <f>T("로맨스 e북 &gt; 현대물")</f>
        <v>로맨스 e북 &gt; 현대물</v>
      </c>
    </row>
    <row r="445" spans="1:59">
      <c r="A445" t="s">
        <v>60</v>
      </c>
      <c r="B445" s="1">
        <v>46131</v>
      </c>
      <c r="C445">
        <v>2378080348</v>
      </c>
      <c r="D445">
        <v>2378080349</v>
      </c>
      <c r="E445" t="str">
        <f>T("[e북]비 마이 그린(Be My Green) 2권")</f>
        <v>[e북]비 마이 그린(Be My Green) 2권</v>
      </c>
      <c r="F445">
        <v>2</v>
      </c>
      <c r="G445" t="str">
        <f>T("새낱")</f>
        <v>새낱</v>
      </c>
      <c r="J445" t="str">
        <f>T("하트퀸")</f>
        <v>하트퀸</v>
      </c>
      <c r="K445" t="str">
        <f>T("[e북]비 마이 그린(Be My Green)")</f>
        <v>[e북]비 마이 그린(Be My Green)</v>
      </c>
      <c r="L445">
        <v>3300</v>
      </c>
      <c r="M445">
        <v>2970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2970</v>
      </c>
      <c r="AJ445">
        <v>1</v>
      </c>
      <c r="AK445">
        <v>0</v>
      </c>
      <c r="AL445">
        <v>0</v>
      </c>
      <c r="AM445">
        <v>0</v>
      </c>
      <c r="AN445">
        <v>0</v>
      </c>
      <c r="AO445">
        <v>3564</v>
      </c>
      <c r="AP445">
        <v>-1069.2</v>
      </c>
      <c r="AQ445">
        <v>0</v>
      </c>
      <c r="AR445">
        <v>3564</v>
      </c>
      <c r="AS445">
        <v>-1069.2</v>
      </c>
      <c r="AT445">
        <v>0</v>
      </c>
      <c r="AV445">
        <v>0</v>
      </c>
      <c r="AW445">
        <v>0</v>
      </c>
      <c r="AY445">
        <v>0</v>
      </c>
      <c r="AZ445">
        <v>0</v>
      </c>
      <c r="BA445">
        <v>1496.88</v>
      </c>
      <c r="BF445" t="str">
        <f>T("D209507")</f>
        <v>D209507</v>
      </c>
      <c r="BG445" t="str">
        <f>T("로맨스 e북 &gt; 현대물")</f>
        <v>로맨스 e북 &gt; 현대물</v>
      </c>
    </row>
    <row r="446" spans="1:59">
      <c r="A446" t="s">
        <v>60</v>
      </c>
      <c r="B446" s="1">
        <v>46130</v>
      </c>
      <c r="C446">
        <v>2378081227</v>
      </c>
      <c r="D446">
        <v>2378081227</v>
      </c>
      <c r="E446" t="str">
        <f>T("[e북]비가 갠 뒤에 1권")</f>
        <v>[e북]비가 갠 뒤에 1권</v>
      </c>
      <c r="F446">
        <v>1</v>
      </c>
      <c r="G446" t="str">
        <f>T("이월십구일")</f>
        <v>이월십구일</v>
      </c>
      <c r="J446" t="str">
        <f>T("하트퀸")</f>
        <v>하트퀸</v>
      </c>
      <c r="K446" t="str">
        <f>T("[e북]비가 갠 뒤에")</f>
        <v>[e북]비가 갠 뒤에</v>
      </c>
      <c r="L446">
        <v>3000</v>
      </c>
      <c r="M446">
        <v>27000</v>
      </c>
      <c r="N446">
        <v>10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27000</v>
      </c>
      <c r="AJ446">
        <v>10</v>
      </c>
      <c r="AK446">
        <v>0</v>
      </c>
      <c r="AL446">
        <v>0</v>
      </c>
      <c r="AM446">
        <v>25505</v>
      </c>
      <c r="AN446">
        <v>0</v>
      </c>
      <c r="AO446">
        <v>1794</v>
      </c>
      <c r="AP446">
        <v>-179.4</v>
      </c>
      <c r="AQ446">
        <v>0</v>
      </c>
      <c r="AS446">
        <v>0</v>
      </c>
      <c r="AT446">
        <v>0</v>
      </c>
      <c r="AV446">
        <v>0</v>
      </c>
      <c r="AW446">
        <v>0</v>
      </c>
      <c r="AX446">
        <v>1794</v>
      </c>
      <c r="AY446">
        <v>-179.4</v>
      </c>
      <c r="AZ446">
        <v>0</v>
      </c>
      <c r="BA446">
        <v>18983.72</v>
      </c>
      <c r="BF446" t="str">
        <f>T("D275917")</f>
        <v>D275917</v>
      </c>
      <c r="BG446" t="str">
        <f>T("로맨스 e북 &gt; 현대물")</f>
        <v>로맨스 e북 &gt; 현대물</v>
      </c>
    </row>
    <row r="447" spans="1:59">
      <c r="A447" t="s">
        <v>60</v>
      </c>
      <c r="B447" s="1">
        <v>46130</v>
      </c>
      <c r="C447">
        <v>2378081227</v>
      </c>
      <c r="D447">
        <v>2378081228</v>
      </c>
      <c r="E447" t="str">
        <f>T("[e북]비가 갠 뒤에 2권 (완결)")</f>
        <v>[e북]비가 갠 뒤에 2권 (완결)</v>
      </c>
      <c r="F447">
        <v>2</v>
      </c>
      <c r="G447" t="str">
        <f>T("이월십구일")</f>
        <v>이월십구일</v>
      </c>
      <c r="J447" t="str">
        <f>T("하트퀸")</f>
        <v>하트퀸</v>
      </c>
      <c r="K447" t="str">
        <f>T("[e북]비가 갠 뒤에")</f>
        <v>[e북]비가 갠 뒤에</v>
      </c>
      <c r="L447">
        <v>3000</v>
      </c>
      <c r="M447">
        <v>21600</v>
      </c>
      <c r="N447">
        <v>8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21600</v>
      </c>
      <c r="AJ447">
        <v>8</v>
      </c>
      <c r="AK447">
        <v>0</v>
      </c>
      <c r="AL447">
        <v>0</v>
      </c>
      <c r="AM447">
        <v>20105</v>
      </c>
      <c r="AN447">
        <v>0</v>
      </c>
      <c r="AO447">
        <v>1794</v>
      </c>
      <c r="AP447">
        <v>-179.4</v>
      </c>
      <c r="AQ447">
        <v>0</v>
      </c>
      <c r="AS447">
        <v>0</v>
      </c>
      <c r="AT447">
        <v>0</v>
      </c>
      <c r="AV447">
        <v>0</v>
      </c>
      <c r="AW447">
        <v>0</v>
      </c>
      <c r="AX447">
        <v>1794</v>
      </c>
      <c r="AY447">
        <v>-179.4</v>
      </c>
      <c r="AZ447">
        <v>0</v>
      </c>
      <c r="BA447">
        <v>15203.72</v>
      </c>
      <c r="BF447" t="str">
        <f>T("D275918")</f>
        <v>D275918</v>
      </c>
      <c r="BG447" t="str">
        <f>T("로맨스 e북 &gt; 현대물")</f>
        <v>로맨스 e북 &gt; 현대물</v>
      </c>
    </row>
    <row r="448" spans="1:59">
      <c r="A448" t="s">
        <v>60</v>
      </c>
      <c r="B448" s="1">
        <v>46131</v>
      </c>
      <c r="C448">
        <v>2378081227</v>
      </c>
      <c r="D448">
        <v>2378081227</v>
      </c>
      <c r="E448" t="str">
        <f>T("[e북]비가 갠 뒤에 1권")</f>
        <v>[e북]비가 갠 뒤에 1권</v>
      </c>
      <c r="F448">
        <v>1</v>
      </c>
      <c r="G448" t="str">
        <f>T("이월십구일")</f>
        <v>이월십구일</v>
      </c>
      <c r="J448" t="str">
        <f>T("하트퀸")</f>
        <v>하트퀸</v>
      </c>
      <c r="K448" t="str">
        <f>T("[e북]비가 갠 뒤에")</f>
        <v>[e북]비가 갠 뒤에</v>
      </c>
      <c r="L448">
        <v>3000</v>
      </c>
      <c r="M448">
        <v>5400</v>
      </c>
      <c r="N448">
        <v>2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5400</v>
      </c>
      <c r="AJ448">
        <v>2</v>
      </c>
      <c r="AK448">
        <v>0</v>
      </c>
      <c r="AL448">
        <v>0</v>
      </c>
      <c r="AM448">
        <v>5400</v>
      </c>
      <c r="AN448">
        <v>0</v>
      </c>
      <c r="AO448">
        <v>0</v>
      </c>
      <c r="AP448">
        <v>0</v>
      </c>
      <c r="AQ448">
        <v>0</v>
      </c>
      <c r="AS448">
        <v>0</v>
      </c>
      <c r="AT448">
        <v>0</v>
      </c>
      <c r="AV448">
        <v>0</v>
      </c>
      <c r="AW448">
        <v>0</v>
      </c>
      <c r="AY448">
        <v>0</v>
      </c>
      <c r="AZ448">
        <v>0</v>
      </c>
      <c r="BA448">
        <v>3780</v>
      </c>
      <c r="BF448" t="str">
        <f>T("D275917")</f>
        <v>D275917</v>
      </c>
      <c r="BG448" t="str">
        <f>T("로맨스 e북 &gt; 현대물")</f>
        <v>로맨스 e북 &gt; 현대물</v>
      </c>
    </row>
    <row r="449" spans="1:59">
      <c r="A449" t="s">
        <v>60</v>
      </c>
      <c r="B449" s="1">
        <v>46131</v>
      </c>
      <c r="C449">
        <v>2378081227</v>
      </c>
      <c r="D449">
        <v>2378081228</v>
      </c>
      <c r="E449" t="str">
        <f>T("[e북]비가 갠 뒤에 2권 (완결)")</f>
        <v>[e북]비가 갠 뒤에 2권 (완결)</v>
      </c>
      <c r="F449">
        <v>2</v>
      </c>
      <c r="G449" t="str">
        <f>T("이월십구일")</f>
        <v>이월십구일</v>
      </c>
      <c r="J449" t="str">
        <f>T("하트퀸")</f>
        <v>하트퀸</v>
      </c>
      <c r="K449" t="str">
        <f>T("[e북]비가 갠 뒤에")</f>
        <v>[e북]비가 갠 뒤에</v>
      </c>
      <c r="L449">
        <v>3000</v>
      </c>
      <c r="M449">
        <v>5400</v>
      </c>
      <c r="N449">
        <v>2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5400</v>
      </c>
      <c r="AJ449">
        <v>2</v>
      </c>
      <c r="AK449">
        <v>0</v>
      </c>
      <c r="AL449">
        <v>0</v>
      </c>
      <c r="AM449">
        <v>5400</v>
      </c>
      <c r="AN449">
        <v>0</v>
      </c>
      <c r="AO449">
        <v>0</v>
      </c>
      <c r="AP449">
        <v>0</v>
      </c>
      <c r="AQ449">
        <v>0</v>
      </c>
      <c r="AS449">
        <v>0</v>
      </c>
      <c r="AT449">
        <v>0</v>
      </c>
      <c r="AV449">
        <v>0</v>
      </c>
      <c r="AW449">
        <v>0</v>
      </c>
      <c r="AY449">
        <v>0</v>
      </c>
      <c r="AZ449">
        <v>0</v>
      </c>
      <c r="BA449">
        <v>3780</v>
      </c>
      <c r="BF449" t="str">
        <f>T("D275918")</f>
        <v>D275918</v>
      </c>
      <c r="BG449" t="str">
        <f>T("로맨스 e북 &gt; 현대물")</f>
        <v>로맨스 e북 &gt; 현대물</v>
      </c>
    </row>
    <row r="450" spans="1:59">
      <c r="A450" t="s">
        <v>60</v>
      </c>
      <c r="B450" s="1">
        <v>46130</v>
      </c>
      <c r="C450">
        <v>2378007616</v>
      </c>
      <c r="D450">
        <v>2378007616</v>
      </c>
      <c r="E450" t="str">
        <f>T("[e북]사랑해서 그랬어 1권")</f>
        <v>[e북]사랑해서 그랬어 1권</v>
      </c>
      <c r="F450">
        <v>1</v>
      </c>
      <c r="G450" t="str">
        <f>T("처돌이")</f>
        <v>처돌이</v>
      </c>
      <c r="J450" t="str">
        <f>T("체셔")</f>
        <v>체셔</v>
      </c>
      <c r="K450" t="str">
        <f>T("[e북]사랑해서 그랬어")</f>
        <v>[e북]사랑해서 그랬어</v>
      </c>
      <c r="L450">
        <v>3000</v>
      </c>
      <c r="M450">
        <v>6000</v>
      </c>
      <c r="N450">
        <v>2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6000</v>
      </c>
      <c r="AJ450">
        <v>2</v>
      </c>
      <c r="AK450">
        <v>0</v>
      </c>
      <c r="AL450">
        <v>0</v>
      </c>
      <c r="AM450">
        <v>6000</v>
      </c>
      <c r="AN450">
        <v>0</v>
      </c>
      <c r="AO450">
        <v>0</v>
      </c>
      <c r="AP450">
        <v>0</v>
      </c>
      <c r="AQ450">
        <v>0</v>
      </c>
      <c r="AS450">
        <v>0</v>
      </c>
      <c r="AT450">
        <v>0</v>
      </c>
      <c r="AV450">
        <v>0</v>
      </c>
      <c r="AW450">
        <v>0</v>
      </c>
      <c r="AY450">
        <v>0</v>
      </c>
      <c r="AZ450">
        <v>0</v>
      </c>
      <c r="BA450">
        <v>4200</v>
      </c>
      <c r="BC450" t="str">
        <f>T("0000000000000")</f>
        <v>0000000000000</v>
      </c>
      <c r="BE450" t="str">
        <f>T("9791164830565")</f>
        <v>9791164830565</v>
      </c>
      <c r="BF450" t="str">
        <f>T("E415994")</f>
        <v>E415994</v>
      </c>
      <c r="BG450" t="str">
        <f>T("BL 소설 e북 &gt; 현대물")</f>
        <v>BL 소설 e북 &gt; 현대물</v>
      </c>
    </row>
    <row r="451" spans="1:59">
      <c r="A451" t="s">
        <v>60</v>
      </c>
      <c r="B451" s="1">
        <v>46130</v>
      </c>
      <c r="C451">
        <v>2378007616</v>
      </c>
      <c r="D451">
        <v>2378007617</v>
      </c>
      <c r="E451" t="str">
        <f>T("[e북]사랑해서 그랬어 2권")</f>
        <v>[e북]사랑해서 그랬어 2권</v>
      </c>
      <c r="F451">
        <v>2</v>
      </c>
      <c r="G451" t="str">
        <f>T("처돌이")</f>
        <v>처돌이</v>
      </c>
      <c r="J451" t="str">
        <f>T("체셔")</f>
        <v>체셔</v>
      </c>
      <c r="K451" t="str">
        <f>T("[e북]사랑해서 그랬어")</f>
        <v>[e북]사랑해서 그랬어</v>
      </c>
      <c r="L451">
        <v>3000</v>
      </c>
      <c r="M451">
        <v>6000</v>
      </c>
      <c r="N451">
        <v>2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6000</v>
      </c>
      <c r="AJ451">
        <v>2</v>
      </c>
      <c r="AK451">
        <v>0</v>
      </c>
      <c r="AL451">
        <v>0</v>
      </c>
      <c r="AM451">
        <v>6000</v>
      </c>
      <c r="AN451">
        <v>0</v>
      </c>
      <c r="AO451">
        <v>0</v>
      </c>
      <c r="AP451">
        <v>0</v>
      </c>
      <c r="AQ451">
        <v>0</v>
      </c>
      <c r="AS451">
        <v>0</v>
      </c>
      <c r="AT451">
        <v>0</v>
      </c>
      <c r="AV451">
        <v>0</v>
      </c>
      <c r="AW451">
        <v>0</v>
      </c>
      <c r="AY451">
        <v>0</v>
      </c>
      <c r="AZ451">
        <v>0</v>
      </c>
      <c r="BA451">
        <v>4200</v>
      </c>
      <c r="BC451" t="str">
        <f>T("0000000000000")</f>
        <v>0000000000000</v>
      </c>
      <c r="BE451" t="str">
        <f>T("9791164830572")</f>
        <v>9791164830572</v>
      </c>
      <c r="BF451" t="str">
        <f>T("E415995")</f>
        <v>E415995</v>
      </c>
      <c r="BG451" t="str">
        <f>T("BL 소설 e북 &gt; 현대물")</f>
        <v>BL 소설 e북 &gt; 현대물</v>
      </c>
    </row>
    <row r="452" spans="1:59">
      <c r="A452" t="s">
        <v>60</v>
      </c>
      <c r="B452" s="1">
        <v>46130</v>
      </c>
      <c r="C452">
        <v>2378007616</v>
      </c>
      <c r="D452">
        <v>2378007618</v>
      </c>
      <c r="E452" t="str">
        <f>T("[e북]사랑해서 그랬어 3권 (완결)")</f>
        <v>[e북]사랑해서 그랬어 3권 (완결)</v>
      </c>
      <c r="F452">
        <v>3</v>
      </c>
      <c r="G452" t="str">
        <f>T("처돌이")</f>
        <v>처돌이</v>
      </c>
      <c r="J452" t="str">
        <f>T("체셔")</f>
        <v>체셔</v>
      </c>
      <c r="K452" t="str">
        <f>T("[e북]사랑해서 그랬어")</f>
        <v>[e북]사랑해서 그랬어</v>
      </c>
      <c r="L452">
        <v>3000</v>
      </c>
      <c r="M452">
        <v>3000</v>
      </c>
      <c r="N452">
        <v>1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3000</v>
      </c>
      <c r="AJ452">
        <v>1</v>
      </c>
      <c r="AK452">
        <v>0</v>
      </c>
      <c r="AL452">
        <v>0</v>
      </c>
      <c r="AM452">
        <v>3000</v>
      </c>
      <c r="AN452">
        <v>0</v>
      </c>
      <c r="AO452">
        <v>0</v>
      </c>
      <c r="AP452">
        <v>0</v>
      </c>
      <c r="AQ452">
        <v>0</v>
      </c>
      <c r="AS452">
        <v>0</v>
      </c>
      <c r="AT452">
        <v>0</v>
      </c>
      <c r="AV452">
        <v>0</v>
      </c>
      <c r="AW452">
        <v>0</v>
      </c>
      <c r="AY452">
        <v>0</v>
      </c>
      <c r="AZ452">
        <v>0</v>
      </c>
      <c r="BA452">
        <v>2100</v>
      </c>
      <c r="BC452" t="str">
        <f>T("0000000000000")</f>
        <v>0000000000000</v>
      </c>
      <c r="BE452" t="str">
        <f>T("9791164830589")</f>
        <v>9791164830589</v>
      </c>
      <c r="BF452" t="str">
        <f>T("E415996")</f>
        <v>E415996</v>
      </c>
      <c r="BG452" t="str">
        <f>T("BL 소설 e북 &gt; 현대물")</f>
        <v>BL 소설 e북 &gt; 현대물</v>
      </c>
    </row>
    <row r="453" spans="1:59">
      <c r="A453" t="s">
        <v>60</v>
      </c>
      <c r="B453" s="1">
        <v>46131</v>
      </c>
      <c r="C453">
        <v>2378007616</v>
      </c>
      <c r="D453">
        <v>2378007618</v>
      </c>
      <c r="E453" t="str">
        <f>T("[e북]사랑해서 그랬어 3권 (완결)")</f>
        <v>[e북]사랑해서 그랬어 3권 (완결)</v>
      </c>
      <c r="F453">
        <v>3</v>
      </c>
      <c r="G453" t="str">
        <f>T("처돌이")</f>
        <v>처돌이</v>
      </c>
      <c r="J453" t="str">
        <f>T("체셔")</f>
        <v>체셔</v>
      </c>
      <c r="K453" t="str">
        <f>T("[e북]사랑해서 그랬어")</f>
        <v>[e북]사랑해서 그랬어</v>
      </c>
      <c r="L453">
        <v>3000</v>
      </c>
      <c r="M453">
        <v>3000</v>
      </c>
      <c r="N453">
        <v>1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3000</v>
      </c>
      <c r="AJ453">
        <v>1</v>
      </c>
      <c r="AK453">
        <v>0</v>
      </c>
      <c r="AL453">
        <v>0</v>
      </c>
      <c r="AM453">
        <v>3000</v>
      </c>
      <c r="AN453">
        <v>0</v>
      </c>
      <c r="AO453">
        <v>0</v>
      </c>
      <c r="AP453">
        <v>0</v>
      </c>
      <c r="AQ453">
        <v>0</v>
      </c>
      <c r="AS453">
        <v>0</v>
      </c>
      <c r="AT453">
        <v>0</v>
      </c>
      <c r="AV453">
        <v>0</v>
      </c>
      <c r="AW453">
        <v>0</v>
      </c>
      <c r="AY453">
        <v>0</v>
      </c>
      <c r="AZ453">
        <v>0</v>
      </c>
      <c r="BA453">
        <v>2100</v>
      </c>
      <c r="BC453" t="str">
        <f>T("0000000000000")</f>
        <v>0000000000000</v>
      </c>
      <c r="BE453" t="str">
        <f>T("9791164830589")</f>
        <v>9791164830589</v>
      </c>
      <c r="BF453" t="str">
        <f>T("E415996")</f>
        <v>E415996</v>
      </c>
      <c r="BG453" t="str">
        <f>T("BL 소설 e북 &gt; 현대물")</f>
        <v>BL 소설 e북 &gt; 현대물</v>
      </c>
    </row>
    <row r="454" spans="1:59">
      <c r="A454" t="s">
        <v>60</v>
      </c>
      <c r="B454" s="1">
        <v>46131</v>
      </c>
      <c r="C454">
        <v>2378007616</v>
      </c>
      <c r="D454">
        <v>2378007616</v>
      </c>
      <c r="E454" t="str">
        <f>T("[e북]사랑해서 그랬어 1권")</f>
        <v>[e북]사랑해서 그랬어 1권</v>
      </c>
      <c r="F454">
        <v>1</v>
      </c>
      <c r="G454" t="str">
        <f>T("처돌이")</f>
        <v>처돌이</v>
      </c>
      <c r="J454" t="str">
        <f>T("체셔")</f>
        <v>체셔</v>
      </c>
      <c r="K454" t="str">
        <f>T("[e북]사랑해서 그랬어")</f>
        <v>[e북]사랑해서 그랬어</v>
      </c>
      <c r="L454">
        <v>3000</v>
      </c>
      <c r="M454">
        <v>6000</v>
      </c>
      <c r="N454">
        <v>2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6000</v>
      </c>
      <c r="AJ454">
        <v>2</v>
      </c>
      <c r="AK454">
        <v>0</v>
      </c>
      <c r="AL454">
        <v>0</v>
      </c>
      <c r="AM454">
        <v>6000</v>
      </c>
      <c r="AN454">
        <v>0</v>
      </c>
      <c r="AO454">
        <v>0</v>
      </c>
      <c r="AP454">
        <v>0</v>
      </c>
      <c r="AQ454">
        <v>0</v>
      </c>
      <c r="AS454">
        <v>0</v>
      </c>
      <c r="AT454">
        <v>0</v>
      </c>
      <c r="AV454">
        <v>0</v>
      </c>
      <c r="AW454">
        <v>0</v>
      </c>
      <c r="AY454">
        <v>0</v>
      </c>
      <c r="AZ454">
        <v>0</v>
      </c>
      <c r="BA454">
        <v>4200</v>
      </c>
      <c r="BC454" t="str">
        <f>T("0000000000000")</f>
        <v>0000000000000</v>
      </c>
      <c r="BE454" t="str">
        <f>T("9791164830565")</f>
        <v>9791164830565</v>
      </c>
      <c r="BF454" t="str">
        <f>T("E415994")</f>
        <v>E415994</v>
      </c>
      <c r="BG454" t="str">
        <f>T("BL 소설 e북 &gt; 현대물")</f>
        <v>BL 소설 e북 &gt; 현대물</v>
      </c>
    </row>
    <row r="455" spans="1:59">
      <c r="A455" t="s">
        <v>60</v>
      </c>
      <c r="B455" s="1">
        <v>46129</v>
      </c>
      <c r="C455">
        <v>2378010603</v>
      </c>
      <c r="D455">
        <v>2378010603</v>
      </c>
      <c r="E455" t="str">
        <f>T("[e북]사제님의 비밀스런 교육(Grey) 1권")</f>
        <v>[e북]사제님의 비밀스런 교육(Grey) 1권</v>
      </c>
      <c r="F455">
        <v>1</v>
      </c>
      <c r="G455" t="str">
        <f>T("김연서")</f>
        <v>김연서</v>
      </c>
      <c r="J455" t="str">
        <f>T("시계토끼")</f>
        <v>시계토끼</v>
      </c>
      <c r="K455" t="str">
        <f>T("[e북]사제님의 비밀스런 교육(Grey)")</f>
        <v>[e북]사제님의 비밀스런 교육(Grey)</v>
      </c>
      <c r="L455">
        <v>2800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35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35</v>
      </c>
      <c r="AK455">
        <v>0</v>
      </c>
      <c r="AL455">
        <v>0</v>
      </c>
      <c r="AM455">
        <v>0</v>
      </c>
      <c r="AN455">
        <v>0</v>
      </c>
      <c r="AO455">
        <v>0</v>
      </c>
      <c r="AP455">
        <v>0</v>
      </c>
      <c r="AQ455">
        <v>0</v>
      </c>
      <c r="AS455">
        <v>0</v>
      </c>
      <c r="AT455">
        <v>0</v>
      </c>
      <c r="AV455">
        <v>0</v>
      </c>
      <c r="AW455">
        <v>0</v>
      </c>
      <c r="AY455">
        <v>0</v>
      </c>
      <c r="AZ455">
        <v>0</v>
      </c>
      <c r="BA455">
        <v>0</v>
      </c>
      <c r="BC455" t="str">
        <f>T("0000000000000")</f>
        <v>0000000000000</v>
      </c>
      <c r="BE455" t="str">
        <f>T("9791164091706")</f>
        <v>9791164091706</v>
      </c>
      <c r="BF455" t="str">
        <f>T("E607499")</f>
        <v>E607499</v>
      </c>
      <c r="BG455" t="str">
        <f>T("로판 e북 &gt; 서양풍 로판")</f>
        <v>로판 e북 &gt; 서양풍 로판</v>
      </c>
    </row>
    <row r="456" spans="1:59">
      <c r="A456" t="s">
        <v>60</v>
      </c>
      <c r="B456" s="1">
        <v>46129</v>
      </c>
      <c r="C456">
        <v>2378010603</v>
      </c>
      <c r="D456">
        <v>2378010604</v>
      </c>
      <c r="E456" t="str">
        <f>T("[e북]사제님의 비밀스런 교육(Grey) 2권")</f>
        <v>[e북]사제님의 비밀스런 교육(Grey) 2권</v>
      </c>
      <c r="F456">
        <v>2</v>
      </c>
      <c r="G456" t="str">
        <f>T("김연서")</f>
        <v>김연서</v>
      </c>
      <c r="J456" t="str">
        <f>T("시계토끼")</f>
        <v>시계토끼</v>
      </c>
      <c r="K456" t="str">
        <f>T("[e북]사제님의 비밀스런 교육(Grey)")</f>
        <v>[e북]사제님의 비밀스런 교육(Grey)</v>
      </c>
      <c r="L456">
        <v>2800</v>
      </c>
      <c r="M456">
        <v>2520</v>
      </c>
      <c r="N456">
        <v>1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2520</v>
      </c>
      <c r="AJ456">
        <v>1</v>
      </c>
      <c r="AK456">
        <v>0</v>
      </c>
      <c r="AL456">
        <v>0</v>
      </c>
      <c r="AM456">
        <v>0</v>
      </c>
      <c r="AN456">
        <v>0</v>
      </c>
      <c r="AO456">
        <v>3024</v>
      </c>
      <c r="AP456">
        <v>-907.2</v>
      </c>
      <c r="AQ456">
        <v>0</v>
      </c>
      <c r="AR456">
        <v>3024</v>
      </c>
      <c r="AS456">
        <v>-907.2</v>
      </c>
      <c r="AT456">
        <v>0</v>
      </c>
      <c r="AV456">
        <v>0</v>
      </c>
      <c r="AW456">
        <v>0</v>
      </c>
      <c r="AY456">
        <v>0</v>
      </c>
      <c r="AZ456">
        <v>0</v>
      </c>
      <c r="BA456">
        <v>1481.76</v>
      </c>
      <c r="BC456" t="str">
        <f>T("0000000000000")</f>
        <v>0000000000000</v>
      </c>
      <c r="BE456" t="str">
        <f>T("9791164091713")</f>
        <v>9791164091713</v>
      </c>
      <c r="BF456" t="str">
        <f>T("E607500")</f>
        <v>E607500</v>
      </c>
      <c r="BG456" t="str">
        <f>T("로판 e북 &gt; 서양풍 로판")</f>
        <v>로판 e북 &gt; 서양풍 로판</v>
      </c>
    </row>
    <row r="457" spans="1:59">
      <c r="A457" t="s">
        <v>60</v>
      </c>
      <c r="B457" s="1">
        <v>46129</v>
      </c>
      <c r="C457">
        <v>2378010603</v>
      </c>
      <c r="D457">
        <v>2378010605</v>
      </c>
      <c r="E457" t="str">
        <f>T("[e북]사제님의 비밀스런 교육(Grey) 3권 (완결)")</f>
        <v>[e북]사제님의 비밀스런 교육(Grey) 3권 (완결)</v>
      </c>
      <c r="F457">
        <v>3</v>
      </c>
      <c r="G457" t="str">
        <f>T("김연서")</f>
        <v>김연서</v>
      </c>
      <c r="J457" t="str">
        <f>T("시계토끼")</f>
        <v>시계토끼</v>
      </c>
      <c r="K457" t="str">
        <f>T("[e북]사제님의 비밀스런 교육(Grey)")</f>
        <v>[e북]사제님의 비밀스런 교육(Grey)</v>
      </c>
      <c r="L457">
        <v>2900</v>
      </c>
      <c r="M457">
        <v>2610</v>
      </c>
      <c r="N457">
        <v>1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2610</v>
      </c>
      <c r="AJ457">
        <v>1</v>
      </c>
      <c r="AK457">
        <v>0</v>
      </c>
      <c r="AL457">
        <v>0</v>
      </c>
      <c r="AM457">
        <v>2610</v>
      </c>
      <c r="AN457">
        <v>0</v>
      </c>
      <c r="AO457">
        <v>0</v>
      </c>
      <c r="AP457">
        <v>0</v>
      </c>
      <c r="AQ457">
        <v>0</v>
      </c>
      <c r="AS457">
        <v>0</v>
      </c>
      <c r="AT457">
        <v>0</v>
      </c>
      <c r="AV457">
        <v>0</v>
      </c>
      <c r="AW457">
        <v>0</v>
      </c>
      <c r="AY457">
        <v>0</v>
      </c>
      <c r="AZ457">
        <v>0</v>
      </c>
      <c r="BA457">
        <v>1827</v>
      </c>
      <c r="BC457" t="str">
        <f>T("0000000000000")</f>
        <v>0000000000000</v>
      </c>
      <c r="BE457" t="str">
        <f>T("9791164091720")</f>
        <v>9791164091720</v>
      </c>
      <c r="BF457" t="str">
        <f>T("E607501")</f>
        <v>E607501</v>
      </c>
      <c r="BG457" t="str">
        <f>T("로판 e북 &gt; 서양풍 로판")</f>
        <v>로판 e북 &gt; 서양풍 로판</v>
      </c>
    </row>
    <row r="458" spans="1:59">
      <c r="A458" t="s">
        <v>60</v>
      </c>
      <c r="B458" s="1">
        <v>46130</v>
      </c>
      <c r="C458">
        <v>2378010603</v>
      </c>
      <c r="D458">
        <v>2378010603</v>
      </c>
      <c r="E458" t="str">
        <f>T("[e북]사제님의 비밀스런 교육(Grey) 1권")</f>
        <v>[e북]사제님의 비밀스런 교육(Grey) 1권</v>
      </c>
      <c r="F458">
        <v>1</v>
      </c>
      <c r="G458" t="str">
        <f>T("김연서")</f>
        <v>김연서</v>
      </c>
      <c r="J458" t="str">
        <f>T("시계토끼")</f>
        <v>시계토끼</v>
      </c>
      <c r="K458" t="str">
        <f>T("[e북]사제님의 비밀스런 교육(Grey)")</f>
        <v>[e북]사제님의 비밀스런 교육(Grey)</v>
      </c>
      <c r="L458">
        <v>2800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35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1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35</v>
      </c>
      <c r="AK458">
        <v>0</v>
      </c>
      <c r="AL458">
        <v>1</v>
      </c>
      <c r="AM458">
        <v>0</v>
      </c>
      <c r="AN458">
        <v>0</v>
      </c>
      <c r="AO458">
        <v>0</v>
      </c>
      <c r="AP458">
        <v>0</v>
      </c>
      <c r="AQ458">
        <v>0</v>
      </c>
      <c r="AS458">
        <v>0</v>
      </c>
      <c r="AT458">
        <v>0</v>
      </c>
      <c r="AV458">
        <v>0</v>
      </c>
      <c r="AW458">
        <v>0</v>
      </c>
      <c r="AY458">
        <v>0</v>
      </c>
      <c r="AZ458">
        <v>0</v>
      </c>
      <c r="BA458">
        <v>0</v>
      </c>
      <c r="BC458" t="str">
        <f>T("0000000000000")</f>
        <v>0000000000000</v>
      </c>
      <c r="BE458" t="str">
        <f>T("9791164091706")</f>
        <v>9791164091706</v>
      </c>
      <c r="BF458" t="str">
        <f>T("E607499")</f>
        <v>E607499</v>
      </c>
      <c r="BG458" t="str">
        <f>T("로판 e북 &gt; 서양풍 로판")</f>
        <v>로판 e북 &gt; 서양풍 로판</v>
      </c>
    </row>
    <row r="459" spans="1:59">
      <c r="A459" t="s">
        <v>60</v>
      </c>
      <c r="B459" s="1">
        <v>46130</v>
      </c>
      <c r="C459">
        <v>2378010603</v>
      </c>
      <c r="D459">
        <v>2378010605</v>
      </c>
      <c r="E459" t="str">
        <f>T("[e북]사제님의 비밀스런 교육(Grey) 3권 (완결)")</f>
        <v>[e북]사제님의 비밀스런 교육(Grey) 3권 (완결)</v>
      </c>
      <c r="F459">
        <v>3</v>
      </c>
      <c r="G459" t="str">
        <f>T("김연서")</f>
        <v>김연서</v>
      </c>
      <c r="J459" t="str">
        <f>T("시계토끼")</f>
        <v>시계토끼</v>
      </c>
      <c r="K459" t="str">
        <f>T("[e북]사제님의 비밀스런 교육(Grey)")</f>
        <v>[e북]사제님의 비밀스런 교육(Grey)</v>
      </c>
      <c r="L459">
        <v>2900</v>
      </c>
      <c r="M459">
        <v>5220</v>
      </c>
      <c r="N459">
        <v>2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5220</v>
      </c>
      <c r="AJ459">
        <v>2</v>
      </c>
      <c r="AK459">
        <v>0</v>
      </c>
      <c r="AL459">
        <v>0</v>
      </c>
      <c r="AM459">
        <v>2610</v>
      </c>
      <c r="AN459">
        <v>0</v>
      </c>
      <c r="AO459">
        <v>3132</v>
      </c>
      <c r="AP459">
        <v>-939.6</v>
      </c>
      <c r="AQ459">
        <v>0</v>
      </c>
      <c r="AR459">
        <v>3132</v>
      </c>
      <c r="AS459">
        <v>-939.6</v>
      </c>
      <c r="AT459">
        <v>0</v>
      </c>
      <c r="AV459">
        <v>0</v>
      </c>
      <c r="AW459">
        <v>0</v>
      </c>
      <c r="AY459">
        <v>0</v>
      </c>
      <c r="AZ459">
        <v>0</v>
      </c>
      <c r="BA459">
        <v>3361.68</v>
      </c>
      <c r="BC459" t="str">
        <f>T("0000000000000")</f>
        <v>0000000000000</v>
      </c>
      <c r="BE459" t="str">
        <f>T("9791164091720")</f>
        <v>9791164091720</v>
      </c>
      <c r="BF459" t="str">
        <f>T("E607501")</f>
        <v>E607501</v>
      </c>
      <c r="BG459" t="str">
        <f>T("로판 e북 &gt; 서양풍 로판")</f>
        <v>로판 e북 &gt; 서양풍 로판</v>
      </c>
    </row>
    <row r="460" spans="1:59">
      <c r="A460" t="s">
        <v>60</v>
      </c>
      <c r="B460" s="1">
        <v>46130</v>
      </c>
      <c r="C460">
        <v>2378010603</v>
      </c>
      <c r="D460">
        <v>2378011567</v>
      </c>
      <c r="E460" t="str">
        <f>T("[e북]사제님의 비밀스런 교육(Grey) (외전)")</f>
        <v>[e북]사제님의 비밀스런 교육(Grey) (외전)</v>
      </c>
      <c r="F460">
        <v>4</v>
      </c>
      <c r="G460" t="str">
        <f>T("김연서")</f>
        <v>김연서</v>
      </c>
      <c r="J460" t="str">
        <f>T("시계토끼")</f>
        <v>시계토끼</v>
      </c>
      <c r="K460" t="str">
        <f>T("[e북]사제님의 비밀스런 교육(Grey)")</f>
        <v>[e북]사제님의 비밀스런 교육(Grey)</v>
      </c>
      <c r="L460">
        <v>2000</v>
      </c>
      <c r="M460">
        <v>1800</v>
      </c>
      <c r="N460">
        <v>1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1800</v>
      </c>
      <c r="AJ460">
        <v>1</v>
      </c>
      <c r="AK460">
        <v>0</v>
      </c>
      <c r="AL460">
        <v>0</v>
      </c>
      <c r="AM460">
        <v>0</v>
      </c>
      <c r="AN460">
        <v>0</v>
      </c>
      <c r="AO460">
        <v>2160</v>
      </c>
      <c r="AP460">
        <v>-648</v>
      </c>
      <c r="AQ460">
        <v>0</v>
      </c>
      <c r="AR460">
        <v>2160</v>
      </c>
      <c r="AS460">
        <v>-648</v>
      </c>
      <c r="AT460">
        <v>0</v>
      </c>
      <c r="AV460">
        <v>0</v>
      </c>
      <c r="AW460">
        <v>0</v>
      </c>
      <c r="AY460">
        <v>0</v>
      </c>
      <c r="AZ460">
        <v>0</v>
      </c>
      <c r="BA460">
        <v>1058.4000000000001</v>
      </c>
      <c r="BC460" t="str">
        <f>T("0000000000000")</f>
        <v>0000000000000</v>
      </c>
      <c r="BE460" t="str">
        <f>T("9791164092376")</f>
        <v>9791164092376</v>
      </c>
      <c r="BF460" t="str">
        <f>T("E638148")</f>
        <v>E638148</v>
      </c>
      <c r="BG460" t="str">
        <f>T("로판 e북 &gt; 서양풍 로판")</f>
        <v>로판 e북 &gt; 서양풍 로판</v>
      </c>
    </row>
    <row r="461" spans="1:59">
      <c r="A461" t="s">
        <v>60</v>
      </c>
      <c r="B461" s="1">
        <v>46130</v>
      </c>
      <c r="C461">
        <v>2378010603</v>
      </c>
      <c r="D461">
        <v>2378010604</v>
      </c>
      <c r="E461" t="str">
        <f>T("[e북]사제님의 비밀스런 교육(Grey) 2권")</f>
        <v>[e북]사제님의 비밀스런 교육(Grey) 2권</v>
      </c>
      <c r="F461">
        <v>2</v>
      </c>
      <c r="G461" t="str">
        <f>T("김연서")</f>
        <v>김연서</v>
      </c>
      <c r="J461" t="str">
        <f>T("시계토끼")</f>
        <v>시계토끼</v>
      </c>
      <c r="K461" t="str">
        <f>T("[e북]사제님의 비밀스런 교육(Grey)")</f>
        <v>[e북]사제님의 비밀스런 교육(Grey)</v>
      </c>
      <c r="L461">
        <v>2800</v>
      </c>
      <c r="M461">
        <v>7560</v>
      </c>
      <c r="N461">
        <v>3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7560</v>
      </c>
      <c r="AJ461">
        <v>3</v>
      </c>
      <c r="AK461">
        <v>0</v>
      </c>
      <c r="AL461">
        <v>0</v>
      </c>
      <c r="AM461">
        <v>5040</v>
      </c>
      <c r="AN461">
        <v>0</v>
      </c>
      <c r="AO461">
        <v>3024</v>
      </c>
      <c r="AP461">
        <v>-907.2</v>
      </c>
      <c r="AQ461">
        <v>0</v>
      </c>
      <c r="AR461">
        <v>3024</v>
      </c>
      <c r="AS461">
        <v>-907.2</v>
      </c>
      <c r="AT461">
        <v>0</v>
      </c>
      <c r="AV461">
        <v>0</v>
      </c>
      <c r="AW461">
        <v>0</v>
      </c>
      <c r="AY461">
        <v>0</v>
      </c>
      <c r="AZ461">
        <v>0</v>
      </c>
      <c r="BA461">
        <v>5009.76</v>
      </c>
      <c r="BC461" t="str">
        <f>T("0000000000000")</f>
        <v>0000000000000</v>
      </c>
      <c r="BE461" t="str">
        <f>T("9791164091713")</f>
        <v>9791164091713</v>
      </c>
      <c r="BF461" t="str">
        <f>T("E607500")</f>
        <v>E607500</v>
      </c>
      <c r="BG461" t="str">
        <f>T("로판 e북 &gt; 서양풍 로판")</f>
        <v>로판 e북 &gt; 서양풍 로판</v>
      </c>
    </row>
    <row r="462" spans="1:59">
      <c r="A462" t="s">
        <v>60</v>
      </c>
      <c r="B462" s="1">
        <v>46131</v>
      </c>
      <c r="C462">
        <v>2378010603</v>
      </c>
      <c r="D462">
        <v>2378011567</v>
      </c>
      <c r="E462" t="str">
        <f>T("[e북]사제님의 비밀스런 교육(Grey) (외전)")</f>
        <v>[e북]사제님의 비밀스런 교육(Grey) (외전)</v>
      </c>
      <c r="F462">
        <v>4</v>
      </c>
      <c r="G462" t="str">
        <f>T("김연서")</f>
        <v>김연서</v>
      </c>
      <c r="J462" t="str">
        <f>T("시계토끼")</f>
        <v>시계토끼</v>
      </c>
      <c r="K462" t="str">
        <f>T("[e북]사제님의 비밀스런 교육(Grey)")</f>
        <v>[e북]사제님의 비밀스런 교육(Grey)</v>
      </c>
      <c r="L462">
        <v>2000</v>
      </c>
      <c r="M462">
        <v>5400</v>
      </c>
      <c r="N462">
        <v>3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5400</v>
      </c>
      <c r="AJ462">
        <v>3</v>
      </c>
      <c r="AK462">
        <v>0</v>
      </c>
      <c r="AL462">
        <v>0</v>
      </c>
      <c r="AM462">
        <v>5400</v>
      </c>
      <c r="AN462">
        <v>0</v>
      </c>
      <c r="AO462">
        <v>0</v>
      </c>
      <c r="AP462">
        <v>0</v>
      </c>
      <c r="AQ462">
        <v>0</v>
      </c>
      <c r="AS462">
        <v>0</v>
      </c>
      <c r="AT462">
        <v>0</v>
      </c>
      <c r="AV462">
        <v>0</v>
      </c>
      <c r="AW462">
        <v>0</v>
      </c>
      <c r="AY462">
        <v>0</v>
      </c>
      <c r="AZ462">
        <v>0</v>
      </c>
      <c r="BA462">
        <v>3780</v>
      </c>
      <c r="BC462" t="str">
        <f>T("0000000000000")</f>
        <v>0000000000000</v>
      </c>
      <c r="BE462" t="str">
        <f>T("9791164092376")</f>
        <v>9791164092376</v>
      </c>
      <c r="BF462" t="str">
        <f>T("E638148")</f>
        <v>E638148</v>
      </c>
      <c r="BG462" t="str">
        <f>T("로판 e북 &gt; 서양풍 로판")</f>
        <v>로판 e북 &gt; 서양풍 로판</v>
      </c>
    </row>
    <row r="463" spans="1:59">
      <c r="A463" t="s">
        <v>60</v>
      </c>
      <c r="B463" s="1">
        <v>46131</v>
      </c>
      <c r="C463">
        <v>2378010603</v>
      </c>
      <c r="D463">
        <v>2378010603</v>
      </c>
      <c r="E463" t="str">
        <f>T("[e북]사제님의 비밀스런 교육(Grey) 1권")</f>
        <v>[e북]사제님의 비밀스런 교육(Grey) 1권</v>
      </c>
      <c r="F463">
        <v>1</v>
      </c>
      <c r="G463" t="str">
        <f>T("김연서")</f>
        <v>김연서</v>
      </c>
      <c r="J463" t="str">
        <f>T("시계토끼")</f>
        <v>시계토끼</v>
      </c>
      <c r="K463" t="str">
        <f>T("[e북]사제님의 비밀스런 교육(Grey)")</f>
        <v>[e북]사제님의 비밀스런 교육(Grey)</v>
      </c>
      <c r="L463">
        <v>2800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46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46</v>
      </c>
      <c r="AK463">
        <v>0</v>
      </c>
      <c r="AL463">
        <v>0</v>
      </c>
      <c r="AM463">
        <v>0</v>
      </c>
      <c r="AN463">
        <v>0</v>
      </c>
      <c r="AO463">
        <v>0</v>
      </c>
      <c r="AP463">
        <v>0</v>
      </c>
      <c r="AQ463">
        <v>0</v>
      </c>
      <c r="AS463">
        <v>0</v>
      </c>
      <c r="AT463">
        <v>0</v>
      </c>
      <c r="AV463">
        <v>0</v>
      </c>
      <c r="AW463">
        <v>0</v>
      </c>
      <c r="AY463">
        <v>0</v>
      </c>
      <c r="AZ463">
        <v>0</v>
      </c>
      <c r="BA463">
        <v>0</v>
      </c>
      <c r="BC463" t="str">
        <f>T("0000000000000")</f>
        <v>0000000000000</v>
      </c>
      <c r="BE463" t="str">
        <f>T("9791164091706")</f>
        <v>9791164091706</v>
      </c>
      <c r="BF463" t="str">
        <f>T("E607499")</f>
        <v>E607499</v>
      </c>
      <c r="BG463" t="str">
        <f>T("로판 e북 &gt; 서양풍 로판")</f>
        <v>로판 e북 &gt; 서양풍 로판</v>
      </c>
    </row>
    <row r="464" spans="1:59">
      <c r="A464" t="s">
        <v>60</v>
      </c>
      <c r="B464" s="1">
        <v>46131</v>
      </c>
      <c r="C464">
        <v>2378010603</v>
      </c>
      <c r="D464">
        <v>2378010604</v>
      </c>
      <c r="E464" t="str">
        <f>T("[e북]사제님의 비밀스런 교육(Grey) 2권")</f>
        <v>[e북]사제님의 비밀스런 교육(Grey) 2권</v>
      </c>
      <c r="F464">
        <v>2</v>
      </c>
      <c r="G464" t="str">
        <f>T("김연서")</f>
        <v>김연서</v>
      </c>
      <c r="J464" t="str">
        <f>T("시계토끼")</f>
        <v>시계토끼</v>
      </c>
      <c r="K464" t="str">
        <f>T("[e북]사제님의 비밀스런 교육(Grey)")</f>
        <v>[e북]사제님의 비밀스런 교육(Grey)</v>
      </c>
      <c r="L464">
        <v>2800</v>
      </c>
      <c r="M464">
        <v>15120</v>
      </c>
      <c r="N464">
        <v>6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15120</v>
      </c>
      <c r="AJ464">
        <v>6</v>
      </c>
      <c r="AK464">
        <v>0</v>
      </c>
      <c r="AL464">
        <v>0</v>
      </c>
      <c r="AM464">
        <v>14060</v>
      </c>
      <c r="AN464">
        <v>0</v>
      </c>
      <c r="AO464">
        <v>1272</v>
      </c>
      <c r="AP464">
        <v>-381.6</v>
      </c>
      <c r="AQ464">
        <v>0</v>
      </c>
      <c r="AR464">
        <v>1272</v>
      </c>
      <c r="AS464">
        <v>-381.6</v>
      </c>
      <c r="AT464">
        <v>0</v>
      </c>
      <c r="AV464">
        <v>0</v>
      </c>
      <c r="AW464">
        <v>0</v>
      </c>
      <c r="AY464">
        <v>0</v>
      </c>
      <c r="AZ464">
        <v>0</v>
      </c>
      <c r="BA464">
        <v>10465.280000000001</v>
      </c>
      <c r="BC464" t="str">
        <f>T("0000000000000")</f>
        <v>0000000000000</v>
      </c>
      <c r="BE464" t="str">
        <f>T("9791164091713")</f>
        <v>9791164091713</v>
      </c>
      <c r="BF464" t="str">
        <f>T("E607500")</f>
        <v>E607500</v>
      </c>
      <c r="BG464" t="str">
        <f>T("로판 e북 &gt; 서양풍 로판")</f>
        <v>로판 e북 &gt; 서양풍 로판</v>
      </c>
    </row>
    <row r="465" spans="1:59">
      <c r="A465" t="s">
        <v>60</v>
      </c>
      <c r="B465" s="1">
        <v>46131</v>
      </c>
      <c r="C465">
        <v>2378010603</v>
      </c>
      <c r="D465">
        <v>2378010605</v>
      </c>
      <c r="E465" t="str">
        <f>T("[e북]사제님의 비밀스런 교육(Grey) 3권 (완결)")</f>
        <v>[e북]사제님의 비밀스런 교육(Grey) 3권 (완결)</v>
      </c>
      <c r="F465">
        <v>3</v>
      </c>
      <c r="G465" t="str">
        <f>T("김연서")</f>
        <v>김연서</v>
      </c>
      <c r="J465" t="str">
        <f>T("시계토끼")</f>
        <v>시계토끼</v>
      </c>
      <c r="K465" t="str">
        <f>T("[e북]사제님의 비밀스런 교육(Grey)")</f>
        <v>[e북]사제님의 비밀스런 교육(Grey)</v>
      </c>
      <c r="L465">
        <v>2900</v>
      </c>
      <c r="M465">
        <v>2610</v>
      </c>
      <c r="N465">
        <v>1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2610</v>
      </c>
      <c r="AJ465">
        <v>1</v>
      </c>
      <c r="AK465">
        <v>0</v>
      </c>
      <c r="AL465">
        <v>0</v>
      </c>
      <c r="AM465">
        <v>2610</v>
      </c>
      <c r="AN465">
        <v>0</v>
      </c>
      <c r="AO465">
        <v>0</v>
      </c>
      <c r="AP465">
        <v>0</v>
      </c>
      <c r="AQ465">
        <v>0</v>
      </c>
      <c r="AS465">
        <v>0</v>
      </c>
      <c r="AT465">
        <v>0</v>
      </c>
      <c r="AV465">
        <v>0</v>
      </c>
      <c r="AW465">
        <v>0</v>
      </c>
      <c r="AY465">
        <v>0</v>
      </c>
      <c r="AZ465">
        <v>0</v>
      </c>
      <c r="BA465">
        <v>1827</v>
      </c>
      <c r="BC465" t="str">
        <f>T("0000000000000")</f>
        <v>0000000000000</v>
      </c>
      <c r="BE465" t="str">
        <f>T("9791164091720")</f>
        <v>9791164091720</v>
      </c>
      <c r="BF465" t="str">
        <f>T("E607501")</f>
        <v>E607501</v>
      </c>
      <c r="BG465" t="str">
        <f>T("로판 e북 &gt; 서양풍 로판")</f>
        <v>로판 e북 &gt; 서양풍 로판</v>
      </c>
    </row>
    <row r="466" spans="1:59">
      <c r="A466" t="s">
        <v>60</v>
      </c>
      <c r="B466" s="1">
        <v>46130</v>
      </c>
      <c r="C466">
        <v>2378027049</v>
      </c>
      <c r="D466">
        <v>2378029045</v>
      </c>
      <c r="E466" t="str">
        <f>T("[e북]사탕이 녹는 동안 (외전)")</f>
        <v>[e북]사탕이 녹는 동안 (외전)</v>
      </c>
      <c r="F466">
        <v>3</v>
      </c>
      <c r="G466" t="str">
        <f>T("은하나")</f>
        <v>은하나</v>
      </c>
      <c r="J466" t="str">
        <f>T("시계토끼")</f>
        <v>시계토끼</v>
      </c>
      <c r="K466" t="str">
        <f>T("[e북]사탕이 녹는 동안")</f>
        <v>[e북]사탕이 녹는 동안</v>
      </c>
      <c r="L466">
        <v>1000</v>
      </c>
      <c r="M466">
        <v>1000</v>
      </c>
      <c r="N466">
        <v>1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1000</v>
      </c>
      <c r="AJ466">
        <v>1</v>
      </c>
      <c r="AK466">
        <v>0</v>
      </c>
      <c r="AL466">
        <v>0</v>
      </c>
      <c r="AM466">
        <v>1000</v>
      </c>
      <c r="AN466">
        <v>0</v>
      </c>
      <c r="AO466">
        <v>0</v>
      </c>
      <c r="AP466">
        <v>0</v>
      </c>
      <c r="AQ466">
        <v>0</v>
      </c>
      <c r="AS466">
        <v>0</v>
      </c>
      <c r="AT466">
        <v>0</v>
      </c>
      <c r="AV466">
        <v>0</v>
      </c>
      <c r="AW466">
        <v>0</v>
      </c>
      <c r="AY466">
        <v>0</v>
      </c>
      <c r="AZ466">
        <v>0</v>
      </c>
      <c r="BA466">
        <v>700</v>
      </c>
      <c r="BE466" t="str">
        <f>T("9791164095865")</f>
        <v>9791164095865</v>
      </c>
      <c r="BF466" t="str">
        <f>T("E856640")</f>
        <v>E856640</v>
      </c>
      <c r="BG466" t="str">
        <f>T("로판 e북 &gt; 서양풍 로판")</f>
        <v>로판 e북 &gt; 서양풍 로판</v>
      </c>
    </row>
    <row r="467" spans="1:59">
      <c r="A467" t="s">
        <v>60</v>
      </c>
      <c r="B467" s="1">
        <v>46131</v>
      </c>
      <c r="C467">
        <v>2378051141</v>
      </c>
      <c r="D467">
        <v>2378051141</v>
      </c>
      <c r="E467" t="str">
        <f>T("[e북]살문 1권")</f>
        <v>[e북]살문 1권</v>
      </c>
      <c r="F467">
        <v>1</v>
      </c>
      <c r="G467" t="str">
        <f>T("김기세")</f>
        <v>김기세</v>
      </c>
      <c r="J467" t="str">
        <f>T("매드햇")</f>
        <v>매드햇</v>
      </c>
      <c r="K467" t="str">
        <f>T("[e북]살문")</f>
        <v>[e북]살문</v>
      </c>
      <c r="L467">
        <v>0</v>
      </c>
      <c r="M467">
        <v>0</v>
      </c>
      <c r="N467">
        <v>0</v>
      </c>
      <c r="O467">
        <v>1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1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S467">
        <v>0</v>
      </c>
      <c r="AT467">
        <v>0</v>
      </c>
      <c r="AV467">
        <v>0</v>
      </c>
      <c r="AW467">
        <v>0</v>
      </c>
      <c r="AY467">
        <v>0</v>
      </c>
      <c r="AZ467">
        <v>0</v>
      </c>
      <c r="BA467">
        <v>0</v>
      </c>
      <c r="BE467" t="str">
        <f>T("9791137015418")</f>
        <v>9791137015418</v>
      </c>
      <c r="BF467" t="str">
        <f>T("k062708")</f>
        <v>k062708</v>
      </c>
      <c r="BG467" t="str">
        <f>T("판타지 e북 &gt; 전통 무협")</f>
        <v>판타지 e북 &gt; 전통 무협</v>
      </c>
    </row>
    <row r="468" spans="1:59">
      <c r="A468" t="s">
        <v>60</v>
      </c>
      <c r="B468" s="1">
        <v>46130</v>
      </c>
      <c r="C468">
        <v>2378075619</v>
      </c>
      <c r="D468">
        <v>2378075619</v>
      </c>
      <c r="E468" t="str">
        <f>T("[e북]살인마가 날 성녀라 부른다 1권")</f>
        <v>[e북]살인마가 날 성녀라 부른다 1권</v>
      </c>
      <c r="F468">
        <v>1</v>
      </c>
      <c r="G468" t="str">
        <f>T("유주신")</f>
        <v>유주신</v>
      </c>
      <c r="J468" t="str">
        <f>T("시계토끼")</f>
        <v>시계토끼</v>
      </c>
      <c r="K468" t="str">
        <f>T("[e북]살인마가 날 성녀라 부른다")</f>
        <v>[e북]살인마가 날 성녀라 부른다</v>
      </c>
      <c r="L468">
        <v>3300</v>
      </c>
      <c r="M468">
        <v>6600</v>
      </c>
      <c r="N468">
        <v>2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6600</v>
      </c>
      <c r="AJ468">
        <v>2</v>
      </c>
      <c r="AK468">
        <v>0</v>
      </c>
      <c r="AL468">
        <v>0</v>
      </c>
      <c r="AM468">
        <v>0</v>
      </c>
      <c r="AN468">
        <v>0</v>
      </c>
      <c r="AO468">
        <v>7920</v>
      </c>
      <c r="AP468">
        <v>-792</v>
      </c>
      <c r="AQ468">
        <v>0</v>
      </c>
      <c r="AS468">
        <v>0</v>
      </c>
      <c r="AT468">
        <v>0</v>
      </c>
      <c r="AU468">
        <v>3960</v>
      </c>
      <c r="AV468">
        <v>-396</v>
      </c>
      <c r="AW468">
        <v>0</v>
      </c>
      <c r="AX468">
        <v>3960</v>
      </c>
      <c r="AY468">
        <v>-396</v>
      </c>
      <c r="AZ468">
        <v>0</v>
      </c>
      <c r="BA468">
        <v>4989.6000000000004</v>
      </c>
      <c r="BE468" t="str">
        <f>T("9791172821746")</f>
        <v>9791172821746</v>
      </c>
      <c r="BF468" t="str">
        <f>T("D061681")</f>
        <v>D061681</v>
      </c>
      <c r="BG468" t="str">
        <f>T("로판 e북 &gt; 서양풍 로판")</f>
        <v>로판 e북 &gt; 서양풍 로판</v>
      </c>
    </row>
    <row r="469" spans="1:59">
      <c r="A469" t="s">
        <v>60</v>
      </c>
      <c r="B469" s="1">
        <v>46131</v>
      </c>
      <c r="C469">
        <v>2378075619</v>
      </c>
      <c r="D469">
        <v>2378078791</v>
      </c>
      <c r="E469" t="str">
        <f>T("[e북]살인마가 날 성녀라 부른다 (외전 1 : 미래편)")</f>
        <v>[e북]살인마가 날 성녀라 부른다 (외전 1 : 미래편)</v>
      </c>
      <c r="F469">
        <v>4</v>
      </c>
      <c r="G469" t="str">
        <f>T("유주신")</f>
        <v>유주신</v>
      </c>
      <c r="J469" t="str">
        <f>T("시계토끼")</f>
        <v>시계토끼</v>
      </c>
      <c r="K469" t="str">
        <f>T("[e북]살인마가 날 성녀라 부른다")</f>
        <v>[e북]살인마가 날 성녀라 부른다</v>
      </c>
      <c r="L469">
        <v>1700</v>
      </c>
      <c r="M469">
        <v>5100</v>
      </c>
      <c r="N469">
        <v>3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5100</v>
      </c>
      <c r="AJ469">
        <v>3</v>
      </c>
      <c r="AK469">
        <v>0</v>
      </c>
      <c r="AL469">
        <v>0</v>
      </c>
      <c r="AM469">
        <v>3400</v>
      </c>
      <c r="AN469">
        <v>0</v>
      </c>
      <c r="AO469">
        <v>2040</v>
      </c>
      <c r="AP469">
        <v>-204</v>
      </c>
      <c r="AQ469">
        <v>0</v>
      </c>
      <c r="AS469">
        <v>0</v>
      </c>
      <c r="AT469">
        <v>0</v>
      </c>
      <c r="AU469">
        <v>2040</v>
      </c>
      <c r="AV469">
        <v>-204</v>
      </c>
      <c r="AW469">
        <v>0</v>
      </c>
      <c r="AY469">
        <v>0</v>
      </c>
      <c r="AZ469">
        <v>0</v>
      </c>
      <c r="BA469">
        <v>3665.2</v>
      </c>
      <c r="BE469" t="str">
        <f>T("9791172822064")</f>
        <v>9791172822064</v>
      </c>
      <c r="BF469" t="str">
        <f>T("D170329")</f>
        <v>D170329</v>
      </c>
      <c r="BG469" t="str">
        <f>T("로판 e북 &gt; 서양풍 로판")</f>
        <v>로판 e북 &gt; 서양풍 로판</v>
      </c>
    </row>
    <row r="470" spans="1:59">
      <c r="A470" t="s">
        <v>60</v>
      </c>
      <c r="B470" s="1">
        <v>46131</v>
      </c>
      <c r="C470">
        <v>2378075619</v>
      </c>
      <c r="D470">
        <v>2378078792</v>
      </c>
      <c r="E470" t="str">
        <f>T("[e북]살인마가 날 성녀라 부른다 (외전 2 : 과거편)")</f>
        <v>[e북]살인마가 날 성녀라 부른다 (외전 2 : 과거편)</v>
      </c>
      <c r="F470">
        <v>5</v>
      </c>
      <c r="G470" t="str">
        <f>T("유주신")</f>
        <v>유주신</v>
      </c>
      <c r="J470" t="str">
        <f>T("시계토끼")</f>
        <v>시계토끼</v>
      </c>
      <c r="K470" t="str">
        <f>T("[e북]살인마가 날 성녀라 부른다")</f>
        <v>[e북]살인마가 날 성녀라 부른다</v>
      </c>
      <c r="L470">
        <v>1700</v>
      </c>
      <c r="M470">
        <v>1700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1700</v>
      </c>
      <c r="AJ470">
        <v>1</v>
      </c>
      <c r="AK470">
        <v>0</v>
      </c>
      <c r="AL470">
        <v>0</v>
      </c>
      <c r="AM470">
        <v>1700</v>
      </c>
      <c r="AN470">
        <v>0</v>
      </c>
      <c r="AO470">
        <v>0</v>
      </c>
      <c r="AP470">
        <v>0</v>
      </c>
      <c r="AQ470">
        <v>0</v>
      </c>
      <c r="AS470">
        <v>0</v>
      </c>
      <c r="AT470">
        <v>0</v>
      </c>
      <c r="AV470">
        <v>0</v>
      </c>
      <c r="AW470">
        <v>0</v>
      </c>
      <c r="AY470">
        <v>0</v>
      </c>
      <c r="AZ470">
        <v>0</v>
      </c>
      <c r="BA470">
        <v>1190</v>
      </c>
      <c r="BE470" t="str">
        <f>T("9791172822071")</f>
        <v>9791172822071</v>
      </c>
      <c r="BF470" t="str">
        <f>T("D170330")</f>
        <v>D170330</v>
      </c>
      <c r="BG470" t="str">
        <f>T("로판 e북 &gt; 서양풍 로판")</f>
        <v>로판 e북 &gt; 서양풍 로판</v>
      </c>
    </row>
    <row r="471" spans="1:59">
      <c r="A471" t="s">
        <v>60</v>
      </c>
      <c r="B471" s="1">
        <v>46131</v>
      </c>
      <c r="C471">
        <v>2378075619</v>
      </c>
      <c r="D471">
        <v>2378075620</v>
      </c>
      <c r="E471" t="str">
        <f>T("[e북]살인마가 날 성녀라 부른다 2권")</f>
        <v>[e북]살인마가 날 성녀라 부른다 2권</v>
      </c>
      <c r="F471">
        <v>2</v>
      </c>
      <c r="G471" t="str">
        <f>T("유주신")</f>
        <v>유주신</v>
      </c>
      <c r="J471" t="str">
        <f>T("시계토끼")</f>
        <v>시계토끼</v>
      </c>
      <c r="K471" t="str">
        <f>T("[e북]살인마가 날 성녀라 부른다")</f>
        <v>[e북]살인마가 날 성녀라 부른다</v>
      </c>
      <c r="L471">
        <v>3300</v>
      </c>
      <c r="M471">
        <v>3300</v>
      </c>
      <c r="N471">
        <v>1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3300</v>
      </c>
      <c r="AJ471">
        <v>1</v>
      </c>
      <c r="AK471">
        <v>0</v>
      </c>
      <c r="AL471">
        <v>0</v>
      </c>
      <c r="AM471">
        <v>0</v>
      </c>
      <c r="AN471">
        <v>0</v>
      </c>
      <c r="AO471">
        <v>3960</v>
      </c>
      <c r="AP471">
        <v>-396</v>
      </c>
      <c r="AQ471">
        <v>0</v>
      </c>
      <c r="AS471">
        <v>0</v>
      </c>
      <c r="AT471">
        <v>0</v>
      </c>
      <c r="AU471">
        <v>3960</v>
      </c>
      <c r="AV471">
        <v>-396</v>
      </c>
      <c r="AW471">
        <v>0</v>
      </c>
      <c r="AY471">
        <v>0</v>
      </c>
      <c r="AZ471">
        <v>0</v>
      </c>
      <c r="BA471">
        <v>2494.8000000000002</v>
      </c>
      <c r="BE471" t="str">
        <f>T("9791172821753")</f>
        <v>9791172821753</v>
      </c>
      <c r="BF471" t="str">
        <f>T("D061682")</f>
        <v>D061682</v>
      </c>
      <c r="BG471" t="str">
        <f>T("로판 e북 &gt; 서양풍 로판")</f>
        <v>로판 e북 &gt; 서양풍 로판</v>
      </c>
    </row>
    <row r="472" spans="1:59">
      <c r="A472" t="s">
        <v>60</v>
      </c>
      <c r="B472" s="1">
        <v>46131</v>
      </c>
      <c r="C472">
        <v>2378075619</v>
      </c>
      <c r="D472">
        <v>2378075621</v>
      </c>
      <c r="E472" t="str">
        <f>T("[e북]살인마가 날 성녀라 부른다 3권 (완결)")</f>
        <v>[e북]살인마가 날 성녀라 부른다 3권 (완결)</v>
      </c>
      <c r="F472">
        <v>3</v>
      </c>
      <c r="G472" t="str">
        <f>T("유주신")</f>
        <v>유주신</v>
      </c>
      <c r="J472" t="str">
        <f>T("시계토끼")</f>
        <v>시계토끼</v>
      </c>
      <c r="K472" t="str">
        <f>T("[e북]살인마가 날 성녀라 부른다")</f>
        <v>[e북]살인마가 날 성녀라 부른다</v>
      </c>
      <c r="L472">
        <v>3300</v>
      </c>
      <c r="M472">
        <v>3300</v>
      </c>
      <c r="N472">
        <v>1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3300</v>
      </c>
      <c r="AJ472">
        <v>1</v>
      </c>
      <c r="AK472">
        <v>0</v>
      </c>
      <c r="AL472">
        <v>0</v>
      </c>
      <c r="AM472">
        <v>0</v>
      </c>
      <c r="AN472">
        <v>0</v>
      </c>
      <c r="AO472">
        <v>3960</v>
      </c>
      <c r="AP472">
        <v>-396</v>
      </c>
      <c r="AQ472">
        <v>0</v>
      </c>
      <c r="AS472">
        <v>0</v>
      </c>
      <c r="AT472">
        <v>0</v>
      </c>
      <c r="AU472">
        <v>3960</v>
      </c>
      <c r="AV472">
        <v>-396</v>
      </c>
      <c r="AW472">
        <v>0</v>
      </c>
      <c r="AY472">
        <v>0</v>
      </c>
      <c r="AZ472">
        <v>0</v>
      </c>
      <c r="BA472">
        <v>2494.8000000000002</v>
      </c>
      <c r="BE472" t="str">
        <f>T("9791172821760")</f>
        <v>9791172821760</v>
      </c>
      <c r="BF472" t="str">
        <f>T("D061683")</f>
        <v>D061683</v>
      </c>
      <c r="BG472" t="str">
        <f>T("로판 e북 &gt; 서양풍 로판")</f>
        <v>로판 e북 &gt; 서양풍 로판</v>
      </c>
    </row>
    <row r="473" spans="1:59">
      <c r="A473" t="s">
        <v>60</v>
      </c>
      <c r="B473" s="1">
        <v>46131</v>
      </c>
      <c r="C473">
        <v>2378075619</v>
      </c>
      <c r="D473">
        <v>2378075619</v>
      </c>
      <c r="E473" t="str">
        <f>T("[e북]살인마가 날 성녀라 부른다 1권")</f>
        <v>[e북]살인마가 날 성녀라 부른다 1권</v>
      </c>
      <c r="F473">
        <v>1</v>
      </c>
      <c r="G473" t="str">
        <f>T("유주신")</f>
        <v>유주신</v>
      </c>
      <c r="J473" t="str">
        <f>T("시계토끼")</f>
        <v>시계토끼</v>
      </c>
      <c r="K473" t="str">
        <f>T("[e북]살인마가 날 성녀라 부른다")</f>
        <v>[e북]살인마가 날 성녀라 부른다</v>
      </c>
      <c r="L473">
        <v>3300</v>
      </c>
      <c r="M473">
        <v>6600</v>
      </c>
      <c r="N473">
        <v>2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6600</v>
      </c>
      <c r="AJ473">
        <v>2</v>
      </c>
      <c r="AK473">
        <v>0</v>
      </c>
      <c r="AL473">
        <v>0</v>
      </c>
      <c r="AM473">
        <v>6600</v>
      </c>
      <c r="AN473">
        <v>0</v>
      </c>
      <c r="AO473">
        <v>0</v>
      </c>
      <c r="AP473">
        <v>0</v>
      </c>
      <c r="AQ473">
        <v>0</v>
      </c>
      <c r="AS473">
        <v>0</v>
      </c>
      <c r="AT473">
        <v>0</v>
      </c>
      <c r="AV473">
        <v>0</v>
      </c>
      <c r="AW473">
        <v>0</v>
      </c>
      <c r="AY473">
        <v>0</v>
      </c>
      <c r="AZ473">
        <v>0</v>
      </c>
      <c r="BA473">
        <v>4620</v>
      </c>
      <c r="BE473" t="str">
        <f>T("9791172821746")</f>
        <v>9791172821746</v>
      </c>
      <c r="BF473" t="str">
        <f>T("D061681")</f>
        <v>D061681</v>
      </c>
      <c r="BG473" t="str">
        <f>T("로판 e북 &gt; 서양풍 로판")</f>
        <v>로판 e북 &gt; 서양풍 로판</v>
      </c>
    </row>
    <row r="474" spans="1:59">
      <c r="A474" t="s">
        <v>60</v>
      </c>
      <c r="B474" s="1">
        <v>46131</v>
      </c>
      <c r="C474">
        <v>2378063713</v>
      </c>
      <c r="D474">
        <v>2378063714</v>
      </c>
      <c r="E474" t="str">
        <f>T("[e북]삼국지 싸이코패스의 딸이 되어버렸다 2권")</f>
        <v>[e북]삼국지 싸이코패스의 딸이 되어버렸다 2권</v>
      </c>
      <c r="F474">
        <v>2</v>
      </c>
      <c r="G474" t="str">
        <f>T("매운아몬드")</f>
        <v>매운아몬드</v>
      </c>
      <c r="J474" t="str">
        <f>T("사이렌")</f>
        <v>사이렌</v>
      </c>
      <c r="K474" t="str">
        <f>T("[e북]삼국지 싸이코패스의 딸이 되어버렸다")</f>
        <v>[e북]삼국지 싸이코패스의 딸이 되어버렸다</v>
      </c>
      <c r="L474">
        <v>3200</v>
      </c>
      <c r="M474">
        <v>3200</v>
      </c>
      <c r="N474">
        <v>1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3200</v>
      </c>
      <c r="AJ474">
        <v>1</v>
      </c>
      <c r="AK474">
        <v>0</v>
      </c>
      <c r="AL474">
        <v>0</v>
      </c>
      <c r="AM474">
        <v>3200</v>
      </c>
      <c r="AN474">
        <v>0</v>
      </c>
      <c r="AO474">
        <v>0</v>
      </c>
      <c r="AP474">
        <v>0</v>
      </c>
      <c r="AQ474">
        <v>0</v>
      </c>
      <c r="AS474">
        <v>0</v>
      </c>
      <c r="AT474">
        <v>0</v>
      </c>
      <c r="AV474">
        <v>0</v>
      </c>
      <c r="AW474">
        <v>0</v>
      </c>
      <c r="AY474">
        <v>0</v>
      </c>
      <c r="AZ474">
        <v>0</v>
      </c>
      <c r="BA474">
        <v>2240</v>
      </c>
      <c r="BE474" t="str">
        <f>T("9791193602706")</f>
        <v>9791193602706</v>
      </c>
      <c r="BF474" t="str">
        <f>T("k255291")</f>
        <v>k255291</v>
      </c>
      <c r="BG474" t="str">
        <f>T("판타지 e북 &gt; 대체 역사물")</f>
        <v>판타지 e북 &gt; 대체 역사물</v>
      </c>
    </row>
    <row r="475" spans="1:59">
      <c r="A475" t="s">
        <v>60</v>
      </c>
      <c r="B475" s="1">
        <v>46131</v>
      </c>
      <c r="C475">
        <v>2378063713</v>
      </c>
      <c r="D475">
        <v>2378063715</v>
      </c>
      <c r="E475" t="str">
        <f>T("[e북]삼국지 싸이코패스의 딸이 되어버렸다 3권")</f>
        <v>[e북]삼국지 싸이코패스의 딸이 되어버렸다 3권</v>
      </c>
      <c r="F475">
        <v>3</v>
      </c>
      <c r="G475" t="str">
        <f>T("매운아몬드")</f>
        <v>매운아몬드</v>
      </c>
      <c r="J475" t="str">
        <f>T("사이렌")</f>
        <v>사이렌</v>
      </c>
      <c r="K475" t="str">
        <f>T("[e북]삼국지 싸이코패스의 딸이 되어버렸다")</f>
        <v>[e북]삼국지 싸이코패스의 딸이 되어버렸다</v>
      </c>
      <c r="L475">
        <v>3200</v>
      </c>
      <c r="M475">
        <v>3200</v>
      </c>
      <c r="N475">
        <v>1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3200</v>
      </c>
      <c r="AJ475">
        <v>1</v>
      </c>
      <c r="AK475">
        <v>0</v>
      </c>
      <c r="AL475">
        <v>0</v>
      </c>
      <c r="AM475">
        <v>3200</v>
      </c>
      <c r="AN475">
        <v>0</v>
      </c>
      <c r="AO475">
        <v>0</v>
      </c>
      <c r="AP475">
        <v>0</v>
      </c>
      <c r="AQ475">
        <v>0</v>
      </c>
      <c r="AS475">
        <v>0</v>
      </c>
      <c r="AT475">
        <v>0</v>
      </c>
      <c r="AV475">
        <v>0</v>
      </c>
      <c r="AW475">
        <v>0</v>
      </c>
      <c r="AY475">
        <v>0</v>
      </c>
      <c r="AZ475">
        <v>0</v>
      </c>
      <c r="BA475">
        <v>2240</v>
      </c>
      <c r="BE475" t="str">
        <f>T("9791193602713")</f>
        <v>9791193602713</v>
      </c>
      <c r="BF475" t="str">
        <f>T("k255292")</f>
        <v>k255292</v>
      </c>
      <c r="BG475" t="str">
        <f>T("판타지 e북 &gt; 대체 역사물")</f>
        <v>판타지 e북 &gt; 대체 역사물</v>
      </c>
    </row>
    <row r="476" spans="1:59">
      <c r="A476" t="s">
        <v>60</v>
      </c>
      <c r="B476" s="1">
        <v>46130</v>
      </c>
      <c r="C476">
        <v>2378060438</v>
      </c>
      <c r="D476">
        <v>2378060438</v>
      </c>
      <c r="E476" t="str">
        <f>T("[e북]삼국지 원술의 아들이 되었다 1권")</f>
        <v>[e북]삼국지 원술의 아들이 되었다 1권</v>
      </c>
      <c r="F476">
        <v>1</v>
      </c>
      <c r="G476" t="str">
        <f>T("모르고트")</f>
        <v>모르고트</v>
      </c>
      <c r="J476" t="str">
        <f>T("매드햇")</f>
        <v>매드햇</v>
      </c>
      <c r="K476" t="str">
        <f>T("[e북]삼국지 원술의 아들이 되었다")</f>
        <v>[e북]삼국지 원술의 아들이 되었다</v>
      </c>
      <c r="L476">
        <v>0</v>
      </c>
      <c r="M476">
        <v>0</v>
      </c>
      <c r="N476">
        <v>0</v>
      </c>
      <c r="O476">
        <v>1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1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0</v>
      </c>
      <c r="AS476">
        <v>0</v>
      </c>
      <c r="AT476">
        <v>0</v>
      </c>
      <c r="AV476">
        <v>0</v>
      </c>
      <c r="AW476">
        <v>0</v>
      </c>
      <c r="AY476">
        <v>0</v>
      </c>
      <c r="AZ476">
        <v>0</v>
      </c>
      <c r="BA476">
        <v>0</v>
      </c>
      <c r="BE476" t="str">
        <f>T("9791137009332")</f>
        <v>9791137009332</v>
      </c>
      <c r="BF476" t="str">
        <f>T("k190530")</f>
        <v>k190530</v>
      </c>
      <c r="BG476" t="str">
        <f>T("판타지 e북 &gt; 대체 역사물")</f>
        <v>판타지 e북 &gt; 대체 역사물</v>
      </c>
    </row>
    <row r="477" spans="1:59">
      <c r="A477" t="s">
        <v>60</v>
      </c>
      <c r="B477" s="1">
        <v>46131</v>
      </c>
      <c r="C477">
        <v>2378051181</v>
      </c>
      <c r="D477">
        <v>2378051181</v>
      </c>
      <c r="E477" t="str">
        <f>T("[e북]삼국지: 조조의 장남이 되었다 1권")</f>
        <v>[e북]삼국지: 조조의 장남이 되었다 1권</v>
      </c>
      <c r="F477">
        <v>1</v>
      </c>
      <c r="G477" t="str">
        <f>T("검은방")</f>
        <v>검은방</v>
      </c>
      <c r="J477" t="str">
        <f>T("매드햇")</f>
        <v>매드햇</v>
      </c>
      <c r="K477" t="str">
        <f>T("[e북]삼국지: 조조의 장남이 되었다")</f>
        <v>[e북]삼국지: 조조의 장남이 되었다</v>
      </c>
      <c r="L477">
        <v>0</v>
      </c>
      <c r="M477">
        <v>0</v>
      </c>
      <c r="N477">
        <v>0</v>
      </c>
      <c r="O477">
        <v>2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2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0</v>
      </c>
      <c r="AS477">
        <v>0</v>
      </c>
      <c r="AT477">
        <v>0</v>
      </c>
      <c r="AV477">
        <v>0</v>
      </c>
      <c r="AW477">
        <v>0</v>
      </c>
      <c r="AY477">
        <v>0</v>
      </c>
      <c r="AZ477">
        <v>0</v>
      </c>
      <c r="BA477">
        <v>0</v>
      </c>
      <c r="BE477" t="str">
        <f>T("9791137015739")</f>
        <v>9791137015739</v>
      </c>
      <c r="BF477" t="str">
        <f>T("k068225")</f>
        <v>k068225</v>
      </c>
      <c r="BG477" t="str">
        <f>T("판타지 e북 &gt; 대체 역사물")</f>
        <v>판타지 e북 &gt; 대체 역사물</v>
      </c>
    </row>
    <row r="478" spans="1:59">
      <c r="A478" t="s">
        <v>60</v>
      </c>
      <c r="B478" s="1">
        <v>46130</v>
      </c>
      <c r="C478">
        <v>2378072190</v>
      </c>
      <c r="D478">
        <v>2378072190</v>
      </c>
      <c r="E478" t="str">
        <f>T("[e북]새벽의 소네트 1권")</f>
        <v>[e북]새벽의 소네트 1권</v>
      </c>
      <c r="F478">
        <v>1</v>
      </c>
      <c r="G478" t="str">
        <f>T("수지그린")</f>
        <v>수지그린</v>
      </c>
      <c r="J478" t="str">
        <f>T("시계토끼")</f>
        <v>시계토끼</v>
      </c>
      <c r="K478" t="str">
        <f>T("[e북]새벽의 소네트")</f>
        <v>[e북]새벽의 소네트</v>
      </c>
      <c r="L478">
        <v>3000</v>
      </c>
      <c r="M478">
        <v>3000</v>
      </c>
      <c r="N478">
        <v>1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3000</v>
      </c>
      <c r="AJ478">
        <v>1</v>
      </c>
      <c r="AK478">
        <v>0</v>
      </c>
      <c r="AL478">
        <v>0</v>
      </c>
      <c r="AM478">
        <v>3000</v>
      </c>
      <c r="AN478">
        <v>0</v>
      </c>
      <c r="AO478">
        <v>0</v>
      </c>
      <c r="AP478">
        <v>0</v>
      </c>
      <c r="AQ478">
        <v>0</v>
      </c>
      <c r="AS478">
        <v>0</v>
      </c>
      <c r="AT478">
        <v>0</v>
      </c>
      <c r="AV478">
        <v>0</v>
      </c>
      <c r="AW478">
        <v>0</v>
      </c>
      <c r="AY478">
        <v>0</v>
      </c>
      <c r="AZ478">
        <v>0</v>
      </c>
      <c r="BA478">
        <v>2100</v>
      </c>
      <c r="BE478" t="str">
        <f>T("9791172820916")</f>
        <v>9791172820916</v>
      </c>
      <c r="BF478" t="str">
        <f>T("k417018")</f>
        <v>k417018</v>
      </c>
      <c r="BG478" t="str">
        <f>T("로판 e북 &gt; 서양풍 로판")</f>
        <v>로판 e북 &gt; 서양풍 로판</v>
      </c>
    </row>
    <row r="479" spans="1:59">
      <c r="A479" t="s">
        <v>60</v>
      </c>
      <c r="B479" s="1">
        <v>46131</v>
      </c>
      <c r="C479">
        <v>2378072190</v>
      </c>
      <c r="D479">
        <v>2378072191</v>
      </c>
      <c r="E479" t="str">
        <f>T("[e북]새벽의 소네트 2권")</f>
        <v>[e북]새벽의 소네트 2권</v>
      </c>
      <c r="F479">
        <v>2</v>
      </c>
      <c r="G479" t="str">
        <f>T("수지그린")</f>
        <v>수지그린</v>
      </c>
      <c r="J479" t="str">
        <f>T("시계토끼")</f>
        <v>시계토끼</v>
      </c>
      <c r="K479" t="str">
        <f>T("[e북]새벽의 소네트")</f>
        <v>[e북]새벽의 소네트</v>
      </c>
      <c r="L479">
        <v>3000</v>
      </c>
      <c r="M479">
        <v>3000</v>
      </c>
      <c r="N479">
        <v>1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3000</v>
      </c>
      <c r="AJ479">
        <v>1</v>
      </c>
      <c r="AK479">
        <v>0</v>
      </c>
      <c r="AL479">
        <v>0</v>
      </c>
      <c r="AM479">
        <v>3000</v>
      </c>
      <c r="AN479">
        <v>0</v>
      </c>
      <c r="AO479">
        <v>0</v>
      </c>
      <c r="AP479">
        <v>0</v>
      </c>
      <c r="AQ479">
        <v>0</v>
      </c>
      <c r="AS479">
        <v>0</v>
      </c>
      <c r="AT479">
        <v>0</v>
      </c>
      <c r="AV479">
        <v>0</v>
      </c>
      <c r="AW479">
        <v>0</v>
      </c>
      <c r="AY479">
        <v>0</v>
      </c>
      <c r="AZ479">
        <v>0</v>
      </c>
      <c r="BA479">
        <v>2100</v>
      </c>
      <c r="BE479" t="str">
        <f>T("9791172820923")</f>
        <v>9791172820923</v>
      </c>
      <c r="BF479" t="str">
        <f>T("k417019")</f>
        <v>k417019</v>
      </c>
      <c r="BG479" t="str">
        <f>T("로판 e북 &gt; 서양풍 로판")</f>
        <v>로판 e북 &gt; 서양풍 로판</v>
      </c>
    </row>
    <row r="480" spans="1:59">
      <c r="A480" t="s">
        <v>60</v>
      </c>
      <c r="B480" s="1">
        <v>46131</v>
      </c>
      <c r="C480">
        <v>2378072190</v>
      </c>
      <c r="D480">
        <v>2378072192</v>
      </c>
      <c r="E480" t="str">
        <f>T("[e북]새벽의 소네트 3권 (완결)")</f>
        <v>[e북]새벽의 소네트 3권 (완결)</v>
      </c>
      <c r="F480">
        <v>3</v>
      </c>
      <c r="G480" t="str">
        <f>T("수지그린")</f>
        <v>수지그린</v>
      </c>
      <c r="J480" t="str">
        <f>T("시계토끼")</f>
        <v>시계토끼</v>
      </c>
      <c r="K480" t="str">
        <f>T("[e북]새벽의 소네트")</f>
        <v>[e북]새벽의 소네트</v>
      </c>
      <c r="L480">
        <v>3000</v>
      </c>
      <c r="M480">
        <v>3000</v>
      </c>
      <c r="N480">
        <v>1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3000</v>
      </c>
      <c r="AJ480">
        <v>1</v>
      </c>
      <c r="AK480">
        <v>0</v>
      </c>
      <c r="AL480">
        <v>0</v>
      </c>
      <c r="AM480">
        <v>3000</v>
      </c>
      <c r="AN480">
        <v>0</v>
      </c>
      <c r="AO480">
        <v>0</v>
      </c>
      <c r="AP480">
        <v>0</v>
      </c>
      <c r="AQ480">
        <v>0</v>
      </c>
      <c r="AS480">
        <v>0</v>
      </c>
      <c r="AT480">
        <v>0</v>
      </c>
      <c r="AV480">
        <v>0</v>
      </c>
      <c r="AW480">
        <v>0</v>
      </c>
      <c r="AY480">
        <v>0</v>
      </c>
      <c r="AZ480">
        <v>0</v>
      </c>
      <c r="BA480">
        <v>2100</v>
      </c>
      <c r="BE480" t="str">
        <f>T("9791172820930")</f>
        <v>9791172820930</v>
      </c>
      <c r="BF480" t="str">
        <f>T("k417020")</f>
        <v>k417020</v>
      </c>
      <c r="BG480" t="str">
        <f>T("로판 e북 &gt; 서양풍 로판")</f>
        <v>로판 e북 &gt; 서양풍 로판</v>
      </c>
    </row>
    <row r="481" spans="1:59">
      <c r="A481" t="s">
        <v>60</v>
      </c>
      <c r="B481" s="1">
        <v>46130</v>
      </c>
      <c r="C481">
        <v>2378061811</v>
      </c>
      <c r="D481">
        <v>2378061811</v>
      </c>
      <c r="E481" t="str">
        <f>T("[e북]색마는 달리고 싶다 1권")</f>
        <v>[e북]색마는 달리고 싶다 1권</v>
      </c>
      <c r="F481">
        <v>1</v>
      </c>
      <c r="G481" t="str">
        <f>T("마성현")</f>
        <v>마성현</v>
      </c>
      <c r="J481" t="str">
        <f>T("더파란스튜디오")</f>
        <v>더파란스튜디오</v>
      </c>
      <c r="K481" t="str">
        <f>T("[e북]색마는 달리고 싶다")</f>
        <v>[e북]색마는 달리고 싶다</v>
      </c>
      <c r="L481">
        <v>0</v>
      </c>
      <c r="M481">
        <v>0</v>
      </c>
      <c r="N481">
        <v>0</v>
      </c>
      <c r="O481">
        <v>2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2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S481">
        <v>0</v>
      </c>
      <c r="AT481">
        <v>0</v>
      </c>
      <c r="AV481">
        <v>0</v>
      </c>
      <c r="AW481">
        <v>0</v>
      </c>
      <c r="AY481">
        <v>0</v>
      </c>
      <c r="AZ481">
        <v>0</v>
      </c>
      <c r="BA481">
        <v>0</v>
      </c>
      <c r="BE481" t="str">
        <f>T("9791198017338")</f>
        <v>9791198017338</v>
      </c>
      <c r="BF481" t="str">
        <f>T("k190132")</f>
        <v>k190132</v>
      </c>
      <c r="BG481" t="str">
        <f>T("판타지 e북 &gt; 현대 판타지")</f>
        <v>판타지 e북 &gt; 현대 판타지</v>
      </c>
    </row>
    <row r="482" spans="1:59">
      <c r="A482" t="s">
        <v>60</v>
      </c>
      <c r="B482" s="1">
        <v>46129</v>
      </c>
      <c r="C482">
        <v>2378077483</v>
      </c>
      <c r="D482">
        <v>2378077483</v>
      </c>
      <c r="E482" t="str">
        <f>T("[e북]섬광 1권")</f>
        <v>[e북]섬광 1권</v>
      </c>
      <c r="F482">
        <v>1</v>
      </c>
      <c r="G482" t="str">
        <f>T("한태양")</f>
        <v>한태양</v>
      </c>
      <c r="J482" t="str">
        <f>T("하트퀸")</f>
        <v>하트퀸</v>
      </c>
      <c r="K482" t="str">
        <f>T("[e북]섬광")</f>
        <v>[e북]섬광</v>
      </c>
      <c r="L482">
        <v>2900</v>
      </c>
      <c r="M482">
        <v>2900</v>
      </c>
      <c r="N482">
        <v>1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2900</v>
      </c>
      <c r="AJ482">
        <v>1</v>
      </c>
      <c r="AK482">
        <v>0</v>
      </c>
      <c r="AL482">
        <v>0</v>
      </c>
      <c r="AM482">
        <v>0</v>
      </c>
      <c r="AN482">
        <v>0</v>
      </c>
      <c r="AO482">
        <v>3480</v>
      </c>
      <c r="AP482">
        <v>-1044</v>
      </c>
      <c r="AQ482">
        <v>0</v>
      </c>
      <c r="AR482">
        <v>3480</v>
      </c>
      <c r="AS482">
        <v>-1044</v>
      </c>
      <c r="AT482">
        <v>0</v>
      </c>
      <c r="AV482">
        <v>0</v>
      </c>
      <c r="AW482">
        <v>0</v>
      </c>
      <c r="AY482">
        <v>0</v>
      </c>
      <c r="AZ482">
        <v>0</v>
      </c>
      <c r="BA482">
        <v>1705.2</v>
      </c>
      <c r="BE482" t="str">
        <f>T("9791171502479")</f>
        <v>9791171502479</v>
      </c>
      <c r="BF482" t="str">
        <f>T("D093343")</f>
        <v>D093343</v>
      </c>
      <c r="BG482" t="str">
        <f>T("로맨스 e북 &gt; 현대물")</f>
        <v>로맨스 e북 &gt; 현대물</v>
      </c>
    </row>
    <row r="483" spans="1:59">
      <c r="A483" t="s">
        <v>60</v>
      </c>
      <c r="B483" s="1">
        <v>46130</v>
      </c>
      <c r="C483">
        <v>2378077483</v>
      </c>
      <c r="D483">
        <v>2378077484</v>
      </c>
      <c r="E483" t="str">
        <f>T("[e북]섬광 2권 (완결)")</f>
        <v>[e북]섬광 2권 (완결)</v>
      </c>
      <c r="F483">
        <v>2</v>
      </c>
      <c r="G483" t="str">
        <f>T("한태양")</f>
        <v>한태양</v>
      </c>
      <c r="J483" t="str">
        <f>T("하트퀸")</f>
        <v>하트퀸</v>
      </c>
      <c r="K483" t="str">
        <f>T("[e북]섬광")</f>
        <v>[e북]섬광</v>
      </c>
      <c r="L483">
        <v>2900</v>
      </c>
      <c r="M483">
        <v>2900</v>
      </c>
      <c r="N483">
        <v>1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2900</v>
      </c>
      <c r="AJ483">
        <v>1</v>
      </c>
      <c r="AK483">
        <v>0</v>
      </c>
      <c r="AL483">
        <v>0</v>
      </c>
      <c r="AM483">
        <v>0</v>
      </c>
      <c r="AN483">
        <v>0</v>
      </c>
      <c r="AO483">
        <v>3480</v>
      </c>
      <c r="AP483">
        <v>-1044</v>
      </c>
      <c r="AQ483">
        <v>0</v>
      </c>
      <c r="AR483">
        <v>3480</v>
      </c>
      <c r="AS483">
        <v>-1044</v>
      </c>
      <c r="AT483">
        <v>0</v>
      </c>
      <c r="AV483">
        <v>0</v>
      </c>
      <c r="AW483">
        <v>0</v>
      </c>
      <c r="AY483">
        <v>0</v>
      </c>
      <c r="AZ483">
        <v>0</v>
      </c>
      <c r="BA483">
        <v>1705.2</v>
      </c>
      <c r="BE483" t="str">
        <f>T("9791171502486")</f>
        <v>9791171502486</v>
      </c>
      <c r="BF483" t="str">
        <f>T("D093344")</f>
        <v>D093344</v>
      </c>
      <c r="BG483" t="str">
        <f>T("로맨스 e북 &gt; 현대물")</f>
        <v>로맨스 e북 &gt; 현대물</v>
      </c>
    </row>
    <row r="484" spans="1:59">
      <c r="A484" t="s">
        <v>60</v>
      </c>
      <c r="B484" s="1">
        <v>46130</v>
      </c>
      <c r="C484">
        <v>2378058610</v>
      </c>
      <c r="D484">
        <v>2378058610</v>
      </c>
      <c r="E484" t="str">
        <f>T("[e북]성인용품점, 도구 교육 1권")</f>
        <v>[e북]성인용품점, 도구 교육 1권</v>
      </c>
      <c r="F484">
        <v>1</v>
      </c>
      <c r="G484" t="str">
        <f>T("레네이제")</f>
        <v>레네이제</v>
      </c>
      <c r="J484" t="str">
        <f>T("누디나잇")</f>
        <v>누디나잇</v>
      </c>
      <c r="K484" t="str">
        <f>T("[e북]성인용품점, 도구 교육")</f>
        <v>[e북]성인용품점, 도구 교육</v>
      </c>
      <c r="L484">
        <v>1000</v>
      </c>
      <c r="M484">
        <v>1000</v>
      </c>
      <c r="N484">
        <v>1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1000</v>
      </c>
      <c r="AJ484">
        <v>1</v>
      </c>
      <c r="AK484">
        <v>0</v>
      </c>
      <c r="AL484">
        <v>0</v>
      </c>
      <c r="AM484">
        <v>0</v>
      </c>
      <c r="AN484">
        <v>0</v>
      </c>
      <c r="AO484">
        <v>1200</v>
      </c>
      <c r="AP484">
        <v>-120</v>
      </c>
      <c r="AQ484">
        <v>0</v>
      </c>
      <c r="AS484">
        <v>0</v>
      </c>
      <c r="AT484">
        <v>0</v>
      </c>
      <c r="AU484">
        <v>1200</v>
      </c>
      <c r="AV484">
        <v>-120</v>
      </c>
      <c r="AW484">
        <v>0</v>
      </c>
      <c r="AY484">
        <v>0</v>
      </c>
      <c r="AZ484">
        <v>0</v>
      </c>
      <c r="BA484">
        <v>756</v>
      </c>
      <c r="BE484" t="str">
        <f>T("9791193028896")</f>
        <v>9791193028896</v>
      </c>
      <c r="BF484" t="str">
        <f>T("k130032")</f>
        <v>k130032</v>
      </c>
      <c r="BG484" t="str">
        <f>T("BL 소설 e북 &gt; 현대물")</f>
        <v>BL 소설 e북 &gt; 현대물</v>
      </c>
    </row>
    <row r="485" spans="1:59">
      <c r="A485" t="s">
        <v>60</v>
      </c>
      <c r="B485" s="1">
        <v>46129</v>
      </c>
      <c r="C485">
        <v>2378014514</v>
      </c>
      <c r="D485">
        <v>2378014514</v>
      </c>
      <c r="E485" t="str">
        <f>T("[e북]세원록 1권")</f>
        <v>[e북]세원록 1권</v>
      </c>
      <c r="F485">
        <v>1</v>
      </c>
      <c r="G485" t="str">
        <f>T("첸뤼")</f>
        <v>첸뤼</v>
      </c>
      <c r="J485" t="str">
        <f>T("시계토끼")</f>
        <v>시계토끼</v>
      </c>
      <c r="K485" t="str">
        <f>T("[e북]세원록")</f>
        <v>[e북]세원록</v>
      </c>
      <c r="L485">
        <v>0</v>
      </c>
      <c r="M485">
        <v>0</v>
      </c>
      <c r="N485">
        <v>0</v>
      </c>
      <c r="O485">
        <v>2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2</v>
      </c>
      <c r="AK485">
        <v>0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S485">
        <v>0</v>
      </c>
      <c r="AT485">
        <v>0</v>
      </c>
      <c r="AV485">
        <v>0</v>
      </c>
      <c r="AW485">
        <v>0</v>
      </c>
      <c r="AY485">
        <v>0</v>
      </c>
      <c r="AZ485">
        <v>0</v>
      </c>
      <c r="BA485">
        <v>0</v>
      </c>
      <c r="BE485" t="str">
        <f>T("9791164093090")</f>
        <v>9791164093090</v>
      </c>
      <c r="BF485" t="str">
        <f>T("E710444")</f>
        <v>E710444</v>
      </c>
      <c r="BG485" t="str">
        <f>T("로판 e북 &gt; 해외 소설")</f>
        <v>로판 e북 &gt; 해외 소설</v>
      </c>
    </row>
    <row r="486" spans="1:59">
      <c r="A486" t="s">
        <v>60</v>
      </c>
      <c r="B486" s="1">
        <v>46130</v>
      </c>
      <c r="C486">
        <v>2378014514</v>
      </c>
      <c r="D486">
        <v>2378014514</v>
      </c>
      <c r="E486" t="str">
        <f>T("[e북]세원록 1권")</f>
        <v>[e북]세원록 1권</v>
      </c>
      <c r="F486">
        <v>1</v>
      </c>
      <c r="G486" t="str">
        <f>T("첸뤼")</f>
        <v>첸뤼</v>
      </c>
      <c r="J486" t="str">
        <f>T("시계토끼")</f>
        <v>시계토끼</v>
      </c>
      <c r="K486" t="str">
        <f>T("[e북]세원록")</f>
        <v>[e북]세원록</v>
      </c>
      <c r="L486">
        <v>0</v>
      </c>
      <c r="M486">
        <v>0</v>
      </c>
      <c r="N486">
        <v>0</v>
      </c>
      <c r="O486">
        <v>1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1</v>
      </c>
      <c r="AK486">
        <v>0</v>
      </c>
      <c r="AL486">
        <v>0</v>
      </c>
      <c r="AM486">
        <v>0</v>
      </c>
      <c r="AN486">
        <v>0</v>
      </c>
      <c r="AO486">
        <v>0</v>
      </c>
      <c r="AP486">
        <v>0</v>
      </c>
      <c r="AQ486">
        <v>0</v>
      </c>
      <c r="AS486">
        <v>0</v>
      </c>
      <c r="AT486">
        <v>0</v>
      </c>
      <c r="AV486">
        <v>0</v>
      </c>
      <c r="AW486">
        <v>0</v>
      </c>
      <c r="AY486">
        <v>0</v>
      </c>
      <c r="AZ486">
        <v>0</v>
      </c>
      <c r="BA486">
        <v>0</v>
      </c>
      <c r="BE486" t="str">
        <f>T("9791164093090")</f>
        <v>9791164093090</v>
      </c>
      <c r="BF486" t="str">
        <f>T("E710444")</f>
        <v>E710444</v>
      </c>
      <c r="BG486" t="str">
        <f>T("로판 e북 &gt; 해외 소설")</f>
        <v>로판 e북 &gt; 해외 소설</v>
      </c>
    </row>
    <row r="487" spans="1:59">
      <c r="A487" t="s">
        <v>60</v>
      </c>
      <c r="B487" s="1">
        <v>46129</v>
      </c>
      <c r="C487">
        <v>2378006832</v>
      </c>
      <c r="D487">
        <v>2378006833</v>
      </c>
      <c r="E487" t="str">
        <f>T("[e북][체험판] 세이렌")</f>
        <v>[e북][체험판] 세이렌</v>
      </c>
      <c r="F487">
        <v>1</v>
      </c>
      <c r="G487" t="str">
        <f>T("강윤결")</f>
        <v>강윤결</v>
      </c>
      <c r="J487" t="str">
        <f>T("시계토끼")</f>
        <v>시계토끼</v>
      </c>
      <c r="K487" t="str">
        <f>T("[e북]세이렌")</f>
        <v>[e북]세이렌</v>
      </c>
      <c r="L487">
        <v>0</v>
      </c>
      <c r="M487">
        <v>0</v>
      </c>
      <c r="N487">
        <v>0</v>
      </c>
      <c r="O487">
        <v>1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1</v>
      </c>
      <c r="AK487">
        <v>0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0</v>
      </c>
      <c r="AS487">
        <v>0</v>
      </c>
      <c r="AT487">
        <v>0</v>
      </c>
      <c r="AV487">
        <v>0</v>
      </c>
      <c r="AW487">
        <v>0</v>
      </c>
      <c r="AY487">
        <v>0</v>
      </c>
      <c r="AZ487">
        <v>0</v>
      </c>
      <c r="BA487">
        <v>0</v>
      </c>
      <c r="BC487" t="str">
        <f>T("0000000000000")</f>
        <v>0000000000000</v>
      </c>
      <c r="BE487" t="str">
        <f>T("9791164090402")</f>
        <v>9791164090402</v>
      </c>
      <c r="BF487" t="str">
        <f>T("E380647")</f>
        <v>E380647</v>
      </c>
      <c r="BG487" t="str">
        <f>T("로판 e북 &gt; 서양풍 로판")</f>
        <v>로판 e북 &gt; 서양풍 로판</v>
      </c>
    </row>
    <row r="488" spans="1:59">
      <c r="A488" t="s">
        <v>60</v>
      </c>
      <c r="B488" s="1">
        <v>46130</v>
      </c>
      <c r="C488">
        <v>2378006832</v>
      </c>
      <c r="D488">
        <v>2378006833</v>
      </c>
      <c r="E488" t="str">
        <f>T("[e북][체험판] 세이렌")</f>
        <v>[e북][체험판] 세이렌</v>
      </c>
      <c r="F488">
        <v>1</v>
      </c>
      <c r="G488" t="str">
        <f>T("강윤결")</f>
        <v>강윤결</v>
      </c>
      <c r="J488" t="str">
        <f>T("시계토끼")</f>
        <v>시계토끼</v>
      </c>
      <c r="K488" t="str">
        <f>T("[e북]세이렌")</f>
        <v>[e북]세이렌</v>
      </c>
      <c r="L488">
        <v>0</v>
      </c>
      <c r="M488">
        <v>0</v>
      </c>
      <c r="N488">
        <v>0</v>
      </c>
      <c r="O488">
        <v>1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1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S488">
        <v>0</v>
      </c>
      <c r="AT488">
        <v>0</v>
      </c>
      <c r="AV488">
        <v>0</v>
      </c>
      <c r="AW488">
        <v>0</v>
      </c>
      <c r="AY488">
        <v>0</v>
      </c>
      <c r="AZ488">
        <v>0</v>
      </c>
      <c r="BA488">
        <v>0</v>
      </c>
      <c r="BC488" t="str">
        <f>T("0000000000000")</f>
        <v>0000000000000</v>
      </c>
      <c r="BE488" t="str">
        <f>T("9791164090402")</f>
        <v>9791164090402</v>
      </c>
      <c r="BF488" t="str">
        <f>T("E380647")</f>
        <v>E380647</v>
      </c>
      <c r="BG488" t="str">
        <f>T("로판 e북 &gt; 서양풍 로판")</f>
        <v>로판 e북 &gt; 서양풍 로판</v>
      </c>
    </row>
    <row r="489" spans="1:59">
      <c r="A489" t="s">
        <v>60</v>
      </c>
      <c r="B489" s="1">
        <v>46131</v>
      </c>
      <c r="C489">
        <v>2378006832</v>
      </c>
      <c r="D489">
        <v>2378006832</v>
      </c>
      <c r="E489" t="str">
        <f>T("[e북]세이렌")</f>
        <v>[e북]세이렌</v>
      </c>
      <c r="F489">
        <v>1</v>
      </c>
      <c r="G489" t="str">
        <f>T("강윤결")</f>
        <v>강윤결</v>
      </c>
      <c r="J489" t="str">
        <f>T("시계토끼")</f>
        <v>시계토끼</v>
      </c>
      <c r="K489" t="str">
        <f>T("[e북]세이렌")</f>
        <v>[e북]세이렌</v>
      </c>
      <c r="L489">
        <v>3500</v>
      </c>
      <c r="M489">
        <v>3500</v>
      </c>
      <c r="N489">
        <v>1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3500</v>
      </c>
      <c r="AJ489">
        <v>1</v>
      </c>
      <c r="AK489">
        <v>0</v>
      </c>
      <c r="AL489">
        <v>0</v>
      </c>
      <c r="AM489">
        <v>3500</v>
      </c>
      <c r="AN489">
        <v>0</v>
      </c>
      <c r="AO489">
        <v>0</v>
      </c>
      <c r="AP489">
        <v>0</v>
      </c>
      <c r="AQ489">
        <v>0</v>
      </c>
      <c r="AS489">
        <v>0</v>
      </c>
      <c r="AT489">
        <v>0</v>
      </c>
      <c r="AV489">
        <v>0</v>
      </c>
      <c r="AW489">
        <v>0</v>
      </c>
      <c r="AY489">
        <v>0</v>
      </c>
      <c r="AZ489">
        <v>0</v>
      </c>
      <c r="BA489">
        <v>2450</v>
      </c>
      <c r="BC489" t="str">
        <f>T("0000000000000")</f>
        <v>0000000000000</v>
      </c>
      <c r="BE489" t="str">
        <f>T("9791164090402")</f>
        <v>9791164090402</v>
      </c>
      <c r="BF489" t="str">
        <f>T("E380647")</f>
        <v>E380647</v>
      </c>
      <c r="BG489" t="str">
        <f>T("로판 e북 &gt; 서양풍 로판")</f>
        <v>로판 e북 &gt; 서양풍 로판</v>
      </c>
    </row>
    <row r="490" spans="1:59">
      <c r="A490" t="s">
        <v>60</v>
      </c>
      <c r="B490" s="1">
        <v>46131</v>
      </c>
      <c r="C490">
        <v>2378006832</v>
      </c>
      <c r="D490">
        <v>2378010734</v>
      </c>
      <c r="E490" t="str">
        <f>T("[e북]세이렌 (외전)")</f>
        <v>[e북]세이렌 (외전)</v>
      </c>
      <c r="F490">
        <v>2</v>
      </c>
      <c r="G490" t="str">
        <f>T("강윤결")</f>
        <v>강윤결</v>
      </c>
      <c r="J490" t="str">
        <f>T("시계토끼")</f>
        <v>시계토끼</v>
      </c>
      <c r="K490" t="str">
        <f>T("[e북]세이렌")</f>
        <v>[e북]세이렌</v>
      </c>
      <c r="L490">
        <v>1000</v>
      </c>
      <c r="M490">
        <v>1000</v>
      </c>
      <c r="N490">
        <v>1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1000</v>
      </c>
      <c r="AJ490">
        <v>1</v>
      </c>
      <c r="AK490">
        <v>0</v>
      </c>
      <c r="AL490">
        <v>0</v>
      </c>
      <c r="AM490">
        <v>1000</v>
      </c>
      <c r="AN490">
        <v>0</v>
      </c>
      <c r="AO490">
        <v>0</v>
      </c>
      <c r="AP490">
        <v>0</v>
      </c>
      <c r="AQ490">
        <v>0</v>
      </c>
      <c r="AS490">
        <v>0</v>
      </c>
      <c r="AT490">
        <v>0</v>
      </c>
      <c r="AV490">
        <v>0</v>
      </c>
      <c r="AW490">
        <v>0</v>
      </c>
      <c r="AY490">
        <v>0</v>
      </c>
      <c r="AZ490">
        <v>0</v>
      </c>
      <c r="BA490">
        <v>700</v>
      </c>
      <c r="BC490" t="str">
        <f>T("0000000000000")</f>
        <v>0000000000000</v>
      </c>
      <c r="BE490" t="str">
        <f>T("9791164091751")</f>
        <v>9791164091751</v>
      </c>
      <c r="BF490" t="str">
        <f>T("E610115")</f>
        <v>E610115</v>
      </c>
      <c r="BG490" t="str">
        <f>T("로판 e북 &gt; 서양풍 로판")</f>
        <v>로판 e북 &gt; 서양풍 로판</v>
      </c>
    </row>
    <row r="491" spans="1:59">
      <c r="A491" t="s">
        <v>60</v>
      </c>
      <c r="B491" s="1">
        <v>46129</v>
      </c>
      <c r="C491">
        <v>2378043315</v>
      </c>
      <c r="D491">
        <v>2378043315</v>
      </c>
      <c r="E491" t="str">
        <f>T("[e북]소꿉친구와 XX")</f>
        <v>[e북]소꿉친구와 XX</v>
      </c>
      <c r="F491">
        <v>1</v>
      </c>
      <c r="G491" t="str">
        <f>T("나무요정")</f>
        <v>나무요정</v>
      </c>
      <c r="J491" t="str">
        <f>T("체셔")</f>
        <v>체셔</v>
      </c>
      <c r="K491" t="str">
        <f>T("[e북]소꿉친구와 XX")</f>
        <v>[e북]소꿉친구와 XX</v>
      </c>
      <c r="L491">
        <v>3000</v>
      </c>
      <c r="M491">
        <v>3000</v>
      </c>
      <c r="N491">
        <v>1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3000</v>
      </c>
      <c r="AJ491">
        <v>1</v>
      </c>
      <c r="AK491">
        <v>0</v>
      </c>
      <c r="AL491">
        <v>0</v>
      </c>
      <c r="AM491">
        <v>3000</v>
      </c>
      <c r="AN491">
        <v>0</v>
      </c>
      <c r="AO491">
        <v>0</v>
      </c>
      <c r="AP491">
        <v>0</v>
      </c>
      <c r="AQ491">
        <v>0</v>
      </c>
      <c r="AS491">
        <v>0</v>
      </c>
      <c r="AT491">
        <v>0</v>
      </c>
      <c r="AV491">
        <v>0</v>
      </c>
      <c r="AW491">
        <v>0</v>
      </c>
      <c r="AY491">
        <v>0</v>
      </c>
      <c r="AZ491">
        <v>0</v>
      </c>
      <c r="BA491">
        <v>2100</v>
      </c>
      <c r="BE491" t="str">
        <f>T("9791164833849")</f>
        <v>9791164833849</v>
      </c>
      <c r="BF491" t="str">
        <f>T("N216705")</f>
        <v>N216705</v>
      </c>
      <c r="BG491" t="str">
        <f>T("BL 소설 e북 &gt; 현대물")</f>
        <v>BL 소설 e북 &gt; 현대물</v>
      </c>
    </row>
    <row r="492" spans="1:59">
      <c r="A492" t="s">
        <v>60</v>
      </c>
      <c r="B492" s="1">
        <v>46130</v>
      </c>
      <c r="C492">
        <v>2378043315</v>
      </c>
      <c r="D492">
        <v>2378047982</v>
      </c>
      <c r="E492" t="str">
        <f>T("소꿉친구와 XX (외전)")</f>
        <v>소꿉친구와 XX (외전)</v>
      </c>
      <c r="F492">
        <v>2</v>
      </c>
      <c r="G492" t="str">
        <f>T("나무요정")</f>
        <v>나무요정</v>
      </c>
      <c r="J492" t="str">
        <f>T("체셔")</f>
        <v>체셔</v>
      </c>
      <c r="K492" t="str">
        <f>T("[e북]소꿉친구와 XX")</f>
        <v>[e북]소꿉친구와 XX</v>
      </c>
      <c r="L492">
        <v>1000</v>
      </c>
      <c r="M492">
        <v>1000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1000</v>
      </c>
      <c r="AJ492">
        <v>1</v>
      </c>
      <c r="AK492">
        <v>0</v>
      </c>
      <c r="AL492">
        <v>0</v>
      </c>
      <c r="AM492">
        <v>1000</v>
      </c>
      <c r="AN492">
        <v>0</v>
      </c>
      <c r="AO492">
        <v>0</v>
      </c>
      <c r="AP492">
        <v>0</v>
      </c>
      <c r="AQ492">
        <v>0</v>
      </c>
      <c r="AS492">
        <v>0</v>
      </c>
      <c r="AT492">
        <v>0</v>
      </c>
      <c r="AV492">
        <v>0</v>
      </c>
      <c r="AW492">
        <v>0</v>
      </c>
      <c r="AY492">
        <v>0</v>
      </c>
      <c r="AZ492">
        <v>0</v>
      </c>
      <c r="BA492">
        <v>700</v>
      </c>
      <c r="BE492" t="str">
        <f>T("9791164833900")</f>
        <v>9791164833900</v>
      </c>
      <c r="BF492" t="str">
        <f>T("k023329")</f>
        <v>k023329</v>
      </c>
      <c r="BG492" t="str">
        <f>T("BL 소설 e북 &gt; 현대물")</f>
        <v>BL 소설 e북 &gt; 현대물</v>
      </c>
    </row>
    <row r="493" spans="1:59">
      <c r="A493" t="s">
        <v>60</v>
      </c>
      <c r="B493" s="1">
        <v>46130</v>
      </c>
      <c r="C493">
        <v>2378043315</v>
      </c>
      <c r="D493">
        <v>2378043315</v>
      </c>
      <c r="E493" t="str">
        <f>T("[e북]소꿉친구와 XX")</f>
        <v>[e북]소꿉친구와 XX</v>
      </c>
      <c r="F493">
        <v>1</v>
      </c>
      <c r="G493" t="str">
        <f>T("나무요정")</f>
        <v>나무요정</v>
      </c>
      <c r="J493" t="str">
        <f>T("체셔")</f>
        <v>체셔</v>
      </c>
      <c r="K493" t="str">
        <f>T("[e북]소꿉친구와 XX")</f>
        <v>[e북]소꿉친구와 XX</v>
      </c>
      <c r="L493">
        <v>3000</v>
      </c>
      <c r="M493">
        <v>3000</v>
      </c>
      <c r="N493">
        <v>1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3000</v>
      </c>
      <c r="AJ493">
        <v>1</v>
      </c>
      <c r="AK493">
        <v>0</v>
      </c>
      <c r="AL493">
        <v>0</v>
      </c>
      <c r="AM493">
        <v>3000</v>
      </c>
      <c r="AN493">
        <v>0</v>
      </c>
      <c r="AO493">
        <v>0</v>
      </c>
      <c r="AP493">
        <v>0</v>
      </c>
      <c r="AQ493">
        <v>0</v>
      </c>
      <c r="AS493">
        <v>0</v>
      </c>
      <c r="AT493">
        <v>0</v>
      </c>
      <c r="AV493">
        <v>0</v>
      </c>
      <c r="AW493">
        <v>0</v>
      </c>
      <c r="AY493">
        <v>0</v>
      </c>
      <c r="AZ493">
        <v>0</v>
      </c>
      <c r="BA493">
        <v>2100</v>
      </c>
      <c r="BE493" t="str">
        <f>T("9791164833849")</f>
        <v>9791164833849</v>
      </c>
      <c r="BF493" t="str">
        <f>T("N216705")</f>
        <v>N216705</v>
      </c>
      <c r="BG493" t="str">
        <f>T("BL 소설 e북 &gt; 현대물")</f>
        <v>BL 소설 e북 &gt; 현대물</v>
      </c>
    </row>
    <row r="494" spans="1:59">
      <c r="A494" t="s">
        <v>60</v>
      </c>
      <c r="B494" s="1">
        <v>46131</v>
      </c>
      <c r="C494">
        <v>2378043315</v>
      </c>
      <c r="D494">
        <v>2378043315</v>
      </c>
      <c r="E494" t="str">
        <f>T("[e북]소꿉친구와 XX")</f>
        <v>[e북]소꿉친구와 XX</v>
      </c>
      <c r="F494">
        <v>1</v>
      </c>
      <c r="G494" t="str">
        <f>T("나무요정")</f>
        <v>나무요정</v>
      </c>
      <c r="J494" t="str">
        <f>T("체셔")</f>
        <v>체셔</v>
      </c>
      <c r="K494" t="str">
        <f>T("[e북]소꿉친구와 XX")</f>
        <v>[e북]소꿉친구와 XX</v>
      </c>
      <c r="L494">
        <v>3000</v>
      </c>
      <c r="M494">
        <v>3000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3000</v>
      </c>
      <c r="AJ494">
        <v>1</v>
      </c>
      <c r="AK494">
        <v>0</v>
      </c>
      <c r="AL494">
        <v>0</v>
      </c>
      <c r="AM494">
        <v>3000</v>
      </c>
      <c r="AN494">
        <v>0</v>
      </c>
      <c r="AO494">
        <v>0</v>
      </c>
      <c r="AP494">
        <v>0</v>
      </c>
      <c r="AQ494">
        <v>0</v>
      </c>
      <c r="AS494">
        <v>0</v>
      </c>
      <c r="AT494">
        <v>0</v>
      </c>
      <c r="AV494">
        <v>0</v>
      </c>
      <c r="AW494">
        <v>0</v>
      </c>
      <c r="AY494">
        <v>0</v>
      </c>
      <c r="AZ494">
        <v>0</v>
      </c>
      <c r="BA494">
        <v>2100</v>
      </c>
      <c r="BE494" t="str">
        <f>T("9791164833849")</f>
        <v>9791164833849</v>
      </c>
      <c r="BF494" t="str">
        <f>T("N216705")</f>
        <v>N216705</v>
      </c>
      <c r="BG494" t="str">
        <f>T("BL 소설 e북 &gt; 현대물")</f>
        <v>BL 소설 e북 &gt; 현대물</v>
      </c>
    </row>
    <row r="495" spans="1:59">
      <c r="A495" t="s">
        <v>60</v>
      </c>
      <c r="B495" s="1">
        <v>46131</v>
      </c>
      <c r="C495">
        <v>2378043315</v>
      </c>
      <c r="D495">
        <v>2378047982</v>
      </c>
      <c r="E495" t="str">
        <f>T("소꿉친구와 XX (외전)")</f>
        <v>소꿉친구와 XX (외전)</v>
      </c>
      <c r="F495">
        <v>2</v>
      </c>
      <c r="G495" t="str">
        <f>T("나무요정")</f>
        <v>나무요정</v>
      </c>
      <c r="J495" t="str">
        <f>T("체셔")</f>
        <v>체셔</v>
      </c>
      <c r="K495" t="str">
        <f>T("[e북]소꿉친구와 XX")</f>
        <v>[e북]소꿉친구와 XX</v>
      </c>
      <c r="L495">
        <v>1000</v>
      </c>
      <c r="M495">
        <v>2000</v>
      </c>
      <c r="N495">
        <v>2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2000</v>
      </c>
      <c r="AJ495">
        <v>2</v>
      </c>
      <c r="AK495">
        <v>0</v>
      </c>
      <c r="AL495">
        <v>0</v>
      </c>
      <c r="AM495">
        <v>1000</v>
      </c>
      <c r="AN495">
        <v>0</v>
      </c>
      <c r="AO495">
        <v>1200</v>
      </c>
      <c r="AP495">
        <v>-360</v>
      </c>
      <c r="AQ495">
        <v>0</v>
      </c>
      <c r="AR495">
        <v>1200</v>
      </c>
      <c r="AS495">
        <v>-360</v>
      </c>
      <c r="AT495">
        <v>0</v>
      </c>
      <c r="AV495">
        <v>0</v>
      </c>
      <c r="AW495">
        <v>0</v>
      </c>
      <c r="AY495">
        <v>0</v>
      </c>
      <c r="AZ495">
        <v>0</v>
      </c>
      <c r="BA495">
        <v>1288</v>
      </c>
      <c r="BE495" t="str">
        <f>T("9791164833900")</f>
        <v>9791164833900</v>
      </c>
      <c r="BF495" t="str">
        <f>T("k023329")</f>
        <v>k023329</v>
      </c>
      <c r="BG495" t="str">
        <f>T("BL 소설 e북 &gt; 현대물")</f>
        <v>BL 소설 e북 &gt; 현대물</v>
      </c>
    </row>
    <row r="496" spans="1:59">
      <c r="A496" t="s">
        <v>60</v>
      </c>
      <c r="B496" s="1">
        <v>46129</v>
      </c>
      <c r="C496">
        <v>2378053241</v>
      </c>
      <c r="D496">
        <v>2378053241</v>
      </c>
      <c r="E496" t="str">
        <f>T("[e북]스킬복제하는 방랑자 1권")</f>
        <v>[e북]스킬복제하는 방랑자 1권</v>
      </c>
      <c r="F496">
        <v>1</v>
      </c>
      <c r="G496" t="str">
        <f>T("팔전구기")</f>
        <v>팔전구기</v>
      </c>
      <c r="J496" t="str">
        <f>T("매드햇")</f>
        <v>매드햇</v>
      </c>
      <c r="K496" t="str">
        <f>T("[e북]스킬복제하는 방랑자")</f>
        <v>[e북]스킬복제하는 방랑자</v>
      </c>
      <c r="L496">
        <v>0</v>
      </c>
      <c r="M496">
        <v>0</v>
      </c>
      <c r="N496">
        <v>0</v>
      </c>
      <c r="O496">
        <v>2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2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S496">
        <v>0</v>
      </c>
      <c r="AT496">
        <v>0</v>
      </c>
      <c r="AV496">
        <v>0</v>
      </c>
      <c r="AW496">
        <v>0</v>
      </c>
      <c r="AY496">
        <v>0</v>
      </c>
      <c r="AZ496">
        <v>0</v>
      </c>
      <c r="BA496">
        <v>0</v>
      </c>
      <c r="BE496" t="str">
        <f>T("9791137016491")</f>
        <v>9791137016491</v>
      </c>
      <c r="BF496" t="str">
        <f>T("k109194")</f>
        <v>k109194</v>
      </c>
      <c r="BG496" t="str">
        <f>T("판타지 e북 &gt; 퓨전 판타지")</f>
        <v>판타지 e북 &gt; 퓨전 판타지</v>
      </c>
    </row>
    <row r="497" spans="1:59">
      <c r="A497" t="s">
        <v>60</v>
      </c>
      <c r="B497" s="1">
        <v>46129</v>
      </c>
      <c r="C497">
        <v>2378053241</v>
      </c>
      <c r="D497">
        <v>2378053248</v>
      </c>
      <c r="E497" t="str">
        <f>T("[e북]스킬복제하는 방랑자 8권")</f>
        <v>[e북]스킬복제하는 방랑자 8권</v>
      </c>
      <c r="F497">
        <v>8</v>
      </c>
      <c r="G497" t="str">
        <f>T("팔전구기")</f>
        <v>팔전구기</v>
      </c>
      <c r="J497" t="str">
        <f>T("매드햇")</f>
        <v>매드햇</v>
      </c>
      <c r="K497" t="str">
        <f>T("[e북]스킬복제하는 방랑자")</f>
        <v>[e북]스킬복제하는 방랑자</v>
      </c>
      <c r="L497">
        <v>3200</v>
      </c>
      <c r="M497">
        <v>3200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3200</v>
      </c>
      <c r="AJ497">
        <v>1</v>
      </c>
      <c r="AK497">
        <v>0</v>
      </c>
      <c r="AL497">
        <v>0</v>
      </c>
      <c r="AM497">
        <v>3200</v>
      </c>
      <c r="AN497">
        <v>0</v>
      </c>
      <c r="AO497">
        <v>0</v>
      </c>
      <c r="AP497">
        <v>0</v>
      </c>
      <c r="AQ497">
        <v>0</v>
      </c>
      <c r="AS497">
        <v>0</v>
      </c>
      <c r="AT497">
        <v>0</v>
      </c>
      <c r="AV497">
        <v>0</v>
      </c>
      <c r="AW497">
        <v>0</v>
      </c>
      <c r="AY497">
        <v>0</v>
      </c>
      <c r="AZ497">
        <v>0</v>
      </c>
      <c r="BA497">
        <v>2240</v>
      </c>
      <c r="BE497" t="str">
        <f>T("9791137016569")</f>
        <v>9791137016569</v>
      </c>
      <c r="BF497" t="str">
        <f>T("k109201")</f>
        <v>k109201</v>
      </c>
      <c r="BG497" t="str">
        <f>T("판타지 e북 &gt; 퓨전 판타지")</f>
        <v>판타지 e북 &gt; 퓨전 판타지</v>
      </c>
    </row>
    <row r="498" spans="1:59">
      <c r="A498" t="s">
        <v>60</v>
      </c>
      <c r="B498" s="1">
        <v>46130</v>
      </c>
      <c r="C498">
        <v>2378053241</v>
      </c>
      <c r="D498">
        <v>2378053241</v>
      </c>
      <c r="E498" t="str">
        <f>T("[e북]스킬복제하는 방랑자 1권")</f>
        <v>[e북]스킬복제하는 방랑자 1권</v>
      </c>
      <c r="F498">
        <v>1</v>
      </c>
      <c r="G498" t="str">
        <f>T("팔전구기")</f>
        <v>팔전구기</v>
      </c>
      <c r="J498" t="str">
        <f>T("매드햇")</f>
        <v>매드햇</v>
      </c>
      <c r="K498" t="str">
        <f>T("[e북]스킬복제하는 방랑자")</f>
        <v>[e북]스킬복제하는 방랑자</v>
      </c>
      <c r="L498">
        <v>0</v>
      </c>
      <c r="M498">
        <v>0</v>
      </c>
      <c r="N498">
        <v>0</v>
      </c>
      <c r="O498">
        <v>2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2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S498">
        <v>0</v>
      </c>
      <c r="AT498">
        <v>0</v>
      </c>
      <c r="AV498">
        <v>0</v>
      </c>
      <c r="AW498">
        <v>0</v>
      </c>
      <c r="AY498">
        <v>0</v>
      </c>
      <c r="AZ498">
        <v>0</v>
      </c>
      <c r="BA498">
        <v>0</v>
      </c>
      <c r="BE498" t="str">
        <f>T("9791137016491")</f>
        <v>9791137016491</v>
      </c>
      <c r="BF498" t="str">
        <f>T("k109194")</f>
        <v>k109194</v>
      </c>
      <c r="BG498" t="str">
        <f>T("판타지 e북 &gt; 퓨전 판타지")</f>
        <v>판타지 e북 &gt; 퓨전 판타지</v>
      </c>
    </row>
    <row r="499" spans="1:59">
      <c r="A499" t="s">
        <v>60</v>
      </c>
      <c r="B499" s="1">
        <v>46129</v>
      </c>
      <c r="C499">
        <v>2378008305</v>
      </c>
      <c r="D499">
        <v>2378008305</v>
      </c>
      <c r="E499" t="str">
        <f>T("[e북]시마르글의 개 1권")</f>
        <v>[e북]시마르글의 개 1권</v>
      </c>
      <c r="F499">
        <v>1</v>
      </c>
      <c r="G499" t="str">
        <f>T("사약술사")</f>
        <v>사약술사</v>
      </c>
      <c r="J499" t="str">
        <f>T("체셔")</f>
        <v>체셔</v>
      </c>
      <c r="K499" t="str">
        <f>T("[e북]시마르글의 개")</f>
        <v>[e북]시마르글의 개</v>
      </c>
      <c r="L499">
        <v>3300</v>
      </c>
      <c r="M499">
        <v>3300</v>
      </c>
      <c r="N499">
        <v>1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3300</v>
      </c>
      <c r="AJ499">
        <v>1</v>
      </c>
      <c r="AK499">
        <v>0</v>
      </c>
      <c r="AL499">
        <v>0</v>
      </c>
      <c r="AM499">
        <v>3300</v>
      </c>
      <c r="AN499">
        <v>0</v>
      </c>
      <c r="AO499">
        <v>0</v>
      </c>
      <c r="AP499">
        <v>0</v>
      </c>
      <c r="AQ499">
        <v>0</v>
      </c>
      <c r="AS499">
        <v>0</v>
      </c>
      <c r="AT499">
        <v>0</v>
      </c>
      <c r="AV499">
        <v>0</v>
      </c>
      <c r="AW499">
        <v>0</v>
      </c>
      <c r="AY499">
        <v>0</v>
      </c>
      <c r="AZ499">
        <v>0</v>
      </c>
      <c r="BA499">
        <v>2310</v>
      </c>
      <c r="BC499" t="str">
        <f>T("0000000000000")</f>
        <v>0000000000000</v>
      </c>
      <c r="BE499" t="str">
        <f>T("9791164830862")</f>
        <v>9791164830862</v>
      </c>
      <c r="BF499" t="str">
        <f>T("E426532")</f>
        <v>E426532</v>
      </c>
      <c r="BG499" t="str">
        <f>T("BL 소설 e북 &gt; 현대물")</f>
        <v>BL 소설 e북 &gt; 현대물</v>
      </c>
    </row>
    <row r="500" spans="1:59">
      <c r="A500" t="s">
        <v>60</v>
      </c>
      <c r="B500" s="1">
        <v>46130</v>
      </c>
      <c r="C500">
        <v>2378008305</v>
      </c>
      <c r="D500">
        <v>2378008307</v>
      </c>
      <c r="E500" t="str">
        <f>T("[e북]시마르글의 개 2권 (완결)")</f>
        <v>[e북]시마르글의 개 2권 (완결)</v>
      </c>
      <c r="F500">
        <v>2</v>
      </c>
      <c r="G500" t="str">
        <f>T("사약술사")</f>
        <v>사약술사</v>
      </c>
      <c r="J500" t="str">
        <f>T("체셔")</f>
        <v>체셔</v>
      </c>
      <c r="K500" t="str">
        <f>T("[e북]시마르글의 개")</f>
        <v>[e북]시마르글의 개</v>
      </c>
      <c r="L500">
        <v>3300</v>
      </c>
      <c r="M500">
        <v>3300</v>
      </c>
      <c r="N500">
        <v>1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3300</v>
      </c>
      <c r="AJ500">
        <v>1</v>
      </c>
      <c r="AK500">
        <v>0</v>
      </c>
      <c r="AL500">
        <v>0</v>
      </c>
      <c r="AM500">
        <v>3300</v>
      </c>
      <c r="AN500">
        <v>0</v>
      </c>
      <c r="AO500">
        <v>0</v>
      </c>
      <c r="AP500">
        <v>0</v>
      </c>
      <c r="AQ500">
        <v>0</v>
      </c>
      <c r="AS500">
        <v>0</v>
      </c>
      <c r="AT500">
        <v>0</v>
      </c>
      <c r="AV500">
        <v>0</v>
      </c>
      <c r="AW500">
        <v>0</v>
      </c>
      <c r="AY500">
        <v>0</v>
      </c>
      <c r="AZ500">
        <v>0</v>
      </c>
      <c r="BA500">
        <v>2310</v>
      </c>
      <c r="BC500" t="str">
        <f>T("0000000000000")</f>
        <v>0000000000000</v>
      </c>
      <c r="BE500" t="str">
        <f>T("9791164830879")</f>
        <v>9791164830879</v>
      </c>
      <c r="BF500" t="str">
        <f>T("E426533")</f>
        <v>E426533</v>
      </c>
      <c r="BG500" t="str">
        <f>T("BL 소설 e북 &gt; 현대물")</f>
        <v>BL 소설 e북 &gt; 현대물</v>
      </c>
    </row>
    <row r="501" spans="1:59">
      <c r="A501" t="s">
        <v>60</v>
      </c>
      <c r="B501" s="1">
        <v>46129</v>
      </c>
      <c r="C501">
        <v>2378075636</v>
      </c>
      <c r="D501">
        <v>2378075636</v>
      </c>
      <c r="E501" t="str">
        <f>T("[e북]시한부 아이돌이 살아남는 법 1권")</f>
        <v>[e북]시한부 아이돌이 살아남는 법 1권</v>
      </c>
      <c r="F501">
        <v>1</v>
      </c>
      <c r="G501" t="str">
        <f>T("해날")</f>
        <v>해날</v>
      </c>
      <c r="J501" t="str">
        <f>T("매드햇")</f>
        <v>매드햇</v>
      </c>
      <c r="K501" t="str">
        <f>T("[e북]시한부 아이돌이 살아남는 법")</f>
        <v>[e북]시한부 아이돌이 살아남는 법</v>
      </c>
      <c r="L501">
        <v>0</v>
      </c>
      <c r="M501">
        <v>0</v>
      </c>
      <c r="N501">
        <v>0</v>
      </c>
      <c r="O501">
        <v>1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1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S501">
        <v>0</v>
      </c>
      <c r="AT501">
        <v>0</v>
      </c>
      <c r="AV501">
        <v>0</v>
      </c>
      <c r="AW501">
        <v>0</v>
      </c>
      <c r="AY501">
        <v>0</v>
      </c>
      <c r="AZ501">
        <v>0</v>
      </c>
      <c r="BA501">
        <v>0</v>
      </c>
      <c r="BE501" t="str">
        <f>T("9791137010697")</f>
        <v>9791137010697</v>
      </c>
      <c r="BF501" t="str">
        <f>T("D066078")</f>
        <v>D066078</v>
      </c>
      <c r="BG501" t="str">
        <f>T("판타지 e북 &gt; 현대 판타지")</f>
        <v>판타지 e북 &gt; 현대 판타지</v>
      </c>
    </row>
    <row r="502" spans="1:59">
      <c r="A502" t="s">
        <v>60</v>
      </c>
      <c r="B502" s="1">
        <v>46129</v>
      </c>
      <c r="C502">
        <v>2378075636</v>
      </c>
      <c r="D502">
        <v>2378075637</v>
      </c>
      <c r="E502" t="str">
        <f>T("[e북]시한부 아이돌이 살아남는 법 2권")</f>
        <v>[e북]시한부 아이돌이 살아남는 법 2권</v>
      </c>
      <c r="F502">
        <v>2</v>
      </c>
      <c r="G502" t="str">
        <f>T("해날")</f>
        <v>해날</v>
      </c>
      <c r="J502" t="str">
        <f>T("매드햇")</f>
        <v>매드햇</v>
      </c>
      <c r="K502" t="str">
        <f>T("[e북]시한부 아이돌이 살아남는 법")</f>
        <v>[e북]시한부 아이돌이 살아남는 법</v>
      </c>
      <c r="L502">
        <v>3000</v>
      </c>
      <c r="M502">
        <v>3000</v>
      </c>
      <c r="N502">
        <v>1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3000</v>
      </c>
      <c r="AJ502">
        <v>1</v>
      </c>
      <c r="AK502">
        <v>0</v>
      </c>
      <c r="AL502">
        <v>0</v>
      </c>
      <c r="AM502">
        <v>3000</v>
      </c>
      <c r="AN502">
        <v>0</v>
      </c>
      <c r="AO502">
        <v>0</v>
      </c>
      <c r="AP502">
        <v>0</v>
      </c>
      <c r="AQ502">
        <v>0</v>
      </c>
      <c r="AS502">
        <v>0</v>
      </c>
      <c r="AT502">
        <v>0</v>
      </c>
      <c r="AV502">
        <v>0</v>
      </c>
      <c r="AW502">
        <v>0</v>
      </c>
      <c r="AY502">
        <v>0</v>
      </c>
      <c r="AZ502">
        <v>0</v>
      </c>
      <c r="BA502">
        <v>2100</v>
      </c>
      <c r="BE502" t="str">
        <f>T("9791137010703")</f>
        <v>9791137010703</v>
      </c>
      <c r="BF502" t="str">
        <f>T("D066079")</f>
        <v>D066079</v>
      </c>
      <c r="BG502" t="str">
        <f>T("판타지 e북 &gt; 현대 판타지")</f>
        <v>판타지 e북 &gt; 현대 판타지</v>
      </c>
    </row>
    <row r="503" spans="1:59">
      <c r="A503" t="s">
        <v>60</v>
      </c>
      <c r="B503" s="1">
        <v>46129</v>
      </c>
      <c r="C503">
        <v>2378075636</v>
      </c>
      <c r="D503">
        <v>2378075638</v>
      </c>
      <c r="E503" t="str">
        <f>T("[e북]시한부 아이돌이 살아남는 법 3권")</f>
        <v>[e북]시한부 아이돌이 살아남는 법 3권</v>
      </c>
      <c r="F503">
        <v>3</v>
      </c>
      <c r="G503" t="str">
        <f>T("해날")</f>
        <v>해날</v>
      </c>
      <c r="J503" t="str">
        <f>T("매드햇")</f>
        <v>매드햇</v>
      </c>
      <c r="K503" t="str">
        <f>T("[e북]시한부 아이돌이 살아남는 법")</f>
        <v>[e북]시한부 아이돌이 살아남는 법</v>
      </c>
      <c r="L503">
        <v>3000</v>
      </c>
      <c r="M503">
        <v>3000</v>
      </c>
      <c r="N503">
        <v>1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3000</v>
      </c>
      <c r="AJ503">
        <v>1</v>
      </c>
      <c r="AK503">
        <v>0</v>
      </c>
      <c r="AL503">
        <v>0</v>
      </c>
      <c r="AM503">
        <v>3000</v>
      </c>
      <c r="AN503">
        <v>0</v>
      </c>
      <c r="AO503">
        <v>0</v>
      </c>
      <c r="AP503">
        <v>0</v>
      </c>
      <c r="AQ503">
        <v>0</v>
      </c>
      <c r="AS503">
        <v>0</v>
      </c>
      <c r="AT503">
        <v>0</v>
      </c>
      <c r="AV503">
        <v>0</v>
      </c>
      <c r="AW503">
        <v>0</v>
      </c>
      <c r="AY503">
        <v>0</v>
      </c>
      <c r="AZ503">
        <v>0</v>
      </c>
      <c r="BA503">
        <v>2100</v>
      </c>
      <c r="BE503" t="str">
        <f>T("9791137010710")</f>
        <v>9791137010710</v>
      </c>
      <c r="BF503" t="str">
        <f>T("D066080")</f>
        <v>D066080</v>
      </c>
      <c r="BG503" t="str">
        <f>T("판타지 e북 &gt; 현대 판타지")</f>
        <v>판타지 e북 &gt; 현대 판타지</v>
      </c>
    </row>
    <row r="504" spans="1:59">
      <c r="A504" t="s">
        <v>60</v>
      </c>
      <c r="B504" s="1">
        <v>46130</v>
      </c>
      <c r="C504">
        <v>2378075636</v>
      </c>
      <c r="D504">
        <v>2378075636</v>
      </c>
      <c r="E504" t="str">
        <f>T("[e북]시한부 아이돌이 살아남는 법 1권")</f>
        <v>[e북]시한부 아이돌이 살아남는 법 1권</v>
      </c>
      <c r="F504">
        <v>1</v>
      </c>
      <c r="G504" t="str">
        <f>T("해날")</f>
        <v>해날</v>
      </c>
      <c r="J504" t="str">
        <f>T("매드햇")</f>
        <v>매드햇</v>
      </c>
      <c r="K504" t="str">
        <f>T("[e북]시한부 아이돌이 살아남는 법")</f>
        <v>[e북]시한부 아이돌이 살아남는 법</v>
      </c>
      <c r="L504">
        <v>0</v>
      </c>
      <c r="M504">
        <v>0</v>
      </c>
      <c r="N504">
        <v>0</v>
      </c>
      <c r="O504">
        <v>2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2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S504">
        <v>0</v>
      </c>
      <c r="AT504">
        <v>0</v>
      </c>
      <c r="AV504">
        <v>0</v>
      </c>
      <c r="AW504">
        <v>0</v>
      </c>
      <c r="AY504">
        <v>0</v>
      </c>
      <c r="AZ504">
        <v>0</v>
      </c>
      <c r="BA504">
        <v>0</v>
      </c>
      <c r="BE504" t="str">
        <f>T("9791137010697")</f>
        <v>9791137010697</v>
      </c>
      <c r="BF504" t="str">
        <f>T("D066078")</f>
        <v>D066078</v>
      </c>
      <c r="BG504" t="str">
        <f>T("판타지 e북 &gt; 현대 판타지")</f>
        <v>판타지 e북 &gt; 현대 판타지</v>
      </c>
    </row>
    <row r="505" spans="1:59">
      <c r="A505" t="s">
        <v>60</v>
      </c>
      <c r="B505" s="1">
        <v>46129</v>
      </c>
      <c r="C505">
        <v>2378069300</v>
      </c>
      <c r="D505">
        <v>2378069300</v>
      </c>
      <c r="E505" t="str">
        <f>T("[e북]시한부라 은퇴합니다 1권")</f>
        <v>[e북]시한부라 은퇴합니다 1권</v>
      </c>
      <c r="F505">
        <v>1</v>
      </c>
      <c r="G505" t="str">
        <f>T("해달수")</f>
        <v>해달수</v>
      </c>
      <c r="J505" t="str">
        <f>T("매드햇")</f>
        <v>매드햇</v>
      </c>
      <c r="K505" t="str">
        <f>T("[e북]시한부라 은퇴합니다")</f>
        <v>[e북]시한부라 은퇴합니다</v>
      </c>
      <c r="L505">
        <v>0</v>
      </c>
      <c r="M505">
        <v>0</v>
      </c>
      <c r="N505">
        <v>0</v>
      </c>
      <c r="O505">
        <v>2</v>
      </c>
      <c r="P505">
        <v>0</v>
      </c>
      <c r="Q505">
        <v>0</v>
      </c>
      <c r="R505">
        <v>5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7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S505">
        <v>0</v>
      </c>
      <c r="AT505">
        <v>0</v>
      </c>
      <c r="AV505">
        <v>0</v>
      </c>
      <c r="AW505">
        <v>0</v>
      </c>
      <c r="AY505">
        <v>0</v>
      </c>
      <c r="AZ505">
        <v>0</v>
      </c>
      <c r="BA505">
        <v>0</v>
      </c>
      <c r="BE505" t="str">
        <f>T("9791137020702")</f>
        <v>9791137020702</v>
      </c>
      <c r="BF505" t="str">
        <f>T("k402788")</f>
        <v>k402788</v>
      </c>
      <c r="BG505" t="str">
        <f>T("판타지 e북 &gt; 퓨전 판타지")</f>
        <v>판타지 e북 &gt; 퓨전 판타지</v>
      </c>
    </row>
    <row r="506" spans="1:59">
      <c r="A506" t="s">
        <v>60</v>
      </c>
      <c r="B506" s="1">
        <v>46129</v>
      </c>
      <c r="C506">
        <v>2378069300</v>
      </c>
      <c r="D506">
        <v>2378069301</v>
      </c>
      <c r="E506" t="str">
        <f>T("[e북]시한부라 은퇴합니다 2권")</f>
        <v>[e북]시한부라 은퇴합니다 2권</v>
      </c>
      <c r="F506">
        <v>2</v>
      </c>
      <c r="G506" t="str">
        <f>T("해달수")</f>
        <v>해달수</v>
      </c>
      <c r="J506" t="str">
        <f>T("매드햇")</f>
        <v>매드햇</v>
      </c>
      <c r="K506" t="str">
        <f>T("[e북]시한부라 은퇴합니다")</f>
        <v>[e북]시한부라 은퇴합니다</v>
      </c>
      <c r="L506">
        <v>3000</v>
      </c>
      <c r="M506">
        <v>0</v>
      </c>
      <c r="N506">
        <v>0</v>
      </c>
      <c r="O506">
        <v>0</v>
      </c>
      <c r="P506">
        <v>900</v>
      </c>
      <c r="Q506">
        <v>1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900</v>
      </c>
      <c r="AJ506">
        <v>1</v>
      </c>
      <c r="AK506">
        <v>0</v>
      </c>
      <c r="AL506">
        <v>0</v>
      </c>
      <c r="AM506">
        <v>900</v>
      </c>
      <c r="AN506">
        <v>0</v>
      </c>
      <c r="AO506">
        <v>0</v>
      </c>
      <c r="AP506">
        <v>0</v>
      </c>
      <c r="AQ506">
        <v>0</v>
      </c>
      <c r="AS506">
        <v>0</v>
      </c>
      <c r="AT506">
        <v>0</v>
      </c>
      <c r="AV506">
        <v>0</v>
      </c>
      <c r="AW506">
        <v>0</v>
      </c>
      <c r="AY506">
        <v>0</v>
      </c>
      <c r="AZ506">
        <v>0</v>
      </c>
      <c r="BA506">
        <v>540</v>
      </c>
      <c r="BE506" t="str">
        <f>T("9791137020719")</f>
        <v>9791137020719</v>
      </c>
      <c r="BF506" t="str">
        <f>T("k402789")</f>
        <v>k402789</v>
      </c>
      <c r="BG506" t="str">
        <f>T("판타지 e북 &gt; 퓨전 판타지")</f>
        <v>판타지 e북 &gt; 퓨전 판타지</v>
      </c>
    </row>
    <row r="507" spans="1:59">
      <c r="A507" t="s">
        <v>60</v>
      </c>
      <c r="B507" s="1">
        <v>46129</v>
      </c>
      <c r="C507">
        <v>2378069300</v>
      </c>
      <c r="D507">
        <v>2378069302</v>
      </c>
      <c r="E507" t="str">
        <f>T("[e북]시한부라 은퇴합니다 3권")</f>
        <v>[e북]시한부라 은퇴합니다 3권</v>
      </c>
      <c r="F507">
        <v>3</v>
      </c>
      <c r="G507" t="str">
        <f>T("해달수")</f>
        <v>해달수</v>
      </c>
      <c r="J507" t="str">
        <f>T("매드햇")</f>
        <v>매드햇</v>
      </c>
      <c r="K507" t="str">
        <f>T("[e북]시한부라 은퇴합니다")</f>
        <v>[e북]시한부라 은퇴합니다</v>
      </c>
      <c r="L507">
        <v>3000</v>
      </c>
      <c r="M507">
        <v>0</v>
      </c>
      <c r="N507">
        <v>0</v>
      </c>
      <c r="O507">
        <v>0</v>
      </c>
      <c r="P507">
        <v>900</v>
      </c>
      <c r="Q507">
        <v>1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900</v>
      </c>
      <c r="AJ507">
        <v>1</v>
      </c>
      <c r="AK507">
        <v>0</v>
      </c>
      <c r="AL507">
        <v>0</v>
      </c>
      <c r="AM507">
        <v>900</v>
      </c>
      <c r="AN507">
        <v>0</v>
      </c>
      <c r="AO507">
        <v>0</v>
      </c>
      <c r="AP507">
        <v>0</v>
      </c>
      <c r="AQ507">
        <v>0</v>
      </c>
      <c r="AS507">
        <v>0</v>
      </c>
      <c r="AT507">
        <v>0</v>
      </c>
      <c r="AV507">
        <v>0</v>
      </c>
      <c r="AW507">
        <v>0</v>
      </c>
      <c r="AY507">
        <v>0</v>
      </c>
      <c r="AZ507">
        <v>0</v>
      </c>
      <c r="BA507">
        <v>540</v>
      </c>
      <c r="BE507" t="str">
        <f>T("9791137020726")</f>
        <v>9791137020726</v>
      </c>
      <c r="BF507" t="str">
        <f>T("k402790")</f>
        <v>k402790</v>
      </c>
      <c r="BG507" t="str">
        <f>T("판타지 e북 &gt; 퓨전 판타지")</f>
        <v>판타지 e북 &gt; 퓨전 판타지</v>
      </c>
    </row>
    <row r="508" spans="1:59">
      <c r="A508" t="s">
        <v>60</v>
      </c>
      <c r="B508" s="1">
        <v>46129</v>
      </c>
      <c r="C508">
        <v>2378069300</v>
      </c>
      <c r="D508">
        <v>2378069303</v>
      </c>
      <c r="E508" t="str">
        <f>T("[e북]시한부라 은퇴합니다 4권")</f>
        <v>[e북]시한부라 은퇴합니다 4권</v>
      </c>
      <c r="F508">
        <v>4</v>
      </c>
      <c r="G508" t="str">
        <f>T("해달수")</f>
        <v>해달수</v>
      </c>
      <c r="J508" t="str">
        <f>T("매드햇")</f>
        <v>매드햇</v>
      </c>
      <c r="K508" t="str">
        <f>T("[e북]시한부라 은퇴합니다")</f>
        <v>[e북]시한부라 은퇴합니다</v>
      </c>
      <c r="L508">
        <v>3000</v>
      </c>
      <c r="M508">
        <v>0</v>
      </c>
      <c r="N508">
        <v>0</v>
      </c>
      <c r="O508">
        <v>0</v>
      </c>
      <c r="P508">
        <v>900</v>
      </c>
      <c r="Q508">
        <v>1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900</v>
      </c>
      <c r="AJ508">
        <v>1</v>
      </c>
      <c r="AK508">
        <v>0</v>
      </c>
      <c r="AL508">
        <v>0</v>
      </c>
      <c r="AM508">
        <v>900</v>
      </c>
      <c r="AN508">
        <v>0</v>
      </c>
      <c r="AO508">
        <v>0</v>
      </c>
      <c r="AP508">
        <v>0</v>
      </c>
      <c r="AQ508">
        <v>0</v>
      </c>
      <c r="AS508">
        <v>0</v>
      </c>
      <c r="AT508">
        <v>0</v>
      </c>
      <c r="AV508">
        <v>0</v>
      </c>
      <c r="AW508">
        <v>0</v>
      </c>
      <c r="AY508">
        <v>0</v>
      </c>
      <c r="AZ508">
        <v>0</v>
      </c>
      <c r="BA508">
        <v>540</v>
      </c>
      <c r="BE508" t="str">
        <f>T("9791137020733")</f>
        <v>9791137020733</v>
      </c>
      <c r="BF508" t="str">
        <f>T("k402791")</f>
        <v>k402791</v>
      </c>
      <c r="BG508" t="str">
        <f>T("판타지 e북 &gt; 퓨전 판타지")</f>
        <v>판타지 e북 &gt; 퓨전 판타지</v>
      </c>
    </row>
    <row r="509" spans="1:59">
      <c r="A509" t="s">
        <v>60</v>
      </c>
      <c r="B509" s="1">
        <v>46129</v>
      </c>
      <c r="C509">
        <v>2378069300</v>
      </c>
      <c r="D509">
        <v>2378069304</v>
      </c>
      <c r="E509" t="str">
        <f>T("[e북]시한부라 은퇴합니다 5권")</f>
        <v>[e북]시한부라 은퇴합니다 5권</v>
      </c>
      <c r="F509">
        <v>5</v>
      </c>
      <c r="G509" t="str">
        <f>T("해달수")</f>
        <v>해달수</v>
      </c>
      <c r="J509" t="str">
        <f>T("매드햇")</f>
        <v>매드햇</v>
      </c>
      <c r="K509" t="str">
        <f>T("[e북]시한부라 은퇴합니다")</f>
        <v>[e북]시한부라 은퇴합니다</v>
      </c>
      <c r="L509">
        <v>3000</v>
      </c>
      <c r="M509">
        <v>0</v>
      </c>
      <c r="N509">
        <v>0</v>
      </c>
      <c r="O509">
        <v>0</v>
      </c>
      <c r="P509">
        <v>900</v>
      </c>
      <c r="Q509">
        <v>1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900</v>
      </c>
      <c r="AJ509">
        <v>1</v>
      </c>
      <c r="AK509">
        <v>0</v>
      </c>
      <c r="AL509">
        <v>0</v>
      </c>
      <c r="AM509">
        <v>900</v>
      </c>
      <c r="AN509">
        <v>0</v>
      </c>
      <c r="AO509">
        <v>0</v>
      </c>
      <c r="AP509">
        <v>0</v>
      </c>
      <c r="AQ509">
        <v>0</v>
      </c>
      <c r="AS509">
        <v>0</v>
      </c>
      <c r="AT509">
        <v>0</v>
      </c>
      <c r="AV509">
        <v>0</v>
      </c>
      <c r="AW509">
        <v>0</v>
      </c>
      <c r="AY509">
        <v>0</v>
      </c>
      <c r="AZ509">
        <v>0</v>
      </c>
      <c r="BA509">
        <v>540</v>
      </c>
      <c r="BE509" t="str">
        <f>T("9791137020740")</f>
        <v>9791137020740</v>
      </c>
      <c r="BF509" t="str">
        <f>T("k402792")</f>
        <v>k402792</v>
      </c>
      <c r="BG509" t="str">
        <f>T("판타지 e북 &gt; 퓨전 판타지")</f>
        <v>판타지 e북 &gt; 퓨전 판타지</v>
      </c>
    </row>
    <row r="510" spans="1:59">
      <c r="A510" t="s">
        <v>60</v>
      </c>
      <c r="B510" s="1">
        <v>46129</v>
      </c>
      <c r="C510">
        <v>2378069300</v>
      </c>
      <c r="D510">
        <v>2378069305</v>
      </c>
      <c r="E510" t="str">
        <f>T("[e북]시한부라 은퇴합니다 6권")</f>
        <v>[e북]시한부라 은퇴합니다 6권</v>
      </c>
      <c r="F510">
        <v>6</v>
      </c>
      <c r="G510" t="str">
        <f>T("해달수")</f>
        <v>해달수</v>
      </c>
      <c r="J510" t="str">
        <f>T("매드햇")</f>
        <v>매드햇</v>
      </c>
      <c r="K510" t="str">
        <f>T("[e북]시한부라 은퇴합니다")</f>
        <v>[e북]시한부라 은퇴합니다</v>
      </c>
      <c r="L510">
        <v>3000</v>
      </c>
      <c r="M510">
        <v>0</v>
      </c>
      <c r="N510">
        <v>0</v>
      </c>
      <c r="O510">
        <v>0</v>
      </c>
      <c r="P510">
        <v>900</v>
      </c>
      <c r="Q510">
        <v>1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900</v>
      </c>
      <c r="AJ510">
        <v>1</v>
      </c>
      <c r="AK510">
        <v>0</v>
      </c>
      <c r="AL510">
        <v>0</v>
      </c>
      <c r="AM510">
        <v>900</v>
      </c>
      <c r="AN510">
        <v>0</v>
      </c>
      <c r="AO510">
        <v>0</v>
      </c>
      <c r="AP510">
        <v>0</v>
      </c>
      <c r="AQ510">
        <v>0</v>
      </c>
      <c r="AS510">
        <v>0</v>
      </c>
      <c r="AT510">
        <v>0</v>
      </c>
      <c r="AV510">
        <v>0</v>
      </c>
      <c r="AW510">
        <v>0</v>
      </c>
      <c r="AY510">
        <v>0</v>
      </c>
      <c r="AZ510">
        <v>0</v>
      </c>
      <c r="BA510">
        <v>540</v>
      </c>
      <c r="BE510" t="str">
        <f>T("9791137020757")</f>
        <v>9791137020757</v>
      </c>
      <c r="BF510" t="str">
        <f>T("k402793")</f>
        <v>k402793</v>
      </c>
      <c r="BG510" t="str">
        <f>T("판타지 e북 &gt; 퓨전 판타지")</f>
        <v>판타지 e북 &gt; 퓨전 판타지</v>
      </c>
    </row>
    <row r="511" spans="1:59">
      <c r="A511" t="s">
        <v>60</v>
      </c>
      <c r="B511" s="1">
        <v>46129</v>
      </c>
      <c r="C511">
        <v>2378069300</v>
      </c>
      <c r="D511">
        <v>2378069306</v>
      </c>
      <c r="E511" t="str">
        <f>T("[e북]시한부라 은퇴합니다 7권")</f>
        <v>[e북]시한부라 은퇴합니다 7권</v>
      </c>
      <c r="F511">
        <v>7</v>
      </c>
      <c r="G511" t="str">
        <f>T("해달수")</f>
        <v>해달수</v>
      </c>
      <c r="J511" t="str">
        <f>T("매드햇")</f>
        <v>매드햇</v>
      </c>
      <c r="K511" t="str">
        <f>T("[e북]시한부라 은퇴합니다")</f>
        <v>[e북]시한부라 은퇴합니다</v>
      </c>
      <c r="L511">
        <v>3000</v>
      </c>
      <c r="M511">
        <v>0</v>
      </c>
      <c r="N511">
        <v>0</v>
      </c>
      <c r="O511">
        <v>0</v>
      </c>
      <c r="P511">
        <v>900</v>
      </c>
      <c r="Q511">
        <v>1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900</v>
      </c>
      <c r="AJ511">
        <v>1</v>
      </c>
      <c r="AK511">
        <v>0</v>
      </c>
      <c r="AL511">
        <v>0</v>
      </c>
      <c r="AM511">
        <v>900</v>
      </c>
      <c r="AN511">
        <v>0</v>
      </c>
      <c r="AO511">
        <v>0</v>
      </c>
      <c r="AP511">
        <v>0</v>
      </c>
      <c r="AQ511">
        <v>0</v>
      </c>
      <c r="AS511">
        <v>0</v>
      </c>
      <c r="AT511">
        <v>0</v>
      </c>
      <c r="AV511">
        <v>0</v>
      </c>
      <c r="AW511">
        <v>0</v>
      </c>
      <c r="AY511">
        <v>0</v>
      </c>
      <c r="AZ511">
        <v>0</v>
      </c>
      <c r="BA511">
        <v>540</v>
      </c>
      <c r="BE511" t="str">
        <f>T("9791137020764")</f>
        <v>9791137020764</v>
      </c>
      <c r="BF511" t="str">
        <f>T("k402794")</f>
        <v>k402794</v>
      </c>
      <c r="BG511" t="str">
        <f>T("판타지 e북 &gt; 퓨전 판타지")</f>
        <v>판타지 e북 &gt; 퓨전 판타지</v>
      </c>
    </row>
    <row r="512" spans="1:59">
      <c r="A512" t="s">
        <v>60</v>
      </c>
      <c r="B512" s="1">
        <v>46129</v>
      </c>
      <c r="C512">
        <v>2378069300</v>
      </c>
      <c r="D512">
        <v>2378069307</v>
      </c>
      <c r="E512" t="str">
        <f>T("[e북]시한부라 은퇴합니다 8권")</f>
        <v>[e북]시한부라 은퇴합니다 8권</v>
      </c>
      <c r="F512">
        <v>8</v>
      </c>
      <c r="G512" t="str">
        <f>T("해달수")</f>
        <v>해달수</v>
      </c>
      <c r="J512" t="str">
        <f>T("매드햇")</f>
        <v>매드햇</v>
      </c>
      <c r="K512" t="str">
        <f>T("[e북]시한부라 은퇴합니다")</f>
        <v>[e북]시한부라 은퇴합니다</v>
      </c>
      <c r="L512">
        <v>3000</v>
      </c>
      <c r="M512">
        <v>0</v>
      </c>
      <c r="N512">
        <v>0</v>
      </c>
      <c r="O512">
        <v>0</v>
      </c>
      <c r="P512">
        <v>900</v>
      </c>
      <c r="Q512">
        <v>1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900</v>
      </c>
      <c r="AJ512">
        <v>1</v>
      </c>
      <c r="AK512">
        <v>0</v>
      </c>
      <c r="AL512">
        <v>0</v>
      </c>
      <c r="AM512">
        <v>900</v>
      </c>
      <c r="AN512">
        <v>0</v>
      </c>
      <c r="AO512">
        <v>0</v>
      </c>
      <c r="AP512">
        <v>0</v>
      </c>
      <c r="AQ512">
        <v>0</v>
      </c>
      <c r="AS512">
        <v>0</v>
      </c>
      <c r="AT512">
        <v>0</v>
      </c>
      <c r="AV512">
        <v>0</v>
      </c>
      <c r="AW512">
        <v>0</v>
      </c>
      <c r="AY512">
        <v>0</v>
      </c>
      <c r="AZ512">
        <v>0</v>
      </c>
      <c r="BA512">
        <v>540</v>
      </c>
      <c r="BE512" t="str">
        <f>T("9791137020771")</f>
        <v>9791137020771</v>
      </c>
      <c r="BF512" t="str">
        <f>T("k402795")</f>
        <v>k402795</v>
      </c>
      <c r="BG512" t="str">
        <f>T("판타지 e북 &gt; 퓨전 판타지")</f>
        <v>판타지 e북 &gt; 퓨전 판타지</v>
      </c>
    </row>
    <row r="513" spans="1:59">
      <c r="A513" t="s">
        <v>60</v>
      </c>
      <c r="B513" s="1">
        <v>46129</v>
      </c>
      <c r="C513">
        <v>2378069300</v>
      </c>
      <c r="D513">
        <v>2378069308</v>
      </c>
      <c r="E513" t="str">
        <f>T("[e북]시한부라 은퇴합니다 9권")</f>
        <v>[e북]시한부라 은퇴합니다 9권</v>
      </c>
      <c r="F513">
        <v>9</v>
      </c>
      <c r="G513" t="str">
        <f>T("해달수")</f>
        <v>해달수</v>
      </c>
      <c r="J513" t="str">
        <f>T("매드햇")</f>
        <v>매드햇</v>
      </c>
      <c r="K513" t="str">
        <f>T("[e북]시한부라 은퇴합니다")</f>
        <v>[e북]시한부라 은퇴합니다</v>
      </c>
      <c r="L513">
        <v>3000</v>
      </c>
      <c r="M513">
        <v>0</v>
      </c>
      <c r="N513">
        <v>0</v>
      </c>
      <c r="O513">
        <v>0</v>
      </c>
      <c r="P513">
        <v>900</v>
      </c>
      <c r="Q513">
        <v>1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900</v>
      </c>
      <c r="AJ513">
        <v>1</v>
      </c>
      <c r="AK513">
        <v>0</v>
      </c>
      <c r="AL513">
        <v>0</v>
      </c>
      <c r="AM513">
        <v>900</v>
      </c>
      <c r="AN513">
        <v>0</v>
      </c>
      <c r="AO513">
        <v>0</v>
      </c>
      <c r="AP513">
        <v>0</v>
      </c>
      <c r="AQ513">
        <v>0</v>
      </c>
      <c r="AS513">
        <v>0</v>
      </c>
      <c r="AT513">
        <v>0</v>
      </c>
      <c r="AV513">
        <v>0</v>
      </c>
      <c r="AW513">
        <v>0</v>
      </c>
      <c r="AY513">
        <v>0</v>
      </c>
      <c r="AZ513">
        <v>0</v>
      </c>
      <c r="BA513">
        <v>540</v>
      </c>
      <c r="BE513" t="str">
        <f>T("9791137020788")</f>
        <v>9791137020788</v>
      </c>
      <c r="BF513" t="str">
        <f>T("k402796")</f>
        <v>k402796</v>
      </c>
      <c r="BG513" t="str">
        <f>T("판타지 e북 &gt; 퓨전 판타지")</f>
        <v>판타지 e북 &gt; 퓨전 판타지</v>
      </c>
    </row>
    <row r="514" spans="1:59">
      <c r="A514" t="s">
        <v>60</v>
      </c>
      <c r="B514" s="1">
        <v>46129</v>
      </c>
      <c r="C514">
        <v>2378069300</v>
      </c>
      <c r="D514">
        <v>2378069309</v>
      </c>
      <c r="E514" t="str">
        <f>T("[e북]시한부라 은퇴합니다 10권 (완결)")</f>
        <v>[e북]시한부라 은퇴합니다 10권 (완결)</v>
      </c>
      <c r="F514">
        <v>10</v>
      </c>
      <c r="G514" t="str">
        <f>T("해달수")</f>
        <v>해달수</v>
      </c>
      <c r="J514" t="str">
        <f>T("매드햇")</f>
        <v>매드햇</v>
      </c>
      <c r="K514" t="str">
        <f>T("[e북]시한부라 은퇴합니다")</f>
        <v>[e북]시한부라 은퇴합니다</v>
      </c>
      <c r="L514">
        <v>3000</v>
      </c>
      <c r="M514">
        <v>0</v>
      </c>
      <c r="N514">
        <v>0</v>
      </c>
      <c r="O514">
        <v>0</v>
      </c>
      <c r="P514">
        <v>900</v>
      </c>
      <c r="Q514">
        <v>1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900</v>
      </c>
      <c r="AJ514">
        <v>1</v>
      </c>
      <c r="AK514">
        <v>0</v>
      </c>
      <c r="AL514">
        <v>0</v>
      </c>
      <c r="AM514">
        <v>900</v>
      </c>
      <c r="AN514">
        <v>0</v>
      </c>
      <c r="AO514">
        <v>0</v>
      </c>
      <c r="AP514">
        <v>0</v>
      </c>
      <c r="AQ514">
        <v>0</v>
      </c>
      <c r="AS514">
        <v>0</v>
      </c>
      <c r="AT514">
        <v>0</v>
      </c>
      <c r="AV514">
        <v>0</v>
      </c>
      <c r="AW514">
        <v>0</v>
      </c>
      <c r="AY514">
        <v>0</v>
      </c>
      <c r="AZ514">
        <v>0</v>
      </c>
      <c r="BA514">
        <v>540</v>
      </c>
      <c r="BE514" t="str">
        <f>T("9791137020795")</f>
        <v>9791137020795</v>
      </c>
      <c r="BF514" t="str">
        <f>T("k402797")</f>
        <v>k402797</v>
      </c>
      <c r="BG514" t="str">
        <f>T("판타지 e북 &gt; 퓨전 판타지")</f>
        <v>판타지 e북 &gt; 퓨전 판타지</v>
      </c>
    </row>
    <row r="515" spans="1:59">
      <c r="A515" t="s">
        <v>60</v>
      </c>
      <c r="B515" s="1">
        <v>46130</v>
      </c>
      <c r="C515">
        <v>2378069300</v>
      </c>
      <c r="D515">
        <v>2378069300</v>
      </c>
      <c r="E515" t="str">
        <f>T("[e북]시한부라 은퇴합니다 1권")</f>
        <v>[e북]시한부라 은퇴합니다 1권</v>
      </c>
      <c r="F515">
        <v>1</v>
      </c>
      <c r="G515" t="str">
        <f>T("해달수")</f>
        <v>해달수</v>
      </c>
      <c r="J515" t="str">
        <f>T("매드햇")</f>
        <v>매드햇</v>
      </c>
      <c r="K515" t="str">
        <f>T("[e북]시한부라 은퇴합니다")</f>
        <v>[e북]시한부라 은퇴합니다</v>
      </c>
      <c r="L515">
        <v>0</v>
      </c>
      <c r="M515">
        <v>0</v>
      </c>
      <c r="N515">
        <v>0</v>
      </c>
      <c r="O515">
        <v>1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1</v>
      </c>
      <c r="AK515">
        <v>0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S515">
        <v>0</v>
      </c>
      <c r="AT515">
        <v>0</v>
      </c>
      <c r="AV515">
        <v>0</v>
      </c>
      <c r="AW515">
        <v>0</v>
      </c>
      <c r="AY515">
        <v>0</v>
      </c>
      <c r="AZ515">
        <v>0</v>
      </c>
      <c r="BA515">
        <v>0</v>
      </c>
      <c r="BE515" t="str">
        <f>T("9791137020702")</f>
        <v>9791137020702</v>
      </c>
      <c r="BF515" t="str">
        <f>T("k402788")</f>
        <v>k402788</v>
      </c>
      <c r="BG515" t="str">
        <f>T("판타지 e북 &gt; 퓨전 판타지")</f>
        <v>판타지 e북 &gt; 퓨전 판타지</v>
      </c>
    </row>
    <row r="516" spans="1:59">
      <c r="A516" t="s">
        <v>60</v>
      </c>
      <c r="B516" s="1">
        <v>46131</v>
      </c>
      <c r="C516">
        <v>2378069300</v>
      </c>
      <c r="D516">
        <v>2378069300</v>
      </c>
      <c r="E516" t="str">
        <f>T("[e북]시한부라 은퇴합니다 1권")</f>
        <v>[e북]시한부라 은퇴합니다 1권</v>
      </c>
      <c r="F516">
        <v>1</v>
      </c>
      <c r="G516" t="str">
        <f>T("해달수")</f>
        <v>해달수</v>
      </c>
      <c r="J516" t="str">
        <f>T("매드햇")</f>
        <v>매드햇</v>
      </c>
      <c r="K516" t="str">
        <f>T("[e북]시한부라 은퇴합니다")</f>
        <v>[e북]시한부라 은퇴합니다</v>
      </c>
      <c r="L516">
        <v>0</v>
      </c>
      <c r="M516">
        <v>0</v>
      </c>
      <c r="N516">
        <v>0</v>
      </c>
      <c r="O516">
        <v>2</v>
      </c>
      <c r="P516">
        <v>0</v>
      </c>
      <c r="Q516">
        <v>0</v>
      </c>
      <c r="R516">
        <v>3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5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S516">
        <v>0</v>
      </c>
      <c r="AT516">
        <v>0</v>
      </c>
      <c r="AV516">
        <v>0</v>
      </c>
      <c r="AW516">
        <v>0</v>
      </c>
      <c r="AY516">
        <v>0</v>
      </c>
      <c r="AZ516">
        <v>0</v>
      </c>
      <c r="BA516">
        <v>0</v>
      </c>
      <c r="BE516" t="str">
        <f>T("9791137020702")</f>
        <v>9791137020702</v>
      </c>
      <c r="BF516" t="str">
        <f>T("k402788")</f>
        <v>k402788</v>
      </c>
      <c r="BG516" t="str">
        <f>T("판타지 e북 &gt; 퓨전 판타지")</f>
        <v>판타지 e북 &gt; 퓨전 판타지</v>
      </c>
    </row>
    <row r="517" spans="1:59">
      <c r="A517" t="s">
        <v>60</v>
      </c>
      <c r="B517" s="1">
        <v>46131</v>
      </c>
      <c r="C517">
        <v>2378069300</v>
      </c>
      <c r="D517">
        <v>2378069301</v>
      </c>
      <c r="E517" t="str">
        <f>T("[e북]시한부라 은퇴합니다 2권")</f>
        <v>[e북]시한부라 은퇴합니다 2권</v>
      </c>
      <c r="F517">
        <v>2</v>
      </c>
      <c r="G517" t="str">
        <f>T("해달수")</f>
        <v>해달수</v>
      </c>
      <c r="J517" t="str">
        <f>T("매드햇")</f>
        <v>매드햇</v>
      </c>
      <c r="K517" t="str">
        <f>T("[e북]시한부라 은퇴합니다")</f>
        <v>[e북]시한부라 은퇴합니다</v>
      </c>
      <c r="L517">
        <v>3000</v>
      </c>
      <c r="M517">
        <v>0</v>
      </c>
      <c r="N517">
        <v>0</v>
      </c>
      <c r="O517">
        <v>0</v>
      </c>
      <c r="P517">
        <v>630</v>
      </c>
      <c r="Q517">
        <v>1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630</v>
      </c>
      <c r="AJ517">
        <v>1</v>
      </c>
      <c r="AK517">
        <v>0</v>
      </c>
      <c r="AL517">
        <v>0</v>
      </c>
      <c r="AM517">
        <v>630</v>
      </c>
      <c r="AN517">
        <v>0</v>
      </c>
      <c r="AO517">
        <v>0</v>
      </c>
      <c r="AP517">
        <v>0</v>
      </c>
      <c r="AQ517">
        <v>0</v>
      </c>
      <c r="AS517">
        <v>0</v>
      </c>
      <c r="AT517">
        <v>0</v>
      </c>
      <c r="AV517">
        <v>0</v>
      </c>
      <c r="AW517">
        <v>0</v>
      </c>
      <c r="AY517">
        <v>0</v>
      </c>
      <c r="AZ517">
        <v>0</v>
      </c>
      <c r="BA517">
        <v>378</v>
      </c>
      <c r="BE517" t="str">
        <f>T("9791137020719")</f>
        <v>9791137020719</v>
      </c>
      <c r="BF517" t="str">
        <f>T("k402789")</f>
        <v>k402789</v>
      </c>
      <c r="BG517" t="str">
        <f>T("판타지 e북 &gt; 퓨전 판타지")</f>
        <v>판타지 e북 &gt; 퓨전 판타지</v>
      </c>
    </row>
    <row r="518" spans="1:59">
      <c r="A518" t="s">
        <v>60</v>
      </c>
      <c r="B518" s="1">
        <v>46131</v>
      </c>
      <c r="C518">
        <v>2378069300</v>
      </c>
      <c r="D518">
        <v>2378069302</v>
      </c>
      <c r="E518" t="str">
        <f>T("[e북]시한부라 은퇴합니다 3권")</f>
        <v>[e북]시한부라 은퇴합니다 3권</v>
      </c>
      <c r="F518">
        <v>3</v>
      </c>
      <c r="G518" t="str">
        <f>T("해달수")</f>
        <v>해달수</v>
      </c>
      <c r="J518" t="str">
        <f>T("매드햇")</f>
        <v>매드햇</v>
      </c>
      <c r="K518" t="str">
        <f>T("[e북]시한부라 은퇴합니다")</f>
        <v>[e북]시한부라 은퇴합니다</v>
      </c>
      <c r="L518">
        <v>3000</v>
      </c>
      <c r="M518">
        <v>0</v>
      </c>
      <c r="N518">
        <v>0</v>
      </c>
      <c r="O518">
        <v>0</v>
      </c>
      <c r="P518">
        <v>630</v>
      </c>
      <c r="Q518">
        <v>1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630</v>
      </c>
      <c r="AJ518">
        <v>1</v>
      </c>
      <c r="AK518">
        <v>0</v>
      </c>
      <c r="AL518">
        <v>0</v>
      </c>
      <c r="AM518">
        <v>630</v>
      </c>
      <c r="AN518">
        <v>0</v>
      </c>
      <c r="AO518">
        <v>0</v>
      </c>
      <c r="AP518">
        <v>0</v>
      </c>
      <c r="AQ518">
        <v>0</v>
      </c>
      <c r="AS518">
        <v>0</v>
      </c>
      <c r="AT518">
        <v>0</v>
      </c>
      <c r="AV518">
        <v>0</v>
      </c>
      <c r="AW518">
        <v>0</v>
      </c>
      <c r="AY518">
        <v>0</v>
      </c>
      <c r="AZ518">
        <v>0</v>
      </c>
      <c r="BA518">
        <v>378</v>
      </c>
      <c r="BE518" t="str">
        <f>T("9791137020726")</f>
        <v>9791137020726</v>
      </c>
      <c r="BF518" t="str">
        <f>T("k402790")</f>
        <v>k402790</v>
      </c>
      <c r="BG518" t="str">
        <f>T("판타지 e북 &gt; 퓨전 판타지")</f>
        <v>판타지 e북 &gt; 퓨전 판타지</v>
      </c>
    </row>
    <row r="519" spans="1:59">
      <c r="A519" t="s">
        <v>60</v>
      </c>
      <c r="B519" s="1">
        <v>46131</v>
      </c>
      <c r="C519">
        <v>2378069300</v>
      </c>
      <c r="D519">
        <v>2378069303</v>
      </c>
      <c r="E519" t="str">
        <f>T("[e북]시한부라 은퇴합니다 4권")</f>
        <v>[e북]시한부라 은퇴합니다 4권</v>
      </c>
      <c r="F519">
        <v>4</v>
      </c>
      <c r="G519" t="str">
        <f>T("해달수")</f>
        <v>해달수</v>
      </c>
      <c r="J519" t="str">
        <f>T("매드햇")</f>
        <v>매드햇</v>
      </c>
      <c r="K519" t="str">
        <f>T("[e북]시한부라 은퇴합니다")</f>
        <v>[e북]시한부라 은퇴합니다</v>
      </c>
      <c r="L519">
        <v>3000</v>
      </c>
      <c r="M519">
        <v>0</v>
      </c>
      <c r="N519">
        <v>0</v>
      </c>
      <c r="O519">
        <v>0</v>
      </c>
      <c r="P519">
        <v>630</v>
      </c>
      <c r="Q519">
        <v>1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630</v>
      </c>
      <c r="AJ519">
        <v>1</v>
      </c>
      <c r="AK519">
        <v>0</v>
      </c>
      <c r="AL519">
        <v>0</v>
      </c>
      <c r="AM519">
        <v>630</v>
      </c>
      <c r="AN519">
        <v>0</v>
      </c>
      <c r="AO519">
        <v>0</v>
      </c>
      <c r="AP519">
        <v>0</v>
      </c>
      <c r="AQ519">
        <v>0</v>
      </c>
      <c r="AS519">
        <v>0</v>
      </c>
      <c r="AT519">
        <v>0</v>
      </c>
      <c r="AV519">
        <v>0</v>
      </c>
      <c r="AW519">
        <v>0</v>
      </c>
      <c r="AY519">
        <v>0</v>
      </c>
      <c r="AZ519">
        <v>0</v>
      </c>
      <c r="BA519">
        <v>378</v>
      </c>
      <c r="BE519" t="str">
        <f>T("9791137020733")</f>
        <v>9791137020733</v>
      </c>
      <c r="BF519" t="str">
        <f>T("k402791")</f>
        <v>k402791</v>
      </c>
      <c r="BG519" t="str">
        <f>T("판타지 e북 &gt; 퓨전 판타지")</f>
        <v>판타지 e북 &gt; 퓨전 판타지</v>
      </c>
    </row>
    <row r="520" spans="1:59">
      <c r="A520" t="s">
        <v>60</v>
      </c>
      <c r="B520" s="1">
        <v>46131</v>
      </c>
      <c r="C520">
        <v>2378069300</v>
      </c>
      <c r="D520">
        <v>2378069304</v>
      </c>
      <c r="E520" t="str">
        <f>T("[e북]시한부라 은퇴합니다 5권")</f>
        <v>[e북]시한부라 은퇴합니다 5권</v>
      </c>
      <c r="F520">
        <v>5</v>
      </c>
      <c r="G520" t="str">
        <f>T("해달수")</f>
        <v>해달수</v>
      </c>
      <c r="J520" t="str">
        <f>T("매드햇")</f>
        <v>매드햇</v>
      </c>
      <c r="K520" t="str">
        <f>T("[e북]시한부라 은퇴합니다")</f>
        <v>[e북]시한부라 은퇴합니다</v>
      </c>
      <c r="L520">
        <v>3000</v>
      </c>
      <c r="M520">
        <v>0</v>
      </c>
      <c r="N520">
        <v>0</v>
      </c>
      <c r="O520">
        <v>0</v>
      </c>
      <c r="P520">
        <v>630</v>
      </c>
      <c r="Q520">
        <v>1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630</v>
      </c>
      <c r="AJ520">
        <v>1</v>
      </c>
      <c r="AK520">
        <v>0</v>
      </c>
      <c r="AL520">
        <v>0</v>
      </c>
      <c r="AM520">
        <v>630</v>
      </c>
      <c r="AN520">
        <v>0</v>
      </c>
      <c r="AO520">
        <v>0</v>
      </c>
      <c r="AP520">
        <v>0</v>
      </c>
      <c r="AQ520">
        <v>0</v>
      </c>
      <c r="AS520">
        <v>0</v>
      </c>
      <c r="AT520">
        <v>0</v>
      </c>
      <c r="AV520">
        <v>0</v>
      </c>
      <c r="AW520">
        <v>0</v>
      </c>
      <c r="AY520">
        <v>0</v>
      </c>
      <c r="AZ520">
        <v>0</v>
      </c>
      <c r="BA520">
        <v>378</v>
      </c>
      <c r="BE520" t="str">
        <f>T("9791137020740")</f>
        <v>9791137020740</v>
      </c>
      <c r="BF520" t="str">
        <f>T("k402792")</f>
        <v>k402792</v>
      </c>
      <c r="BG520" t="str">
        <f>T("판타지 e북 &gt; 퓨전 판타지")</f>
        <v>판타지 e북 &gt; 퓨전 판타지</v>
      </c>
    </row>
    <row r="521" spans="1:59">
      <c r="A521" t="s">
        <v>60</v>
      </c>
      <c r="B521" s="1">
        <v>46131</v>
      </c>
      <c r="C521">
        <v>2378069300</v>
      </c>
      <c r="D521">
        <v>2378069305</v>
      </c>
      <c r="E521" t="str">
        <f>T("[e북]시한부라 은퇴합니다 6권")</f>
        <v>[e북]시한부라 은퇴합니다 6권</v>
      </c>
      <c r="F521">
        <v>6</v>
      </c>
      <c r="G521" t="str">
        <f>T("해달수")</f>
        <v>해달수</v>
      </c>
      <c r="J521" t="str">
        <f>T("매드햇")</f>
        <v>매드햇</v>
      </c>
      <c r="K521" t="str">
        <f>T("[e북]시한부라 은퇴합니다")</f>
        <v>[e북]시한부라 은퇴합니다</v>
      </c>
      <c r="L521">
        <v>3000</v>
      </c>
      <c r="M521">
        <v>0</v>
      </c>
      <c r="N521">
        <v>0</v>
      </c>
      <c r="O521">
        <v>0</v>
      </c>
      <c r="P521">
        <v>630</v>
      </c>
      <c r="Q521">
        <v>1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630</v>
      </c>
      <c r="AJ521">
        <v>1</v>
      </c>
      <c r="AK521">
        <v>0</v>
      </c>
      <c r="AL521">
        <v>0</v>
      </c>
      <c r="AM521">
        <v>630</v>
      </c>
      <c r="AN521">
        <v>0</v>
      </c>
      <c r="AO521">
        <v>0</v>
      </c>
      <c r="AP521">
        <v>0</v>
      </c>
      <c r="AQ521">
        <v>0</v>
      </c>
      <c r="AS521">
        <v>0</v>
      </c>
      <c r="AT521">
        <v>0</v>
      </c>
      <c r="AV521">
        <v>0</v>
      </c>
      <c r="AW521">
        <v>0</v>
      </c>
      <c r="AY521">
        <v>0</v>
      </c>
      <c r="AZ521">
        <v>0</v>
      </c>
      <c r="BA521">
        <v>378</v>
      </c>
      <c r="BE521" t="str">
        <f>T("9791137020757")</f>
        <v>9791137020757</v>
      </c>
      <c r="BF521" t="str">
        <f>T("k402793")</f>
        <v>k402793</v>
      </c>
      <c r="BG521" t="str">
        <f>T("판타지 e북 &gt; 퓨전 판타지")</f>
        <v>판타지 e북 &gt; 퓨전 판타지</v>
      </c>
    </row>
    <row r="522" spans="1:59">
      <c r="A522" t="s">
        <v>60</v>
      </c>
      <c r="B522" s="1">
        <v>46131</v>
      </c>
      <c r="C522">
        <v>2378069300</v>
      </c>
      <c r="D522">
        <v>2378069306</v>
      </c>
      <c r="E522" t="str">
        <f>T("[e북]시한부라 은퇴합니다 7권")</f>
        <v>[e북]시한부라 은퇴합니다 7권</v>
      </c>
      <c r="F522">
        <v>7</v>
      </c>
      <c r="G522" t="str">
        <f>T("해달수")</f>
        <v>해달수</v>
      </c>
      <c r="J522" t="str">
        <f>T("매드햇")</f>
        <v>매드햇</v>
      </c>
      <c r="K522" t="str">
        <f>T("[e북]시한부라 은퇴합니다")</f>
        <v>[e북]시한부라 은퇴합니다</v>
      </c>
      <c r="L522">
        <v>3000</v>
      </c>
      <c r="M522">
        <v>0</v>
      </c>
      <c r="N522">
        <v>0</v>
      </c>
      <c r="O522">
        <v>0</v>
      </c>
      <c r="P522">
        <v>630</v>
      </c>
      <c r="Q522">
        <v>1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630</v>
      </c>
      <c r="AJ522">
        <v>1</v>
      </c>
      <c r="AK522">
        <v>0</v>
      </c>
      <c r="AL522">
        <v>0</v>
      </c>
      <c r="AM522">
        <v>630</v>
      </c>
      <c r="AN522">
        <v>0</v>
      </c>
      <c r="AO522">
        <v>0</v>
      </c>
      <c r="AP522">
        <v>0</v>
      </c>
      <c r="AQ522">
        <v>0</v>
      </c>
      <c r="AS522">
        <v>0</v>
      </c>
      <c r="AT522">
        <v>0</v>
      </c>
      <c r="AV522">
        <v>0</v>
      </c>
      <c r="AW522">
        <v>0</v>
      </c>
      <c r="AY522">
        <v>0</v>
      </c>
      <c r="AZ522">
        <v>0</v>
      </c>
      <c r="BA522">
        <v>378</v>
      </c>
      <c r="BE522" t="str">
        <f>T("9791137020764")</f>
        <v>9791137020764</v>
      </c>
      <c r="BF522" t="str">
        <f>T("k402794")</f>
        <v>k402794</v>
      </c>
      <c r="BG522" t="str">
        <f>T("판타지 e북 &gt; 퓨전 판타지")</f>
        <v>판타지 e북 &gt; 퓨전 판타지</v>
      </c>
    </row>
    <row r="523" spans="1:59">
      <c r="A523" t="s">
        <v>60</v>
      </c>
      <c r="B523" s="1">
        <v>46131</v>
      </c>
      <c r="C523">
        <v>2378069300</v>
      </c>
      <c r="D523">
        <v>2378069307</v>
      </c>
      <c r="E523" t="str">
        <f>T("[e북]시한부라 은퇴합니다 8권")</f>
        <v>[e북]시한부라 은퇴합니다 8권</v>
      </c>
      <c r="F523">
        <v>8</v>
      </c>
      <c r="G523" t="str">
        <f>T("해달수")</f>
        <v>해달수</v>
      </c>
      <c r="J523" t="str">
        <f>T("매드햇")</f>
        <v>매드햇</v>
      </c>
      <c r="K523" t="str">
        <f>T("[e북]시한부라 은퇴합니다")</f>
        <v>[e북]시한부라 은퇴합니다</v>
      </c>
      <c r="L523">
        <v>3000</v>
      </c>
      <c r="M523">
        <v>0</v>
      </c>
      <c r="N523">
        <v>0</v>
      </c>
      <c r="O523">
        <v>0</v>
      </c>
      <c r="P523">
        <v>630</v>
      </c>
      <c r="Q523">
        <v>1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630</v>
      </c>
      <c r="AJ523">
        <v>1</v>
      </c>
      <c r="AK523">
        <v>0</v>
      </c>
      <c r="AL523">
        <v>0</v>
      </c>
      <c r="AM523">
        <v>630</v>
      </c>
      <c r="AN523">
        <v>0</v>
      </c>
      <c r="AO523">
        <v>0</v>
      </c>
      <c r="AP523">
        <v>0</v>
      </c>
      <c r="AQ523">
        <v>0</v>
      </c>
      <c r="AS523">
        <v>0</v>
      </c>
      <c r="AT523">
        <v>0</v>
      </c>
      <c r="AV523">
        <v>0</v>
      </c>
      <c r="AW523">
        <v>0</v>
      </c>
      <c r="AY523">
        <v>0</v>
      </c>
      <c r="AZ523">
        <v>0</v>
      </c>
      <c r="BA523">
        <v>378</v>
      </c>
      <c r="BE523" t="str">
        <f>T("9791137020771")</f>
        <v>9791137020771</v>
      </c>
      <c r="BF523" t="str">
        <f>T("k402795")</f>
        <v>k402795</v>
      </c>
      <c r="BG523" t="str">
        <f>T("판타지 e북 &gt; 퓨전 판타지")</f>
        <v>판타지 e북 &gt; 퓨전 판타지</v>
      </c>
    </row>
    <row r="524" spans="1:59">
      <c r="A524" t="s">
        <v>60</v>
      </c>
      <c r="B524" s="1">
        <v>46131</v>
      </c>
      <c r="C524">
        <v>2378069300</v>
      </c>
      <c r="D524">
        <v>2378069308</v>
      </c>
      <c r="E524" t="str">
        <f>T("[e북]시한부라 은퇴합니다 9권")</f>
        <v>[e북]시한부라 은퇴합니다 9권</v>
      </c>
      <c r="F524">
        <v>9</v>
      </c>
      <c r="G524" t="str">
        <f>T("해달수")</f>
        <v>해달수</v>
      </c>
      <c r="J524" t="str">
        <f>T("매드햇")</f>
        <v>매드햇</v>
      </c>
      <c r="K524" t="str">
        <f>T("[e북]시한부라 은퇴합니다")</f>
        <v>[e북]시한부라 은퇴합니다</v>
      </c>
      <c r="L524">
        <v>3000</v>
      </c>
      <c r="M524">
        <v>0</v>
      </c>
      <c r="N524">
        <v>0</v>
      </c>
      <c r="O524">
        <v>0</v>
      </c>
      <c r="P524">
        <v>630</v>
      </c>
      <c r="Q524">
        <v>1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630</v>
      </c>
      <c r="AJ524">
        <v>1</v>
      </c>
      <c r="AK524">
        <v>0</v>
      </c>
      <c r="AL524">
        <v>0</v>
      </c>
      <c r="AM524">
        <v>630</v>
      </c>
      <c r="AN524">
        <v>0</v>
      </c>
      <c r="AO524">
        <v>0</v>
      </c>
      <c r="AP524">
        <v>0</v>
      </c>
      <c r="AQ524">
        <v>0</v>
      </c>
      <c r="AS524">
        <v>0</v>
      </c>
      <c r="AT524">
        <v>0</v>
      </c>
      <c r="AV524">
        <v>0</v>
      </c>
      <c r="AW524">
        <v>0</v>
      </c>
      <c r="AY524">
        <v>0</v>
      </c>
      <c r="AZ524">
        <v>0</v>
      </c>
      <c r="BA524">
        <v>378</v>
      </c>
      <c r="BE524" t="str">
        <f>T("9791137020788")</f>
        <v>9791137020788</v>
      </c>
      <c r="BF524" t="str">
        <f>T("k402796")</f>
        <v>k402796</v>
      </c>
      <c r="BG524" t="str">
        <f>T("판타지 e북 &gt; 퓨전 판타지")</f>
        <v>판타지 e북 &gt; 퓨전 판타지</v>
      </c>
    </row>
    <row r="525" spans="1:59">
      <c r="A525" t="s">
        <v>60</v>
      </c>
      <c r="B525" s="1">
        <v>46131</v>
      </c>
      <c r="C525">
        <v>2378069300</v>
      </c>
      <c r="D525">
        <v>2378069309</v>
      </c>
      <c r="E525" t="str">
        <f>T("[e북]시한부라 은퇴합니다 10권 (완결)")</f>
        <v>[e북]시한부라 은퇴합니다 10권 (완결)</v>
      </c>
      <c r="F525">
        <v>10</v>
      </c>
      <c r="G525" t="str">
        <f>T("해달수")</f>
        <v>해달수</v>
      </c>
      <c r="J525" t="str">
        <f>T("매드햇")</f>
        <v>매드햇</v>
      </c>
      <c r="K525" t="str">
        <f>T("[e북]시한부라 은퇴합니다")</f>
        <v>[e북]시한부라 은퇴합니다</v>
      </c>
      <c r="L525">
        <v>3000</v>
      </c>
      <c r="M525">
        <v>0</v>
      </c>
      <c r="N525">
        <v>0</v>
      </c>
      <c r="O525">
        <v>0</v>
      </c>
      <c r="P525">
        <v>630</v>
      </c>
      <c r="Q525">
        <v>1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630</v>
      </c>
      <c r="AJ525">
        <v>1</v>
      </c>
      <c r="AK525">
        <v>0</v>
      </c>
      <c r="AL525">
        <v>0</v>
      </c>
      <c r="AM525">
        <v>630</v>
      </c>
      <c r="AN525">
        <v>0</v>
      </c>
      <c r="AO525">
        <v>0</v>
      </c>
      <c r="AP525">
        <v>0</v>
      </c>
      <c r="AQ525">
        <v>0</v>
      </c>
      <c r="AS525">
        <v>0</v>
      </c>
      <c r="AT525">
        <v>0</v>
      </c>
      <c r="AV525">
        <v>0</v>
      </c>
      <c r="AW525">
        <v>0</v>
      </c>
      <c r="AY525">
        <v>0</v>
      </c>
      <c r="AZ525">
        <v>0</v>
      </c>
      <c r="BA525">
        <v>378</v>
      </c>
      <c r="BE525" t="str">
        <f>T("9791137020795")</f>
        <v>9791137020795</v>
      </c>
      <c r="BF525" t="str">
        <f>T("k402797")</f>
        <v>k402797</v>
      </c>
      <c r="BG525" t="str">
        <f>T("판타지 e북 &gt; 퓨전 판타지")</f>
        <v>판타지 e북 &gt; 퓨전 판타지</v>
      </c>
    </row>
    <row r="526" spans="1:59">
      <c r="A526" t="s">
        <v>60</v>
      </c>
      <c r="B526" s="1">
        <v>46129</v>
      </c>
      <c r="C526">
        <v>2378081110</v>
      </c>
      <c r="D526">
        <v>2378081110</v>
      </c>
      <c r="E526" t="str">
        <f>T("[e북]시한부인데 구원튀해 버렸다 1권")</f>
        <v>[e북]시한부인데 구원튀해 버렸다 1권</v>
      </c>
      <c r="F526">
        <v>1</v>
      </c>
      <c r="G526" t="str">
        <f>T("무지개케이크")</f>
        <v>무지개케이크</v>
      </c>
      <c r="J526" t="str">
        <f>T("앨리스")</f>
        <v>앨리스</v>
      </c>
      <c r="K526" t="str">
        <f>T("[e북]시한부인데 구원튀해 버렸다")</f>
        <v>[e북]시한부인데 구원튀해 버렸다</v>
      </c>
      <c r="L526">
        <v>2900</v>
      </c>
      <c r="M526">
        <v>2610</v>
      </c>
      <c r="N526">
        <v>1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2610</v>
      </c>
      <c r="AJ526">
        <v>1</v>
      </c>
      <c r="AK526">
        <v>0</v>
      </c>
      <c r="AL526">
        <v>0</v>
      </c>
      <c r="AM526">
        <v>2610</v>
      </c>
      <c r="AN526">
        <v>0</v>
      </c>
      <c r="AO526">
        <v>0</v>
      </c>
      <c r="AP526">
        <v>0</v>
      </c>
      <c r="AQ526">
        <v>0</v>
      </c>
      <c r="AS526">
        <v>0</v>
      </c>
      <c r="AT526">
        <v>0</v>
      </c>
      <c r="AV526">
        <v>0</v>
      </c>
      <c r="AW526">
        <v>0</v>
      </c>
      <c r="AY526">
        <v>0</v>
      </c>
      <c r="AZ526">
        <v>0</v>
      </c>
      <c r="BA526">
        <v>1827</v>
      </c>
      <c r="BF526" t="str">
        <f>T("D268712")</f>
        <v>D268712</v>
      </c>
      <c r="BG526" t="str">
        <f>T("로판 e북 &gt; 서양풍 로판")</f>
        <v>로판 e북 &gt; 서양풍 로판</v>
      </c>
    </row>
    <row r="527" spans="1:59">
      <c r="A527" t="s">
        <v>60</v>
      </c>
      <c r="B527" s="1">
        <v>46129</v>
      </c>
      <c r="C527">
        <v>2378081110</v>
      </c>
      <c r="D527">
        <v>2378081111</v>
      </c>
      <c r="E527" t="str">
        <f>T("[e북]시한부인데 구원튀해 버렸다 2권")</f>
        <v>[e북]시한부인데 구원튀해 버렸다 2권</v>
      </c>
      <c r="F527">
        <v>2</v>
      </c>
      <c r="G527" t="str">
        <f>T("무지개케이크")</f>
        <v>무지개케이크</v>
      </c>
      <c r="J527" t="str">
        <f>T("앨리스")</f>
        <v>앨리스</v>
      </c>
      <c r="K527" t="str">
        <f>T("[e북]시한부인데 구원튀해 버렸다")</f>
        <v>[e북]시한부인데 구원튀해 버렸다</v>
      </c>
      <c r="L527">
        <v>2900</v>
      </c>
      <c r="M527">
        <v>2610</v>
      </c>
      <c r="N527">
        <v>1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2610</v>
      </c>
      <c r="AJ527">
        <v>1</v>
      </c>
      <c r="AK527">
        <v>0</v>
      </c>
      <c r="AL527">
        <v>0</v>
      </c>
      <c r="AM527">
        <v>2610</v>
      </c>
      <c r="AN527">
        <v>0</v>
      </c>
      <c r="AO527">
        <v>0</v>
      </c>
      <c r="AP527">
        <v>0</v>
      </c>
      <c r="AQ527">
        <v>0</v>
      </c>
      <c r="AS527">
        <v>0</v>
      </c>
      <c r="AT527">
        <v>0</v>
      </c>
      <c r="AV527">
        <v>0</v>
      </c>
      <c r="AW527">
        <v>0</v>
      </c>
      <c r="AY527">
        <v>0</v>
      </c>
      <c r="AZ527">
        <v>0</v>
      </c>
      <c r="BA527">
        <v>1827</v>
      </c>
      <c r="BF527" t="str">
        <f>T("D268713")</f>
        <v>D268713</v>
      </c>
      <c r="BG527" t="str">
        <f>T("로판 e북 &gt; 서양풍 로판")</f>
        <v>로판 e북 &gt; 서양풍 로판</v>
      </c>
    </row>
    <row r="528" spans="1:59">
      <c r="A528" t="s">
        <v>60</v>
      </c>
      <c r="B528" s="1">
        <v>46129</v>
      </c>
      <c r="C528">
        <v>2378081110</v>
      </c>
      <c r="D528">
        <v>2378081112</v>
      </c>
      <c r="E528" t="str">
        <f>T("[e북]시한부인데 구원튀해 버렸다 3권")</f>
        <v>[e북]시한부인데 구원튀해 버렸다 3권</v>
      </c>
      <c r="F528">
        <v>3</v>
      </c>
      <c r="G528" t="str">
        <f>T("무지개케이크")</f>
        <v>무지개케이크</v>
      </c>
      <c r="J528" t="str">
        <f>T("앨리스")</f>
        <v>앨리스</v>
      </c>
      <c r="K528" t="str">
        <f>T("[e북]시한부인데 구원튀해 버렸다")</f>
        <v>[e북]시한부인데 구원튀해 버렸다</v>
      </c>
      <c r="L528">
        <v>2900</v>
      </c>
      <c r="M528">
        <v>5220</v>
      </c>
      <c r="N528">
        <v>2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5220</v>
      </c>
      <c r="AJ528">
        <v>2</v>
      </c>
      <c r="AK528">
        <v>0</v>
      </c>
      <c r="AL528">
        <v>0</v>
      </c>
      <c r="AM528">
        <v>5220</v>
      </c>
      <c r="AN528">
        <v>0</v>
      </c>
      <c r="AO528">
        <v>0</v>
      </c>
      <c r="AP528">
        <v>0</v>
      </c>
      <c r="AQ528">
        <v>0</v>
      </c>
      <c r="AS528">
        <v>0</v>
      </c>
      <c r="AT528">
        <v>0</v>
      </c>
      <c r="AV528">
        <v>0</v>
      </c>
      <c r="AW528">
        <v>0</v>
      </c>
      <c r="AY528">
        <v>0</v>
      </c>
      <c r="AZ528">
        <v>0</v>
      </c>
      <c r="BA528">
        <v>3654</v>
      </c>
      <c r="BF528" t="str">
        <f>T("D268714")</f>
        <v>D268714</v>
      </c>
      <c r="BG528" t="str">
        <f>T("로판 e북 &gt; 서양풍 로판")</f>
        <v>로판 e북 &gt; 서양풍 로판</v>
      </c>
    </row>
    <row r="529" spans="1:59">
      <c r="A529" t="s">
        <v>60</v>
      </c>
      <c r="B529" s="1">
        <v>46129</v>
      </c>
      <c r="C529">
        <v>2378081110</v>
      </c>
      <c r="D529">
        <v>2378081113</v>
      </c>
      <c r="E529" t="str">
        <f>T("[e북]시한부인데 구원튀해 버렸다 4권 (완결)")</f>
        <v>[e북]시한부인데 구원튀해 버렸다 4권 (완결)</v>
      </c>
      <c r="F529">
        <v>4</v>
      </c>
      <c r="G529" t="str">
        <f>T("무지개케이크")</f>
        <v>무지개케이크</v>
      </c>
      <c r="J529" t="str">
        <f>T("앨리스")</f>
        <v>앨리스</v>
      </c>
      <c r="K529" t="str">
        <f>T("[e북]시한부인데 구원튀해 버렸다")</f>
        <v>[e북]시한부인데 구원튀해 버렸다</v>
      </c>
      <c r="L529">
        <v>2900</v>
      </c>
      <c r="M529">
        <v>5220</v>
      </c>
      <c r="N529">
        <v>2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5220</v>
      </c>
      <c r="AJ529">
        <v>2</v>
      </c>
      <c r="AK529">
        <v>0</v>
      </c>
      <c r="AL529">
        <v>0</v>
      </c>
      <c r="AM529">
        <v>5220</v>
      </c>
      <c r="AN529">
        <v>0</v>
      </c>
      <c r="AO529">
        <v>0</v>
      </c>
      <c r="AP529">
        <v>0</v>
      </c>
      <c r="AQ529">
        <v>0</v>
      </c>
      <c r="AS529">
        <v>0</v>
      </c>
      <c r="AT529">
        <v>0</v>
      </c>
      <c r="AV529">
        <v>0</v>
      </c>
      <c r="AW529">
        <v>0</v>
      </c>
      <c r="AY529">
        <v>0</v>
      </c>
      <c r="AZ529">
        <v>0</v>
      </c>
      <c r="BA529">
        <v>3654</v>
      </c>
      <c r="BF529" t="str">
        <f>T("D268715")</f>
        <v>D268715</v>
      </c>
      <c r="BG529" t="str">
        <f>T("로판 e북 &gt; 서양풍 로판")</f>
        <v>로판 e북 &gt; 서양풍 로판</v>
      </c>
    </row>
    <row r="530" spans="1:59">
      <c r="A530" t="s">
        <v>60</v>
      </c>
      <c r="B530" s="1">
        <v>46129</v>
      </c>
      <c r="C530">
        <v>2378080351</v>
      </c>
      <c r="D530">
        <v>2378080367</v>
      </c>
      <c r="E530" t="str">
        <f>T("[e북][체험판] 시해: 4사단 수색대대")</f>
        <v>[e북][체험판] 시해: 4사단 수색대대</v>
      </c>
      <c r="F530">
        <v>1</v>
      </c>
      <c r="G530" t="str">
        <f>T("먼지별")</f>
        <v>먼지별</v>
      </c>
      <c r="J530" t="str">
        <f>T("매드햇")</f>
        <v>매드햇</v>
      </c>
      <c r="K530" t="str">
        <f>T("[e북]시해: 4사단 수색대대")</f>
        <v>[e북]시해: 4사단 수색대대</v>
      </c>
      <c r="L530">
        <v>0</v>
      </c>
      <c r="M530">
        <v>0</v>
      </c>
      <c r="N530">
        <v>0</v>
      </c>
      <c r="O530">
        <v>1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1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S530">
        <v>0</v>
      </c>
      <c r="AT530">
        <v>0</v>
      </c>
      <c r="AV530">
        <v>0</v>
      </c>
      <c r="AW530">
        <v>0</v>
      </c>
      <c r="AY530">
        <v>0</v>
      </c>
      <c r="AZ530">
        <v>0</v>
      </c>
      <c r="BA530">
        <v>0</v>
      </c>
      <c r="BF530" t="str">
        <f>T("D211229")</f>
        <v>D211229</v>
      </c>
      <c r="BG530" t="str">
        <f>T("판타지 e북 &gt; 퓨전 판타지")</f>
        <v>판타지 e북 &gt; 퓨전 판타지</v>
      </c>
    </row>
    <row r="531" spans="1:59">
      <c r="A531" t="s">
        <v>60</v>
      </c>
      <c r="B531" s="1">
        <v>46130</v>
      </c>
      <c r="C531">
        <v>2378080351</v>
      </c>
      <c r="D531">
        <v>2378080351</v>
      </c>
      <c r="E531" t="str">
        <f>T("[e북]시해: 4사단 수색대대 1권")</f>
        <v>[e북]시해: 4사단 수색대대 1권</v>
      </c>
      <c r="F531">
        <v>1</v>
      </c>
      <c r="G531" t="str">
        <f>T("먼지별")</f>
        <v>먼지별</v>
      </c>
      <c r="J531" t="str">
        <f>T("매드햇")</f>
        <v>매드햇</v>
      </c>
      <c r="K531" t="str">
        <f>T("[e북]시해: 4사단 수색대대")</f>
        <v>[e북]시해: 4사단 수색대대</v>
      </c>
      <c r="L531">
        <v>3000</v>
      </c>
      <c r="M531">
        <v>6000</v>
      </c>
      <c r="N531">
        <v>2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6000</v>
      </c>
      <c r="AJ531">
        <v>2</v>
      </c>
      <c r="AK531">
        <v>0</v>
      </c>
      <c r="AL531">
        <v>0</v>
      </c>
      <c r="AM531">
        <v>3300</v>
      </c>
      <c r="AN531">
        <v>0</v>
      </c>
      <c r="AO531">
        <v>3240</v>
      </c>
      <c r="AP531">
        <v>-972</v>
      </c>
      <c r="AQ531">
        <v>0</v>
      </c>
      <c r="AR531">
        <v>3240</v>
      </c>
      <c r="AS531">
        <v>-972</v>
      </c>
      <c r="AT531">
        <v>0</v>
      </c>
      <c r="AV531">
        <v>0</v>
      </c>
      <c r="AW531">
        <v>0</v>
      </c>
      <c r="AY531">
        <v>0</v>
      </c>
      <c r="AZ531">
        <v>0</v>
      </c>
      <c r="BA531">
        <v>3897.6</v>
      </c>
      <c r="BF531" t="str">
        <f>T("D210068")</f>
        <v>D210068</v>
      </c>
      <c r="BG531" t="str">
        <f>T("판타지 e북 &gt; 퓨전 판타지")</f>
        <v>판타지 e북 &gt; 퓨전 판타지</v>
      </c>
    </row>
    <row r="532" spans="1:59">
      <c r="A532" t="s">
        <v>60</v>
      </c>
      <c r="B532" s="1">
        <v>46130</v>
      </c>
      <c r="C532">
        <v>2378080351</v>
      </c>
      <c r="D532">
        <v>2378080352</v>
      </c>
      <c r="E532" t="str">
        <f>T("[e북]시해: 4사단 수색대대 2권 (완결)")</f>
        <v>[e북]시해: 4사단 수색대대 2권 (완결)</v>
      </c>
      <c r="F532">
        <v>2</v>
      </c>
      <c r="G532" t="str">
        <f>T("먼지별")</f>
        <v>먼지별</v>
      </c>
      <c r="J532" t="str">
        <f>T("매드햇")</f>
        <v>매드햇</v>
      </c>
      <c r="K532" t="str">
        <f>T("[e북]시해: 4사단 수색대대")</f>
        <v>[e북]시해: 4사단 수색대대</v>
      </c>
      <c r="L532">
        <v>3000</v>
      </c>
      <c r="M532">
        <v>3000</v>
      </c>
      <c r="N532">
        <v>1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3000</v>
      </c>
      <c r="AJ532">
        <v>1</v>
      </c>
      <c r="AK532">
        <v>0</v>
      </c>
      <c r="AL532">
        <v>0</v>
      </c>
      <c r="AM532">
        <v>3000</v>
      </c>
      <c r="AN532">
        <v>0</v>
      </c>
      <c r="AO532">
        <v>0</v>
      </c>
      <c r="AP532">
        <v>0</v>
      </c>
      <c r="AQ532">
        <v>0</v>
      </c>
      <c r="AS532">
        <v>0</v>
      </c>
      <c r="AT532">
        <v>0</v>
      </c>
      <c r="AV532">
        <v>0</v>
      </c>
      <c r="AW532">
        <v>0</v>
      </c>
      <c r="AY532">
        <v>0</v>
      </c>
      <c r="AZ532">
        <v>0</v>
      </c>
      <c r="BA532">
        <v>2100</v>
      </c>
      <c r="BF532" t="str">
        <f>T("D210069")</f>
        <v>D210069</v>
      </c>
      <c r="BG532" t="str">
        <f>T("판타지 e북 &gt; 퓨전 판타지")</f>
        <v>판타지 e북 &gt; 퓨전 판타지</v>
      </c>
    </row>
    <row r="533" spans="1:59">
      <c r="A533" t="s">
        <v>60</v>
      </c>
      <c r="B533" s="1">
        <v>46130</v>
      </c>
      <c r="C533">
        <v>2378080351</v>
      </c>
      <c r="D533">
        <v>2378080353</v>
      </c>
      <c r="E533" t="str">
        <f>T("[e북]시해: 4사단 수색대대 백일몽(白日夢)")</f>
        <v>[e북]시해: 4사단 수색대대 백일몽(白日夢)</v>
      </c>
      <c r="F533">
        <v>3</v>
      </c>
      <c r="G533" t="str">
        <f>T("먼지별")</f>
        <v>먼지별</v>
      </c>
      <c r="J533" t="str">
        <f>T("매드햇")</f>
        <v>매드햇</v>
      </c>
      <c r="K533" t="str">
        <f>T("[e북]시해: 4사단 수색대대")</f>
        <v>[e북]시해: 4사단 수색대대</v>
      </c>
      <c r="L533">
        <v>300</v>
      </c>
      <c r="M533">
        <v>300</v>
      </c>
      <c r="N533">
        <v>1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300</v>
      </c>
      <c r="AJ533">
        <v>1</v>
      </c>
      <c r="AK533">
        <v>0</v>
      </c>
      <c r="AL533">
        <v>0</v>
      </c>
      <c r="AM533">
        <v>300</v>
      </c>
      <c r="AN533">
        <v>0</v>
      </c>
      <c r="AO533">
        <v>0</v>
      </c>
      <c r="AP533">
        <v>0</v>
      </c>
      <c r="AQ533">
        <v>0</v>
      </c>
      <c r="AS533">
        <v>0</v>
      </c>
      <c r="AT533">
        <v>0</v>
      </c>
      <c r="AV533">
        <v>0</v>
      </c>
      <c r="AW533">
        <v>0</v>
      </c>
      <c r="AY533">
        <v>0</v>
      </c>
      <c r="AZ533">
        <v>0</v>
      </c>
      <c r="BA533">
        <v>210</v>
      </c>
      <c r="BF533" t="str">
        <f>T("D210070")</f>
        <v>D210070</v>
      </c>
      <c r="BG533" t="str">
        <f>T("판타지 e북 &gt; 퓨전 판타지")</f>
        <v>판타지 e북 &gt; 퓨전 판타지</v>
      </c>
    </row>
    <row r="534" spans="1:59">
      <c r="A534" t="s">
        <v>60</v>
      </c>
      <c r="B534" s="1">
        <v>46130</v>
      </c>
      <c r="C534">
        <v>2378080351</v>
      </c>
      <c r="D534">
        <v>2378080367</v>
      </c>
      <c r="E534" t="str">
        <f>T("[e북][체험판] 시해: 4사단 수색대대")</f>
        <v>[e북][체험판] 시해: 4사단 수색대대</v>
      </c>
      <c r="F534">
        <v>1</v>
      </c>
      <c r="G534" t="str">
        <f>T("먼지별")</f>
        <v>먼지별</v>
      </c>
      <c r="J534" t="str">
        <f>T("매드햇")</f>
        <v>매드햇</v>
      </c>
      <c r="K534" t="str">
        <f>T("[e북]시해: 4사단 수색대대")</f>
        <v>[e북]시해: 4사단 수색대대</v>
      </c>
      <c r="L534">
        <v>0</v>
      </c>
      <c r="M534">
        <v>0</v>
      </c>
      <c r="N534">
        <v>0</v>
      </c>
      <c r="O534">
        <v>4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4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S534">
        <v>0</v>
      </c>
      <c r="AT534">
        <v>0</v>
      </c>
      <c r="AV534">
        <v>0</v>
      </c>
      <c r="AW534">
        <v>0</v>
      </c>
      <c r="AY534">
        <v>0</v>
      </c>
      <c r="AZ534">
        <v>0</v>
      </c>
      <c r="BA534">
        <v>0</v>
      </c>
      <c r="BF534" t="str">
        <f>T("D211229")</f>
        <v>D211229</v>
      </c>
      <c r="BG534" t="str">
        <f>T("판타지 e북 &gt; 퓨전 판타지")</f>
        <v>판타지 e북 &gt; 퓨전 판타지</v>
      </c>
    </row>
    <row r="535" spans="1:59">
      <c r="A535" t="s">
        <v>60</v>
      </c>
      <c r="B535" s="1">
        <v>46131</v>
      </c>
      <c r="C535">
        <v>2378080351</v>
      </c>
      <c r="D535">
        <v>2378080351</v>
      </c>
      <c r="E535" t="str">
        <f>T("[e북]시해: 4사단 수색대대 1권")</f>
        <v>[e북]시해: 4사단 수색대대 1권</v>
      </c>
      <c r="F535">
        <v>1</v>
      </c>
      <c r="G535" t="str">
        <f>T("먼지별")</f>
        <v>먼지별</v>
      </c>
      <c r="J535" t="str">
        <f>T("매드햇")</f>
        <v>매드햇</v>
      </c>
      <c r="K535" t="str">
        <f>T("[e북]시해: 4사단 수색대대")</f>
        <v>[e북]시해: 4사단 수색대대</v>
      </c>
      <c r="L535">
        <v>3000</v>
      </c>
      <c r="M535">
        <v>21000</v>
      </c>
      <c r="N535">
        <v>7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21000</v>
      </c>
      <c r="AJ535">
        <v>7</v>
      </c>
      <c r="AK535">
        <v>0</v>
      </c>
      <c r="AL535">
        <v>0</v>
      </c>
      <c r="AM535">
        <v>15300</v>
      </c>
      <c r="AN535">
        <v>0</v>
      </c>
      <c r="AO535">
        <v>6840</v>
      </c>
      <c r="AP535">
        <v>-684</v>
      </c>
      <c r="AQ535">
        <v>0</v>
      </c>
      <c r="AS535">
        <v>0</v>
      </c>
      <c r="AT535">
        <v>0</v>
      </c>
      <c r="AU535">
        <v>6840</v>
      </c>
      <c r="AV535">
        <v>-684</v>
      </c>
      <c r="AW535">
        <v>0</v>
      </c>
      <c r="AY535">
        <v>0</v>
      </c>
      <c r="AZ535">
        <v>0</v>
      </c>
      <c r="BA535">
        <v>15019.2</v>
      </c>
      <c r="BF535" t="str">
        <f>T("D210068")</f>
        <v>D210068</v>
      </c>
      <c r="BG535" t="str">
        <f>T("판타지 e북 &gt; 퓨전 판타지")</f>
        <v>판타지 e북 &gt; 퓨전 판타지</v>
      </c>
    </row>
    <row r="536" spans="1:59">
      <c r="A536" t="s">
        <v>60</v>
      </c>
      <c r="B536" s="1">
        <v>46131</v>
      </c>
      <c r="C536">
        <v>2378080351</v>
      </c>
      <c r="D536">
        <v>2378080352</v>
      </c>
      <c r="E536" t="str">
        <f>T("[e북]시해: 4사단 수색대대 2권 (완결)")</f>
        <v>[e북]시해: 4사단 수색대대 2권 (완결)</v>
      </c>
      <c r="F536">
        <v>2</v>
      </c>
      <c r="G536" t="str">
        <f>T("먼지별")</f>
        <v>먼지별</v>
      </c>
      <c r="J536" t="str">
        <f>T("매드햇")</f>
        <v>매드햇</v>
      </c>
      <c r="K536" t="str">
        <f>T("[e북]시해: 4사단 수색대대")</f>
        <v>[e북]시해: 4사단 수색대대</v>
      </c>
      <c r="L536">
        <v>3000</v>
      </c>
      <c r="M536">
        <v>18000</v>
      </c>
      <c r="N536">
        <v>6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18000</v>
      </c>
      <c r="AJ536">
        <v>6</v>
      </c>
      <c r="AK536">
        <v>0</v>
      </c>
      <c r="AL536">
        <v>0</v>
      </c>
      <c r="AM536">
        <v>12000</v>
      </c>
      <c r="AN536">
        <v>0</v>
      </c>
      <c r="AO536">
        <v>7200</v>
      </c>
      <c r="AP536">
        <v>-1440</v>
      </c>
      <c r="AQ536">
        <v>0</v>
      </c>
      <c r="AR536">
        <v>3600</v>
      </c>
      <c r="AS536">
        <v>-1080</v>
      </c>
      <c r="AT536">
        <v>0</v>
      </c>
      <c r="AU536">
        <v>3600</v>
      </c>
      <c r="AV536">
        <v>-360</v>
      </c>
      <c r="AW536">
        <v>0</v>
      </c>
      <c r="AY536">
        <v>0</v>
      </c>
      <c r="AZ536">
        <v>0</v>
      </c>
      <c r="BA536">
        <v>12432</v>
      </c>
      <c r="BF536" t="str">
        <f>T("D210069")</f>
        <v>D210069</v>
      </c>
      <c r="BG536" t="str">
        <f>T("판타지 e북 &gt; 퓨전 판타지")</f>
        <v>판타지 e북 &gt; 퓨전 판타지</v>
      </c>
    </row>
    <row r="537" spans="1:59">
      <c r="A537" t="s">
        <v>60</v>
      </c>
      <c r="B537" s="1">
        <v>46131</v>
      </c>
      <c r="C537">
        <v>2378080351</v>
      </c>
      <c r="D537">
        <v>2378080353</v>
      </c>
      <c r="E537" t="str">
        <f>T("[e북]시해: 4사단 수색대대 백일몽(白日夢)")</f>
        <v>[e북]시해: 4사단 수색대대 백일몽(白日夢)</v>
      </c>
      <c r="F537">
        <v>3</v>
      </c>
      <c r="G537" t="str">
        <f>T("먼지별")</f>
        <v>먼지별</v>
      </c>
      <c r="J537" t="str">
        <f>T("매드햇")</f>
        <v>매드햇</v>
      </c>
      <c r="K537" t="str">
        <f>T("[e북]시해: 4사단 수색대대")</f>
        <v>[e북]시해: 4사단 수색대대</v>
      </c>
      <c r="L537">
        <v>300</v>
      </c>
      <c r="M537">
        <v>1200</v>
      </c>
      <c r="N537">
        <v>4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1200</v>
      </c>
      <c r="AJ537">
        <v>4</v>
      </c>
      <c r="AK537">
        <v>0</v>
      </c>
      <c r="AL537">
        <v>0</v>
      </c>
      <c r="AM537">
        <v>1200</v>
      </c>
      <c r="AN537">
        <v>0</v>
      </c>
      <c r="AO537">
        <v>0</v>
      </c>
      <c r="AP537">
        <v>0</v>
      </c>
      <c r="AQ537">
        <v>0</v>
      </c>
      <c r="AS537">
        <v>0</v>
      </c>
      <c r="AT537">
        <v>0</v>
      </c>
      <c r="AV537">
        <v>0</v>
      </c>
      <c r="AW537">
        <v>0</v>
      </c>
      <c r="AY537">
        <v>0</v>
      </c>
      <c r="AZ537">
        <v>0</v>
      </c>
      <c r="BA537">
        <v>840</v>
      </c>
      <c r="BF537" t="str">
        <f>T("D210070")</f>
        <v>D210070</v>
      </c>
      <c r="BG537" t="str">
        <f>T("판타지 e북 &gt; 퓨전 판타지")</f>
        <v>판타지 e북 &gt; 퓨전 판타지</v>
      </c>
    </row>
    <row r="538" spans="1:59">
      <c r="A538" t="s">
        <v>60</v>
      </c>
      <c r="B538" s="1">
        <v>46131</v>
      </c>
      <c r="C538">
        <v>2378080351</v>
      </c>
      <c r="D538">
        <v>2378080367</v>
      </c>
      <c r="E538" t="str">
        <f>T("[e북][체험판] 시해: 4사단 수색대대")</f>
        <v>[e북][체험판] 시해: 4사단 수색대대</v>
      </c>
      <c r="F538">
        <v>1</v>
      </c>
      <c r="G538" t="str">
        <f>T("먼지별")</f>
        <v>먼지별</v>
      </c>
      <c r="J538" t="str">
        <f>T("매드햇")</f>
        <v>매드햇</v>
      </c>
      <c r="K538" t="str">
        <f>T("[e북]시해: 4사단 수색대대")</f>
        <v>[e북]시해: 4사단 수색대대</v>
      </c>
      <c r="L538">
        <v>0</v>
      </c>
      <c r="M538">
        <v>0</v>
      </c>
      <c r="N538">
        <v>0</v>
      </c>
      <c r="O538">
        <v>5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5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S538">
        <v>0</v>
      </c>
      <c r="AT538">
        <v>0</v>
      </c>
      <c r="AV538">
        <v>0</v>
      </c>
      <c r="AW538">
        <v>0</v>
      </c>
      <c r="AY538">
        <v>0</v>
      </c>
      <c r="AZ538">
        <v>0</v>
      </c>
      <c r="BA538">
        <v>0</v>
      </c>
      <c r="BF538" t="str">
        <f>T("D211229")</f>
        <v>D211229</v>
      </c>
      <c r="BG538" t="str">
        <f>T("판타지 e북 &gt; 퓨전 판타지")</f>
        <v>판타지 e북 &gt; 퓨전 판타지</v>
      </c>
    </row>
    <row r="539" spans="1:59">
      <c r="A539" t="s">
        <v>60</v>
      </c>
      <c r="B539" s="1">
        <v>46130</v>
      </c>
      <c r="C539">
        <v>2378075496</v>
      </c>
      <c r="D539">
        <v>2378075502</v>
      </c>
      <c r="E539" t="str">
        <f>T("[e북]신라의 왕좌는 제 겁니다 7권")</f>
        <v>[e북]신라의 왕좌는 제 겁니다 7권</v>
      </c>
      <c r="F539">
        <v>7</v>
      </c>
      <c r="G539" t="str">
        <f>T("매운아몬드")</f>
        <v>매운아몬드</v>
      </c>
      <c r="J539" t="str">
        <f>T("사이렌")</f>
        <v>사이렌</v>
      </c>
      <c r="K539" t="str">
        <f>T("[e북]신라의 왕좌는 제 겁니다")</f>
        <v>[e북]신라의 왕좌는 제 겁니다</v>
      </c>
      <c r="L539">
        <v>3200</v>
      </c>
      <c r="M539">
        <v>3200</v>
      </c>
      <c r="N539">
        <v>1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3200</v>
      </c>
      <c r="AJ539">
        <v>1</v>
      </c>
      <c r="AK539">
        <v>0</v>
      </c>
      <c r="AL539">
        <v>0</v>
      </c>
      <c r="AM539">
        <v>3200</v>
      </c>
      <c r="AN539">
        <v>0</v>
      </c>
      <c r="AO539">
        <v>0</v>
      </c>
      <c r="AP539">
        <v>0</v>
      </c>
      <c r="AQ539">
        <v>0</v>
      </c>
      <c r="AS539">
        <v>0</v>
      </c>
      <c r="AT539">
        <v>0</v>
      </c>
      <c r="AV539">
        <v>0</v>
      </c>
      <c r="AW539">
        <v>0</v>
      </c>
      <c r="AY539">
        <v>0</v>
      </c>
      <c r="AZ539">
        <v>0</v>
      </c>
      <c r="BA539">
        <v>1920</v>
      </c>
      <c r="BE539" t="str">
        <f>T("9791172700539")</f>
        <v>9791172700539</v>
      </c>
      <c r="BF539" t="str">
        <f>T("D026379")</f>
        <v>D026379</v>
      </c>
      <c r="BG539" t="str">
        <f>T("판타지 e북 &gt; 대체 역사물")</f>
        <v>판타지 e북 &gt; 대체 역사물</v>
      </c>
    </row>
    <row r="540" spans="1:59">
      <c r="A540" t="s">
        <v>60</v>
      </c>
      <c r="B540" s="1">
        <v>46130</v>
      </c>
      <c r="C540">
        <v>2378075496</v>
      </c>
      <c r="D540">
        <v>2378075504</v>
      </c>
      <c r="E540" t="str">
        <f>T("[e북]신라의 왕좌는 제 겁니다 9권")</f>
        <v>[e북]신라의 왕좌는 제 겁니다 9권</v>
      </c>
      <c r="F540">
        <v>9</v>
      </c>
      <c r="G540" t="str">
        <f>T("매운아몬드")</f>
        <v>매운아몬드</v>
      </c>
      <c r="J540" t="str">
        <f>T("사이렌")</f>
        <v>사이렌</v>
      </c>
      <c r="K540" t="str">
        <f>T("[e북]신라의 왕좌는 제 겁니다")</f>
        <v>[e북]신라의 왕좌는 제 겁니다</v>
      </c>
      <c r="L540">
        <v>3200</v>
      </c>
      <c r="M540">
        <v>3200</v>
      </c>
      <c r="N540">
        <v>1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3200</v>
      </c>
      <c r="AJ540">
        <v>1</v>
      </c>
      <c r="AK540">
        <v>0</v>
      </c>
      <c r="AL540">
        <v>0</v>
      </c>
      <c r="AM540">
        <v>3200</v>
      </c>
      <c r="AN540">
        <v>0</v>
      </c>
      <c r="AO540">
        <v>0</v>
      </c>
      <c r="AP540">
        <v>0</v>
      </c>
      <c r="AQ540">
        <v>0</v>
      </c>
      <c r="AS540">
        <v>0</v>
      </c>
      <c r="AT540">
        <v>0</v>
      </c>
      <c r="AV540">
        <v>0</v>
      </c>
      <c r="AW540">
        <v>0</v>
      </c>
      <c r="AY540">
        <v>0</v>
      </c>
      <c r="AZ540">
        <v>0</v>
      </c>
      <c r="BA540">
        <v>1920</v>
      </c>
      <c r="BE540" t="str">
        <f>T("9791172700553")</f>
        <v>9791172700553</v>
      </c>
      <c r="BF540" t="str">
        <f>T("D026381")</f>
        <v>D026381</v>
      </c>
      <c r="BG540" t="str">
        <f>T("판타지 e북 &gt; 대체 역사물")</f>
        <v>판타지 e북 &gt; 대체 역사물</v>
      </c>
    </row>
    <row r="541" spans="1:59">
      <c r="A541" t="s">
        <v>60</v>
      </c>
      <c r="B541" s="1">
        <v>46130</v>
      </c>
      <c r="C541">
        <v>2378075496</v>
      </c>
      <c r="D541">
        <v>2378075503</v>
      </c>
      <c r="E541" t="str">
        <f>T("[e북]신라의 왕좌는 제 겁니다 8권")</f>
        <v>[e북]신라의 왕좌는 제 겁니다 8권</v>
      </c>
      <c r="F541">
        <v>8</v>
      </c>
      <c r="G541" t="str">
        <f>T("매운아몬드")</f>
        <v>매운아몬드</v>
      </c>
      <c r="J541" t="str">
        <f>T("사이렌")</f>
        <v>사이렌</v>
      </c>
      <c r="K541" t="str">
        <f>T("[e북]신라의 왕좌는 제 겁니다")</f>
        <v>[e북]신라의 왕좌는 제 겁니다</v>
      </c>
      <c r="L541">
        <v>3200</v>
      </c>
      <c r="M541">
        <v>3200</v>
      </c>
      <c r="N541">
        <v>1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3200</v>
      </c>
      <c r="AJ541">
        <v>1</v>
      </c>
      <c r="AK541">
        <v>0</v>
      </c>
      <c r="AL541">
        <v>0</v>
      </c>
      <c r="AM541">
        <v>3200</v>
      </c>
      <c r="AN541">
        <v>0</v>
      </c>
      <c r="AO541">
        <v>0</v>
      </c>
      <c r="AP541">
        <v>0</v>
      </c>
      <c r="AQ541">
        <v>0</v>
      </c>
      <c r="AS541">
        <v>0</v>
      </c>
      <c r="AT541">
        <v>0</v>
      </c>
      <c r="AV541">
        <v>0</v>
      </c>
      <c r="AW541">
        <v>0</v>
      </c>
      <c r="AY541">
        <v>0</v>
      </c>
      <c r="AZ541">
        <v>0</v>
      </c>
      <c r="BA541">
        <v>1920</v>
      </c>
      <c r="BE541" t="str">
        <f>T("9791172700546")</f>
        <v>9791172700546</v>
      </c>
      <c r="BF541" t="str">
        <f>T("D026380")</f>
        <v>D026380</v>
      </c>
      <c r="BG541" t="str">
        <f>T("판타지 e북 &gt; 대체 역사물")</f>
        <v>판타지 e북 &gt; 대체 역사물</v>
      </c>
    </row>
    <row r="542" spans="1:59">
      <c r="A542" t="s">
        <v>60</v>
      </c>
      <c r="B542" s="1">
        <v>46130</v>
      </c>
      <c r="C542">
        <v>2378075496</v>
      </c>
      <c r="D542">
        <v>2378075505</v>
      </c>
      <c r="E542" t="str">
        <f>T("[e북]신라의 왕좌는 제 겁니다 10권")</f>
        <v>[e북]신라의 왕좌는 제 겁니다 10권</v>
      </c>
      <c r="F542">
        <v>10</v>
      </c>
      <c r="G542" t="str">
        <f>T("매운아몬드")</f>
        <v>매운아몬드</v>
      </c>
      <c r="J542" t="str">
        <f>T("사이렌")</f>
        <v>사이렌</v>
      </c>
      <c r="K542" t="str">
        <f>T("[e북]신라의 왕좌는 제 겁니다")</f>
        <v>[e북]신라의 왕좌는 제 겁니다</v>
      </c>
      <c r="L542">
        <v>3200</v>
      </c>
      <c r="M542">
        <v>3200</v>
      </c>
      <c r="N542">
        <v>1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3200</v>
      </c>
      <c r="AJ542">
        <v>1</v>
      </c>
      <c r="AK542">
        <v>0</v>
      </c>
      <c r="AL542">
        <v>0</v>
      </c>
      <c r="AM542">
        <v>3200</v>
      </c>
      <c r="AN542">
        <v>0</v>
      </c>
      <c r="AO542">
        <v>0</v>
      </c>
      <c r="AP542">
        <v>0</v>
      </c>
      <c r="AQ542">
        <v>0</v>
      </c>
      <c r="AS542">
        <v>0</v>
      </c>
      <c r="AT542">
        <v>0</v>
      </c>
      <c r="AV542">
        <v>0</v>
      </c>
      <c r="AW542">
        <v>0</v>
      </c>
      <c r="AY542">
        <v>0</v>
      </c>
      <c r="AZ542">
        <v>0</v>
      </c>
      <c r="BA542">
        <v>1920</v>
      </c>
      <c r="BE542" t="str">
        <f>T("9791172700560")</f>
        <v>9791172700560</v>
      </c>
      <c r="BF542" t="str">
        <f>T("D026382")</f>
        <v>D026382</v>
      </c>
      <c r="BG542" t="str">
        <f>T("판타지 e북 &gt; 대체 역사물")</f>
        <v>판타지 e북 &gt; 대체 역사물</v>
      </c>
    </row>
    <row r="543" spans="1:59">
      <c r="A543" t="s">
        <v>60</v>
      </c>
      <c r="B543" s="1">
        <v>46130</v>
      </c>
      <c r="C543">
        <v>2378075496</v>
      </c>
      <c r="D543">
        <v>2378075496</v>
      </c>
      <c r="E543" t="str">
        <f>T("[e북]신라의 왕좌는 제 겁니다 1권")</f>
        <v>[e북]신라의 왕좌는 제 겁니다 1권</v>
      </c>
      <c r="F543">
        <v>1</v>
      </c>
      <c r="G543" t="str">
        <f>T("매운아몬드")</f>
        <v>매운아몬드</v>
      </c>
      <c r="J543" t="str">
        <f>T("사이렌")</f>
        <v>사이렌</v>
      </c>
      <c r="K543" t="str">
        <f>T("[e북]신라의 왕좌는 제 겁니다")</f>
        <v>[e북]신라의 왕좌는 제 겁니다</v>
      </c>
      <c r="L543">
        <v>0</v>
      </c>
      <c r="M543">
        <v>0</v>
      </c>
      <c r="N543">
        <v>0</v>
      </c>
      <c r="O543">
        <v>1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1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S543">
        <v>0</v>
      </c>
      <c r="AT543">
        <v>0</v>
      </c>
      <c r="AV543">
        <v>0</v>
      </c>
      <c r="AW543">
        <v>0</v>
      </c>
      <c r="AY543">
        <v>0</v>
      </c>
      <c r="AZ543">
        <v>0</v>
      </c>
      <c r="BA543">
        <v>0</v>
      </c>
      <c r="BE543" t="str">
        <f>T("9791172700478")</f>
        <v>9791172700478</v>
      </c>
      <c r="BF543" t="str">
        <f>T("D026373")</f>
        <v>D026373</v>
      </c>
      <c r="BG543" t="str">
        <f>T("판타지 e북 &gt; 대체 역사물")</f>
        <v>판타지 e북 &gt; 대체 역사물</v>
      </c>
    </row>
    <row r="544" spans="1:59">
      <c r="A544" t="s">
        <v>60</v>
      </c>
      <c r="B544" s="1">
        <v>46131</v>
      </c>
      <c r="C544">
        <v>2378075496</v>
      </c>
      <c r="D544">
        <v>2378075506</v>
      </c>
      <c r="E544" t="str">
        <f>T("[e북]신라의 왕좌는 제 겁니다 11권 (완결)")</f>
        <v>[e북]신라의 왕좌는 제 겁니다 11권 (완결)</v>
      </c>
      <c r="F544">
        <v>11</v>
      </c>
      <c r="G544" t="str">
        <f>T("매운아몬드")</f>
        <v>매운아몬드</v>
      </c>
      <c r="J544" t="str">
        <f>T("사이렌")</f>
        <v>사이렌</v>
      </c>
      <c r="K544" t="str">
        <f>T("[e북]신라의 왕좌는 제 겁니다")</f>
        <v>[e북]신라의 왕좌는 제 겁니다</v>
      </c>
      <c r="L544">
        <v>3200</v>
      </c>
      <c r="M544">
        <v>3200</v>
      </c>
      <c r="N544">
        <v>1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3200</v>
      </c>
      <c r="AJ544">
        <v>1</v>
      </c>
      <c r="AK544">
        <v>0</v>
      </c>
      <c r="AL544">
        <v>0</v>
      </c>
      <c r="AM544">
        <v>3200</v>
      </c>
      <c r="AN544">
        <v>0</v>
      </c>
      <c r="AO544">
        <v>0</v>
      </c>
      <c r="AP544">
        <v>0</v>
      </c>
      <c r="AQ544">
        <v>0</v>
      </c>
      <c r="AS544">
        <v>0</v>
      </c>
      <c r="AT544">
        <v>0</v>
      </c>
      <c r="AV544">
        <v>0</v>
      </c>
      <c r="AW544">
        <v>0</v>
      </c>
      <c r="AY544">
        <v>0</v>
      </c>
      <c r="AZ544">
        <v>0</v>
      </c>
      <c r="BA544">
        <v>1920</v>
      </c>
      <c r="BE544" t="str">
        <f>T("9791172700577")</f>
        <v>9791172700577</v>
      </c>
      <c r="BF544" t="str">
        <f>T("D026383")</f>
        <v>D026383</v>
      </c>
      <c r="BG544" t="str">
        <f>T("판타지 e북 &gt; 대체 역사물")</f>
        <v>판타지 e북 &gt; 대체 역사물</v>
      </c>
    </row>
    <row r="545" spans="1:59">
      <c r="A545" t="s">
        <v>60</v>
      </c>
      <c r="B545" s="1">
        <v>46130</v>
      </c>
      <c r="C545">
        <v>2378029550</v>
      </c>
      <c r="D545">
        <v>2378029550</v>
      </c>
      <c r="E545" t="str">
        <f>T("[e북]신을 잡는 절대자 1권")</f>
        <v>[e북]신을 잡는 절대자 1권</v>
      </c>
      <c r="F545">
        <v>1</v>
      </c>
      <c r="G545" t="str">
        <f>T("흰백작")</f>
        <v>흰백작</v>
      </c>
      <c r="J545" t="str">
        <f>T("팀오쉬")</f>
        <v>팀오쉬</v>
      </c>
      <c r="K545" t="str">
        <f>T("[e북]신을 잡는 절대자")</f>
        <v>[e북]신을 잡는 절대자</v>
      </c>
      <c r="L545">
        <v>0</v>
      </c>
      <c r="M545">
        <v>0</v>
      </c>
      <c r="N545">
        <v>0</v>
      </c>
      <c r="O545">
        <v>1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1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S545">
        <v>0</v>
      </c>
      <c r="AT545">
        <v>0</v>
      </c>
      <c r="AV545">
        <v>0</v>
      </c>
      <c r="AW545">
        <v>0</v>
      </c>
      <c r="AY545">
        <v>0</v>
      </c>
      <c r="AZ545">
        <v>0</v>
      </c>
      <c r="BA545">
        <v>0</v>
      </c>
      <c r="BE545" t="str">
        <f>T("9791191287660")</f>
        <v>9791191287660</v>
      </c>
      <c r="BF545" t="str">
        <f>T("E827205")</f>
        <v>E827205</v>
      </c>
      <c r="BG545" t="str">
        <f>T("판타지 e북 &gt; 퓨전 판타지")</f>
        <v>판타지 e북 &gt; 퓨전 판타지</v>
      </c>
    </row>
    <row r="546" spans="1:59">
      <c r="A546" t="s">
        <v>60</v>
      </c>
      <c r="B546" s="1">
        <v>46129</v>
      </c>
      <c r="C546">
        <v>2378077433</v>
      </c>
      <c r="D546">
        <v>2378077433</v>
      </c>
      <c r="E546" t="str">
        <f>T("[e북]아기 털 뭉치들이 나만 따라다님 1권")</f>
        <v>[e북]아기 털 뭉치들이 나만 따라다님 1권</v>
      </c>
      <c r="F546">
        <v>1</v>
      </c>
      <c r="G546" t="str">
        <f>T("로미유")</f>
        <v>로미유</v>
      </c>
      <c r="J546" t="str">
        <f>T("앨리스")</f>
        <v>앨리스</v>
      </c>
      <c r="K546" t="str">
        <f>T("[e북]아기 털 뭉치들이 나만 따라다님")</f>
        <v>[e북]아기 털 뭉치들이 나만 따라다님</v>
      </c>
      <c r="L546">
        <v>3100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8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8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S546">
        <v>0</v>
      </c>
      <c r="AT546">
        <v>0</v>
      </c>
      <c r="AV546">
        <v>0</v>
      </c>
      <c r="AW546">
        <v>0</v>
      </c>
      <c r="AY546">
        <v>0</v>
      </c>
      <c r="AZ546">
        <v>0</v>
      </c>
      <c r="BA546">
        <v>0</v>
      </c>
      <c r="BE546" t="str">
        <f>T("9791189360795")</f>
        <v>9791189360795</v>
      </c>
      <c r="BF546" t="str">
        <f>T("D088934")</f>
        <v>D088934</v>
      </c>
      <c r="BG546" t="str">
        <f>T("로판 e북 &gt; 서양풍 로판")</f>
        <v>로판 e북 &gt; 서양풍 로판</v>
      </c>
    </row>
    <row r="547" spans="1:59">
      <c r="A547" t="s">
        <v>60</v>
      </c>
      <c r="B547" s="1">
        <v>46130</v>
      </c>
      <c r="C547">
        <v>2378077433</v>
      </c>
      <c r="D547">
        <v>2378077433</v>
      </c>
      <c r="E547" t="str">
        <f>T("[e북]아기 털 뭉치들이 나만 따라다님 1권")</f>
        <v>[e북]아기 털 뭉치들이 나만 따라다님 1권</v>
      </c>
      <c r="F547">
        <v>1</v>
      </c>
      <c r="G547" t="str">
        <f>T("로미유")</f>
        <v>로미유</v>
      </c>
      <c r="J547" t="str">
        <f>T("앨리스")</f>
        <v>앨리스</v>
      </c>
      <c r="K547" t="str">
        <f>T("[e북]아기 털 뭉치들이 나만 따라다님")</f>
        <v>[e북]아기 털 뭉치들이 나만 따라다님</v>
      </c>
      <c r="L547">
        <v>3100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3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3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S547">
        <v>0</v>
      </c>
      <c r="AT547">
        <v>0</v>
      </c>
      <c r="AV547">
        <v>0</v>
      </c>
      <c r="AW547">
        <v>0</v>
      </c>
      <c r="AY547">
        <v>0</v>
      </c>
      <c r="AZ547">
        <v>0</v>
      </c>
      <c r="BA547">
        <v>0</v>
      </c>
      <c r="BE547" t="str">
        <f>T("9791189360795")</f>
        <v>9791189360795</v>
      </c>
      <c r="BF547" t="str">
        <f>T("D088934")</f>
        <v>D088934</v>
      </c>
      <c r="BG547" t="str">
        <f>T("로판 e북 &gt; 서양풍 로판")</f>
        <v>로판 e북 &gt; 서양풍 로판</v>
      </c>
    </row>
    <row r="548" spans="1:59">
      <c r="A548" t="s">
        <v>60</v>
      </c>
      <c r="B548" s="1">
        <v>46131</v>
      </c>
      <c r="C548">
        <v>2378077433</v>
      </c>
      <c r="D548">
        <v>2378077433</v>
      </c>
      <c r="E548" t="str">
        <f>T("[e북]아기 털 뭉치들이 나만 따라다님 1권")</f>
        <v>[e북]아기 털 뭉치들이 나만 따라다님 1권</v>
      </c>
      <c r="F548">
        <v>1</v>
      </c>
      <c r="G548" t="str">
        <f>T("로미유")</f>
        <v>로미유</v>
      </c>
      <c r="J548" t="str">
        <f>T("앨리스")</f>
        <v>앨리스</v>
      </c>
      <c r="K548" t="str">
        <f>T("[e북]아기 털 뭉치들이 나만 따라다님")</f>
        <v>[e북]아기 털 뭉치들이 나만 따라다님</v>
      </c>
      <c r="L548">
        <v>3100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1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1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S548">
        <v>0</v>
      </c>
      <c r="AT548">
        <v>0</v>
      </c>
      <c r="AV548">
        <v>0</v>
      </c>
      <c r="AW548">
        <v>0</v>
      </c>
      <c r="AY548">
        <v>0</v>
      </c>
      <c r="AZ548">
        <v>0</v>
      </c>
      <c r="BA548">
        <v>0</v>
      </c>
      <c r="BE548" t="str">
        <f>T("9791189360795")</f>
        <v>9791189360795</v>
      </c>
      <c r="BF548" t="str">
        <f>T("D088934")</f>
        <v>D088934</v>
      </c>
      <c r="BG548" t="str">
        <f>T("로판 e북 &gt; 서양풍 로판")</f>
        <v>로판 e북 &gt; 서양풍 로판</v>
      </c>
    </row>
    <row r="549" spans="1:59">
      <c r="A549" t="s">
        <v>60</v>
      </c>
      <c r="B549" s="1">
        <v>46129</v>
      </c>
      <c r="C549">
        <v>2378055443</v>
      </c>
      <c r="D549">
        <v>2378077687</v>
      </c>
      <c r="E549" t="str">
        <f>T("[e북]아우토반 로맨스 (외전2)")</f>
        <v>[e북]아우토반 로맨스 (외전2)</v>
      </c>
      <c r="F549">
        <v>6</v>
      </c>
      <c r="G549" t="str">
        <f>T("표고밥")</f>
        <v>표고밥</v>
      </c>
      <c r="J549" t="str">
        <f>T("체셔")</f>
        <v>체셔</v>
      </c>
      <c r="K549" t="str">
        <f>T("[e북]아우토반 로맨스")</f>
        <v>[e북]아우토반 로맨스</v>
      </c>
      <c r="L549">
        <v>3000</v>
      </c>
      <c r="M549">
        <v>12000</v>
      </c>
      <c r="N549">
        <v>4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12000</v>
      </c>
      <c r="AJ549">
        <v>4</v>
      </c>
      <c r="AK549">
        <v>0</v>
      </c>
      <c r="AL549">
        <v>0</v>
      </c>
      <c r="AM549">
        <v>9000</v>
      </c>
      <c r="AN549">
        <v>0</v>
      </c>
      <c r="AO549">
        <v>3600</v>
      </c>
      <c r="AP549">
        <v>-360</v>
      </c>
      <c r="AQ549">
        <v>0</v>
      </c>
      <c r="AS549">
        <v>0</v>
      </c>
      <c r="AT549">
        <v>0</v>
      </c>
      <c r="AU549">
        <v>3600</v>
      </c>
      <c r="AV549">
        <v>-360</v>
      </c>
      <c r="AW549">
        <v>0</v>
      </c>
      <c r="AY549">
        <v>0</v>
      </c>
      <c r="AZ549">
        <v>0</v>
      </c>
      <c r="BA549">
        <v>8568</v>
      </c>
      <c r="BE549" t="str">
        <f>T("9791164835249")</f>
        <v>9791164835249</v>
      </c>
      <c r="BF549" t="str">
        <f>T("D100410")</f>
        <v>D100410</v>
      </c>
      <c r="BG549" t="str">
        <f>T("BL 소설 e북 &gt; 현대물")</f>
        <v>BL 소설 e북 &gt; 현대물</v>
      </c>
    </row>
    <row r="550" spans="1:59">
      <c r="A550" t="s">
        <v>60</v>
      </c>
      <c r="B550" s="1">
        <v>46129</v>
      </c>
      <c r="C550">
        <v>2378055443</v>
      </c>
      <c r="D550">
        <v>2378055443</v>
      </c>
      <c r="E550" t="str">
        <f>T("[e북]아우토반 로맨스 1권")</f>
        <v>[e북]아우토반 로맨스 1권</v>
      </c>
      <c r="F550">
        <v>1</v>
      </c>
      <c r="G550" t="str">
        <f>T("표고밥")</f>
        <v>표고밥</v>
      </c>
      <c r="J550" t="str">
        <f>T("체셔")</f>
        <v>체셔</v>
      </c>
      <c r="K550" t="str">
        <f>T("[e북]아우토반 로맨스")</f>
        <v>[e북]아우토반 로맨스</v>
      </c>
      <c r="L550">
        <v>3300</v>
      </c>
      <c r="M550">
        <v>9900</v>
      </c>
      <c r="N550">
        <v>3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9900</v>
      </c>
      <c r="AJ550">
        <v>3</v>
      </c>
      <c r="AK550">
        <v>0</v>
      </c>
      <c r="AL550">
        <v>0</v>
      </c>
      <c r="AM550">
        <v>6600</v>
      </c>
      <c r="AN550">
        <v>0</v>
      </c>
      <c r="AO550">
        <v>3960</v>
      </c>
      <c r="AP550">
        <v>-396</v>
      </c>
      <c r="AQ550">
        <v>0</v>
      </c>
      <c r="AS550">
        <v>0</v>
      </c>
      <c r="AT550">
        <v>0</v>
      </c>
      <c r="AV550">
        <v>0</v>
      </c>
      <c r="AW550">
        <v>0</v>
      </c>
      <c r="AX550">
        <v>3960</v>
      </c>
      <c r="AY550">
        <v>-396</v>
      </c>
      <c r="AZ550">
        <v>0</v>
      </c>
      <c r="BA550">
        <v>7114.8</v>
      </c>
      <c r="BE550" t="str">
        <f>T("9791164834129")</f>
        <v>9791164834129</v>
      </c>
      <c r="BF550" t="str">
        <f>T("k129791")</f>
        <v>k129791</v>
      </c>
      <c r="BG550" t="str">
        <f>T("BL 소설 e북 &gt; 현대물")</f>
        <v>BL 소설 e북 &gt; 현대물</v>
      </c>
    </row>
    <row r="551" spans="1:59">
      <c r="A551" t="s">
        <v>60</v>
      </c>
      <c r="B551" s="1">
        <v>46129</v>
      </c>
      <c r="C551">
        <v>2378055443</v>
      </c>
      <c r="D551">
        <v>2378055444</v>
      </c>
      <c r="E551" t="str">
        <f>T("[e북]아우토반 로맨스 2권")</f>
        <v>[e북]아우토반 로맨스 2권</v>
      </c>
      <c r="F551">
        <v>2</v>
      </c>
      <c r="G551" t="str">
        <f>T("표고밥")</f>
        <v>표고밥</v>
      </c>
      <c r="J551" t="str">
        <f>T("체셔")</f>
        <v>체셔</v>
      </c>
      <c r="K551" t="str">
        <f>T("[e북]아우토반 로맨스")</f>
        <v>[e북]아우토반 로맨스</v>
      </c>
      <c r="L551">
        <v>3300</v>
      </c>
      <c r="M551">
        <v>13200</v>
      </c>
      <c r="N551">
        <v>4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13200</v>
      </c>
      <c r="AJ551">
        <v>4</v>
      </c>
      <c r="AK551">
        <v>0</v>
      </c>
      <c r="AL551">
        <v>0</v>
      </c>
      <c r="AM551">
        <v>9900</v>
      </c>
      <c r="AN551">
        <v>0</v>
      </c>
      <c r="AO551">
        <v>3960</v>
      </c>
      <c r="AP551">
        <v>-396</v>
      </c>
      <c r="AQ551">
        <v>0</v>
      </c>
      <c r="AS551">
        <v>0</v>
      </c>
      <c r="AT551">
        <v>0</v>
      </c>
      <c r="AV551">
        <v>0</v>
      </c>
      <c r="AW551">
        <v>0</v>
      </c>
      <c r="AX551">
        <v>3960</v>
      </c>
      <c r="AY551">
        <v>-396</v>
      </c>
      <c r="AZ551">
        <v>0</v>
      </c>
      <c r="BA551">
        <v>9424.7999999999993</v>
      </c>
      <c r="BE551" t="str">
        <f>T("9791164834136")</f>
        <v>9791164834136</v>
      </c>
      <c r="BF551" t="str">
        <f>T("k129792")</f>
        <v>k129792</v>
      </c>
      <c r="BG551" t="str">
        <f>T("BL 소설 e북 &gt; 현대물")</f>
        <v>BL 소설 e북 &gt; 현대물</v>
      </c>
    </row>
    <row r="552" spans="1:59">
      <c r="A552" t="s">
        <v>60</v>
      </c>
      <c r="B552" s="1">
        <v>46129</v>
      </c>
      <c r="C552">
        <v>2378055443</v>
      </c>
      <c r="D552">
        <v>2378055445</v>
      </c>
      <c r="E552" t="str">
        <f>T("[e북]아우토반 로맨스 3권")</f>
        <v>[e북]아우토반 로맨스 3권</v>
      </c>
      <c r="F552">
        <v>3</v>
      </c>
      <c r="G552" t="str">
        <f>T("표고밥")</f>
        <v>표고밥</v>
      </c>
      <c r="J552" t="str">
        <f>T("체셔")</f>
        <v>체셔</v>
      </c>
      <c r="K552" t="str">
        <f>T("[e북]아우토반 로맨스")</f>
        <v>[e북]아우토반 로맨스</v>
      </c>
      <c r="L552">
        <v>3300</v>
      </c>
      <c r="M552">
        <v>16500</v>
      </c>
      <c r="N552">
        <v>5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16500</v>
      </c>
      <c r="AJ552">
        <v>5</v>
      </c>
      <c r="AK552">
        <v>0</v>
      </c>
      <c r="AL552">
        <v>0</v>
      </c>
      <c r="AM552">
        <v>9900</v>
      </c>
      <c r="AN552">
        <v>0</v>
      </c>
      <c r="AO552">
        <v>7920</v>
      </c>
      <c r="AP552">
        <v>-1584</v>
      </c>
      <c r="AQ552">
        <v>0</v>
      </c>
      <c r="AR552">
        <v>3960</v>
      </c>
      <c r="AS552">
        <v>-1188</v>
      </c>
      <c r="AT552">
        <v>0</v>
      </c>
      <c r="AV552">
        <v>0</v>
      </c>
      <c r="AW552">
        <v>0</v>
      </c>
      <c r="AX552">
        <v>3960</v>
      </c>
      <c r="AY552">
        <v>-396</v>
      </c>
      <c r="AZ552">
        <v>0</v>
      </c>
      <c r="BA552">
        <v>11365.2</v>
      </c>
      <c r="BE552" t="str">
        <f>T("9791164834143")</f>
        <v>9791164834143</v>
      </c>
      <c r="BF552" t="str">
        <f>T("k129793")</f>
        <v>k129793</v>
      </c>
      <c r="BG552" t="str">
        <f>T("BL 소설 e북 &gt; 현대물")</f>
        <v>BL 소설 e북 &gt; 현대물</v>
      </c>
    </row>
    <row r="553" spans="1:59">
      <c r="A553" t="s">
        <v>60</v>
      </c>
      <c r="B553" s="1">
        <v>46129</v>
      </c>
      <c r="C553">
        <v>2378055443</v>
      </c>
      <c r="D553">
        <v>2378055446</v>
      </c>
      <c r="E553" t="str">
        <f>T("[e북]아우토반 로맨스 4권 (완결)")</f>
        <v>[e북]아우토반 로맨스 4권 (완결)</v>
      </c>
      <c r="F553">
        <v>4</v>
      </c>
      <c r="G553" t="str">
        <f>T("표고밥")</f>
        <v>표고밥</v>
      </c>
      <c r="J553" t="str">
        <f>T("체셔")</f>
        <v>체셔</v>
      </c>
      <c r="K553" t="str">
        <f>T("[e북]아우토반 로맨스")</f>
        <v>[e북]아우토반 로맨스</v>
      </c>
      <c r="L553">
        <v>3300</v>
      </c>
      <c r="M553">
        <v>13200</v>
      </c>
      <c r="N553">
        <v>4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13200</v>
      </c>
      <c r="AJ553">
        <v>4</v>
      </c>
      <c r="AK553">
        <v>0</v>
      </c>
      <c r="AL553">
        <v>0</v>
      </c>
      <c r="AM553">
        <v>9900</v>
      </c>
      <c r="AN553">
        <v>0</v>
      </c>
      <c r="AO553">
        <v>3960</v>
      </c>
      <c r="AP553">
        <v>-396</v>
      </c>
      <c r="AQ553">
        <v>0</v>
      </c>
      <c r="AS553">
        <v>0</v>
      </c>
      <c r="AT553">
        <v>0</v>
      </c>
      <c r="AV553">
        <v>0</v>
      </c>
      <c r="AW553">
        <v>0</v>
      </c>
      <c r="AX553">
        <v>3960</v>
      </c>
      <c r="AY553">
        <v>-396</v>
      </c>
      <c r="AZ553">
        <v>0</v>
      </c>
      <c r="BA553">
        <v>9424.7999999999993</v>
      </c>
      <c r="BE553" t="str">
        <f>T("9791164834150")</f>
        <v>9791164834150</v>
      </c>
      <c r="BF553" t="str">
        <f>T("k129794")</f>
        <v>k129794</v>
      </c>
      <c r="BG553" t="str">
        <f>T("BL 소설 e북 &gt; 현대물")</f>
        <v>BL 소설 e북 &gt; 현대물</v>
      </c>
    </row>
    <row r="554" spans="1:59">
      <c r="A554" t="s">
        <v>60</v>
      </c>
      <c r="B554" s="1">
        <v>46129</v>
      </c>
      <c r="C554">
        <v>2378055443</v>
      </c>
      <c r="D554">
        <v>2378066798</v>
      </c>
      <c r="E554" t="str">
        <f>T("[e북]아우토반 로맨스 (외전)")</f>
        <v>[e북]아우토반 로맨스 (외전)</v>
      </c>
      <c r="F554">
        <v>5</v>
      </c>
      <c r="G554" t="str">
        <f>T("표고밥")</f>
        <v>표고밥</v>
      </c>
      <c r="J554" t="str">
        <f>T("체셔")</f>
        <v>체셔</v>
      </c>
      <c r="K554" t="str">
        <f>T("[e북]아우토반 로맨스")</f>
        <v>[e북]아우토반 로맨스</v>
      </c>
      <c r="L554">
        <v>3000</v>
      </c>
      <c r="M554">
        <v>12000</v>
      </c>
      <c r="N554">
        <v>4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12000</v>
      </c>
      <c r="AJ554">
        <v>4</v>
      </c>
      <c r="AK554">
        <v>0</v>
      </c>
      <c r="AL554">
        <v>0</v>
      </c>
      <c r="AM554">
        <v>12000</v>
      </c>
      <c r="AN554">
        <v>0</v>
      </c>
      <c r="AO554">
        <v>0</v>
      </c>
      <c r="AP554">
        <v>0</v>
      </c>
      <c r="AQ554">
        <v>0</v>
      </c>
      <c r="AS554">
        <v>0</v>
      </c>
      <c r="AT554">
        <v>0</v>
      </c>
      <c r="AV554">
        <v>0</v>
      </c>
      <c r="AW554">
        <v>0</v>
      </c>
      <c r="AY554">
        <v>0</v>
      </c>
      <c r="AZ554">
        <v>0</v>
      </c>
      <c r="BA554">
        <v>8400</v>
      </c>
      <c r="BE554" t="str">
        <f>T("9791164834594")</f>
        <v>9791164834594</v>
      </c>
      <c r="BF554" t="str">
        <f>T("k315106")</f>
        <v>k315106</v>
      </c>
      <c r="BG554" t="str">
        <f>T("BL 소설 e북 &gt; 현대물")</f>
        <v>BL 소설 e북 &gt; 현대물</v>
      </c>
    </row>
    <row r="555" spans="1:59">
      <c r="A555" t="s">
        <v>60</v>
      </c>
      <c r="B555" s="1">
        <v>46130</v>
      </c>
      <c r="C555">
        <v>2378055443</v>
      </c>
      <c r="D555">
        <v>2378066798</v>
      </c>
      <c r="E555" t="str">
        <f>T("[e북]아우토반 로맨스 (외전)")</f>
        <v>[e북]아우토반 로맨스 (외전)</v>
      </c>
      <c r="F555">
        <v>5</v>
      </c>
      <c r="G555" t="str">
        <f>T("표고밥")</f>
        <v>표고밥</v>
      </c>
      <c r="J555" t="str">
        <f>T("체셔")</f>
        <v>체셔</v>
      </c>
      <c r="K555" t="str">
        <f>T("[e북]아우토반 로맨스")</f>
        <v>[e북]아우토반 로맨스</v>
      </c>
      <c r="L555">
        <v>3000</v>
      </c>
      <c r="M555">
        <v>6000</v>
      </c>
      <c r="N555">
        <v>2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6000</v>
      </c>
      <c r="AJ555">
        <v>2</v>
      </c>
      <c r="AK555">
        <v>0</v>
      </c>
      <c r="AL555">
        <v>0</v>
      </c>
      <c r="AM555">
        <v>3000</v>
      </c>
      <c r="AN555">
        <v>0</v>
      </c>
      <c r="AO555">
        <v>3600</v>
      </c>
      <c r="AP555">
        <v>-360</v>
      </c>
      <c r="AQ555">
        <v>0</v>
      </c>
      <c r="AS555">
        <v>0</v>
      </c>
      <c r="AT555">
        <v>0</v>
      </c>
      <c r="AV555">
        <v>0</v>
      </c>
      <c r="AW555">
        <v>0</v>
      </c>
      <c r="AX555">
        <v>3600</v>
      </c>
      <c r="AY555">
        <v>-360</v>
      </c>
      <c r="AZ555">
        <v>0</v>
      </c>
      <c r="BA555">
        <v>4368</v>
      </c>
      <c r="BE555" t="str">
        <f>T("9791164834594")</f>
        <v>9791164834594</v>
      </c>
      <c r="BF555" t="str">
        <f>T("k315106")</f>
        <v>k315106</v>
      </c>
      <c r="BG555" t="str">
        <f>T("BL 소설 e북 &gt; 현대물")</f>
        <v>BL 소설 e북 &gt; 현대물</v>
      </c>
    </row>
    <row r="556" spans="1:59">
      <c r="A556" t="s">
        <v>60</v>
      </c>
      <c r="B556" s="1">
        <v>46130</v>
      </c>
      <c r="C556">
        <v>2378055443</v>
      </c>
      <c r="D556">
        <v>2378055446</v>
      </c>
      <c r="E556" t="str">
        <f>T("[e북]아우토반 로맨스 4권 (완결)")</f>
        <v>[e북]아우토반 로맨스 4권 (완결)</v>
      </c>
      <c r="F556">
        <v>4</v>
      </c>
      <c r="G556" t="str">
        <f>T("표고밥")</f>
        <v>표고밥</v>
      </c>
      <c r="J556" t="str">
        <f>T("체셔")</f>
        <v>체셔</v>
      </c>
      <c r="K556" t="str">
        <f>T("[e북]아우토반 로맨스")</f>
        <v>[e북]아우토반 로맨스</v>
      </c>
      <c r="L556">
        <v>3300</v>
      </c>
      <c r="M556">
        <v>9900</v>
      </c>
      <c r="N556">
        <v>3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9900</v>
      </c>
      <c r="AJ556">
        <v>3</v>
      </c>
      <c r="AK556">
        <v>0</v>
      </c>
      <c r="AL556">
        <v>0</v>
      </c>
      <c r="AM556">
        <v>6600</v>
      </c>
      <c r="AN556">
        <v>0</v>
      </c>
      <c r="AO556">
        <v>3960</v>
      </c>
      <c r="AP556">
        <v>-1188</v>
      </c>
      <c r="AQ556">
        <v>0</v>
      </c>
      <c r="AR556">
        <v>3960</v>
      </c>
      <c r="AS556">
        <v>-1188</v>
      </c>
      <c r="AT556">
        <v>0</v>
      </c>
      <c r="AV556">
        <v>0</v>
      </c>
      <c r="AW556">
        <v>0</v>
      </c>
      <c r="AY556">
        <v>0</v>
      </c>
      <c r="AZ556">
        <v>0</v>
      </c>
      <c r="BA556">
        <v>6560.4</v>
      </c>
      <c r="BE556" t="str">
        <f>T("9791164834150")</f>
        <v>9791164834150</v>
      </c>
      <c r="BF556" t="str">
        <f>T("k129794")</f>
        <v>k129794</v>
      </c>
      <c r="BG556" t="str">
        <f>T("BL 소설 e북 &gt; 현대물")</f>
        <v>BL 소설 e북 &gt; 현대물</v>
      </c>
    </row>
    <row r="557" spans="1:59">
      <c r="A557" t="s">
        <v>60</v>
      </c>
      <c r="B557" s="1">
        <v>46130</v>
      </c>
      <c r="C557">
        <v>2378055443</v>
      </c>
      <c r="D557">
        <v>2378055443</v>
      </c>
      <c r="E557" t="str">
        <f>T("[e북]아우토반 로맨스 1권")</f>
        <v>[e북]아우토반 로맨스 1권</v>
      </c>
      <c r="F557">
        <v>1</v>
      </c>
      <c r="G557" t="str">
        <f>T("표고밥")</f>
        <v>표고밥</v>
      </c>
      <c r="J557" t="str">
        <f>T("체셔")</f>
        <v>체셔</v>
      </c>
      <c r="K557" t="str">
        <f>T("[e북]아우토반 로맨스")</f>
        <v>[e북]아우토반 로맨스</v>
      </c>
      <c r="L557">
        <v>3300</v>
      </c>
      <c r="M557">
        <v>3300</v>
      </c>
      <c r="N557">
        <v>1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3300</v>
      </c>
      <c r="AJ557">
        <v>1</v>
      </c>
      <c r="AK557">
        <v>0</v>
      </c>
      <c r="AL557">
        <v>0</v>
      </c>
      <c r="AM557">
        <v>3300</v>
      </c>
      <c r="AN557">
        <v>0</v>
      </c>
      <c r="AO557">
        <v>0</v>
      </c>
      <c r="AP557">
        <v>0</v>
      </c>
      <c r="AQ557">
        <v>0</v>
      </c>
      <c r="AS557">
        <v>0</v>
      </c>
      <c r="AT557">
        <v>0</v>
      </c>
      <c r="AV557">
        <v>0</v>
      </c>
      <c r="AW557">
        <v>0</v>
      </c>
      <c r="AY557">
        <v>0</v>
      </c>
      <c r="AZ557">
        <v>0</v>
      </c>
      <c r="BA557">
        <v>2310</v>
      </c>
      <c r="BE557" t="str">
        <f>T("9791164834129")</f>
        <v>9791164834129</v>
      </c>
      <c r="BF557" t="str">
        <f>T("k129791")</f>
        <v>k129791</v>
      </c>
      <c r="BG557" t="str">
        <f>T("BL 소설 e북 &gt; 현대물")</f>
        <v>BL 소설 e북 &gt; 현대물</v>
      </c>
    </row>
    <row r="558" spans="1:59">
      <c r="A558" t="s">
        <v>60</v>
      </c>
      <c r="B558" s="1">
        <v>46130</v>
      </c>
      <c r="C558">
        <v>2378055443</v>
      </c>
      <c r="D558">
        <v>2378077687</v>
      </c>
      <c r="E558" t="str">
        <f>T("[e북]아우토반 로맨스 (외전2)")</f>
        <v>[e북]아우토반 로맨스 (외전2)</v>
      </c>
      <c r="F558">
        <v>6</v>
      </c>
      <c r="G558" t="str">
        <f>T("표고밥")</f>
        <v>표고밥</v>
      </c>
      <c r="J558" t="str">
        <f>T("체셔")</f>
        <v>체셔</v>
      </c>
      <c r="K558" t="str">
        <f>T("[e북]아우토반 로맨스")</f>
        <v>[e북]아우토반 로맨스</v>
      </c>
      <c r="L558">
        <v>3000</v>
      </c>
      <c r="M558">
        <v>3000</v>
      </c>
      <c r="N558">
        <v>1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3000</v>
      </c>
      <c r="AJ558">
        <v>1</v>
      </c>
      <c r="AK558">
        <v>0</v>
      </c>
      <c r="AL558">
        <v>0</v>
      </c>
      <c r="AM558">
        <v>3000</v>
      </c>
      <c r="AN558">
        <v>0</v>
      </c>
      <c r="AO558">
        <v>0</v>
      </c>
      <c r="AP558">
        <v>0</v>
      </c>
      <c r="AQ558">
        <v>0</v>
      </c>
      <c r="AS558">
        <v>0</v>
      </c>
      <c r="AT558">
        <v>0</v>
      </c>
      <c r="AV558">
        <v>0</v>
      </c>
      <c r="AW558">
        <v>0</v>
      </c>
      <c r="AY558">
        <v>0</v>
      </c>
      <c r="AZ558">
        <v>0</v>
      </c>
      <c r="BA558">
        <v>2100</v>
      </c>
      <c r="BE558" t="str">
        <f>T("9791164835249")</f>
        <v>9791164835249</v>
      </c>
      <c r="BF558" t="str">
        <f>T("D100410")</f>
        <v>D100410</v>
      </c>
      <c r="BG558" t="str">
        <f>T("BL 소설 e북 &gt; 현대물")</f>
        <v>BL 소설 e북 &gt; 현대물</v>
      </c>
    </row>
    <row r="559" spans="1:59">
      <c r="A559" t="s">
        <v>60</v>
      </c>
      <c r="B559" s="1">
        <v>46131</v>
      </c>
      <c r="C559">
        <v>2378055443</v>
      </c>
      <c r="D559">
        <v>2378055443</v>
      </c>
      <c r="E559" t="str">
        <f>T("[e북]아우토반 로맨스 1권")</f>
        <v>[e북]아우토반 로맨스 1권</v>
      </c>
      <c r="F559">
        <v>1</v>
      </c>
      <c r="G559" t="str">
        <f>T("표고밥")</f>
        <v>표고밥</v>
      </c>
      <c r="J559" t="str">
        <f>T("체셔")</f>
        <v>체셔</v>
      </c>
      <c r="K559" t="str">
        <f>T("[e북]아우토반 로맨스")</f>
        <v>[e북]아우토반 로맨스</v>
      </c>
      <c r="L559">
        <v>3300</v>
      </c>
      <c r="M559">
        <v>16500</v>
      </c>
      <c r="N559">
        <v>5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16500</v>
      </c>
      <c r="AJ559">
        <v>5</v>
      </c>
      <c r="AK559">
        <v>0</v>
      </c>
      <c r="AL559">
        <v>0</v>
      </c>
      <c r="AM559">
        <v>16500</v>
      </c>
      <c r="AN559">
        <v>0</v>
      </c>
      <c r="AO559">
        <v>0</v>
      </c>
      <c r="AP559">
        <v>0</v>
      </c>
      <c r="AQ559">
        <v>0</v>
      </c>
      <c r="AS559">
        <v>0</v>
      </c>
      <c r="AT559">
        <v>0</v>
      </c>
      <c r="AV559">
        <v>0</v>
      </c>
      <c r="AW559">
        <v>0</v>
      </c>
      <c r="AY559">
        <v>0</v>
      </c>
      <c r="AZ559">
        <v>0</v>
      </c>
      <c r="BA559">
        <v>11550</v>
      </c>
      <c r="BE559" t="str">
        <f>T("9791164834129")</f>
        <v>9791164834129</v>
      </c>
      <c r="BF559" t="str">
        <f>T("k129791")</f>
        <v>k129791</v>
      </c>
      <c r="BG559" t="str">
        <f>T("BL 소설 e북 &gt; 현대물")</f>
        <v>BL 소설 e북 &gt; 현대물</v>
      </c>
    </row>
    <row r="560" spans="1:59">
      <c r="A560" t="s">
        <v>60</v>
      </c>
      <c r="B560" s="1">
        <v>46131</v>
      </c>
      <c r="C560">
        <v>2378055443</v>
      </c>
      <c r="D560">
        <v>2378055444</v>
      </c>
      <c r="E560" t="str">
        <f>T("[e북]아우토반 로맨스 2권")</f>
        <v>[e북]아우토반 로맨스 2권</v>
      </c>
      <c r="F560">
        <v>2</v>
      </c>
      <c r="G560" t="str">
        <f>T("표고밥")</f>
        <v>표고밥</v>
      </c>
      <c r="J560" t="str">
        <f>T("체셔")</f>
        <v>체셔</v>
      </c>
      <c r="K560" t="str">
        <f>T("[e북]아우토반 로맨스")</f>
        <v>[e북]아우토반 로맨스</v>
      </c>
      <c r="L560">
        <v>3300</v>
      </c>
      <c r="M560">
        <v>6600</v>
      </c>
      <c r="N560">
        <v>2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6600</v>
      </c>
      <c r="AJ560">
        <v>2</v>
      </c>
      <c r="AK560">
        <v>0</v>
      </c>
      <c r="AL560">
        <v>0</v>
      </c>
      <c r="AM560">
        <v>6600</v>
      </c>
      <c r="AN560">
        <v>0</v>
      </c>
      <c r="AO560">
        <v>0</v>
      </c>
      <c r="AP560">
        <v>0</v>
      </c>
      <c r="AQ560">
        <v>0</v>
      </c>
      <c r="AS560">
        <v>0</v>
      </c>
      <c r="AT560">
        <v>0</v>
      </c>
      <c r="AV560">
        <v>0</v>
      </c>
      <c r="AW560">
        <v>0</v>
      </c>
      <c r="AY560">
        <v>0</v>
      </c>
      <c r="AZ560">
        <v>0</v>
      </c>
      <c r="BA560">
        <v>4620</v>
      </c>
      <c r="BE560" t="str">
        <f>T("9791164834136")</f>
        <v>9791164834136</v>
      </c>
      <c r="BF560" t="str">
        <f>T("k129792")</f>
        <v>k129792</v>
      </c>
      <c r="BG560" t="str">
        <f>T("BL 소설 e북 &gt; 현대물")</f>
        <v>BL 소설 e북 &gt; 현대물</v>
      </c>
    </row>
    <row r="561" spans="1:59">
      <c r="A561" t="s">
        <v>60</v>
      </c>
      <c r="B561" s="1">
        <v>46131</v>
      </c>
      <c r="C561">
        <v>2378055443</v>
      </c>
      <c r="D561">
        <v>2378055445</v>
      </c>
      <c r="E561" t="str">
        <f>T("[e북]아우토반 로맨스 3권")</f>
        <v>[e북]아우토반 로맨스 3권</v>
      </c>
      <c r="F561">
        <v>3</v>
      </c>
      <c r="G561" t="str">
        <f>T("표고밥")</f>
        <v>표고밥</v>
      </c>
      <c r="J561" t="str">
        <f>T("체셔")</f>
        <v>체셔</v>
      </c>
      <c r="K561" t="str">
        <f>T("[e북]아우토반 로맨스")</f>
        <v>[e북]아우토반 로맨스</v>
      </c>
      <c r="L561">
        <v>3300</v>
      </c>
      <c r="M561">
        <v>13200</v>
      </c>
      <c r="N561">
        <v>4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13200</v>
      </c>
      <c r="AJ561">
        <v>4</v>
      </c>
      <c r="AK561">
        <v>0</v>
      </c>
      <c r="AL561">
        <v>0</v>
      </c>
      <c r="AM561">
        <v>12950</v>
      </c>
      <c r="AN561">
        <v>0</v>
      </c>
      <c r="AO561">
        <v>300</v>
      </c>
      <c r="AP561">
        <v>-90</v>
      </c>
      <c r="AQ561">
        <v>0</v>
      </c>
      <c r="AR561">
        <v>300</v>
      </c>
      <c r="AS561">
        <v>-90</v>
      </c>
      <c r="AT561">
        <v>0</v>
      </c>
      <c r="AV561">
        <v>0</v>
      </c>
      <c r="AW561">
        <v>0</v>
      </c>
      <c r="AY561">
        <v>0</v>
      </c>
      <c r="AZ561">
        <v>0</v>
      </c>
      <c r="BA561">
        <v>9212</v>
      </c>
      <c r="BE561" t="str">
        <f>T("9791164834143")</f>
        <v>9791164834143</v>
      </c>
      <c r="BF561" t="str">
        <f>T("k129793")</f>
        <v>k129793</v>
      </c>
      <c r="BG561" t="str">
        <f>T("BL 소설 e북 &gt; 현대물")</f>
        <v>BL 소설 e북 &gt; 현대물</v>
      </c>
    </row>
    <row r="562" spans="1:59">
      <c r="A562" t="s">
        <v>60</v>
      </c>
      <c r="B562" s="1">
        <v>46131</v>
      </c>
      <c r="C562">
        <v>2378055443</v>
      </c>
      <c r="D562">
        <v>2378055446</v>
      </c>
      <c r="E562" t="str">
        <f>T("[e북]아우토반 로맨스 4권 (완결)")</f>
        <v>[e북]아우토반 로맨스 4권 (완결)</v>
      </c>
      <c r="F562">
        <v>4</v>
      </c>
      <c r="G562" t="str">
        <f>T("표고밥")</f>
        <v>표고밥</v>
      </c>
      <c r="J562" t="str">
        <f>T("체셔")</f>
        <v>체셔</v>
      </c>
      <c r="K562" t="str">
        <f>T("[e북]아우토반 로맨스")</f>
        <v>[e북]아우토반 로맨스</v>
      </c>
      <c r="L562">
        <v>3300</v>
      </c>
      <c r="M562">
        <v>9900</v>
      </c>
      <c r="N562">
        <v>3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9900</v>
      </c>
      <c r="AJ562">
        <v>3</v>
      </c>
      <c r="AK562">
        <v>0</v>
      </c>
      <c r="AL562">
        <v>0</v>
      </c>
      <c r="AM562">
        <v>6080</v>
      </c>
      <c r="AN562">
        <v>0</v>
      </c>
      <c r="AO562">
        <v>4584</v>
      </c>
      <c r="AP562">
        <v>-1250.4000000000001</v>
      </c>
      <c r="AQ562">
        <v>0</v>
      </c>
      <c r="AR562">
        <v>3960</v>
      </c>
      <c r="AS562">
        <v>-1188</v>
      </c>
      <c r="AT562">
        <v>0</v>
      </c>
      <c r="AU562">
        <v>624</v>
      </c>
      <c r="AV562">
        <v>-62.4</v>
      </c>
      <c r="AW562">
        <v>0</v>
      </c>
      <c r="AY562">
        <v>0</v>
      </c>
      <c r="AZ562">
        <v>0</v>
      </c>
      <c r="BA562">
        <v>6589.52</v>
      </c>
      <c r="BE562" t="str">
        <f>T("9791164834150")</f>
        <v>9791164834150</v>
      </c>
      <c r="BF562" t="str">
        <f>T("k129794")</f>
        <v>k129794</v>
      </c>
      <c r="BG562" t="str">
        <f>T("BL 소설 e북 &gt; 현대물")</f>
        <v>BL 소설 e북 &gt; 현대물</v>
      </c>
    </row>
    <row r="563" spans="1:59">
      <c r="A563" t="s">
        <v>60</v>
      </c>
      <c r="B563" s="1">
        <v>46131</v>
      </c>
      <c r="C563">
        <v>2378055443</v>
      </c>
      <c r="D563">
        <v>2378066798</v>
      </c>
      <c r="E563" t="str">
        <f>T("[e북]아우토반 로맨스 (외전)")</f>
        <v>[e북]아우토반 로맨스 (외전)</v>
      </c>
      <c r="F563">
        <v>5</v>
      </c>
      <c r="G563" t="str">
        <f>T("표고밥")</f>
        <v>표고밥</v>
      </c>
      <c r="J563" t="str">
        <f>T("체셔")</f>
        <v>체셔</v>
      </c>
      <c r="K563" t="str">
        <f>T("[e북]아우토반 로맨스")</f>
        <v>[e북]아우토반 로맨스</v>
      </c>
      <c r="L563">
        <v>3000</v>
      </c>
      <c r="M563">
        <v>3000</v>
      </c>
      <c r="N563">
        <v>1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3000</v>
      </c>
      <c r="AJ563">
        <v>1</v>
      </c>
      <c r="AK563">
        <v>0</v>
      </c>
      <c r="AL563">
        <v>0</v>
      </c>
      <c r="AM563">
        <v>3000</v>
      </c>
      <c r="AN563">
        <v>0</v>
      </c>
      <c r="AO563">
        <v>0</v>
      </c>
      <c r="AP563">
        <v>0</v>
      </c>
      <c r="AQ563">
        <v>0</v>
      </c>
      <c r="AS563">
        <v>0</v>
      </c>
      <c r="AT563">
        <v>0</v>
      </c>
      <c r="AV563">
        <v>0</v>
      </c>
      <c r="AW563">
        <v>0</v>
      </c>
      <c r="AY563">
        <v>0</v>
      </c>
      <c r="AZ563">
        <v>0</v>
      </c>
      <c r="BA563">
        <v>2100</v>
      </c>
      <c r="BE563" t="str">
        <f>T("9791164834594")</f>
        <v>9791164834594</v>
      </c>
      <c r="BF563" t="str">
        <f>T("k315106")</f>
        <v>k315106</v>
      </c>
      <c r="BG563" t="str">
        <f>T("BL 소설 e북 &gt; 현대물")</f>
        <v>BL 소설 e북 &gt; 현대물</v>
      </c>
    </row>
    <row r="564" spans="1:59">
      <c r="A564" t="s">
        <v>60</v>
      </c>
      <c r="B564" s="1">
        <v>46131</v>
      </c>
      <c r="C564">
        <v>2378055443</v>
      </c>
      <c r="D564">
        <v>2378077687</v>
      </c>
      <c r="E564" t="str">
        <f>T("[e북]아우토반 로맨스 (외전2)")</f>
        <v>[e북]아우토반 로맨스 (외전2)</v>
      </c>
      <c r="F564">
        <v>6</v>
      </c>
      <c r="G564" t="str">
        <f>T("표고밥")</f>
        <v>표고밥</v>
      </c>
      <c r="J564" t="str">
        <f>T("체셔")</f>
        <v>체셔</v>
      </c>
      <c r="K564" t="str">
        <f>T("[e북]아우토반 로맨스")</f>
        <v>[e북]아우토반 로맨스</v>
      </c>
      <c r="L564">
        <v>3000</v>
      </c>
      <c r="M564">
        <v>3000</v>
      </c>
      <c r="N564">
        <v>1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3000</v>
      </c>
      <c r="AJ564">
        <v>1</v>
      </c>
      <c r="AK564">
        <v>0</v>
      </c>
      <c r="AL564">
        <v>0</v>
      </c>
      <c r="AM564">
        <v>3000</v>
      </c>
      <c r="AN564">
        <v>0</v>
      </c>
      <c r="AO564">
        <v>0</v>
      </c>
      <c r="AP564">
        <v>0</v>
      </c>
      <c r="AQ564">
        <v>0</v>
      </c>
      <c r="AS564">
        <v>0</v>
      </c>
      <c r="AT564">
        <v>0</v>
      </c>
      <c r="AV564">
        <v>0</v>
      </c>
      <c r="AW564">
        <v>0</v>
      </c>
      <c r="AY564">
        <v>0</v>
      </c>
      <c r="AZ564">
        <v>0</v>
      </c>
      <c r="BA564">
        <v>2100</v>
      </c>
      <c r="BE564" t="str">
        <f>T("9791164835249")</f>
        <v>9791164835249</v>
      </c>
      <c r="BF564" t="str">
        <f>T("D100410")</f>
        <v>D100410</v>
      </c>
      <c r="BG564" t="str">
        <f>T("BL 소설 e북 &gt; 현대물")</f>
        <v>BL 소설 e북 &gt; 현대물</v>
      </c>
    </row>
    <row r="565" spans="1:59">
      <c r="A565" t="s">
        <v>60</v>
      </c>
      <c r="B565" s="1">
        <v>46131</v>
      </c>
      <c r="C565">
        <v>2378070325</v>
      </c>
      <c r="D565">
        <v>2378070325</v>
      </c>
      <c r="E565" t="str">
        <f>T("[e북]아카데미의 권력형 신입생이 되었다 1권")</f>
        <v>[e북]아카데미의 권력형 신입생이 되었다 1권</v>
      </c>
      <c r="F565">
        <v>1</v>
      </c>
      <c r="G565" t="str">
        <f>T("팔전구기")</f>
        <v>팔전구기</v>
      </c>
      <c r="J565" t="str">
        <f>T("매드햇")</f>
        <v>매드햇</v>
      </c>
      <c r="K565" t="str">
        <f>T("[e북]아카데미의 권력형 신입생이 되었다")</f>
        <v>[e북]아카데미의 권력형 신입생이 되었다</v>
      </c>
      <c r="L565">
        <v>0</v>
      </c>
      <c r="M565">
        <v>0</v>
      </c>
      <c r="N565">
        <v>0</v>
      </c>
      <c r="O565">
        <v>1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1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S565">
        <v>0</v>
      </c>
      <c r="AT565">
        <v>0</v>
      </c>
      <c r="AV565">
        <v>0</v>
      </c>
      <c r="AW565">
        <v>0</v>
      </c>
      <c r="AY565">
        <v>0</v>
      </c>
      <c r="AZ565">
        <v>0</v>
      </c>
      <c r="BA565">
        <v>0</v>
      </c>
      <c r="BE565" t="str">
        <f>T("9791137021648")</f>
        <v>9791137021648</v>
      </c>
      <c r="BF565" t="str">
        <f>T("k430322")</f>
        <v>k430322</v>
      </c>
      <c r="BG565" t="str">
        <f>T("판타지 e북 &gt; 퓨전 판타지")</f>
        <v>판타지 e북 &gt; 퓨전 판타지</v>
      </c>
    </row>
    <row r="566" spans="1:59">
      <c r="A566" t="s">
        <v>60</v>
      </c>
      <c r="B566" s="1">
        <v>46129</v>
      </c>
      <c r="C566">
        <v>2378073275</v>
      </c>
      <c r="D566">
        <v>2378073281</v>
      </c>
      <c r="E566" t="str">
        <f>T("[e북]아포칼립스의 좀비가 사는 법 7권")</f>
        <v>[e북]아포칼립스의 좀비가 사는 법 7권</v>
      </c>
      <c r="F566">
        <v>7</v>
      </c>
      <c r="G566" t="str">
        <f>T("E787")</f>
        <v>E787</v>
      </c>
      <c r="J566" t="str">
        <f>T("매드햇")</f>
        <v>매드햇</v>
      </c>
      <c r="K566" t="str">
        <f>T("[e북]아포칼립스의 좀비가 사는 법")</f>
        <v>[e북]아포칼립스의 좀비가 사는 법</v>
      </c>
      <c r="L566">
        <v>3000</v>
      </c>
      <c r="M566">
        <v>3000</v>
      </c>
      <c r="N566">
        <v>1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3000</v>
      </c>
      <c r="AJ566">
        <v>1</v>
      </c>
      <c r="AK566">
        <v>0</v>
      </c>
      <c r="AL566">
        <v>0</v>
      </c>
      <c r="AM566">
        <v>0</v>
      </c>
      <c r="AN566">
        <v>0</v>
      </c>
      <c r="AO566">
        <v>3600</v>
      </c>
      <c r="AP566">
        <v>-360</v>
      </c>
      <c r="AQ566">
        <v>0</v>
      </c>
      <c r="AS566">
        <v>0</v>
      </c>
      <c r="AT566">
        <v>0</v>
      </c>
      <c r="AU566">
        <v>3600</v>
      </c>
      <c r="AV566">
        <v>-360</v>
      </c>
      <c r="AW566">
        <v>0</v>
      </c>
      <c r="AY566">
        <v>0</v>
      </c>
      <c r="AZ566">
        <v>0</v>
      </c>
      <c r="BA566">
        <v>1944</v>
      </c>
      <c r="BE566" t="str">
        <f>T("9791137022133")</f>
        <v>9791137022133</v>
      </c>
      <c r="BF566" t="str">
        <f>T("B023094")</f>
        <v>B023094</v>
      </c>
      <c r="BG566" t="str">
        <f>T("판타지 e북 &gt; 현대 판타지")</f>
        <v>판타지 e북 &gt; 현대 판타지</v>
      </c>
    </row>
    <row r="567" spans="1:59">
      <c r="A567" t="s">
        <v>60</v>
      </c>
      <c r="B567" s="1">
        <v>46130</v>
      </c>
      <c r="C567">
        <v>2378073275</v>
      </c>
      <c r="D567">
        <v>2378073275</v>
      </c>
      <c r="E567" t="str">
        <f>T("[e북]아포칼립스의 좀비가 사는 법 1권")</f>
        <v>[e북]아포칼립스의 좀비가 사는 법 1권</v>
      </c>
      <c r="F567">
        <v>1</v>
      </c>
      <c r="G567" t="str">
        <f>T("E787")</f>
        <v>E787</v>
      </c>
      <c r="J567" t="str">
        <f>T("매드햇")</f>
        <v>매드햇</v>
      </c>
      <c r="K567" t="str">
        <f>T("[e북]아포칼립스의 좀비가 사는 법")</f>
        <v>[e북]아포칼립스의 좀비가 사는 법</v>
      </c>
      <c r="L567">
        <v>0</v>
      </c>
      <c r="M567">
        <v>0</v>
      </c>
      <c r="N567">
        <v>0</v>
      </c>
      <c r="O567">
        <v>2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2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S567">
        <v>0</v>
      </c>
      <c r="AT567">
        <v>0</v>
      </c>
      <c r="AV567">
        <v>0</v>
      </c>
      <c r="AW567">
        <v>0</v>
      </c>
      <c r="AY567">
        <v>0</v>
      </c>
      <c r="AZ567">
        <v>0</v>
      </c>
      <c r="BA567">
        <v>0</v>
      </c>
      <c r="BE567" t="str">
        <f>T("9791137022072")</f>
        <v>9791137022072</v>
      </c>
      <c r="BF567" t="str">
        <f>T("B023088")</f>
        <v>B023088</v>
      </c>
      <c r="BG567" t="str">
        <f>T("판타지 e북 &gt; 현대 판타지")</f>
        <v>판타지 e북 &gt; 현대 판타지</v>
      </c>
    </row>
    <row r="568" spans="1:59">
      <c r="A568" t="s">
        <v>60</v>
      </c>
      <c r="B568" s="1">
        <v>46130</v>
      </c>
      <c r="C568">
        <v>2378073275</v>
      </c>
      <c r="D568">
        <v>2378073276</v>
      </c>
      <c r="E568" t="str">
        <f>T("[e북]아포칼립스의 좀비가 사는 법 2권")</f>
        <v>[e북]아포칼립스의 좀비가 사는 법 2권</v>
      </c>
      <c r="F568">
        <v>2</v>
      </c>
      <c r="G568" t="str">
        <f>T("E787")</f>
        <v>E787</v>
      </c>
      <c r="J568" t="str">
        <f>T("매드햇")</f>
        <v>매드햇</v>
      </c>
      <c r="K568" t="str">
        <f>T("[e북]아포칼립스의 좀비가 사는 법")</f>
        <v>[e북]아포칼립스의 좀비가 사는 법</v>
      </c>
      <c r="L568">
        <v>3000</v>
      </c>
      <c r="M568">
        <v>3000</v>
      </c>
      <c r="N568">
        <v>1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3000</v>
      </c>
      <c r="AJ568">
        <v>1</v>
      </c>
      <c r="AK568">
        <v>0</v>
      </c>
      <c r="AL568">
        <v>0</v>
      </c>
      <c r="AM568">
        <v>3000</v>
      </c>
      <c r="AN568">
        <v>0</v>
      </c>
      <c r="AO568">
        <v>0</v>
      </c>
      <c r="AP568">
        <v>0</v>
      </c>
      <c r="AQ568">
        <v>0</v>
      </c>
      <c r="AS568">
        <v>0</v>
      </c>
      <c r="AT568">
        <v>0</v>
      </c>
      <c r="AV568">
        <v>0</v>
      </c>
      <c r="AW568">
        <v>0</v>
      </c>
      <c r="AY568">
        <v>0</v>
      </c>
      <c r="AZ568">
        <v>0</v>
      </c>
      <c r="BA568">
        <v>1800</v>
      </c>
      <c r="BE568" t="str">
        <f>T("9791137022089")</f>
        <v>9791137022089</v>
      </c>
      <c r="BF568" t="str">
        <f>T("B023089")</f>
        <v>B023089</v>
      </c>
      <c r="BG568" t="str">
        <f>T("판타지 e북 &gt; 현대 판타지")</f>
        <v>판타지 e북 &gt; 현대 판타지</v>
      </c>
    </row>
    <row r="569" spans="1:59">
      <c r="A569" t="s">
        <v>60</v>
      </c>
      <c r="B569" s="1">
        <v>46131</v>
      </c>
      <c r="C569">
        <v>2378073275</v>
      </c>
      <c r="D569">
        <v>2378073282</v>
      </c>
      <c r="E569" t="str">
        <f>T("[e북]아포칼립스의 좀비가 사는 법 8권 (완결)")</f>
        <v>[e북]아포칼립스의 좀비가 사는 법 8권 (완결)</v>
      </c>
      <c r="F569">
        <v>8</v>
      </c>
      <c r="G569" t="str">
        <f>T("E787")</f>
        <v>E787</v>
      </c>
      <c r="J569" t="str">
        <f>T("매드햇")</f>
        <v>매드햇</v>
      </c>
      <c r="K569" t="str">
        <f>T("[e북]아포칼립스의 좀비가 사는 법")</f>
        <v>[e북]아포칼립스의 좀비가 사는 법</v>
      </c>
      <c r="L569">
        <v>3000</v>
      </c>
      <c r="M569">
        <v>3000</v>
      </c>
      <c r="N569">
        <v>1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3000</v>
      </c>
      <c r="AJ569">
        <v>1</v>
      </c>
      <c r="AK569">
        <v>0</v>
      </c>
      <c r="AL569">
        <v>0</v>
      </c>
      <c r="AM569">
        <v>0</v>
      </c>
      <c r="AN569">
        <v>0</v>
      </c>
      <c r="AO569">
        <v>3600</v>
      </c>
      <c r="AP569">
        <v>-360</v>
      </c>
      <c r="AQ569">
        <v>0</v>
      </c>
      <c r="AS569">
        <v>0</v>
      </c>
      <c r="AT569">
        <v>0</v>
      </c>
      <c r="AU569">
        <v>3600</v>
      </c>
      <c r="AV569">
        <v>-360</v>
      </c>
      <c r="AW569">
        <v>0</v>
      </c>
      <c r="AY569">
        <v>0</v>
      </c>
      <c r="AZ569">
        <v>0</v>
      </c>
      <c r="BA569">
        <v>1944</v>
      </c>
      <c r="BE569" t="str">
        <f>T("9791137022140")</f>
        <v>9791137022140</v>
      </c>
      <c r="BF569" t="str">
        <f>T("B023095")</f>
        <v>B023095</v>
      </c>
      <c r="BG569" t="str">
        <f>T("판타지 e북 &gt; 현대 판타지")</f>
        <v>판타지 e북 &gt; 현대 판타지</v>
      </c>
    </row>
    <row r="570" spans="1:59">
      <c r="A570" t="s">
        <v>60</v>
      </c>
      <c r="B570" s="1">
        <v>46131</v>
      </c>
      <c r="C570">
        <v>2378073275</v>
      </c>
      <c r="D570">
        <v>2378073275</v>
      </c>
      <c r="E570" t="str">
        <f>T("[e북]아포칼립스의 좀비가 사는 법 1권")</f>
        <v>[e북]아포칼립스의 좀비가 사는 법 1권</v>
      </c>
      <c r="F570">
        <v>1</v>
      </c>
      <c r="G570" t="str">
        <f>T("E787")</f>
        <v>E787</v>
      </c>
      <c r="J570" t="str">
        <f>T("매드햇")</f>
        <v>매드햇</v>
      </c>
      <c r="K570" t="str">
        <f>T("[e북]아포칼립스의 좀비가 사는 법")</f>
        <v>[e북]아포칼립스의 좀비가 사는 법</v>
      </c>
      <c r="L570">
        <v>0</v>
      </c>
      <c r="M570">
        <v>0</v>
      </c>
      <c r="N570">
        <v>0</v>
      </c>
      <c r="O570">
        <v>1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1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S570">
        <v>0</v>
      </c>
      <c r="AT570">
        <v>0</v>
      </c>
      <c r="AV570">
        <v>0</v>
      </c>
      <c r="AW570">
        <v>0</v>
      </c>
      <c r="AY570">
        <v>0</v>
      </c>
      <c r="AZ570">
        <v>0</v>
      </c>
      <c r="BA570">
        <v>0</v>
      </c>
      <c r="BE570" t="str">
        <f>T("9791137022072")</f>
        <v>9791137022072</v>
      </c>
      <c r="BF570" t="str">
        <f>T("B023088")</f>
        <v>B023088</v>
      </c>
      <c r="BG570" t="str">
        <f>T("판타지 e북 &gt; 현대 판타지")</f>
        <v>판타지 e북 &gt; 현대 판타지</v>
      </c>
    </row>
    <row r="571" spans="1:59">
      <c r="A571" t="s">
        <v>60</v>
      </c>
      <c r="B571" s="1">
        <v>46129</v>
      </c>
      <c r="C571">
        <v>2378036672</v>
      </c>
      <c r="D571">
        <v>2378036672</v>
      </c>
      <c r="E571" t="str">
        <f>T("[e북]안 보이는 투명츄 (개정판) 1권")</f>
        <v>[e북]안 보이는 투명츄 (개정판) 1권</v>
      </c>
      <c r="F571">
        <v>1</v>
      </c>
      <c r="G571" t="str">
        <f>T("고하솜")</f>
        <v>고하솜</v>
      </c>
      <c r="J571" t="str">
        <f>T("매드햇")</f>
        <v>매드햇</v>
      </c>
      <c r="K571" t="str">
        <f>T("[e북]안 보이는 투명츄 (개정판)")</f>
        <v>[e북]안 보이는 투명츄 (개정판)</v>
      </c>
      <c r="L571">
        <v>0</v>
      </c>
      <c r="M571">
        <v>0</v>
      </c>
      <c r="N571">
        <v>0</v>
      </c>
      <c r="O571">
        <v>2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2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S571">
        <v>0</v>
      </c>
      <c r="AT571">
        <v>0</v>
      </c>
      <c r="AV571">
        <v>0</v>
      </c>
      <c r="AW571">
        <v>0</v>
      </c>
      <c r="AY571">
        <v>0</v>
      </c>
      <c r="AZ571">
        <v>0</v>
      </c>
      <c r="BA571">
        <v>0</v>
      </c>
      <c r="BE571" t="str">
        <f>T("9791137006850")</f>
        <v>9791137006850</v>
      </c>
      <c r="BF571" t="str">
        <f>T("N099791")</f>
        <v>N099791</v>
      </c>
      <c r="BG571" t="str">
        <f>T("판타지 e북 &gt; 현대 판타지")</f>
        <v>판타지 e북 &gt; 현대 판타지</v>
      </c>
    </row>
    <row r="572" spans="1:59">
      <c r="A572" t="s">
        <v>60</v>
      </c>
      <c r="B572" s="1">
        <v>46130</v>
      </c>
      <c r="C572">
        <v>2378059759</v>
      </c>
      <c r="D572">
        <v>2378059759</v>
      </c>
      <c r="E572" t="str">
        <f>T("[e북]안락한 침수 1권")</f>
        <v>[e북]안락한 침수 1권</v>
      </c>
      <c r="F572">
        <v>1</v>
      </c>
      <c r="G572" t="str">
        <f>T("더스티")</f>
        <v>더스티</v>
      </c>
      <c r="J572" t="str">
        <f>T("하트퀸")</f>
        <v>하트퀸</v>
      </c>
      <c r="K572" t="str">
        <f>T("[e북]안락한 침수")</f>
        <v>[e북]안락한 침수</v>
      </c>
      <c r="L572">
        <v>3200</v>
      </c>
      <c r="M572">
        <v>3200</v>
      </c>
      <c r="N572">
        <v>1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3200</v>
      </c>
      <c r="AJ572">
        <v>1</v>
      </c>
      <c r="AK572">
        <v>0</v>
      </c>
      <c r="AL572">
        <v>0</v>
      </c>
      <c r="AM572">
        <v>3200</v>
      </c>
      <c r="AN572">
        <v>0</v>
      </c>
      <c r="AO572">
        <v>0</v>
      </c>
      <c r="AP572">
        <v>0</v>
      </c>
      <c r="AQ572">
        <v>0</v>
      </c>
      <c r="AS572">
        <v>0</v>
      </c>
      <c r="AT572">
        <v>0</v>
      </c>
      <c r="AV572">
        <v>0</v>
      </c>
      <c r="AW572">
        <v>0</v>
      </c>
      <c r="AY572">
        <v>0</v>
      </c>
      <c r="AZ572">
        <v>0</v>
      </c>
      <c r="BA572">
        <v>2240</v>
      </c>
      <c r="BE572" t="str">
        <f>T("9791171500345")</f>
        <v>9791171500345</v>
      </c>
      <c r="BF572" t="str">
        <f>T("k201676")</f>
        <v>k201676</v>
      </c>
      <c r="BG572" t="str">
        <f>T("로맨스 e북 &gt; 현대물")</f>
        <v>로맨스 e북 &gt; 현대물</v>
      </c>
    </row>
    <row r="573" spans="1:59">
      <c r="A573" t="s">
        <v>60</v>
      </c>
      <c r="B573" s="1">
        <v>46131</v>
      </c>
      <c r="C573">
        <v>2378058612</v>
      </c>
      <c r="D573">
        <v>2378058612</v>
      </c>
      <c r="E573" t="str">
        <f>T("[e북]알파 뱀X오메가 토끼 1권")</f>
        <v>[e북]알파 뱀X오메가 토끼 1권</v>
      </c>
      <c r="F573">
        <v>1</v>
      </c>
      <c r="G573" t="str">
        <f>T("레네이제")</f>
        <v>레네이제</v>
      </c>
      <c r="J573" t="str">
        <f>T("누디나잇")</f>
        <v>누디나잇</v>
      </c>
      <c r="K573" t="str">
        <f>T("[e북]알파 뱀X오메가 토끼")</f>
        <v>[e북]알파 뱀X오메가 토끼</v>
      </c>
      <c r="L573">
        <v>1000</v>
      </c>
      <c r="M573">
        <v>1000</v>
      </c>
      <c r="N573">
        <v>1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1000</v>
      </c>
      <c r="AJ573">
        <v>1</v>
      </c>
      <c r="AK573">
        <v>0</v>
      </c>
      <c r="AL573">
        <v>0</v>
      </c>
      <c r="AM573">
        <v>1000</v>
      </c>
      <c r="AN573">
        <v>0</v>
      </c>
      <c r="AO573">
        <v>0</v>
      </c>
      <c r="AP573">
        <v>0</v>
      </c>
      <c r="AQ573">
        <v>0</v>
      </c>
      <c r="AS573">
        <v>0</v>
      </c>
      <c r="AT573">
        <v>0</v>
      </c>
      <c r="AV573">
        <v>0</v>
      </c>
      <c r="AW573">
        <v>0</v>
      </c>
      <c r="AY573">
        <v>0</v>
      </c>
      <c r="AZ573">
        <v>0</v>
      </c>
      <c r="BA573">
        <v>700</v>
      </c>
      <c r="BE573" t="str">
        <f>T("9791193028667")</f>
        <v>9791193028667</v>
      </c>
      <c r="BF573" t="str">
        <f>T("k130030")</f>
        <v>k130030</v>
      </c>
      <c r="BG573" t="str">
        <f>T("BL 소설 e북 &gt; 판타지물")</f>
        <v>BL 소설 e북 &gt; 판타지물</v>
      </c>
    </row>
    <row r="574" spans="1:59">
      <c r="A574" t="s">
        <v>60</v>
      </c>
      <c r="B574" s="1">
        <v>46131</v>
      </c>
      <c r="C574">
        <v>2378058612</v>
      </c>
      <c r="D574">
        <v>2378058613</v>
      </c>
      <c r="E574" t="str">
        <f>T("[e북]알파 뱀X오메가 토끼 2권 (완결)")</f>
        <v>[e북]알파 뱀X오메가 토끼 2권 (완결)</v>
      </c>
      <c r="F574">
        <v>2</v>
      </c>
      <c r="G574" t="str">
        <f>T("레네이제")</f>
        <v>레네이제</v>
      </c>
      <c r="J574" t="str">
        <f>T("누디나잇")</f>
        <v>누디나잇</v>
      </c>
      <c r="K574" t="str">
        <f>T("[e북]알파 뱀X오메가 토끼")</f>
        <v>[e북]알파 뱀X오메가 토끼</v>
      </c>
      <c r="L574">
        <v>1000</v>
      </c>
      <c r="M574">
        <v>1000</v>
      </c>
      <c r="N574">
        <v>1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1000</v>
      </c>
      <c r="AJ574">
        <v>1</v>
      </c>
      <c r="AK574">
        <v>0</v>
      </c>
      <c r="AL574">
        <v>0</v>
      </c>
      <c r="AM574">
        <v>1000</v>
      </c>
      <c r="AN574">
        <v>0</v>
      </c>
      <c r="AO574">
        <v>0</v>
      </c>
      <c r="AP574">
        <v>0</v>
      </c>
      <c r="AQ574">
        <v>0</v>
      </c>
      <c r="AS574">
        <v>0</v>
      </c>
      <c r="AT574">
        <v>0</v>
      </c>
      <c r="AV574">
        <v>0</v>
      </c>
      <c r="AW574">
        <v>0</v>
      </c>
      <c r="AY574">
        <v>0</v>
      </c>
      <c r="AZ574">
        <v>0</v>
      </c>
      <c r="BA574">
        <v>700</v>
      </c>
      <c r="BE574" t="str">
        <f>T("9791193028674")</f>
        <v>9791193028674</v>
      </c>
      <c r="BF574" t="str">
        <f>T("k130031")</f>
        <v>k130031</v>
      </c>
      <c r="BG574" t="str">
        <f>T("BL 소설 e북 &gt; 판타지물")</f>
        <v>BL 소설 e북 &gt; 판타지물</v>
      </c>
    </row>
    <row r="575" spans="1:59">
      <c r="A575" t="s">
        <v>60</v>
      </c>
      <c r="B575" s="1">
        <v>46129</v>
      </c>
      <c r="C575">
        <v>2378058627</v>
      </c>
      <c r="D575">
        <v>2378058628</v>
      </c>
      <c r="E575" t="str">
        <f>T("[e북]알파 형X베타 동생 외전 : 러트 편")</f>
        <v>[e북]알파 형X베타 동생 외전 : 러트 편</v>
      </c>
      <c r="F575">
        <v>2</v>
      </c>
      <c r="G575" t="str">
        <f>T("레네이제")</f>
        <v>레네이제</v>
      </c>
      <c r="J575" t="str">
        <f>T("누디나잇")</f>
        <v>누디나잇</v>
      </c>
      <c r="K575" t="str">
        <f>T("[e북]알파 형X베타 동생")</f>
        <v>[e북]알파 형X베타 동생</v>
      </c>
      <c r="L575">
        <v>1000</v>
      </c>
      <c r="M575">
        <v>1000</v>
      </c>
      <c r="N575">
        <v>1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1000</v>
      </c>
      <c r="AJ575">
        <v>1</v>
      </c>
      <c r="AK575">
        <v>0</v>
      </c>
      <c r="AL575">
        <v>0</v>
      </c>
      <c r="AM575">
        <v>1000</v>
      </c>
      <c r="AN575">
        <v>0</v>
      </c>
      <c r="AO575">
        <v>0</v>
      </c>
      <c r="AP575">
        <v>0</v>
      </c>
      <c r="AQ575">
        <v>0</v>
      </c>
      <c r="AS575">
        <v>0</v>
      </c>
      <c r="AT575">
        <v>0</v>
      </c>
      <c r="AV575">
        <v>0</v>
      </c>
      <c r="AW575">
        <v>0</v>
      </c>
      <c r="AY575">
        <v>0</v>
      </c>
      <c r="AZ575">
        <v>0</v>
      </c>
      <c r="BA575">
        <v>700</v>
      </c>
      <c r="BE575" t="str">
        <f>T("9791171070381")</f>
        <v>9791171070381</v>
      </c>
      <c r="BF575" t="str">
        <f>T("k187315")</f>
        <v>k187315</v>
      </c>
      <c r="BG575" t="str">
        <f>T("BL 소설 e북 &gt; 판타지물")</f>
        <v>BL 소설 e북 &gt; 판타지물</v>
      </c>
    </row>
    <row r="576" spans="1:59">
      <c r="A576" t="s">
        <v>60</v>
      </c>
      <c r="B576" s="1">
        <v>46131</v>
      </c>
      <c r="C576">
        <v>2378006211</v>
      </c>
      <c r="D576">
        <v>2378006211</v>
      </c>
      <c r="E576" t="str">
        <f>T("[e북]야만의 군주 1권")</f>
        <v>[e북]야만의 군주 1권</v>
      </c>
      <c r="F576">
        <v>1</v>
      </c>
      <c r="G576" t="str">
        <f>T("사키만자루")</f>
        <v>사키만자루</v>
      </c>
      <c r="J576" t="str">
        <f>T("매드햇")</f>
        <v>매드햇</v>
      </c>
      <c r="K576" t="str">
        <f>T("[e북]야만의 군주")</f>
        <v>[e북]야만의 군주</v>
      </c>
      <c r="L576">
        <v>0</v>
      </c>
      <c r="M576">
        <v>0</v>
      </c>
      <c r="N576">
        <v>0</v>
      </c>
      <c r="O576">
        <v>1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1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S576">
        <v>0</v>
      </c>
      <c r="AT576">
        <v>0</v>
      </c>
      <c r="AV576">
        <v>0</v>
      </c>
      <c r="AW576">
        <v>0</v>
      </c>
      <c r="AY576">
        <v>0</v>
      </c>
      <c r="AZ576">
        <v>0</v>
      </c>
      <c r="BA576">
        <v>0</v>
      </c>
      <c r="BC576" t="str">
        <f>T("0000000000000")</f>
        <v>0000000000000</v>
      </c>
      <c r="BE576" t="str">
        <f>T("9791162584576")</f>
        <v>9791162584576</v>
      </c>
      <c r="BF576" t="str">
        <f>T("E369722")</f>
        <v>E369722</v>
      </c>
      <c r="BG576" t="str">
        <f>T("판타지 e북 &gt; 퓨전 판타지")</f>
        <v>판타지 e북 &gt; 퓨전 판타지</v>
      </c>
    </row>
    <row r="577" spans="1:60">
      <c r="A577" t="s">
        <v>60</v>
      </c>
      <c r="B577" s="1">
        <v>46129</v>
      </c>
      <c r="C577">
        <v>2378006209</v>
      </c>
      <c r="D577">
        <v>2378006209</v>
      </c>
      <c r="E577" t="str">
        <f>T("[e북]야차")</f>
        <v>[e북]야차</v>
      </c>
      <c r="F577">
        <v>1</v>
      </c>
      <c r="G577" t="str">
        <f>T("마뇽")</f>
        <v>마뇽</v>
      </c>
      <c r="J577" t="str">
        <f>T("시계토끼")</f>
        <v>시계토끼</v>
      </c>
      <c r="K577" t="str">
        <f>T("[e북]야차")</f>
        <v>[e북]야차</v>
      </c>
      <c r="L577">
        <v>3000</v>
      </c>
      <c r="M577">
        <v>2700</v>
      </c>
      <c r="N577">
        <v>1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2700</v>
      </c>
      <c r="AJ577">
        <v>1</v>
      </c>
      <c r="AK577">
        <v>0</v>
      </c>
      <c r="AL577">
        <v>0</v>
      </c>
      <c r="AM577">
        <v>2700</v>
      </c>
      <c r="AN577">
        <v>0</v>
      </c>
      <c r="AO577">
        <v>0</v>
      </c>
      <c r="AP577">
        <v>0</v>
      </c>
      <c r="AQ577">
        <v>0</v>
      </c>
      <c r="AS577">
        <v>0</v>
      </c>
      <c r="AT577">
        <v>0</v>
      </c>
      <c r="AV577">
        <v>0</v>
      </c>
      <c r="AW577">
        <v>0</v>
      </c>
      <c r="AY577">
        <v>0</v>
      </c>
      <c r="AZ577">
        <v>0</v>
      </c>
      <c r="BA577">
        <v>1620</v>
      </c>
      <c r="BC577" t="str">
        <f>T("0000000000000")</f>
        <v>0000000000000</v>
      </c>
      <c r="BE577" t="str">
        <f>T("9791164090334")</f>
        <v>9791164090334</v>
      </c>
      <c r="BF577" t="str">
        <f>T("E369698")</f>
        <v>E369698</v>
      </c>
      <c r="BG577" t="str">
        <f>T("로맨스 e북 &gt; 역사/시대물")</f>
        <v>로맨스 e북 &gt; 역사/시대물</v>
      </c>
      <c r="BH577" t="str">
        <f>T("로맨스 e북 &gt; 19+")</f>
        <v>로맨스 e북 &gt; 19+</v>
      </c>
    </row>
    <row r="578" spans="1:60">
      <c r="A578" t="s">
        <v>60</v>
      </c>
      <c r="B578" s="1">
        <v>46129</v>
      </c>
      <c r="C578">
        <v>2378006209</v>
      </c>
      <c r="D578">
        <v>2378080381</v>
      </c>
      <c r="E578" t="str">
        <f>T("[e북]야차 (외전)")</f>
        <v>[e북]야차 (외전)</v>
      </c>
      <c r="F578">
        <v>2</v>
      </c>
      <c r="G578" t="str">
        <f>T("마뇽")</f>
        <v>마뇽</v>
      </c>
      <c r="J578" t="str">
        <f>T("시계토끼")</f>
        <v>시계토끼</v>
      </c>
      <c r="K578" t="str">
        <f>T("[e북]야차")</f>
        <v>[e북]야차</v>
      </c>
      <c r="L578">
        <v>1000</v>
      </c>
      <c r="M578">
        <v>1800</v>
      </c>
      <c r="N578">
        <v>2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1800</v>
      </c>
      <c r="AJ578">
        <v>2</v>
      </c>
      <c r="AK578">
        <v>0</v>
      </c>
      <c r="AL578">
        <v>0</v>
      </c>
      <c r="AM578">
        <v>1800</v>
      </c>
      <c r="AN578">
        <v>0</v>
      </c>
      <c r="AO578">
        <v>0</v>
      </c>
      <c r="AP578">
        <v>0</v>
      </c>
      <c r="AQ578">
        <v>0</v>
      </c>
      <c r="AS578">
        <v>0</v>
      </c>
      <c r="AT578">
        <v>0</v>
      </c>
      <c r="AV578">
        <v>0</v>
      </c>
      <c r="AW578">
        <v>0</v>
      </c>
      <c r="AY578">
        <v>0</v>
      </c>
      <c r="AZ578">
        <v>0</v>
      </c>
      <c r="BA578">
        <v>1080</v>
      </c>
      <c r="BF578" t="str">
        <f>T("D216266")</f>
        <v>D216266</v>
      </c>
      <c r="BG578" t="str">
        <f>T("로맨스 e북 &gt; 역사/시대물")</f>
        <v>로맨스 e북 &gt; 역사/시대물</v>
      </c>
      <c r="BH578" t="str">
        <f>T("로맨스 e북 &gt; 19+")</f>
        <v>로맨스 e북 &gt; 19+</v>
      </c>
    </row>
    <row r="579" spans="1:60">
      <c r="A579" t="s">
        <v>60</v>
      </c>
      <c r="B579" s="1">
        <v>46130</v>
      </c>
      <c r="C579">
        <v>2378006209</v>
      </c>
      <c r="D579">
        <v>2378080381</v>
      </c>
      <c r="E579" t="str">
        <f>T("[e북]야차 (외전)")</f>
        <v>[e북]야차 (외전)</v>
      </c>
      <c r="F579">
        <v>2</v>
      </c>
      <c r="G579" t="str">
        <f>T("마뇽")</f>
        <v>마뇽</v>
      </c>
      <c r="J579" t="str">
        <f>T("시계토끼")</f>
        <v>시계토끼</v>
      </c>
      <c r="K579" t="str">
        <f>T("[e북]야차")</f>
        <v>[e북]야차</v>
      </c>
      <c r="L579">
        <v>1000</v>
      </c>
      <c r="M579">
        <v>1800</v>
      </c>
      <c r="N579">
        <v>2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1800</v>
      </c>
      <c r="AJ579">
        <v>2</v>
      </c>
      <c r="AK579">
        <v>0</v>
      </c>
      <c r="AL579">
        <v>0</v>
      </c>
      <c r="AM579">
        <v>1800</v>
      </c>
      <c r="AN579">
        <v>0</v>
      </c>
      <c r="AO579">
        <v>0</v>
      </c>
      <c r="AP579">
        <v>0</v>
      </c>
      <c r="AQ579">
        <v>0</v>
      </c>
      <c r="AS579">
        <v>0</v>
      </c>
      <c r="AT579">
        <v>0</v>
      </c>
      <c r="AV579">
        <v>0</v>
      </c>
      <c r="AW579">
        <v>0</v>
      </c>
      <c r="AY579">
        <v>0</v>
      </c>
      <c r="AZ579">
        <v>0</v>
      </c>
      <c r="BA579">
        <v>1080</v>
      </c>
      <c r="BF579" t="str">
        <f>T("D216266")</f>
        <v>D216266</v>
      </c>
      <c r="BG579" t="str">
        <f>T("로맨스 e북 &gt; 역사/시대물")</f>
        <v>로맨스 e북 &gt; 역사/시대물</v>
      </c>
      <c r="BH579" t="str">
        <f>T("로맨스 e북 &gt; 19+")</f>
        <v>로맨스 e북 &gt; 19+</v>
      </c>
    </row>
    <row r="580" spans="1:60">
      <c r="A580" t="s">
        <v>60</v>
      </c>
      <c r="B580" s="1">
        <v>46130</v>
      </c>
      <c r="C580">
        <v>2378006209</v>
      </c>
      <c r="D580">
        <v>2378006209</v>
      </c>
      <c r="E580" t="str">
        <f>T("[e북]야차")</f>
        <v>[e북]야차</v>
      </c>
      <c r="F580">
        <v>1</v>
      </c>
      <c r="G580" t="str">
        <f>T("마뇽")</f>
        <v>마뇽</v>
      </c>
      <c r="J580" t="str">
        <f>T("시계토끼")</f>
        <v>시계토끼</v>
      </c>
      <c r="K580" t="str">
        <f>T("[e북]야차")</f>
        <v>[e북]야차</v>
      </c>
      <c r="L580">
        <v>3000</v>
      </c>
      <c r="M580">
        <v>5400</v>
      </c>
      <c r="N580">
        <v>2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5400</v>
      </c>
      <c r="AJ580">
        <v>2</v>
      </c>
      <c r="AK580">
        <v>0</v>
      </c>
      <c r="AL580">
        <v>0</v>
      </c>
      <c r="AM580">
        <v>2700</v>
      </c>
      <c r="AN580">
        <v>0</v>
      </c>
      <c r="AO580">
        <v>3240</v>
      </c>
      <c r="AP580">
        <v>-324</v>
      </c>
      <c r="AQ580">
        <v>0</v>
      </c>
      <c r="AS580">
        <v>0</v>
      </c>
      <c r="AT580">
        <v>0</v>
      </c>
      <c r="AV580">
        <v>0</v>
      </c>
      <c r="AW580">
        <v>0</v>
      </c>
      <c r="AX580">
        <v>3240</v>
      </c>
      <c r="AY580">
        <v>-324</v>
      </c>
      <c r="AZ580">
        <v>0</v>
      </c>
      <c r="BA580">
        <v>3369.6</v>
      </c>
      <c r="BC580" t="str">
        <f>T("0000000000000")</f>
        <v>0000000000000</v>
      </c>
      <c r="BE580" t="str">
        <f>T("9791164090334")</f>
        <v>9791164090334</v>
      </c>
      <c r="BF580" t="str">
        <f>T("E369698")</f>
        <v>E369698</v>
      </c>
      <c r="BG580" t="str">
        <f>T("로맨스 e북 &gt; 역사/시대물")</f>
        <v>로맨스 e북 &gt; 역사/시대물</v>
      </c>
      <c r="BH580" t="str">
        <f>T("로맨스 e북 &gt; 19+")</f>
        <v>로맨스 e북 &gt; 19+</v>
      </c>
    </row>
    <row r="581" spans="1:60">
      <c r="A581" t="s">
        <v>60</v>
      </c>
      <c r="B581" s="1">
        <v>46131</v>
      </c>
      <c r="C581">
        <v>2378006209</v>
      </c>
      <c r="D581">
        <v>2378080381</v>
      </c>
      <c r="E581" t="str">
        <f>T("[e북]야차 (외전)")</f>
        <v>[e북]야차 (외전)</v>
      </c>
      <c r="F581">
        <v>2</v>
      </c>
      <c r="G581" t="str">
        <f>T("마뇽")</f>
        <v>마뇽</v>
      </c>
      <c r="J581" t="str">
        <f>T("시계토끼")</f>
        <v>시계토끼</v>
      </c>
      <c r="K581" t="str">
        <f>T("[e북]야차")</f>
        <v>[e북]야차</v>
      </c>
      <c r="L581">
        <v>1000</v>
      </c>
      <c r="M581">
        <v>1800</v>
      </c>
      <c r="N581">
        <v>2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1800</v>
      </c>
      <c r="AJ581">
        <v>2</v>
      </c>
      <c r="AK581">
        <v>0</v>
      </c>
      <c r="AL581">
        <v>0</v>
      </c>
      <c r="AM581">
        <v>1800</v>
      </c>
      <c r="AN581">
        <v>0</v>
      </c>
      <c r="AO581">
        <v>0</v>
      </c>
      <c r="AP581">
        <v>0</v>
      </c>
      <c r="AQ581">
        <v>0</v>
      </c>
      <c r="AS581">
        <v>0</v>
      </c>
      <c r="AT581">
        <v>0</v>
      </c>
      <c r="AV581">
        <v>0</v>
      </c>
      <c r="AW581">
        <v>0</v>
      </c>
      <c r="AY581">
        <v>0</v>
      </c>
      <c r="AZ581">
        <v>0</v>
      </c>
      <c r="BA581">
        <v>1080</v>
      </c>
      <c r="BF581" t="str">
        <f>T("D216266")</f>
        <v>D216266</v>
      </c>
      <c r="BG581" t="str">
        <f>T("로맨스 e북 &gt; 역사/시대물")</f>
        <v>로맨스 e북 &gt; 역사/시대물</v>
      </c>
      <c r="BH581" t="str">
        <f>T("로맨스 e북 &gt; 19+")</f>
        <v>로맨스 e북 &gt; 19+</v>
      </c>
    </row>
    <row r="582" spans="1:60">
      <c r="A582" t="s">
        <v>60</v>
      </c>
      <c r="B582" s="1">
        <v>46131</v>
      </c>
      <c r="C582">
        <v>2378006209</v>
      </c>
      <c r="D582">
        <v>2378006209</v>
      </c>
      <c r="E582" t="str">
        <f>T("[e북]야차")</f>
        <v>[e북]야차</v>
      </c>
      <c r="F582">
        <v>1</v>
      </c>
      <c r="G582" t="str">
        <f>T("마뇽")</f>
        <v>마뇽</v>
      </c>
      <c r="J582" t="str">
        <f>T("시계토끼")</f>
        <v>시계토끼</v>
      </c>
      <c r="K582" t="str">
        <f>T("[e북]야차")</f>
        <v>[e북]야차</v>
      </c>
      <c r="L582">
        <v>3000</v>
      </c>
      <c r="M582">
        <v>5400</v>
      </c>
      <c r="N582">
        <v>2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5400</v>
      </c>
      <c r="AJ582">
        <v>2</v>
      </c>
      <c r="AK582">
        <v>0</v>
      </c>
      <c r="AL582">
        <v>0</v>
      </c>
      <c r="AM582">
        <v>5400</v>
      </c>
      <c r="AN582">
        <v>0</v>
      </c>
      <c r="AO582">
        <v>0</v>
      </c>
      <c r="AP582">
        <v>0</v>
      </c>
      <c r="AQ582">
        <v>0</v>
      </c>
      <c r="AS582">
        <v>0</v>
      </c>
      <c r="AT582">
        <v>0</v>
      </c>
      <c r="AV582">
        <v>0</v>
      </c>
      <c r="AW582">
        <v>0</v>
      </c>
      <c r="AY582">
        <v>0</v>
      </c>
      <c r="AZ582">
        <v>0</v>
      </c>
      <c r="BA582">
        <v>3240</v>
      </c>
      <c r="BC582" t="str">
        <f>T("0000000000000")</f>
        <v>0000000000000</v>
      </c>
      <c r="BE582" t="str">
        <f>T("9791164090334")</f>
        <v>9791164090334</v>
      </c>
      <c r="BF582" t="str">
        <f>T("E369698")</f>
        <v>E369698</v>
      </c>
      <c r="BG582" t="str">
        <f>T("로맨스 e북 &gt; 역사/시대물")</f>
        <v>로맨스 e북 &gt; 역사/시대물</v>
      </c>
      <c r="BH582" t="str">
        <f>T("로맨스 e북 &gt; 19+")</f>
        <v>로맨스 e북 &gt; 19+</v>
      </c>
    </row>
    <row r="583" spans="1:60">
      <c r="A583" t="s">
        <v>60</v>
      </c>
      <c r="B583" s="1">
        <v>46129</v>
      </c>
      <c r="C583">
        <v>2378015943</v>
      </c>
      <c r="D583">
        <v>2378033788</v>
      </c>
      <c r="E583" t="str">
        <f>T("[e북]어느 날, 외사랑이 끝났다 (외전)")</f>
        <v>[e북]어느 날, 외사랑이 끝났다 (외전)</v>
      </c>
      <c r="F583">
        <v>6</v>
      </c>
      <c r="G583" t="str">
        <f>T("이초원")</f>
        <v>이초원</v>
      </c>
      <c r="J583" t="str">
        <f>T("시계토끼")</f>
        <v>시계토끼</v>
      </c>
      <c r="K583" t="str">
        <f>T("[e북]어느 날, 외사랑이 끝났다")</f>
        <v>[e북]어느 날, 외사랑이 끝났다</v>
      </c>
      <c r="L583">
        <v>2800</v>
      </c>
      <c r="M583">
        <v>2800</v>
      </c>
      <c r="N583">
        <v>1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2800</v>
      </c>
      <c r="AJ583">
        <v>1</v>
      </c>
      <c r="AK583">
        <v>0</v>
      </c>
      <c r="AL583">
        <v>0</v>
      </c>
      <c r="AM583">
        <v>2800</v>
      </c>
      <c r="AN583">
        <v>0</v>
      </c>
      <c r="AO583">
        <v>0</v>
      </c>
      <c r="AP583">
        <v>0</v>
      </c>
      <c r="AQ583">
        <v>0</v>
      </c>
      <c r="AS583">
        <v>0</v>
      </c>
      <c r="AT583">
        <v>0</v>
      </c>
      <c r="AV583">
        <v>0</v>
      </c>
      <c r="AW583">
        <v>0</v>
      </c>
      <c r="AY583">
        <v>0</v>
      </c>
      <c r="AZ583">
        <v>0</v>
      </c>
      <c r="BA583">
        <v>1960</v>
      </c>
      <c r="BE583" t="str">
        <f>T("9791164096756")</f>
        <v>9791164096756</v>
      </c>
      <c r="BF583" t="str">
        <f>T("N076164")</f>
        <v>N076164</v>
      </c>
      <c r="BG583" t="str">
        <f>T("로판 e북 &gt; 서양풍 로판")</f>
        <v>로판 e북 &gt; 서양풍 로판</v>
      </c>
    </row>
    <row r="584" spans="1:60">
      <c r="A584" t="s">
        <v>60</v>
      </c>
      <c r="B584" s="1">
        <v>46130</v>
      </c>
      <c r="C584">
        <v>2378015943</v>
      </c>
      <c r="D584">
        <v>2378015943</v>
      </c>
      <c r="E584" t="str">
        <f>T("[e북]어느 날, 외사랑이 끝났다 1권")</f>
        <v>[e북]어느 날, 외사랑이 끝났다 1권</v>
      </c>
      <c r="F584">
        <v>1</v>
      </c>
      <c r="G584" t="str">
        <f>T("이초원")</f>
        <v>이초원</v>
      </c>
      <c r="J584" t="str">
        <f>T("시계토끼")</f>
        <v>시계토끼</v>
      </c>
      <c r="K584" t="str">
        <f>T("[e북]어느 날, 외사랑이 끝났다")</f>
        <v>[e북]어느 날, 외사랑이 끝났다</v>
      </c>
      <c r="L584">
        <v>3500</v>
      </c>
      <c r="M584">
        <v>3500</v>
      </c>
      <c r="N584">
        <v>1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3500</v>
      </c>
      <c r="AJ584">
        <v>1</v>
      </c>
      <c r="AK584">
        <v>0</v>
      </c>
      <c r="AL584">
        <v>0</v>
      </c>
      <c r="AM584">
        <v>3500</v>
      </c>
      <c r="AN584">
        <v>0</v>
      </c>
      <c r="AO584">
        <v>0</v>
      </c>
      <c r="AP584">
        <v>0</v>
      </c>
      <c r="AQ584">
        <v>0</v>
      </c>
      <c r="AS584">
        <v>0</v>
      </c>
      <c r="AT584">
        <v>0</v>
      </c>
      <c r="AV584">
        <v>0</v>
      </c>
      <c r="AW584">
        <v>0</v>
      </c>
      <c r="AY584">
        <v>0</v>
      </c>
      <c r="AZ584">
        <v>0</v>
      </c>
      <c r="BA584">
        <v>2450</v>
      </c>
      <c r="BE584" t="str">
        <f>T("9791164093878")</f>
        <v>9791164093878</v>
      </c>
      <c r="BF584" t="str">
        <f>T("E761198")</f>
        <v>E761198</v>
      </c>
      <c r="BG584" t="str">
        <f>T("로판 e북 &gt; 서양풍 로판")</f>
        <v>로판 e북 &gt; 서양풍 로판</v>
      </c>
    </row>
    <row r="585" spans="1:60">
      <c r="A585" t="s">
        <v>60</v>
      </c>
      <c r="B585" s="1">
        <v>46130</v>
      </c>
      <c r="C585">
        <v>2378015943</v>
      </c>
      <c r="D585">
        <v>2378015997</v>
      </c>
      <c r="E585" t="str">
        <f>T("[e북]어느 날, 외사랑이 끝났다 2권")</f>
        <v>[e북]어느 날, 외사랑이 끝났다 2권</v>
      </c>
      <c r="F585">
        <v>2</v>
      </c>
      <c r="G585" t="str">
        <f>T("이초원")</f>
        <v>이초원</v>
      </c>
      <c r="J585" t="str">
        <f>T("시계토끼")</f>
        <v>시계토끼</v>
      </c>
      <c r="K585" t="str">
        <f>T("[e북]어느 날, 외사랑이 끝났다")</f>
        <v>[e북]어느 날, 외사랑이 끝났다</v>
      </c>
      <c r="L585">
        <v>3500</v>
      </c>
      <c r="M585">
        <v>3500</v>
      </c>
      <c r="N585">
        <v>1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3500</v>
      </c>
      <c r="AJ585">
        <v>1</v>
      </c>
      <c r="AK585">
        <v>0</v>
      </c>
      <c r="AL585">
        <v>0</v>
      </c>
      <c r="AM585">
        <v>3500</v>
      </c>
      <c r="AN585">
        <v>0</v>
      </c>
      <c r="AO585">
        <v>0</v>
      </c>
      <c r="AP585">
        <v>0</v>
      </c>
      <c r="AQ585">
        <v>0</v>
      </c>
      <c r="AS585">
        <v>0</v>
      </c>
      <c r="AT585">
        <v>0</v>
      </c>
      <c r="AV585">
        <v>0</v>
      </c>
      <c r="AW585">
        <v>0</v>
      </c>
      <c r="AY585">
        <v>0</v>
      </c>
      <c r="AZ585">
        <v>0</v>
      </c>
      <c r="BA585">
        <v>2450</v>
      </c>
      <c r="BE585" t="str">
        <f>T("9791164093885")</f>
        <v>9791164093885</v>
      </c>
      <c r="BF585" t="str">
        <f>T("E761199")</f>
        <v>E761199</v>
      </c>
      <c r="BG585" t="str">
        <f>T("로판 e북 &gt; 서양풍 로판")</f>
        <v>로판 e북 &gt; 서양풍 로판</v>
      </c>
    </row>
    <row r="586" spans="1:60">
      <c r="A586" t="s">
        <v>60</v>
      </c>
      <c r="B586" s="1">
        <v>46130</v>
      </c>
      <c r="C586">
        <v>2378015943</v>
      </c>
      <c r="D586">
        <v>2378015998</v>
      </c>
      <c r="E586" t="str">
        <f>T("[e북]어느 날, 외사랑이 끝났다 3권")</f>
        <v>[e북]어느 날, 외사랑이 끝났다 3권</v>
      </c>
      <c r="F586">
        <v>3</v>
      </c>
      <c r="G586" t="str">
        <f>T("이초원")</f>
        <v>이초원</v>
      </c>
      <c r="J586" t="str">
        <f>T("시계토끼")</f>
        <v>시계토끼</v>
      </c>
      <c r="K586" t="str">
        <f>T("[e북]어느 날, 외사랑이 끝났다")</f>
        <v>[e북]어느 날, 외사랑이 끝났다</v>
      </c>
      <c r="L586">
        <v>3000</v>
      </c>
      <c r="M586">
        <v>3000</v>
      </c>
      <c r="N586">
        <v>1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3000</v>
      </c>
      <c r="AJ586">
        <v>1</v>
      </c>
      <c r="AK586">
        <v>0</v>
      </c>
      <c r="AL586">
        <v>0</v>
      </c>
      <c r="AM586">
        <v>3000</v>
      </c>
      <c r="AN586">
        <v>0</v>
      </c>
      <c r="AO586">
        <v>0</v>
      </c>
      <c r="AP586">
        <v>0</v>
      </c>
      <c r="AQ586">
        <v>0</v>
      </c>
      <c r="AS586">
        <v>0</v>
      </c>
      <c r="AT586">
        <v>0</v>
      </c>
      <c r="AV586">
        <v>0</v>
      </c>
      <c r="AW586">
        <v>0</v>
      </c>
      <c r="AY586">
        <v>0</v>
      </c>
      <c r="AZ586">
        <v>0</v>
      </c>
      <c r="BA586">
        <v>2100</v>
      </c>
      <c r="BE586" t="str">
        <f>T("9791164093892")</f>
        <v>9791164093892</v>
      </c>
      <c r="BF586" t="str">
        <f>T("E761200")</f>
        <v>E761200</v>
      </c>
      <c r="BG586" t="str">
        <f>T("로판 e북 &gt; 서양풍 로판")</f>
        <v>로판 e북 &gt; 서양풍 로판</v>
      </c>
    </row>
    <row r="587" spans="1:60">
      <c r="A587" t="s">
        <v>60</v>
      </c>
      <c r="B587" s="1">
        <v>46130</v>
      </c>
      <c r="C587">
        <v>2378015943</v>
      </c>
      <c r="D587">
        <v>2378015999</v>
      </c>
      <c r="E587" t="str">
        <f>T("[e북]어느 날, 외사랑이 끝났다 4권")</f>
        <v>[e북]어느 날, 외사랑이 끝났다 4권</v>
      </c>
      <c r="F587">
        <v>4</v>
      </c>
      <c r="G587" t="str">
        <f>T("이초원")</f>
        <v>이초원</v>
      </c>
      <c r="J587" t="str">
        <f>T("시계토끼")</f>
        <v>시계토끼</v>
      </c>
      <c r="K587" t="str">
        <f>T("[e북]어느 날, 외사랑이 끝났다")</f>
        <v>[e북]어느 날, 외사랑이 끝났다</v>
      </c>
      <c r="L587">
        <v>3500</v>
      </c>
      <c r="M587">
        <v>3500</v>
      </c>
      <c r="N587">
        <v>1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3500</v>
      </c>
      <c r="AJ587">
        <v>1</v>
      </c>
      <c r="AK587">
        <v>0</v>
      </c>
      <c r="AL587">
        <v>0</v>
      </c>
      <c r="AM587">
        <v>3500</v>
      </c>
      <c r="AN587">
        <v>0</v>
      </c>
      <c r="AO587">
        <v>0</v>
      </c>
      <c r="AP587">
        <v>0</v>
      </c>
      <c r="AQ587">
        <v>0</v>
      </c>
      <c r="AS587">
        <v>0</v>
      </c>
      <c r="AT587">
        <v>0</v>
      </c>
      <c r="AV587">
        <v>0</v>
      </c>
      <c r="AW587">
        <v>0</v>
      </c>
      <c r="AY587">
        <v>0</v>
      </c>
      <c r="AZ587">
        <v>0</v>
      </c>
      <c r="BA587">
        <v>2450</v>
      </c>
      <c r="BE587" t="str">
        <f>T("9791164093908")</f>
        <v>9791164093908</v>
      </c>
      <c r="BF587" t="str">
        <f>T("E761201")</f>
        <v>E761201</v>
      </c>
      <c r="BG587" t="str">
        <f>T("로판 e북 &gt; 서양풍 로판")</f>
        <v>로판 e북 &gt; 서양풍 로판</v>
      </c>
    </row>
    <row r="588" spans="1:60">
      <c r="A588" t="s">
        <v>60</v>
      </c>
      <c r="B588" s="1">
        <v>46130</v>
      </c>
      <c r="C588">
        <v>2378015943</v>
      </c>
      <c r="D588">
        <v>2378016000</v>
      </c>
      <c r="E588" t="str">
        <f>T("[e북]어느 날, 외사랑이 끝났다 5권 (완결)")</f>
        <v>[e북]어느 날, 외사랑이 끝났다 5권 (완결)</v>
      </c>
      <c r="F588">
        <v>5</v>
      </c>
      <c r="G588" t="str">
        <f>T("이초원")</f>
        <v>이초원</v>
      </c>
      <c r="J588" t="str">
        <f>T("시계토끼")</f>
        <v>시계토끼</v>
      </c>
      <c r="K588" t="str">
        <f>T("[e북]어느 날, 외사랑이 끝났다")</f>
        <v>[e북]어느 날, 외사랑이 끝났다</v>
      </c>
      <c r="L588">
        <v>2800</v>
      </c>
      <c r="M588">
        <v>2800</v>
      </c>
      <c r="N588">
        <v>1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2800</v>
      </c>
      <c r="AJ588">
        <v>1</v>
      </c>
      <c r="AK588">
        <v>0</v>
      </c>
      <c r="AL588">
        <v>0</v>
      </c>
      <c r="AM588">
        <v>2800</v>
      </c>
      <c r="AN588">
        <v>0</v>
      </c>
      <c r="AO588">
        <v>0</v>
      </c>
      <c r="AP588">
        <v>0</v>
      </c>
      <c r="AQ588">
        <v>0</v>
      </c>
      <c r="AS588">
        <v>0</v>
      </c>
      <c r="AT588">
        <v>0</v>
      </c>
      <c r="AV588">
        <v>0</v>
      </c>
      <c r="AW588">
        <v>0</v>
      </c>
      <c r="AY588">
        <v>0</v>
      </c>
      <c r="AZ588">
        <v>0</v>
      </c>
      <c r="BA588">
        <v>1960</v>
      </c>
      <c r="BE588" t="str">
        <f>T("9791164093915")</f>
        <v>9791164093915</v>
      </c>
      <c r="BF588" t="str">
        <f>T("E761202")</f>
        <v>E761202</v>
      </c>
      <c r="BG588" t="str">
        <f>T("로판 e북 &gt; 서양풍 로판")</f>
        <v>로판 e북 &gt; 서양풍 로판</v>
      </c>
    </row>
    <row r="589" spans="1:60">
      <c r="A589" t="s">
        <v>60</v>
      </c>
      <c r="B589" s="1">
        <v>46130</v>
      </c>
      <c r="C589">
        <v>2378015943</v>
      </c>
      <c r="D589">
        <v>2378033788</v>
      </c>
      <c r="E589" t="str">
        <f>T("[e북]어느 날, 외사랑이 끝났다 (외전)")</f>
        <v>[e북]어느 날, 외사랑이 끝났다 (외전)</v>
      </c>
      <c r="F589">
        <v>6</v>
      </c>
      <c r="G589" t="str">
        <f>T("이초원")</f>
        <v>이초원</v>
      </c>
      <c r="J589" t="str">
        <f>T("시계토끼")</f>
        <v>시계토끼</v>
      </c>
      <c r="K589" t="str">
        <f>T("[e북]어느 날, 외사랑이 끝났다")</f>
        <v>[e북]어느 날, 외사랑이 끝났다</v>
      </c>
      <c r="L589">
        <v>2800</v>
      </c>
      <c r="M589">
        <v>2800</v>
      </c>
      <c r="N589">
        <v>1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2800</v>
      </c>
      <c r="AJ589">
        <v>1</v>
      </c>
      <c r="AK589">
        <v>0</v>
      </c>
      <c r="AL589">
        <v>0</v>
      </c>
      <c r="AM589">
        <v>2800</v>
      </c>
      <c r="AN589">
        <v>0</v>
      </c>
      <c r="AO589">
        <v>0</v>
      </c>
      <c r="AP589">
        <v>0</v>
      </c>
      <c r="AQ589">
        <v>0</v>
      </c>
      <c r="AS589">
        <v>0</v>
      </c>
      <c r="AT589">
        <v>0</v>
      </c>
      <c r="AV589">
        <v>0</v>
      </c>
      <c r="AW589">
        <v>0</v>
      </c>
      <c r="AY589">
        <v>0</v>
      </c>
      <c r="AZ589">
        <v>0</v>
      </c>
      <c r="BA589">
        <v>1960</v>
      </c>
      <c r="BE589" t="str">
        <f>T("9791164096756")</f>
        <v>9791164096756</v>
      </c>
      <c r="BF589" t="str">
        <f>T("N076164")</f>
        <v>N076164</v>
      </c>
      <c r="BG589" t="str">
        <f>T("로판 e북 &gt; 서양풍 로판")</f>
        <v>로판 e북 &gt; 서양풍 로판</v>
      </c>
    </row>
    <row r="590" spans="1:60">
      <c r="A590" t="s">
        <v>60</v>
      </c>
      <c r="B590" s="1">
        <v>46129</v>
      </c>
      <c r="C590">
        <v>2378035072</v>
      </c>
      <c r="D590">
        <v>2378068954</v>
      </c>
      <c r="E590" t="str">
        <f>T("[e북]에피소드 외전 4. 네버엔딩 (삽화본)")</f>
        <v>[e북]에피소드 외전 4. 네버엔딩 (삽화본)</v>
      </c>
      <c r="F590">
        <v>15</v>
      </c>
      <c r="G590" t="str">
        <f>T("유이세스")</f>
        <v>유이세스</v>
      </c>
      <c r="J590" t="str">
        <f>T("하트퀸")</f>
        <v>하트퀸</v>
      </c>
      <c r="K590" t="str">
        <f>T("[e북]에피소드")</f>
        <v>[e북]에피소드</v>
      </c>
      <c r="L590">
        <v>2500</v>
      </c>
      <c r="M590">
        <v>2500</v>
      </c>
      <c r="N590">
        <v>1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2500</v>
      </c>
      <c r="AJ590">
        <v>1</v>
      </c>
      <c r="AK590">
        <v>0</v>
      </c>
      <c r="AL590">
        <v>0</v>
      </c>
      <c r="AM590">
        <v>2500</v>
      </c>
      <c r="AN590">
        <v>0</v>
      </c>
      <c r="AO590">
        <v>0</v>
      </c>
      <c r="AP590">
        <v>0</v>
      </c>
      <c r="AQ590">
        <v>0</v>
      </c>
      <c r="AS590">
        <v>0</v>
      </c>
      <c r="AT590">
        <v>0</v>
      </c>
      <c r="AV590">
        <v>0</v>
      </c>
      <c r="AW590">
        <v>0</v>
      </c>
      <c r="AY590">
        <v>0</v>
      </c>
      <c r="AZ590">
        <v>0</v>
      </c>
      <c r="BA590">
        <v>1750</v>
      </c>
      <c r="BE590" t="str">
        <f>T("9791171501151")</f>
        <v>9791171501151</v>
      </c>
      <c r="BF590" t="str">
        <f>T("k381883")</f>
        <v>k381883</v>
      </c>
      <c r="BG590" t="str">
        <f>T("로맨스 e북 &gt; 현대물")</f>
        <v>로맨스 e북 &gt; 현대물</v>
      </c>
      <c r="BH590" t="str">
        <f>T("로맨스 e북 &gt; 19+")</f>
        <v>로맨스 e북 &gt; 19+</v>
      </c>
    </row>
    <row r="591" spans="1:60">
      <c r="A591" t="s">
        <v>60</v>
      </c>
      <c r="B591" s="1">
        <v>46129</v>
      </c>
      <c r="C591">
        <v>2378035072</v>
      </c>
      <c r="D591">
        <v>2378035072</v>
      </c>
      <c r="E591" t="str">
        <f>T("[e북]에피소드 1부 1권")</f>
        <v>[e북]에피소드 1부 1권</v>
      </c>
      <c r="F591">
        <v>1</v>
      </c>
      <c r="G591" t="str">
        <f>T("유이세스")</f>
        <v>유이세스</v>
      </c>
      <c r="J591" t="str">
        <f>T("하트퀸")</f>
        <v>하트퀸</v>
      </c>
      <c r="K591" t="str">
        <f>T("[e북]에피소드")</f>
        <v>[e북]에피소드</v>
      </c>
      <c r="L591">
        <v>0</v>
      </c>
      <c r="M591">
        <v>0</v>
      </c>
      <c r="N591">
        <v>0</v>
      </c>
      <c r="O591">
        <v>3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3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S591">
        <v>0</v>
      </c>
      <c r="AT591">
        <v>0</v>
      </c>
      <c r="AV591">
        <v>0</v>
      </c>
      <c r="AW591">
        <v>0</v>
      </c>
      <c r="AY591">
        <v>0</v>
      </c>
      <c r="AZ591">
        <v>0</v>
      </c>
      <c r="BA591">
        <v>0</v>
      </c>
      <c r="BE591" t="str">
        <f>T("9791164977161")</f>
        <v>9791164977161</v>
      </c>
      <c r="BF591" t="str">
        <f>T("N105332")</f>
        <v>N105332</v>
      </c>
      <c r="BG591" t="str">
        <f>T("로맨스 e북 &gt; 현대물")</f>
        <v>로맨스 e북 &gt; 현대물</v>
      </c>
      <c r="BH591" t="str">
        <f>T("로맨스 e북 &gt; 19+")</f>
        <v>로맨스 e북 &gt; 19+</v>
      </c>
    </row>
    <row r="592" spans="1:60">
      <c r="A592" t="s">
        <v>60</v>
      </c>
      <c r="B592" s="1">
        <v>46129</v>
      </c>
      <c r="C592">
        <v>2378035072</v>
      </c>
      <c r="D592">
        <v>2378035073</v>
      </c>
      <c r="E592" t="str">
        <f>T("[e북]에피소드 1부 2권")</f>
        <v>[e북]에피소드 1부 2권</v>
      </c>
      <c r="F592">
        <v>2</v>
      </c>
      <c r="G592" t="str">
        <f>T("유이세스")</f>
        <v>유이세스</v>
      </c>
      <c r="J592" t="str">
        <f>T("하트퀸")</f>
        <v>하트퀸</v>
      </c>
      <c r="K592" t="str">
        <f>T("[e북]에피소드")</f>
        <v>[e북]에피소드</v>
      </c>
      <c r="L592">
        <v>4000</v>
      </c>
      <c r="M592">
        <v>8000</v>
      </c>
      <c r="N592">
        <v>2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8000</v>
      </c>
      <c r="AJ592">
        <v>2</v>
      </c>
      <c r="AK592">
        <v>0</v>
      </c>
      <c r="AL592">
        <v>0</v>
      </c>
      <c r="AM592">
        <v>4000</v>
      </c>
      <c r="AN592">
        <v>0</v>
      </c>
      <c r="AO592">
        <v>4800</v>
      </c>
      <c r="AP592">
        <v>-480</v>
      </c>
      <c r="AQ592">
        <v>0</v>
      </c>
      <c r="AS592">
        <v>0</v>
      </c>
      <c r="AT592">
        <v>0</v>
      </c>
      <c r="AU592">
        <v>4800</v>
      </c>
      <c r="AV592">
        <v>-480</v>
      </c>
      <c r="AW592">
        <v>0</v>
      </c>
      <c r="AY592">
        <v>0</v>
      </c>
      <c r="AZ592">
        <v>0</v>
      </c>
      <c r="BA592">
        <v>5824</v>
      </c>
      <c r="BE592" t="str">
        <f>T("9791164977178")</f>
        <v>9791164977178</v>
      </c>
      <c r="BF592" t="str">
        <f>T("N105333")</f>
        <v>N105333</v>
      </c>
      <c r="BG592" t="str">
        <f>T("로맨스 e북 &gt; 현대물")</f>
        <v>로맨스 e북 &gt; 현대물</v>
      </c>
      <c r="BH592" t="str">
        <f>T("로맨스 e북 &gt; 19+")</f>
        <v>로맨스 e북 &gt; 19+</v>
      </c>
    </row>
    <row r="593" spans="1:60">
      <c r="A593" t="s">
        <v>60</v>
      </c>
      <c r="B593" s="1">
        <v>46129</v>
      </c>
      <c r="C593">
        <v>2378035072</v>
      </c>
      <c r="D593">
        <v>2378035074</v>
      </c>
      <c r="E593" t="str">
        <f>T("[e북]에피소드 2부 1권")</f>
        <v>[e북]에피소드 2부 1권</v>
      </c>
      <c r="F593">
        <v>3</v>
      </c>
      <c r="G593" t="str">
        <f>T("유이세스")</f>
        <v>유이세스</v>
      </c>
      <c r="J593" t="str">
        <f>T("하트퀸")</f>
        <v>하트퀸</v>
      </c>
      <c r="K593" t="str">
        <f>T("[e북]에피소드")</f>
        <v>[e북]에피소드</v>
      </c>
      <c r="L593">
        <v>4500</v>
      </c>
      <c r="M593">
        <v>4500</v>
      </c>
      <c r="N593">
        <v>1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4500</v>
      </c>
      <c r="AJ593">
        <v>1</v>
      </c>
      <c r="AK593">
        <v>0</v>
      </c>
      <c r="AL593">
        <v>0</v>
      </c>
      <c r="AM593">
        <v>4500</v>
      </c>
      <c r="AN593">
        <v>0</v>
      </c>
      <c r="AO593">
        <v>0</v>
      </c>
      <c r="AP593">
        <v>0</v>
      </c>
      <c r="AQ593">
        <v>0</v>
      </c>
      <c r="AS593">
        <v>0</v>
      </c>
      <c r="AT593">
        <v>0</v>
      </c>
      <c r="AV593">
        <v>0</v>
      </c>
      <c r="AW593">
        <v>0</v>
      </c>
      <c r="AY593">
        <v>0</v>
      </c>
      <c r="AZ593">
        <v>0</v>
      </c>
      <c r="BA593">
        <v>3150</v>
      </c>
      <c r="BE593" t="str">
        <f>T("9791164977185")</f>
        <v>9791164977185</v>
      </c>
      <c r="BF593" t="str">
        <f>T("N105334")</f>
        <v>N105334</v>
      </c>
      <c r="BG593" t="str">
        <f>T("로맨스 e북 &gt; 현대물")</f>
        <v>로맨스 e북 &gt; 현대물</v>
      </c>
      <c r="BH593" t="str">
        <f>T("로맨스 e북 &gt; 19+")</f>
        <v>로맨스 e북 &gt; 19+</v>
      </c>
    </row>
    <row r="594" spans="1:60">
      <c r="A594" t="s">
        <v>60</v>
      </c>
      <c r="B594" s="1">
        <v>46129</v>
      </c>
      <c r="C594">
        <v>2378035072</v>
      </c>
      <c r="D594">
        <v>2378035078</v>
      </c>
      <c r="E594" t="str">
        <f>T("[e북]에피소드 2부 5권")</f>
        <v>[e북]에피소드 2부 5권</v>
      </c>
      <c r="F594">
        <v>7</v>
      </c>
      <c r="G594" t="str">
        <f>T("유이세스")</f>
        <v>유이세스</v>
      </c>
      <c r="J594" t="str">
        <f>T("하트퀸")</f>
        <v>하트퀸</v>
      </c>
      <c r="K594" t="str">
        <f>T("[e북]에피소드")</f>
        <v>[e북]에피소드</v>
      </c>
      <c r="L594">
        <v>3500</v>
      </c>
      <c r="M594">
        <v>3500</v>
      </c>
      <c r="N594">
        <v>1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3500</v>
      </c>
      <c r="AJ594">
        <v>1</v>
      </c>
      <c r="AK594">
        <v>0</v>
      </c>
      <c r="AL594">
        <v>0</v>
      </c>
      <c r="AM594">
        <v>3500</v>
      </c>
      <c r="AN594">
        <v>0</v>
      </c>
      <c r="AO594">
        <v>0</v>
      </c>
      <c r="AP594">
        <v>0</v>
      </c>
      <c r="AQ594">
        <v>0</v>
      </c>
      <c r="AS594">
        <v>0</v>
      </c>
      <c r="AT594">
        <v>0</v>
      </c>
      <c r="AV594">
        <v>0</v>
      </c>
      <c r="AW594">
        <v>0</v>
      </c>
      <c r="AY594">
        <v>0</v>
      </c>
      <c r="AZ594">
        <v>0</v>
      </c>
      <c r="BA594">
        <v>2450</v>
      </c>
      <c r="BE594" t="str">
        <f>T("9791164977222")</f>
        <v>9791164977222</v>
      </c>
      <c r="BF594" t="str">
        <f>T("N105338")</f>
        <v>N105338</v>
      </c>
      <c r="BG594" t="str">
        <f>T("로맨스 e북 &gt; 현대물")</f>
        <v>로맨스 e북 &gt; 현대물</v>
      </c>
      <c r="BH594" t="str">
        <f>T("로맨스 e북 &gt; 19+")</f>
        <v>로맨스 e북 &gt; 19+</v>
      </c>
    </row>
    <row r="595" spans="1:60">
      <c r="A595" t="s">
        <v>60</v>
      </c>
      <c r="B595" s="1">
        <v>46129</v>
      </c>
      <c r="C595">
        <v>2378035072</v>
      </c>
      <c r="D595">
        <v>2378037966</v>
      </c>
      <c r="E595" t="str">
        <f>T("[e북]에피소드 3부 1권")</f>
        <v>[e북]에피소드 3부 1권</v>
      </c>
      <c r="F595">
        <v>8</v>
      </c>
      <c r="G595" t="str">
        <f>T("유이세스")</f>
        <v>유이세스</v>
      </c>
      <c r="J595" t="str">
        <f>T("하트퀸")</f>
        <v>하트퀸</v>
      </c>
      <c r="K595" t="str">
        <f>T("[e북]에피소드")</f>
        <v>[e북]에피소드</v>
      </c>
      <c r="L595">
        <v>4000</v>
      </c>
      <c r="M595">
        <v>4000</v>
      </c>
      <c r="N595">
        <v>1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4000</v>
      </c>
      <c r="AJ595">
        <v>1</v>
      </c>
      <c r="AK595">
        <v>0</v>
      </c>
      <c r="AL595">
        <v>0</v>
      </c>
      <c r="AM595">
        <v>4000</v>
      </c>
      <c r="AN595">
        <v>0</v>
      </c>
      <c r="AO595">
        <v>0</v>
      </c>
      <c r="AP595">
        <v>0</v>
      </c>
      <c r="AQ595">
        <v>0</v>
      </c>
      <c r="AS595">
        <v>0</v>
      </c>
      <c r="AT595">
        <v>0</v>
      </c>
      <c r="AV595">
        <v>0</v>
      </c>
      <c r="AW595">
        <v>0</v>
      </c>
      <c r="AY595">
        <v>0</v>
      </c>
      <c r="AZ595">
        <v>0</v>
      </c>
      <c r="BA595">
        <v>2800</v>
      </c>
      <c r="BE595" t="str">
        <f>T("9791164977529")</f>
        <v>9791164977529</v>
      </c>
      <c r="BF595" t="str">
        <f>T("N141080")</f>
        <v>N141080</v>
      </c>
      <c r="BG595" t="str">
        <f>T("로맨스 e북 &gt; 현대물")</f>
        <v>로맨스 e북 &gt; 현대물</v>
      </c>
      <c r="BH595" t="str">
        <f>T("로맨스 e북 &gt; 19+")</f>
        <v>로맨스 e북 &gt; 19+</v>
      </c>
    </row>
    <row r="596" spans="1:60">
      <c r="A596" t="s">
        <v>60</v>
      </c>
      <c r="B596" s="1">
        <v>46129</v>
      </c>
      <c r="C596">
        <v>2378035072</v>
      </c>
      <c r="D596">
        <v>2378037967</v>
      </c>
      <c r="E596" t="str">
        <f>T("[e북]에피소드 3부 2권")</f>
        <v>[e북]에피소드 3부 2권</v>
      </c>
      <c r="F596">
        <v>9</v>
      </c>
      <c r="G596" t="str">
        <f>T("유이세스")</f>
        <v>유이세스</v>
      </c>
      <c r="J596" t="str">
        <f>T("하트퀸")</f>
        <v>하트퀸</v>
      </c>
      <c r="K596" t="str">
        <f>T("[e북]에피소드")</f>
        <v>[e북]에피소드</v>
      </c>
      <c r="L596">
        <v>4000</v>
      </c>
      <c r="M596">
        <v>4000</v>
      </c>
      <c r="N596">
        <v>1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4000</v>
      </c>
      <c r="AJ596">
        <v>1</v>
      </c>
      <c r="AK596">
        <v>0</v>
      </c>
      <c r="AL596">
        <v>0</v>
      </c>
      <c r="AM596">
        <v>4000</v>
      </c>
      <c r="AN596">
        <v>0</v>
      </c>
      <c r="AO596">
        <v>0</v>
      </c>
      <c r="AP596">
        <v>0</v>
      </c>
      <c r="AQ596">
        <v>0</v>
      </c>
      <c r="AS596">
        <v>0</v>
      </c>
      <c r="AT596">
        <v>0</v>
      </c>
      <c r="AV596">
        <v>0</v>
      </c>
      <c r="AW596">
        <v>0</v>
      </c>
      <c r="AY596">
        <v>0</v>
      </c>
      <c r="AZ596">
        <v>0</v>
      </c>
      <c r="BA596">
        <v>2800</v>
      </c>
      <c r="BE596" t="str">
        <f>T("9791164977536")</f>
        <v>9791164977536</v>
      </c>
      <c r="BF596" t="str">
        <f>T("N141081")</f>
        <v>N141081</v>
      </c>
      <c r="BG596" t="str">
        <f>T("로맨스 e북 &gt; 현대물")</f>
        <v>로맨스 e북 &gt; 현대물</v>
      </c>
      <c r="BH596" t="str">
        <f>T("로맨스 e북 &gt; 19+")</f>
        <v>로맨스 e북 &gt; 19+</v>
      </c>
    </row>
    <row r="597" spans="1:60">
      <c r="A597" t="s">
        <v>60</v>
      </c>
      <c r="B597" s="1">
        <v>46129</v>
      </c>
      <c r="C597">
        <v>2378035072</v>
      </c>
      <c r="D597">
        <v>2378037968</v>
      </c>
      <c r="E597" t="str">
        <f>T("[e북]에피소드 3부 3권")</f>
        <v>[e북]에피소드 3부 3권</v>
      </c>
      <c r="F597">
        <v>10</v>
      </c>
      <c r="G597" t="str">
        <f>T("유이세스")</f>
        <v>유이세스</v>
      </c>
      <c r="J597" t="str">
        <f>T("하트퀸")</f>
        <v>하트퀸</v>
      </c>
      <c r="K597" t="str">
        <f>T("[e북]에피소드")</f>
        <v>[e북]에피소드</v>
      </c>
      <c r="L597">
        <v>4000</v>
      </c>
      <c r="M597">
        <v>8000</v>
      </c>
      <c r="N597">
        <v>2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8000</v>
      </c>
      <c r="AJ597">
        <v>2</v>
      </c>
      <c r="AK597">
        <v>0</v>
      </c>
      <c r="AL597">
        <v>0</v>
      </c>
      <c r="AM597">
        <v>8000</v>
      </c>
      <c r="AN597">
        <v>0</v>
      </c>
      <c r="AO597">
        <v>0</v>
      </c>
      <c r="AP597">
        <v>0</v>
      </c>
      <c r="AQ597">
        <v>0</v>
      </c>
      <c r="AS597">
        <v>0</v>
      </c>
      <c r="AT597">
        <v>0</v>
      </c>
      <c r="AV597">
        <v>0</v>
      </c>
      <c r="AW597">
        <v>0</v>
      </c>
      <c r="AY597">
        <v>0</v>
      </c>
      <c r="AZ597">
        <v>0</v>
      </c>
      <c r="BA597">
        <v>5600</v>
      </c>
      <c r="BE597" t="str">
        <f>T("9791164977543")</f>
        <v>9791164977543</v>
      </c>
      <c r="BF597" t="str">
        <f>T("N141082")</f>
        <v>N141082</v>
      </c>
      <c r="BG597" t="str">
        <f>T("로맨스 e북 &gt; 현대물")</f>
        <v>로맨스 e북 &gt; 현대물</v>
      </c>
      <c r="BH597" t="str">
        <f>T("로맨스 e북 &gt; 19+")</f>
        <v>로맨스 e북 &gt; 19+</v>
      </c>
    </row>
    <row r="598" spans="1:60">
      <c r="A598" t="s">
        <v>60</v>
      </c>
      <c r="B598" s="1">
        <v>46129</v>
      </c>
      <c r="C598">
        <v>2378035072</v>
      </c>
      <c r="D598">
        <v>2378037969</v>
      </c>
      <c r="E598" t="str">
        <f>T("[e북]에피소드 3부 4권 (완결)")</f>
        <v>[e북]에피소드 3부 4권 (완결)</v>
      </c>
      <c r="F598">
        <v>11</v>
      </c>
      <c r="G598" t="str">
        <f>T("유이세스")</f>
        <v>유이세스</v>
      </c>
      <c r="J598" t="str">
        <f>T("하트퀸")</f>
        <v>하트퀸</v>
      </c>
      <c r="K598" t="str">
        <f>T("[e북]에피소드")</f>
        <v>[e북]에피소드</v>
      </c>
      <c r="L598">
        <v>4500</v>
      </c>
      <c r="M598">
        <v>4500</v>
      </c>
      <c r="N598">
        <v>1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4500</v>
      </c>
      <c r="AJ598">
        <v>1</v>
      </c>
      <c r="AK598">
        <v>0</v>
      </c>
      <c r="AL598">
        <v>0</v>
      </c>
      <c r="AM598">
        <v>4500</v>
      </c>
      <c r="AN598">
        <v>0</v>
      </c>
      <c r="AO598">
        <v>0</v>
      </c>
      <c r="AP598">
        <v>0</v>
      </c>
      <c r="AQ598">
        <v>0</v>
      </c>
      <c r="AS598">
        <v>0</v>
      </c>
      <c r="AT598">
        <v>0</v>
      </c>
      <c r="AV598">
        <v>0</v>
      </c>
      <c r="AW598">
        <v>0</v>
      </c>
      <c r="AY598">
        <v>0</v>
      </c>
      <c r="AZ598">
        <v>0</v>
      </c>
      <c r="BA598">
        <v>3150</v>
      </c>
      <c r="BE598" t="str">
        <f>T("9791164977550")</f>
        <v>9791164977550</v>
      </c>
      <c r="BF598" t="str">
        <f>T("N141083")</f>
        <v>N141083</v>
      </c>
      <c r="BG598" t="str">
        <f>T("로맨스 e북 &gt; 현대물")</f>
        <v>로맨스 e북 &gt; 현대물</v>
      </c>
      <c r="BH598" t="str">
        <f>T("로맨스 e북 &gt; 19+")</f>
        <v>로맨스 e북 &gt; 19+</v>
      </c>
    </row>
    <row r="599" spans="1:60">
      <c r="A599" t="s">
        <v>60</v>
      </c>
      <c r="B599" s="1">
        <v>46129</v>
      </c>
      <c r="C599">
        <v>2378035072</v>
      </c>
      <c r="D599">
        <v>2378038470</v>
      </c>
      <c r="E599" t="str">
        <f>T("[e북]에피소드 외전 1. 웨딩")</f>
        <v>[e북]에피소드 외전 1. 웨딩</v>
      </c>
      <c r="F599">
        <v>12</v>
      </c>
      <c r="G599" t="str">
        <f>T("유이세스")</f>
        <v>유이세스</v>
      </c>
      <c r="J599" t="str">
        <f>T("하트퀸")</f>
        <v>하트퀸</v>
      </c>
      <c r="K599" t="str">
        <f>T("[e북]에피소드")</f>
        <v>[e북]에피소드</v>
      </c>
      <c r="L599">
        <v>1500</v>
      </c>
      <c r="M599">
        <v>1500</v>
      </c>
      <c r="N599">
        <v>1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1500</v>
      </c>
      <c r="AJ599">
        <v>1</v>
      </c>
      <c r="AK599">
        <v>0</v>
      </c>
      <c r="AL599">
        <v>0</v>
      </c>
      <c r="AM599">
        <v>1500</v>
      </c>
      <c r="AN599">
        <v>0</v>
      </c>
      <c r="AO599">
        <v>0</v>
      </c>
      <c r="AP599">
        <v>0</v>
      </c>
      <c r="AQ599">
        <v>0</v>
      </c>
      <c r="AS599">
        <v>0</v>
      </c>
      <c r="AT599">
        <v>0</v>
      </c>
      <c r="AV599">
        <v>0</v>
      </c>
      <c r="AW599">
        <v>0</v>
      </c>
      <c r="AY599">
        <v>0</v>
      </c>
      <c r="AZ599">
        <v>0</v>
      </c>
      <c r="BA599">
        <v>1050</v>
      </c>
      <c r="BE599" t="str">
        <f>T("9791164977703")</f>
        <v>9791164977703</v>
      </c>
      <c r="BG599" t="str">
        <f>T("로맨스 e북 &gt; 현대물")</f>
        <v>로맨스 e북 &gt; 현대물</v>
      </c>
      <c r="BH599" t="str">
        <f>T("로맨스 e북 &gt; 19+")</f>
        <v>로맨스 e북 &gt; 19+</v>
      </c>
    </row>
    <row r="600" spans="1:60">
      <c r="A600" t="s">
        <v>60</v>
      </c>
      <c r="B600" s="1">
        <v>46129</v>
      </c>
      <c r="C600">
        <v>2378035072</v>
      </c>
      <c r="D600">
        <v>2378043251</v>
      </c>
      <c r="E600" t="str">
        <f>T("[e북]에피소드 외전 2. 스캔들")</f>
        <v>[e북]에피소드 외전 2. 스캔들</v>
      </c>
      <c r="F600">
        <v>13</v>
      </c>
      <c r="G600" t="str">
        <f>T("유이세스")</f>
        <v>유이세스</v>
      </c>
      <c r="J600" t="str">
        <f>T("하트퀸")</f>
        <v>하트퀸</v>
      </c>
      <c r="K600" t="str">
        <f>T("[e북]에피소드")</f>
        <v>[e북]에피소드</v>
      </c>
      <c r="L600">
        <v>2500</v>
      </c>
      <c r="M600">
        <v>2500</v>
      </c>
      <c r="N600">
        <v>1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2500</v>
      </c>
      <c r="AJ600">
        <v>1</v>
      </c>
      <c r="AK600">
        <v>0</v>
      </c>
      <c r="AL600">
        <v>0</v>
      </c>
      <c r="AM600">
        <v>2500</v>
      </c>
      <c r="AN600">
        <v>0</v>
      </c>
      <c r="AO600">
        <v>0</v>
      </c>
      <c r="AP600">
        <v>0</v>
      </c>
      <c r="AQ600">
        <v>0</v>
      </c>
      <c r="AS600">
        <v>0</v>
      </c>
      <c r="AT600">
        <v>0</v>
      </c>
      <c r="AV600">
        <v>0</v>
      </c>
      <c r="AW600">
        <v>0</v>
      </c>
      <c r="AY600">
        <v>0</v>
      </c>
      <c r="AZ600">
        <v>0</v>
      </c>
      <c r="BA600">
        <v>1750</v>
      </c>
      <c r="BE600" t="str">
        <f>T("9791164977925")</f>
        <v>9791164977925</v>
      </c>
      <c r="BF600" t="str">
        <f>T("N206343")</f>
        <v>N206343</v>
      </c>
      <c r="BG600" t="str">
        <f>T("로맨스 e북 &gt; 현대물")</f>
        <v>로맨스 e북 &gt; 현대물</v>
      </c>
      <c r="BH600" t="str">
        <f>T("로맨스 e북 &gt; 19+")</f>
        <v>로맨스 e북 &gt; 19+</v>
      </c>
    </row>
    <row r="601" spans="1:60">
      <c r="A601" t="s">
        <v>60</v>
      </c>
      <c r="B601" s="1">
        <v>46129</v>
      </c>
      <c r="C601">
        <v>2378035072</v>
      </c>
      <c r="D601">
        <v>2378059876</v>
      </c>
      <c r="E601" t="str">
        <f>T("[e북]에피소드 외전 3. 가을별장 (삽화본)")</f>
        <v>[e북]에피소드 외전 3. 가을별장 (삽화본)</v>
      </c>
      <c r="F601">
        <v>14</v>
      </c>
      <c r="G601" t="str">
        <f>T("유이세스")</f>
        <v>유이세스</v>
      </c>
      <c r="J601" t="str">
        <f>T("하트퀸")</f>
        <v>하트퀸</v>
      </c>
      <c r="K601" t="str">
        <f>T("[e북]에피소드")</f>
        <v>[e북]에피소드</v>
      </c>
      <c r="L601">
        <v>2500</v>
      </c>
      <c r="M601">
        <v>2500</v>
      </c>
      <c r="N601">
        <v>1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2500</v>
      </c>
      <c r="AJ601">
        <v>1</v>
      </c>
      <c r="AK601">
        <v>0</v>
      </c>
      <c r="AL601">
        <v>0</v>
      </c>
      <c r="AM601">
        <v>2500</v>
      </c>
      <c r="AN601">
        <v>0</v>
      </c>
      <c r="AO601">
        <v>0</v>
      </c>
      <c r="AP601">
        <v>0</v>
      </c>
      <c r="AQ601">
        <v>0</v>
      </c>
      <c r="AS601">
        <v>0</v>
      </c>
      <c r="AT601">
        <v>0</v>
      </c>
      <c r="AV601">
        <v>0</v>
      </c>
      <c r="AW601">
        <v>0</v>
      </c>
      <c r="AY601">
        <v>0</v>
      </c>
      <c r="AZ601">
        <v>0</v>
      </c>
      <c r="BA601">
        <v>1750</v>
      </c>
      <c r="BE601" t="str">
        <f>T("9791171500123")</f>
        <v>9791171500123</v>
      </c>
      <c r="BF601" t="str">
        <f>T("k196841")</f>
        <v>k196841</v>
      </c>
      <c r="BG601" t="str">
        <f>T("로맨스 e북 &gt; 현대물")</f>
        <v>로맨스 e북 &gt; 현대물</v>
      </c>
      <c r="BH601" t="str">
        <f>T("로맨스 e북 &gt; 19+")</f>
        <v>로맨스 e북 &gt; 19+</v>
      </c>
    </row>
    <row r="602" spans="1:60">
      <c r="A602" t="s">
        <v>60</v>
      </c>
      <c r="B602" s="1">
        <v>46130</v>
      </c>
      <c r="C602">
        <v>2378035072</v>
      </c>
      <c r="D602">
        <v>2378037969</v>
      </c>
      <c r="E602" t="str">
        <f>T("[e북]에피소드 3부 4권 (완결)")</f>
        <v>[e북]에피소드 3부 4권 (완결)</v>
      </c>
      <c r="F602">
        <v>11</v>
      </c>
      <c r="G602" t="str">
        <f>T("유이세스")</f>
        <v>유이세스</v>
      </c>
      <c r="J602" t="str">
        <f>T("하트퀸")</f>
        <v>하트퀸</v>
      </c>
      <c r="K602" t="str">
        <f>T("[e북]에피소드")</f>
        <v>[e북]에피소드</v>
      </c>
      <c r="L602">
        <v>4500</v>
      </c>
      <c r="M602">
        <v>13500</v>
      </c>
      <c r="N602">
        <v>3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13500</v>
      </c>
      <c r="AJ602">
        <v>3</v>
      </c>
      <c r="AK602">
        <v>0</v>
      </c>
      <c r="AL602">
        <v>0</v>
      </c>
      <c r="AM602">
        <v>13500</v>
      </c>
      <c r="AN602">
        <v>0</v>
      </c>
      <c r="AO602">
        <v>0</v>
      </c>
      <c r="AP602">
        <v>0</v>
      </c>
      <c r="AQ602">
        <v>0</v>
      </c>
      <c r="AS602">
        <v>0</v>
      </c>
      <c r="AT602">
        <v>0</v>
      </c>
      <c r="AV602">
        <v>0</v>
      </c>
      <c r="AW602">
        <v>0</v>
      </c>
      <c r="AY602">
        <v>0</v>
      </c>
      <c r="AZ602">
        <v>0</v>
      </c>
      <c r="BA602">
        <v>9450</v>
      </c>
      <c r="BE602" t="str">
        <f>T("9791164977550")</f>
        <v>9791164977550</v>
      </c>
      <c r="BF602" t="str">
        <f>T("N141083")</f>
        <v>N141083</v>
      </c>
      <c r="BG602" t="str">
        <f>T("로맨스 e북 &gt; 현대물")</f>
        <v>로맨스 e북 &gt; 현대물</v>
      </c>
      <c r="BH602" t="str">
        <f>T("로맨스 e북 &gt; 19+")</f>
        <v>로맨스 e북 &gt; 19+</v>
      </c>
    </row>
    <row r="603" spans="1:60">
      <c r="A603" t="s">
        <v>60</v>
      </c>
      <c r="B603" s="1">
        <v>46130</v>
      </c>
      <c r="C603">
        <v>2378035072</v>
      </c>
      <c r="D603">
        <v>2378035072</v>
      </c>
      <c r="E603" t="str">
        <f>T("[e북]에피소드 1부 1권")</f>
        <v>[e북]에피소드 1부 1권</v>
      </c>
      <c r="F603">
        <v>1</v>
      </c>
      <c r="G603" t="str">
        <f>T("유이세스")</f>
        <v>유이세스</v>
      </c>
      <c r="J603" t="str">
        <f>T("하트퀸")</f>
        <v>하트퀸</v>
      </c>
      <c r="K603" t="str">
        <f>T("[e북]에피소드")</f>
        <v>[e북]에피소드</v>
      </c>
      <c r="L603">
        <v>0</v>
      </c>
      <c r="M603">
        <v>0</v>
      </c>
      <c r="N603">
        <v>0</v>
      </c>
      <c r="O603">
        <v>4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4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S603">
        <v>0</v>
      </c>
      <c r="AT603">
        <v>0</v>
      </c>
      <c r="AV603">
        <v>0</v>
      </c>
      <c r="AW603">
        <v>0</v>
      </c>
      <c r="AY603">
        <v>0</v>
      </c>
      <c r="AZ603">
        <v>0</v>
      </c>
      <c r="BA603">
        <v>0</v>
      </c>
      <c r="BE603" t="str">
        <f>T("9791164977161")</f>
        <v>9791164977161</v>
      </c>
      <c r="BF603" t="str">
        <f>T("N105332")</f>
        <v>N105332</v>
      </c>
      <c r="BG603" t="str">
        <f>T("로맨스 e북 &gt; 현대물")</f>
        <v>로맨스 e북 &gt; 현대물</v>
      </c>
      <c r="BH603" t="str">
        <f>T("로맨스 e북 &gt; 19+")</f>
        <v>로맨스 e북 &gt; 19+</v>
      </c>
    </row>
    <row r="604" spans="1:60">
      <c r="A604" t="s">
        <v>60</v>
      </c>
      <c r="B604" s="1">
        <v>46130</v>
      </c>
      <c r="C604">
        <v>2378035072</v>
      </c>
      <c r="D604">
        <v>2378035073</v>
      </c>
      <c r="E604" t="str">
        <f>T("[e북]에피소드 1부 2권")</f>
        <v>[e북]에피소드 1부 2권</v>
      </c>
      <c r="F604">
        <v>2</v>
      </c>
      <c r="G604" t="str">
        <f>T("유이세스")</f>
        <v>유이세스</v>
      </c>
      <c r="J604" t="str">
        <f>T("하트퀸")</f>
        <v>하트퀸</v>
      </c>
      <c r="K604" t="str">
        <f>T("[e북]에피소드")</f>
        <v>[e북]에피소드</v>
      </c>
      <c r="L604">
        <v>4000</v>
      </c>
      <c r="M604">
        <v>8000</v>
      </c>
      <c r="N604">
        <v>2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8000</v>
      </c>
      <c r="AJ604">
        <v>2</v>
      </c>
      <c r="AK604">
        <v>0</v>
      </c>
      <c r="AL604">
        <v>0</v>
      </c>
      <c r="AM604">
        <v>8000</v>
      </c>
      <c r="AN604">
        <v>0</v>
      </c>
      <c r="AO604">
        <v>0</v>
      </c>
      <c r="AP604">
        <v>0</v>
      </c>
      <c r="AQ604">
        <v>0</v>
      </c>
      <c r="AS604">
        <v>0</v>
      </c>
      <c r="AT604">
        <v>0</v>
      </c>
      <c r="AV604">
        <v>0</v>
      </c>
      <c r="AW604">
        <v>0</v>
      </c>
      <c r="AY604">
        <v>0</v>
      </c>
      <c r="AZ604">
        <v>0</v>
      </c>
      <c r="BA604">
        <v>5600</v>
      </c>
      <c r="BE604" t="str">
        <f>T("9791164977178")</f>
        <v>9791164977178</v>
      </c>
      <c r="BF604" t="str">
        <f>T("N105333")</f>
        <v>N105333</v>
      </c>
      <c r="BG604" t="str">
        <f>T("로맨스 e북 &gt; 현대물")</f>
        <v>로맨스 e북 &gt; 현대물</v>
      </c>
      <c r="BH604" t="str">
        <f>T("로맨스 e북 &gt; 19+")</f>
        <v>로맨스 e북 &gt; 19+</v>
      </c>
    </row>
    <row r="605" spans="1:60">
      <c r="A605" t="s">
        <v>60</v>
      </c>
      <c r="B605" s="1">
        <v>46130</v>
      </c>
      <c r="C605">
        <v>2378035072</v>
      </c>
      <c r="D605">
        <v>2378035074</v>
      </c>
      <c r="E605" t="str">
        <f>T("[e북]에피소드 2부 1권")</f>
        <v>[e북]에피소드 2부 1권</v>
      </c>
      <c r="F605">
        <v>3</v>
      </c>
      <c r="G605" t="str">
        <f>T("유이세스")</f>
        <v>유이세스</v>
      </c>
      <c r="J605" t="str">
        <f>T("하트퀸")</f>
        <v>하트퀸</v>
      </c>
      <c r="K605" t="str">
        <f>T("[e북]에피소드")</f>
        <v>[e북]에피소드</v>
      </c>
      <c r="L605">
        <v>4500</v>
      </c>
      <c r="M605">
        <v>4500</v>
      </c>
      <c r="N605">
        <v>1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4500</v>
      </c>
      <c r="AJ605">
        <v>1</v>
      </c>
      <c r="AK605">
        <v>0</v>
      </c>
      <c r="AL605">
        <v>0</v>
      </c>
      <c r="AM605">
        <v>4500</v>
      </c>
      <c r="AN605">
        <v>0</v>
      </c>
      <c r="AO605">
        <v>0</v>
      </c>
      <c r="AP605">
        <v>0</v>
      </c>
      <c r="AQ605">
        <v>0</v>
      </c>
      <c r="AS605">
        <v>0</v>
      </c>
      <c r="AT605">
        <v>0</v>
      </c>
      <c r="AV605">
        <v>0</v>
      </c>
      <c r="AW605">
        <v>0</v>
      </c>
      <c r="AY605">
        <v>0</v>
      </c>
      <c r="AZ605">
        <v>0</v>
      </c>
      <c r="BA605">
        <v>3150</v>
      </c>
      <c r="BE605" t="str">
        <f>T("9791164977185")</f>
        <v>9791164977185</v>
      </c>
      <c r="BF605" t="str">
        <f>T("N105334")</f>
        <v>N105334</v>
      </c>
      <c r="BG605" t="str">
        <f>T("로맨스 e북 &gt; 현대물")</f>
        <v>로맨스 e북 &gt; 현대물</v>
      </c>
      <c r="BH605" t="str">
        <f>T("로맨스 e북 &gt; 19+")</f>
        <v>로맨스 e북 &gt; 19+</v>
      </c>
    </row>
    <row r="606" spans="1:60">
      <c r="A606" t="s">
        <v>60</v>
      </c>
      <c r="B606" s="1">
        <v>46130</v>
      </c>
      <c r="C606">
        <v>2378035072</v>
      </c>
      <c r="D606">
        <v>2378035075</v>
      </c>
      <c r="E606" t="str">
        <f>T("[e북]에피소드 2부 2권")</f>
        <v>[e북]에피소드 2부 2권</v>
      </c>
      <c r="F606">
        <v>4</v>
      </c>
      <c r="G606" t="str">
        <f>T("유이세스")</f>
        <v>유이세스</v>
      </c>
      <c r="J606" t="str">
        <f>T("하트퀸")</f>
        <v>하트퀸</v>
      </c>
      <c r="K606" t="str">
        <f>T("[e북]에피소드")</f>
        <v>[e북]에피소드</v>
      </c>
      <c r="L606">
        <v>4500</v>
      </c>
      <c r="M606">
        <v>4500</v>
      </c>
      <c r="N606">
        <v>1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4500</v>
      </c>
      <c r="AJ606">
        <v>1</v>
      </c>
      <c r="AK606">
        <v>0</v>
      </c>
      <c r="AL606">
        <v>0</v>
      </c>
      <c r="AM606">
        <v>4500</v>
      </c>
      <c r="AN606">
        <v>0</v>
      </c>
      <c r="AO606">
        <v>0</v>
      </c>
      <c r="AP606">
        <v>0</v>
      </c>
      <c r="AQ606">
        <v>0</v>
      </c>
      <c r="AS606">
        <v>0</v>
      </c>
      <c r="AT606">
        <v>0</v>
      </c>
      <c r="AV606">
        <v>0</v>
      </c>
      <c r="AW606">
        <v>0</v>
      </c>
      <c r="AY606">
        <v>0</v>
      </c>
      <c r="AZ606">
        <v>0</v>
      </c>
      <c r="BA606">
        <v>3150</v>
      </c>
      <c r="BE606" t="str">
        <f>T("9791164977192")</f>
        <v>9791164977192</v>
      </c>
      <c r="BF606" t="str">
        <f>T("N105335")</f>
        <v>N105335</v>
      </c>
      <c r="BG606" t="str">
        <f>T("로맨스 e북 &gt; 현대물")</f>
        <v>로맨스 e북 &gt; 현대물</v>
      </c>
      <c r="BH606" t="str">
        <f>T("로맨스 e북 &gt; 19+")</f>
        <v>로맨스 e북 &gt; 19+</v>
      </c>
    </row>
    <row r="607" spans="1:60">
      <c r="A607" t="s">
        <v>60</v>
      </c>
      <c r="B607" s="1">
        <v>46130</v>
      </c>
      <c r="C607">
        <v>2378035072</v>
      </c>
      <c r="D607">
        <v>2378035076</v>
      </c>
      <c r="E607" t="str">
        <f>T("[e북]에피소드 2부 3권")</f>
        <v>[e북]에피소드 2부 3권</v>
      </c>
      <c r="F607">
        <v>5</v>
      </c>
      <c r="G607" t="str">
        <f>T("유이세스")</f>
        <v>유이세스</v>
      </c>
      <c r="J607" t="str">
        <f>T("하트퀸")</f>
        <v>하트퀸</v>
      </c>
      <c r="K607" t="str">
        <f>T("[e북]에피소드")</f>
        <v>[e북]에피소드</v>
      </c>
      <c r="L607">
        <v>4000</v>
      </c>
      <c r="M607">
        <v>4000</v>
      </c>
      <c r="N607">
        <v>1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4000</v>
      </c>
      <c r="AJ607">
        <v>1</v>
      </c>
      <c r="AK607">
        <v>0</v>
      </c>
      <c r="AL607">
        <v>0</v>
      </c>
      <c r="AM607">
        <v>4000</v>
      </c>
      <c r="AN607">
        <v>0</v>
      </c>
      <c r="AO607">
        <v>0</v>
      </c>
      <c r="AP607">
        <v>0</v>
      </c>
      <c r="AQ607">
        <v>0</v>
      </c>
      <c r="AS607">
        <v>0</v>
      </c>
      <c r="AT607">
        <v>0</v>
      </c>
      <c r="AV607">
        <v>0</v>
      </c>
      <c r="AW607">
        <v>0</v>
      </c>
      <c r="AY607">
        <v>0</v>
      </c>
      <c r="AZ607">
        <v>0</v>
      </c>
      <c r="BA607">
        <v>2800</v>
      </c>
      <c r="BE607" t="str">
        <f>T("9791164977208")</f>
        <v>9791164977208</v>
      </c>
      <c r="BF607" t="str">
        <f>T("N105336")</f>
        <v>N105336</v>
      </c>
      <c r="BG607" t="str">
        <f>T("로맨스 e북 &gt; 현대물")</f>
        <v>로맨스 e북 &gt; 현대물</v>
      </c>
      <c r="BH607" t="str">
        <f>T("로맨스 e북 &gt; 19+")</f>
        <v>로맨스 e북 &gt; 19+</v>
      </c>
    </row>
    <row r="608" spans="1:60">
      <c r="A608" t="s">
        <v>60</v>
      </c>
      <c r="B608" s="1">
        <v>46130</v>
      </c>
      <c r="C608">
        <v>2378035072</v>
      </c>
      <c r="D608">
        <v>2378035077</v>
      </c>
      <c r="E608" t="str">
        <f>T("[e북]에피소드 2부 4권")</f>
        <v>[e북]에피소드 2부 4권</v>
      </c>
      <c r="F608">
        <v>6</v>
      </c>
      <c r="G608" t="str">
        <f>T("유이세스")</f>
        <v>유이세스</v>
      </c>
      <c r="J608" t="str">
        <f>T("하트퀸")</f>
        <v>하트퀸</v>
      </c>
      <c r="K608" t="str">
        <f>T("[e북]에피소드")</f>
        <v>[e북]에피소드</v>
      </c>
      <c r="L608">
        <v>4000</v>
      </c>
      <c r="M608">
        <v>4000</v>
      </c>
      <c r="N608">
        <v>1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4000</v>
      </c>
      <c r="AJ608">
        <v>1</v>
      </c>
      <c r="AK608">
        <v>0</v>
      </c>
      <c r="AL608">
        <v>0</v>
      </c>
      <c r="AM608">
        <v>4000</v>
      </c>
      <c r="AN608">
        <v>0</v>
      </c>
      <c r="AO608">
        <v>0</v>
      </c>
      <c r="AP608">
        <v>0</v>
      </c>
      <c r="AQ608">
        <v>0</v>
      </c>
      <c r="AS608">
        <v>0</v>
      </c>
      <c r="AT608">
        <v>0</v>
      </c>
      <c r="AV608">
        <v>0</v>
      </c>
      <c r="AW608">
        <v>0</v>
      </c>
      <c r="AY608">
        <v>0</v>
      </c>
      <c r="AZ608">
        <v>0</v>
      </c>
      <c r="BA608">
        <v>2800</v>
      </c>
      <c r="BE608" t="str">
        <f>T("9791164977215")</f>
        <v>9791164977215</v>
      </c>
      <c r="BF608" t="str">
        <f>T("N105337")</f>
        <v>N105337</v>
      </c>
      <c r="BG608" t="str">
        <f>T("로맨스 e북 &gt; 현대물")</f>
        <v>로맨스 e북 &gt; 현대물</v>
      </c>
      <c r="BH608" t="str">
        <f>T("로맨스 e북 &gt; 19+")</f>
        <v>로맨스 e북 &gt; 19+</v>
      </c>
    </row>
    <row r="609" spans="1:60">
      <c r="A609" t="s">
        <v>60</v>
      </c>
      <c r="B609" s="1">
        <v>46130</v>
      </c>
      <c r="C609">
        <v>2378035072</v>
      </c>
      <c r="D609">
        <v>2378035078</v>
      </c>
      <c r="E609" t="str">
        <f>T("[e북]에피소드 2부 5권")</f>
        <v>[e북]에피소드 2부 5권</v>
      </c>
      <c r="F609">
        <v>7</v>
      </c>
      <c r="G609" t="str">
        <f>T("유이세스")</f>
        <v>유이세스</v>
      </c>
      <c r="J609" t="str">
        <f>T("하트퀸")</f>
        <v>하트퀸</v>
      </c>
      <c r="K609" t="str">
        <f>T("[e북]에피소드")</f>
        <v>[e북]에피소드</v>
      </c>
      <c r="L609">
        <v>3500</v>
      </c>
      <c r="M609">
        <v>3500</v>
      </c>
      <c r="N609">
        <v>1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3500</v>
      </c>
      <c r="AJ609">
        <v>1</v>
      </c>
      <c r="AK609">
        <v>0</v>
      </c>
      <c r="AL609">
        <v>0</v>
      </c>
      <c r="AM609">
        <v>3500</v>
      </c>
      <c r="AN609">
        <v>0</v>
      </c>
      <c r="AO609">
        <v>0</v>
      </c>
      <c r="AP609">
        <v>0</v>
      </c>
      <c r="AQ609">
        <v>0</v>
      </c>
      <c r="AS609">
        <v>0</v>
      </c>
      <c r="AT609">
        <v>0</v>
      </c>
      <c r="AV609">
        <v>0</v>
      </c>
      <c r="AW609">
        <v>0</v>
      </c>
      <c r="AY609">
        <v>0</v>
      </c>
      <c r="AZ609">
        <v>0</v>
      </c>
      <c r="BA609">
        <v>2450</v>
      </c>
      <c r="BE609" t="str">
        <f>T("9791164977222")</f>
        <v>9791164977222</v>
      </c>
      <c r="BF609" t="str">
        <f>T("N105338")</f>
        <v>N105338</v>
      </c>
      <c r="BG609" t="str">
        <f>T("로맨스 e북 &gt; 현대물")</f>
        <v>로맨스 e북 &gt; 현대물</v>
      </c>
      <c r="BH609" t="str">
        <f>T("로맨스 e북 &gt; 19+")</f>
        <v>로맨스 e북 &gt; 19+</v>
      </c>
    </row>
    <row r="610" spans="1:60">
      <c r="A610" t="s">
        <v>60</v>
      </c>
      <c r="B610" s="1">
        <v>46130</v>
      </c>
      <c r="C610">
        <v>2378035072</v>
      </c>
      <c r="D610">
        <v>2378037966</v>
      </c>
      <c r="E610" t="str">
        <f>T("[e북]에피소드 3부 1권")</f>
        <v>[e북]에피소드 3부 1권</v>
      </c>
      <c r="F610">
        <v>8</v>
      </c>
      <c r="G610" t="str">
        <f>T("유이세스")</f>
        <v>유이세스</v>
      </c>
      <c r="J610" t="str">
        <f>T("하트퀸")</f>
        <v>하트퀸</v>
      </c>
      <c r="K610" t="str">
        <f>T("[e북]에피소드")</f>
        <v>[e북]에피소드</v>
      </c>
      <c r="L610">
        <v>4000</v>
      </c>
      <c r="M610">
        <v>8000</v>
      </c>
      <c r="N610">
        <v>2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8000</v>
      </c>
      <c r="AJ610">
        <v>2</v>
      </c>
      <c r="AK610">
        <v>0</v>
      </c>
      <c r="AL610">
        <v>0</v>
      </c>
      <c r="AM610">
        <v>8000</v>
      </c>
      <c r="AN610">
        <v>0</v>
      </c>
      <c r="AO610">
        <v>0</v>
      </c>
      <c r="AP610">
        <v>0</v>
      </c>
      <c r="AQ610">
        <v>0</v>
      </c>
      <c r="AS610">
        <v>0</v>
      </c>
      <c r="AT610">
        <v>0</v>
      </c>
      <c r="AV610">
        <v>0</v>
      </c>
      <c r="AW610">
        <v>0</v>
      </c>
      <c r="AY610">
        <v>0</v>
      </c>
      <c r="AZ610">
        <v>0</v>
      </c>
      <c r="BA610">
        <v>5600</v>
      </c>
      <c r="BE610" t="str">
        <f>T("9791164977529")</f>
        <v>9791164977529</v>
      </c>
      <c r="BF610" t="str">
        <f>T("N141080")</f>
        <v>N141080</v>
      </c>
      <c r="BG610" t="str">
        <f>T("로맨스 e북 &gt; 현대물")</f>
        <v>로맨스 e북 &gt; 현대물</v>
      </c>
      <c r="BH610" t="str">
        <f>T("로맨스 e북 &gt; 19+")</f>
        <v>로맨스 e북 &gt; 19+</v>
      </c>
    </row>
    <row r="611" spans="1:60">
      <c r="A611" t="s">
        <v>60</v>
      </c>
      <c r="B611" s="1">
        <v>46130</v>
      </c>
      <c r="C611">
        <v>2378035072</v>
      </c>
      <c r="D611">
        <v>2378037967</v>
      </c>
      <c r="E611" t="str">
        <f>T("[e북]에피소드 3부 2권")</f>
        <v>[e북]에피소드 3부 2권</v>
      </c>
      <c r="F611">
        <v>9</v>
      </c>
      <c r="G611" t="str">
        <f>T("유이세스")</f>
        <v>유이세스</v>
      </c>
      <c r="J611" t="str">
        <f>T("하트퀸")</f>
        <v>하트퀸</v>
      </c>
      <c r="K611" t="str">
        <f>T("[e북]에피소드")</f>
        <v>[e북]에피소드</v>
      </c>
      <c r="L611">
        <v>4000</v>
      </c>
      <c r="M611">
        <v>12000</v>
      </c>
      <c r="N611">
        <v>3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12000</v>
      </c>
      <c r="AJ611">
        <v>3</v>
      </c>
      <c r="AK611">
        <v>0</v>
      </c>
      <c r="AL611">
        <v>0</v>
      </c>
      <c r="AM611">
        <v>12000</v>
      </c>
      <c r="AN611">
        <v>0</v>
      </c>
      <c r="AO611">
        <v>0</v>
      </c>
      <c r="AP611">
        <v>0</v>
      </c>
      <c r="AQ611">
        <v>0</v>
      </c>
      <c r="AS611">
        <v>0</v>
      </c>
      <c r="AT611">
        <v>0</v>
      </c>
      <c r="AV611">
        <v>0</v>
      </c>
      <c r="AW611">
        <v>0</v>
      </c>
      <c r="AY611">
        <v>0</v>
      </c>
      <c r="AZ611">
        <v>0</v>
      </c>
      <c r="BA611">
        <v>8400</v>
      </c>
      <c r="BE611" t="str">
        <f>T("9791164977536")</f>
        <v>9791164977536</v>
      </c>
      <c r="BF611" t="str">
        <f>T("N141081")</f>
        <v>N141081</v>
      </c>
      <c r="BG611" t="str">
        <f>T("로맨스 e북 &gt; 현대물")</f>
        <v>로맨스 e북 &gt; 현대물</v>
      </c>
      <c r="BH611" t="str">
        <f>T("로맨스 e북 &gt; 19+")</f>
        <v>로맨스 e북 &gt; 19+</v>
      </c>
    </row>
    <row r="612" spans="1:60">
      <c r="A612" t="s">
        <v>60</v>
      </c>
      <c r="B612" s="1">
        <v>46130</v>
      </c>
      <c r="C612">
        <v>2378035072</v>
      </c>
      <c r="D612">
        <v>2378037968</v>
      </c>
      <c r="E612" t="str">
        <f>T("[e북]에피소드 3부 3권")</f>
        <v>[e북]에피소드 3부 3권</v>
      </c>
      <c r="F612">
        <v>10</v>
      </c>
      <c r="G612" t="str">
        <f>T("유이세스")</f>
        <v>유이세스</v>
      </c>
      <c r="J612" t="str">
        <f>T("하트퀸")</f>
        <v>하트퀸</v>
      </c>
      <c r="K612" t="str">
        <f>T("[e북]에피소드")</f>
        <v>[e북]에피소드</v>
      </c>
      <c r="L612">
        <v>4000</v>
      </c>
      <c r="M612">
        <v>4000</v>
      </c>
      <c r="N612">
        <v>1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4000</v>
      </c>
      <c r="AJ612">
        <v>1</v>
      </c>
      <c r="AK612">
        <v>0</v>
      </c>
      <c r="AL612">
        <v>0</v>
      </c>
      <c r="AM612">
        <v>4000</v>
      </c>
      <c r="AN612">
        <v>0</v>
      </c>
      <c r="AO612">
        <v>0</v>
      </c>
      <c r="AP612">
        <v>0</v>
      </c>
      <c r="AQ612">
        <v>0</v>
      </c>
      <c r="AS612">
        <v>0</v>
      </c>
      <c r="AT612">
        <v>0</v>
      </c>
      <c r="AV612">
        <v>0</v>
      </c>
      <c r="AW612">
        <v>0</v>
      </c>
      <c r="AY612">
        <v>0</v>
      </c>
      <c r="AZ612">
        <v>0</v>
      </c>
      <c r="BA612">
        <v>2800</v>
      </c>
      <c r="BE612" t="str">
        <f>T("9791164977543")</f>
        <v>9791164977543</v>
      </c>
      <c r="BF612" t="str">
        <f>T("N141082")</f>
        <v>N141082</v>
      </c>
      <c r="BG612" t="str">
        <f>T("로맨스 e북 &gt; 현대물")</f>
        <v>로맨스 e북 &gt; 현대물</v>
      </c>
      <c r="BH612" t="str">
        <f>T("로맨스 e북 &gt; 19+")</f>
        <v>로맨스 e북 &gt; 19+</v>
      </c>
    </row>
    <row r="613" spans="1:60">
      <c r="A613" t="s">
        <v>60</v>
      </c>
      <c r="B613" s="1">
        <v>46130</v>
      </c>
      <c r="C613">
        <v>2378035072</v>
      </c>
      <c r="D613">
        <v>2378038470</v>
      </c>
      <c r="E613" t="str">
        <f>T("[e북]에피소드 외전 1. 웨딩")</f>
        <v>[e북]에피소드 외전 1. 웨딩</v>
      </c>
      <c r="F613">
        <v>12</v>
      </c>
      <c r="G613" t="str">
        <f>T("유이세스")</f>
        <v>유이세스</v>
      </c>
      <c r="J613" t="str">
        <f>T("하트퀸")</f>
        <v>하트퀸</v>
      </c>
      <c r="K613" t="str">
        <f>T("[e북]에피소드")</f>
        <v>[e북]에피소드</v>
      </c>
      <c r="L613">
        <v>1500</v>
      </c>
      <c r="M613">
        <v>1500</v>
      </c>
      <c r="N613">
        <v>1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1500</v>
      </c>
      <c r="AJ613">
        <v>1</v>
      </c>
      <c r="AK613">
        <v>0</v>
      </c>
      <c r="AL613">
        <v>0</v>
      </c>
      <c r="AM613">
        <v>1500</v>
      </c>
      <c r="AN613">
        <v>0</v>
      </c>
      <c r="AO613">
        <v>0</v>
      </c>
      <c r="AP613">
        <v>0</v>
      </c>
      <c r="AQ613">
        <v>0</v>
      </c>
      <c r="AS613">
        <v>0</v>
      </c>
      <c r="AT613">
        <v>0</v>
      </c>
      <c r="AV613">
        <v>0</v>
      </c>
      <c r="AW613">
        <v>0</v>
      </c>
      <c r="AY613">
        <v>0</v>
      </c>
      <c r="AZ613">
        <v>0</v>
      </c>
      <c r="BA613">
        <v>1050</v>
      </c>
      <c r="BE613" t="str">
        <f>T("9791164977703")</f>
        <v>9791164977703</v>
      </c>
      <c r="BG613" t="str">
        <f>T("로맨스 e북 &gt; 현대물")</f>
        <v>로맨스 e북 &gt; 현대물</v>
      </c>
      <c r="BH613" t="str">
        <f>T("로맨스 e북 &gt; 19+")</f>
        <v>로맨스 e북 &gt; 19+</v>
      </c>
    </row>
    <row r="614" spans="1:60">
      <c r="A614" t="s">
        <v>60</v>
      </c>
      <c r="B614" s="1">
        <v>46130</v>
      </c>
      <c r="C614">
        <v>2378035072</v>
      </c>
      <c r="D614">
        <v>2378043251</v>
      </c>
      <c r="E614" t="str">
        <f>T("[e북]에피소드 외전 2. 스캔들")</f>
        <v>[e북]에피소드 외전 2. 스캔들</v>
      </c>
      <c r="F614">
        <v>13</v>
      </c>
      <c r="G614" t="str">
        <f>T("유이세스")</f>
        <v>유이세스</v>
      </c>
      <c r="J614" t="str">
        <f>T("하트퀸")</f>
        <v>하트퀸</v>
      </c>
      <c r="K614" t="str">
        <f>T("[e북]에피소드")</f>
        <v>[e북]에피소드</v>
      </c>
      <c r="L614">
        <v>2500</v>
      </c>
      <c r="M614">
        <v>2500</v>
      </c>
      <c r="N614">
        <v>1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2500</v>
      </c>
      <c r="AJ614">
        <v>1</v>
      </c>
      <c r="AK614">
        <v>0</v>
      </c>
      <c r="AL614">
        <v>0</v>
      </c>
      <c r="AM614">
        <v>2500</v>
      </c>
      <c r="AN614">
        <v>0</v>
      </c>
      <c r="AO614">
        <v>0</v>
      </c>
      <c r="AP614">
        <v>0</v>
      </c>
      <c r="AQ614">
        <v>0</v>
      </c>
      <c r="AS614">
        <v>0</v>
      </c>
      <c r="AT614">
        <v>0</v>
      </c>
      <c r="AV614">
        <v>0</v>
      </c>
      <c r="AW614">
        <v>0</v>
      </c>
      <c r="AY614">
        <v>0</v>
      </c>
      <c r="AZ614">
        <v>0</v>
      </c>
      <c r="BA614">
        <v>1750</v>
      </c>
      <c r="BE614" t="str">
        <f>T("9791164977925")</f>
        <v>9791164977925</v>
      </c>
      <c r="BF614" t="str">
        <f>T("N206343")</f>
        <v>N206343</v>
      </c>
      <c r="BG614" t="str">
        <f>T("로맨스 e북 &gt; 현대물")</f>
        <v>로맨스 e북 &gt; 현대물</v>
      </c>
      <c r="BH614" t="str">
        <f>T("로맨스 e북 &gt; 19+")</f>
        <v>로맨스 e북 &gt; 19+</v>
      </c>
    </row>
    <row r="615" spans="1:60">
      <c r="A615" t="s">
        <v>60</v>
      </c>
      <c r="B615" s="1">
        <v>46130</v>
      </c>
      <c r="C615">
        <v>2378035072</v>
      </c>
      <c r="D615">
        <v>2378059876</v>
      </c>
      <c r="E615" t="str">
        <f>T("[e북]에피소드 외전 3. 가을별장 (삽화본)")</f>
        <v>[e북]에피소드 외전 3. 가을별장 (삽화본)</v>
      </c>
      <c r="F615">
        <v>14</v>
      </c>
      <c r="G615" t="str">
        <f>T("유이세스")</f>
        <v>유이세스</v>
      </c>
      <c r="J615" t="str">
        <f>T("하트퀸")</f>
        <v>하트퀸</v>
      </c>
      <c r="K615" t="str">
        <f>T("[e북]에피소드")</f>
        <v>[e북]에피소드</v>
      </c>
      <c r="L615">
        <v>2500</v>
      </c>
      <c r="M615">
        <v>2500</v>
      </c>
      <c r="N615">
        <v>1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2500</v>
      </c>
      <c r="AJ615">
        <v>1</v>
      </c>
      <c r="AK615">
        <v>0</v>
      </c>
      <c r="AL615">
        <v>0</v>
      </c>
      <c r="AM615">
        <v>2500</v>
      </c>
      <c r="AN615">
        <v>0</v>
      </c>
      <c r="AO615">
        <v>0</v>
      </c>
      <c r="AP615">
        <v>0</v>
      </c>
      <c r="AQ615">
        <v>0</v>
      </c>
      <c r="AS615">
        <v>0</v>
      </c>
      <c r="AT615">
        <v>0</v>
      </c>
      <c r="AV615">
        <v>0</v>
      </c>
      <c r="AW615">
        <v>0</v>
      </c>
      <c r="AY615">
        <v>0</v>
      </c>
      <c r="AZ615">
        <v>0</v>
      </c>
      <c r="BA615">
        <v>1750</v>
      </c>
      <c r="BE615" t="str">
        <f>T("9791171500123")</f>
        <v>9791171500123</v>
      </c>
      <c r="BF615" t="str">
        <f>T("k196841")</f>
        <v>k196841</v>
      </c>
      <c r="BG615" t="str">
        <f>T("로맨스 e북 &gt; 현대물")</f>
        <v>로맨스 e북 &gt; 현대물</v>
      </c>
      <c r="BH615" t="str">
        <f>T("로맨스 e북 &gt; 19+")</f>
        <v>로맨스 e북 &gt; 19+</v>
      </c>
    </row>
    <row r="616" spans="1:60">
      <c r="A616" t="s">
        <v>60</v>
      </c>
      <c r="B616" s="1">
        <v>46130</v>
      </c>
      <c r="C616">
        <v>2378035072</v>
      </c>
      <c r="D616">
        <v>2378068954</v>
      </c>
      <c r="E616" t="str">
        <f>T("[e북]에피소드 외전 4. 네버엔딩 (삽화본)")</f>
        <v>[e북]에피소드 외전 4. 네버엔딩 (삽화본)</v>
      </c>
      <c r="F616">
        <v>15</v>
      </c>
      <c r="G616" t="str">
        <f>T("유이세스")</f>
        <v>유이세스</v>
      </c>
      <c r="J616" t="str">
        <f>T("하트퀸")</f>
        <v>하트퀸</v>
      </c>
      <c r="K616" t="str">
        <f>T("[e북]에피소드")</f>
        <v>[e북]에피소드</v>
      </c>
      <c r="L616">
        <v>2500</v>
      </c>
      <c r="M616">
        <v>2500</v>
      </c>
      <c r="N616">
        <v>1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2500</v>
      </c>
      <c r="AJ616">
        <v>1</v>
      </c>
      <c r="AK616">
        <v>0</v>
      </c>
      <c r="AL616">
        <v>0</v>
      </c>
      <c r="AM616">
        <v>2500</v>
      </c>
      <c r="AN616">
        <v>0</v>
      </c>
      <c r="AO616">
        <v>0</v>
      </c>
      <c r="AP616">
        <v>0</v>
      </c>
      <c r="AQ616">
        <v>0</v>
      </c>
      <c r="AS616">
        <v>0</v>
      </c>
      <c r="AT616">
        <v>0</v>
      </c>
      <c r="AV616">
        <v>0</v>
      </c>
      <c r="AW616">
        <v>0</v>
      </c>
      <c r="AY616">
        <v>0</v>
      </c>
      <c r="AZ616">
        <v>0</v>
      </c>
      <c r="BA616">
        <v>1750</v>
      </c>
      <c r="BE616" t="str">
        <f>T("9791171501151")</f>
        <v>9791171501151</v>
      </c>
      <c r="BF616" t="str">
        <f>T("k381883")</f>
        <v>k381883</v>
      </c>
      <c r="BG616" t="str">
        <f>T("로맨스 e북 &gt; 현대물")</f>
        <v>로맨스 e북 &gt; 현대물</v>
      </c>
      <c r="BH616" t="str">
        <f>T("로맨스 e북 &gt; 19+")</f>
        <v>로맨스 e북 &gt; 19+</v>
      </c>
    </row>
    <row r="617" spans="1:60">
      <c r="A617" t="s">
        <v>60</v>
      </c>
      <c r="B617" s="1">
        <v>46131</v>
      </c>
      <c r="C617">
        <v>2378035072</v>
      </c>
      <c r="D617">
        <v>2378037968</v>
      </c>
      <c r="E617" t="str">
        <f>T("[e북]에피소드 3부 3권")</f>
        <v>[e북]에피소드 3부 3권</v>
      </c>
      <c r="F617">
        <v>10</v>
      </c>
      <c r="G617" t="str">
        <f>T("유이세스")</f>
        <v>유이세스</v>
      </c>
      <c r="J617" t="str">
        <f>T("하트퀸")</f>
        <v>하트퀸</v>
      </c>
      <c r="K617" t="str">
        <f>T("[e북]에피소드")</f>
        <v>[e북]에피소드</v>
      </c>
      <c r="L617">
        <v>4000</v>
      </c>
      <c r="M617">
        <v>8000</v>
      </c>
      <c r="N617">
        <v>2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8000</v>
      </c>
      <c r="AJ617">
        <v>2</v>
      </c>
      <c r="AK617">
        <v>0</v>
      </c>
      <c r="AL617">
        <v>0</v>
      </c>
      <c r="AM617">
        <v>8000</v>
      </c>
      <c r="AN617">
        <v>0</v>
      </c>
      <c r="AO617">
        <v>0</v>
      </c>
      <c r="AP617">
        <v>0</v>
      </c>
      <c r="AQ617">
        <v>0</v>
      </c>
      <c r="AS617">
        <v>0</v>
      </c>
      <c r="AT617">
        <v>0</v>
      </c>
      <c r="AV617">
        <v>0</v>
      </c>
      <c r="AW617">
        <v>0</v>
      </c>
      <c r="AY617">
        <v>0</v>
      </c>
      <c r="AZ617">
        <v>0</v>
      </c>
      <c r="BA617">
        <v>5600</v>
      </c>
      <c r="BE617" t="str">
        <f>T("9791164977543")</f>
        <v>9791164977543</v>
      </c>
      <c r="BF617" t="str">
        <f>T("N141082")</f>
        <v>N141082</v>
      </c>
      <c r="BG617" t="str">
        <f>T("로맨스 e북 &gt; 현대물")</f>
        <v>로맨스 e북 &gt; 현대물</v>
      </c>
      <c r="BH617" t="str">
        <f>T("로맨스 e북 &gt; 19+")</f>
        <v>로맨스 e북 &gt; 19+</v>
      </c>
    </row>
    <row r="618" spans="1:60">
      <c r="A618" t="s">
        <v>60</v>
      </c>
      <c r="B618" s="1">
        <v>46131</v>
      </c>
      <c r="C618">
        <v>2378035072</v>
      </c>
      <c r="D618">
        <v>2378035073</v>
      </c>
      <c r="E618" t="str">
        <f>T("[e북]에피소드 1부 2권")</f>
        <v>[e북]에피소드 1부 2권</v>
      </c>
      <c r="F618">
        <v>2</v>
      </c>
      <c r="G618" t="str">
        <f>T("유이세스")</f>
        <v>유이세스</v>
      </c>
      <c r="J618" t="str">
        <f>T("하트퀸")</f>
        <v>하트퀸</v>
      </c>
      <c r="K618" t="str">
        <f>T("[e북]에피소드")</f>
        <v>[e북]에피소드</v>
      </c>
      <c r="L618">
        <v>4000</v>
      </c>
      <c r="M618">
        <v>8000</v>
      </c>
      <c r="N618">
        <v>2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8000</v>
      </c>
      <c r="AJ618">
        <v>2</v>
      </c>
      <c r="AK618">
        <v>0</v>
      </c>
      <c r="AL618">
        <v>0</v>
      </c>
      <c r="AM618">
        <v>8000</v>
      </c>
      <c r="AN618">
        <v>0</v>
      </c>
      <c r="AO618">
        <v>0</v>
      </c>
      <c r="AP618">
        <v>0</v>
      </c>
      <c r="AQ618">
        <v>0</v>
      </c>
      <c r="AS618">
        <v>0</v>
      </c>
      <c r="AT618">
        <v>0</v>
      </c>
      <c r="AV618">
        <v>0</v>
      </c>
      <c r="AW618">
        <v>0</v>
      </c>
      <c r="AY618">
        <v>0</v>
      </c>
      <c r="AZ618">
        <v>0</v>
      </c>
      <c r="BA618">
        <v>5600</v>
      </c>
      <c r="BE618" t="str">
        <f>T("9791164977178")</f>
        <v>9791164977178</v>
      </c>
      <c r="BF618" t="str">
        <f>T("N105333")</f>
        <v>N105333</v>
      </c>
      <c r="BG618" t="str">
        <f>T("로맨스 e북 &gt; 현대물")</f>
        <v>로맨스 e북 &gt; 현대물</v>
      </c>
      <c r="BH618" t="str">
        <f>T("로맨스 e북 &gt; 19+")</f>
        <v>로맨스 e북 &gt; 19+</v>
      </c>
    </row>
    <row r="619" spans="1:60">
      <c r="A619" t="s">
        <v>60</v>
      </c>
      <c r="B619" s="1">
        <v>46131</v>
      </c>
      <c r="C619">
        <v>2378035072</v>
      </c>
      <c r="D619">
        <v>2378037966</v>
      </c>
      <c r="E619" t="str">
        <f>T("[e북]에피소드 3부 1권")</f>
        <v>[e북]에피소드 3부 1권</v>
      </c>
      <c r="F619">
        <v>8</v>
      </c>
      <c r="G619" t="str">
        <f>T("유이세스")</f>
        <v>유이세스</v>
      </c>
      <c r="J619" t="str">
        <f>T("하트퀸")</f>
        <v>하트퀸</v>
      </c>
      <c r="K619" t="str">
        <f>T("[e북]에피소드")</f>
        <v>[e북]에피소드</v>
      </c>
      <c r="L619">
        <v>4000</v>
      </c>
      <c r="M619">
        <v>4000</v>
      </c>
      <c r="N619">
        <v>1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4000</v>
      </c>
      <c r="AJ619">
        <v>1</v>
      </c>
      <c r="AK619">
        <v>0</v>
      </c>
      <c r="AL619">
        <v>0</v>
      </c>
      <c r="AM619">
        <v>4000</v>
      </c>
      <c r="AN619">
        <v>0</v>
      </c>
      <c r="AO619">
        <v>0</v>
      </c>
      <c r="AP619">
        <v>0</v>
      </c>
      <c r="AQ619">
        <v>0</v>
      </c>
      <c r="AS619">
        <v>0</v>
      </c>
      <c r="AT619">
        <v>0</v>
      </c>
      <c r="AV619">
        <v>0</v>
      </c>
      <c r="AW619">
        <v>0</v>
      </c>
      <c r="AY619">
        <v>0</v>
      </c>
      <c r="AZ619">
        <v>0</v>
      </c>
      <c r="BA619">
        <v>2800</v>
      </c>
      <c r="BE619" t="str">
        <f>T("9791164977529")</f>
        <v>9791164977529</v>
      </c>
      <c r="BF619" t="str">
        <f>T("N141080")</f>
        <v>N141080</v>
      </c>
      <c r="BG619" t="str">
        <f>T("로맨스 e북 &gt; 현대물")</f>
        <v>로맨스 e북 &gt; 현대물</v>
      </c>
      <c r="BH619" t="str">
        <f>T("로맨스 e북 &gt; 19+")</f>
        <v>로맨스 e북 &gt; 19+</v>
      </c>
    </row>
    <row r="620" spans="1:60">
      <c r="A620" t="s">
        <v>60</v>
      </c>
      <c r="B620" s="1">
        <v>46131</v>
      </c>
      <c r="C620">
        <v>2378035072</v>
      </c>
      <c r="D620">
        <v>2378037969</v>
      </c>
      <c r="E620" t="str">
        <f>T("[e북]에피소드 3부 4권 (완결)")</f>
        <v>[e북]에피소드 3부 4권 (완결)</v>
      </c>
      <c r="F620">
        <v>11</v>
      </c>
      <c r="G620" t="str">
        <f>T("유이세스")</f>
        <v>유이세스</v>
      </c>
      <c r="J620" t="str">
        <f>T("하트퀸")</f>
        <v>하트퀸</v>
      </c>
      <c r="K620" t="str">
        <f>T("[e북]에피소드")</f>
        <v>[e북]에피소드</v>
      </c>
      <c r="L620">
        <v>4500</v>
      </c>
      <c r="M620">
        <v>9000</v>
      </c>
      <c r="N620">
        <v>2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9000</v>
      </c>
      <c r="AJ620">
        <v>2</v>
      </c>
      <c r="AK620">
        <v>0</v>
      </c>
      <c r="AL620">
        <v>0</v>
      </c>
      <c r="AM620">
        <v>9000</v>
      </c>
      <c r="AN620">
        <v>0</v>
      </c>
      <c r="AO620">
        <v>0</v>
      </c>
      <c r="AP620">
        <v>0</v>
      </c>
      <c r="AQ620">
        <v>0</v>
      </c>
      <c r="AS620">
        <v>0</v>
      </c>
      <c r="AT620">
        <v>0</v>
      </c>
      <c r="AV620">
        <v>0</v>
      </c>
      <c r="AW620">
        <v>0</v>
      </c>
      <c r="AY620">
        <v>0</v>
      </c>
      <c r="AZ620">
        <v>0</v>
      </c>
      <c r="BA620">
        <v>6300</v>
      </c>
      <c r="BE620" t="str">
        <f>T("9791164977550")</f>
        <v>9791164977550</v>
      </c>
      <c r="BF620" t="str">
        <f>T("N141083")</f>
        <v>N141083</v>
      </c>
      <c r="BG620" t="str">
        <f>T("로맨스 e북 &gt; 현대물")</f>
        <v>로맨스 e북 &gt; 현대물</v>
      </c>
      <c r="BH620" t="str">
        <f>T("로맨스 e북 &gt; 19+")</f>
        <v>로맨스 e북 &gt; 19+</v>
      </c>
    </row>
    <row r="621" spans="1:60">
      <c r="A621" t="s">
        <v>60</v>
      </c>
      <c r="B621" s="1">
        <v>46131</v>
      </c>
      <c r="C621">
        <v>2378035072</v>
      </c>
      <c r="D621">
        <v>2378035072</v>
      </c>
      <c r="E621" t="str">
        <f>T("[e북]에피소드 1부 1권")</f>
        <v>[e북]에피소드 1부 1권</v>
      </c>
      <c r="F621">
        <v>1</v>
      </c>
      <c r="G621" t="str">
        <f>T("유이세스")</f>
        <v>유이세스</v>
      </c>
      <c r="J621" t="str">
        <f>T("하트퀸")</f>
        <v>하트퀸</v>
      </c>
      <c r="K621" t="str">
        <f>T("[e북]에피소드")</f>
        <v>[e북]에피소드</v>
      </c>
      <c r="L621">
        <v>0</v>
      </c>
      <c r="M621">
        <v>0</v>
      </c>
      <c r="N621">
        <v>0</v>
      </c>
      <c r="O621">
        <v>10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10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S621">
        <v>0</v>
      </c>
      <c r="AT621">
        <v>0</v>
      </c>
      <c r="AV621">
        <v>0</v>
      </c>
      <c r="AW621">
        <v>0</v>
      </c>
      <c r="AY621">
        <v>0</v>
      </c>
      <c r="AZ621">
        <v>0</v>
      </c>
      <c r="BA621">
        <v>0</v>
      </c>
      <c r="BE621" t="str">
        <f>T("9791164977161")</f>
        <v>9791164977161</v>
      </c>
      <c r="BF621" t="str">
        <f>T("N105332")</f>
        <v>N105332</v>
      </c>
      <c r="BG621" t="str">
        <f>T("로맨스 e북 &gt; 현대물")</f>
        <v>로맨스 e북 &gt; 현대물</v>
      </c>
      <c r="BH621" t="str">
        <f>T("로맨스 e북 &gt; 19+")</f>
        <v>로맨스 e북 &gt; 19+</v>
      </c>
    </row>
    <row r="622" spans="1:60">
      <c r="A622" t="s">
        <v>60</v>
      </c>
      <c r="B622" s="1">
        <v>46131</v>
      </c>
      <c r="C622">
        <v>2378035072</v>
      </c>
      <c r="D622">
        <v>2378043251</v>
      </c>
      <c r="E622" t="str">
        <f>T("[e북]에피소드 외전 2. 스캔들")</f>
        <v>[e북]에피소드 외전 2. 스캔들</v>
      </c>
      <c r="F622">
        <v>13</v>
      </c>
      <c r="G622" t="str">
        <f>T("유이세스")</f>
        <v>유이세스</v>
      </c>
      <c r="J622" t="str">
        <f>T("하트퀸")</f>
        <v>하트퀸</v>
      </c>
      <c r="K622" t="str">
        <f>T("[e북]에피소드")</f>
        <v>[e북]에피소드</v>
      </c>
      <c r="L622">
        <v>2500</v>
      </c>
      <c r="M622">
        <v>5000</v>
      </c>
      <c r="N622">
        <v>2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5000</v>
      </c>
      <c r="AJ622">
        <v>2</v>
      </c>
      <c r="AK622">
        <v>0</v>
      </c>
      <c r="AL622">
        <v>0</v>
      </c>
      <c r="AM622">
        <v>5000</v>
      </c>
      <c r="AN622">
        <v>0</v>
      </c>
      <c r="AO622">
        <v>0</v>
      </c>
      <c r="AP622">
        <v>0</v>
      </c>
      <c r="AQ622">
        <v>0</v>
      </c>
      <c r="AS622">
        <v>0</v>
      </c>
      <c r="AT622">
        <v>0</v>
      </c>
      <c r="AV622">
        <v>0</v>
      </c>
      <c r="AW622">
        <v>0</v>
      </c>
      <c r="AY622">
        <v>0</v>
      </c>
      <c r="AZ622">
        <v>0</v>
      </c>
      <c r="BA622">
        <v>3500</v>
      </c>
      <c r="BE622" t="str">
        <f>T("9791164977925")</f>
        <v>9791164977925</v>
      </c>
      <c r="BF622" t="str">
        <f>T("N206343")</f>
        <v>N206343</v>
      </c>
      <c r="BG622" t="str">
        <f>T("로맨스 e북 &gt; 현대물")</f>
        <v>로맨스 e북 &gt; 현대물</v>
      </c>
      <c r="BH622" t="str">
        <f>T("로맨스 e북 &gt; 19+")</f>
        <v>로맨스 e북 &gt; 19+</v>
      </c>
    </row>
    <row r="623" spans="1:60">
      <c r="A623" t="s">
        <v>60</v>
      </c>
      <c r="B623" s="1">
        <v>46131</v>
      </c>
      <c r="C623">
        <v>2378035072</v>
      </c>
      <c r="D623">
        <v>2378059876</v>
      </c>
      <c r="E623" t="str">
        <f>T("[e북]에피소드 외전 3. 가을별장 (삽화본)")</f>
        <v>[e북]에피소드 외전 3. 가을별장 (삽화본)</v>
      </c>
      <c r="F623">
        <v>14</v>
      </c>
      <c r="G623" t="str">
        <f>T("유이세스")</f>
        <v>유이세스</v>
      </c>
      <c r="J623" t="str">
        <f>T("하트퀸")</f>
        <v>하트퀸</v>
      </c>
      <c r="K623" t="str">
        <f>T("[e북]에피소드")</f>
        <v>[e북]에피소드</v>
      </c>
      <c r="L623">
        <v>2500</v>
      </c>
      <c r="M623">
        <v>5000</v>
      </c>
      <c r="N623">
        <v>2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5000</v>
      </c>
      <c r="AJ623">
        <v>2</v>
      </c>
      <c r="AK623">
        <v>0</v>
      </c>
      <c r="AL623">
        <v>0</v>
      </c>
      <c r="AM623">
        <v>5000</v>
      </c>
      <c r="AN623">
        <v>0</v>
      </c>
      <c r="AO623">
        <v>0</v>
      </c>
      <c r="AP623">
        <v>0</v>
      </c>
      <c r="AQ623">
        <v>0</v>
      </c>
      <c r="AS623">
        <v>0</v>
      </c>
      <c r="AT623">
        <v>0</v>
      </c>
      <c r="AV623">
        <v>0</v>
      </c>
      <c r="AW623">
        <v>0</v>
      </c>
      <c r="AY623">
        <v>0</v>
      </c>
      <c r="AZ623">
        <v>0</v>
      </c>
      <c r="BA623">
        <v>3500</v>
      </c>
      <c r="BE623" t="str">
        <f>T("9791171500123")</f>
        <v>9791171500123</v>
      </c>
      <c r="BF623" t="str">
        <f>T("k196841")</f>
        <v>k196841</v>
      </c>
      <c r="BG623" t="str">
        <f>T("로맨스 e북 &gt; 현대물")</f>
        <v>로맨스 e북 &gt; 현대물</v>
      </c>
      <c r="BH623" t="str">
        <f>T("로맨스 e북 &gt; 19+")</f>
        <v>로맨스 e북 &gt; 19+</v>
      </c>
    </row>
    <row r="624" spans="1:60">
      <c r="A624" t="s">
        <v>60</v>
      </c>
      <c r="B624" s="1">
        <v>46131</v>
      </c>
      <c r="C624">
        <v>2378035072</v>
      </c>
      <c r="D624">
        <v>2378068954</v>
      </c>
      <c r="E624" t="str">
        <f>T("[e북]에피소드 외전 4. 네버엔딩 (삽화본)")</f>
        <v>[e북]에피소드 외전 4. 네버엔딩 (삽화본)</v>
      </c>
      <c r="F624">
        <v>15</v>
      </c>
      <c r="G624" t="str">
        <f>T("유이세스")</f>
        <v>유이세스</v>
      </c>
      <c r="J624" t="str">
        <f>T("하트퀸")</f>
        <v>하트퀸</v>
      </c>
      <c r="K624" t="str">
        <f>T("[e북]에피소드")</f>
        <v>[e북]에피소드</v>
      </c>
      <c r="L624">
        <v>2500</v>
      </c>
      <c r="M624">
        <v>5000</v>
      </c>
      <c r="N624">
        <v>2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5000</v>
      </c>
      <c r="AJ624">
        <v>2</v>
      </c>
      <c r="AK624">
        <v>0</v>
      </c>
      <c r="AL624">
        <v>0</v>
      </c>
      <c r="AM624">
        <v>5000</v>
      </c>
      <c r="AN624">
        <v>0</v>
      </c>
      <c r="AO624">
        <v>0</v>
      </c>
      <c r="AP624">
        <v>0</v>
      </c>
      <c r="AQ624">
        <v>0</v>
      </c>
      <c r="AS624">
        <v>0</v>
      </c>
      <c r="AT624">
        <v>0</v>
      </c>
      <c r="AV624">
        <v>0</v>
      </c>
      <c r="AW624">
        <v>0</v>
      </c>
      <c r="AY624">
        <v>0</v>
      </c>
      <c r="AZ624">
        <v>0</v>
      </c>
      <c r="BA624">
        <v>3500</v>
      </c>
      <c r="BE624" t="str">
        <f>T("9791171501151")</f>
        <v>9791171501151</v>
      </c>
      <c r="BF624" t="str">
        <f>T("k381883")</f>
        <v>k381883</v>
      </c>
      <c r="BG624" t="str">
        <f>T("로맨스 e북 &gt; 현대물")</f>
        <v>로맨스 e북 &gt; 현대물</v>
      </c>
      <c r="BH624" t="str">
        <f>T("로맨스 e북 &gt; 19+")</f>
        <v>로맨스 e북 &gt; 19+</v>
      </c>
    </row>
    <row r="625" spans="1:60">
      <c r="A625" t="s">
        <v>60</v>
      </c>
      <c r="B625" s="1">
        <v>46131</v>
      </c>
      <c r="C625">
        <v>2378035072</v>
      </c>
      <c r="D625">
        <v>2378035074</v>
      </c>
      <c r="E625" t="str">
        <f>T("[e북]에피소드 2부 1권")</f>
        <v>[e북]에피소드 2부 1권</v>
      </c>
      <c r="F625">
        <v>3</v>
      </c>
      <c r="G625" t="str">
        <f>T("유이세스")</f>
        <v>유이세스</v>
      </c>
      <c r="J625" t="str">
        <f>T("하트퀸")</f>
        <v>하트퀸</v>
      </c>
      <c r="K625" t="str">
        <f>T("[e북]에피소드")</f>
        <v>[e북]에피소드</v>
      </c>
      <c r="L625">
        <v>4500</v>
      </c>
      <c r="M625">
        <v>13500</v>
      </c>
      <c r="N625">
        <v>3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13500</v>
      </c>
      <c r="AJ625">
        <v>3</v>
      </c>
      <c r="AK625">
        <v>0</v>
      </c>
      <c r="AL625">
        <v>0</v>
      </c>
      <c r="AM625">
        <v>13500</v>
      </c>
      <c r="AN625">
        <v>0</v>
      </c>
      <c r="AO625">
        <v>0</v>
      </c>
      <c r="AP625">
        <v>0</v>
      </c>
      <c r="AQ625">
        <v>0</v>
      </c>
      <c r="AS625">
        <v>0</v>
      </c>
      <c r="AT625">
        <v>0</v>
      </c>
      <c r="AV625">
        <v>0</v>
      </c>
      <c r="AW625">
        <v>0</v>
      </c>
      <c r="AY625">
        <v>0</v>
      </c>
      <c r="AZ625">
        <v>0</v>
      </c>
      <c r="BA625">
        <v>9450</v>
      </c>
      <c r="BE625" t="str">
        <f>T("9791164977185")</f>
        <v>9791164977185</v>
      </c>
      <c r="BF625" t="str">
        <f>T("N105334")</f>
        <v>N105334</v>
      </c>
      <c r="BG625" t="str">
        <f>T("로맨스 e북 &gt; 현대물")</f>
        <v>로맨스 e북 &gt; 현대물</v>
      </c>
      <c r="BH625" t="str">
        <f>T("로맨스 e북 &gt; 19+")</f>
        <v>로맨스 e북 &gt; 19+</v>
      </c>
    </row>
    <row r="626" spans="1:60">
      <c r="A626" t="s">
        <v>60</v>
      </c>
      <c r="B626" s="1">
        <v>46131</v>
      </c>
      <c r="C626">
        <v>2378035072</v>
      </c>
      <c r="D626">
        <v>2378038470</v>
      </c>
      <c r="E626" t="str">
        <f>T("[e북]에피소드 외전 1. 웨딩")</f>
        <v>[e북]에피소드 외전 1. 웨딩</v>
      </c>
      <c r="F626">
        <v>12</v>
      </c>
      <c r="G626" t="str">
        <f>T("유이세스")</f>
        <v>유이세스</v>
      </c>
      <c r="J626" t="str">
        <f>T("하트퀸")</f>
        <v>하트퀸</v>
      </c>
      <c r="K626" t="str">
        <f>T("[e북]에피소드")</f>
        <v>[e북]에피소드</v>
      </c>
      <c r="L626">
        <v>1500</v>
      </c>
      <c r="M626">
        <v>1500</v>
      </c>
      <c r="N626">
        <v>1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1500</v>
      </c>
      <c r="AJ626">
        <v>1</v>
      </c>
      <c r="AK626">
        <v>0</v>
      </c>
      <c r="AL626">
        <v>0</v>
      </c>
      <c r="AM626">
        <v>1500</v>
      </c>
      <c r="AN626">
        <v>0</v>
      </c>
      <c r="AO626">
        <v>0</v>
      </c>
      <c r="AP626">
        <v>0</v>
      </c>
      <c r="AQ626">
        <v>0</v>
      </c>
      <c r="AS626">
        <v>0</v>
      </c>
      <c r="AT626">
        <v>0</v>
      </c>
      <c r="AV626">
        <v>0</v>
      </c>
      <c r="AW626">
        <v>0</v>
      </c>
      <c r="AY626">
        <v>0</v>
      </c>
      <c r="AZ626">
        <v>0</v>
      </c>
      <c r="BA626">
        <v>1050</v>
      </c>
      <c r="BE626" t="str">
        <f>T("9791164977703")</f>
        <v>9791164977703</v>
      </c>
      <c r="BG626" t="str">
        <f>T("로맨스 e북 &gt; 현대물")</f>
        <v>로맨스 e북 &gt; 현대물</v>
      </c>
      <c r="BH626" t="str">
        <f>T("로맨스 e북 &gt; 19+")</f>
        <v>로맨스 e북 &gt; 19+</v>
      </c>
    </row>
    <row r="627" spans="1:60">
      <c r="A627" t="s">
        <v>60</v>
      </c>
      <c r="B627" s="1">
        <v>46131</v>
      </c>
      <c r="C627">
        <v>2378035072</v>
      </c>
      <c r="D627">
        <v>2378035075</v>
      </c>
      <c r="E627" t="str">
        <f>T("[e북]에피소드 2부 2권")</f>
        <v>[e북]에피소드 2부 2권</v>
      </c>
      <c r="F627">
        <v>4</v>
      </c>
      <c r="G627" t="str">
        <f>T("유이세스")</f>
        <v>유이세스</v>
      </c>
      <c r="J627" t="str">
        <f>T("하트퀸")</f>
        <v>하트퀸</v>
      </c>
      <c r="K627" t="str">
        <f>T("[e북]에피소드")</f>
        <v>[e북]에피소드</v>
      </c>
      <c r="L627">
        <v>4500</v>
      </c>
      <c r="M627">
        <v>4500</v>
      </c>
      <c r="N627">
        <v>1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4500</v>
      </c>
      <c r="AJ627">
        <v>1</v>
      </c>
      <c r="AK627">
        <v>0</v>
      </c>
      <c r="AL627">
        <v>0</v>
      </c>
      <c r="AM627">
        <v>4500</v>
      </c>
      <c r="AN627">
        <v>0</v>
      </c>
      <c r="AO627">
        <v>0</v>
      </c>
      <c r="AP627">
        <v>0</v>
      </c>
      <c r="AQ627">
        <v>0</v>
      </c>
      <c r="AS627">
        <v>0</v>
      </c>
      <c r="AT627">
        <v>0</v>
      </c>
      <c r="AV627">
        <v>0</v>
      </c>
      <c r="AW627">
        <v>0</v>
      </c>
      <c r="AY627">
        <v>0</v>
      </c>
      <c r="AZ627">
        <v>0</v>
      </c>
      <c r="BA627">
        <v>3150</v>
      </c>
      <c r="BE627" t="str">
        <f>T("9791164977192")</f>
        <v>9791164977192</v>
      </c>
      <c r="BF627" t="str">
        <f>T("N105335")</f>
        <v>N105335</v>
      </c>
      <c r="BG627" t="str">
        <f>T("로맨스 e북 &gt; 현대물")</f>
        <v>로맨스 e북 &gt; 현대물</v>
      </c>
      <c r="BH627" t="str">
        <f>T("로맨스 e북 &gt; 19+")</f>
        <v>로맨스 e북 &gt; 19+</v>
      </c>
    </row>
    <row r="628" spans="1:60">
      <c r="A628" t="s">
        <v>60</v>
      </c>
      <c r="B628" s="1">
        <v>46131</v>
      </c>
      <c r="C628">
        <v>2378005352</v>
      </c>
      <c r="D628">
        <v>2378005352</v>
      </c>
      <c r="E628" t="str">
        <f>T("[e북]여기, 스올 1권")</f>
        <v>[e북]여기, 스올 1권</v>
      </c>
      <c r="F628">
        <v>1</v>
      </c>
      <c r="G628" t="str">
        <f>T("모갱")</f>
        <v>모갱</v>
      </c>
      <c r="J628" t="str">
        <f>T("체셔")</f>
        <v>체셔</v>
      </c>
      <c r="K628" t="str">
        <f>T("[e북]여기, 스올")</f>
        <v>[e북]여기, 스올</v>
      </c>
      <c r="L628">
        <v>3000</v>
      </c>
      <c r="M628">
        <v>3000</v>
      </c>
      <c r="N628">
        <v>1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3000</v>
      </c>
      <c r="AJ628">
        <v>1</v>
      </c>
      <c r="AK628">
        <v>0</v>
      </c>
      <c r="AL628">
        <v>0</v>
      </c>
      <c r="AM628">
        <v>3000</v>
      </c>
      <c r="AN628">
        <v>0</v>
      </c>
      <c r="AO628">
        <v>0</v>
      </c>
      <c r="AP628">
        <v>0</v>
      </c>
      <c r="AQ628">
        <v>0</v>
      </c>
      <c r="AS628">
        <v>0</v>
      </c>
      <c r="AT628">
        <v>0</v>
      </c>
      <c r="AV628">
        <v>0</v>
      </c>
      <c r="AW628">
        <v>0</v>
      </c>
      <c r="AY628">
        <v>0</v>
      </c>
      <c r="AZ628">
        <v>0</v>
      </c>
      <c r="BA628">
        <v>2100</v>
      </c>
      <c r="BC628" t="str">
        <f>T("0000000000000")</f>
        <v>0000000000000</v>
      </c>
      <c r="BE628" t="str">
        <f>T("9791189901400")</f>
        <v>9791189901400</v>
      </c>
      <c r="BF628" t="str">
        <f>T("E355217")</f>
        <v>E355217</v>
      </c>
      <c r="BG628" t="str">
        <f>T("BL 소설 e북 &gt; 역사/시대물")</f>
        <v>BL 소설 e북 &gt; 역사/시대물</v>
      </c>
    </row>
    <row r="629" spans="1:60">
      <c r="A629" t="s">
        <v>60</v>
      </c>
      <c r="B629" s="1">
        <v>46129</v>
      </c>
      <c r="C629">
        <v>2378008528</v>
      </c>
      <c r="D629">
        <v>2378008529</v>
      </c>
      <c r="E629" t="str">
        <f>T("[e북][체험판] 여종의 자유")</f>
        <v>[e북][체험판] 여종의 자유</v>
      </c>
      <c r="F629">
        <v>1</v>
      </c>
      <c r="G629" t="str">
        <f>T("여훈희")</f>
        <v>여훈희</v>
      </c>
      <c r="J629" t="str">
        <f>T("시계토끼")</f>
        <v>시계토끼</v>
      </c>
      <c r="K629" t="str">
        <f>T("[e북]여종의 자유")</f>
        <v>[e북]여종의 자유</v>
      </c>
      <c r="L629">
        <v>0</v>
      </c>
      <c r="M629">
        <v>0</v>
      </c>
      <c r="N629">
        <v>0</v>
      </c>
      <c r="O629">
        <v>3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0</v>
      </c>
      <c r="AJ629">
        <v>3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S629">
        <v>0</v>
      </c>
      <c r="AT629">
        <v>0</v>
      </c>
      <c r="AV629">
        <v>0</v>
      </c>
      <c r="AW629">
        <v>0</v>
      </c>
      <c r="AY629">
        <v>0</v>
      </c>
      <c r="AZ629">
        <v>0</v>
      </c>
      <c r="BA629">
        <v>0</v>
      </c>
      <c r="BC629" t="str">
        <f>T("0000000000000")</f>
        <v>0000000000000</v>
      </c>
      <c r="BE629" t="str">
        <f>T("9791164971893")</f>
        <v>9791164971893</v>
      </c>
      <c r="BF629" t="str">
        <f>T("E436223")</f>
        <v>E436223</v>
      </c>
      <c r="BG629" t="str">
        <f>T("로판 e북 &gt; 서양풍 로판")</f>
        <v>로판 e북 &gt; 서양풍 로판</v>
      </c>
    </row>
    <row r="630" spans="1:60">
      <c r="A630" t="s">
        <v>60</v>
      </c>
      <c r="B630" s="1">
        <v>46130</v>
      </c>
      <c r="C630">
        <v>2378008528</v>
      </c>
      <c r="D630">
        <v>2378008528</v>
      </c>
      <c r="E630" t="str">
        <f>T("[e북]여종의 자유")</f>
        <v>[e북]여종의 자유</v>
      </c>
      <c r="F630">
        <v>0</v>
      </c>
      <c r="G630" t="str">
        <f>T("여훈희")</f>
        <v>여훈희</v>
      </c>
      <c r="J630" t="str">
        <f>T("시계토끼")</f>
        <v>시계토끼</v>
      </c>
      <c r="K630" t="str">
        <f>T("[e북]여종의 자유")</f>
        <v>[e북]여종의 자유</v>
      </c>
      <c r="L630">
        <v>3500</v>
      </c>
      <c r="M630">
        <v>3500</v>
      </c>
      <c r="N630">
        <v>1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3500</v>
      </c>
      <c r="AJ630">
        <v>1</v>
      </c>
      <c r="AK630">
        <v>0</v>
      </c>
      <c r="AL630">
        <v>0</v>
      </c>
      <c r="AM630">
        <v>3500</v>
      </c>
      <c r="AN630">
        <v>0</v>
      </c>
      <c r="AO630">
        <v>0</v>
      </c>
      <c r="AP630">
        <v>0</v>
      </c>
      <c r="AQ630">
        <v>0</v>
      </c>
      <c r="AS630">
        <v>0</v>
      </c>
      <c r="AT630">
        <v>0</v>
      </c>
      <c r="AV630">
        <v>0</v>
      </c>
      <c r="AW630">
        <v>0</v>
      </c>
      <c r="AY630">
        <v>0</v>
      </c>
      <c r="AZ630">
        <v>0</v>
      </c>
      <c r="BA630">
        <v>2450</v>
      </c>
      <c r="BC630" t="str">
        <f>T("0000000000000")</f>
        <v>0000000000000</v>
      </c>
      <c r="BE630" t="str">
        <f>T("9791164971893")</f>
        <v>9791164971893</v>
      </c>
      <c r="BF630" t="str">
        <f>T("E436223")</f>
        <v>E436223</v>
      </c>
      <c r="BG630" t="str">
        <f>T("로판 e북 &gt; 서양풍 로판")</f>
        <v>로판 e북 &gt; 서양풍 로판</v>
      </c>
    </row>
    <row r="631" spans="1:60">
      <c r="A631" t="s">
        <v>60</v>
      </c>
      <c r="B631" s="1">
        <v>46130</v>
      </c>
      <c r="C631">
        <v>2378008528</v>
      </c>
      <c r="D631">
        <v>2378008529</v>
      </c>
      <c r="E631" t="str">
        <f>T("[e북][체험판] 여종의 자유")</f>
        <v>[e북][체험판] 여종의 자유</v>
      </c>
      <c r="F631">
        <v>1</v>
      </c>
      <c r="G631" t="str">
        <f>T("여훈희")</f>
        <v>여훈희</v>
      </c>
      <c r="J631" t="str">
        <f>T("시계토끼")</f>
        <v>시계토끼</v>
      </c>
      <c r="K631" t="str">
        <f>T("[e북]여종의 자유")</f>
        <v>[e북]여종의 자유</v>
      </c>
      <c r="L631">
        <v>0</v>
      </c>
      <c r="M631">
        <v>0</v>
      </c>
      <c r="N631">
        <v>0</v>
      </c>
      <c r="O631">
        <v>2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2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S631">
        <v>0</v>
      </c>
      <c r="AT631">
        <v>0</v>
      </c>
      <c r="AV631">
        <v>0</v>
      </c>
      <c r="AW631">
        <v>0</v>
      </c>
      <c r="AY631">
        <v>0</v>
      </c>
      <c r="AZ631">
        <v>0</v>
      </c>
      <c r="BA631">
        <v>0</v>
      </c>
      <c r="BC631" t="str">
        <f>T("0000000000000")</f>
        <v>0000000000000</v>
      </c>
      <c r="BE631" t="str">
        <f>T("9791164971893")</f>
        <v>9791164971893</v>
      </c>
      <c r="BF631" t="str">
        <f>T("E436223")</f>
        <v>E436223</v>
      </c>
      <c r="BG631" t="str">
        <f>T("로판 e북 &gt; 서양풍 로판")</f>
        <v>로판 e북 &gt; 서양풍 로판</v>
      </c>
    </row>
    <row r="632" spans="1:60">
      <c r="A632" t="s">
        <v>60</v>
      </c>
      <c r="B632" s="1">
        <v>46131</v>
      </c>
      <c r="C632">
        <v>2378008528</v>
      </c>
      <c r="D632">
        <v>2378008529</v>
      </c>
      <c r="E632" t="str">
        <f>T("[e북][체험판] 여종의 자유")</f>
        <v>[e북][체험판] 여종의 자유</v>
      </c>
      <c r="F632">
        <v>1</v>
      </c>
      <c r="G632" t="str">
        <f>T("여훈희")</f>
        <v>여훈희</v>
      </c>
      <c r="J632" t="str">
        <f>T("시계토끼")</f>
        <v>시계토끼</v>
      </c>
      <c r="K632" t="str">
        <f>T("[e북]여종의 자유")</f>
        <v>[e북]여종의 자유</v>
      </c>
      <c r="L632">
        <v>0</v>
      </c>
      <c r="M632">
        <v>0</v>
      </c>
      <c r="N632">
        <v>0</v>
      </c>
      <c r="O632">
        <v>1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1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S632">
        <v>0</v>
      </c>
      <c r="AT632">
        <v>0</v>
      </c>
      <c r="AV632">
        <v>0</v>
      </c>
      <c r="AW632">
        <v>0</v>
      </c>
      <c r="AY632">
        <v>0</v>
      </c>
      <c r="AZ632">
        <v>0</v>
      </c>
      <c r="BA632">
        <v>0</v>
      </c>
      <c r="BC632" t="str">
        <f>T("0000000000000")</f>
        <v>0000000000000</v>
      </c>
      <c r="BE632" t="str">
        <f>T("9791164971893")</f>
        <v>9791164971893</v>
      </c>
      <c r="BF632" t="str">
        <f>T("E436223")</f>
        <v>E436223</v>
      </c>
      <c r="BG632" t="str">
        <f>T("로판 e북 &gt; 서양풍 로판")</f>
        <v>로판 e북 &gt; 서양풍 로판</v>
      </c>
    </row>
    <row r="633" spans="1:60">
      <c r="A633" t="s">
        <v>60</v>
      </c>
      <c r="B633" s="1">
        <v>46130</v>
      </c>
      <c r="C633">
        <v>2378033799</v>
      </c>
      <c r="D633">
        <v>2378033799</v>
      </c>
      <c r="E633" t="str">
        <f>T("[e북]오라버니가 잠든 사이에 1권")</f>
        <v>[e북]오라버니가 잠든 사이에 1권</v>
      </c>
      <c r="F633">
        <v>1</v>
      </c>
      <c r="G633" t="str">
        <f>T("정매실")</f>
        <v>정매실</v>
      </c>
      <c r="J633" t="str">
        <f>T("시계토끼")</f>
        <v>시계토끼</v>
      </c>
      <c r="K633" t="str">
        <f>T("[e북]오라버니가 잠든 사이에")</f>
        <v>[e북]오라버니가 잠든 사이에</v>
      </c>
      <c r="L633">
        <v>3200</v>
      </c>
      <c r="M633">
        <v>3200</v>
      </c>
      <c r="N633">
        <v>1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3200</v>
      </c>
      <c r="AJ633">
        <v>1</v>
      </c>
      <c r="AK633">
        <v>0</v>
      </c>
      <c r="AL633">
        <v>0</v>
      </c>
      <c r="AM633">
        <v>3200</v>
      </c>
      <c r="AN633">
        <v>0</v>
      </c>
      <c r="AO633">
        <v>0</v>
      </c>
      <c r="AP633">
        <v>0</v>
      </c>
      <c r="AQ633">
        <v>0</v>
      </c>
      <c r="AS633">
        <v>0</v>
      </c>
      <c r="AT633">
        <v>0</v>
      </c>
      <c r="AV633">
        <v>0</v>
      </c>
      <c r="AW633">
        <v>0</v>
      </c>
      <c r="AY633">
        <v>0</v>
      </c>
      <c r="AZ633">
        <v>0</v>
      </c>
      <c r="BA633">
        <v>2240</v>
      </c>
      <c r="BE633" t="str">
        <f>T("9791164096435")</f>
        <v>9791164096435</v>
      </c>
      <c r="BF633" t="str">
        <f>T("N044633")</f>
        <v>N044633</v>
      </c>
      <c r="BG633" t="str">
        <f>T("로맨스 e북 &gt; 섹슈얼 로맨스")</f>
        <v>로맨스 e북 &gt; 섹슈얼 로맨스</v>
      </c>
    </row>
    <row r="634" spans="1:60">
      <c r="A634" t="s">
        <v>60</v>
      </c>
      <c r="B634" s="1">
        <v>46131</v>
      </c>
      <c r="C634">
        <v>2378033799</v>
      </c>
      <c r="D634">
        <v>2378033800</v>
      </c>
      <c r="E634" t="str">
        <f>T("[e북]오라버니가 잠든 사이에 2권 (완결)")</f>
        <v>[e북]오라버니가 잠든 사이에 2권 (완결)</v>
      </c>
      <c r="F634">
        <v>2</v>
      </c>
      <c r="G634" t="str">
        <f>T("정매실")</f>
        <v>정매실</v>
      </c>
      <c r="J634" t="str">
        <f>T("시계토끼")</f>
        <v>시계토끼</v>
      </c>
      <c r="K634" t="str">
        <f>T("[e북]오라버니가 잠든 사이에")</f>
        <v>[e북]오라버니가 잠든 사이에</v>
      </c>
      <c r="L634">
        <v>3200</v>
      </c>
      <c r="M634">
        <v>3200</v>
      </c>
      <c r="N634">
        <v>1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3200</v>
      </c>
      <c r="AJ634">
        <v>1</v>
      </c>
      <c r="AK634">
        <v>0</v>
      </c>
      <c r="AL634">
        <v>0</v>
      </c>
      <c r="AM634">
        <v>3200</v>
      </c>
      <c r="AN634">
        <v>0</v>
      </c>
      <c r="AO634">
        <v>0</v>
      </c>
      <c r="AP634">
        <v>0</v>
      </c>
      <c r="AQ634">
        <v>0</v>
      </c>
      <c r="AS634">
        <v>0</v>
      </c>
      <c r="AT634">
        <v>0</v>
      </c>
      <c r="AV634">
        <v>0</v>
      </c>
      <c r="AW634">
        <v>0</v>
      </c>
      <c r="AY634">
        <v>0</v>
      </c>
      <c r="AZ634">
        <v>0</v>
      </c>
      <c r="BA634">
        <v>2240</v>
      </c>
      <c r="BE634" t="str">
        <f>T("9791164096442")</f>
        <v>9791164096442</v>
      </c>
      <c r="BF634" t="str">
        <f>T("N044634")</f>
        <v>N044634</v>
      </c>
      <c r="BG634" t="str">
        <f>T("로맨스 e북 &gt; 섹슈얼 로맨스")</f>
        <v>로맨스 e북 &gt; 섹슈얼 로맨스</v>
      </c>
    </row>
    <row r="635" spans="1:60">
      <c r="A635" t="s">
        <v>60</v>
      </c>
      <c r="B635" s="1">
        <v>46131</v>
      </c>
      <c r="C635">
        <v>2378078189</v>
      </c>
      <c r="D635">
        <v>2378078189</v>
      </c>
      <c r="E635" t="str">
        <f>T("[e북]오빠가 해줄게 1권")</f>
        <v>[e북]오빠가 해줄게 1권</v>
      </c>
      <c r="F635">
        <v>1</v>
      </c>
      <c r="G635" t="str">
        <f>T("진숙")</f>
        <v>진숙</v>
      </c>
      <c r="J635" t="str">
        <f>T("하트퀸")</f>
        <v>하트퀸</v>
      </c>
      <c r="K635" t="str">
        <f>T("[e북]오빠가 해줄게")</f>
        <v>[e북]오빠가 해줄게</v>
      </c>
      <c r="L635">
        <v>2700</v>
      </c>
      <c r="M635">
        <v>2700</v>
      </c>
      <c r="N635">
        <v>1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2700</v>
      </c>
      <c r="AJ635">
        <v>1</v>
      </c>
      <c r="AK635">
        <v>0</v>
      </c>
      <c r="AL635">
        <v>0</v>
      </c>
      <c r="AM635">
        <v>2700</v>
      </c>
      <c r="AN635">
        <v>0</v>
      </c>
      <c r="AO635">
        <v>0</v>
      </c>
      <c r="AP635">
        <v>0</v>
      </c>
      <c r="AQ635">
        <v>0</v>
      </c>
      <c r="AS635">
        <v>0</v>
      </c>
      <c r="AT635">
        <v>0</v>
      </c>
      <c r="AV635">
        <v>0</v>
      </c>
      <c r="AW635">
        <v>0</v>
      </c>
      <c r="AY635">
        <v>0</v>
      </c>
      <c r="AZ635">
        <v>0</v>
      </c>
      <c r="BA635">
        <v>1890</v>
      </c>
      <c r="BE635" t="str">
        <f>T("9791171502677")</f>
        <v>9791171502677</v>
      </c>
      <c r="BF635" t="str">
        <f>T("D072843")</f>
        <v>D072843</v>
      </c>
      <c r="BG635" t="str">
        <f>T("로맨스 e북 &gt; 현대물")</f>
        <v>로맨스 e북 &gt; 현대물</v>
      </c>
    </row>
    <row r="636" spans="1:60">
      <c r="A636" t="s">
        <v>60</v>
      </c>
      <c r="B636" s="1">
        <v>46130</v>
      </c>
      <c r="C636">
        <v>2378030749</v>
      </c>
      <c r="D636">
        <v>2378030749</v>
      </c>
      <c r="E636" t="str">
        <f>T("[e북]오픈마켓으로 성공하라! 1권")</f>
        <v>[e북]오픈마켓으로 성공하라! 1권</v>
      </c>
      <c r="F636">
        <v>1</v>
      </c>
      <c r="G636" t="str">
        <f>T("무정호")</f>
        <v>무정호</v>
      </c>
      <c r="J636" t="str">
        <f>T("매드햇")</f>
        <v>매드햇</v>
      </c>
      <c r="K636" t="str">
        <f>T("[e북]오픈마켓으로 성공하라!")</f>
        <v>[e북]오픈마켓으로 성공하라!</v>
      </c>
      <c r="L636">
        <v>0</v>
      </c>
      <c r="M636">
        <v>0</v>
      </c>
      <c r="N636">
        <v>0</v>
      </c>
      <c r="O636">
        <v>1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1</v>
      </c>
      <c r="AK636">
        <v>0</v>
      </c>
      <c r="AL636">
        <v>0</v>
      </c>
      <c r="AM636">
        <v>0</v>
      </c>
      <c r="AN636">
        <v>0</v>
      </c>
      <c r="AO636">
        <v>0</v>
      </c>
      <c r="AP636">
        <v>0</v>
      </c>
      <c r="AQ636">
        <v>0</v>
      </c>
      <c r="AS636">
        <v>0</v>
      </c>
      <c r="AT636">
        <v>0</v>
      </c>
      <c r="AV636">
        <v>0</v>
      </c>
      <c r="AW636">
        <v>0</v>
      </c>
      <c r="AY636">
        <v>0</v>
      </c>
      <c r="AZ636">
        <v>0</v>
      </c>
      <c r="BA636">
        <v>0</v>
      </c>
      <c r="BE636" t="str">
        <f>T("9791137005372")</f>
        <v>9791137005372</v>
      </c>
      <c r="BF636" t="str">
        <f>T("E874383")</f>
        <v>E874383</v>
      </c>
      <c r="BG636" t="str">
        <f>T("판타지 e북 &gt; 현대 판타지")</f>
        <v>판타지 e북 &gt; 현대 판타지</v>
      </c>
    </row>
    <row r="637" spans="1:60">
      <c r="A637" t="s">
        <v>60</v>
      </c>
      <c r="B637" s="1">
        <v>46130</v>
      </c>
      <c r="C637">
        <v>2378033841</v>
      </c>
      <c r="D637">
        <v>2378033841</v>
      </c>
      <c r="E637" t="str">
        <f>T("[e북]올가의 배덕한 밀회")</f>
        <v>[e북]올가의 배덕한 밀회</v>
      </c>
      <c r="F637">
        <v>1</v>
      </c>
      <c r="G637" t="str">
        <f>T("필밤")</f>
        <v>필밤</v>
      </c>
      <c r="J637" t="str">
        <f>T("시계토끼")</f>
        <v>시계토끼</v>
      </c>
      <c r="K637" t="str">
        <f>T("[e북]올가의 배덕한 밀회")</f>
        <v>[e북]올가의 배덕한 밀회</v>
      </c>
      <c r="L637">
        <v>3700</v>
      </c>
      <c r="M637">
        <v>3700</v>
      </c>
      <c r="N637">
        <v>1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3700</v>
      </c>
      <c r="AJ637">
        <v>1</v>
      </c>
      <c r="AK637">
        <v>0</v>
      </c>
      <c r="AL637">
        <v>0</v>
      </c>
      <c r="AM637">
        <v>0</v>
      </c>
      <c r="AN637">
        <v>0</v>
      </c>
      <c r="AO637">
        <v>4440</v>
      </c>
      <c r="AP637">
        <v>-444</v>
      </c>
      <c r="AQ637">
        <v>0</v>
      </c>
      <c r="AS637">
        <v>0</v>
      </c>
      <c r="AT637">
        <v>0</v>
      </c>
      <c r="AV637">
        <v>0</v>
      </c>
      <c r="AW637">
        <v>0</v>
      </c>
      <c r="AX637">
        <v>4440</v>
      </c>
      <c r="AY637">
        <v>-444</v>
      </c>
      <c r="AZ637">
        <v>0</v>
      </c>
      <c r="BA637">
        <v>2797.2</v>
      </c>
      <c r="BE637" t="str">
        <f>T("9791164096855")</f>
        <v>9791164096855</v>
      </c>
      <c r="BF637" t="str">
        <f>T("N083249")</f>
        <v>N083249</v>
      </c>
      <c r="BG637" t="str">
        <f>T("로판 e북 &gt; 서양풍 로판")</f>
        <v>로판 e북 &gt; 서양풍 로판</v>
      </c>
    </row>
    <row r="638" spans="1:60">
      <c r="A638" t="s">
        <v>60</v>
      </c>
      <c r="B638" s="1">
        <v>46130</v>
      </c>
      <c r="C638">
        <v>2378033841</v>
      </c>
      <c r="D638">
        <v>2378035428</v>
      </c>
      <c r="E638" t="str">
        <f>T("[e북]올가의 배덕한 밀회 (외전)")</f>
        <v>[e북]올가의 배덕한 밀회 (외전)</v>
      </c>
      <c r="F638">
        <v>2</v>
      </c>
      <c r="G638" t="str">
        <f>T("필밤")</f>
        <v>필밤</v>
      </c>
      <c r="J638" t="str">
        <f>T("시계토끼")</f>
        <v>시계토끼</v>
      </c>
      <c r="K638" t="str">
        <f>T("[e북]올가의 배덕한 밀회")</f>
        <v>[e북]올가의 배덕한 밀회</v>
      </c>
      <c r="L638">
        <v>1100</v>
      </c>
      <c r="M638">
        <v>1100</v>
      </c>
      <c r="N638">
        <v>1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1100</v>
      </c>
      <c r="AJ638">
        <v>1</v>
      </c>
      <c r="AK638">
        <v>0</v>
      </c>
      <c r="AL638">
        <v>0</v>
      </c>
      <c r="AM638">
        <v>0</v>
      </c>
      <c r="AN638">
        <v>0</v>
      </c>
      <c r="AO638">
        <v>1320</v>
      </c>
      <c r="AP638">
        <v>-132</v>
      </c>
      <c r="AQ638">
        <v>0</v>
      </c>
      <c r="AS638">
        <v>0</v>
      </c>
      <c r="AT638">
        <v>0</v>
      </c>
      <c r="AV638">
        <v>0</v>
      </c>
      <c r="AW638">
        <v>0</v>
      </c>
      <c r="AX638">
        <v>1320</v>
      </c>
      <c r="AY638">
        <v>-132</v>
      </c>
      <c r="AZ638">
        <v>0</v>
      </c>
      <c r="BA638">
        <v>831.6</v>
      </c>
      <c r="BE638" t="str">
        <f>T("9791164097180")</f>
        <v>9791164097180</v>
      </c>
      <c r="BF638" t="str">
        <f>T("N105526")</f>
        <v>N105526</v>
      </c>
      <c r="BG638" t="str">
        <f>T("로판 e북 &gt; 서양풍 로판")</f>
        <v>로판 e북 &gt; 서양풍 로판</v>
      </c>
    </row>
    <row r="639" spans="1:60">
      <c r="A639" t="s">
        <v>60</v>
      </c>
      <c r="B639" s="1">
        <v>46131</v>
      </c>
      <c r="C639">
        <v>2378033841</v>
      </c>
      <c r="D639">
        <v>2378035428</v>
      </c>
      <c r="E639" t="str">
        <f>T("[e북]올가의 배덕한 밀회 (외전)")</f>
        <v>[e북]올가의 배덕한 밀회 (외전)</v>
      </c>
      <c r="F639">
        <v>2</v>
      </c>
      <c r="G639" t="str">
        <f>T("필밤")</f>
        <v>필밤</v>
      </c>
      <c r="J639" t="str">
        <f>T("시계토끼")</f>
        <v>시계토끼</v>
      </c>
      <c r="K639" t="str">
        <f>T("[e북]올가의 배덕한 밀회")</f>
        <v>[e북]올가의 배덕한 밀회</v>
      </c>
      <c r="L639">
        <v>1100</v>
      </c>
      <c r="M639">
        <v>1100</v>
      </c>
      <c r="N639">
        <v>1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1100</v>
      </c>
      <c r="AJ639">
        <v>1</v>
      </c>
      <c r="AK639">
        <v>0</v>
      </c>
      <c r="AL639">
        <v>0</v>
      </c>
      <c r="AM639">
        <v>1100</v>
      </c>
      <c r="AN639">
        <v>0</v>
      </c>
      <c r="AO639">
        <v>0</v>
      </c>
      <c r="AP639">
        <v>0</v>
      </c>
      <c r="AQ639">
        <v>0</v>
      </c>
      <c r="AS639">
        <v>0</v>
      </c>
      <c r="AT639">
        <v>0</v>
      </c>
      <c r="AV639">
        <v>0</v>
      </c>
      <c r="AW639">
        <v>0</v>
      </c>
      <c r="AY639">
        <v>0</v>
      </c>
      <c r="AZ639">
        <v>0</v>
      </c>
      <c r="BA639">
        <v>770</v>
      </c>
      <c r="BE639" t="str">
        <f>T("9791164097180")</f>
        <v>9791164097180</v>
      </c>
      <c r="BF639" t="str">
        <f>T("N105526")</f>
        <v>N105526</v>
      </c>
      <c r="BG639" t="str">
        <f>T("로판 e북 &gt; 서양풍 로판")</f>
        <v>로판 e북 &gt; 서양풍 로판</v>
      </c>
    </row>
    <row r="640" spans="1:60">
      <c r="A640" t="s">
        <v>60</v>
      </c>
      <c r="B640" s="1">
        <v>46129</v>
      </c>
      <c r="C640">
        <v>2378077730</v>
      </c>
      <c r="D640">
        <v>2378077730</v>
      </c>
      <c r="E640" t="str">
        <f>T("[e북]외꺼풀이 되고 싶었다")</f>
        <v>[e북]외꺼풀이 되고 싶었다</v>
      </c>
      <c r="F640">
        <v>1</v>
      </c>
      <c r="G640" t="str">
        <f>T("외정")</f>
        <v>외정</v>
      </c>
      <c r="J640" t="str">
        <f>T("하트퀸")</f>
        <v>하트퀸</v>
      </c>
      <c r="K640" t="str">
        <f>T("[e북]외꺼풀이 되고 싶었다")</f>
        <v>[e북]외꺼풀이 되고 싶었다</v>
      </c>
      <c r="L640">
        <v>3300</v>
      </c>
      <c r="M640">
        <v>50490</v>
      </c>
      <c r="N640">
        <v>17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50490</v>
      </c>
      <c r="AJ640">
        <v>17</v>
      </c>
      <c r="AK640">
        <v>0</v>
      </c>
      <c r="AL640">
        <v>0</v>
      </c>
      <c r="AM640">
        <v>41580</v>
      </c>
      <c r="AN640">
        <v>0</v>
      </c>
      <c r="AO640">
        <v>10692</v>
      </c>
      <c r="AP640">
        <v>-2494.8000000000002</v>
      </c>
      <c r="AQ640">
        <v>0</v>
      </c>
      <c r="AR640">
        <v>7128</v>
      </c>
      <c r="AS640">
        <v>-2138.4</v>
      </c>
      <c r="AT640">
        <v>0</v>
      </c>
      <c r="AU640">
        <v>3564</v>
      </c>
      <c r="AV640">
        <v>-356.4</v>
      </c>
      <c r="AW640">
        <v>0</v>
      </c>
      <c r="AY640">
        <v>0</v>
      </c>
      <c r="AZ640">
        <v>0</v>
      </c>
      <c r="BA640">
        <v>34844.04</v>
      </c>
      <c r="BE640" t="str">
        <f>T("9791171502875")</f>
        <v>9791171502875</v>
      </c>
      <c r="BF640" t="str">
        <f>T("D108868")</f>
        <v>D108868</v>
      </c>
      <c r="BG640" t="str">
        <f>T("로맨스 e북 &gt; 현대물")</f>
        <v>로맨스 e북 &gt; 현대물</v>
      </c>
    </row>
    <row r="641" spans="1:59">
      <c r="A641" t="s">
        <v>60</v>
      </c>
      <c r="B641" s="1">
        <v>46129</v>
      </c>
      <c r="C641">
        <v>2378077730</v>
      </c>
      <c r="D641">
        <v>2378080405</v>
      </c>
      <c r="E641" t="str">
        <f>T("[e북]외꺼풀이 되고 싶었다 (외전)")</f>
        <v>[e북]외꺼풀이 되고 싶었다 (외전)</v>
      </c>
      <c r="F641">
        <v>2</v>
      </c>
      <c r="G641" t="str">
        <f>T("외정")</f>
        <v>외정</v>
      </c>
      <c r="J641" t="str">
        <f>T("하트퀸")</f>
        <v>하트퀸</v>
      </c>
      <c r="K641" t="str">
        <f>T("[e북]외꺼풀이 되고 싶었다")</f>
        <v>[e북]외꺼풀이 되고 싶었다</v>
      </c>
      <c r="L641">
        <v>2000</v>
      </c>
      <c r="M641">
        <v>23400</v>
      </c>
      <c r="N641">
        <v>13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23400</v>
      </c>
      <c r="AJ641">
        <v>13</v>
      </c>
      <c r="AK641">
        <v>0</v>
      </c>
      <c r="AL641">
        <v>0</v>
      </c>
      <c r="AM641">
        <v>19800</v>
      </c>
      <c r="AN641">
        <v>0</v>
      </c>
      <c r="AO641">
        <v>4320</v>
      </c>
      <c r="AP641">
        <v>-864</v>
      </c>
      <c r="AQ641">
        <v>0</v>
      </c>
      <c r="AR641">
        <v>2160</v>
      </c>
      <c r="AS641">
        <v>-648</v>
      </c>
      <c r="AT641">
        <v>0</v>
      </c>
      <c r="AU641">
        <v>2160</v>
      </c>
      <c r="AV641">
        <v>-216</v>
      </c>
      <c r="AW641">
        <v>0</v>
      </c>
      <c r="AY641">
        <v>0</v>
      </c>
      <c r="AZ641">
        <v>0</v>
      </c>
      <c r="BA641">
        <v>16279.2</v>
      </c>
      <c r="BF641" t="str">
        <f>T("D222275")</f>
        <v>D222275</v>
      </c>
      <c r="BG641" t="str">
        <f>T("로맨스 e북 &gt; 현대물")</f>
        <v>로맨스 e북 &gt; 현대물</v>
      </c>
    </row>
    <row r="642" spans="1:59">
      <c r="A642" t="s">
        <v>60</v>
      </c>
      <c r="B642" s="1">
        <v>46130</v>
      </c>
      <c r="C642">
        <v>2378077730</v>
      </c>
      <c r="D642">
        <v>2378077730</v>
      </c>
      <c r="E642" t="str">
        <f>T("[e북]외꺼풀이 되고 싶었다")</f>
        <v>[e북]외꺼풀이 되고 싶었다</v>
      </c>
      <c r="F642">
        <v>1</v>
      </c>
      <c r="G642" t="str">
        <f>T("외정")</f>
        <v>외정</v>
      </c>
      <c r="J642" t="str">
        <f>T("하트퀸")</f>
        <v>하트퀸</v>
      </c>
      <c r="K642" t="str">
        <f>T("[e북]외꺼풀이 되고 싶었다")</f>
        <v>[e북]외꺼풀이 되고 싶었다</v>
      </c>
      <c r="L642">
        <v>3300</v>
      </c>
      <c r="M642">
        <v>29700</v>
      </c>
      <c r="N642">
        <v>10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29700</v>
      </c>
      <c r="AJ642">
        <v>10</v>
      </c>
      <c r="AK642">
        <v>0</v>
      </c>
      <c r="AL642">
        <v>0</v>
      </c>
      <c r="AM642">
        <v>23760</v>
      </c>
      <c r="AN642">
        <v>0</v>
      </c>
      <c r="AO642">
        <v>7128</v>
      </c>
      <c r="AP642">
        <v>-712.8</v>
      </c>
      <c r="AQ642">
        <v>0</v>
      </c>
      <c r="AS642">
        <v>0</v>
      </c>
      <c r="AT642">
        <v>0</v>
      </c>
      <c r="AU642">
        <v>7128</v>
      </c>
      <c r="AV642">
        <v>-712.8</v>
      </c>
      <c r="AW642">
        <v>0</v>
      </c>
      <c r="AY642">
        <v>0</v>
      </c>
      <c r="AZ642">
        <v>0</v>
      </c>
      <c r="BA642">
        <v>21122.639999999999</v>
      </c>
      <c r="BE642" t="str">
        <f>T("9791171502875")</f>
        <v>9791171502875</v>
      </c>
      <c r="BF642" t="str">
        <f>T("D108868")</f>
        <v>D108868</v>
      </c>
      <c r="BG642" t="str">
        <f>T("로맨스 e북 &gt; 현대물")</f>
        <v>로맨스 e북 &gt; 현대물</v>
      </c>
    </row>
    <row r="643" spans="1:59">
      <c r="A643" t="s">
        <v>60</v>
      </c>
      <c r="B643" s="1">
        <v>46130</v>
      </c>
      <c r="C643">
        <v>2378077730</v>
      </c>
      <c r="D643">
        <v>2378080405</v>
      </c>
      <c r="E643" t="str">
        <f>T("[e북]외꺼풀이 되고 싶었다 (외전)")</f>
        <v>[e북]외꺼풀이 되고 싶었다 (외전)</v>
      </c>
      <c r="F643">
        <v>2</v>
      </c>
      <c r="G643" t="str">
        <f>T("외정")</f>
        <v>외정</v>
      </c>
      <c r="J643" t="str">
        <f>T("하트퀸")</f>
        <v>하트퀸</v>
      </c>
      <c r="K643" t="str">
        <f>T("[e북]외꺼풀이 되고 싶었다")</f>
        <v>[e북]외꺼풀이 되고 싶었다</v>
      </c>
      <c r="L643">
        <v>2000</v>
      </c>
      <c r="M643">
        <v>10800</v>
      </c>
      <c r="N643">
        <v>6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10800</v>
      </c>
      <c r="AJ643">
        <v>6</v>
      </c>
      <c r="AK643">
        <v>0</v>
      </c>
      <c r="AL643">
        <v>0</v>
      </c>
      <c r="AM643">
        <v>10800</v>
      </c>
      <c r="AN643">
        <v>0</v>
      </c>
      <c r="AO643">
        <v>0</v>
      </c>
      <c r="AP643">
        <v>0</v>
      </c>
      <c r="AQ643">
        <v>0</v>
      </c>
      <c r="AS643">
        <v>0</v>
      </c>
      <c r="AT643">
        <v>0</v>
      </c>
      <c r="AV643">
        <v>0</v>
      </c>
      <c r="AW643">
        <v>0</v>
      </c>
      <c r="AY643">
        <v>0</v>
      </c>
      <c r="AZ643">
        <v>0</v>
      </c>
      <c r="BA643">
        <v>7560</v>
      </c>
      <c r="BF643" t="str">
        <f>T("D222275")</f>
        <v>D222275</v>
      </c>
      <c r="BG643" t="str">
        <f>T("로맨스 e북 &gt; 현대물")</f>
        <v>로맨스 e북 &gt; 현대물</v>
      </c>
    </row>
    <row r="644" spans="1:59">
      <c r="A644" t="s">
        <v>60</v>
      </c>
      <c r="B644" s="1">
        <v>46131</v>
      </c>
      <c r="C644">
        <v>2378077730</v>
      </c>
      <c r="D644">
        <v>2378077730</v>
      </c>
      <c r="E644" t="str">
        <f>T("[e북]외꺼풀이 되고 싶었다")</f>
        <v>[e북]외꺼풀이 되고 싶었다</v>
      </c>
      <c r="F644">
        <v>1</v>
      </c>
      <c r="G644" t="str">
        <f>T("외정")</f>
        <v>외정</v>
      </c>
      <c r="J644" t="str">
        <f>T("하트퀸")</f>
        <v>하트퀸</v>
      </c>
      <c r="K644" t="str">
        <f>T("[e북]외꺼풀이 되고 싶었다")</f>
        <v>[e북]외꺼풀이 되고 싶었다</v>
      </c>
      <c r="L644">
        <v>3300</v>
      </c>
      <c r="M644">
        <v>35640</v>
      </c>
      <c r="N644">
        <v>12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35640</v>
      </c>
      <c r="AJ644">
        <v>12</v>
      </c>
      <c r="AK644">
        <v>0</v>
      </c>
      <c r="AL644">
        <v>0</v>
      </c>
      <c r="AM644">
        <v>35640</v>
      </c>
      <c r="AN644">
        <v>0</v>
      </c>
      <c r="AO644">
        <v>0</v>
      </c>
      <c r="AP644">
        <v>0</v>
      </c>
      <c r="AQ644">
        <v>0</v>
      </c>
      <c r="AS644">
        <v>0</v>
      </c>
      <c r="AT644">
        <v>0</v>
      </c>
      <c r="AV644">
        <v>0</v>
      </c>
      <c r="AW644">
        <v>0</v>
      </c>
      <c r="AY644">
        <v>0</v>
      </c>
      <c r="AZ644">
        <v>0</v>
      </c>
      <c r="BA644">
        <v>24948</v>
      </c>
      <c r="BE644" t="str">
        <f>T("9791171502875")</f>
        <v>9791171502875</v>
      </c>
      <c r="BF644" t="str">
        <f>T("D108868")</f>
        <v>D108868</v>
      </c>
      <c r="BG644" t="str">
        <f>T("로맨스 e북 &gt; 현대물")</f>
        <v>로맨스 e북 &gt; 현대물</v>
      </c>
    </row>
    <row r="645" spans="1:59">
      <c r="A645" t="s">
        <v>60</v>
      </c>
      <c r="B645" s="1">
        <v>46131</v>
      </c>
      <c r="C645">
        <v>2378077730</v>
      </c>
      <c r="D645">
        <v>2378080405</v>
      </c>
      <c r="E645" t="str">
        <f>T("[e북]외꺼풀이 되고 싶었다 (외전)")</f>
        <v>[e북]외꺼풀이 되고 싶었다 (외전)</v>
      </c>
      <c r="F645">
        <v>2</v>
      </c>
      <c r="G645" t="str">
        <f>T("외정")</f>
        <v>외정</v>
      </c>
      <c r="J645" t="str">
        <f>T("하트퀸")</f>
        <v>하트퀸</v>
      </c>
      <c r="K645" t="str">
        <f>T("[e북]외꺼풀이 되고 싶었다")</f>
        <v>[e북]외꺼풀이 되고 싶었다</v>
      </c>
      <c r="L645">
        <v>2000</v>
      </c>
      <c r="M645">
        <v>28800</v>
      </c>
      <c r="N645">
        <v>16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28800</v>
      </c>
      <c r="AJ645">
        <v>16</v>
      </c>
      <c r="AK645">
        <v>0</v>
      </c>
      <c r="AL645">
        <v>0</v>
      </c>
      <c r="AM645">
        <v>26750</v>
      </c>
      <c r="AN645">
        <v>0</v>
      </c>
      <c r="AO645">
        <v>2460</v>
      </c>
      <c r="AP645">
        <v>-246</v>
      </c>
      <c r="AQ645">
        <v>0</v>
      </c>
      <c r="AS645">
        <v>0</v>
      </c>
      <c r="AT645">
        <v>0</v>
      </c>
      <c r="AU645">
        <v>2460</v>
      </c>
      <c r="AV645">
        <v>-246</v>
      </c>
      <c r="AW645">
        <v>0</v>
      </c>
      <c r="AY645">
        <v>0</v>
      </c>
      <c r="AZ645">
        <v>0</v>
      </c>
      <c r="BA645">
        <v>20274.8</v>
      </c>
      <c r="BF645" t="str">
        <f>T("D222275")</f>
        <v>D222275</v>
      </c>
      <c r="BG645" t="str">
        <f>T("로맨스 e북 &gt; 현대물")</f>
        <v>로맨스 e북 &gt; 현대물</v>
      </c>
    </row>
    <row r="646" spans="1:59">
      <c r="A646" t="s">
        <v>60</v>
      </c>
      <c r="B646" s="1">
        <v>46129</v>
      </c>
      <c r="C646">
        <v>2378028252</v>
      </c>
      <c r="D646">
        <v>2378028252</v>
      </c>
      <c r="E646" t="str">
        <f>T("[e북]욕망의 노예계약 1권")</f>
        <v>[e북]욕망의 노예계약 1권</v>
      </c>
      <c r="F646">
        <v>1</v>
      </c>
      <c r="G646" t="str">
        <f>T("황금병아리")</f>
        <v>황금병아리</v>
      </c>
      <c r="J646" t="str">
        <f>T("하트퀸")</f>
        <v>하트퀸</v>
      </c>
      <c r="K646" t="str">
        <f>T("[e북]욕망의 노예계약")</f>
        <v>[e북]욕망의 노예계약</v>
      </c>
      <c r="L646">
        <v>3300</v>
      </c>
      <c r="M646">
        <v>3300</v>
      </c>
      <c r="N646">
        <v>1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3300</v>
      </c>
      <c r="AJ646">
        <v>1</v>
      </c>
      <c r="AK646">
        <v>0</v>
      </c>
      <c r="AL646">
        <v>0</v>
      </c>
      <c r="AM646">
        <v>3300</v>
      </c>
      <c r="AN646">
        <v>0</v>
      </c>
      <c r="AO646">
        <v>0</v>
      </c>
      <c r="AP646">
        <v>0</v>
      </c>
      <c r="AQ646">
        <v>0</v>
      </c>
      <c r="AS646">
        <v>0</v>
      </c>
      <c r="AT646">
        <v>0</v>
      </c>
      <c r="AV646">
        <v>0</v>
      </c>
      <c r="AW646">
        <v>0</v>
      </c>
      <c r="AY646">
        <v>0</v>
      </c>
      <c r="AZ646">
        <v>0</v>
      </c>
      <c r="BA646">
        <v>2310</v>
      </c>
      <c r="BE646" t="str">
        <f>T("9791164095155")</f>
        <v>9791164095155</v>
      </c>
      <c r="BF646" t="str">
        <f>T("E821207")</f>
        <v>E821207</v>
      </c>
      <c r="BG646" t="str">
        <f>T("로맨스 e북 &gt; 현대물")</f>
        <v>로맨스 e북 &gt; 현대물</v>
      </c>
    </row>
    <row r="647" spans="1:59">
      <c r="A647" t="s">
        <v>60</v>
      </c>
      <c r="B647" s="1">
        <v>46129</v>
      </c>
      <c r="C647">
        <v>2378081194</v>
      </c>
      <c r="D647">
        <v>2378081194</v>
      </c>
      <c r="E647" t="str">
        <f>T("[e북]용사들은 성녀의 축복을 받아야 한다 1권")</f>
        <v>[e북]용사들은 성녀의 축복을 받아야 한다 1권</v>
      </c>
      <c r="F647">
        <v>1</v>
      </c>
      <c r="G647" t="str">
        <f>T("필밤")</f>
        <v>필밤</v>
      </c>
      <c r="J647" t="str">
        <f>T("시계토끼")</f>
        <v>시계토끼</v>
      </c>
      <c r="K647" t="str">
        <f>T("[e북]용사들은 성녀의 축복을 받아야 한다")</f>
        <v>[e북]용사들은 성녀의 축복을 받아야 한다</v>
      </c>
      <c r="L647">
        <v>3000</v>
      </c>
      <c r="M647">
        <v>8100</v>
      </c>
      <c r="N647">
        <v>3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6300</v>
      </c>
      <c r="X647">
        <v>3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14400</v>
      </c>
      <c r="AJ647">
        <v>6</v>
      </c>
      <c r="AK647">
        <v>0</v>
      </c>
      <c r="AL647">
        <v>0</v>
      </c>
      <c r="AM647">
        <v>14400</v>
      </c>
      <c r="AN647">
        <v>0</v>
      </c>
      <c r="AO647">
        <v>0</v>
      </c>
      <c r="AP647">
        <v>0</v>
      </c>
      <c r="AQ647">
        <v>0</v>
      </c>
      <c r="AS647">
        <v>0</v>
      </c>
      <c r="AT647">
        <v>0</v>
      </c>
      <c r="AV647">
        <v>0</v>
      </c>
      <c r="AW647">
        <v>0</v>
      </c>
      <c r="AY647">
        <v>0</v>
      </c>
      <c r="AZ647">
        <v>0</v>
      </c>
      <c r="BA647">
        <v>8640</v>
      </c>
      <c r="BF647" t="str">
        <f>T("D268851")</f>
        <v>D268851</v>
      </c>
      <c r="BG647" t="str">
        <f>T("로판 e북 &gt; 서양풍 로판")</f>
        <v>로판 e북 &gt; 서양풍 로판</v>
      </c>
    </row>
    <row r="648" spans="1:59">
      <c r="A648" t="s">
        <v>60</v>
      </c>
      <c r="B648" s="1">
        <v>46129</v>
      </c>
      <c r="C648">
        <v>2378081194</v>
      </c>
      <c r="D648">
        <v>2378081195</v>
      </c>
      <c r="E648" t="str">
        <f>T("[e북]용사들은 성녀의 축복을 받아야 한다 2권")</f>
        <v>[e북]용사들은 성녀의 축복을 받아야 한다 2권</v>
      </c>
      <c r="F648">
        <v>2</v>
      </c>
      <c r="G648" t="str">
        <f>T("필밤")</f>
        <v>필밤</v>
      </c>
      <c r="J648" t="str">
        <f>T("시계토끼")</f>
        <v>시계토끼</v>
      </c>
      <c r="K648" t="str">
        <f>T("[e북]용사들은 성녀의 축복을 받아야 한다")</f>
        <v>[e북]용사들은 성녀의 축복을 받아야 한다</v>
      </c>
      <c r="L648">
        <v>3000</v>
      </c>
      <c r="M648">
        <v>8100</v>
      </c>
      <c r="N648">
        <v>3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6300</v>
      </c>
      <c r="X648">
        <v>3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14400</v>
      </c>
      <c r="AJ648">
        <v>6</v>
      </c>
      <c r="AK648">
        <v>0</v>
      </c>
      <c r="AL648">
        <v>0</v>
      </c>
      <c r="AM648">
        <v>11700</v>
      </c>
      <c r="AN648">
        <v>0</v>
      </c>
      <c r="AO648">
        <v>3240</v>
      </c>
      <c r="AP648">
        <v>-324</v>
      </c>
      <c r="AQ648">
        <v>0</v>
      </c>
      <c r="AS648">
        <v>0</v>
      </c>
      <c r="AT648">
        <v>0</v>
      </c>
      <c r="AU648">
        <v>3240</v>
      </c>
      <c r="AV648">
        <v>-324</v>
      </c>
      <c r="AW648">
        <v>0</v>
      </c>
      <c r="AY648">
        <v>0</v>
      </c>
      <c r="AZ648">
        <v>0</v>
      </c>
      <c r="BA648">
        <v>8769.6</v>
      </c>
      <c r="BF648" t="str">
        <f>T("D268852")</f>
        <v>D268852</v>
      </c>
      <c r="BG648" t="str">
        <f>T("로판 e북 &gt; 서양풍 로판")</f>
        <v>로판 e북 &gt; 서양풍 로판</v>
      </c>
    </row>
    <row r="649" spans="1:59">
      <c r="A649" t="s">
        <v>60</v>
      </c>
      <c r="B649" s="1">
        <v>46129</v>
      </c>
      <c r="C649">
        <v>2378081194</v>
      </c>
      <c r="D649">
        <v>2378081196</v>
      </c>
      <c r="E649" t="str">
        <f>T("[e북]용사들은 성녀의 축복을 받아야 한다 3권")</f>
        <v>[e북]용사들은 성녀의 축복을 받아야 한다 3권</v>
      </c>
      <c r="F649">
        <v>3</v>
      </c>
      <c r="G649" t="str">
        <f>T("필밤")</f>
        <v>필밤</v>
      </c>
      <c r="J649" t="str">
        <f>T("시계토끼")</f>
        <v>시계토끼</v>
      </c>
      <c r="K649" t="str">
        <f>T("[e북]용사들은 성녀의 축복을 받아야 한다")</f>
        <v>[e북]용사들은 성녀의 축복을 받아야 한다</v>
      </c>
      <c r="L649">
        <v>3000</v>
      </c>
      <c r="M649">
        <v>5400</v>
      </c>
      <c r="N649">
        <v>2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6300</v>
      </c>
      <c r="X649">
        <v>3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11700</v>
      </c>
      <c r="AJ649">
        <v>5</v>
      </c>
      <c r="AK649">
        <v>0</v>
      </c>
      <c r="AL649">
        <v>0</v>
      </c>
      <c r="AM649">
        <v>11700</v>
      </c>
      <c r="AN649">
        <v>0</v>
      </c>
      <c r="AO649">
        <v>0</v>
      </c>
      <c r="AP649">
        <v>0</v>
      </c>
      <c r="AQ649">
        <v>0</v>
      </c>
      <c r="AS649">
        <v>0</v>
      </c>
      <c r="AT649">
        <v>0</v>
      </c>
      <c r="AV649">
        <v>0</v>
      </c>
      <c r="AW649">
        <v>0</v>
      </c>
      <c r="AY649">
        <v>0</v>
      </c>
      <c r="AZ649">
        <v>0</v>
      </c>
      <c r="BA649">
        <v>7020</v>
      </c>
      <c r="BF649" t="str">
        <f>T("D268853")</f>
        <v>D268853</v>
      </c>
      <c r="BG649" t="str">
        <f>T("로판 e북 &gt; 서양풍 로판")</f>
        <v>로판 e북 &gt; 서양풍 로판</v>
      </c>
    </row>
    <row r="650" spans="1:59">
      <c r="A650" t="s">
        <v>60</v>
      </c>
      <c r="B650" s="1">
        <v>46129</v>
      </c>
      <c r="C650">
        <v>2378081194</v>
      </c>
      <c r="D650">
        <v>2378081197</v>
      </c>
      <c r="E650" t="str">
        <f>T("[e북]용사들은 성녀의 축복을 받아야 한다 4권")</f>
        <v>[e북]용사들은 성녀의 축복을 받아야 한다 4권</v>
      </c>
      <c r="F650">
        <v>4</v>
      </c>
      <c r="G650" t="str">
        <f>T("필밤")</f>
        <v>필밤</v>
      </c>
      <c r="J650" t="str">
        <f>T("시계토끼")</f>
        <v>시계토끼</v>
      </c>
      <c r="K650" t="str">
        <f>T("[e북]용사들은 성녀의 축복을 받아야 한다")</f>
        <v>[e북]용사들은 성녀의 축복을 받아야 한다</v>
      </c>
      <c r="L650">
        <v>3000</v>
      </c>
      <c r="M650">
        <v>5400</v>
      </c>
      <c r="N650">
        <v>2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6300</v>
      </c>
      <c r="X650">
        <v>3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11700</v>
      </c>
      <c r="AJ650">
        <v>5</v>
      </c>
      <c r="AK650">
        <v>0</v>
      </c>
      <c r="AL650">
        <v>0</v>
      </c>
      <c r="AM650">
        <v>11700</v>
      </c>
      <c r="AN650">
        <v>0</v>
      </c>
      <c r="AO650">
        <v>0</v>
      </c>
      <c r="AP650">
        <v>0</v>
      </c>
      <c r="AQ650">
        <v>0</v>
      </c>
      <c r="AS650">
        <v>0</v>
      </c>
      <c r="AT650">
        <v>0</v>
      </c>
      <c r="AV650">
        <v>0</v>
      </c>
      <c r="AW650">
        <v>0</v>
      </c>
      <c r="AY650">
        <v>0</v>
      </c>
      <c r="AZ650">
        <v>0</v>
      </c>
      <c r="BA650">
        <v>7020</v>
      </c>
      <c r="BF650" t="str">
        <f>T("D268854")</f>
        <v>D268854</v>
      </c>
      <c r="BG650" t="str">
        <f>T("로판 e북 &gt; 서양풍 로판")</f>
        <v>로판 e북 &gt; 서양풍 로판</v>
      </c>
    </row>
    <row r="651" spans="1:59">
      <c r="A651" t="s">
        <v>60</v>
      </c>
      <c r="B651" s="1">
        <v>46129</v>
      </c>
      <c r="C651">
        <v>2378081194</v>
      </c>
      <c r="D651">
        <v>2378081198</v>
      </c>
      <c r="E651" t="str">
        <f>T("[e북]용사들은 성녀의 축복을 받아야 한다 5권 (완결)")</f>
        <v>[e북]용사들은 성녀의 축복을 받아야 한다 5권 (완결)</v>
      </c>
      <c r="F651">
        <v>5</v>
      </c>
      <c r="G651" t="str">
        <f>T("필밤")</f>
        <v>필밤</v>
      </c>
      <c r="J651" t="str">
        <f>T("시계토끼")</f>
        <v>시계토끼</v>
      </c>
      <c r="K651" t="str">
        <f>T("[e북]용사들은 성녀의 축복을 받아야 한다")</f>
        <v>[e북]용사들은 성녀의 축복을 받아야 한다</v>
      </c>
      <c r="L651">
        <v>3000</v>
      </c>
      <c r="M651">
        <v>5400</v>
      </c>
      <c r="N651">
        <v>2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6300</v>
      </c>
      <c r="X651">
        <v>3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11700</v>
      </c>
      <c r="AJ651">
        <v>5</v>
      </c>
      <c r="AK651">
        <v>0</v>
      </c>
      <c r="AL651">
        <v>0</v>
      </c>
      <c r="AM651">
        <v>11700</v>
      </c>
      <c r="AN651">
        <v>0</v>
      </c>
      <c r="AO651">
        <v>0</v>
      </c>
      <c r="AP651">
        <v>0</v>
      </c>
      <c r="AQ651">
        <v>0</v>
      </c>
      <c r="AS651">
        <v>0</v>
      </c>
      <c r="AT651">
        <v>0</v>
      </c>
      <c r="AV651">
        <v>0</v>
      </c>
      <c r="AW651">
        <v>0</v>
      </c>
      <c r="AY651">
        <v>0</v>
      </c>
      <c r="AZ651">
        <v>0</v>
      </c>
      <c r="BA651">
        <v>7020</v>
      </c>
      <c r="BF651" t="str">
        <f>T("D268855")</f>
        <v>D268855</v>
      </c>
      <c r="BG651" t="str">
        <f>T("로판 e북 &gt; 서양풍 로판")</f>
        <v>로판 e북 &gt; 서양풍 로판</v>
      </c>
    </row>
    <row r="652" spans="1:59">
      <c r="A652" t="s">
        <v>60</v>
      </c>
      <c r="B652" s="1">
        <v>46130</v>
      </c>
      <c r="C652">
        <v>2378081194</v>
      </c>
      <c r="D652">
        <v>2378081198</v>
      </c>
      <c r="E652" t="str">
        <f>T("[e북]용사들은 성녀의 축복을 받아야 한다 5권 (완결)")</f>
        <v>[e북]용사들은 성녀의 축복을 받아야 한다 5권 (완결)</v>
      </c>
      <c r="F652">
        <v>5</v>
      </c>
      <c r="G652" t="str">
        <f>T("필밤")</f>
        <v>필밤</v>
      </c>
      <c r="J652" t="str">
        <f>T("시계토끼")</f>
        <v>시계토끼</v>
      </c>
      <c r="K652" t="str">
        <f>T("[e북]용사들은 성녀의 축복을 받아야 한다")</f>
        <v>[e북]용사들은 성녀의 축복을 받아야 한다</v>
      </c>
      <c r="L652">
        <v>3000</v>
      </c>
      <c r="M652">
        <v>5400</v>
      </c>
      <c r="N652">
        <v>2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8400</v>
      </c>
      <c r="X652">
        <v>4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13800</v>
      </c>
      <c r="AJ652">
        <v>6</v>
      </c>
      <c r="AK652">
        <v>0</v>
      </c>
      <c r="AL652">
        <v>0</v>
      </c>
      <c r="AM652">
        <v>13800</v>
      </c>
      <c r="AN652">
        <v>0</v>
      </c>
      <c r="AO652">
        <v>0</v>
      </c>
      <c r="AP652">
        <v>0</v>
      </c>
      <c r="AQ652">
        <v>0</v>
      </c>
      <c r="AS652">
        <v>0</v>
      </c>
      <c r="AT652">
        <v>0</v>
      </c>
      <c r="AV652">
        <v>0</v>
      </c>
      <c r="AW652">
        <v>0</v>
      </c>
      <c r="AY652">
        <v>0</v>
      </c>
      <c r="AZ652">
        <v>0</v>
      </c>
      <c r="BA652">
        <v>8280</v>
      </c>
      <c r="BF652" t="str">
        <f>T("D268855")</f>
        <v>D268855</v>
      </c>
      <c r="BG652" t="str">
        <f>T("로판 e북 &gt; 서양풍 로판")</f>
        <v>로판 e북 &gt; 서양풍 로판</v>
      </c>
    </row>
    <row r="653" spans="1:59">
      <c r="A653" t="s">
        <v>60</v>
      </c>
      <c r="B653" s="1">
        <v>46130</v>
      </c>
      <c r="C653">
        <v>2378081194</v>
      </c>
      <c r="D653">
        <v>2378081194</v>
      </c>
      <c r="E653" t="str">
        <f>T("[e북]용사들은 성녀의 축복을 받아야 한다 1권")</f>
        <v>[e북]용사들은 성녀의 축복을 받아야 한다 1권</v>
      </c>
      <c r="F653">
        <v>1</v>
      </c>
      <c r="G653" t="str">
        <f>T("필밤")</f>
        <v>필밤</v>
      </c>
      <c r="J653" t="str">
        <f>T("시계토끼")</f>
        <v>시계토끼</v>
      </c>
      <c r="K653" t="str">
        <f>T("[e북]용사들은 성녀의 축복을 받아야 한다")</f>
        <v>[e북]용사들은 성녀의 축복을 받아야 한다</v>
      </c>
      <c r="L653">
        <v>3000</v>
      </c>
      <c r="M653">
        <v>5400</v>
      </c>
      <c r="N653">
        <v>2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8400</v>
      </c>
      <c r="X653">
        <v>4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13800</v>
      </c>
      <c r="AJ653">
        <v>6</v>
      </c>
      <c r="AK653">
        <v>0</v>
      </c>
      <c r="AL653">
        <v>0</v>
      </c>
      <c r="AM653">
        <v>13800</v>
      </c>
      <c r="AN653">
        <v>0</v>
      </c>
      <c r="AO653">
        <v>0</v>
      </c>
      <c r="AP653">
        <v>0</v>
      </c>
      <c r="AQ653">
        <v>0</v>
      </c>
      <c r="AS653">
        <v>0</v>
      </c>
      <c r="AT653">
        <v>0</v>
      </c>
      <c r="AV653">
        <v>0</v>
      </c>
      <c r="AW653">
        <v>0</v>
      </c>
      <c r="AY653">
        <v>0</v>
      </c>
      <c r="AZ653">
        <v>0</v>
      </c>
      <c r="BA653">
        <v>8280</v>
      </c>
      <c r="BF653" t="str">
        <f>T("D268851")</f>
        <v>D268851</v>
      </c>
      <c r="BG653" t="str">
        <f>T("로판 e북 &gt; 서양풍 로판")</f>
        <v>로판 e북 &gt; 서양풍 로판</v>
      </c>
    </row>
    <row r="654" spans="1:59">
      <c r="A654" t="s">
        <v>60</v>
      </c>
      <c r="B654" s="1">
        <v>46130</v>
      </c>
      <c r="C654">
        <v>2378081194</v>
      </c>
      <c r="D654">
        <v>2378081195</v>
      </c>
      <c r="E654" t="str">
        <f>T("[e북]용사들은 성녀의 축복을 받아야 한다 2권")</f>
        <v>[e북]용사들은 성녀의 축복을 받아야 한다 2권</v>
      </c>
      <c r="F654">
        <v>2</v>
      </c>
      <c r="G654" t="str">
        <f>T("필밤")</f>
        <v>필밤</v>
      </c>
      <c r="J654" t="str">
        <f>T("시계토끼")</f>
        <v>시계토끼</v>
      </c>
      <c r="K654" t="str">
        <f>T("[e북]용사들은 성녀의 축복을 받아야 한다")</f>
        <v>[e북]용사들은 성녀의 축복을 받아야 한다</v>
      </c>
      <c r="L654">
        <v>3000</v>
      </c>
      <c r="M654">
        <v>8100</v>
      </c>
      <c r="N654">
        <v>3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8400</v>
      </c>
      <c r="X654">
        <v>4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16500</v>
      </c>
      <c r="AJ654">
        <v>7</v>
      </c>
      <c r="AK654">
        <v>0</v>
      </c>
      <c r="AL654">
        <v>0</v>
      </c>
      <c r="AM654">
        <v>16500</v>
      </c>
      <c r="AN654">
        <v>0</v>
      </c>
      <c r="AO654">
        <v>0</v>
      </c>
      <c r="AP654">
        <v>0</v>
      </c>
      <c r="AQ654">
        <v>0</v>
      </c>
      <c r="AS654">
        <v>0</v>
      </c>
      <c r="AT654">
        <v>0</v>
      </c>
      <c r="AV654">
        <v>0</v>
      </c>
      <c r="AW654">
        <v>0</v>
      </c>
      <c r="AY654">
        <v>0</v>
      </c>
      <c r="AZ654">
        <v>0</v>
      </c>
      <c r="BA654">
        <v>9900</v>
      </c>
      <c r="BF654" t="str">
        <f>T("D268852")</f>
        <v>D268852</v>
      </c>
      <c r="BG654" t="str">
        <f>T("로판 e북 &gt; 서양풍 로판")</f>
        <v>로판 e북 &gt; 서양풍 로판</v>
      </c>
    </row>
    <row r="655" spans="1:59">
      <c r="A655" t="s">
        <v>60</v>
      </c>
      <c r="B655" s="1">
        <v>46130</v>
      </c>
      <c r="C655">
        <v>2378081194</v>
      </c>
      <c r="D655">
        <v>2378081196</v>
      </c>
      <c r="E655" t="str">
        <f>T("[e북]용사들은 성녀의 축복을 받아야 한다 3권")</f>
        <v>[e북]용사들은 성녀의 축복을 받아야 한다 3권</v>
      </c>
      <c r="F655">
        <v>3</v>
      </c>
      <c r="G655" t="str">
        <f>T("필밤")</f>
        <v>필밤</v>
      </c>
      <c r="J655" t="str">
        <f>T("시계토끼")</f>
        <v>시계토끼</v>
      </c>
      <c r="K655" t="str">
        <f>T("[e북]용사들은 성녀의 축복을 받아야 한다")</f>
        <v>[e북]용사들은 성녀의 축복을 받아야 한다</v>
      </c>
      <c r="L655">
        <v>3000</v>
      </c>
      <c r="M655">
        <v>2700</v>
      </c>
      <c r="N655">
        <v>1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8400</v>
      </c>
      <c r="X655">
        <v>4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11100</v>
      </c>
      <c r="AJ655">
        <v>5</v>
      </c>
      <c r="AK655">
        <v>0</v>
      </c>
      <c r="AL655">
        <v>0</v>
      </c>
      <c r="AM655">
        <v>11100</v>
      </c>
      <c r="AN655">
        <v>0</v>
      </c>
      <c r="AO655">
        <v>0</v>
      </c>
      <c r="AP655">
        <v>0</v>
      </c>
      <c r="AQ655">
        <v>0</v>
      </c>
      <c r="AS655">
        <v>0</v>
      </c>
      <c r="AT655">
        <v>0</v>
      </c>
      <c r="AV655">
        <v>0</v>
      </c>
      <c r="AW655">
        <v>0</v>
      </c>
      <c r="AY655">
        <v>0</v>
      </c>
      <c r="AZ655">
        <v>0</v>
      </c>
      <c r="BA655">
        <v>6660</v>
      </c>
      <c r="BF655" t="str">
        <f>T("D268853")</f>
        <v>D268853</v>
      </c>
      <c r="BG655" t="str">
        <f>T("로판 e북 &gt; 서양풍 로판")</f>
        <v>로판 e북 &gt; 서양풍 로판</v>
      </c>
    </row>
    <row r="656" spans="1:59">
      <c r="A656" t="s">
        <v>60</v>
      </c>
      <c r="B656" s="1">
        <v>46130</v>
      </c>
      <c r="C656">
        <v>2378081194</v>
      </c>
      <c r="D656">
        <v>2378081197</v>
      </c>
      <c r="E656" t="str">
        <f>T("[e북]용사들은 성녀의 축복을 받아야 한다 4권")</f>
        <v>[e북]용사들은 성녀의 축복을 받아야 한다 4권</v>
      </c>
      <c r="F656">
        <v>4</v>
      </c>
      <c r="G656" t="str">
        <f>T("필밤")</f>
        <v>필밤</v>
      </c>
      <c r="J656" t="str">
        <f>T("시계토끼")</f>
        <v>시계토끼</v>
      </c>
      <c r="K656" t="str">
        <f>T("[e북]용사들은 성녀의 축복을 받아야 한다")</f>
        <v>[e북]용사들은 성녀의 축복을 받아야 한다</v>
      </c>
      <c r="L656">
        <v>3000</v>
      </c>
      <c r="M656">
        <v>2700</v>
      </c>
      <c r="N656">
        <v>1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8400</v>
      </c>
      <c r="X656">
        <v>4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11100</v>
      </c>
      <c r="AJ656">
        <v>5</v>
      </c>
      <c r="AK656">
        <v>0</v>
      </c>
      <c r="AL656">
        <v>0</v>
      </c>
      <c r="AM656">
        <v>11100</v>
      </c>
      <c r="AN656">
        <v>0</v>
      </c>
      <c r="AO656">
        <v>0</v>
      </c>
      <c r="AP656">
        <v>0</v>
      </c>
      <c r="AQ656">
        <v>0</v>
      </c>
      <c r="AS656">
        <v>0</v>
      </c>
      <c r="AT656">
        <v>0</v>
      </c>
      <c r="AV656">
        <v>0</v>
      </c>
      <c r="AW656">
        <v>0</v>
      </c>
      <c r="AY656">
        <v>0</v>
      </c>
      <c r="AZ656">
        <v>0</v>
      </c>
      <c r="BA656">
        <v>6660</v>
      </c>
      <c r="BF656" t="str">
        <f>T("D268854")</f>
        <v>D268854</v>
      </c>
      <c r="BG656" t="str">
        <f>T("로판 e북 &gt; 서양풍 로판")</f>
        <v>로판 e북 &gt; 서양풍 로판</v>
      </c>
    </row>
    <row r="657" spans="1:59">
      <c r="A657" t="s">
        <v>60</v>
      </c>
      <c r="B657" s="1">
        <v>46131</v>
      </c>
      <c r="C657">
        <v>2378081194</v>
      </c>
      <c r="D657">
        <v>2378081194</v>
      </c>
      <c r="E657" t="str">
        <f>T("[e북]용사들은 성녀의 축복을 받아야 한다 1권")</f>
        <v>[e북]용사들은 성녀의 축복을 받아야 한다 1권</v>
      </c>
      <c r="F657">
        <v>1</v>
      </c>
      <c r="G657" t="str">
        <f>T("필밤")</f>
        <v>필밤</v>
      </c>
      <c r="J657" t="str">
        <f>T("시계토끼")</f>
        <v>시계토끼</v>
      </c>
      <c r="K657" t="str">
        <f>T("[e북]용사들은 성녀의 축복을 받아야 한다")</f>
        <v>[e북]용사들은 성녀의 축복을 받아야 한다</v>
      </c>
      <c r="L657">
        <v>3000</v>
      </c>
      <c r="M657">
        <v>5400</v>
      </c>
      <c r="N657">
        <v>2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14700</v>
      </c>
      <c r="X657">
        <v>7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20100</v>
      </c>
      <c r="AJ657">
        <v>9</v>
      </c>
      <c r="AK657">
        <v>0</v>
      </c>
      <c r="AL657">
        <v>0</v>
      </c>
      <c r="AM657">
        <v>20100</v>
      </c>
      <c r="AN657">
        <v>0</v>
      </c>
      <c r="AO657">
        <v>0</v>
      </c>
      <c r="AP657">
        <v>0</v>
      </c>
      <c r="AQ657">
        <v>0</v>
      </c>
      <c r="AS657">
        <v>0</v>
      </c>
      <c r="AT657">
        <v>0</v>
      </c>
      <c r="AV657">
        <v>0</v>
      </c>
      <c r="AW657">
        <v>0</v>
      </c>
      <c r="AY657">
        <v>0</v>
      </c>
      <c r="AZ657">
        <v>0</v>
      </c>
      <c r="BA657">
        <v>12060</v>
      </c>
      <c r="BF657" t="str">
        <f>T("D268851")</f>
        <v>D268851</v>
      </c>
      <c r="BG657" t="str">
        <f>T("로판 e북 &gt; 서양풍 로판")</f>
        <v>로판 e북 &gt; 서양풍 로판</v>
      </c>
    </row>
    <row r="658" spans="1:59">
      <c r="A658" t="s">
        <v>60</v>
      </c>
      <c r="B658" s="1">
        <v>46131</v>
      </c>
      <c r="C658">
        <v>2378081194</v>
      </c>
      <c r="D658">
        <v>2378081195</v>
      </c>
      <c r="E658" t="str">
        <f>T("[e북]용사들은 성녀의 축복을 받아야 한다 2권")</f>
        <v>[e북]용사들은 성녀의 축복을 받아야 한다 2권</v>
      </c>
      <c r="F658">
        <v>2</v>
      </c>
      <c r="G658" t="str">
        <f>T("필밤")</f>
        <v>필밤</v>
      </c>
      <c r="J658" t="str">
        <f>T("시계토끼")</f>
        <v>시계토끼</v>
      </c>
      <c r="K658" t="str">
        <f>T("[e북]용사들은 성녀의 축복을 받아야 한다")</f>
        <v>[e북]용사들은 성녀의 축복을 받아야 한다</v>
      </c>
      <c r="L658">
        <v>3000</v>
      </c>
      <c r="M658">
        <v>5400</v>
      </c>
      <c r="N658">
        <v>2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14700</v>
      </c>
      <c r="X658">
        <v>7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20100</v>
      </c>
      <c r="AJ658">
        <v>9</v>
      </c>
      <c r="AK658">
        <v>0</v>
      </c>
      <c r="AL658">
        <v>0</v>
      </c>
      <c r="AM658">
        <v>17400</v>
      </c>
      <c r="AN658">
        <v>0</v>
      </c>
      <c r="AO658">
        <v>3240</v>
      </c>
      <c r="AP658">
        <v>-324</v>
      </c>
      <c r="AQ658">
        <v>0</v>
      </c>
      <c r="AS658">
        <v>0</v>
      </c>
      <c r="AT658">
        <v>0</v>
      </c>
      <c r="AU658">
        <v>3240</v>
      </c>
      <c r="AV658">
        <v>-324</v>
      </c>
      <c r="AW658">
        <v>0</v>
      </c>
      <c r="AY658">
        <v>0</v>
      </c>
      <c r="AZ658">
        <v>0</v>
      </c>
      <c r="BA658">
        <v>12189.6</v>
      </c>
      <c r="BF658" t="str">
        <f>T("D268852")</f>
        <v>D268852</v>
      </c>
      <c r="BG658" t="str">
        <f>T("로판 e북 &gt; 서양풍 로판")</f>
        <v>로판 e북 &gt; 서양풍 로판</v>
      </c>
    </row>
    <row r="659" spans="1:59">
      <c r="A659" t="s">
        <v>60</v>
      </c>
      <c r="B659" s="1">
        <v>46131</v>
      </c>
      <c r="C659">
        <v>2378081194</v>
      </c>
      <c r="D659">
        <v>2378081196</v>
      </c>
      <c r="E659" t="str">
        <f>T("[e북]용사들은 성녀의 축복을 받아야 한다 3권")</f>
        <v>[e북]용사들은 성녀의 축복을 받아야 한다 3권</v>
      </c>
      <c r="F659">
        <v>3</v>
      </c>
      <c r="G659" t="str">
        <f>T("필밤")</f>
        <v>필밤</v>
      </c>
      <c r="J659" t="str">
        <f>T("시계토끼")</f>
        <v>시계토끼</v>
      </c>
      <c r="K659" t="str">
        <f>T("[e북]용사들은 성녀의 축복을 받아야 한다")</f>
        <v>[e북]용사들은 성녀의 축복을 받아야 한다</v>
      </c>
      <c r="L659">
        <v>3000</v>
      </c>
      <c r="M659">
        <v>5400</v>
      </c>
      <c r="N659">
        <v>2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14700</v>
      </c>
      <c r="X659">
        <v>7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20100</v>
      </c>
      <c r="AJ659">
        <v>9</v>
      </c>
      <c r="AK659">
        <v>0</v>
      </c>
      <c r="AL659">
        <v>0</v>
      </c>
      <c r="AM659">
        <v>20100</v>
      </c>
      <c r="AN659">
        <v>0</v>
      </c>
      <c r="AO659">
        <v>0</v>
      </c>
      <c r="AP659">
        <v>0</v>
      </c>
      <c r="AQ659">
        <v>0</v>
      </c>
      <c r="AS659">
        <v>0</v>
      </c>
      <c r="AT659">
        <v>0</v>
      </c>
      <c r="AV659">
        <v>0</v>
      </c>
      <c r="AW659">
        <v>0</v>
      </c>
      <c r="AY659">
        <v>0</v>
      </c>
      <c r="AZ659">
        <v>0</v>
      </c>
      <c r="BA659">
        <v>12060</v>
      </c>
      <c r="BF659" t="str">
        <f>T("D268853")</f>
        <v>D268853</v>
      </c>
      <c r="BG659" t="str">
        <f>T("로판 e북 &gt; 서양풍 로판")</f>
        <v>로판 e북 &gt; 서양풍 로판</v>
      </c>
    </row>
    <row r="660" spans="1:59">
      <c r="A660" t="s">
        <v>60</v>
      </c>
      <c r="B660" s="1">
        <v>46131</v>
      </c>
      <c r="C660">
        <v>2378081194</v>
      </c>
      <c r="D660">
        <v>2378081197</v>
      </c>
      <c r="E660" t="str">
        <f>T("[e북]용사들은 성녀의 축복을 받아야 한다 4권")</f>
        <v>[e북]용사들은 성녀의 축복을 받아야 한다 4권</v>
      </c>
      <c r="F660">
        <v>4</v>
      </c>
      <c r="G660" t="str">
        <f>T("필밤")</f>
        <v>필밤</v>
      </c>
      <c r="J660" t="str">
        <f>T("시계토끼")</f>
        <v>시계토끼</v>
      </c>
      <c r="K660" t="str">
        <f>T("[e북]용사들은 성녀의 축복을 받아야 한다")</f>
        <v>[e북]용사들은 성녀의 축복을 받아야 한다</v>
      </c>
      <c r="L660">
        <v>3000</v>
      </c>
      <c r="M660">
        <v>2700</v>
      </c>
      <c r="N660">
        <v>1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14700</v>
      </c>
      <c r="X660">
        <v>7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17400</v>
      </c>
      <c r="AJ660">
        <v>8</v>
      </c>
      <c r="AK660">
        <v>0</v>
      </c>
      <c r="AL660">
        <v>0</v>
      </c>
      <c r="AM660">
        <v>17400</v>
      </c>
      <c r="AN660">
        <v>0</v>
      </c>
      <c r="AO660">
        <v>0</v>
      </c>
      <c r="AP660">
        <v>0</v>
      </c>
      <c r="AQ660">
        <v>0</v>
      </c>
      <c r="AS660">
        <v>0</v>
      </c>
      <c r="AT660">
        <v>0</v>
      </c>
      <c r="AV660">
        <v>0</v>
      </c>
      <c r="AW660">
        <v>0</v>
      </c>
      <c r="AY660">
        <v>0</v>
      </c>
      <c r="AZ660">
        <v>0</v>
      </c>
      <c r="BA660">
        <v>10440</v>
      </c>
      <c r="BF660" t="str">
        <f>T("D268854")</f>
        <v>D268854</v>
      </c>
      <c r="BG660" t="str">
        <f>T("로판 e북 &gt; 서양풍 로판")</f>
        <v>로판 e북 &gt; 서양풍 로판</v>
      </c>
    </row>
    <row r="661" spans="1:59">
      <c r="A661" t="s">
        <v>60</v>
      </c>
      <c r="B661" s="1">
        <v>46131</v>
      </c>
      <c r="C661">
        <v>2378081194</v>
      </c>
      <c r="D661">
        <v>2378081198</v>
      </c>
      <c r="E661" t="str">
        <f>T("[e북]용사들은 성녀의 축복을 받아야 한다 5권 (완결)")</f>
        <v>[e북]용사들은 성녀의 축복을 받아야 한다 5권 (완결)</v>
      </c>
      <c r="F661">
        <v>5</v>
      </c>
      <c r="G661" t="str">
        <f>T("필밤")</f>
        <v>필밤</v>
      </c>
      <c r="J661" t="str">
        <f>T("시계토끼")</f>
        <v>시계토끼</v>
      </c>
      <c r="K661" t="str">
        <f>T("[e북]용사들은 성녀의 축복을 받아야 한다")</f>
        <v>[e북]용사들은 성녀의 축복을 받아야 한다</v>
      </c>
      <c r="L661">
        <v>3000</v>
      </c>
      <c r="M661">
        <v>2700</v>
      </c>
      <c r="N661">
        <v>1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14700</v>
      </c>
      <c r="X661">
        <v>7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17400</v>
      </c>
      <c r="AJ661">
        <v>8</v>
      </c>
      <c r="AK661">
        <v>0</v>
      </c>
      <c r="AL661">
        <v>0</v>
      </c>
      <c r="AM661">
        <v>17400</v>
      </c>
      <c r="AN661">
        <v>0</v>
      </c>
      <c r="AO661">
        <v>0</v>
      </c>
      <c r="AP661">
        <v>0</v>
      </c>
      <c r="AQ661">
        <v>0</v>
      </c>
      <c r="AS661">
        <v>0</v>
      </c>
      <c r="AT661">
        <v>0</v>
      </c>
      <c r="AV661">
        <v>0</v>
      </c>
      <c r="AW661">
        <v>0</v>
      </c>
      <c r="AY661">
        <v>0</v>
      </c>
      <c r="AZ661">
        <v>0</v>
      </c>
      <c r="BA661">
        <v>10440</v>
      </c>
      <c r="BF661" t="str">
        <f>T("D268855")</f>
        <v>D268855</v>
      </c>
      <c r="BG661" t="str">
        <f>T("로판 e북 &gt; 서양풍 로판")</f>
        <v>로판 e북 &gt; 서양풍 로판</v>
      </c>
    </row>
    <row r="662" spans="1:59">
      <c r="A662" t="s">
        <v>60</v>
      </c>
      <c r="B662" s="1">
        <v>46129</v>
      </c>
      <c r="C662">
        <v>2378051793</v>
      </c>
      <c r="D662">
        <v>2378051793</v>
      </c>
      <c r="E662" t="str">
        <f>T("[e북]우리 해피엔딩일까요? 1권")</f>
        <v>[e북]우리 해피엔딩일까요? 1권</v>
      </c>
      <c r="F662">
        <v>1</v>
      </c>
      <c r="G662" t="str">
        <f>T("하새옹")</f>
        <v>하새옹</v>
      </c>
      <c r="J662" t="str">
        <f>T("하트퀸")</f>
        <v>하트퀸</v>
      </c>
      <c r="K662" t="str">
        <f>T("[e북]우리 해피엔딩일까요?")</f>
        <v>[e북]우리 해피엔딩일까요?</v>
      </c>
      <c r="L662">
        <v>2200</v>
      </c>
      <c r="M662">
        <v>2200</v>
      </c>
      <c r="N662">
        <v>1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2200</v>
      </c>
      <c r="AJ662">
        <v>1</v>
      </c>
      <c r="AK662">
        <v>0</v>
      </c>
      <c r="AL662">
        <v>0</v>
      </c>
      <c r="AM662">
        <v>2200</v>
      </c>
      <c r="AN662">
        <v>0</v>
      </c>
      <c r="AO662">
        <v>0</v>
      </c>
      <c r="AP662">
        <v>0</v>
      </c>
      <c r="AQ662">
        <v>0</v>
      </c>
      <c r="AS662">
        <v>0</v>
      </c>
      <c r="AT662">
        <v>0</v>
      </c>
      <c r="AV662">
        <v>0</v>
      </c>
      <c r="AW662">
        <v>0</v>
      </c>
      <c r="AY662">
        <v>0</v>
      </c>
      <c r="AZ662">
        <v>0</v>
      </c>
      <c r="BA662">
        <v>1540</v>
      </c>
      <c r="BE662" t="str">
        <f>T("9791164978489")</f>
        <v>9791164978489</v>
      </c>
      <c r="BF662" t="str">
        <f>T("k033556")</f>
        <v>k033556</v>
      </c>
      <c r="BG662" t="str">
        <f>T("로맨스 e북 &gt; 현대물")</f>
        <v>로맨스 e북 &gt; 현대물</v>
      </c>
    </row>
    <row r="663" spans="1:59">
      <c r="A663" t="s">
        <v>60</v>
      </c>
      <c r="B663" s="1">
        <v>46129</v>
      </c>
      <c r="C663">
        <v>2378010099</v>
      </c>
      <c r="D663">
        <v>2378010100</v>
      </c>
      <c r="E663" t="str">
        <f>T("[e북][체험판] 울타리를 넘지 마시오")</f>
        <v>[e북][체험판] 울타리를 넘지 마시오</v>
      </c>
      <c r="F663">
        <v>1</v>
      </c>
      <c r="G663" t="str">
        <f>T("김도희")</f>
        <v>김도희</v>
      </c>
      <c r="J663" t="str">
        <f>T("시계토끼")</f>
        <v>시계토끼</v>
      </c>
      <c r="K663" t="str">
        <f>T("[e북]울타리를 넘지 마시오")</f>
        <v>[e북]울타리를 넘지 마시오</v>
      </c>
      <c r="L663">
        <v>0</v>
      </c>
      <c r="M663">
        <v>0</v>
      </c>
      <c r="N663">
        <v>0</v>
      </c>
      <c r="O663">
        <v>2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0</v>
      </c>
      <c r="AH663">
        <v>0</v>
      </c>
      <c r="AI663">
        <v>0</v>
      </c>
      <c r="AJ663">
        <v>2</v>
      </c>
      <c r="AK663">
        <v>0</v>
      </c>
      <c r="AL663">
        <v>0</v>
      </c>
      <c r="AM663">
        <v>0</v>
      </c>
      <c r="AN663">
        <v>0</v>
      </c>
      <c r="AO663">
        <v>0</v>
      </c>
      <c r="AP663">
        <v>0</v>
      </c>
      <c r="AQ663">
        <v>0</v>
      </c>
      <c r="AS663">
        <v>0</v>
      </c>
      <c r="AT663">
        <v>0</v>
      </c>
      <c r="AV663">
        <v>0</v>
      </c>
      <c r="AW663">
        <v>0</v>
      </c>
      <c r="AY663">
        <v>0</v>
      </c>
      <c r="AZ663">
        <v>0</v>
      </c>
      <c r="BA663">
        <v>0</v>
      </c>
      <c r="BC663" t="str">
        <f>T("0000000000000")</f>
        <v>0000000000000</v>
      </c>
      <c r="BE663" t="str">
        <f>T("9791164091560")</f>
        <v>9791164091560</v>
      </c>
      <c r="BF663" t="str">
        <f>T("E517299")</f>
        <v>E517299</v>
      </c>
      <c r="BG663" t="str">
        <f>T("로판 e북 &gt; 서양풍 로판")</f>
        <v>로판 e북 &gt; 서양풍 로판</v>
      </c>
    </row>
    <row r="664" spans="1:59">
      <c r="A664" t="s">
        <v>60</v>
      </c>
      <c r="B664" s="1">
        <v>46130</v>
      </c>
      <c r="C664">
        <v>2378010099</v>
      </c>
      <c r="D664">
        <v>2378010099</v>
      </c>
      <c r="E664" t="str">
        <f>T("[e북]울타리를 넘지 마시오")</f>
        <v>[e북]울타리를 넘지 마시오</v>
      </c>
      <c r="F664">
        <v>0</v>
      </c>
      <c r="G664" t="str">
        <f>T("김도희")</f>
        <v>김도희</v>
      </c>
      <c r="J664" t="str">
        <f>T("시계토끼")</f>
        <v>시계토끼</v>
      </c>
      <c r="K664" t="str">
        <f>T("[e북]울타리를 넘지 마시오")</f>
        <v>[e북]울타리를 넘지 마시오</v>
      </c>
      <c r="L664">
        <v>3000</v>
      </c>
      <c r="M664">
        <v>3000</v>
      </c>
      <c r="N664">
        <v>1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3000</v>
      </c>
      <c r="AJ664">
        <v>1</v>
      </c>
      <c r="AK664">
        <v>0</v>
      </c>
      <c r="AL664">
        <v>0</v>
      </c>
      <c r="AM664">
        <v>3000</v>
      </c>
      <c r="AN664">
        <v>0</v>
      </c>
      <c r="AO664">
        <v>0</v>
      </c>
      <c r="AP664">
        <v>0</v>
      </c>
      <c r="AQ664">
        <v>0</v>
      </c>
      <c r="AS664">
        <v>0</v>
      </c>
      <c r="AT664">
        <v>0</v>
      </c>
      <c r="AV664">
        <v>0</v>
      </c>
      <c r="AW664">
        <v>0</v>
      </c>
      <c r="AY664">
        <v>0</v>
      </c>
      <c r="AZ664">
        <v>0</v>
      </c>
      <c r="BA664">
        <v>2100</v>
      </c>
      <c r="BC664" t="str">
        <f>T("0000000000000")</f>
        <v>0000000000000</v>
      </c>
      <c r="BE664" t="str">
        <f>T("9791164091560")</f>
        <v>9791164091560</v>
      </c>
      <c r="BF664" t="str">
        <f>T("E517299")</f>
        <v>E517299</v>
      </c>
      <c r="BG664" t="str">
        <f>T("로판 e북 &gt; 서양풍 로판")</f>
        <v>로판 e북 &gt; 서양풍 로판</v>
      </c>
    </row>
    <row r="665" spans="1:59">
      <c r="A665" t="s">
        <v>60</v>
      </c>
      <c r="B665" s="1">
        <v>46131</v>
      </c>
      <c r="C665">
        <v>2378010099</v>
      </c>
      <c r="D665">
        <v>2378010100</v>
      </c>
      <c r="E665" t="str">
        <f>T("[e북][체험판] 울타리를 넘지 마시오")</f>
        <v>[e북][체험판] 울타리를 넘지 마시오</v>
      </c>
      <c r="F665">
        <v>1</v>
      </c>
      <c r="G665" t="str">
        <f>T("김도희")</f>
        <v>김도희</v>
      </c>
      <c r="J665" t="str">
        <f>T("시계토끼")</f>
        <v>시계토끼</v>
      </c>
      <c r="K665" t="str">
        <f>T("[e북]울타리를 넘지 마시오")</f>
        <v>[e북]울타리를 넘지 마시오</v>
      </c>
      <c r="L665">
        <v>0</v>
      </c>
      <c r="M665">
        <v>0</v>
      </c>
      <c r="N665">
        <v>0</v>
      </c>
      <c r="O665">
        <v>1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1</v>
      </c>
      <c r="AK665">
        <v>0</v>
      </c>
      <c r="AL665">
        <v>0</v>
      </c>
      <c r="AM665">
        <v>0</v>
      </c>
      <c r="AN665">
        <v>0</v>
      </c>
      <c r="AO665">
        <v>0</v>
      </c>
      <c r="AP665">
        <v>0</v>
      </c>
      <c r="AQ665">
        <v>0</v>
      </c>
      <c r="AS665">
        <v>0</v>
      </c>
      <c r="AT665">
        <v>0</v>
      </c>
      <c r="AV665">
        <v>0</v>
      </c>
      <c r="AW665">
        <v>0</v>
      </c>
      <c r="AY665">
        <v>0</v>
      </c>
      <c r="AZ665">
        <v>0</v>
      </c>
      <c r="BA665">
        <v>0</v>
      </c>
      <c r="BC665" t="str">
        <f>T("0000000000000")</f>
        <v>0000000000000</v>
      </c>
      <c r="BE665" t="str">
        <f>T("9791164091560")</f>
        <v>9791164091560</v>
      </c>
      <c r="BF665" t="str">
        <f>T("E517299")</f>
        <v>E517299</v>
      </c>
      <c r="BG665" t="str">
        <f>T("로판 e북 &gt; 서양풍 로판")</f>
        <v>로판 e북 &gt; 서양풍 로판</v>
      </c>
    </row>
    <row r="666" spans="1:59">
      <c r="A666" t="s">
        <v>60</v>
      </c>
      <c r="B666" s="1">
        <v>46131</v>
      </c>
      <c r="C666">
        <v>2378010099</v>
      </c>
      <c r="D666">
        <v>2378010099</v>
      </c>
      <c r="E666" t="str">
        <f>T("[e북]울타리를 넘지 마시오")</f>
        <v>[e북]울타리를 넘지 마시오</v>
      </c>
      <c r="F666">
        <v>0</v>
      </c>
      <c r="G666" t="str">
        <f>T("김도희")</f>
        <v>김도희</v>
      </c>
      <c r="J666" t="str">
        <f>T("시계토끼")</f>
        <v>시계토끼</v>
      </c>
      <c r="K666" t="str">
        <f>T("[e북]울타리를 넘지 마시오")</f>
        <v>[e북]울타리를 넘지 마시오</v>
      </c>
      <c r="L666">
        <v>3000</v>
      </c>
      <c r="M666">
        <v>3000</v>
      </c>
      <c r="N666">
        <v>1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3000</v>
      </c>
      <c r="AJ666">
        <v>1</v>
      </c>
      <c r="AK666">
        <v>0</v>
      </c>
      <c r="AL666">
        <v>0</v>
      </c>
      <c r="AM666">
        <v>3000</v>
      </c>
      <c r="AN666">
        <v>0</v>
      </c>
      <c r="AO666">
        <v>0</v>
      </c>
      <c r="AP666">
        <v>0</v>
      </c>
      <c r="AQ666">
        <v>0</v>
      </c>
      <c r="AS666">
        <v>0</v>
      </c>
      <c r="AT666">
        <v>0</v>
      </c>
      <c r="AV666">
        <v>0</v>
      </c>
      <c r="AW666">
        <v>0</v>
      </c>
      <c r="AY666">
        <v>0</v>
      </c>
      <c r="AZ666">
        <v>0</v>
      </c>
      <c r="BA666">
        <v>2100</v>
      </c>
      <c r="BC666" t="str">
        <f>T("0000000000000")</f>
        <v>0000000000000</v>
      </c>
      <c r="BE666" t="str">
        <f>T("9791164091560")</f>
        <v>9791164091560</v>
      </c>
      <c r="BF666" t="str">
        <f>T("E517299")</f>
        <v>E517299</v>
      </c>
      <c r="BG666" t="str">
        <f>T("로판 e북 &gt; 서양풍 로판")</f>
        <v>로판 e북 &gt; 서양풍 로판</v>
      </c>
    </row>
    <row r="667" spans="1:59">
      <c r="A667" t="s">
        <v>60</v>
      </c>
      <c r="B667" s="1">
        <v>46129</v>
      </c>
      <c r="C667">
        <v>2378076755</v>
      </c>
      <c r="D667">
        <v>2378076755</v>
      </c>
      <c r="E667" t="str">
        <f>T("[e북]원수는 약혼식장에서 만난다 1권")</f>
        <v>[e북]원수는 약혼식장에서 만난다 1권</v>
      </c>
      <c r="F667">
        <v>1</v>
      </c>
      <c r="G667" t="str">
        <f>T("이서래")</f>
        <v>이서래</v>
      </c>
      <c r="J667" t="str">
        <f>T("앨리스")</f>
        <v>앨리스</v>
      </c>
      <c r="K667" t="str">
        <f>T("[e북]원수는 약혼식장에서 만난다")</f>
        <v>[e북]원수는 약혼식장에서 만난다</v>
      </c>
      <c r="L667">
        <v>3600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4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4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S667">
        <v>0</v>
      </c>
      <c r="AT667">
        <v>0</v>
      </c>
      <c r="AV667">
        <v>0</v>
      </c>
      <c r="AW667">
        <v>0</v>
      </c>
      <c r="AY667">
        <v>0</v>
      </c>
      <c r="AZ667">
        <v>0</v>
      </c>
      <c r="BA667">
        <v>0</v>
      </c>
      <c r="BE667" t="str">
        <f>T("9791189360702")</f>
        <v>9791189360702</v>
      </c>
      <c r="BF667" t="str">
        <f>T("D072835")</f>
        <v>D072835</v>
      </c>
      <c r="BG667" t="str">
        <f>T("로판 e북 &gt; 서양풍 로판")</f>
        <v>로판 e북 &gt; 서양풍 로판</v>
      </c>
    </row>
    <row r="668" spans="1:59">
      <c r="A668" t="s">
        <v>60</v>
      </c>
      <c r="B668" s="1">
        <v>46130</v>
      </c>
      <c r="C668">
        <v>2378076755</v>
      </c>
      <c r="D668">
        <v>2378076755</v>
      </c>
      <c r="E668" t="str">
        <f>T("[e북]원수는 약혼식장에서 만난다 1권")</f>
        <v>[e북]원수는 약혼식장에서 만난다 1권</v>
      </c>
      <c r="F668">
        <v>1</v>
      </c>
      <c r="G668" t="str">
        <f>T("이서래")</f>
        <v>이서래</v>
      </c>
      <c r="J668" t="str">
        <f>T("앨리스")</f>
        <v>앨리스</v>
      </c>
      <c r="K668" t="str">
        <f>T("[e북]원수는 약혼식장에서 만난다")</f>
        <v>[e북]원수는 약혼식장에서 만난다</v>
      </c>
      <c r="L668">
        <v>3600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1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1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S668">
        <v>0</v>
      </c>
      <c r="AT668">
        <v>0</v>
      </c>
      <c r="AV668">
        <v>0</v>
      </c>
      <c r="AW668">
        <v>0</v>
      </c>
      <c r="AY668">
        <v>0</v>
      </c>
      <c r="AZ668">
        <v>0</v>
      </c>
      <c r="BA668">
        <v>0</v>
      </c>
      <c r="BE668" t="str">
        <f>T("9791189360702")</f>
        <v>9791189360702</v>
      </c>
      <c r="BF668" t="str">
        <f>T("D072835")</f>
        <v>D072835</v>
      </c>
      <c r="BG668" t="str">
        <f>T("로판 e북 &gt; 서양풍 로판")</f>
        <v>로판 e북 &gt; 서양풍 로판</v>
      </c>
    </row>
    <row r="669" spans="1:59">
      <c r="A669" t="s">
        <v>60</v>
      </c>
      <c r="B669" s="1">
        <v>46131</v>
      </c>
      <c r="C669">
        <v>2378076755</v>
      </c>
      <c r="D669">
        <v>2378076761</v>
      </c>
      <c r="E669" t="str">
        <f>T("[e북]원수는 약혼식장에서 만난다 7권 (완결)")</f>
        <v>[e북]원수는 약혼식장에서 만난다 7권 (완결)</v>
      </c>
      <c r="F669">
        <v>7</v>
      </c>
      <c r="G669" t="str">
        <f>T("이서래")</f>
        <v>이서래</v>
      </c>
      <c r="J669" t="str">
        <f>T("앨리스")</f>
        <v>앨리스</v>
      </c>
      <c r="K669" t="str">
        <f>T("[e북]원수는 약혼식장에서 만난다")</f>
        <v>[e북]원수는 약혼식장에서 만난다</v>
      </c>
      <c r="L669">
        <v>3600</v>
      </c>
      <c r="M669">
        <v>3240</v>
      </c>
      <c r="N669">
        <v>1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3240</v>
      </c>
      <c r="AJ669">
        <v>1</v>
      </c>
      <c r="AK669">
        <v>0</v>
      </c>
      <c r="AL669">
        <v>0</v>
      </c>
      <c r="AM669">
        <v>3240</v>
      </c>
      <c r="AN669">
        <v>0</v>
      </c>
      <c r="AO669">
        <v>0</v>
      </c>
      <c r="AP669">
        <v>0</v>
      </c>
      <c r="AQ669">
        <v>0</v>
      </c>
      <c r="AS669">
        <v>0</v>
      </c>
      <c r="AT669">
        <v>0</v>
      </c>
      <c r="AV669">
        <v>0</v>
      </c>
      <c r="AW669">
        <v>0</v>
      </c>
      <c r="AY669">
        <v>0</v>
      </c>
      <c r="AZ669">
        <v>0</v>
      </c>
      <c r="BA669">
        <v>2268</v>
      </c>
      <c r="BE669" t="str">
        <f>T("9791189360764")</f>
        <v>9791189360764</v>
      </c>
      <c r="BF669" t="str">
        <f>T("D072841")</f>
        <v>D072841</v>
      </c>
      <c r="BG669" t="str">
        <f>T("로판 e북 &gt; 서양풍 로판")</f>
        <v>로판 e북 &gt; 서양풍 로판</v>
      </c>
    </row>
    <row r="670" spans="1:59">
      <c r="A670" t="s">
        <v>60</v>
      </c>
      <c r="B670" s="1">
        <v>46131</v>
      </c>
      <c r="C670">
        <v>2378076755</v>
      </c>
      <c r="D670">
        <v>2378076755</v>
      </c>
      <c r="E670" t="str">
        <f>T("[e북]원수는 약혼식장에서 만난다 1권")</f>
        <v>[e북]원수는 약혼식장에서 만난다 1권</v>
      </c>
      <c r="F670">
        <v>1</v>
      </c>
      <c r="G670" t="str">
        <f>T("이서래")</f>
        <v>이서래</v>
      </c>
      <c r="J670" t="str">
        <f>T("앨리스")</f>
        <v>앨리스</v>
      </c>
      <c r="K670" t="str">
        <f>T("[e북]원수는 약혼식장에서 만난다")</f>
        <v>[e북]원수는 약혼식장에서 만난다</v>
      </c>
      <c r="L670">
        <v>3600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3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3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S670">
        <v>0</v>
      </c>
      <c r="AT670">
        <v>0</v>
      </c>
      <c r="AV670">
        <v>0</v>
      </c>
      <c r="AW670">
        <v>0</v>
      </c>
      <c r="AY670">
        <v>0</v>
      </c>
      <c r="AZ670">
        <v>0</v>
      </c>
      <c r="BA670">
        <v>0</v>
      </c>
      <c r="BE670" t="str">
        <f>T("9791189360702")</f>
        <v>9791189360702</v>
      </c>
      <c r="BF670" t="str">
        <f>T("D072835")</f>
        <v>D072835</v>
      </c>
      <c r="BG670" t="str">
        <f>T("로판 e북 &gt; 서양풍 로판")</f>
        <v>로판 e북 &gt; 서양풍 로판</v>
      </c>
    </row>
    <row r="671" spans="1:59">
      <c r="A671" t="s">
        <v>60</v>
      </c>
      <c r="B671" s="1">
        <v>46129</v>
      </c>
      <c r="C671">
        <v>2378073667</v>
      </c>
      <c r="D671">
        <v>2378073669</v>
      </c>
      <c r="E671" t="str">
        <f>T("[e북]위대한 명가의 막내아들이 되었다 3권")</f>
        <v>[e북]위대한 명가의 막내아들이 되었다 3권</v>
      </c>
      <c r="F671">
        <v>3</v>
      </c>
      <c r="G671" t="str">
        <f>T("글로빌")</f>
        <v>글로빌</v>
      </c>
      <c r="J671" t="str">
        <f>T("오쉬컴퍼니")</f>
        <v>오쉬컴퍼니</v>
      </c>
      <c r="K671" t="str">
        <f>T("[e북]위대한 명가의 막내아들이 되었다")</f>
        <v>[e북]위대한 명가의 막내아들이 되었다</v>
      </c>
      <c r="L671">
        <v>2500</v>
      </c>
      <c r="M671">
        <v>2500</v>
      </c>
      <c r="N671">
        <v>1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2500</v>
      </c>
      <c r="AJ671">
        <v>1</v>
      </c>
      <c r="AK671">
        <v>0</v>
      </c>
      <c r="AL671">
        <v>0</v>
      </c>
      <c r="AM671">
        <v>0</v>
      </c>
      <c r="AN671">
        <v>0</v>
      </c>
      <c r="AO671">
        <v>3000</v>
      </c>
      <c r="AP671">
        <v>-300</v>
      </c>
      <c r="AQ671">
        <v>0</v>
      </c>
      <c r="AS671">
        <v>0</v>
      </c>
      <c r="AT671">
        <v>0</v>
      </c>
      <c r="AU671">
        <v>3000</v>
      </c>
      <c r="AV671">
        <v>-300</v>
      </c>
      <c r="AW671">
        <v>0</v>
      </c>
      <c r="AY671">
        <v>0</v>
      </c>
      <c r="AZ671">
        <v>0</v>
      </c>
      <c r="BA671">
        <v>1890</v>
      </c>
      <c r="BE671" t="str">
        <f>T("9791168282797")</f>
        <v>9791168282797</v>
      </c>
      <c r="BF671" t="str">
        <f>T("k413298")</f>
        <v>k413298</v>
      </c>
      <c r="BG671" t="str">
        <f>T("판타지 e북 &gt; 정통 판타지")</f>
        <v>판타지 e북 &gt; 정통 판타지</v>
      </c>
    </row>
    <row r="672" spans="1:59">
      <c r="A672" t="s">
        <v>60</v>
      </c>
      <c r="B672" s="1">
        <v>46130</v>
      </c>
      <c r="C672">
        <v>2378073667</v>
      </c>
      <c r="D672">
        <v>2378073671</v>
      </c>
      <c r="E672" t="str">
        <f>T("[e북]위대한 명가의 막내아들이 되었다 5권")</f>
        <v>[e북]위대한 명가의 막내아들이 되었다 5권</v>
      </c>
      <c r="F672">
        <v>5</v>
      </c>
      <c r="G672" t="str">
        <f>T("글로빌")</f>
        <v>글로빌</v>
      </c>
      <c r="J672" t="str">
        <f>T("오쉬컴퍼니")</f>
        <v>오쉬컴퍼니</v>
      </c>
      <c r="K672" t="str">
        <f>T("[e북]위대한 명가의 막내아들이 되었다")</f>
        <v>[e북]위대한 명가의 막내아들이 되었다</v>
      </c>
      <c r="L672">
        <v>2500</v>
      </c>
      <c r="M672">
        <v>2500</v>
      </c>
      <c r="N672">
        <v>1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2500</v>
      </c>
      <c r="AJ672">
        <v>1</v>
      </c>
      <c r="AK672">
        <v>0</v>
      </c>
      <c r="AL672">
        <v>0</v>
      </c>
      <c r="AM672">
        <v>0</v>
      </c>
      <c r="AN672">
        <v>0</v>
      </c>
      <c r="AO672">
        <v>3000</v>
      </c>
      <c r="AP672">
        <v>-300</v>
      </c>
      <c r="AQ672">
        <v>0</v>
      </c>
      <c r="AS672">
        <v>0</v>
      </c>
      <c r="AT672">
        <v>0</v>
      </c>
      <c r="AU672">
        <v>3000</v>
      </c>
      <c r="AV672">
        <v>-300</v>
      </c>
      <c r="AW672">
        <v>0</v>
      </c>
      <c r="AY672">
        <v>0</v>
      </c>
      <c r="AZ672">
        <v>0</v>
      </c>
      <c r="BA672">
        <v>1890</v>
      </c>
      <c r="BE672" t="str">
        <f>T("9791168282827")</f>
        <v>9791168282827</v>
      </c>
      <c r="BF672" t="str">
        <f>T("k413300")</f>
        <v>k413300</v>
      </c>
      <c r="BG672" t="str">
        <f>T("판타지 e북 &gt; 정통 판타지")</f>
        <v>판타지 e북 &gt; 정통 판타지</v>
      </c>
    </row>
    <row r="673" spans="1:60">
      <c r="A673" t="s">
        <v>60</v>
      </c>
      <c r="B673" s="1">
        <v>46130</v>
      </c>
      <c r="C673">
        <v>2378073667</v>
      </c>
      <c r="D673">
        <v>2378073670</v>
      </c>
      <c r="E673" t="str">
        <f>T("[e북]위대한 명가의 막내아들이 되었다 4권")</f>
        <v>[e북]위대한 명가의 막내아들이 되었다 4권</v>
      </c>
      <c r="F673">
        <v>4</v>
      </c>
      <c r="G673" t="str">
        <f>T("글로빌")</f>
        <v>글로빌</v>
      </c>
      <c r="J673" t="str">
        <f>T("오쉬컴퍼니")</f>
        <v>오쉬컴퍼니</v>
      </c>
      <c r="K673" t="str">
        <f>T("[e북]위대한 명가의 막내아들이 되었다")</f>
        <v>[e북]위대한 명가의 막내아들이 되었다</v>
      </c>
      <c r="L673">
        <v>2500</v>
      </c>
      <c r="M673">
        <v>2500</v>
      </c>
      <c r="N673">
        <v>1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2500</v>
      </c>
      <c r="AJ673">
        <v>1</v>
      </c>
      <c r="AK673">
        <v>0</v>
      </c>
      <c r="AL673">
        <v>0</v>
      </c>
      <c r="AM673">
        <v>0</v>
      </c>
      <c r="AN673">
        <v>0</v>
      </c>
      <c r="AO673">
        <v>3000</v>
      </c>
      <c r="AP673">
        <v>-300</v>
      </c>
      <c r="AQ673">
        <v>0</v>
      </c>
      <c r="AS673">
        <v>0</v>
      </c>
      <c r="AT673">
        <v>0</v>
      </c>
      <c r="AU673">
        <v>3000</v>
      </c>
      <c r="AV673">
        <v>-300</v>
      </c>
      <c r="AW673">
        <v>0</v>
      </c>
      <c r="AY673">
        <v>0</v>
      </c>
      <c r="AZ673">
        <v>0</v>
      </c>
      <c r="BA673">
        <v>1890</v>
      </c>
      <c r="BE673" t="str">
        <f>T("9791168282810")</f>
        <v>9791168282810</v>
      </c>
      <c r="BF673" t="str">
        <f>T("k413299")</f>
        <v>k413299</v>
      </c>
      <c r="BG673" t="str">
        <f>T("판타지 e북 &gt; 정통 판타지")</f>
        <v>판타지 e북 &gt; 정통 판타지</v>
      </c>
    </row>
    <row r="674" spans="1:60">
      <c r="A674" t="s">
        <v>60</v>
      </c>
      <c r="B674" s="1">
        <v>46131</v>
      </c>
      <c r="C674">
        <v>2378073667</v>
      </c>
      <c r="D674">
        <v>2378073672</v>
      </c>
      <c r="E674" t="str">
        <f>T("[e북]위대한 명가의 막내아들이 되었다 6권 (완결)")</f>
        <v>[e북]위대한 명가의 막내아들이 되었다 6권 (완결)</v>
      </c>
      <c r="F674">
        <v>6</v>
      </c>
      <c r="G674" t="str">
        <f>T("글로빌")</f>
        <v>글로빌</v>
      </c>
      <c r="J674" t="str">
        <f>T("오쉬컴퍼니")</f>
        <v>오쉬컴퍼니</v>
      </c>
      <c r="K674" t="str">
        <f>T("[e북]위대한 명가의 막내아들이 되었다")</f>
        <v>[e북]위대한 명가의 막내아들이 되었다</v>
      </c>
      <c r="L674">
        <v>2500</v>
      </c>
      <c r="M674">
        <v>2500</v>
      </c>
      <c r="N674">
        <v>1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2500</v>
      </c>
      <c r="AJ674">
        <v>1</v>
      </c>
      <c r="AK674">
        <v>0</v>
      </c>
      <c r="AL674">
        <v>0</v>
      </c>
      <c r="AM674">
        <v>0</v>
      </c>
      <c r="AN674">
        <v>0</v>
      </c>
      <c r="AO674">
        <v>3000</v>
      </c>
      <c r="AP674">
        <v>-300</v>
      </c>
      <c r="AQ674">
        <v>0</v>
      </c>
      <c r="AS674">
        <v>0</v>
      </c>
      <c r="AT674">
        <v>0</v>
      </c>
      <c r="AU674">
        <v>3000</v>
      </c>
      <c r="AV674">
        <v>-300</v>
      </c>
      <c r="AW674">
        <v>0</v>
      </c>
      <c r="AY674">
        <v>0</v>
      </c>
      <c r="AZ674">
        <v>0</v>
      </c>
      <c r="BA674">
        <v>1890</v>
      </c>
      <c r="BE674" t="str">
        <f>T("9791168282858")</f>
        <v>9791168282858</v>
      </c>
      <c r="BF674" t="str">
        <f>T("k413301")</f>
        <v>k413301</v>
      </c>
      <c r="BG674" t="str">
        <f>T("판타지 e북 &gt; 정통 판타지")</f>
        <v>판타지 e북 &gt; 정통 판타지</v>
      </c>
    </row>
    <row r="675" spans="1:60">
      <c r="A675" t="s">
        <v>60</v>
      </c>
      <c r="B675" s="1">
        <v>46130</v>
      </c>
      <c r="C675">
        <v>2378033473</v>
      </c>
      <c r="D675">
        <v>2378033473</v>
      </c>
      <c r="E675" t="str">
        <f>T("[e북]위험한 오빠 친구")</f>
        <v>[e북]위험한 오빠 친구</v>
      </c>
      <c r="F675">
        <v>1</v>
      </c>
      <c r="G675" t="str">
        <f>T("타라")</f>
        <v>타라</v>
      </c>
      <c r="J675" t="str">
        <f>T("하트퀸")</f>
        <v>하트퀸</v>
      </c>
      <c r="K675" t="str">
        <f>T("[e북]위험한 오빠 친구")</f>
        <v>[e북]위험한 오빠 친구</v>
      </c>
      <c r="L675">
        <v>3000</v>
      </c>
      <c r="M675">
        <v>3000</v>
      </c>
      <c r="N675">
        <v>1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3000</v>
      </c>
      <c r="AJ675">
        <v>1</v>
      </c>
      <c r="AK675">
        <v>0</v>
      </c>
      <c r="AL675">
        <v>0</v>
      </c>
      <c r="AM675">
        <v>3000</v>
      </c>
      <c r="AN675">
        <v>0</v>
      </c>
      <c r="AO675">
        <v>0</v>
      </c>
      <c r="AP675">
        <v>0</v>
      </c>
      <c r="AQ675">
        <v>0</v>
      </c>
      <c r="AS675">
        <v>0</v>
      </c>
      <c r="AT675">
        <v>0</v>
      </c>
      <c r="AV675">
        <v>0</v>
      </c>
      <c r="AW675">
        <v>0</v>
      </c>
      <c r="AY675">
        <v>0</v>
      </c>
      <c r="AZ675">
        <v>0</v>
      </c>
      <c r="BA675">
        <v>2100</v>
      </c>
      <c r="BE675" t="str">
        <f>T("9791164976805")</f>
        <v>9791164976805</v>
      </c>
      <c r="BF675" t="str">
        <f>T("N074529")</f>
        <v>N074529</v>
      </c>
      <c r="BG675" t="str">
        <f>T("로맨스 e북 &gt; 현대물")</f>
        <v>로맨스 e북 &gt; 현대물</v>
      </c>
      <c r="BH675" t="str">
        <f>T("로맨스 e북 &gt; 19+")</f>
        <v>로맨스 e북 &gt; 19+</v>
      </c>
    </row>
    <row r="676" spans="1:60">
      <c r="A676" t="s">
        <v>60</v>
      </c>
      <c r="B676" s="1">
        <v>46130</v>
      </c>
      <c r="C676">
        <v>2378033473</v>
      </c>
      <c r="D676">
        <v>2378037105</v>
      </c>
      <c r="E676" t="str">
        <f>T("[e북]위험한 오빠 친구 (외전)")</f>
        <v>[e북]위험한 오빠 친구 (외전)</v>
      </c>
      <c r="F676">
        <v>2</v>
      </c>
      <c r="G676" t="str">
        <f>T("타라")</f>
        <v>타라</v>
      </c>
      <c r="J676" t="str">
        <f>T("하트퀸")</f>
        <v>하트퀸</v>
      </c>
      <c r="K676" t="str">
        <f>T("[e북]위험한 오빠 친구")</f>
        <v>[e북]위험한 오빠 친구</v>
      </c>
      <c r="L676">
        <v>1500</v>
      </c>
      <c r="M676">
        <v>1500</v>
      </c>
      <c r="N676">
        <v>1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1500</v>
      </c>
      <c r="AJ676">
        <v>1</v>
      </c>
      <c r="AK676">
        <v>0</v>
      </c>
      <c r="AL676">
        <v>0</v>
      </c>
      <c r="AM676">
        <v>1500</v>
      </c>
      <c r="AN676">
        <v>0</v>
      </c>
      <c r="AO676">
        <v>0</v>
      </c>
      <c r="AP676">
        <v>0</v>
      </c>
      <c r="AQ676">
        <v>0</v>
      </c>
      <c r="AS676">
        <v>0</v>
      </c>
      <c r="AT676">
        <v>0</v>
      </c>
      <c r="AV676">
        <v>0</v>
      </c>
      <c r="AW676">
        <v>0</v>
      </c>
      <c r="AY676">
        <v>0</v>
      </c>
      <c r="AZ676">
        <v>0</v>
      </c>
      <c r="BA676">
        <v>1050</v>
      </c>
      <c r="BE676" t="str">
        <f>T("9791164977437")</f>
        <v>9791164977437</v>
      </c>
      <c r="BF676" t="str">
        <f>T("N121582")</f>
        <v>N121582</v>
      </c>
      <c r="BG676" t="str">
        <f>T("로맨스 e북 &gt; 현대물")</f>
        <v>로맨스 e북 &gt; 현대물</v>
      </c>
      <c r="BH676" t="str">
        <f>T("로맨스 e북 &gt; 19+")</f>
        <v>로맨스 e북 &gt; 19+</v>
      </c>
    </row>
    <row r="677" spans="1:60">
      <c r="A677" t="s">
        <v>60</v>
      </c>
      <c r="B677" s="1">
        <v>46131</v>
      </c>
      <c r="C677">
        <v>2378033473</v>
      </c>
      <c r="D677">
        <v>2378037105</v>
      </c>
      <c r="E677" t="str">
        <f>T("[e북]위험한 오빠 친구 (외전)")</f>
        <v>[e북]위험한 오빠 친구 (외전)</v>
      </c>
      <c r="F677">
        <v>2</v>
      </c>
      <c r="G677" t="str">
        <f>T("타라")</f>
        <v>타라</v>
      </c>
      <c r="J677" t="str">
        <f>T("하트퀸")</f>
        <v>하트퀸</v>
      </c>
      <c r="K677" t="str">
        <f>T("[e북]위험한 오빠 친구")</f>
        <v>[e북]위험한 오빠 친구</v>
      </c>
      <c r="L677">
        <v>1500</v>
      </c>
      <c r="M677">
        <v>3000</v>
      </c>
      <c r="N677">
        <v>2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3000</v>
      </c>
      <c r="AJ677">
        <v>2</v>
      </c>
      <c r="AK677">
        <v>0</v>
      </c>
      <c r="AL677">
        <v>0</v>
      </c>
      <c r="AM677">
        <v>1500</v>
      </c>
      <c r="AN677">
        <v>0</v>
      </c>
      <c r="AO677">
        <v>1800</v>
      </c>
      <c r="AP677">
        <v>-180</v>
      </c>
      <c r="AQ677">
        <v>0</v>
      </c>
      <c r="AS677">
        <v>0</v>
      </c>
      <c r="AT677">
        <v>0</v>
      </c>
      <c r="AU677">
        <v>1800</v>
      </c>
      <c r="AV677">
        <v>-180</v>
      </c>
      <c r="AW677">
        <v>0</v>
      </c>
      <c r="AY677">
        <v>0</v>
      </c>
      <c r="AZ677">
        <v>0</v>
      </c>
      <c r="BA677">
        <v>2184</v>
      </c>
      <c r="BE677" t="str">
        <f>T("9791164977437")</f>
        <v>9791164977437</v>
      </c>
      <c r="BF677" t="str">
        <f>T("N121582")</f>
        <v>N121582</v>
      </c>
      <c r="BG677" t="str">
        <f>T("로맨스 e북 &gt; 현대물")</f>
        <v>로맨스 e북 &gt; 현대물</v>
      </c>
      <c r="BH677" t="str">
        <f>T("로맨스 e북 &gt; 19+")</f>
        <v>로맨스 e북 &gt; 19+</v>
      </c>
    </row>
    <row r="678" spans="1:60">
      <c r="A678" t="s">
        <v>60</v>
      </c>
      <c r="B678" s="1">
        <v>46129</v>
      </c>
      <c r="C678">
        <v>2378009507</v>
      </c>
      <c r="D678">
        <v>2378009508</v>
      </c>
      <c r="E678" t="str">
        <f>T("[e북][체험판] 은밀한 과외시간")</f>
        <v>[e북][체험판] 은밀한 과외시간</v>
      </c>
      <c r="F678">
        <v>1</v>
      </c>
      <c r="G678" t="str">
        <f>T("김유일")</f>
        <v>김유일</v>
      </c>
      <c r="J678" t="str">
        <f>T("하트퀸")</f>
        <v>하트퀸</v>
      </c>
      <c r="K678" t="str">
        <f>T("[e북]은밀한 과외시간")</f>
        <v>[e북]은밀한 과외시간</v>
      </c>
      <c r="L678">
        <v>0</v>
      </c>
      <c r="M678">
        <v>0</v>
      </c>
      <c r="N678">
        <v>0</v>
      </c>
      <c r="O678">
        <v>1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1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S678">
        <v>0</v>
      </c>
      <c r="AT678">
        <v>0</v>
      </c>
      <c r="AV678">
        <v>0</v>
      </c>
      <c r="AW678">
        <v>0</v>
      </c>
      <c r="AY678">
        <v>0</v>
      </c>
      <c r="AZ678">
        <v>0</v>
      </c>
      <c r="BA678">
        <v>0</v>
      </c>
      <c r="BC678" t="str">
        <f>T("0000000000000")</f>
        <v>0000000000000</v>
      </c>
      <c r="BE678" t="str">
        <f>T("9791164972081")</f>
        <v>9791164972081</v>
      </c>
      <c r="BF678" t="str">
        <f>T("E448047")</f>
        <v>E448047</v>
      </c>
      <c r="BG678" t="str">
        <f>T("로맨스 e북 &gt; 현대물")</f>
        <v>로맨스 e북 &gt; 현대물</v>
      </c>
      <c r="BH678" t="str">
        <f>T("로맨스 e북 &gt; 19+")</f>
        <v>로맨스 e북 &gt; 19+</v>
      </c>
    </row>
    <row r="679" spans="1:60">
      <c r="A679" t="s">
        <v>60</v>
      </c>
      <c r="B679" s="1">
        <v>46130</v>
      </c>
      <c r="C679">
        <v>2378009507</v>
      </c>
      <c r="D679">
        <v>2378009508</v>
      </c>
      <c r="E679" t="str">
        <f>T("[e북][체험판] 은밀한 과외시간")</f>
        <v>[e북][체험판] 은밀한 과외시간</v>
      </c>
      <c r="F679">
        <v>1</v>
      </c>
      <c r="G679" t="str">
        <f>T("김유일")</f>
        <v>김유일</v>
      </c>
      <c r="J679" t="str">
        <f>T("하트퀸")</f>
        <v>하트퀸</v>
      </c>
      <c r="K679" t="str">
        <f>T("[e북]은밀한 과외시간")</f>
        <v>[e북]은밀한 과외시간</v>
      </c>
      <c r="L679">
        <v>0</v>
      </c>
      <c r="M679">
        <v>0</v>
      </c>
      <c r="N679">
        <v>0</v>
      </c>
      <c r="O679">
        <v>2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0</v>
      </c>
      <c r="AH679">
        <v>0</v>
      </c>
      <c r="AI679">
        <v>0</v>
      </c>
      <c r="AJ679">
        <v>2</v>
      </c>
      <c r="AK679">
        <v>0</v>
      </c>
      <c r="AL679">
        <v>0</v>
      </c>
      <c r="AM679">
        <v>0</v>
      </c>
      <c r="AN679">
        <v>0</v>
      </c>
      <c r="AO679">
        <v>0</v>
      </c>
      <c r="AP679">
        <v>0</v>
      </c>
      <c r="AQ679">
        <v>0</v>
      </c>
      <c r="AS679">
        <v>0</v>
      </c>
      <c r="AT679">
        <v>0</v>
      </c>
      <c r="AV679">
        <v>0</v>
      </c>
      <c r="AW679">
        <v>0</v>
      </c>
      <c r="AY679">
        <v>0</v>
      </c>
      <c r="AZ679">
        <v>0</v>
      </c>
      <c r="BA679">
        <v>0</v>
      </c>
      <c r="BC679" t="str">
        <f>T("0000000000000")</f>
        <v>0000000000000</v>
      </c>
      <c r="BE679" t="str">
        <f>T("9791164972081")</f>
        <v>9791164972081</v>
      </c>
      <c r="BF679" t="str">
        <f>T("E448047")</f>
        <v>E448047</v>
      </c>
      <c r="BG679" t="str">
        <f>T("로맨스 e북 &gt; 현대물")</f>
        <v>로맨스 e북 &gt; 현대물</v>
      </c>
      <c r="BH679" t="str">
        <f>T("로맨스 e북 &gt; 19+")</f>
        <v>로맨스 e북 &gt; 19+</v>
      </c>
    </row>
    <row r="680" spans="1:60">
      <c r="A680" t="s">
        <v>60</v>
      </c>
      <c r="B680" s="1">
        <v>46131</v>
      </c>
      <c r="C680">
        <v>2378009507</v>
      </c>
      <c r="D680">
        <v>2378009508</v>
      </c>
      <c r="E680" t="str">
        <f>T("[e북][체험판] 은밀한 과외시간")</f>
        <v>[e북][체험판] 은밀한 과외시간</v>
      </c>
      <c r="F680">
        <v>1</v>
      </c>
      <c r="G680" t="str">
        <f>T("김유일")</f>
        <v>김유일</v>
      </c>
      <c r="J680" t="str">
        <f>T("하트퀸")</f>
        <v>하트퀸</v>
      </c>
      <c r="K680" t="str">
        <f>T("[e북]은밀한 과외시간")</f>
        <v>[e북]은밀한 과외시간</v>
      </c>
      <c r="L680">
        <v>0</v>
      </c>
      <c r="M680">
        <v>0</v>
      </c>
      <c r="N680">
        <v>0</v>
      </c>
      <c r="O680">
        <v>1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1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S680">
        <v>0</v>
      </c>
      <c r="AT680">
        <v>0</v>
      </c>
      <c r="AV680">
        <v>0</v>
      </c>
      <c r="AW680">
        <v>0</v>
      </c>
      <c r="AY680">
        <v>0</v>
      </c>
      <c r="AZ680">
        <v>0</v>
      </c>
      <c r="BA680">
        <v>0</v>
      </c>
      <c r="BC680" t="str">
        <f>T("0000000000000")</f>
        <v>0000000000000</v>
      </c>
      <c r="BE680" t="str">
        <f>T("9791164972081")</f>
        <v>9791164972081</v>
      </c>
      <c r="BF680" t="str">
        <f>T("E448047")</f>
        <v>E448047</v>
      </c>
      <c r="BG680" t="str">
        <f>T("로맨스 e북 &gt; 현대물")</f>
        <v>로맨스 e북 &gt; 현대물</v>
      </c>
      <c r="BH680" t="str">
        <f>T("로맨스 e북 &gt; 19+")</f>
        <v>로맨스 e북 &gt; 19+</v>
      </c>
    </row>
    <row r="681" spans="1:60">
      <c r="A681" t="s">
        <v>60</v>
      </c>
      <c r="B681" s="1">
        <v>46129</v>
      </c>
      <c r="C681">
        <v>2378075416</v>
      </c>
      <c r="D681">
        <v>2378075416</v>
      </c>
      <c r="E681" t="str">
        <f>T("[e북]이 복수 동맹은 사기 결혼으로 시작되었다 (19세 완전판) 1권")</f>
        <v>[e북]이 복수 동맹은 사기 결혼으로 시작되었다 (19세 완전판) 1권</v>
      </c>
      <c r="F681">
        <v>1</v>
      </c>
      <c r="G681" t="str">
        <f>T("유성우")</f>
        <v>유성우</v>
      </c>
      <c r="J681" t="str">
        <f>T("앨리스")</f>
        <v>앨리스</v>
      </c>
      <c r="K681" t="str">
        <f>T("[e북]이 복수 동맹은 사기 결혼으로 시작되었다 (19세 완전판)")</f>
        <v>[e북]이 복수 동맹은 사기 결혼으로 시작되었다 (19세 완전판)</v>
      </c>
      <c r="L681">
        <v>3400</v>
      </c>
      <c r="M681">
        <v>3400</v>
      </c>
      <c r="N681">
        <v>1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3400</v>
      </c>
      <c r="AJ681">
        <v>1</v>
      </c>
      <c r="AK681">
        <v>0</v>
      </c>
      <c r="AL681">
        <v>0</v>
      </c>
      <c r="AM681">
        <v>3400</v>
      </c>
      <c r="AN681">
        <v>0</v>
      </c>
      <c r="AO681">
        <v>0</v>
      </c>
      <c r="AP681">
        <v>0</v>
      </c>
      <c r="AQ681">
        <v>0</v>
      </c>
      <c r="AS681">
        <v>0</v>
      </c>
      <c r="AT681">
        <v>0</v>
      </c>
      <c r="AV681">
        <v>0</v>
      </c>
      <c r="AW681">
        <v>0</v>
      </c>
      <c r="AY681">
        <v>0</v>
      </c>
      <c r="AZ681">
        <v>0</v>
      </c>
      <c r="BA681">
        <v>2380</v>
      </c>
      <c r="BE681" t="str">
        <f>T("9791189360481")</f>
        <v>9791189360481</v>
      </c>
      <c r="BF681" t="str">
        <f>T("D013667")</f>
        <v>D013667</v>
      </c>
      <c r="BG681" t="str">
        <f>T("로판 e북 &gt; 서양풍 로판")</f>
        <v>로판 e북 &gt; 서양풍 로판</v>
      </c>
    </row>
    <row r="682" spans="1:60">
      <c r="A682" t="s">
        <v>60</v>
      </c>
      <c r="B682" s="1">
        <v>46130</v>
      </c>
      <c r="C682">
        <v>2378075416</v>
      </c>
      <c r="D682">
        <v>2378075417</v>
      </c>
      <c r="E682" t="str">
        <f>T("[e북]이 복수 동맹은 사기 결혼으로 시작되었다 (19세 완전판) 2권")</f>
        <v>[e북]이 복수 동맹은 사기 결혼으로 시작되었다 (19세 완전판) 2권</v>
      </c>
      <c r="F682">
        <v>2</v>
      </c>
      <c r="G682" t="str">
        <f>T("유성우")</f>
        <v>유성우</v>
      </c>
      <c r="J682" t="str">
        <f>T("앨리스")</f>
        <v>앨리스</v>
      </c>
      <c r="K682" t="str">
        <f>T("[e북]이 복수 동맹은 사기 결혼으로 시작되었다 (19세 완전판)")</f>
        <v>[e북]이 복수 동맹은 사기 결혼으로 시작되었다 (19세 완전판)</v>
      </c>
      <c r="L682">
        <v>3400</v>
      </c>
      <c r="M682">
        <v>6800</v>
      </c>
      <c r="N682">
        <v>2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6800</v>
      </c>
      <c r="AJ682">
        <v>2</v>
      </c>
      <c r="AK682">
        <v>0</v>
      </c>
      <c r="AL682">
        <v>0</v>
      </c>
      <c r="AM682">
        <v>6800</v>
      </c>
      <c r="AN682">
        <v>0</v>
      </c>
      <c r="AO682">
        <v>0</v>
      </c>
      <c r="AP682">
        <v>0</v>
      </c>
      <c r="AQ682">
        <v>0</v>
      </c>
      <c r="AS682">
        <v>0</v>
      </c>
      <c r="AT682">
        <v>0</v>
      </c>
      <c r="AV682">
        <v>0</v>
      </c>
      <c r="AW682">
        <v>0</v>
      </c>
      <c r="AY682">
        <v>0</v>
      </c>
      <c r="AZ682">
        <v>0</v>
      </c>
      <c r="BA682">
        <v>4760</v>
      </c>
      <c r="BE682" t="str">
        <f>T("9791189360498")</f>
        <v>9791189360498</v>
      </c>
      <c r="BF682" t="str">
        <f>T("D013668")</f>
        <v>D013668</v>
      </c>
      <c r="BG682" t="str">
        <f>T("로판 e북 &gt; 서양풍 로판")</f>
        <v>로판 e북 &gt; 서양풍 로판</v>
      </c>
    </row>
    <row r="683" spans="1:60">
      <c r="A683" t="s">
        <v>60</v>
      </c>
      <c r="B683" s="1">
        <v>46130</v>
      </c>
      <c r="C683">
        <v>2378075416</v>
      </c>
      <c r="D683">
        <v>2378075418</v>
      </c>
      <c r="E683" t="str">
        <f>T("[e북]이 복수 동맹은 사기 결혼으로 시작되었다 (19세 완전판) 3권")</f>
        <v>[e북]이 복수 동맹은 사기 결혼으로 시작되었다 (19세 완전판) 3권</v>
      </c>
      <c r="F683">
        <v>3</v>
      </c>
      <c r="G683" t="str">
        <f>T("유성우")</f>
        <v>유성우</v>
      </c>
      <c r="J683" t="str">
        <f>T("앨리스")</f>
        <v>앨리스</v>
      </c>
      <c r="K683" t="str">
        <f>T("[e북]이 복수 동맹은 사기 결혼으로 시작되었다 (19세 완전판)")</f>
        <v>[e북]이 복수 동맹은 사기 결혼으로 시작되었다 (19세 완전판)</v>
      </c>
      <c r="L683">
        <v>3400</v>
      </c>
      <c r="M683">
        <v>3400</v>
      </c>
      <c r="N683">
        <v>1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3400</v>
      </c>
      <c r="AJ683">
        <v>1</v>
      </c>
      <c r="AK683">
        <v>0</v>
      </c>
      <c r="AL683">
        <v>0</v>
      </c>
      <c r="AM683">
        <v>3400</v>
      </c>
      <c r="AN683">
        <v>0</v>
      </c>
      <c r="AO683">
        <v>0</v>
      </c>
      <c r="AP683">
        <v>0</v>
      </c>
      <c r="AQ683">
        <v>0</v>
      </c>
      <c r="AS683">
        <v>0</v>
      </c>
      <c r="AT683">
        <v>0</v>
      </c>
      <c r="AV683">
        <v>0</v>
      </c>
      <c r="AW683">
        <v>0</v>
      </c>
      <c r="AY683">
        <v>0</v>
      </c>
      <c r="AZ683">
        <v>0</v>
      </c>
      <c r="BA683">
        <v>2380</v>
      </c>
      <c r="BE683" t="str">
        <f>T("9791189360504")</f>
        <v>9791189360504</v>
      </c>
      <c r="BF683" t="str">
        <f>T("D013669")</f>
        <v>D013669</v>
      </c>
      <c r="BG683" t="str">
        <f>T("로판 e북 &gt; 서양풍 로판")</f>
        <v>로판 e북 &gt; 서양풍 로판</v>
      </c>
    </row>
    <row r="684" spans="1:60">
      <c r="A684" t="s">
        <v>60</v>
      </c>
      <c r="B684" s="1">
        <v>46130</v>
      </c>
      <c r="C684">
        <v>2378075416</v>
      </c>
      <c r="D684">
        <v>2378075419</v>
      </c>
      <c r="E684" t="str">
        <f>T("[e북]이 복수 동맹은 사기 결혼으로 시작되었다 (19세 완전판) 4권")</f>
        <v>[e북]이 복수 동맹은 사기 결혼으로 시작되었다 (19세 완전판) 4권</v>
      </c>
      <c r="F684">
        <v>4</v>
      </c>
      <c r="G684" t="str">
        <f>T("유성우")</f>
        <v>유성우</v>
      </c>
      <c r="J684" t="str">
        <f>T("앨리스")</f>
        <v>앨리스</v>
      </c>
      <c r="K684" t="str">
        <f>T("[e북]이 복수 동맹은 사기 결혼으로 시작되었다 (19세 완전판)")</f>
        <v>[e북]이 복수 동맹은 사기 결혼으로 시작되었다 (19세 완전판)</v>
      </c>
      <c r="L684">
        <v>3400</v>
      </c>
      <c r="M684">
        <v>3400</v>
      </c>
      <c r="N684">
        <v>1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3400</v>
      </c>
      <c r="AJ684">
        <v>1</v>
      </c>
      <c r="AK684">
        <v>0</v>
      </c>
      <c r="AL684">
        <v>0</v>
      </c>
      <c r="AM684">
        <v>3400</v>
      </c>
      <c r="AN684">
        <v>0</v>
      </c>
      <c r="AO684">
        <v>0</v>
      </c>
      <c r="AP684">
        <v>0</v>
      </c>
      <c r="AQ684">
        <v>0</v>
      </c>
      <c r="AS684">
        <v>0</v>
      </c>
      <c r="AT684">
        <v>0</v>
      </c>
      <c r="AV684">
        <v>0</v>
      </c>
      <c r="AW684">
        <v>0</v>
      </c>
      <c r="AY684">
        <v>0</v>
      </c>
      <c r="AZ684">
        <v>0</v>
      </c>
      <c r="BA684">
        <v>2380</v>
      </c>
      <c r="BE684" t="str">
        <f>T("9791189360511")</f>
        <v>9791189360511</v>
      </c>
      <c r="BF684" t="str">
        <f>T("D013670")</f>
        <v>D013670</v>
      </c>
      <c r="BG684" t="str">
        <f>T("로판 e북 &gt; 서양풍 로판")</f>
        <v>로판 e북 &gt; 서양풍 로판</v>
      </c>
    </row>
    <row r="685" spans="1:60">
      <c r="A685" t="s">
        <v>60</v>
      </c>
      <c r="B685" s="1">
        <v>46130</v>
      </c>
      <c r="C685">
        <v>2378075416</v>
      </c>
      <c r="D685">
        <v>2378075420</v>
      </c>
      <c r="E685" t="str">
        <f>T("[e북]이 복수 동맹은 사기 결혼으로 시작되었다 (19세 완전판) 5권")</f>
        <v>[e북]이 복수 동맹은 사기 결혼으로 시작되었다 (19세 완전판) 5권</v>
      </c>
      <c r="F685">
        <v>5</v>
      </c>
      <c r="G685" t="str">
        <f>T("유성우")</f>
        <v>유성우</v>
      </c>
      <c r="J685" t="str">
        <f>T("앨리스")</f>
        <v>앨리스</v>
      </c>
      <c r="K685" t="str">
        <f>T("[e북]이 복수 동맹은 사기 결혼으로 시작되었다 (19세 완전판)")</f>
        <v>[e북]이 복수 동맹은 사기 결혼으로 시작되었다 (19세 완전판)</v>
      </c>
      <c r="L685">
        <v>3400</v>
      </c>
      <c r="M685">
        <v>3400</v>
      </c>
      <c r="N685">
        <v>1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3400</v>
      </c>
      <c r="AJ685">
        <v>1</v>
      </c>
      <c r="AK685">
        <v>0</v>
      </c>
      <c r="AL685">
        <v>0</v>
      </c>
      <c r="AM685">
        <v>3400</v>
      </c>
      <c r="AN685">
        <v>0</v>
      </c>
      <c r="AO685">
        <v>0</v>
      </c>
      <c r="AP685">
        <v>0</v>
      </c>
      <c r="AQ685">
        <v>0</v>
      </c>
      <c r="AS685">
        <v>0</v>
      </c>
      <c r="AT685">
        <v>0</v>
      </c>
      <c r="AV685">
        <v>0</v>
      </c>
      <c r="AW685">
        <v>0</v>
      </c>
      <c r="AY685">
        <v>0</v>
      </c>
      <c r="AZ685">
        <v>0</v>
      </c>
      <c r="BA685">
        <v>2380</v>
      </c>
      <c r="BE685" t="str">
        <f>T("9791189360528")</f>
        <v>9791189360528</v>
      </c>
      <c r="BF685" t="str">
        <f>T("D013671")</f>
        <v>D013671</v>
      </c>
      <c r="BG685" t="str">
        <f>T("로판 e북 &gt; 서양풍 로판")</f>
        <v>로판 e북 &gt; 서양풍 로판</v>
      </c>
    </row>
    <row r="686" spans="1:60">
      <c r="A686" t="s">
        <v>60</v>
      </c>
      <c r="B686" s="1">
        <v>46130</v>
      </c>
      <c r="C686">
        <v>2378075416</v>
      </c>
      <c r="D686">
        <v>2378075421</v>
      </c>
      <c r="E686" t="str">
        <f>T("[e북]이 복수 동맹은 사기 결혼으로 시작되었다 (19세 완전판) 6권")</f>
        <v>[e북]이 복수 동맹은 사기 결혼으로 시작되었다 (19세 완전판) 6권</v>
      </c>
      <c r="F686">
        <v>6</v>
      </c>
      <c r="G686" t="str">
        <f>T("유성우")</f>
        <v>유성우</v>
      </c>
      <c r="J686" t="str">
        <f>T("앨리스")</f>
        <v>앨리스</v>
      </c>
      <c r="K686" t="str">
        <f>T("[e북]이 복수 동맹은 사기 결혼으로 시작되었다 (19세 완전판)")</f>
        <v>[e북]이 복수 동맹은 사기 결혼으로 시작되었다 (19세 완전판)</v>
      </c>
      <c r="L686">
        <v>3400</v>
      </c>
      <c r="M686">
        <v>3400</v>
      </c>
      <c r="N686">
        <v>1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3400</v>
      </c>
      <c r="AJ686">
        <v>1</v>
      </c>
      <c r="AK686">
        <v>0</v>
      </c>
      <c r="AL686">
        <v>0</v>
      </c>
      <c r="AM686">
        <v>3400</v>
      </c>
      <c r="AN686">
        <v>0</v>
      </c>
      <c r="AO686">
        <v>0</v>
      </c>
      <c r="AP686">
        <v>0</v>
      </c>
      <c r="AQ686">
        <v>0</v>
      </c>
      <c r="AS686">
        <v>0</v>
      </c>
      <c r="AT686">
        <v>0</v>
      </c>
      <c r="AV686">
        <v>0</v>
      </c>
      <c r="AW686">
        <v>0</v>
      </c>
      <c r="AY686">
        <v>0</v>
      </c>
      <c r="AZ686">
        <v>0</v>
      </c>
      <c r="BA686">
        <v>2380</v>
      </c>
      <c r="BE686" t="str">
        <f>T("9791189360535")</f>
        <v>9791189360535</v>
      </c>
      <c r="BF686" t="str">
        <f>T("D013672")</f>
        <v>D013672</v>
      </c>
      <c r="BG686" t="str">
        <f>T("로판 e북 &gt; 서양풍 로판")</f>
        <v>로판 e북 &gt; 서양풍 로판</v>
      </c>
    </row>
    <row r="687" spans="1:60">
      <c r="A687" t="s">
        <v>60</v>
      </c>
      <c r="B687" s="1">
        <v>46130</v>
      </c>
      <c r="C687">
        <v>2378075416</v>
      </c>
      <c r="D687">
        <v>2378075422</v>
      </c>
      <c r="E687" t="str">
        <f>T("[e북]이 복수 동맹은 사기 결혼으로 시작되었다 (19세 완전판) 7권")</f>
        <v>[e북]이 복수 동맹은 사기 결혼으로 시작되었다 (19세 완전판) 7권</v>
      </c>
      <c r="F687">
        <v>7</v>
      </c>
      <c r="G687" t="str">
        <f>T("유성우")</f>
        <v>유성우</v>
      </c>
      <c r="J687" t="str">
        <f>T("앨리스")</f>
        <v>앨리스</v>
      </c>
      <c r="K687" t="str">
        <f>T("[e북]이 복수 동맹은 사기 결혼으로 시작되었다 (19세 완전판)")</f>
        <v>[e북]이 복수 동맹은 사기 결혼으로 시작되었다 (19세 완전판)</v>
      </c>
      <c r="L687">
        <v>3400</v>
      </c>
      <c r="M687">
        <v>3400</v>
      </c>
      <c r="N687">
        <v>1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3400</v>
      </c>
      <c r="AJ687">
        <v>1</v>
      </c>
      <c r="AK687">
        <v>0</v>
      </c>
      <c r="AL687">
        <v>0</v>
      </c>
      <c r="AM687">
        <v>3400</v>
      </c>
      <c r="AN687">
        <v>0</v>
      </c>
      <c r="AO687">
        <v>0</v>
      </c>
      <c r="AP687">
        <v>0</v>
      </c>
      <c r="AQ687">
        <v>0</v>
      </c>
      <c r="AS687">
        <v>0</v>
      </c>
      <c r="AT687">
        <v>0</v>
      </c>
      <c r="AV687">
        <v>0</v>
      </c>
      <c r="AW687">
        <v>0</v>
      </c>
      <c r="AY687">
        <v>0</v>
      </c>
      <c r="AZ687">
        <v>0</v>
      </c>
      <c r="BA687">
        <v>2380</v>
      </c>
      <c r="BE687" t="str">
        <f>T("9791189360542")</f>
        <v>9791189360542</v>
      </c>
      <c r="BF687" t="str">
        <f>T("D013673")</f>
        <v>D013673</v>
      </c>
      <c r="BG687" t="str">
        <f>T("로판 e북 &gt; 서양풍 로판")</f>
        <v>로판 e북 &gt; 서양풍 로판</v>
      </c>
    </row>
    <row r="688" spans="1:60">
      <c r="A688" t="s">
        <v>60</v>
      </c>
      <c r="B688" s="1">
        <v>46130</v>
      </c>
      <c r="C688">
        <v>2378075416</v>
      </c>
      <c r="D688">
        <v>2378075423</v>
      </c>
      <c r="E688" t="str">
        <f>T("[e북]이 복수 동맹은 사기 결혼으로 시작되었다 (19세 완전판) 8권 (완결)")</f>
        <v>[e북]이 복수 동맹은 사기 결혼으로 시작되었다 (19세 완전판) 8권 (완결)</v>
      </c>
      <c r="F688">
        <v>8</v>
      </c>
      <c r="G688" t="str">
        <f>T("유성우")</f>
        <v>유성우</v>
      </c>
      <c r="J688" t="str">
        <f>T("앨리스")</f>
        <v>앨리스</v>
      </c>
      <c r="K688" t="str">
        <f>T("[e북]이 복수 동맹은 사기 결혼으로 시작되었다 (19세 완전판)")</f>
        <v>[e북]이 복수 동맹은 사기 결혼으로 시작되었다 (19세 완전판)</v>
      </c>
      <c r="L688">
        <v>3400</v>
      </c>
      <c r="M688">
        <v>3400</v>
      </c>
      <c r="N688">
        <v>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3400</v>
      </c>
      <c r="AJ688">
        <v>1</v>
      </c>
      <c r="AK688">
        <v>0</v>
      </c>
      <c r="AL688">
        <v>0</v>
      </c>
      <c r="AM688">
        <v>3400</v>
      </c>
      <c r="AN688">
        <v>0</v>
      </c>
      <c r="AO688">
        <v>0</v>
      </c>
      <c r="AP688">
        <v>0</v>
      </c>
      <c r="AQ688">
        <v>0</v>
      </c>
      <c r="AS688">
        <v>0</v>
      </c>
      <c r="AT688">
        <v>0</v>
      </c>
      <c r="AV688">
        <v>0</v>
      </c>
      <c r="AW688">
        <v>0</v>
      </c>
      <c r="AY688">
        <v>0</v>
      </c>
      <c r="AZ688">
        <v>0</v>
      </c>
      <c r="BA688">
        <v>2380</v>
      </c>
      <c r="BE688" t="str">
        <f>T("9791189360559")</f>
        <v>9791189360559</v>
      </c>
      <c r="BF688" t="str">
        <f>T("D013674")</f>
        <v>D013674</v>
      </c>
      <c r="BG688" t="str">
        <f>T("로판 e북 &gt; 서양풍 로판")</f>
        <v>로판 e북 &gt; 서양풍 로판</v>
      </c>
    </row>
    <row r="689" spans="1:59">
      <c r="A689" t="s">
        <v>60</v>
      </c>
      <c r="B689" s="1">
        <v>46131</v>
      </c>
      <c r="C689">
        <v>2378075416</v>
      </c>
      <c r="D689">
        <v>2378075416</v>
      </c>
      <c r="E689" t="str">
        <f>T("[e북]이 복수 동맹은 사기 결혼으로 시작되었다 (19세 완전판) 1권")</f>
        <v>[e북]이 복수 동맹은 사기 결혼으로 시작되었다 (19세 완전판) 1권</v>
      </c>
      <c r="F689">
        <v>1</v>
      </c>
      <c r="G689" t="str">
        <f>T("유성우")</f>
        <v>유성우</v>
      </c>
      <c r="J689" t="str">
        <f>T("앨리스")</f>
        <v>앨리스</v>
      </c>
      <c r="K689" t="str">
        <f>T("[e북]이 복수 동맹은 사기 결혼으로 시작되었다 (19세 완전판)")</f>
        <v>[e북]이 복수 동맹은 사기 결혼으로 시작되었다 (19세 완전판)</v>
      </c>
      <c r="L689">
        <v>3400</v>
      </c>
      <c r="M689">
        <v>3400</v>
      </c>
      <c r="N689">
        <v>1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3400</v>
      </c>
      <c r="AJ689">
        <v>1</v>
      </c>
      <c r="AK689">
        <v>0</v>
      </c>
      <c r="AL689">
        <v>0</v>
      </c>
      <c r="AM689">
        <v>3400</v>
      </c>
      <c r="AN689">
        <v>0</v>
      </c>
      <c r="AO689">
        <v>0</v>
      </c>
      <c r="AP689">
        <v>0</v>
      </c>
      <c r="AQ689">
        <v>0</v>
      </c>
      <c r="AS689">
        <v>0</v>
      </c>
      <c r="AT689">
        <v>0</v>
      </c>
      <c r="AV689">
        <v>0</v>
      </c>
      <c r="AW689">
        <v>0</v>
      </c>
      <c r="AY689">
        <v>0</v>
      </c>
      <c r="AZ689">
        <v>0</v>
      </c>
      <c r="BA689">
        <v>2380</v>
      </c>
      <c r="BE689" t="str">
        <f>T("9791189360481")</f>
        <v>9791189360481</v>
      </c>
      <c r="BF689" t="str">
        <f>T("D013667")</f>
        <v>D013667</v>
      </c>
      <c r="BG689" t="str">
        <f>T("로판 e북 &gt; 서양풍 로판")</f>
        <v>로판 e북 &gt; 서양풍 로판</v>
      </c>
    </row>
    <row r="690" spans="1:59">
      <c r="A690" t="s">
        <v>60</v>
      </c>
      <c r="B690" s="1">
        <v>46131</v>
      </c>
      <c r="C690">
        <v>2378075416</v>
      </c>
      <c r="D690">
        <v>2378075417</v>
      </c>
      <c r="E690" t="str">
        <f>T("[e북]이 복수 동맹은 사기 결혼으로 시작되었다 (19세 완전판) 2권")</f>
        <v>[e북]이 복수 동맹은 사기 결혼으로 시작되었다 (19세 완전판) 2권</v>
      </c>
      <c r="F690">
        <v>2</v>
      </c>
      <c r="G690" t="str">
        <f>T("유성우")</f>
        <v>유성우</v>
      </c>
      <c r="J690" t="str">
        <f>T("앨리스")</f>
        <v>앨리스</v>
      </c>
      <c r="K690" t="str">
        <f>T("[e북]이 복수 동맹은 사기 결혼으로 시작되었다 (19세 완전판)")</f>
        <v>[e북]이 복수 동맹은 사기 결혼으로 시작되었다 (19세 완전판)</v>
      </c>
      <c r="L690">
        <v>3400</v>
      </c>
      <c r="M690">
        <v>3400</v>
      </c>
      <c r="N690">
        <v>1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3400</v>
      </c>
      <c r="AJ690">
        <v>1</v>
      </c>
      <c r="AK690">
        <v>0</v>
      </c>
      <c r="AL690">
        <v>0</v>
      </c>
      <c r="AM690">
        <v>3400</v>
      </c>
      <c r="AN690">
        <v>0</v>
      </c>
      <c r="AO690">
        <v>0</v>
      </c>
      <c r="AP690">
        <v>0</v>
      </c>
      <c r="AQ690">
        <v>0</v>
      </c>
      <c r="AS690">
        <v>0</v>
      </c>
      <c r="AT690">
        <v>0</v>
      </c>
      <c r="AV690">
        <v>0</v>
      </c>
      <c r="AW690">
        <v>0</v>
      </c>
      <c r="AY690">
        <v>0</v>
      </c>
      <c r="AZ690">
        <v>0</v>
      </c>
      <c r="BA690">
        <v>2380</v>
      </c>
      <c r="BE690" t="str">
        <f>T("9791189360498")</f>
        <v>9791189360498</v>
      </c>
      <c r="BF690" t="str">
        <f>T("D013668")</f>
        <v>D013668</v>
      </c>
      <c r="BG690" t="str">
        <f>T("로판 e북 &gt; 서양풍 로판")</f>
        <v>로판 e북 &gt; 서양풍 로판</v>
      </c>
    </row>
    <row r="691" spans="1:59">
      <c r="A691" t="s">
        <v>60</v>
      </c>
      <c r="B691" s="1">
        <v>46131</v>
      </c>
      <c r="C691">
        <v>2378075416</v>
      </c>
      <c r="D691">
        <v>2378075418</v>
      </c>
      <c r="E691" t="str">
        <f>T("[e북]이 복수 동맹은 사기 결혼으로 시작되었다 (19세 완전판) 3권")</f>
        <v>[e북]이 복수 동맹은 사기 결혼으로 시작되었다 (19세 완전판) 3권</v>
      </c>
      <c r="F691">
        <v>3</v>
      </c>
      <c r="G691" t="str">
        <f>T("유성우")</f>
        <v>유성우</v>
      </c>
      <c r="J691" t="str">
        <f>T("앨리스")</f>
        <v>앨리스</v>
      </c>
      <c r="K691" t="str">
        <f>T("[e북]이 복수 동맹은 사기 결혼으로 시작되었다 (19세 완전판)")</f>
        <v>[e북]이 복수 동맹은 사기 결혼으로 시작되었다 (19세 완전판)</v>
      </c>
      <c r="L691">
        <v>3400</v>
      </c>
      <c r="M691">
        <v>3400</v>
      </c>
      <c r="N691">
        <v>1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3400</v>
      </c>
      <c r="AJ691">
        <v>1</v>
      </c>
      <c r="AK691">
        <v>0</v>
      </c>
      <c r="AL691">
        <v>0</v>
      </c>
      <c r="AM691">
        <v>3400</v>
      </c>
      <c r="AN691">
        <v>0</v>
      </c>
      <c r="AO691">
        <v>0</v>
      </c>
      <c r="AP691">
        <v>0</v>
      </c>
      <c r="AQ691">
        <v>0</v>
      </c>
      <c r="AS691">
        <v>0</v>
      </c>
      <c r="AT691">
        <v>0</v>
      </c>
      <c r="AV691">
        <v>0</v>
      </c>
      <c r="AW691">
        <v>0</v>
      </c>
      <c r="AY691">
        <v>0</v>
      </c>
      <c r="AZ691">
        <v>0</v>
      </c>
      <c r="BA691">
        <v>2380</v>
      </c>
      <c r="BE691" t="str">
        <f>T("9791189360504")</f>
        <v>9791189360504</v>
      </c>
      <c r="BF691" t="str">
        <f>T("D013669")</f>
        <v>D013669</v>
      </c>
      <c r="BG691" t="str">
        <f>T("로판 e북 &gt; 서양풍 로판")</f>
        <v>로판 e북 &gt; 서양풍 로판</v>
      </c>
    </row>
    <row r="692" spans="1:59">
      <c r="A692" t="s">
        <v>60</v>
      </c>
      <c r="B692" s="1">
        <v>46131</v>
      </c>
      <c r="C692">
        <v>2378075416</v>
      </c>
      <c r="D692">
        <v>2378075419</v>
      </c>
      <c r="E692" t="str">
        <f>T("[e북]이 복수 동맹은 사기 결혼으로 시작되었다 (19세 완전판) 4권")</f>
        <v>[e북]이 복수 동맹은 사기 결혼으로 시작되었다 (19세 완전판) 4권</v>
      </c>
      <c r="F692">
        <v>4</v>
      </c>
      <c r="G692" t="str">
        <f>T("유성우")</f>
        <v>유성우</v>
      </c>
      <c r="J692" t="str">
        <f>T("앨리스")</f>
        <v>앨리스</v>
      </c>
      <c r="K692" t="str">
        <f>T("[e북]이 복수 동맹은 사기 결혼으로 시작되었다 (19세 완전판)")</f>
        <v>[e북]이 복수 동맹은 사기 결혼으로 시작되었다 (19세 완전판)</v>
      </c>
      <c r="L692">
        <v>3400</v>
      </c>
      <c r="M692">
        <v>3400</v>
      </c>
      <c r="N692">
        <v>1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3400</v>
      </c>
      <c r="AJ692">
        <v>1</v>
      </c>
      <c r="AK692">
        <v>0</v>
      </c>
      <c r="AL692">
        <v>0</v>
      </c>
      <c r="AM692">
        <v>3400</v>
      </c>
      <c r="AN692">
        <v>0</v>
      </c>
      <c r="AO692">
        <v>0</v>
      </c>
      <c r="AP692">
        <v>0</v>
      </c>
      <c r="AQ692">
        <v>0</v>
      </c>
      <c r="AS692">
        <v>0</v>
      </c>
      <c r="AT692">
        <v>0</v>
      </c>
      <c r="AV692">
        <v>0</v>
      </c>
      <c r="AW692">
        <v>0</v>
      </c>
      <c r="AY692">
        <v>0</v>
      </c>
      <c r="AZ692">
        <v>0</v>
      </c>
      <c r="BA692">
        <v>2380</v>
      </c>
      <c r="BE692" t="str">
        <f>T("9791189360511")</f>
        <v>9791189360511</v>
      </c>
      <c r="BF692" t="str">
        <f>T("D013670")</f>
        <v>D013670</v>
      </c>
      <c r="BG692" t="str">
        <f>T("로판 e북 &gt; 서양풍 로판")</f>
        <v>로판 e북 &gt; 서양풍 로판</v>
      </c>
    </row>
    <row r="693" spans="1:59">
      <c r="A693" t="s">
        <v>60</v>
      </c>
      <c r="B693" s="1">
        <v>46131</v>
      </c>
      <c r="C693">
        <v>2378075416</v>
      </c>
      <c r="D693">
        <v>2378075420</v>
      </c>
      <c r="E693" t="str">
        <f>T("[e북]이 복수 동맹은 사기 결혼으로 시작되었다 (19세 완전판) 5권")</f>
        <v>[e북]이 복수 동맹은 사기 결혼으로 시작되었다 (19세 완전판) 5권</v>
      </c>
      <c r="F693">
        <v>5</v>
      </c>
      <c r="G693" t="str">
        <f>T("유성우")</f>
        <v>유성우</v>
      </c>
      <c r="J693" t="str">
        <f>T("앨리스")</f>
        <v>앨리스</v>
      </c>
      <c r="K693" t="str">
        <f>T("[e북]이 복수 동맹은 사기 결혼으로 시작되었다 (19세 완전판)")</f>
        <v>[e북]이 복수 동맹은 사기 결혼으로 시작되었다 (19세 완전판)</v>
      </c>
      <c r="L693">
        <v>3400</v>
      </c>
      <c r="M693">
        <v>3400</v>
      </c>
      <c r="N693">
        <v>1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3400</v>
      </c>
      <c r="AJ693">
        <v>1</v>
      </c>
      <c r="AK693">
        <v>0</v>
      </c>
      <c r="AL693">
        <v>0</v>
      </c>
      <c r="AM693">
        <v>3400</v>
      </c>
      <c r="AN693">
        <v>0</v>
      </c>
      <c r="AO693">
        <v>0</v>
      </c>
      <c r="AP693">
        <v>0</v>
      </c>
      <c r="AQ693">
        <v>0</v>
      </c>
      <c r="AS693">
        <v>0</v>
      </c>
      <c r="AT693">
        <v>0</v>
      </c>
      <c r="AV693">
        <v>0</v>
      </c>
      <c r="AW693">
        <v>0</v>
      </c>
      <c r="AY693">
        <v>0</v>
      </c>
      <c r="AZ693">
        <v>0</v>
      </c>
      <c r="BA693">
        <v>2380</v>
      </c>
      <c r="BE693" t="str">
        <f>T("9791189360528")</f>
        <v>9791189360528</v>
      </c>
      <c r="BF693" t="str">
        <f>T("D013671")</f>
        <v>D013671</v>
      </c>
      <c r="BG693" t="str">
        <f>T("로판 e북 &gt; 서양풍 로판")</f>
        <v>로판 e북 &gt; 서양풍 로판</v>
      </c>
    </row>
    <row r="694" spans="1:59">
      <c r="A694" t="s">
        <v>60</v>
      </c>
      <c r="B694" s="1">
        <v>46131</v>
      </c>
      <c r="C694">
        <v>2378075416</v>
      </c>
      <c r="D694">
        <v>2378075421</v>
      </c>
      <c r="E694" t="str">
        <f>T("[e북]이 복수 동맹은 사기 결혼으로 시작되었다 (19세 완전판) 6권")</f>
        <v>[e북]이 복수 동맹은 사기 결혼으로 시작되었다 (19세 완전판) 6권</v>
      </c>
      <c r="F694">
        <v>6</v>
      </c>
      <c r="G694" t="str">
        <f>T("유성우")</f>
        <v>유성우</v>
      </c>
      <c r="J694" t="str">
        <f>T("앨리스")</f>
        <v>앨리스</v>
      </c>
      <c r="K694" t="str">
        <f>T("[e북]이 복수 동맹은 사기 결혼으로 시작되었다 (19세 완전판)")</f>
        <v>[e북]이 복수 동맹은 사기 결혼으로 시작되었다 (19세 완전판)</v>
      </c>
      <c r="L694">
        <v>3400</v>
      </c>
      <c r="M694">
        <v>3400</v>
      </c>
      <c r="N694">
        <v>1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3400</v>
      </c>
      <c r="AJ694">
        <v>1</v>
      </c>
      <c r="AK694">
        <v>0</v>
      </c>
      <c r="AL694">
        <v>0</v>
      </c>
      <c r="AM694">
        <v>3400</v>
      </c>
      <c r="AN694">
        <v>0</v>
      </c>
      <c r="AO694">
        <v>0</v>
      </c>
      <c r="AP694">
        <v>0</v>
      </c>
      <c r="AQ694">
        <v>0</v>
      </c>
      <c r="AS694">
        <v>0</v>
      </c>
      <c r="AT694">
        <v>0</v>
      </c>
      <c r="AV694">
        <v>0</v>
      </c>
      <c r="AW694">
        <v>0</v>
      </c>
      <c r="AY694">
        <v>0</v>
      </c>
      <c r="AZ694">
        <v>0</v>
      </c>
      <c r="BA694">
        <v>2380</v>
      </c>
      <c r="BE694" t="str">
        <f>T("9791189360535")</f>
        <v>9791189360535</v>
      </c>
      <c r="BF694" t="str">
        <f>T("D013672")</f>
        <v>D013672</v>
      </c>
      <c r="BG694" t="str">
        <f>T("로판 e북 &gt; 서양풍 로판")</f>
        <v>로판 e북 &gt; 서양풍 로판</v>
      </c>
    </row>
    <row r="695" spans="1:59">
      <c r="A695" t="s">
        <v>60</v>
      </c>
      <c r="B695" s="1">
        <v>46131</v>
      </c>
      <c r="C695">
        <v>2378075416</v>
      </c>
      <c r="D695">
        <v>2378075422</v>
      </c>
      <c r="E695" t="str">
        <f>T("[e북]이 복수 동맹은 사기 결혼으로 시작되었다 (19세 완전판) 7권")</f>
        <v>[e북]이 복수 동맹은 사기 결혼으로 시작되었다 (19세 완전판) 7권</v>
      </c>
      <c r="F695">
        <v>7</v>
      </c>
      <c r="G695" t="str">
        <f>T("유성우")</f>
        <v>유성우</v>
      </c>
      <c r="J695" t="str">
        <f>T("앨리스")</f>
        <v>앨리스</v>
      </c>
      <c r="K695" t="str">
        <f>T("[e북]이 복수 동맹은 사기 결혼으로 시작되었다 (19세 완전판)")</f>
        <v>[e북]이 복수 동맹은 사기 결혼으로 시작되었다 (19세 완전판)</v>
      </c>
      <c r="L695">
        <v>3400</v>
      </c>
      <c r="M695">
        <v>3400</v>
      </c>
      <c r="N695">
        <v>1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3400</v>
      </c>
      <c r="AJ695">
        <v>1</v>
      </c>
      <c r="AK695">
        <v>0</v>
      </c>
      <c r="AL695">
        <v>0</v>
      </c>
      <c r="AM695">
        <v>3400</v>
      </c>
      <c r="AN695">
        <v>0</v>
      </c>
      <c r="AO695">
        <v>0</v>
      </c>
      <c r="AP695">
        <v>0</v>
      </c>
      <c r="AQ695">
        <v>0</v>
      </c>
      <c r="AS695">
        <v>0</v>
      </c>
      <c r="AT695">
        <v>0</v>
      </c>
      <c r="AV695">
        <v>0</v>
      </c>
      <c r="AW695">
        <v>0</v>
      </c>
      <c r="AY695">
        <v>0</v>
      </c>
      <c r="AZ695">
        <v>0</v>
      </c>
      <c r="BA695">
        <v>2380</v>
      </c>
      <c r="BE695" t="str">
        <f>T("9791189360542")</f>
        <v>9791189360542</v>
      </c>
      <c r="BF695" t="str">
        <f>T("D013673")</f>
        <v>D013673</v>
      </c>
      <c r="BG695" t="str">
        <f>T("로판 e북 &gt; 서양풍 로판")</f>
        <v>로판 e북 &gt; 서양풍 로판</v>
      </c>
    </row>
    <row r="696" spans="1:59">
      <c r="A696" t="s">
        <v>60</v>
      </c>
      <c r="B696" s="1">
        <v>46131</v>
      </c>
      <c r="C696">
        <v>2378075416</v>
      </c>
      <c r="D696">
        <v>2378075423</v>
      </c>
      <c r="E696" t="str">
        <f>T("[e북]이 복수 동맹은 사기 결혼으로 시작되었다 (19세 완전판) 8권 (완결)")</f>
        <v>[e북]이 복수 동맹은 사기 결혼으로 시작되었다 (19세 완전판) 8권 (완결)</v>
      </c>
      <c r="F696">
        <v>8</v>
      </c>
      <c r="G696" t="str">
        <f>T("유성우")</f>
        <v>유성우</v>
      </c>
      <c r="J696" t="str">
        <f>T("앨리스")</f>
        <v>앨리스</v>
      </c>
      <c r="K696" t="str">
        <f>T("[e북]이 복수 동맹은 사기 결혼으로 시작되었다 (19세 완전판)")</f>
        <v>[e북]이 복수 동맹은 사기 결혼으로 시작되었다 (19세 완전판)</v>
      </c>
      <c r="L696">
        <v>3400</v>
      </c>
      <c r="M696">
        <v>3400</v>
      </c>
      <c r="N696">
        <v>1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3400</v>
      </c>
      <c r="AJ696">
        <v>1</v>
      </c>
      <c r="AK696">
        <v>0</v>
      </c>
      <c r="AL696">
        <v>0</v>
      </c>
      <c r="AM696">
        <v>3400</v>
      </c>
      <c r="AN696">
        <v>0</v>
      </c>
      <c r="AO696">
        <v>0</v>
      </c>
      <c r="AP696">
        <v>0</v>
      </c>
      <c r="AQ696">
        <v>0</v>
      </c>
      <c r="AS696">
        <v>0</v>
      </c>
      <c r="AT696">
        <v>0</v>
      </c>
      <c r="AV696">
        <v>0</v>
      </c>
      <c r="AW696">
        <v>0</v>
      </c>
      <c r="AY696">
        <v>0</v>
      </c>
      <c r="AZ696">
        <v>0</v>
      </c>
      <c r="BA696">
        <v>2380</v>
      </c>
      <c r="BE696" t="str">
        <f>T("9791189360559")</f>
        <v>9791189360559</v>
      </c>
      <c r="BF696" t="str">
        <f>T("D013674")</f>
        <v>D013674</v>
      </c>
      <c r="BG696" t="str">
        <f>T("로판 e북 &gt; 서양풍 로판")</f>
        <v>로판 e북 &gt; 서양풍 로판</v>
      </c>
    </row>
    <row r="697" spans="1:59">
      <c r="A697" t="s">
        <v>60</v>
      </c>
      <c r="B697" s="1">
        <v>46131</v>
      </c>
      <c r="C697">
        <v>2378052390</v>
      </c>
      <c r="D697">
        <v>2378052390</v>
      </c>
      <c r="E697" t="str">
        <f>T("[e북]이세계 광고마스터 1권")</f>
        <v>[e북]이세계 광고마스터 1권</v>
      </c>
      <c r="F697">
        <v>1</v>
      </c>
      <c r="G697" t="str">
        <f>T("청지율")</f>
        <v>청지율</v>
      </c>
      <c r="J697" t="str">
        <f>T("매드햇")</f>
        <v>매드햇</v>
      </c>
      <c r="K697" t="str">
        <f>T("[e북]이세계 광고마스터")</f>
        <v>[e북]이세계 광고마스터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1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0</v>
      </c>
      <c r="AJ697">
        <v>1</v>
      </c>
      <c r="AK697">
        <v>0</v>
      </c>
      <c r="AL697">
        <v>0</v>
      </c>
      <c r="AM697">
        <v>0</v>
      </c>
      <c r="AN697">
        <v>0</v>
      </c>
      <c r="AO697">
        <v>0</v>
      </c>
      <c r="AP697">
        <v>0</v>
      </c>
      <c r="AQ697">
        <v>0</v>
      </c>
      <c r="AS697">
        <v>0</v>
      </c>
      <c r="AT697">
        <v>0</v>
      </c>
      <c r="AV697">
        <v>0</v>
      </c>
      <c r="AW697">
        <v>0</v>
      </c>
      <c r="AY697">
        <v>0</v>
      </c>
      <c r="AZ697">
        <v>0</v>
      </c>
      <c r="BA697">
        <v>0</v>
      </c>
      <c r="BE697" t="str">
        <f>T("9791137016231")</f>
        <v>9791137016231</v>
      </c>
      <c r="BF697" t="str">
        <f>T("k102286")</f>
        <v>k102286</v>
      </c>
      <c r="BG697" t="str">
        <f>T("판타지 e북 &gt; 퓨전 판타지")</f>
        <v>판타지 e북 &gt; 퓨전 판타지</v>
      </c>
    </row>
    <row r="698" spans="1:59">
      <c r="A698" t="s">
        <v>60</v>
      </c>
      <c r="B698" s="1">
        <v>46129</v>
      </c>
      <c r="C698">
        <v>2378055821</v>
      </c>
      <c r="D698">
        <v>2378055821</v>
      </c>
      <c r="E698" t="str">
        <f>T("[e북]이세계에서 방랑하게 된 썰 1권")</f>
        <v>[e북]이세계에서 방랑하게 된 썰 1권</v>
      </c>
      <c r="F698">
        <v>1</v>
      </c>
      <c r="G698" t="str">
        <f>T("무정호")</f>
        <v>무정호</v>
      </c>
      <c r="J698" t="str">
        <f>T("매드햇")</f>
        <v>매드햇</v>
      </c>
      <c r="K698" t="str">
        <f>T("[e북]이세계에서 방랑하게 된 썰")</f>
        <v>[e북]이세계에서 방랑하게 된 썰</v>
      </c>
      <c r="L698">
        <v>0</v>
      </c>
      <c r="M698">
        <v>0</v>
      </c>
      <c r="N698">
        <v>0</v>
      </c>
      <c r="O698">
        <v>1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1</v>
      </c>
      <c r="AK698">
        <v>0</v>
      </c>
      <c r="AL698">
        <v>0</v>
      </c>
      <c r="AM698">
        <v>0</v>
      </c>
      <c r="AN698">
        <v>0</v>
      </c>
      <c r="AO698">
        <v>0</v>
      </c>
      <c r="AP698">
        <v>0</v>
      </c>
      <c r="AQ698">
        <v>0</v>
      </c>
      <c r="AS698">
        <v>0</v>
      </c>
      <c r="AT698">
        <v>0</v>
      </c>
      <c r="AV698">
        <v>0</v>
      </c>
      <c r="AW698">
        <v>0</v>
      </c>
      <c r="AY698">
        <v>0</v>
      </c>
      <c r="AZ698">
        <v>0</v>
      </c>
      <c r="BA698">
        <v>0</v>
      </c>
      <c r="BE698" t="str">
        <f>T("9791137017139")</f>
        <v>9791137017139</v>
      </c>
      <c r="BF698" t="str">
        <f>T("k133519")</f>
        <v>k133519</v>
      </c>
      <c r="BG698" t="str">
        <f>T("판타지 e북 &gt; 퓨전 판타지")</f>
        <v>판타지 e북 &gt; 퓨전 판타지</v>
      </c>
    </row>
    <row r="699" spans="1:59">
      <c r="A699" t="s">
        <v>60</v>
      </c>
      <c r="B699" s="1">
        <v>46129</v>
      </c>
      <c r="C699">
        <v>2378014520</v>
      </c>
      <c r="D699">
        <v>2378014520</v>
      </c>
      <c r="E699" t="str">
        <f>T("[e북]일대군사 1권")</f>
        <v>[e북]일대군사 1권</v>
      </c>
      <c r="F699">
        <v>1</v>
      </c>
      <c r="G699" t="str">
        <f>T("첸뤼")</f>
        <v>첸뤼</v>
      </c>
      <c r="J699" t="str">
        <f>T("시계토끼")</f>
        <v>시계토끼</v>
      </c>
      <c r="K699" t="str">
        <f>T("[e북]일대군사")</f>
        <v>[e북]일대군사</v>
      </c>
      <c r="L699">
        <v>0</v>
      </c>
      <c r="M699">
        <v>0</v>
      </c>
      <c r="N699">
        <v>0</v>
      </c>
      <c r="O699">
        <v>2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2</v>
      </c>
      <c r="AK699">
        <v>0</v>
      </c>
      <c r="AL699">
        <v>0</v>
      </c>
      <c r="AM699">
        <v>0</v>
      </c>
      <c r="AN699">
        <v>0</v>
      </c>
      <c r="AO699">
        <v>0</v>
      </c>
      <c r="AP699">
        <v>0</v>
      </c>
      <c r="AQ699">
        <v>0</v>
      </c>
      <c r="AS699">
        <v>0</v>
      </c>
      <c r="AT699">
        <v>0</v>
      </c>
      <c r="AV699">
        <v>0</v>
      </c>
      <c r="AW699">
        <v>0</v>
      </c>
      <c r="AY699">
        <v>0</v>
      </c>
      <c r="AZ699">
        <v>0</v>
      </c>
      <c r="BA699">
        <v>0</v>
      </c>
      <c r="BE699" t="str">
        <f>T("9791164093144")</f>
        <v>9791164093144</v>
      </c>
      <c r="BF699" t="str">
        <f>T("E710450")</f>
        <v>E710450</v>
      </c>
      <c r="BG699" t="str">
        <f>T("로판 e북 &gt; 해외 소설")</f>
        <v>로판 e북 &gt; 해외 소설</v>
      </c>
    </row>
    <row r="700" spans="1:59">
      <c r="A700" t="s">
        <v>60</v>
      </c>
      <c r="B700" s="1">
        <v>46129</v>
      </c>
      <c r="C700">
        <v>2378014520</v>
      </c>
      <c r="D700">
        <v>2378014521</v>
      </c>
      <c r="E700" t="str">
        <f>T("[e북]일대군사 2권")</f>
        <v>[e북]일대군사 2권</v>
      </c>
      <c r="F700">
        <v>2</v>
      </c>
      <c r="G700" t="str">
        <f>T("첸뤼")</f>
        <v>첸뤼</v>
      </c>
      <c r="J700" t="str">
        <f>T("시계토끼")</f>
        <v>시계토끼</v>
      </c>
      <c r="K700" t="str">
        <f>T("[e북]일대군사")</f>
        <v>[e북]일대군사</v>
      </c>
      <c r="L700">
        <v>2500</v>
      </c>
      <c r="M700">
        <v>2500</v>
      </c>
      <c r="N700">
        <v>1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2500</v>
      </c>
      <c r="AJ700">
        <v>1</v>
      </c>
      <c r="AK700">
        <v>0</v>
      </c>
      <c r="AL700">
        <v>0</v>
      </c>
      <c r="AM700">
        <v>0</v>
      </c>
      <c r="AN700">
        <v>0</v>
      </c>
      <c r="AO700">
        <v>3000</v>
      </c>
      <c r="AP700">
        <v>-300</v>
      </c>
      <c r="AQ700">
        <v>0</v>
      </c>
      <c r="AS700">
        <v>0</v>
      </c>
      <c r="AT700">
        <v>0</v>
      </c>
      <c r="AU700">
        <v>3000</v>
      </c>
      <c r="AV700">
        <v>-300</v>
      </c>
      <c r="AW700">
        <v>0</v>
      </c>
      <c r="AY700">
        <v>0</v>
      </c>
      <c r="AZ700">
        <v>0</v>
      </c>
      <c r="BA700">
        <v>1890</v>
      </c>
      <c r="BE700" t="str">
        <f>T("9791164093151")</f>
        <v>9791164093151</v>
      </c>
      <c r="BF700" t="str">
        <f>T("E710451")</f>
        <v>E710451</v>
      </c>
      <c r="BG700" t="str">
        <f>T("로판 e북 &gt; 해외 소설")</f>
        <v>로판 e북 &gt; 해외 소설</v>
      </c>
    </row>
    <row r="701" spans="1:59">
      <c r="A701" t="s">
        <v>60</v>
      </c>
      <c r="B701" s="1">
        <v>46129</v>
      </c>
      <c r="C701">
        <v>2378014520</v>
      </c>
      <c r="D701">
        <v>2378014522</v>
      </c>
      <c r="E701" t="str">
        <f>T("[e북]일대군사 3권")</f>
        <v>[e북]일대군사 3권</v>
      </c>
      <c r="F701">
        <v>3</v>
      </c>
      <c r="G701" t="str">
        <f>T("첸뤼")</f>
        <v>첸뤼</v>
      </c>
      <c r="J701" t="str">
        <f>T("시계토끼")</f>
        <v>시계토끼</v>
      </c>
      <c r="K701" t="str">
        <f>T("[e북]일대군사")</f>
        <v>[e북]일대군사</v>
      </c>
      <c r="L701">
        <v>2500</v>
      </c>
      <c r="M701">
        <v>2500</v>
      </c>
      <c r="N701">
        <v>1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2500</v>
      </c>
      <c r="AJ701">
        <v>1</v>
      </c>
      <c r="AK701">
        <v>0</v>
      </c>
      <c r="AL701">
        <v>0</v>
      </c>
      <c r="AM701">
        <v>0</v>
      </c>
      <c r="AN701">
        <v>0</v>
      </c>
      <c r="AO701">
        <v>3000</v>
      </c>
      <c r="AP701">
        <v>-300</v>
      </c>
      <c r="AQ701">
        <v>0</v>
      </c>
      <c r="AS701">
        <v>0</v>
      </c>
      <c r="AT701">
        <v>0</v>
      </c>
      <c r="AU701">
        <v>3000</v>
      </c>
      <c r="AV701">
        <v>-300</v>
      </c>
      <c r="AW701">
        <v>0</v>
      </c>
      <c r="AY701">
        <v>0</v>
      </c>
      <c r="AZ701">
        <v>0</v>
      </c>
      <c r="BA701">
        <v>1890</v>
      </c>
      <c r="BE701" t="str">
        <f>T("9791164093168")</f>
        <v>9791164093168</v>
      </c>
      <c r="BF701" t="str">
        <f>T("E710452")</f>
        <v>E710452</v>
      </c>
      <c r="BG701" t="str">
        <f>T("로판 e북 &gt; 해외 소설")</f>
        <v>로판 e북 &gt; 해외 소설</v>
      </c>
    </row>
    <row r="702" spans="1:59">
      <c r="A702" t="s">
        <v>60</v>
      </c>
      <c r="B702" s="1">
        <v>46129</v>
      </c>
      <c r="C702">
        <v>2378014520</v>
      </c>
      <c r="D702">
        <v>2378014523</v>
      </c>
      <c r="E702" t="str">
        <f>T("[e북]일대군사 4권")</f>
        <v>[e북]일대군사 4권</v>
      </c>
      <c r="F702">
        <v>4</v>
      </c>
      <c r="G702" t="str">
        <f>T("첸뤼")</f>
        <v>첸뤼</v>
      </c>
      <c r="J702" t="str">
        <f>T("시계토끼")</f>
        <v>시계토끼</v>
      </c>
      <c r="K702" t="str">
        <f>T("[e북]일대군사")</f>
        <v>[e북]일대군사</v>
      </c>
      <c r="L702">
        <v>2500</v>
      </c>
      <c r="M702">
        <v>2500</v>
      </c>
      <c r="N702">
        <v>1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2500</v>
      </c>
      <c r="AJ702">
        <v>1</v>
      </c>
      <c r="AK702">
        <v>0</v>
      </c>
      <c r="AL702">
        <v>0</v>
      </c>
      <c r="AM702">
        <v>0</v>
      </c>
      <c r="AN702">
        <v>0</v>
      </c>
      <c r="AO702">
        <v>3000</v>
      </c>
      <c r="AP702">
        <v>-300</v>
      </c>
      <c r="AQ702">
        <v>0</v>
      </c>
      <c r="AS702">
        <v>0</v>
      </c>
      <c r="AT702">
        <v>0</v>
      </c>
      <c r="AU702">
        <v>3000</v>
      </c>
      <c r="AV702">
        <v>-300</v>
      </c>
      <c r="AW702">
        <v>0</v>
      </c>
      <c r="AY702">
        <v>0</v>
      </c>
      <c r="AZ702">
        <v>0</v>
      </c>
      <c r="BA702">
        <v>1890</v>
      </c>
      <c r="BE702" t="str">
        <f>T("9791164093175")</f>
        <v>9791164093175</v>
      </c>
      <c r="BF702" t="str">
        <f>T("E710453")</f>
        <v>E710453</v>
      </c>
      <c r="BG702" t="str">
        <f>T("로판 e북 &gt; 해외 소설")</f>
        <v>로판 e북 &gt; 해외 소설</v>
      </c>
    </row>
    <row r="703" spans="1:59">
      <c r="A703" t="s">
        <v>60</v>
      </c>
      <c r="B703" s="1">
        <v>46129</v>
      </c>
      <c r="C703">
        <v>2378014520</v>
      </c>
      <c r="D703">
        <v>2378014524</v>
      </c>
      <c r="E703" t="str">
        <f>T("[e북]일대군사 5권")</f>
        <v>[e북]일대군사 5권</v>
      </c>
      <c r="F703">
        <v>5</v>
      </c>
      <c r="G703" t="str">
        <f>T("첸뤼")</f>
        <v>첸뤼</v>
      </c>
      <c r="J703" t="str">
        <f>T("시계토끼")</f>
        <v>시계토끼</v>
      </c>
      <c r="K703" t="str">
        <f>T("[e북]일대군사")</f>
        <v>[e북]일대군사</v>
      </c>
      <c r="L703">
        <v>2500</v>
      </c>
      <c r="M703">
        <v>2500</v>
      </c>
      <c r="N703">
        <v>1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2500</v>
      </c>
      <c r="AJ703">
        <v>1</v>
      </c>
      <c r="AK703">
        <v>0</v>
      </c>
      <c r="AL703">
        <v>0</v>
      </c>
      <c r="AM703">
        <v>0</v>
      </c>
      <c r="AN703">
        <v>0</v>
      </c>
      <c r="AO703">
        <v>3000</v>
      </c>
      <c r="AP703">
        <v>-300</v>
      </c>
      <c r="AQ703">
        <v>0</v>
      </c>
      <c r="AS703">
        <v>0</v>
      </c>
      <c r="AT703">
        <v>0</v>
      </c>
      <c r="AU703">
        <v>3000</v>
      </c>
      <c r="AV703">
        <v>-300</v>
      </c>
      <c r="AW703">
        <v>0</v>
      </c>
      <c r="AY703">
        <v>0</v>
      </c>
      <c r="AZ703">
        <v>0</v>
      </c>
      <c r="BA703">
        <v>1890</v>
      </c>
      <c r="BE703" t="str">
        <f>T("9791164093182")</f>
        <v>9791164093182</v>
      </c>
      <c r="BF703" t="str">
        <f>T("E710454")</f>
        <v>E710454</v>
      </c>
      <c r="BG703" t="str">
        <f>T("로판 e북 &gt; 해외 소설")</f>
        <v>로판 e북 &gt; 해외 소설</v>
      </c>
    </row>
    <row r="704" spans="1:59">
      <c r="A704" t="s">
        <v>60</v>
      </c>
      <c r="B704" s="1">
        <v>46130</v>
      </c>
      <c r="C704">
        <v>2378014520</v>
      </c>
      <c r="D704">
        <v>2378014525</v>
      </c>
      <c r="E704" t="str">
        <f>T("[e북]일대군사 6권")</f>
        <v>[e북]일대군사 6권</v>
      </c>
      <c r="F704">
        <v>6</v>
      </c>
      <c r="G704" t="str">
        <f>T("첸뤼")</f>
        <v>첸뤼</v>
      </c>
      <c r="J704" t="str">
        <f>T("시계토끼")</f>
        <v>시계토끼</v>
      </c>
      <c r="K704" t="str">
        <f>T("[e북]일대군사")</f>
        <v>[e북]일대군사</v>
      </c>
      <c r="L704">
        <v>2500</v>
      </c>
      <c r="M704">
        <v>2500</v>
      </c>
      <c r="N704">
        <v>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2500</v>
      </c>
      <c r="AJ704">
        <v>1</v>
      </c>
      <c r="AK704">
        <v>0</v>
      </c>
      <c r="AL704">
        <v>0</v>
      </c>
      <c r="AM704">
        <v>0</v>
      </c>
      <c r="AN704">
        <v>0</v>
      </c>
      <c r="AO704">
        <v>3000</v>
      </c>
      <c r="AP704">
        <v>-300</v>
      </c>
      <c r="AQ704">
        <v>0</v>
      </c>
      <c r="AS704">
        <v>0</v>
      </c>
      <c r="AT704">
        <v>0</v>
      </c>
      <c r="AU704">
        <v>3000</v>
      </c>
      <c r="AV704">
        <v>-300</v>
      </c>
      <c r="AW704">
        <v>0</v>
      </c>
      <c r="AY704">
        <v>0</v>
      </c>
      <c r="AZ704">
        <v>0</v>
      </c>
      <c r="BA704">
        <v>1890</v>
      </c>
      <c r="BE704" t="str">
        <f>T("9791164093199")</f>
        <v>9791164093199</v>
      </c>
      <c r="BF704" t="str">
        <f>T("E710455")</f>
        <v>E710455</v>
      </c>
      <c r="BG704" t="str">
        <f>T("로판 e북 &gt; 해외 소설")</f>
        <v>로판 e북 &gt; 해외 소설</v>
      </c>
    </row>
    <row r="705" spans="1:59">
      <c r="A705" t="s">
        <v>60</v>
      </c>
      <c r="B705" s="1">
        <v>46130</v>
      </c>
      <c r="C705">
        <v>2378014520</v>
      </c>
      <c r="D705">
        <v>2378014520</v>
      </c>
      <c r="E705" t="str">
        <f>T("[e북]일대군사 1권")</f>
        <v>[e북]일대군사 1권</v>
      </c>
      <c r="F705">
        <v>1</v>
      </c>
      <c r="G705" t="str">
        <f>T("첸뤼")</f>
        <v>첸뤼</v>
      </c>
      <c r="J705" t="str">
        <f>T("시계토끼")</f>
        <v>시계토끼</v>
      </c>
      <c r="K705" t="str">
        <f>T("[e북]일대군사")</f>
        <v>[e북]일대군사</v>
      </c>
      <c r="L705">
        <v>0</v>
      </c>
      <c r="M705">
        <v>0</v>
      </c>
      <c r="N705">
        <v>0</v>
      </c>
      <c r="O705">
        <v>1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1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S705">
        <v>0</v>
      </c>
      <c r="AT705">
        <v>0</v>
      </c>
      <c r="AV705">
        <v>0</v>
      </c>
      <c r="AW705">
        <v>0</v>
      </c>
      <c r="AY705">
        <v>0</v>
      </c>
      <c r="AZ705">
        <v>0</v>
      </c>
      <c r="BA705">
        <v>0</v>
      </c>
      <c r="BE705" t="str">
        <f>T("9791164093144")</f>
        <v>9791164093144</v>
      </c>
      <c r="BF705" t="str">
        <f>T("E710450")</f>
        <v>E710450</v>
      </c>
      <c r="BG705" t="str">
        <f>T("로판 e북 &gt; 해외 소설")</f>
        <v>로판 e북 &gt; 해외 소설</v>
      </c>
    </row>
    <row r="706" spans="1:59">
      <c r="A706" t="s">
        <v>60</v>
      </c>
      <c r="B706" s="1">
        <v>46130</v>
      </c>
      <c r="C706">
        <v>2378014520</v>
      </c>
      <c r="D706">
        <v>2378014526</v>
      </c>
      <c r="E706" t="str">
        <f>T("[e북]일대군사 7권 (완결)")</f>
        <v>[e북]일대군사 7권 (완결)</v>
      </c>
      <c r="F706">
        <v>7</v>
      </c>
      <c r="G706" t="str">
        <f>T("첸뤼")</f>
        <v>첸뤼</v>
      </c>
      <c r="J706" t="str">
        <f>T("시계토끼")</f>
        <v>시계토끼</v>
      </c>
      <c r="K706" t="str">
        <f>T("[e북]일대군사")</f>
        <v>[e북]일대군사</v>
      </c>
      <c r="L706">
        <v>2500</v>
      </c>
      <c r="M706">
        <v>2500</v>
      </c>
      <c r="N706">
        <v>1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2500</v>
      </c>
      <c r="AJ706">
        <v>1</v>
      </c>
      <c r="AK706">
        <v>0</v>
      </c>
      <c r="AL706">
        <v>0</v>
      </c>
      <c r="AM706">
        <v>0</v>
      </c>
      <c r="AN706">
        <v>0</v>
      </c>
      <c r="AO706">
        <v>3000</v>
      </c>
      <c r="AP706">
        <v>-300</v>
      </c>
      <c r="AQ706">
        <v>0</v>
      </c>
      <c r="AS706">
        <v>0</v>
      </c>
      <c r="AT706">
        <v>0</v>
      </c>
      <c r="AU706">
        <v>3000</v>
      </c>
      <c r="AV706">
        <v>-300</v>
      </c>
      <c r="AW706">
        <v>0</v>
      </c>
      <c r="AY706">
        <v>0</v>
      </c>
      <c r="AZ706">
        <v>0</v>
      </c>
      <c r="BA706">
        <v>1890</v>
      </c>
      <c r="BE706" t="str">
        <f>T("9791164093205")</f>
        <v>9791164093205</v>
      </c>
      <c r="BF706" t="str">
        <f>T("E710456")</f>
        <v>E710456</v>
      </c>
      <c r="BG706" t="str">
        <f>T("로판 e북 &gt; 해외 소설")</f>
        <v>로판 e북 &gt; 해외 소설</v>
      </c>
    </row>
    <row r="707" spans="1:59">
      <c r="A707" t="s">
        <v>60</v>
      </c>
      <c r="B707" s="1">
        <v>46131</v>
      </c>
      <c r="C707">
        <v>2378002878</v>
      </c>
      <c r="D707">
        <v>2378002878</v>
      </c>
      <c r="E707" t="str">
        <f>T("[e북]임페리얼 랜서 1권")</f>
        <v>[e북]임페리얼 랜서 1권</v>
      </c>
      <c r="F707">
        <v>1</v>
      </c>
      <c r="G707" t="str">
        <f>T("보헤미아")</f>
        <v>보헤미아</v>
      </c>
      <c r="J707" t="str">
        <f>T("매드햇")</f>
        <v>매드햇</v>
      </c>
      <c r="K707" t="str">
        <f>T("[e북]임페리얼 랜서")</f>
        <v>[e북]임페리얼 랜서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1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1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S707">
        <v>0</v>
      </c>
      <c r="AT707">
        <v>0</v>
      </c>
      <c r="AV707">
        <v>0</v>
      </c>
      <c r="AW707">
        <v>0</v>
      </c>
      <c r="AY707">
        <v>0</v>
      </c>
      <c r="AZ707">
        <v>0</v>
      </c>
      <c r="BA707">
        <v>0</v>
      </c>
      <c r="BC707" t="str">
        <f>T("0000000000000")</f>
        <v>0000000000000</v>
      </c>
      <c r="BE707" t="str">
        <f>T("9791162581278")</f>
        <v>9791162581278</v>
      </c>
      <c r="BF707" t="str">
        <f>T("E312329")</f>
        <v>E312329</v>
      </c>
      <c r="BG707" t="str">
        <f>T("판타지 e북 &gt; 정통 판타지")</f>
        <v>판타지 e북 &gt; 정통 판타지</v>
      </c>
    </row>
    <row r="708" spans="1:59">
      <c r="A708" t="s">
        <v>60</v>
      </c>
      <c r="B708" s="1">
        <v>46131</v>
      </c>
      <c r="C708">
        <v>2378002878</v>
      </c>
      <c r="D708">
        <v>2378002879</v>
      </c>
      <c r="E708" t="str">
        <f>T("[e북]임페리얼 랜서 2권")</f>
        <v>[e북]임페리얼 랜서 2권</v>
      </c>
      <c r="F708">
        <v>2</v>
      </c>
      <c r="G708" t="str">
        <f>T("보헤미아")</f>
        <v>보헤미아</v>
      </c>
      <c r="J708" t="str">
        <f>T("매드햇")</f>
        <v>매드햇</v>
      </c>
      <c r="K708" t="str">
        <f>T("[e북]임페리얼 랜서")</f>
        <v>[e북]임페리얼 랜서</v>
      </c>
      <c r="L708">
        <v>3000</v>
      </c>
      <c r="M708">
        <v>0</v>
      </c>
      <c r="N708">
        <v>0</v>
      </c>
      <c r="O708">
        <v>0</v>
      </c>
      <c r="P708">
        <v>900</v>
      </c>
      <c r="Q708">
        <v>1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900</v>
      </c>
      <c r="AJ708">
        <v>1</v>
      </c>
      <c r="AK708">
        <v>0</v>
      </c>
      <c r="AL708">
        <v>0</v>
      </c>
      <c r="AM708">
        <v>900</v>
      </c>
      <c r="AN708">
        <v>0</v>
      </c>
      <c r="AO708">
        <v>0</v>
      </c>
      <c r="AP708">
        <v>0</v>
      </c>
      <c r="AQ708">
        <v>0</v>
      </c>
      <c r="AS708">
        <v>0</v>
      </c>
      <c r="AT708">
        <v>0</v>
      </c>
      <c r="AV708">
        <v>0</v>
      </c>
      <c r="AW708">
        <v>0</v>
      </c>
      <c r="AY708">
        <v>0</v>
      </c>
      <c r="AZ708">
        <v>0</v>
      </c>
      <c r="BA708">
        <v>630</v>
      </c>
      <c r="BC708" t="str">
        <f>T("0000000000000")</f>
        <v>0000000000000</v>
      </c>
      <c r="BE708" t="str">
        <f>T("9791162581285")</f>
        <v>9791162581285</v>
      </c>
      <c r="BF708" t="str">
        <f>T("E312330")</f>
        <v>E312330</v>
      </c>
      <c r="BG708" t="str">
        <f>T("판타지 e북 &gt; 정통 판타지")</f>
        <v>판타지 e북 &gt; 정통 판타지</v>
      </c>
    </row>
    <row r="709" spans="1:59">
      <c r="A709" t="s">
        <v>60</v>
      </c>
      <c r="B709" s="1">
        <v>46131</v>
      </c>
      <c r="C709">
        <v>2378002878</v>
      </c>
      <c r="D709">
        <v>2378002880</v>
      </c>
      <c r="E709" t="str">
        <f>T("[e북]임페리얼 랜서 3권")</f>
        <v>[e북]임페리얼 랜서 3권</v>
      </c>
      <c r="F709">
        <v>3</v>
      </c>
      <c r="G709" t="str">
        <f>T("보헤미아")</f>
        <v>보헤미아</v>
      </c>
      <c r="J709" t="str">
        <f>T("매드햇")</f>
        <v>매드햇</v>
      </c>
      <c r="K709" t="str">
        <f>T("[e북]임페리얼 랜서")</f>
        <v>[e북]임페리얼 랜서</v>
      </c>
      <c r="L709">
        <v>3000</v>
      </c>
      <c r="M709">
        <v>0</v>
      </c>
      <c r="N709">
        <v>0</v>
      </c>
      <c r="O709">
        <v>0</v>
      </c>
      <c r="P709">
        <v>900</v>
      </c>
      <c r="Q709">
        <v>1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900</v>
      </c>
      <c r="AJ709">
        <v>1</v>
      </c>
      <c r="AK709">
        <v>0</v>
      </c>
      <c r="AL709">
        <v>0</v>
      </c>
      <c r="AM709">
        <v>900</v>
      </c>
      <c r="AN709">
        <v>0</v>
      </c>
      <c r="AO709">
        <v>0</v>
      </c>
      <c r="AP709">
        <v>0</v>
      </c>
      <c r="AQ709">
        <v>0</v>
      </c>
      <c r="AS709">
        <v>0</v>
      </c>
      <c r="AT709">
        <v>0</v>
      </c>
      <c r="AV709">
        <v>0</v>
      </c>
      <c r="AW709">
        <v>0</v>
      </c>
      <c r="AY709">
        <v>0</v>
      </c>
      <c r="AZ709">
        <v>0</v>
      </c>
      <c r="BA709">
        <v>630</v>
      </c>
      <c r="BC709" t="str">
        <f>T("0000000000000")</f>
        <v>0000000000000</v>
      </c>
      <c r="BE709" t="str">
        <f>T("9791162581292")</f>
        <v>9791162581292</v>
      </c>
      <c r="BF709" t="str">
        <f>T("E312331")</f>
        <v>E312331</v>
      </c>
      <c r="BG709" t="str">
        <f>T("판타지 e북 &gt; 정통 판타지")</f>
        <v>판타지 e북 &gt; 정통 판타지</v>
      </c>
    </row>
    <row r="710" spans="1:59">
      <c r="A710" t="s">
        <v>60</v>
      </c>
      <c r="B710" s="1">
        <v>46131</v>
      </c>
      <c r="C710">
        <v>2378002878</v>
      </c>
      <c r="D710">
        <v>2378002881</v>
      </c>
      <c r="E710" t="str">
        <f>T("[e북]임페리얼 랜서 4권")</f>
        <v>[e북]임페리얼 랜서 4권</v>
      </c>
      <c r="F710">
        <v>4</v>
      </c>
      <c r="G710" t="str">
        <f>T("보헤미아")</f>
        <v>보헤미아</v>
      </c>
      <c r="J710" t="str">
        <f>T("매드햇")</f>
        <v>매드햇</v>
      </c>
      <c r="K710" t="str">
        <f>T("[e북]임페리얼 랜서")</f>
        <v>[e북]임페리얼 랜서</v>
      </c>
      <c r="L710">
        <v>3000</v>
      </c>
      <c r="M710">
        <v>0</v>
      </c>
      <c r="N710">
        <v>0</v>
      </c>
      <c r="O710">
        <v>0</v>
      </c>
      <c r="P710">
        <v>900</v>
      </c>
      <c r="Q710">
        <v>1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900</v>
      </c>
      <c r="AJ710">
        <v>1</v>
      </c>
      <c r="AK710">
        <v>0</v>
      </c>
      <c r="AL710">
        <v>0</v>
      </c>
      <c r="AM710">
        <v>900</v>
      </c>
      <c r="AN710">
        <v>0</v>
      </c>
      <c r="AO710">
        <v>0</v>
      </c>
      <c r="AP710">
        <v>0</v>
      </c>
      <c r="AQ710">
        <v>0</v>
      </c>
      <c r="AS710">
        <v>0</v>
      </c>
      <c r="AT710">
        <v>0</v>
      </c>
      <c r="AV710">
        <v>0</v>
      </c>
      <c r="AW710">
        <v>0</v>
      </c>
      <c r="AY710">
        <v>0</v>
      </c>
      <c r="AZ710">
        <v>0</v>
      </c>
      <c r="BA710">
        <v>630</v>
      </c>
      <c r="BC710" t="str">
        <f>T("0000000000000")</f>
        <v>0000000000000</v>
      </c>
      <c r="BE710" t="str">
        <f>T("9791162581308")</f>
        <v>9791162581308</v>
      </c>
      <c r="BF710" t="str">
        <f>T("E312332")</f>
        <v>E312332</v>
      </c>
      <c r="BG710" t="str">
        <f>T("판타지 e북 &gt; 정통 판타지")</f>
        <v>판타지 e북 &gt; 정통 판타지</v>
      </c>
    </row>
    <row r="711" spans="1:59">
      <c r="A711" t="s">
        <v>60</v>
      </c>
      <c r="B711" s="1">
        <v>46131</v>
      </c>
      <c r="C711">
        <v>2378002878</v>
      </c>
      <c r="D711">
        <v>2378002882</v>
      </c>
      <c r="E711" t="str">
        <f>T("[e북]임페리얼 랜서 5권")</f>
        <v>[e북]임페리얼 랜서 5권</v>
      </c>
      <c r="F711">
        <v>5</v>
      </c>
      <c r="G711" t="str">
        <f>T("보헤미아")</f>
        <v>보헤미아</v>
      </c>
      <c r="J711" t="str">
        <f>T("매드햇")</f>
        <v>매드햇</v>
      </c>
      <c r="K711" t="str">
        <f>T("[e북]임페리얼 랜서")</f>
        <v>[e북]임페리얼 랜서</v>
      </c>
      <c r="L711">
        <v>3000</v>
      </c>
      <c r="M711">
        <v>0</v>
      </c>
      <c r="N711">
        <v>0</v>
      </c>
      <c r="O711">
        <v>0</v>
      </c>
      <c r="P711">
        <v>900</v>
      </c>
      <c r="Q711">
        <v>1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900</v>
      </c>
      <c r="AJ711">
        <v>1</v>
      </c>
      <c r="AK711">
        <v>0</v>
      </c>
      <c r="AL711">
        <v>0</v>
      </c>
      <c r="AM711">
        <v>900</v>
      </c>
      <c r="AN711">
        <v>0</v>
      </c>
      <c r="AO711">
        <v>0</v>
      </c>
      <c r="AP711">
        <v>0</v>
      </c>
      <c r="AQ711">
        <v>0</v>
      </c>
      <c r="AS711">
        <v>0</v>
      </c>
      <c r="AT711">
        <v>0</v>
      </c>
      <c r="AV711">
        <v>0</v>
      </c>
      <c r="AW711">
        <v>0</v>
      </c>
      <c r="AY711">
        <v>0</v>
      </c>
      <c r="AZ711">
        <v>0</v>
      </c>
      <c r="BA711">
        <v>630</v>
      </c>
      <c r="BC711" t="str">
        <f>T("0000000000000")</f>
        <v>0000000000000</v>
      </c>
      <c r="BE711" t="str">
        <f>T("9791162581315")</f>
        <v>9791162581315</v>
      </c>
      <c r="BF711" t="str">
        <f>T("E312333")</f>
        <v>E312333</v>
      </c>
      <c r="BG711" t="str">
        <f>T("판타지 e북 &gt; 정통 판타지")</f>
        <v>판타지 e북 &gt; 정통 판타지</v>
      </c>
    </row>
    <row r="712" spans="1:59">
      <c r="A712" t="s">
        <v>60</v>
      </c>
      <c r="B712" s="1">
        <v>46131</v>
      </c>
      <c r="C712">
        <v>2378002878</v>
      </c>
      <c r="D712">
        <v>2378002883</v>
      </c>
      <c r="E712" t="str">
        <f>T("[e북]임페리얼 랜서 6권")</f>
        <v>[e북]임페리얼 랜서 6권</v>
      </c>
      <c r="F712">
        <v>6</v>
      </c>
      <c r="G712" t="str">
        <f>T("보헤미아")</f>
        <v>보헤미아</v>
      </c>
      <c r="J712" t="str">
        <f>T("매드햇")</f>
        <v>매드햇</v>
      </c>
      <c r="K712" t="str">
        <f>T("[e북]임페리얼 랜서")</f>
        <v>[e북]임페리얼 랜서</v>
      </c>
      <c r="L712">
        <v>3000</v>
      </c>
      <c r="M712">
        <v>0</v>
      </c>
      <c r="N712">
        <v>0</v>
      </c>
      <c r="O712">
        <v>0</v>
      </c>
      <c r="P712">
        <v>900</v>
      </c>
      <c r="Q712">
        <v>1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900</v>
      </c>
      <c r="AJ712">
        <v>1</v>
      </c>
      <c r="AK712">
        <v>0</v>
      </c>
      <c r="AL712">
        <v>0</v>
      </c>
      <c r="AM712">
        <v>900</v>
      </c>
      <c r="AN712">
        <v>0</v>
      </c>
      <c r="AO712">
        <v>0</v>
      </c>
      <c r="AP712">
        <v>0</v>
      </c>
      <c r="AQ712">
        <v>0</v>
      </c>
      <c r="AS712">
        <v>0</v>
      </c>
      <c r="AT712">
        <v>0</v>
      </c>
      <c r="AV712">
        <v>0</v>
      </c>
      <c r="AW712">
        <v>0</v>
      </c>
      <c r="AY712">
        <v>0</v>
      </c>
      <c r="AZ712">
        <v>0</v>
      </c>
      <c r="BA712">
        <v>630</v>
      </c>
      <c r="BC712" t="str">
        <f>T("0000000000000")</f>
        <v>0000000000000</v>
      </c>
      <c r="BE712" t="str">
        <f>T("9791162581322")</f>
        <v>9791162581322</v>
      </c>
      <c r="BG712" t="str">
        <f>T("판타지 e북 &gt; 정통 판타지")</f>
        <v>판타지 e북 &gt; 정통 판타지</v>
      </c>
    </row>
    <row r="713" spans="1:59">
      <c r="A713" t="s">
        <v>60</v>
      </c>
      <c r="B713" s="1">
        <v>46131</v>
      </c>
      <c r="C713">
        <v>2378002878</v>
      </c>
      <c r="D713">
        <v>2378002884</v>
      </c>
      <c r="E713" t="str">
        <f>T("[e북]임페리얼 랜서 7권 (완결)")</f>
        <v>[e북]임페리얼 랜서 7권 (완결)</v>
      </c>
      <c r="F713">
        <v>7</v>
      </c>
      <c r="G713" t="str">
        <f>T("보헤미아")</f>
        <v>보헤미아</v>
      </c>
      <c r="J713" t="str">
        <f>T("매드햇")</f>
        <v>매드햇</v>
      </c>
      <c r="K713" t="str">
        <f>T("[e북]임페리얼 랜서")</f>
        <v>[e북]임페리얼 랜서</v>
      </c>
      <c r="L713">
        <v>3000</v>
      </c>
      <c r="M713">
        <v>0</v>
      </c>
      <c r="N713">
        <v>0</v>
      </c>
      <c r="O713">
        <v>0</v>
      </c>
      <c r="P713">
        <v>900</v>
      </c>
      <c r="Q713">
        <v>1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900</v>
      </c>
      <c r="AJ713">
        <v>1</v>
      </c>
      <c r="AK713">
        <v>0</v>
      </c>
      <c r="AL713">
        <v>0</v>
      </c>
      <c r="AM713">
        <v>900</v>
      </c>
      <c r="AN713">
        <v>0</v>
      </c>
      <c r="AO713">
        <v>0</v>
      </c>
      <c r="AP713">
        <v>0</v>
      </c>
      <c r="AQ713">
        <v>0</v>
      </c>
      <c r="AS713">
        <v>0</v>
      </c>
      <c r="AT713">
        <v>0</v>
      </c>
      <c r="AV713">
        <v>0</v>
      </c>
      <c r="AW713">
        <v>0</v>
      </c>
      <c r="AY713">
        <v>0</v>
      </c>
      <c r="AZ713">
        <v>0</v>
      </c>
      <c r="BA713">
        <v>630</v>
      </c>
      <c r="BC713" t="str">
        <f>T("0000000000000")</f>
        <v>0000000000000</v>
      </c>
      <c r="BE713" t="str">
        <f>T("9791162581339")</f>
        <v>9791162581339</v>
      </c>
      <c r="BF713" t="str">
        <f>T("E312335")</f>
        <v>E312335</v>
      </c>
      <c r="BG713" t="str">
        <f>T("판타지 e북 &gt; 정통 판타지")</f>
        <v>판타지 e북 &gt; 정통 판타지</v>
      </c>
    </row>
    <row r="714" spans="1:59">
      <c r="A714" t="s">
        <v>60</v>
      </c>
      <c r="B714" s="1">
        <v>46129</v>
      </c>
      <c r="C714">
        <v>2378043132</v>
      </c>
      <c r="D714">
        <v>2378043132</v>
      </c>
      <c r="E714" t="str">
        <f>T("[e북]잘 고쳐서 탑아이돌 1권")</f>
        <v>[e북]잘 고쳐서 탑아이돌 1권</v>
      </c>
      <c r="F714">
        <v>1</v>
      </c>
      <c r="G714" t="str">
        <f>T("호박맥주")</f>
        <v>호박맥주</v>
      </c>
      <c r="J714" t="str">
        <f>T("매드햇")</f>
        <v>매드햇</v>
      </c>
      <c r="K714" t="str">
        <f>T("[e북]잘 고쳐서 탑아이돌")</f>
        <v>[e북]잘 고쳐서 탑아이돌</v>
      </c>
      <c r="L714">
        <v>0</v>
      </c>
      <c r="M714">
        <v>0</v>
      </c>
      <c r="N714">
        <v>0</v>
      </c>
      <c r="O714">
        <v>1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1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S714">
        <v>0</v>
      </c>
      <c r="AT714">
        <v>0</v>
      </c>
      <c r="AV714">
        <v>0</v>
      </c>
      <c r="AW714">
        <v>0</v>
      </c>
      <c r="AY714">
        <v>0</v>
      </c>
      <c r="AZ714">
        <v>0</v>
      </c>
      <c r="BA714">
        <v>0</v>
      </c>
      <c r="BE714" t="str">
        <f>T("9791137008137")</f>
        <v>9791137008137</v>
      </c>
      <c r="BF714" t="str">
        <f>T("N211596")</f>
        <v>N211596</v>
      </c>
      <c r="BG714" t="str">
        <f>T("판타지 e북 &gt; 현대 판타지")</f>
        <v>판타지 e북 &gt; 현대 판타지</v>
      </c>
    </row>
    <row r="715" spans="1:59">
      <c r="A715" t="s">
        <v>60</v>
      </c>
      <c r="B715" s="1">
        <v>46129</v>
      </c>
      <c r="C715">
        <v>2378075424</v>
      </c>
      <c r="D715">
        <v>2378075424</v>
      </c>
      <c r="E715" t="str">
        <f>T("[e북]재벌에서 광복군까지 1권")</f>
        <v>[e북]재벌에서 광복군까지 1권</v>
      </c>
      <c r="F715">
        <v>1</v>
      </c>
      <c r="G715" t="str">
        <f>T("빛나는구름")</f>
        <v>빛나는구름</v>
      </c>
      <c r="J715" t="str">
        <f>T("사이렌")</f>
        <v>사이렌</v>
      </c>
      <c r="K715" t="str">
        <f>T("[e북]재벌에서 광복군까지")</f>
        <v>[e북]재벌에서 광복군까지</v>
      </c>
      <c r="L715">
        <v>0</v>
      </c>
      <c r="M715">
        <v>0</v>
      </c>
      <c r="N715">
        <v>0</v>
      </c>
      <c r="O715">
        <v>1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1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S715">
        <v>0</v>
      </c>
      <c r="AT715">
        <v>0</v>
      </c>
      <c r="AV715">
        <v>0</v>
      </c>
      <c r="AW715">
        <v>0</v>
      </c>
      <c r="AY715">
        <v>0</v>
      </c>
      <c r="AZ715">
        <v>0</v>
      </c>
      <c r="BA715">
        <v>0</v>
      </c>
      <c r="BE715" t="str">
        <f>T("9791137023000")</f>
        <v>9791137023000</v>
      </c>
      <c r="BF715" t="str">
        <f>T("D013857")</f>
        <v>D013857</v>
      </c>
      <c r="BG715" t="str">
        <f>T("판타지 e북 &gt; 퓨전 판타지")</f>
        <v>판타지 e북 &gt; 퓨전 판타지</v>
      </c>
    </row>
    <row r="716" spans="1:59">
      <c r="A716" t="s">
        <v>60</v>
      </c>
      <c r="B716" s="1">
        <v>46129</v>
      </c>
      <c r="C716">
        <v>2378075424</v>
      </c>
      <c r="D716">
        <v>2378075426</v>
      </c>
      <c r="E716" t="str">
        <f>T("[e북]재벌에서 광복군까지 3권")</f>
        <v>[e북]재벌에서 광복군까지 3권</v>
      </c>
      <c r="F716">
        <v>3</v>
      </c>
      <c r="G716" t="str">
        <f>T("빛나는구름")</f>
        <v>빛나는구름</v>
      </c>
      <c r="J716" t="str">
        <f>T("사이렌")</f>
        <v>사이렌</v>
      </c>
      <c r="K716" t="str">
        <f>T("[e북]재벌에서 광복군까지")</f>
        <v>[e북]재벌에서 광복군까지</v>
      </c>
      <c r="L716">
        <v>3000</v>
      </c>
      <c r="M716">
        <v>3000</v>
      </c>
      <c r="N716">
        <v>1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3000</v>
      </c>
      <c r="AJ716">
        <v>1</v>
      </c>
      <c r="AK716">
        <v>0</v>
      </c>
      <c r="AL716">
        <v>0</v>
      </c>
      <c r="AM716">
        <v>3000</v>
      </c>
      <c r="AN716">
        <v>0</v>
      </c>
      <c r="AO716">
        <v>0</v>
      </c>
      <c r="AP716">
        <v>0</v>
      </c>
      <c r="AQ716">
        <v>0</v>
      </c>
      <c r="AS716">
        <v>0</v>
      </c>
      <c r="AT716">
        <v>0</v>
      </c>
      <c r="AV716">
        <v>0</v>
      </c>
      <c r="AW716">
        <v>0</v>
      </c>
      <c r="AY716">
        <v>0</v>
      </c>
      <c r="AZ716">
        <v>0</v>
      </c>
      <c r="BA716">
        <v>2100</v>
      </c>
      <c r="BE716" t="str">
        <f>T("9791137023024")</f>
        <v>9791137023024</v>
      </c>
      <c r="BF716" t="str">
        <f>T("D013859")</f>
        <v>D013859</v>
      </c>
      <c r="BG716" t="str">
        <f>T("판타지 e북 &gt; 퓨전 판타지")</f>
        <v>판타지 e북 &gt; 퓨전 판타지</v>
      </c>
    </row>
    <row r="717" spans="1:59">
      <c r="A717" t="s">
        <v>60</v>
      </c>
      <c r="B717" s="1">
        <v>46129</v>
      </c>
      <c r="C717">
        <v>2378075424</v>
      </c>
      <c r="D717">
        <v>2378075450</v>
      </c>
      <c r="E717" t="str">
        <f>T("[e북]재벌에서 광복군까지 26권 (완결)")</f>
        <v>[e북]재벌에서 광복군까지 26권 (완결)</v>
      </c>
      <c r="F717">
        <v>26</v>
      </c>
      <c r="G717" t="str">
        <f>T("빛나는구름")</f>
        <v>빛나는구름</v>
      </c>
      <c r="J717" t="str">
        <f>T("사이렌")</f>
        <v>사이렌</v>
      </c>
      <c r="K717" t="str">
        <f>T("[e북]재벌에서 광복군까지")</f>
        <v>[e북]재벌에서 광복군까지</v>
      </c>
      <c r="L717">
        <v>3000</v>
      </c>
      <c r="M717">
        <v>3000</v>
      </c>
      <c r="N717">
        <v>1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3000</v>
      </c>
      <c r="AJ717">
        <v>1</v>
      </c>
      <c r="AK717">
        <v>0</v>
      </c>
      <c r="AL717">
        <v>0</v>
      </c>
      <c r="AM717">
        <v>3000</v>
      </c>
      <c r="AN717">
        <v>0</v>
      </c>
      <c r="AO717">
        <v>0</v>
      </c>
      <c r="AP717">
        <v>0</v>
      </c>
      <c r="AQ717">
        <v>0</v>
      </c>
      <c r="AS717">
        <v>0</v>
      </c>
      <c r="AT717">
        <v>0</v>
      </c>
      <c r="AV717">
        <v>0</v>
      </c>
      <c r="AW717">
        <v>0</v>
      </c>
      <c r="AY717">
        <v>0</v>
      </c>
      <c r="AZ717">
        <v>0</v>
      </c>
      <c r="BA717">
        <v>2100</v>
      </c>
      <c r="BE717" t="str">
        <f>T("9791137023253")</f>
        <v>9791137023253</v>
      </c>
      <c r="BF717" t="str">
        <f>T("D013882")</f>
        <v>D013882</v>
      </c>
      <c r="BG717" t="str">
        <f>T("판타지 e북 &gt; 퓨전 판타지")</f>
        <v>판타지 e북 &gt; 퓨전 판타지</v>
      </c>
    </row>
    <row r="718" spans="1:59">
      <c r="A718" t="s">
        <v>60</v>
      </c>
      <c r="B718" s="1">
        <v>46131</v>
      </c>
      <c r="C718">
        <v>2378075424</v>
      </c>
      <c r="D718">
        <v>2378075433</v>
      </c>
      <c r="E718" t="str">
        <f>T("[e북]재벌에서 광복군까지 9권")</f>
        <v>[e북]재벌에서 광복군까지 9권</v>
      </c>
      <c r="F718">
        <v>9</v>
      </c>
      <c r="G718" t="str">
        <f>T("빛나는구름")</f>
        <v>빛나는구름</v>
      </c>
      <c r="J718" t="str">
        <f>T("사이렌")</f>
        <v>사이렌</v>
      </c>
      <c r="K718" t="str">
        <f>T("[e북]재벌에서 광복군까지")</f>
        <v>[e북]재벌에서 광복군까지</v>
      </c>
      <c r="L718">
        <v>3000</v>
      </c>
      <c r="M718">
        <v>3000</v>
      </c>
      <c r="N718">
        <v>1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3000</v>
      </c>
      <c r="AJ718">
        <v>1</v>
      </c>
      <c r="AK718">
        <v>0</v>
      </c>
      <c r="AL718">
        <v>0</v>
      </c>
      <c r="AM718">
        <v>0</v>
      </c>
      <c r="AN718">
        <v>0</v>
      </c>
      <c r="AO718">
        <v>3600</v>
      </c>
      <c r="AP718">
        <v>-360</v>
      </c>
      <c r="AQ718">
        <v>0</v>
      </c>
      <c r="AS718">
        <v>0</v>
      </c>
      <c r="AT718">
        <v>0</v>
      </c>
      <c r="AU718">
        <v>3600</v>
      </c>
      <c r="AV718">
        <v>-360</v>
      </c>
      <c r="AW718">
        <v>0</v>
      </c>
      <c r="AY718">
        <v>0</v>
      </c>
      <c r="AZ718">
        <v>0</v>
      </c>
      <c r="BA718">
        <v>2268</v>
      </c>
      <c r="BE718" t="str">
        <f>T("9791137023086")</f>
        <v>9791137023086</v>
      </c>
      <c r="BF718" t="str">
        <f>T("D013865")</f>
        <v>D013865</v>
      </c>
      <c r="BG718" t="str">
        <f>T("판타지 e북 &gt; 퓨전 판타지")</f>
        <v>판타지 e북 &gt; 퓨전 판타지</v>
      </c>
    </row>
    <row r="719" spans="1:59">
      <c r="A719" t="s">
        <v>60</v>
      </c>
      <c r="B719" s="1">
        <v>46129</v>
      </c>
      <c r="C719">
        <v>2378075057</v>
      </c>
      <c r="D719">
        <v>2378075057</v>
      </c>
      <c r="E719" t="str">
        <f>T("[e북]저승의 왕위를 계승했다 1권")</f>
        <v>[e북]저승의 왕위를 계승했다 1권</v>
      </c>
      <c r="F719">
        <v>1</v>
      </c>
      <c r="G719" t="str">
        <f>T("신타비")</f>
        <v>신타비</v>
      </c>
      <c r="J719" t="str">
        <f>T("매드햇")</f>
        <v>매드햇</v>
      </c>
      <c r="K719" t="str">
        <f>T("[e북]저승의 왕위를 계승했다")</f>
        <v>[e북]저승의 왕위를 계승했다</v>
      </c>
      <c r="L719">
        <v>0</v>
      </c>
      <c r="M719">
        <v>0</v>
      </c>
      <c r="N719">
        <v>0</v>
      </c>
      <c r="O719">
        <v>2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2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S719">
        <v>0</v>
      </c>
      <c r="AT719">
        <v>0</v>
      </c>
      <c r="AV719">
        <v>0</v>
      </c>
      <c r="AW719">
        <v>0</v>
      </c>
      <c r="AY719">
        <v>0</v>
      </c>
      <c r="AZ719">
        <v>0</v>
      </c>
      <c r="BA719">
        <v>0</v>
      </c>
      <c r="BE719" t="str">
        <f>T("9791137010444")</f>
        <v>9791137010444</v>
      </c>
      <c r="BF719" t="str">
        <f>T("D004465")</f>
        <v>D004465</v>
      </c>
      <c r="BG719" t="str">
        <f>T("판타지 e북 &gt; 퓨전 판타지")</f>
        <v>판타지 e북 &gt; 퓨전 판타지</v>
      </c>
    </row>
    <row r="720" spans="1:59">
      <c r="A720" t="s">
        <v>60</v>
      </c>
      <c r="B720" s="1">
        <v>46129</v>
      </c>
      <c r="C720">
        <v>2378075057</v>
      </c>
      <c r="D720">
        <v>2378075058</v>
      </c>
      <c r="E720" t="str">
        <f>T("[e북]저승의 왕위를 계승했다 2권")</f>
        <v>[e북]저승의 왕위를 계승했다 2권</v>
      </c>
      <c r="F720">
        <v>2</v>
      </c>
      <c r="G720" t="str">
        <f>T("신타비")</f>
        <v>신타비</v>
      </c>
      <c r="J720" t="str">
        <f>T("매드햇")</f>
        <v>매드햇</v>
      </c>
      <c r="K720" t="str">
        <f>T("[e북]저승의 왕위를 계승했다")</f>
        <v>[e북]저승의 왕위를 계승했다</v>
      </c>
      <c r="L720">
        <v>3200</v>
      </c>
      <c r="M720">
        <v>6400</v>
      </c>
      <c r="N720">
        <v>2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6400</v>
      </c>
      <c r="AJ720">
        <v>2</v>
      </c>
      <c r="AK720">
        <v>0</v>
      </c>
      <c r="AL720">
        <v>0</v>
      </c>
      <c r="AM720">
        <v>6400</v>
      </c>
      <c r="AN720">
        <v>0</v>
      </c>
      <c r="AO720">
        <v>0</v>
      </c>
      <c r="AP720">
        <v>0</v>
      </c>
      <c r="AQ720">
        <v>0</v>
      </c>
      <c r="AS720">
        <v>0</v>
      </c>
      <c r="AT720">
        <v>0</v>
      </c>
      <c r="AV720">
        <v>0</v>
      </c>
      <c r="AW720">
        <v>0</v>
      </c>
      <c r="AY720">
        <v>0</v>
      </c>
      <c r="AZ720">
        <v>0</v>
      </c>
      <c r="BA720">
        <v>4480</v>
      </c>
      <c r="BE720" t="str">
        <f>T("9791137010451")</f>
        <v>9791137010451</v>
      </c>
      <c r="BF720" t="str">
        <f>T("D004466")</f>
        <v>D004466</v>
      </c>
      <c r="BG720" t="str">
        <f>T("판타지 e북 &gt; 퓨전 판타지")</f>
        <v>판타지 e북 &gt; 퓨전 판타지</v>
      </c>
    </row>
    <row r="721" spans="1:59">
      <c r="A721" t="s">
        <v>60</v>
      </c>
      <c r="B721" s="1">
        <v>46129</v>
      </c>
      <c r="C721">
        <v>2378075057</v>
      </c>
      <c r="D721">
        <v>2378075063</v>
      </c>
      <c r="E721" t="str">
        <f>T("[e북]저승의 왕위를 계승했다 7권")</f>
        <v>[e북]저승의 왕위를 계승했다 7권</v>
      </c>
      <c r="F721">
        <v>7</v>
      </c>
      <c r="G721" t="str">
        <f>T("신타비")</f>
        <v>신타비</v>
      </c>
      <c r="J721" t="str">
        <f>T("매드햇")</f>
        <v>매드햇</v>
      </c>
      <c r="K721" t="str">
        <f>T("[e북]저승의 왕위를 계승했다")</f>
        <v>[e북]저승의 왕위를 계승했다</v>
      </c>
      <c r="L721">
        <v>3200</v>
      </c>
      <c r="M721">
        <v>3200</v>
      </c>
      <c r="N721">
        <v>1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3200</v>
      </c>
      <c r="AJ721">
        <v>1</v>
      </c>
      <c r="AK721">
        <v>0</v>
      </c>
      <c r="AL721">
        <v>0</v>
      </c>
      <c r="AM721">
        <v>3200</v>
      </c>
      <c r="AN721">
        <v>0</v>
      </c>
      <c r="AO721">
        <v>0</v>
      </c>
      <c r="AP721">
        <v>0</v>
      </c>
      <c r="AQ721">
        <v>0</v>
      </c>
      <c r="AS721">
        <v>0</v>
      </c>
      <c r="AT721">
        <v>0</v>
      </c>
      <c r="AV721">
        <v>0</v>
      </c>
      <c r="AW721">
        <v>0</v>
      </c>
      <c r="AY721">
        <v>0</v>
      </c>
      <c r="AZ721">
        <v>0</v>
      </c>
      <c r="BA721">
        <v>2240</v>
      </c>
      <c r="BE721" t="str">
        <f>T("9791137010505")</f>
        <v>9791137010505</v>
      </c>
      <c r="BF721" t="str">
        <f>T("D004471")</f>
        <v>D004471</v>
      </c>
      <c r="BG721" t="str">
        <f>T("판타지 e북 &gt; 퓨전 판타지")</f>
        <v>판타지 e북 &gt; 퓨전 판타지</v>
      </c>
    </row>
    <row r="722" spans="1:59">
      <c r="A722" t="s">
        <v>60</v>
      </c>
      <c r="B722" s="1">
        <v>46129</v>
      </c>
      <c r="C722">
        <v>2378075057</v>
      </c>
      <c r="D722">
        <v>2378075064</v>
      </c>
      <c r="E722" t="str">
        <f>T("[e북]저승의 왕위를 계승했다 8권")</f>
        <v>[e북]저승의 왕위를 계승했다 8권</v>
      </c>
      <c r="F722">
        <v>8</v>
      </c>
      <c r="G722" t="str">
        <f>T("신타비")</f>
        <v>신타비</v>
      </c>
      <c r="J722" t="str">
        <f>T("매드햇")</f>
        <v>매드햇</v>
      </c>
      <c r="K722" t="str">
        <f>T("[e북]저승의 왕위를 계승했다")</f>
        <v>[e북]저승의 왕위를 계승했다</v>
      </c>
      <c r="L722">
        <v>3200</v>
      </c>
      <c r="M722">
        <v>3200</v>
      </c>
      <c r="N722">
        <v>1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3200</v>
      </c>
      <c r="AJ722">
        <v>1</v>
      </c>
      <c r="AK722">
        <v>0</v>
      </c>
      <c r="AL722">
        <v>0</v>
      </c>
      <c r="AM722">
        <v>3200</v>
      </c>
      <c r="AN722">
        <v>0</v>
      </c>
      <c r="AO722">
        <v>0</v>
      </c>
      <c r="AP722">
        <v>0</v>
      </c>
      <c r="AQ722">
        <v>0</v>
      </c>
      <c r="AS722">
        <v>0</v>
      </c>
      <c r="AT722">
        <v>0</v>
      </c>
      <c r="AV722">
        <v>0</v>
      </c>
      <c r="AW722">
        <v>0</v>
      </c>
      <c r="AY722">
        <v>0</v>
      </c>
      <c r="AZ722">
        <v>0</v>
      </c>
      <c r="BA722">
        <v>2240</v>
      </c>
      <c r="BE722" t="str">
        <f>T("9791137010512")</f>
        <v>9791137010512</v>
      </c>
      <c r="BF722" t="str">
        <f>T("D004472")</f>
        <v>D004472</v>
      </c>
      <c r="BG722" t="str">
        <f>T("판타지 e북 &gt; 퓨전 판타지")</f>
        <v>판타지 e북 &gt; 퓨전 판타지</v>
      </c>
    </row>
    <row r="723" spans="1:59">
      <c r="A723" t="s">
        <v>60</v>
      </c>
      <c r="B723" s="1">
        <v>46130</v>
      </c>
      <c r="C723">
        <v>2378075057</v>
      </c>
      <c r="D723">
        <v>2378075059</v>
      </c>
      <c r="E723" t="str">
        <f>T("[e북]저승의 왕위를 계승했다 3권")</f>
        <v>[e북]저승의 왕위를 계승했다 3권</v>
      </c>
      <c r="F723">
        <v>3</v>
      </c>
      <c r="G723" t="str">
        <f>T("신타비")</f>
        <v>신타비</v>
      </c>
      <c r="J723" t="str">
        <f>T("매드햇")</f>
        <v>매드햇</v>
      </c>
      <c r="K723" t="str">
        <f>T("[e북]저승의 왕위를 계승했다")</f>
        <v>[e북]저승의 왕위를 계승했다</v>
      </c>
      <c r="L723">
        <v>3200</v>
      </c>
      <c r="M723">
        <v>6400</v>
      </c>
      <c r="N723">
        <v>2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6400</v>
      </c>
      <c r="AJ723">
        <v>2</v>
      </c>
      <c r="AK723">
        <v>0</v>
      </c>
      <c r="AL723">
        <v>0</v>
      </c>
      <c r="AM723">
        <v>6400</v>
      </c>
      <c r="AN723">
        <v>0</v>
      </c>
      <c r="AO723">
        <v>0</v>
      </c>
      <c r="AP723">
        <v>0</v>
      </c>
      <c r="AQ723">
        <v>0</v>
      </c>
      <c r="AS723">
        <v>0</v>
      </c>
      <c r="AT723">
        <v>0</v>
      </c>
      <c r="AV723">
        <v>0</v>
      </c>
      <c r="AW723">
        <v>0</v>
      </c>
      <c r="AY723">
        <v>0</v>
      </c>
      <c r="AZ723">
        <v>0</v>
      </c>
      <c r="BA723">
        <v>4480</v>
      </c>
      <c r="BE723" t="str">
        <f>T("9791137010468")</f>
        <v>9791137010468</v>
      </c>
      <c r="BF723" t="str">
        <f>T("D004467")</f>
        <v>D004467</v>
      </c>
      <c r="BG723" t="str">
        <f>T("판타지 e북 &gt; 퓨전 판타지")</f>
        <v>판타지 e북 &gt; 퓨전 판타지</v>
      </c>
    </row>
    <row r="724" spans="1:59">
      <c r="A724" t="s">
        <v>60</v>
      </c>
      <c r="B724" s="1">
        <v>46130</v>
      </c>
      <c r="C724">
        <v>2378075057</v>
      </c>
      <c r="D724">
        <v>2378075065</v>
      </c>
      <c r="E724" t="str">
        <f>T("[e북]저승의 왕위를 계승했다 9권")</f>
        <v>[e북]저승의 왕위를 계승했다 9권</v>
      </c>
      <c r="F724">
        <v>9</v>
      </c>
      <c r="G724" t="str">
        <f>T("신타비")</f>
        <v>신타비</v>
      </c>
      <c r="J724" t="str">
        <f>T("매드햇")</f>
        <v>매드햇</v>
      </c>
      <c r="K724" t="str">
        <f>T("[e북]저승의 왕위를 계승했다")</f>
        <v>[e북]저승의 왕위를 계승했다</v>
      </c>
      <c r="L724">
        <v>3200</v>
      </c>
      <c r="M724">
        <v>3200</v>
      </c>
      <c r="N724">
        <v>1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3200</v>
      </c>
      <c r="AJ724">
        <v>1</v>
      </c>
      <c r="AK724">
        <v>0</v>
      </c>
      <c r="AL724">
        <v>0</v>
      </c>
      <c r="AM724">
        <v>3200</v>
      </c>
      <c r="AN724">
        <v>0</v>
      </c>
      <c r="AO724">
        <v>0</v>
      </c>
      <c r="AP724">
        <v>0</v>
      </c>
      <c r="AQ724">
        <v>0</v>
      </c>
      <c r="AS724">
        <v>0</v>
      </c>
      <c r="AT724">
        <v>0</v>
      </c>
      <c r="AV724">
        <v>0</v>
      </c>
      <c r="AW724">
        <v>0</v>
      </c>
      <c r="AY724">
        <v>0</v>
      </c>
      <c r="AZ724">
        <v>0</v>
      </c>
      <c r="BA724">
        <v>2240</v>
      </c>
      <c r="BE724" t="str">
        <f>T("9791137010529")</f>
        <v>9791137010529</v>
      </c>
      <c r="BF724" t="str">
        <f>T("D004473")</f>
        <v>D004473</v>
      </c>
      <c r="BG724" t="str">
        <f>T("판타지 e북 &gt; 퓨전 판타지")</f>
        <v>판타지 e북 &gt; 퓨전 판타지</v>
      </c>
    </row>
    <row r="725" spans="1:59">
      <c r="A725" t="s">
        <v>60</v>
      </c>
      <c r="B725" s="1">
        <v>46130</v>
      </c>
      <c r="C725">
        <v>2378075057</v>
      </c>
      <c r="D725">
        <v>2378075066</v>
      </c>
      <c r="E725" t="str">
        <f>T("[e북]저승의 왕위를 계승했다 10권")</f>
        <v>[e북]저승의 왕위를 계승했다 10권</v>
      </c>
      <c r="F725">
        <v>10</v>
      </c>
      <c r="G725" t="str">
        <f>T("신타비")</f>
        <v>신타비</v>
      </c>
      <c r="J725" t="str">
        <f>T("매드햇")</f>
        <v>매드햇</v>
      </c>
      <c r="K725" t="str">
        <f>T("[e북]저승의 왕위를 계승했다")</f>
        <v>[e북]저승의 왕위를 계승했다</v>
      </c>
      <c r="L725">
        <v>3200</v>
      </c>
      <c r="M725">
        <v>3200</v>
      </c>
      <c r="N725">
        <v>1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3200</v>
      </c>
      <c r="AJ725">
        <v>1</v>
      </c>
      <c r="AK725">
        <v>0</v>
      </c>
      <c r="AL725">
        <v>0</v>
      </c>
      <c r="AM725">
        <v>3200</v>
      </c>
      <c r="AN725">
        <v>0</v>
      </c>
      <c r="AO725">
        <v>0</v>
      </c>
      <c r="AP725">
        <v>0</v>
      </c>
      <c r="AQ725">
        <v>0</v>
      </c>
      <c r="AS725">
        <v>0</v>
      </c>
      <c r="AT725">
        <v>0</v>
      </c>
      <c r="AV725">
        <v>0</v>
      </c>
      <c r="AW725">
        <v>0</v>
      </c>
      <c r="AY725">
        <v>0</v>
      </c>
      <c r="AZ725">
        <v>0</v>
      </c>
      <c r="BA725">
        <v>2240</v>
      </c>
      <c r="BE725" t="str">
        <f>T("9791137010536")</f>
        <v>9791137010536</v>
      </c>
      <c r="BF725" t="str">
        <f>T("D004474")</f>
        <v>D004474</v>
      </c>
      <c r="BG725" t="str">
        <f>T("판타지 e북 &gt; 퓨전 판타지")</f>
        <v>판타지 e북 &gt; 퓨전 판타지</v>
      </c>
    </row>
    <row r="726" spans="1:59">
      <c r="A726" t="s">
        <v>60</v>
      </c>
      <c r="B726" s="1">
        <v>46130</v>
      </c>
      <c r="C726">
        <v>2378075057</v>
      </c>
      <c r="D726">
        <v>2378075067</v>
      </c>
      <c r="E726" t="str">
        <f>T("[e북]저승의 왕위를 계승했다 11권")</f>
        <v>[e북]저승의 왕위를 계승했다 11권</v>
      </c>
      <c r="F726">
        <v>11</v>
      </c>
      <c r="G726" t="str">
        <f>T("신타비")</f>
        <v>신타비</v>
      </c>
      <c r="J726" t="str">
        <f>T("매드햇")</f>
        <v>매드햇</v>
      </c>
      <c r="K726" t="str">
        <f>T("[e북]저승의 왕위를 계승했다")</f>
        <v>[e북]저승의 왕위를 계승했다</v>
      </c>
      <c r="L726">
        <v>3200</v>
      </c>
      <c r="M726">
        <v>3200</v>
      </c>
      <c r="N726">
        <v>1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3200</v>
      </c>
      <c r="AJ726">
        <v>1</v>
      </c>
      <c r="AK726">
        <v>0</v>
      </c>
      <c r="AL726">
        <v>0</v>
      </c>
      <c r="AM726">
        <v>3200</v>
      </c>
      <c r="AN726">
        <v>0</v>
      </c>
      <c r="AO726">
        <v>0</v>
      </c>
      <c r="AP726">
        <v>0</v>
      </c>
      <c r="AQ726">
        <v>0</v>
      </c>
      <c r="AS726">
        <v>0</v>
      </c>
      <c r="AT726">
        <v>0</v>
      </c>
      <c r="AV726">
        <v>0</v>
      </c>
      <c r="AW726">
        <v>0</v>
      </c>
      <c r="AY726">
        <v>0</v>
      </c>
      <c r="AZ726">
        <v>0</v>
      </c>
      <c r="BA726">
        <v>2240</v>
      </c>
      <c r="BE726" t="str">
        <f>T("9791137010543")</f>
        <v>9791137010543</v>
      </c>
      <c r="BF726" t="str">
        <f>T("D004475")</f>
        <v>D004475</v>
      </c>
      <c r="BG726" t="str">
        <f>T("판타지 e북 &gt; 퓨전 판타지")</f>
        <v>판타지 e북 &gt; 퓨전 판타지</v>
      </c>
    </row>
    <row r="727" spans="1:59">
      <c r="A727" t="s">
        <v>60</v>
      </c>
      <c r="B727" s="1">
        <v>46130</v>
      </c>
      <c r="C727">
        <v>2378075057</v>
      </c>
      <c r="D727">
        <v>2378075068</v>
      </c>
      <c r="E727" t="str">
        <f>T("[e북]저승의 왕위를 계승했다 12권 (1부 완결)")</f>
        <v>[e북]저승의 왕위를 계승했다 12권 (1부 완결)</v>
      </c>
      <c r="F727">
        <v>12</v>
      </c>
      <c r="G727" t="str">
        <f>T("신타비")</f>
        <v>신타비</v>
      </c>
      <c r="J727" t="str">
        <f>T("매드햇")</f>
        <v>매드햇</v>
      </c>
      <c r="K727" t="str">
        <f>T("[e북]저승의 왕위를 계승했다")</f>
        <v>[e북]저승의 왕위를 계승했다</v>
      </c>
      <c r="L727">
        <v>3200</v>
      </c>
      <c r="M727">
        <v>3200</v>
      </c>
      <c r="N727">
        <v>1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3200</v>
      </c>
      <c r="AJ727">
        <v>1</v>
      </c>
      <c r="AK727">
        <v>0</v>
      </c>
      <c r="AL727">
        <v>0</v>
      </c>
      <c r="AM727">
        <v>3200</v>
      </c>
      <c r="AN727">
        <v>0</v>
      </c>
      <c r="AO727">
        <v>0</v>
      </c>
      <c r="AP727">
        <v>0</v>
      </c>
      <c r="AQ727">
        <v>0</v>
      </c>
      <c r="AS727">
        <v>0</v>
      </c>
      <c r="AT727">
        <v>0</v>
      </c>
      <c r="AV727">
        <v>0</v>
      </c>
      <c r="AW727">
        <v>0</v>
      </c>
      <c r="AY727">
        <v>0</v>
      </c>
      <c r="AZ727">
        <v>0</v>
      </c>
      <c r="BA727">
        <v>2240</v>
      </c>
      <c r="BE727" t="str">
        <f>T("9791137010550")</f>
        <v>9791137010550</v>
      </c>
      <c r="BF727" t="str">
        <f>T("D004476")</f>
        <v>D004476</v>
      </c>
      <c r="BG727" t="str">
        <f>T("판타지 e북 &gt; 퓨전 판타지")</f>
        <v>판타지 e북 &gt; 퓨전 판타지</v>
      </c>
    </row>
    <row r="728" spans="1:59">
      <c r="A728" t="s">
        <v>60</v>
      </c>
      <c r="B728" s="1">
        <v>46130</v>
      </c>
      <c r="C728">
        <v>2378075057</v>
      </c>
      <c r="D728">
        <v>2378075057</v>
      </c>
      <c r="E728" t="str">
        <f>T("[e북]저승의 왕위를 계승했다 1권")</f>
        <v>[e북]저승의 왕위를 계승했다 1권</v>
      </c>
      <c r="F728">
        <v>1</v>
      </c>
      <c r="G728" t="str">
        <f>T("신타비")</f>
        <v>신타비</v>
      </c>
      <c r="J728" t="str">
        <f>T("매드햇")</f>
        <v>매드햇</v>
      </c>
      <c r="K728" t="str">
        <f>T("[e북]저승의 왕위를 계승했다")</f>
        <v>[e북]저승의 왕위를 계승했다</v>
      </c>
      <c r="L728">
        <v>0</v>
      </c>
      <c r="M728">
        <v>0</v>
      </c>
      <c r="N728">
        <v>0</v>
      </c>
      <c r="O728">
        <v>2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2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S728">
        <v>0</v>
      </c>
      <c r="AT728">
        <v>0</v>
      </c>
      <c r="AV728">
        <v>0</v>
      </c>
      <c r="AW728">
        <v>0</v>
      </c>
      <c r="AY728">
        <v>0</v>
      </c>
      <c r="AZ728">
        <v>0</v>
      </c>
      <c r="BA728">
        <v>0</v>
      </c>
      <c r="BE728" t="str">
        <f>T("9791137010444")</f>
        <v>9791137010444</v>
      </c>
      <c r="BF728" t="str">
        <f>T("D004465")</f>
        <v>D004465</v>
      </c>
      <c r="BG728" t="str">
        <f>T("판타지 e북 &gt; 퓨전 판타지")</f>
        <v>판타지 e북 &gt; 퓨전 판타지</v>
      </c>
    </row>
    <row r="729" spans="1:59">
      <c r="A729" t="s">
        <v>60</v>
      </c>
      <c r="B729" s="1">
        <v>46130</v>
      </c>
      <c r="C729">
        <v>2378075057</v>
      </c>
      <c r="D729">
        <v>2378075060</v>
      </c>
      <c r="E729" t="str">
        <f>T("[e북]저승의 왕위를 계승했다 4권")</f>
        <v>[e북]저승의 왕위를 계승했다 4권</v>
      </c>
      <c r="F729">
        <v>4</v>
      </c>
      <c r="G729" t="str">
        <f>T("신타비")</f>
        <v>신타비</v>
      </c>
      <c r="J729" t="str">
        <f>T("매드햇")</f>
        <v>매드햇</v>
      </c>
      <c r="K729" t="str">
        <f>T("[e북]저승의 왕위를 계승했다")</f>
        <v>[e북]저승의 왕위를 계승했다</v>
      </c>
      <c r="L729">
        <v>3200</v>
      </c>
      <c r="M729">
        <v>3200</v>
      </c>
      <c r="N729">
        <v>1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3200</v>
      </c>
      <c r="AJ729">
        <v>1</v>
      </c>
      <c r="AK729">
        <v>0</v>
      </c>
      <c r="AL729">
        <v>0</v>
      </c>
      <c r="AM729">
        <v>3200</v>
      </c>
      <c r="AN729">
        <v>0</v>
      </c>
      <c r="AO729">
        <v>0</v>
      </c>
      <c r="AP729">
        <v>0</v>
      </c>
      <c r="AQ729">
        <v>0</v>
      </c>
      <c r="AS729">
        <v>0</v>
      </c>
      <c r="AT729">
        <v>0</v>
      </c>
      <c r="AV729">
        <v>0</v>
      </c>
      <c r="AW729">
        <v>0</v>
      </c>
      <c r="AY729">
        <v>0</v>
      </c>
      <c r="AZ729">
        <v>0</v>
      </c>
      <c r="BA729">
        <v>2240</v>
      </c>
      <c r="BE729" t="str">
        <f>T("9791137010475")</f>
        <v>9791137010475</v>
      </c>
      <c r="BF729" t="str">
        <f>T("D004468")</f>
        <v>D004468</v>
      </c>
      <c r="BG729" t="str">
        <f>T("판타지 e북 &gt; 퓨전 판타지")</f>
        <v>판타지 e북 &gt; 퓨전 판타지</v>
      </c>
    </row>
    <row r="730" spans="1:59">
      <c r="A730" t="s">
        <v>60</v>
      </c>
      <c r="B730" s="1">
        <v>46131</v>
      </c>
      <c r="C730">
        <v>2378075057</v>
      </c>
      <c r="D730">
        <v>2378075061</v>
      </c>
      <c r="E730" t="str">
        <f>T("[e북]저승의 왕위를 계승했다 5권")</f>
        <v>[e북]저승의 왕위를 계승했다 5권</v>
      </c>
      <c r="F730">
        <v>5</v>
      </c>
      <c r="G730" t="str">
        <f>T("신타비")</f>
        <v>신타비</v>
      </c>
      <c r="J730" t="str">
        <f>T("매드햇")</f>
        <v>매드햇</v>
      </c>
      <c r="K730" t="str">
        <f>T("[e북]저승의 왕위를 계승했다")</f>
        <v>[e북]저승의 왕위를 계승했다</v>
      </c>
      <c r="L730">
        <v>3200</v>
      </c>
      <c r="M730">
        <v>6400</v>
      </c>
      <c r="N730">
        <v>2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6400</v>
      </c>
      <c r="AJ730">
        <v>2</v>
      </c>
      <c r="AK730">
        <v>0</v>
      </c>
      <c r="AL730">
        <v>0</v>
      </c>
      <c r="AM730">
        <v>6400</v>
      </c>
      <c r="AN730">
        <v>0</v>
      </c>
      <c r="AO730">
        <v>0</v>
      </c>
      <c r="AP730">
        <v>0</v>
      </c>
      <c r="AQ730">
        <v>0</v>
      </c>
      <c r="AS730">
        <v>0</v>
      </c>
      <c r="AT730">
        <v>0</v>
      </c>
      <c r="AV730">
        <v>0</v>
      </c>
      <c r="AW730">
        <v>0</v>
      </c>
      <c r="AY730">
        <v>0</v>
      </c>
      <c r="AZ730">
        <v>0</v>
      </c>
      <c r="BA730">
        <v>4480</v>
      </c>
      <c r="BE730" t="str">
        <f>T("9791137010482")</f>
        <v>9791137010482</v>
      </c>
      <c r="BF730" t="str">
        <f>T("D004469")</f>
        <v>D004469</v>
      </c>
      <c r="BG730" t="str">
        <f>T("판타지 e북 &gt; 퓨전 판타지")</f>
        <v>판타지 e북 &gt; 퓨전 판타지</v>
      </c>
    </row>
    <row r="731" spans="1:59">
      <c r="A731" t="s">
        <v>60</v>
      </c>
      <c r="B731" s="1">
        <v>46131</v>
      </c>
      <c r="C731">
        <v>2378075057</v>
      </c>
      <c r="D731">
        <v>2378075062</v>
      </c>
      <c r="E731" t="str">
        <f>T("[e북]저승의 왕위를 계승했다 6권")</f>
        <v>[e북]저승의 왕위를 계승했다 6권</v>
      </c>
      <c r="F731">
        <v>6</v>
      </c>
      <c r="G731" t="str">
        <f>T("신타비")</f>
        <v>신타비</v>
      </c>
      <c r="J731" t="str">
        <f>T("매드햇")</f>
        <v>매드햇</v>
      </c>
      <c r="K731" t="str">
        <f>T("[e북]저승의 왕위를 계승했다")</f>
        <v>[e북]저승의 왕위를 계승했다</v>
      </c>
      <c r="L731">
        <v>3200</v>
      </c>
      <c r="M731">
        <v>3200</v>
      </c>
      <c r="N731">
        <v>1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3200</v>
      </c>
      <c r="AJ731">
        <v>1</v>
      </c>
      <c r="AK731">
        <v>0</v>
      </c>
      <c r="AL731">
        <v>0</v>
      </c>
      <c r="AM731">
        <v>3200</v>
      </c>
      <c r="AN731">
        <v>0</v>
      </c>
      <c r="AO731">
        <v>0</v>
      </c>
      <c r="AP731">
        <v>0</v>
      </c>
      <c r="AQ731">
        <v>0</v>
      </c>
      <c r="AS731">
        <v>0</v>
      </c>
      <c r="AT731">
        <v>0</v>
      </c>
      <c r="AV731">
        <v>0</v>
      </c>
      <c r="AW731">
        <v>0</v>
      </c>
      <c r="AY731">
        <v>0</v>
      </c>
      <c r="AZ731">
        <v>0</v>
      </c>
      <c r="BA731">
        <v>2240</v>
      </c>
      <c r="BE731" t="str">
        <f>T("9791137010499")</f>
        <v>9791137010499</v>
      </c>
      <c r="BF731" t="str">
        <f>T("D004470")</f>
        <v>D004470</v>
      </c>
      <c r="BG731" t="str">
        <f>T("판타지 e북 &gt; 퓨전 판타지")</f>
        <v>판타지 e북 &gt; 퓨전 판타지</v>
      </c>
    </row>
    <row r="732" spans="1:59">
      <c r="A732" t="s">
        <v>60</v>
      </c>
      <c r="B732" s="1">
        <v>46131</v>
      </c>
      <c r="C732">
        <v>2378075057</v>
      </c>
      <c r="D732">
        <v>2378075060</v>
      </c>
      <c r="E732" t="str">
        <f>T("[e북]저승의 왕위를 계승했다 4권")</f>
        <v>[e북]저승의 왕위를 계승했다 4권</v>
      </c>
      <c r="F732">
        <v>4</v>
      </c>
      <c r="G732" t="str">
        <f>T("신타비")</f>
        <v>신타비</v>
      </c>
      <c r="J732" t="str">
        <f>T("매드햇")</f>
        <v>매드햇</v>
      </c>
      <c r="K732" t="str">
        <f>T("[e북]저승의 왕위를 계승했다")</f>
        <v>[e북]저승의 왕위를 계승했다</v>
      </c>
      <c r="L732">
        <v>3200</v>
      </c>
      <c r="M732">
        <v>3200</v>
      </c>
      <c r="N732">
        <v>1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3200</v>
      </c>
      <c r="AJ732">
        <v>1</v>
      </c>
      <c r="AK732">
        <v>0</v>
      </c>
      <c r="AL732">
        <v>0</v>
      </c>
      <c r="AM732">
        <v>3200</v>
      </c>
      <c r="AN732">
        <v>0</v>
      </c>
      <c r="AO732">
        <v>0</v>
      </c>
      <c r="AP732">
        <v>0</v>
      </c>
      <c r="AQ732">
        <v>0</v>
      </c>
      <c r="AS732">
        <v>0</v>
      </c>
      <c r="AT732">
        <v>0</v>
      </c>
      <c r="AV732">
        <v>0</v>
      </c>
      <c r="AW732">
        <v>0</v>
      </c>
      <c r="AY732">
        <v>0</v>
      </c>
      <c r="AZ732">
        <v>0</v>
      </c>
      <c r="BA732">
        <v>2240</v>
      </c>
      <c r="BE732" t="str">
        <f>T("9791137010475")</f>
        <v>9791137010475</v>
      </c>
      <c r="BF732" t="str">
        <f>T("D004468")</f>
        <v>D004468</v>
      </c>
      <c r="BG732" t="str">
        <f>T("판타지 e북 &gt; 퓨전 판타지")</f>
        <v>판타지 e북 &gt; 퓨전 판타지</v>
      </c>
    </row>
    <row r="733" spans="1:59">
      <c r="A733" t="s">
        <v>60</v>
      </c>
      <c r="B733" s="1">
        <v>46131</v>
      </c>
      <c r="C733">
        <v>2378075057</v>
      </c>
      <c r="D733">
        <v>2378076747</v>
      </c>
      <c r="E733" t="str">
        <f>T("[e북]저승의 왕위를 계승했다 작가 노트")</f>
        <v>[e북]저승의 왕위를 계승했다 작가 노트</v>
      </c>
      <c r="F733">
        <v>13</v>
      </c>
      <c r="G733" t="str">
        <f>T("신타비")</f>
        <v>신타비</v>
      </c>
      <c r="J733" t="str">
        <f>T("매드햇")</f>
        <v>매드햇</v>
      </c>
      <c r="K733" t="str">
        <f>T("[e북]저승의 왕위를 계승했다")</f>
        <v>[e북]저승의 왕위를 계승했다</v>
      </c>
      <c r="L733">
        <v>0</v>
      </c>
      <c r="M733">
        <v>0</v>
      </c>
      <c r="N733">
        <v>0</v>
      </c>
      <c r="O733">
        <v>1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1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S733">
        <v>0</v>
      </c>
      <c r="AT733">
        <v>0</v>
      </c>
      <c r="AV733">
        <v>0</v>
      </c>
      <c r="AW733">
        <v>0</v>
      </c>
      <c r="AY733">
        <v>0</v>
      </c>
      <c r="AZ733">
        <v>0</v>
      </c>
      <c r="BA733">
        <v>0</v>
      </c>
      <c r="BE733" t="str">
        <f>T("9791137010833")</f>
        <v>9791137010833</v>
      </c>
      <c r="BG733" t="str">
        <f>T("판타지 e북 &gt; 퓨전 판타지")</f>
        <v>판타지 e북 &gt; 퓨전 판타지</v>
      </c>
    </row>
    <row r="734" spans="1:59">
      <c r="A734" t="s">
        <v>60</v>
      </c>
      <c r="B734" s="1">
        <v>46129</v>
      </c>
      <c r="C734">
        <v>2378001282</v>
      </c>
      <c r="D734">
        <v>2378001282</v>
      </c>
      <c r="E734" t="str">
        <f>T("[e북]정령사 자일 1권")</f>
        <v>[e북]정령사 자일 1권</v>
      </c>
      <c r="F734">
        <v>1</v>
      </c>
      <c r="G734" t="str">
        <f>T("고샅")</f>
        <v>고샅</v>
      </c>
      <c r="J734" t="str">
        <f>T("매드햇")</f>
        <v>매드햇</v>
      </c>
      <c r="K734" t="str">
        <f>T("[e북]정령사 자일")</f>
        <v>[e북]정령사 자일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1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1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S734">
        <v>0</v>
      </c>
      <c r="AT734">
        <v>0</v>
      </c>
      <c r="AV734">
        <v>0</v>
      </c>
      <c r="AW734">
        <v>0</v>
      </c>
      <c r="AY734">
        <v>0</v>
      </c>
      <c r="AZ734">
        <v>0</v>
      </c>
      <c r="BA734">
        <v>0</v>
      </c>
      <c r="BC734" t="str">
        <f>T("0000000000000")</f>
        <v>0000000000000</v>
      </c>
      <c r="BE734" t="str">
        <f>T("9791162581131")</f>
        <v>9791162581131</v>
      </c>
      <c r="BF734" t="str">
        <f>T("E276038")</f>
        <v>E276038</v>
      </c>
      <c r="BG734" t="str">
        <f>T("판타지 e북 &gt; 정통 판타지")</f>
        <v>판타지 e북 &gt; 정통 판타지</v>
      </c>
    </row>
    <row r="735" spans="1:59">
      <c r="A735" t="s">
        <v>60</v>
      </c>
      <c r="B735" s="1">
        <v>46130</v>
      </c>
      <c r="C735">
        <v>2378058587</v>
      </c>
      <c r="D735">
        <v>2378058587</v>
      </c>
      <c r="E735" t="str">
        <f>T("[e북]정복된 왕녀의 침실은 젖어들고 1권")</f>
        <v>[e북]정복된 왕녀의 침실은 젖어들고 1권</v>
      </c>
      <c r="F735">
        <v>1</v>
      </c>
      <c r="G735" t="str">
        <f>T("페니 D.")</f>
        <v>페니 D.</v>
      </c>
      <c r="J735" t="str">
        <f>T("누디나잇")</f>
        <v>누디나잇</v>
      </c>
      <c r="K735" t="str">
        <f>T("[e북]정복된 왕녀의 침실은 젖어들고")</f>
        <v>[e북]정복된 왕녀의 침실은 젖어들고</v>
      </c>
      <c r="L735">
        <v>1000</v>
      </c>
      <c r="M735">
        <v>1000</v>
      </c>
      <c r="N735">
        <v>1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1000</v>
      </c>
      <c r="AJ735">
        <v>1</v>
      </c>
      <c r="AK735">
        <v>0</v>
      </c>
      <c r="AL735">
        <v>0</v>
      </c>
      <c r="AM735">
        <v>1000</v>
      </c>
      <c r="AN735">
        <v>0</v>
      </c>
      <c r="AO735">
        <v>0</v>
      </c>
      <c r="AP735">
        <v>0</v>
      </c>
      <c r="AQ735">
        <v>0</v>
      </c>
      <c r="AS735">
        <v>0</v>
      </c>
      <c r="AT735">
        <v>0</v>
      </c>
      <c r="AV735">
        <v>0</v>
      </c>
      <c r="AW735">
        <v>0</v>
      </c>
      <c r="AY735">
        <v>0</v>
      </c>
      <c r="AZ735">
        <v>0</v>
      </c>
      <c r="BA735">
        <v>700</v>
      </c>
      <c r="BE735" t="str">
        <f>T("9791193028742")</f>
        <v>9791193028742</v>
      </c>
      <c r="BF735" t="str">
        <f>T("k130059")</f>
        <v>k130059</v>
      </c>
      <c r="BG735" t="str">
        <f>T("로맨스 e북 &gt; 섹슈얼 로맨스")</f>
        <v>로맨스 e북 &gt; 섹슈얼 로맨스</v>
      </c>
    </row>
    <row r="736" spans="1:59">
      <c r="A736" t="s">
        <v>60</v>
      </c>
      <c r="B736" s="1">
        <v>46130</v>
      </c>
      <c r="C736">
        <v>2378060616</v>
      </c>
      <c r="D736">
        <v>2378060616</v>
      </c>
      <c r="E736" t="str">
        <f>T("[e북]조선의 광해가 되었다 1권")</f>
        <v>[e북]조선의 광해가 되었다 1권</v>
      </c>
      <c r="F736">
        <v>1</v>
      </c>
      <c r="G736" t="str">
        <f>T("MOOHA")</f>
        <v>MOOHA</v>
      </c>
      <c r="J736" t="str">
        <f>T("사이렌")</f>
        <v>사이렌</v>
      </c>
      <c r="K736" t="str">
        <f>T("[e북]조선의 광해가 되었다")</f>
        <v>[e북]조선의 광해가 되었다</v>
      </c>
      <c r="L736">
        <v>0</v>
      </c>
      <c r="M736">
        <v>0</v>
      </c>
      <c r="N736">
        <v>0</v>
      </c>
      <c r="O736">
        <v>1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1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S736">
        <v>0</v>
      </c>
      <c r="AT736">
        <v>0</v>
      </c>
      <c r="AV736">
        <v>0</v>
      </c>
      <c r="AW736">
        <v>0</v>
      </c>
      <c r="AY736">
        <v>0</v>
      </c>
      <c r="AZ736">
        <v>0</v>
      </c>
      <c r="BA736">
        <v>0</v>
      </c>
      <c r="BE736" t="str">
        <f>T("9791198520043")</f>
        <v>9791198520043</v>
      </c>
      <c r="BF736" t="str">
        <f>T("k200384")</f>
        <v>k200384</v>
      </c>
      <c r="BG736" t="str">
        <f>T("판타지 e북 &gt; 대체 역사물")</f>
        <v>판타지 e북 &gt; 대체 역사물</v>
      </c>
    </row>
    <row r="737" spans="1:59">
      <c r="A737" t="s">
        <v>60</v>
      </c>
      <c r="B737" s="1">
        <v>46131</v>
      </c>
      <c r="C737">
        <v>2378060616</v>
      </c>
      <c r="D737">
        <v>2378060616</v>
      </c>
      <c r="E737" t="str">
        <f>T("[e북]조선의 광해가 되었다 1권")</f>
        <v>[e북]조선의 광해가 되었다 1권</v>
      </c>
      <c r="F737">
        <v>1</v>
      </c>
      <c r="G737" t="str">
        <f>T("MOOHA")</f>
        <v>MOOHA</v>
      </c>
      <c r="J737" t="str">
        <f>T("사이렌")</f>
        <v>사이렌</v>
      </c>
      <c r="K737" t="str">
        <f>T("[e북]조선의 광해가 되었다")</f>
        <v>[e북]조선의 광해가 되었다</v>
      </c>
      <c r="L737">
        <v>0</v>
      </c>
      <c r="M737">
        <v>0</v>
      </c>
      <c r="N737">
        <v>0</v>
      </c>
      <c r="O737">
        <v>1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1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S737">
        <v>0</v>
      </c>
      <c r="AT737">
        <v>0</v>
      </c>
      <c r="AV737">
        <v>0</v>
      </c>
      <c r="AW737">
        <v>0</v>
      </c>
      <c r="AY737">
        <v>0</v>
      </c>
      <c r="AZ737">
        <v>0</v>
      </c>
      <c r="BA737">
        <v>0</v>
      </c>
      <c r="BE737" t="str">
        <f>T("9791198520043")</f>
        <v>9791198520043</v>
      </c>
      <c r="BF737" t="str">
        <f>T("k200384")</f>
        <v>k200384</v>
      </c>
      <c r="BG737" t="str">
        <f>T("판타지 e북 &gt; 대체 역사물")</f>
        <v>판타지 e북 &gt; 대체 역사물</v>
      </c>
    </row>
    <row r="738" spans="1:59">
      <c r="A738" t="s">
        <v>60</v>
      </c>
      <c r="B738" s="1">
        <v>46129</v>
      </c>
      <c r="C738">
        <v>2378077675</v>
      </c>
      <c r="D738">
        <v>2378077675</v>
      </c>
      <c r="E738" t="str">
        <f>T("[e북]좀비 잡고 손은 씻냐? 1권")</f>
        <v>[e북]좀비 잡고 손은 씻냐? 1권</v>
      </c>
      <c r="F738">
        <v>1</v>
      </c>
      <c r="G738" t="str">
        <f>T("P칸츄")</f>
        <v>P칸츄</v>
      </c>
      <c r="J738" t="str">
        <f>T("매드햇")</f>
        <v>매드햇</v>
      </c>
      <c r="K738" t="str">
        <f>T("[e북]좀비 잡고 손은 씻냐?")</f>
        <v>[e북]좀비 잡고 손은 씻냐?</v>
      </c>
      <c r="L738">
        <v>0</v>
      </c>
      <c r="M738">
        <v>0</v>
      </c>
      <c r="N738">
        <v>0</v>
      </c>
      <c r="O738">
        <v>1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1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S738">
        <v>0</v>
      </c>
      <c r="AT738">
        <v>0</v>
      </c>
      <c r="AV738">
        <v>0</v>
      </c>
      <c r="AW738">
        <v>0</v>
      </c>
      <c r="AY738">
        <v>0</v>
      </c>
      <c r="AZ738">
        <v>0</v>
      </c>
      <c r="BA738">
        <v>0</v>
      </c>
      <c r="BE738" t="str">
        <f>T("9791137023789")</f>
        <v>9791137023789</v>
      </c>
      <c r="BF738" t="str">
        <f>T("D099882")</f>
        <v>D099882</v>
      </c>
      <c r="BG738" t="str">
        <f>T("판타지 e북 &gt; 현대 판타지")</f>
        <v>판타지 e북 &gt; 현대 판타지</v>
      </c>
    </row>
    <row r="739" spans="1:59">
      <c r="A739" t="s">
        <v>60</v>
      </c>
      <c r="B739" s="1">
        <v>46129</v>
      </c>
      <c r="C739">
        <v>2378012304</v>
      </c>
      <c r="D739">
        <v>2378012304</v>
      </c>
      <c r="E739" t="str">
        <f>T("[e북]좋다고 말해")</f>
        <v>[e북]좋다고 말해</v>
      </c>
      <c r="F739">
        <v>1</v>
      </c>
      <c r="G739" t="str">
        <f>T("채하정")</f>
        <v>채하정</v>
      </c>
      <c r="J739" t="str">
        <f>T("하트퀸")</f>
        <v>하트퀸</v>
      </c>
      <c r="K739" t="str">
        <f>T("[e북]좋다고 말해")</f>
        <v>[e북]좋다고 말해</v>
      </c>
      <c r="L739">
        <v>3600</v>
      </c>
      <c r="M739">
        <v>3600</v>
      </c>
      <c r="N739">
        <v>1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3600</v>
      </c>
      <c r="AJ739">
        <v>1</v>
      </c>
      <c r="AK739">
        <v>0</v>
      </c>
      <c r="AL739">
        <v>0</v>
      </c>
      <c r="AM739">
        <v>0</v>
      </c>
      <c r="AN739">
        <v>0</v>
      </c>
      <c r="AO739">
        <v>4320</v>
      </c>
      <c r="AP739">
        <v>-432</v>
      </c>
      <c r="AQ739">
        <v>0</v>
      </c>
      <c r="AS739">
        <v>0</v>
      </c>
      <c r="AT739">
        <v>0</v>
      </c>
      <c r="AV739">
        <v>0</v>
      </c>
      <c r="AW739">
        <v>0</v>
      </c>
      <c r="AX739">
        <v>4320</v>
      </c>
      <c r="AY739">
        <v>-432</v>
      </c>
      <c r="AZ739">
        <v>0</v>
      </c>
      <c r="BA739">
        <v>2721.6</v>
      </c>
      <c r="BC739" t="str">
        <f>T("0000000000000")</f>
        <v>0000000000000</v>
      </c>
      <c r="BE739" t="str">
        <f>T("9791164973767")</f>
        <v>9791164973767</v>
      </c>
      <c r="BF739" t="str">
        <f>T("E671040")</f>
        <v>E671040</v>
      </c>
      <c r="BG739" t="str">
        <f>T("로맨스 e북 &gt; 현대물")</f>
        <v>로맨스 e북 &gt; 현대물</v>
      </c>
    </row>
    <row r="740" spans="1:59">
      <c r="A740" t="s">
        <v>60</v>
      </c>
      <c r="B740" s="1">
        <v>46129</v>
      </c>
      <c r="C740">
        <v>2378012304</v>
      </c>
      <c r="D740">
        <v>2378013728</v>
      </c>
      <c r="E740" t="str">
        <f>T("[e북]좋다고 말해 (외전)")</f>
        <v>[e북]좋다고 말해 (외전)</v>
      </c>
      <c r="F740">
        <v>2</v>
      </c>
      <c r="G740" t="str">
        <f>T("채하정")</f>
        <v>채하정</v>
      </c>
      <c r="J740" t="str">
        <f>T("하트퀸")</f>
        <v>하트퀸</v>
      </c>
      <c r="K740" t="str">
        <f>T("[e북]좋다고 말해")</f>
        <v>[e북]좋다고 말해</v>
      </c>
      <c r="L740">
        <v>400</v>
      </c>
      <c r="M740">
        <v>400</v>
      </c>
      <c r="N740">
        <v>1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400</v>
      </c>
      <c r="AJ740">
        <v>1</v>
      </c>
      <c r="AK740">
        <v>0</v>
      </c>
      <c r="AL740">
        <v>0</v>
      </c>
      <c r="AM740">
        <v>0</v>
      </c>
      <c r="AN740">
        <v>0</v>
      </c>
      <c r="AO740">
        <v>480</v>
      </c>
      <c r="AP740">
        <v>-48</v>
      </c>
      <c r="AQ740">
        <v>0</v>
      </c>
      <c r="AS740">
        <v>0</v>
      </c>
      <c r="AT740">
        <v>0</v>
      </c>
      <c r="AV740">
        <v>0</v>
      </c>
      <c r="AW740">
        <v>0</v>
      </c>
      <c r="AX740">
        <v>480</v>
      </c>
      <c r="AY740">
        <v>-48</v>
      </c>
      <c r="AZ740">
        <v>0</v>
      </c>
      <c r="BA740">
        <v>302.39999999999998</v>
      </c>
      <c r="BC740" t="str">
        <f>T("0000000000000")</f>
        <v>0000000000000</v>
      </c>
      <c r="BE740" t="str">
        <f>T("9791164974269")</f>
        <v>9791164974269</v>
      </c>
      <c r="BF740" t="str">
        <f>T("9791164974269")</f>
        <v>9791164974269</v>
      </c>
      <c r="BG740" t="str">
        <f>T("로맨스 e북 &gt; 현대물")</f>
        <v>로맨스 e북 &gt; 현대물</v>
      </c>
    </row>
    <row r="741" spans="1:59">
      <c r="A741" t="s">
        <v>60</v>
      </c>
      <c r="B741" s="1">
        <v>46129</v>
      </c>
      <c r="C741">
        <v>2378005671</v>
      </c>
      <c r="D741">
        <v>2378005672</v>
      </c>
      <c r="E741" t="str">
        <f>T("[e북]죽음의 기사 2권")</f>
        <v>[e북]죽음의 기사 2권</v>
      </c>
      <c r="F741">
        <v>2</v>
      </c>
      <c r="G741" t="str">
        <f>T("고샅")</f>
        <v>고샅</v>
      </c>
      <c r="J741" t="str">
        <f>T("매드햇")</f>
        <v>매드햇</v>
      </c>
      <c r="K741" t="str">
        <f>T("[e북]죽음의 기사")</f>
        <v>[e북]죽음의 기사</v>
      </c>
      <c r="L741">
        <v>3000</v>
      </c>
      <c r="M741">
        <v>0</v>
      </c>
      <c r="N741">
        <v>0</v>
      </c>
      <c r="O741">
        <v>0</v>
      </c>
      <c r="P741">
        <v>900</v>
      </c>
      <c r="Q741">
        <v>1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900</v>
      </c>
      <c r="AJ741">
        <v>1</v>
      </c>
      <c r="AK741">
        <v>0</v>
      </c>
      <c r="AL741">
        <v>0</v>
      </c>
      <c r="AM741">
        <v>900</v>
      </c>
      <c r="AN741">
        <v>0</v>
      </c>
      <c r="AO741">
        <v>0</v>
      </c>
      <c r="AP741">
        <v>0</v>
      </c>
      <c r="AQ741">
        <v>0</v>
      </c>
      <c r="AS741">
        <v>0</v>
      </c>
      <c r="AT741">
        <v>0</v>
      </c>
      <c r="AV741">
        <v>0</v>
      </c>
      <c r="AW741">
        <v>0</v>
      </c>
      <c r="AY741">
        <v>0</v>
      </c>
      <c r="AZ741">
        <v>0</v>
      </c>
      <c r="BA741">
        <v>630</v>
      </c>
      <c r="BC741" t="str">
        <f>T("0000000000000")</f>
        <v>0000000000000</v>
      </c>
      <c r="BE741" t="str">
        <f>T("9791162587232")</f>
        <v>9791162587232</v>
      </c>
      <c r="BF741" t="str">
        <f>T("E357032")</f>
        <v>E357032</v>
      </c>
      <c r="BG741" t="str">
        <f>T("판타지 e북 &gt; 정통 판타지")</f>
        <v>판타지 e북 &gt; 정통 판타지</v>
      </c>
    </row>
    <row r="742" spans="1:59">
      <c r="A742" t="s">
        <v>60</v>
      </c>
      <c r="B742" s="1">
        <v>46129</v>
      </c>
      <c r="C742">
        <v>2378005671</v>
      </c>
      <c r="D742">
        <v>2378005673</v>
      </c>
      <c r="E742" t="str">
        <f>T("[e북]죽음의 기사 3권")</f>
        <v>[e북]죽음의 기사 3권</v>
      </c>
      <c r="F742">
        <v>3</v>
      </c>
      <c r="G742" t="str">
        <f>T("고샅")</f>
        <v>고샅</v>
      </c>
      <c r="J742" t="str">
        <f>T("매드햇")</f>
        <v>매드햇</v>
      </c>
      <c r="K742" t="str">
        <f>T("[e북]죽음의 기사")</f>
        <v>[e북]죽음의 기사</v>
      </c>
      <c r="L742">
        <v>3000</v>
      </c>
      <c r="M742">
        <v>0</v>
      </c>
      <c r="N742">
        <v>0</v>
      </c>
      <c r="O742">
        <v>0</v>
      </c>
      <c r="P742">
        <v>900</v>
      </c>
      <c r="Q742">
        <v>1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900</v>
      </c>
      <c r="AJ742">
        <v>1</v>
      </c>
      <c r="AK742">
        <v>0</v>
      </c>
      <c r="AL742">
        <v>0</v>
      </c>
      <c r="AM742">
        <v>900</v>
      </c>
      <c r="AN742">
        <v>0</v>
      </c>
      <c r="AO742">
        <v>0</v>
      </c>
      <c r="AP742">
        <v>0</v>
      </c>
      <c r="AQ742">
        <v>0</v>
      </c>
      <c r="AS742">
        <v>0</v>
      </c>
      <c r="AT742">
        <v>0</v>
      </c>
      <c r="AV742">
        <v>0</v>
      </c>
      <c r="AW742">
        <v>0</v>
      </c>
      <c r="AY742">
        <v>0</v>
      </c>
      <c r="AZ742">
        <v>0</v>
      </c>
      <c r="BA742">
        <v>630</v>
      </c>
      <c r="BC742" t="str">
        <f>T("0000000000000")</f>
        <v>0000000000000</v>
      </c>
      <c r="BE742" t="str">
        <f>T("9791162587249")</f>
        <v>9791162587249</v>
      </c>
      <c r="BF742" t="str">
        <f>T("E357033")</f>
        <v>E357033</v>
      </c>
      <c r="BG742" t="str">
        <f>T("판타지 e북 &gt; 정통 판타지")</f>
        <v>판타지 e북 &gt; 정통 판타지</v>
      </c>
    </row>
    <row r="743" spans="1:59">
      <c r="A743" t="s">
        <v>60</v>
      </c>
      <c r="B743" s="1">
        <v>46130</v>
      </c>
      <c r="C743">
        <v>2378005671</v>
      </c>
      <c r="D743">
        <v>2378005674</v>
      </c>
      <c r="E743" t="str">
        <f>T("[e북]죽음의 기사 4권")</f>
        <v>[e북]죽음의 기사 4권</v>
      </c>
      <c r="F743">
        <v>4</v>
      </c>
      <c r="G743" t="str">
        <f>T("고샅")</f>
        <v>고샅</v>
      </c>
      <c r="J743" t="str">
        <f>T("매드햇")</f>
        <v>매드햇</v>
      </c>
      <c r="K743" t="str">
        <f>T("[e북]죽음의 기사")</f>
        <v>[e북]죽음의 기사</v>
      </c>
      <c r="L743">
        <v>3000</v>
      </c>
      <c r="M743">
        <v>0</v>
      </c>
      <c r="N743">
        <v>0</v>
      </c>
      <c r="O743">
        <v>0</v>
      </c>
      <c r="P743">
        <v>900</v>
      </c>
      <c r="Q743">
        <v>1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900</v>
      </c>
      <c r="AJ743">
        <v>1</v>
      </c>
      <c r="AK743">
        <v>0</v>
      </c>
      <c r="AL743">
        <v>0</v>
      </c>
      <c r="AM743">
        <v>900</v>
      </c>
      <c r="AN743">
        <v>0</v>
      </c>
      <c r="AO743">
        <v>0</v>
      </c>
      <c r="AP743">
        <v>0</v>
      </c>
      <c r="AQ743">
        <v>0</v>
      </c>
      <c r="AS743">
        <v>0</v>
      </c>
      <c r="AT743">
        <v>0</v>
      </c>
      <c r="AV743">
        <v>0</v>
      </c>
      <c r="AW743">
        <v>0</v>
      </c>
      <c r="AY743">
        <v>0</v>
      </c>
      <c r="AZ743">
        <v>0</v>
      </c>
      <c r="BA743">
        <v>630</v>
      </c>
      <c r="BC743" t="str">
        <f>T("0000000000000")</f>
        <v>0000000000000</v>
      </c>
      <c r="BE743" t="str">
        <f>T("9791162587256")</f>
        <v>9791162587256</v>
      </c>
      <c r="BF743" t="str">
        <f>T("E357034")</f>
        <v>E357034</v>
      </c>
      <c r="BG743" t="str">
        <f>T("판타지 e북 &gt; 정통 판타지")</f>
        <v>판타지 e북 &gt; 정통 판타지</v>
      </c>
    </row>
    <row r="744" spans="1:59">
      <c r="A744" t="s">
        <v>60</v>
      </c>
      <c r="B744" s="1">
        <v>46130</v>
      </c>
      <c r="C744">
        <v>2378005671</v>
      </c>
      <c r="D744">
        <v>2378005675</v>
      </c>
      <c r="E744" t="str">
        <f>T("[e북]죽음의 기사 5권")</f>
        <v>[e북]죽음의 기사 5권</v>
      </c>
      <c r="F744">
        <v>5</v>
      </c>
      <c r="G744" t="str">
        <f>T("고샅")</f>
        <v>고샅</v>
      </c>
      <c r="J744" t="str">
        <f>T("매드햇")</f>
        <v>매드햇</v>
      </c>
      <c r="K744" t="str">
        <f>T("[e북]죽음의 기사")</f>
        <v>[e북]죽음의 기사</v>
      </c>
      <c r="L744">
        <v>3000</v>
      </c>
      <c r="M744">
        <v>0</v>
      </c>
      <c r="N744">
        <v>0</v>
      </c>
      <c r="O744">
        <v>0</v>
      </c>
      <c r="P744">
        <v>900</v>
      </c>
      <c r="Q744">
        <v>1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900</v>
      </c>
      <c r="AJ744">
        <v>1</v>
      </c>
      <c r="AK744">
        <v>0</v>
      </c>
      <c r="AL744">
        <v>0</v>
      </c>
      <c r="AM744">
        <v>900</v>
      </c>
      <c r="AN744">
        <v>0</v>
      </c>
      <c r="AO744">
        <v>0</v>
      </c>
      <c r="AP744">
        <v>0</v>
      </c>
      <c r="AQ744">
        <v>0</v>
      </c>
      <c r="AS744">
        <v>0</v>
      </c>
      <c r="AT744">
        <v>0</v>
      </c>
      <c r="AV744">
        <v>0</v>
      </c>
      <c r="AW744">
        <v>0</v>
      </c>
      <c r="AY744">
        <v>0</v>
      </c>
      <c r="AZ744">
        <v>0</v>
      </c>
      <c r="BA744">
        <v>630</v>
      </c>
      <c r="BC744" t="str">
        <f>T("0000000000000")</f>
        <v>0000000000000</v>
      </c>
      <c r="BE744" t="str">
        <f>T("9791162587263")</f>
        <v>9791162587263</v>
      </c>
      <c r="BF744" t="str">
        <f>T("E357035")</f>
        <v>E357035</v>
      </c>
      <c r="BG744" t="str">
        <f>T("판타지 e북 &gt; 정통 판타지")</f>
        <v>판타지 e북 &gt; 정통 판타지</v>
      </c>
    </row>
    <row r="745" spans="1:59">
      <c r="A745" t="s">
        <v>60</v>
      </c>
      <c r="B745" s="1">
        <v>46131</v>
      </c>
      <c r="C745">
        <v>2378005671</v>
      </c>
      <c r="D745">
        <v>2378005676</v>
      </c>
      <c r="E745" t="str">
        <f>T("[e북]죽음의 기사 6권")</f>
        <v>[e북]죽음의 기사 6권</v>
      </c>
      <c r="F745">
        <v>6</v>
      </c>
      <c r="G745" t="str">
        <f>T("고샅")</f>
        <v>고샅</v>
      </c>
      <c r="J745" t="str">
        <f>T("매드햇")</f>
        <v>매드햇</v>
      </c>
      <c r="K745" t="str">
        <f>T("[e북]죽음의 기사")</f>
        <v>[e북]죽음의 기사</v>
      </c>
      <c r="L745">
        <v>3000</v>
      </c>
      <c r="M745">
        <v>0</v>
      </c>
      <c r="N745">
        <v>0</v>
      </c>
      <c r="O745">
        <v>0</v>
      </c>
      <c r="P745">
        <v>900</v>
      </c>
      <c r="Q745">
        <v>1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900</v>
      </c>
      <c r="AJ745">
        <v>1</v>
      </c>
      <c r="AK745">
        <v>0</v>
      </c>
      <c r="AL745">
        <v>0</v>
      </c>
      <c r="AM745">
        <v>900</v>
      </c>
      <c r="AN745">
        <v>0</v>
      </c>
      <c r="AO745">
        <v>0</v>
      </c>
      <c r="AP745">
        <v>0</v>
      </c>
      <c r="AQ745">
        <v>0</v>
      </c>
      <c r="AS745">
        <v>0</v>
      </c>
      <c r="AT745">
        <v>0</v>
      </c>
      <c r="AV745">
        <v>0</v>
      </c>
      <c r="AW745">
        <v>0</v>
      </c>
      <c r="AY745">
        <v>0</v>
      </c>
      <c r="AZ745">
        <v>0</v>
      </c>
      <c r="BA745">
        <v>630</v>
      </c>
      <c r="BC745" t="str">
        <f>T("0000000000000")</f>
        <v>0000000000000</v>
      </c>
      <c r="BE745" t="str">
        <f>T("9791162587270")</f>
        <v>9791162587270</v>
      </c>
      <c r="BF745" t="str">
        <f>T("E357036")</f>
        <v>E357036</v>
      </c>
      <c r="BG745" t="str">
        <f>T("판타지 e북 &gt; 정통 판타지")</f>
        <v>판타지 e북 &gt; 정통 판타지</v>
      </c>
    </row>
    <row r="746" spans="1:59">
      <c r="A746" t="s">
        <v>60</v>
      </c>
      <c r="B746" s="1">
        <v>46131</v>
      </c>
      <c r="C746">
        <v>2378005671</v>
      </c>
      <c r="D746">
        <v>2378005677</v>
      </c>
      <c r="E746" t="str">
        <f>T("[e북]죽음의 기사 7권 (완결)")</f>
        <v>[e북]죽음의 기사 7권 (완결)</v>
      </c>
      <c r="F746">
        <v>7</v>
      </c>
      <c r="G746" t="str">
        <f>T("고샅")</f>
        <v>고샅</v>
      </c>
      <c r="J746" t="str">
        <f>T("매드햇")</f>
        <v>매드햇</v>
      </c>
      <c r="K746" t="str">
        <f>T("[e북]죽음의 기사")</f>
        <v>[e북]죽음의 기사</v>
      </c>
      <c r="L746">
        <v>3000</v>
      </c>
      <c r="M746">
        <v>0</v>
      </c>
      <c r="N746">
        <v>0</v>
      </c>
      <c r="O746">
        <v>0</v>
      </c>
      <c r="P746">
        <v>900</v>
      </c>
      <c r="Q746">
        <v>1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900</v>
      </c>
      <c r="AJ746">
        <v>1</v>
      </c>
      <c r="AK746">
        <v>0</v>
      </c>
      <c r="AL746">
        <v>0</v>
      </c>
      <c r="AM746">
        <v>900</v>
      </c>
      <c r="AN746">
        <v>0</v>
      </c>
      <c r="AO746">
        <v>0</v>
      </c>
      <c r="AP746">
        <v>0</v>
      </c>
      <c r="AQ746">
        <v>0</v>
      </c>
      <c r="AS746">
        <v>0</v>
      </c>
      <c r="AT746">
        <v>0</v>
      </c>
      <c r="AV746">
        <v>0</v>
      </c>
      <c r="AW746">
        <v>0</v>
      </c>
      <c r="AY746">
        <v>0</v>
      </c>
      <c r="AZ746">
        <v>0</v>
      </c>
      <c r="BA746">
        <v>630</v>
      </c>
      <c r="BC746" t="str">
        <f>T("0000000000000")</f>
        <v>0000000000000</v>
      </c>
      <c r="BE746" t="str">
        <f>T("9791162587287")</f>
        <v>9791162587287</v>
      </c>
      <c r="BF746" t="str">
        <f>T("E357037")</f>
        <v>E357037</v>
      </c>
      <c r="BG746" t="str">
        <f>T("판타지 e북 &gt; 정통 판타지")</f>
        <v>판타지 e북 &gt; 정통 판타지</v>
      </c>
    </row>
    <row r="747" spans="1:59">
      <c r="A747" t="s">
        <v>60</v>
      </c>
      <c r="B747" s="1">
        <v>46130</v>
      </c>
      <c r="C747">
        <v>2378049794</v>
      </c>
      <c r="D747">
        <v>2378049794</v>
      </c>
      <c r="E747" t="str">
        <f>T("[e북]증권 재벌의 천재 손자가 되었다 1권")</f>
        <v>[e북]증권 재벌의 천재 손자가 되었다 1권</v>
      </c>
      <c r="F747">
        <v>1</v>
      </c>
      <c r="G747" t="str">
        <f>T("번파")</f>
        <v>번파</v>
      </c>
      <c r="J747" t="str">
        <f>T("매드햇")</f>
        <v>매드햇</v>
      </c>
      <c r="K747" t="str">
        <f>T("[e북]증권 재벌의 천재 손자가 되었다")</f>
        <v>[e북]증권 재벌의 천재 손자가 되었다</v>
      </c>
      <c r="L747">
        <v>0</v>
      </c>
      <c r="M747">
        <v>0</v>
      </c>
      <c r="N747">
        <v>0</v>
      </c>
      <c r="O747">
        <v>2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2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S747">
        <v>0</v>
      </c>
      <c r="AT747">
        <v>0</v>
      </c>
      <c r="AV747">
        <v>0</v>
      </c>
      <c r="AW747">
        <v>0</v>
      </c>
      <c r="AY747">
        <v>0</v>
      </c>
      <c r="AZ747">
        <v>0</v>
      </c>
      <c r="BA747">
        <v>0</v>
      </c>
      <c r="BE747" t="str">
        <f>T("9791137008342")</f>
        <v>9791137008342</v>
      </c>
      <c r="BF747" t="str">
        <f>T("k033368")</f>
        <v>k033368</v>
      </c>
      <c r="BG747" t="str">
        <f>T("판타지 e북 &gt; 현대 판타지")</f>
        <v>판타지 e북 &gt; 현대 판타지</v>
      </c>
    </row>
    <row r="748" spans="1:59">
      <c r="A748" t="s">
        <v>60</v>
      </c>
      <c r="B748" s="1">
        <v>46131</v>
      </c>
      <c r="C748">
        <v>2378049794</v>
      </c>
      <c r="D748">
        <v>2378049794</v>
      </c>
      <c r="E748" t="str">
        <f>T("[e북]증권 재벌의 천재 손자가 되었다 1권")</f>
        <v>[e북]증권 재벌의 천재 손자가 되었다 1권</v>
      </c>
      <c r="F748">
        <v>1</v>
      </c>
      <c r="G748" t="str">
        <f>T("번파")</f>
        <v>번파</v>
      </c>
      <c r="J748" t="str">
        <f>T("매드햇")</f>
        <v>매드햇</v>
      </c>
      <c r="K748" t="str">
        <f>T("[e북]증권 재벌의 천재 손자가 되었다")</f>
        <v>[e북]증권 재벌의 천재 손자가 되었다</v>
      </c>
      <c r="L748">
        <v>0</v>
      </c>
      <c r="M748">
        <v>0</v>
      </c>
      <c r="N748">
        <v>0</v>
      </c>
      <c r="O748">
        <v>1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1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S748">
        <v>0</v>
      </c>
      <c r="AT748">
        <v>0</v>
      </c>
      <c r="AV748">
        <v>0</v>
      </c>
      <c r="AW748">
        <v>0</v>
      </c>
      <c r="AY748">
        <v>0</v>
      </c>
      <c r="AZ748">
        <v>0</v>
      </c>
      <c r="BA748">
        <v>0</v>
      </c>
      <c r="BE748" t="str">
        <f>T("9791137008342")</f>
        <v>9791137008342</v>
      </c>
      <c r="BF748" t="str">
        <f>T("k033368")</f>
        <v>k033368</v>
      </c>
      <c r="BG748" t="str">
        <f>T("판타지 e북 &gt; 현대 판타지")</f>
        <v>판타지 e북 &gt; 현대 판타지</v>
      </c>
    </row>
    <row r="749" spans="1:59">
      <c r="A749" t="s">
        <v>60</v>
      </c>
      <c r="B749" s="1">
        <v>46130</v>
      </c>
      <c r="C749">
        <v>2378081030</v>
      </c>
      <c r="D749">
        <v>2378081030</v>
      </c>
      <c r="E749" t="str">
        <f>T("[e북]차사와 구렁이 1권")</f>
        <v>[e북]차사와 구렁이 1권</v>
      </c>
      <c r="F749">
        <v>1</v>
      </c>
      <c r="G749" t="str">
        <f>T("마뇽")</f>
        <v>마뇽</v>
      </c>
      <c r="J749" t="str">
        <f>T("시계토끼")</f>
        <v>시계토끼</v>
      </c>
      <c r="K749" t="str">
        <f>T("[e북]차사와 구렁이")</f>
        <v>[e북]차사와 구렁이</v>
      </c>
      <c r="L749">
        <v>2500</v>
      </c>
      <c r="M749">
        <v>5000</v>
      </c>
      <c r="N749">
        <v>2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5000</v>
      </c>
      <c r="AJ749">
        <v>2</v>
      </c>
      <c r="AK749">
        <v>0</v>
      </c>
      <c r="AL749">
        <v>0</v>
      </c>
      <c r="AM749">
        <v>5000</v>
      </c>
      <c r="AN749">
        <v>0</v>
      </c>
      <c r="AO749">
        <v>0</v>
      </c>
      <c r="AP749">
        <v>0</v>
      </c>
      <c r="AQ749">
        <v>0</v>
      </c>
      <c r="AS749">
        <v>0</v>
      </c>
      <c r="AT749">
        <v>0</v>
      </c>
      <c r="AV749">
        <v>0</v>
      </c>
      <c r="AW749">
        <v>0</v>
      </c>
      <c r="AY749">
        <v>0</v>
      </c>
      <c r="AZ749">
        <v>0</v>
      </c>
      <c r="BA749">
        <v>3500</v>
      </c>
      <c r="BF749" t="str">
        <f>T("D243541")</f>
        <v>D243541</v>
      </c>
      <c r="BG749" t="str">
        <f>T("로맨스 e북 &gt; 역사/시대물")</f>
        <v>로맨스 e북 &gt; 역사/시대물</v>
      </c>
    </row>
    <row r="750" spans="1:59">
      <c r="A750" t="s">
        <v>60</v>
      </c>
      <c r="B750" s="1">
        <v>46130</v>
      </c>
      <c r="C750">
        <v>2378081030</v>
      </c>
      <c r="D750">
        <v>2378081031</v>
      </c>
      <c r="E750" t="str">
        <f>T("[e북]차사와 구렁이 2권 (완결)")</f>
        <v>[e북]차사와 구렁이 2권 (완결)</v>
      </c>
      <c r="F750">
        <v>2</v>
      </c>
      <c r="G750" t="str">
        <f>T("마뇽")</f>
        <v>마뇽</v>
      </c>
      <c r="J750" t="str">
        <f>T("시계토끼")</f>
        <v>시계토끼</v>
      </c>
      <c r="K750" t="str">
        <f>T("[e북]차사와 구렁이")</f>
        <v>[e북]차사와 구렁이</v>
      </c>
      <c r="L750">
        <v>2500</v>
      </c>
      <c r="M750">
        <v>2500</v>
      </c>
      <c r="N750">
        <v>1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2500</v>
      </c>
      <c r="AJ750">
        <v>1</v>
      </c>
      <c r="AK750">
        <v>0</v>
      </c>
      <c r="AL750">
        <v>0</v>
      </c>
      <c r="AM750">
        <v>2500</v>
      </c>
      <c r="AN750">
        <v>0</v>
      </c>
      <c r="AO750">
        <v>0</v>
      </c>
      <c r="AP750">
        <v>0</v>
      </c>
      <c r="AQ750">
        <v>0</v>
      </c>
      <c r="AS750">
        <v>0</v>
      </c>
      <c r="AT750">
        <v>0</v>
      </c>
      <c r="AV750">
        <v>0</v>
      </c>
      <c r="AW750">
        <v>0</v>
      </c>
      <c r="AY750">
        <v>0</v>
      </c>
      <c r="AZ750">
        <v>0</v>
      </c>
      <c r="BA750">
        <v>1750</v>
      </c>
      <c r="BF750" t="str">
        <f>T("D243542")</f>
        <v>D243542</v>
      </c>
      <c r="BG750" t="str">
        <f>T("로맨스 e북 &gt; 역사/시대물")</f>
        <v>로맨스 e북 &gt; 역사/시대물</v>
      </c>
    </row>
    <row r="751" spans="1:59">
      <c r="A751" t="s">
        <v>60</v>
      </c>
      <c r="B751" s="1">
        <v>46129</v>
      </c>
      <c r="C751">
        <v>2378012324</v>
      </c>
      <c r="D751">
        <v>2378012327</v>
      </c>
      <c r="E751" t="str">
        <f>T("[e북]차시천하 4권")</f>
        <v>[e북]차시천하 4권</v>
      </c>
      <c r="F751">
        <v>4</v>
      </c>
      <c r="G751" t="str">
        <f>T("경령월(倾泠月)")</f>
        <v>경령월(倾泠月)</v>
      </c>
      <c r="J751" t="str">
        <f>T("시계토끼")</f>
        <v>시계토끼</v>
      </c>
      <c r="K751" t="str">
        <f>T("[e북]차시천하")</f>
        <v>[e북]차시천하</v>
      </c>
      <c r="L751">
        <v>3500</v>
      </c>
      <c r="M751">
        <v>3500</v>
      </c>
      <c r="N751">
        <v>1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3500</v>
      </c>
      <c r="AJ751">
        <v>1</v>
      </c>
      <c r="AK751">
        <v>0</v>
      </c>
      <c r="AL751">
        <v>0</v>
      </c>
      <c r="AM751">
        <v>3500</v>
      </c>
      <c r="AN751">
        <v>0</v>
      </c>
      <c r="AO751">
        <v>0</v>
      </c>
      <c r="AP751">
        <v>0</v>
      </c>
      <c r="AQ751">
        <v>0</v>
      </c>
      <c r="AS751">
        <v>0</v>
      </c>
      <c r="AT751">
        <v>0</v>
      </c>
      <c r="AV751">
        <v>0</v>
      </c>
      <c r="AW751">
        <v>0</v>
      </c>
      <c r="AY751">
        <v>0</v>
      </c>
      <c r="AZ751">
        <v>0</v>
      </c>
      <c r="BA751">
        <v>2450</v>
      </c>
      <c r="BC751" t="str">
        <f>T("0000000000000")</f>
        <v>0000000000000</v>
      </c>
      <c r="BE751" t="str">
        <f>T("9791164092178")</f>
        <v>9791164092178</v>
      </c>
      <c r="BF751" t="str">
        <f>T("E634443")</f>
        <v>E634443</v>
      </c>
      <c r="BG751" t="str">
        <f>T("로판 e북 &gt; 해외 소설")</f>
        <v>로판 e북 &gt; 해외 소설</v>
      </c>
    </row>
    <row r="752" spans="1:59">
      <c r="A752" t="s">
        <v>60</v>
      </c>
      <c r="B752" s="1">
        <v>46129</v>
      </c>
      <c r="C752">
        <v>2378012324</v>
      </c>
      <c r="D752">
        <v>2378012328</v>
      </c>
      <c r="E752" t="str">
        <f>T("[e북]차시천하 5권")</f>
        <v>[e북]차시천하 5권</v>
      </c>
      <c r="F752">
        <v>5</v>
      </c>
      <c r="G752" t="str">
        <f>T("경령월(倾泠月)")</f>
        <v>경령월(倾泠月)</v>
      </c>
      <c r="J752" t="str">
        <f>T("시계토끼")</f>
        <v>시계토끼</v>
      </c>
      <c r="K752" t="str">
        <f>T("[e북]차시천하")</f>
        <v>[e북]차시천하</v>
      </c>
      <c r="L752">
        <v>3500</v>
      </c>
      <c r="M752">
        <v>3500</v>
      </c>
      <c r="N752">
        <v>1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3500</v>
      </c>
      <c r="AJ752">
        <v>1</v>
      </c>
      <c r="AK752">
        <v>0</v>
      </c>
      <c r="AL752">
        <v>0</v>
      </c>
      <c r="AM752">
        <v>3500</v>
      </c>
      <c r="AN752">
        <v>0</v>
      </c>
      <c r="AO752">
        <v>0</v>
      </c>
      <c r="AP752">
        <v>0</v>
      </c>
      <c r="AQ752">
        <v>0</v>
      </c>
      <c r="AS752">
        <v>0</v>
      </c>
      <c r="AT752">
        <v>0</v>
      </c>
      <c r="AV752">
        <v>0</v>
      </c>
      <c r="AW752">
        <v>0</v>
      </c>
      <c r="AY752">
        <v>0</v>
      </c>
      <c r="AZ752">
        <v>0</v>
      </c>
      <c r="BA752">
        <v>2450</v>
      </c>
      <c r="BC752" t="str">
        <f>T("0000000000000")</f>
        <v>0000000000000</v>
      </c>
      <c r="BE752" t="str">
        <f>T("9791164092185")</f>
        <v>9791164092185</v>
      </c>
      <c r="BF752" t="str">
        <f>T("E634444")</f>
        <v>E634444</v>
      </c>
      <c r="BG752" t="str">
        <f>T("로판 e북 &gt; 해외 소설")</f>
        <v>로판 e북 &gt; 해외 소설</v>
      </c>
    </row>
    <row r="753" spans="1:59">
      <c r="A753" t="s">
        <v>60</v>
      </c>
      <c r="B753" s="1">
        <v>46130</v>
      </c>
      <c r="C753">
        <v>2378012324</v>
      </c>
      <c r="D753">
        <v>2378012329</v>
      </c>
      <c r="E753" t="str">
        <f>T("[e북]차시천하 6권")</f>
        <v>[e북]차시천하 6권</v>
      </c>
      <c r="F753">
        <v>6</v>
      </c>
      <c r="G753" t="str">
        <f>T("경령월(倾泠月)")</f>
        <v>경령월(倾泠月)</v>
      </c>
      <c r="J753" t="str">
        <f>T("시계토끼")</f>
        <v>시계토끼</v>
      </c>
      <c r="K753" t="str">
        <f>T("[e북]차시천하")</f>
        <v>[e북]차시천하</v>
      </c>
      <c r="L753">
        <v>3500</v>
      </c>
      <c r="M753">
        <v>3500</v>
      </c>
      <c r="N753">
        <v>1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3500</v>
      </c>
      <c r="AJ753">
        <v>1</v>
      </c>
      <c r="AK753">
        <v>0</v>
      </c>
      <c r="AL753">
        <v>0</v>
      </c>
      <c r="AM753">
        <v>3500</v>
      </c>
      <c r="AN753">
        <v>0</v>
      </c>
      <c r="AO753">
        <v>0</v>
      </c>
      <c r="AP753">
        <v>0</v>
      </c>
      <c r="AQ753">
        <v>0</v>
      </c>
      <c r="AS753">
        <v>0</v>
      </c>
      <c r="AT753">
        <v>0</v>
      </c>
      <c r="AV753">
        <v>0</v>
      </c>
      <c r="AW753">
        <v>0</v>
      </c>
      <c r="AY753">
        <v>0</v>
      </c>
      <c r="AZ753">
        <v>0</v>
      </c>
      <c r="BA753">
        <v>2450</v>
      </c>
      <c r="BC753" t="str">
        <f>T("0000000000000")</f>
        <v>0000000000000</v>
      </c>
      <c r="BE753" t="str">
        <f>T("9791164092192")</f>
        <v>9791164092192</v>
      </c>
      <c r="BF753" t="str">
        <f>T("E634445")</f>
        <v>E634445</v>
      </c>
      <c r="BG753" t="str">
        <f>T("로판 e북 &gt; 해외 소설")</f>
        <v>로판 e북 &gt; 해외 소설</v>
      </c>
    </row>
    <row r="754" spans="1:59">
      <c r="A754" t="s">
        <v>60</v>
      </c>
      <c r="B754" s="1">
        <v>46131</v>
      </c>
      <c r="C754">
        <v>2378012324</v>
      </c>
      <c r="D754">
        <v>2378012324</v>
      </c>
      <c r="E754" t="str">
        <f>T("[e북]차시천하 1권")</f>
        <v>[e북]차시천하 1권</v>
      </c>
      <c r="F754">
        <v>1</v>
      </c>
      <c r="G754" t="str">
        <f>T("경령월(倾泠月)")</f>
        <v>경령월(倾泠月)</v>
      </c>
      <c r="J754" t="str">
        <f>T("시계토끼")</f>
        <v>시계토끼</v>
      </c>
      <c r="K754" t="str">
        <f>T("[e북]차시천하")</f>
        <v>[e북]차시천하</v>
      </c>
      <c r="L754">
        <v>0</v>
      </c>
      <c r="M754">
        <v>0</v>
      </c>
      <c r="N754">
        <v>0</v>
      </c>
      <c r="O754">
        <v>1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1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S754">
        <v>0</v>
      </c>
      <c r="AT754">
        <v>0</v>
      </c>
      <c r="AV754">
        <v>0</v>
      </c>
      <c r="AW754">
        <v>0</v>
      </c>
      <c r="AY754">
        <v>0</v>
      </c>
      <c r="AZ754">
        <v>0</v>
      </c>
      <c r="BA754">
        <v>0</v>
      </c>
      <c r="BC754" t="str">
        <f>T("0000000000000")</f>
        <v>0000000000000</v>
      </c>
      <c r="BE754" t="str">
        <f>T("9791164092147")</f>
        <v>9791164092147</v>
      </c>
      <c r="BF754" t="str">
        <f>T("E634440")</f>
        <v>E634440</v>
      </c>
      <c r="BG754" t="str">
        <f>T("로판 e북 &gt; 해외 소설")</f>
        <v>로판 e북 &gt; 해외 소설</v>
      </c>
    </row>
    <row r="755" spans="1:59">
      <c r="A755" t="s">
        <v>60</v>
      </c>
      <c r="B755" s="1">
        <v>46131</v>
      </c>
      <c r="C755">
        <v>2378026808</v>
      </c>
      <c r="D755">
        <v>2378026808</v>
      </c>
      <c r="E755" t="str">
        <f>T("[e북]천년애사(蛇)")</f>
        <v>[e북]천년애사(蛇)</v>
      </c>
      <c r="F755">
        <v>1</v>
      </c>
      <c r="G755" t="str">
        <f>T("김연서")</f>
        <v>김연서</v>
      </c>
      <c r="J755" t="str">
        <f>T("시계토끼")</f>
        <v>시계토끼</v>
      </c>
      <c r="K755" t="str">
        <f>T("[e북]천년애사(蛇)")</f>
        <v>[e북]천년애사(蛇)</v>
      </c>
      <c r="L755">
        <v>3400</v>
      </c>
      <c r="M755">
        <v>3400</v>
      </c>
      <c r="N755">
        <v>1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3400</v>
      </c>
      <c r="AJ755">
        <v>1</v>
      </c>
      <c r="AK755">
        <v>0</v>
      </c>
      <c r="AL755">
        <v>0</v>
      </c>
      <c r="AM755">
        <v>3400</v>
      </c>
      <c r="AN755">
        <v>0</v>
      </c>
      <c r="AO755">
        <v>0</v>
      </c>
      <c r="AP755">
        <v>0</v>
      </c>
      <c r="AQ755">
        <v>0</v>
      </c>
      <c r="AS755">
        <v>0</v>
      </c>
      <c r="AT755">
        <v>0</v>
      </c>
      <c r="AV755">
        <v>0</v>
      </c>
      <c r="AW755">
        <v>0</v>
      </c>
      <c r="AY755">
        <v>0</v>
      </c>
      <c r="AZ755">
        <v>0</v>
      </c>
      <c r="BA755">
        <v>2380</v>
      </c>
      <c r="BE755" t="str">
        <f>T("9791164095377")</f>
        <v>9791164095377</v>
      </c>
      <c r="BF755" t="str">
        <f>T("E834855")</f>
        <v>E834855</v>
      </c>
      <c r="BG755" t="str">
        <f>T("로판 e북 &gt; 동양풍 로판")</f>
        <v>로판 e북 &gt; 동양풍 로판</v>
      </c>
    </row>
    <row r="756" spans="1:59">
      <c r="A756" t="s">
        <v>60</v>
      </c>
      <c r="B756" s="1">
        <v>46131</v>
      </c>
      <c r="C756">
        <v>2378026808</v>
      </c>
      <c r="D756">
        <v>2378036394</v>
      </c>
      <c r="E756" t="str">
        <f>T("[e북]천년애사(蛇) (외전)")</f>
        <v>[e북]천년애사(蛇) (외전)</v>
      </c>
      <c r="F756">
        <v>2</v>
      </c>
      <c r="G756" t="str">
        <f>T("김연서")</f>
        <v>김연서</v>
      </c>
      <c r="J756" t="str">
        <f>T("시계토끼")</f>
        <v>시계토끼</v>
      </c>
      <c r="K756" t="str">
        <f>T("[e북]천년애사(蛇)")</f>
        <v>[e북]천년애사(蛇)</v>
      </c>
      <c r="L756">
        <v>1500</v>
      </c>
      <c r="M756">
        <v>1500</v>
      </c>
      <c r="N756">
        <v>1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1500</v>
      </c>
      <c r="AJ756">
        <v>1</v>
      </c>
      <c r="AK756">
        <v>0</v>
      </c>
      <c r="AL756">
        <v>0</v>
      </c>
      <c r="AM756">
        <v>1500</v>
      </c>
      <c r="AN756">
        <v>0</v>
      </c>
      <c r="AO756">
        <v>0</v>
      </c>
      <c r="AP756">
        <v>0</v>
      </c>
      <c r="AQ756">
        <v>0</v>
      </c>
      <c r="AS756">
        <v>0</v>
      </c>
      <c r="AT756">
        <v>0</v>
      </c>
      <c r="AV756">
        <v>0</v>
      </c>
      <c r="AW756">
        <v>0</v>
      </c>
      <c r="AY756">
        <v>0</v>
      </c>
      <c r="AZ756">
        <v>0</v>
      </c>
      <c r="BA756">
        <v>1050</v>
      </c>
      <c r="BE756" t="str">
        <f>T("9791164091997")</f>
        <v>9791164091997</v>
      </c>
      <c r="BF756" t="str">
        <f>T("N111636")</f>
        <v>N111636</v>
      </c>
      <c r="BG756" t="str">
        <f>T("로판 e북 &gt; 동양풍 로판")</f>
        <v>로판 e북 &gt; 동양풍 로판</v>
      </c>
    </row>
    <row r="757" spans="1:59">
      <c r="A757" t="s">
        <v>60</v>
      </c>
      <c r="B757" s="1">
        <v>46129</v>
      </c>
      <c r="C757">
        <v>2378078383</v>
      </c>
      <c r="D757">
        <v>2378078383</v>
      </c>
      <c r="E757" t="str">
        <f>T("[e북]천재 노예가 살아남는 법 1권")</f>
        <v>[e북]천재 노예가 살아남는 법 1권</v>
      </c>
      <c r="F757">
        <v>1</v>
      </c>
      <c r="G757" t="str">
        <f>T("무정호")</f>
        <v>무정호</v>
      </c>
      <c r="J757" t="str">
        <f>T("매드햇")</f>
        <v>매드햇</v>
      </c>
      <c r="K757" t="str">
        <f>T("[e북]천재 노예가 살아남는 법")</f>
        <v>[e북]천재 노예가 살아남는 법</v>
      </c>
      <c r="L757">
        <v>0</v>
      </c>
      <c r="M757">
        <v>0</v>
      </c>
      <c r="N757">
        <v>0</v>
      </c>
      <c r="O757">
        <v>1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1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S757">
        <v>0</v>
      </c>
      <c r="AT757">
        <v>0</v>
      </c>
      <c r="AV757">
        <v>0</v>
      </c>
      <c r="AW757">
        <v>0</v>
      </c>
      <c r="AY757">
        <v>0</v>
      </c>
      <c r="AZ757">
        <v>0</v>
      </c>
      <c r="BA757">
        <v>0</v>
      </c>
      <c r="BE757" t="str">
        <f>T("9791137023864")</f>
        <v>9791137023864</v>
      </c>
      <c r="BF757" t="str">
        <f>T("D107381")</f>
        <v>D107381</v>
      </c>
      <c r="BG757" t="str">
        <f>T("판타지 e북 &gt; 정통 판타지")</f>
        <v>판타지 e북 &gt; 정통 판타지</v>
      </c>
    </row>
    <row r="758" spans="1:59">
      <c r="A758" t="s">
        <v>60</v>
      </c>
      <c r="B758" s="1">
        <v>46129</v>
      </c>
      <c r="C758">
        <v>2378067360</v>
      </c>
      <c r="D758">
        <v>2378067360</v>
      </c>
      <c r="E758" t="str">
        <f>T("[e북]천재 번역가, 출판재벌 되다 1권")</f>
        <v>[e북]천재 번역가, 출판재벌 되다 1권</v>
      </c>
      <c r="F758">
        <v>1</v>
      </c>
      <c r="G758" t="str">
        <f>T("디트리히21")</f>
        <v>디트리히21</v>
      </c>
      <c r="J758" t="str">
        <f>T("매드햇")</f>
        <v>매드햇</v>
      </c>
      <c r="K758" t="str">
        <f>T("[e북]천재 번역가, 출판재벌 되다")</f>
        <v>[e북]천재 번역가, 출판재벌 되다</v>
      </c>
      <c r="L758">
        <v>0</v>
      </c>
      <c r="M758">
        <v>0</v>
      </c>
      <c r="N758">
        <v>0</v>
      </c>
      <c r="O758">
        <v>4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4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S758">
        <v>0</v>
      </c>
      <c r="AT758">
        <v>0</v>
      </c>
      <c r="AV758">
        <v>0</v>
      </c>
      <c r="AW758">
        <v>0</v>
      </c>
      <c r="AY758">
        <v>0</v>
      </c>
      <c r="AZ758">
        <v>0</v>
      </c>
      <c r="BA758">
        <v>0</v>
      </c>
      <c r="BE758" t="str">
        <f>T("9791137019065")</f>
        <v>9791137019065</v>
      </c>
      <c r="BF758" t="str">
        <f>T("k300648")</f>
        <v>k300648</v>
      </c>
      <c r="BG758" t="str">
        <f>T("판타지 e북 &gt; 현대 판타지")</f>
        <v>판타지 e북 &gt; 현대 판타지</v>
      </c>
    </row>
    <row r="759" spans="1:59">
      <c r="A759" t="s">
        <v>60</v>
      </c>
      <c r="B759" s="1">
        <v>46129</v>
      </c>
      <c r="C759">
        <v>2378067360</v>
      </c>
      <c r="D759">
        <v>2378067361</v>
      </c>
      <c r="E759" t="str">
        <f>T("[e북]천재 번역가, 출판재벌 되다 2권")</f>
        <v>[e북]천재 번역가, 출판재벌 되다 2권</v>
      </c>
      <c r="F759">
        <v>2</v>
      </c>
      <c r="G759" t="str">
        <f>T("디트리히21")</f>
        <v>디트리히21</v>
      </c>
      <c r="J759" t="str">
        <f>T("매드햇")</f>
        <v>매드햇</v>
      </c>
      <c r="K759" t="str">
        <f>T("[e북]천재 번역가, 출판재벌 되다")</f>
        <v>[e북]천재 번역가, 출판재벌 되다</v>
      </c>
      <c r="L759">
        <v>3000</v>
      </c>
      <c r="M759">
        <v>3000</v>
      </c>
      <c r="N759">
        <v>1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3000</v>
      </c>
      <c r="AJ759">
        <v>1</v>
      </c>
      <c r="AK759">
        <v>0</v>
      </c>
      <c r="AL759">
        <v>0</v>
      </c>
      <c r="AM759">
        <v>300</v>
      </c>
      <c r="AN759">
        <v>0</v>
      </c>
      <c r="AO759">
        <v>3240</v>
      </c>
      <c r="AP759">
        <v>-324</v>
      </c>
      <c r="AQ759">
        <v>0</v>
      </c>
      <c r="AS759">
        <v>0</v>
      </c>
      <c r="AT759">
        <v>0</v>
      </c>
      <c r="AU759">
        <v>3240</v>
      </c>
      <c r="AV759">
        <v>-324</v>
      </c>
      <c r="AW759">
        <v>0</v>
      </c>
      <c r="AY759">
        <v>0</v>
      </c>
      <c r="AZ759">
        <v>0</v>
      </c>
      <c r="BA759">
        <v>2251.1999999999998</v>
      </c>
      <c r="BE759" t="str">
        <f>T("9791137019072")</f>
        <v>9791137019072</v>
      </c>
      <c r="BF759" t="str">
        <f>T("k300649")</f>
        <v>k300649</v>
      </c>
      <c r="BG759" t="str">
        <f>T("판타지 e북 &gt; 현대 판타지")</f>
        <v>판타지 e북 &gt; 현대 판타지</v>
      </c>
    </row>
    <row r="760" spans="1:59">
      <c r="A760" t="s">
        <v>60</v>
      </c>
      <c r="B760" s="1">
        <v>46129</v>
      </c>
      <c r="C760">
        <v>2378067360</v>
      </c>
      <c r="D760">
        <v>2378067362</v>
      </c>
      <c r="E760" t="str">
        <f>T("[e북]천재 번역가, 출판재벌 되다 3권")</f>
        <v>[e북]천재 번역가, 출판재벌 되다 3권</v>
      </c>
      <c r="F760">
        <v>3</v>
      </c>
      <c r="G760" t="str">
        <f>T("디트리히21")</f>
        <v>디트리히21</v>
      </c>
      <c r="J760" t="str">
        <f>T("매드햇")</f>
        <v>매드햇</v>
      </c>
      <c r="K760" t="str">
        <f>T("[e북]천재 번역가, 출판재벌 되다")</f>
        <v>[e북]천재 번역가, 출판재벌 되다</v>
      </c>
      <c r="L760">
        <v>3000</v>
      </c>
      <c r="M760">
        <v>3000</v>
      </c>
      <c r="N760">
        <v>1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3000</v>
      </c>
      <c r="AJ760">
        <v>1</v>
      </c>
      <c r="AK760">
        <v>0</v>
      </c>
      <c r="AL760">
        <v>0</v>
      </c>
      <c r="AM760">
        <v>300</v>
      </c>
      <c r="AN760">
        <v>0</v>
      </c>
      <c r="AO760">
        <v>3240</v>
      </c>
      <c r="AP760">
        <v>-324</v>
      </c>
      <c r="AQ760">
        <v>0</v>
      </c>
      <c r="AS760">
        <v>0</v>
      </c>
      <c r="AT760">
        <v>0</v>
      </c>
      <c r="AU760">
        <v>3240</v>
      </c>
      <c r="AV760">
        <v>-324</v>
      </c>
      <c r="AW760">
        <v>0</v>
      </c>
      <c r="AY760">
        <v>0</v>
      </c>
      <c r="AZ760">
        <v>0</v>
      </c>
      <c r="BA760">
        <v>2251.1999999999998</v>
      </c>
      <c r="BE760" t="str">
        <f>T("9791137019089")</f>
        <v>9791137019089</v>
      </c>
      <c r="BF760" t="str">
        <f>T("k300650")</f>
        <v>k300650</v>
      </c>
      <c r="BG760" t="str">
        <f>T("판타지 e북 &gt; 현대 판타지")</f>
        <v>판타지 e북 &gt; 현대 판타지</v>
      </c>
    </row>
    <row r="761" spans="1:59">
      <c r="A761" t="s">
        <v>60</v>
      </c>
      <c r="B761" s="1">
        <v>46129</v>
      </c>
      <c r="C761">
        <v>2378067360</v>
      </c>
      <c r="D761">
        <v>2378067363</v>
      </c>
      <c r="E761" t="str">
        <f>T("[e북]천재 번역가, 출판재벌 되다 4권")</f>
        <v>[e북]천재 번역가, 출판재벌 되다 4권</v>
      </c>
      <c r="F761">
        <v>4</v>
      </c>
      <c r="G761" t="str">
        <f>T("디트리히21")</f>
        <v>디트리히21</v>
      </c>
      <c r="J761" t="str">
        <f>T("매드햇")</f>
        <v>매드햇</v>
      </c>
      <c r="K761" t="str">
        <f>T("[e북]천재 번역가, 출판재벌 되다")</f>
        <v>[e북]천재 번역가, 출판재벌 되다</v>
      </c>
      <c r="L761">
        <v>3000</v>
      </c>
      <c r="M761">
        <v>3000</v>
      </c>
      <c r="N761">
        <v>1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3000</v>
      </c>
      <c r="AJ761">
        <v>1</v>
      </c>
      <c r="AK761">
        <v>0</v>
      </c>
      <c r="AL761">
        <v>0</v>
      </c>
      <c r="AM761">
        <v>300</v>
      </c>
      <c r="AN761">
        <v>0</v>
      </c>
      <c r="AO761">
        <v>3240</v>
      </c>
      <c r="AP761">
        <v>-324</v>
      </c>
      <c r="AQ761">
        <v>0</v>
      </c>
      <c r="AS761">
        <v>0</v>
      </c>
      <c r="AT761">
        <v>0</v>
      </c>
      <c r="AU761">
        <v>3240</v>
      </c>
      <c r="AV761">
        <v>-324</v>
      </c>
      <c r="AW761">
        <v>0</v>
      </c>
      <c r="AY761">
        <v>0</v>
      </c>
      <c r="AZ761">
        <v>0</v>
      </c>
      <c r="BA761">
        <v>2251.1999999999998</v>
      </c>
      <c r="BE761" t="str">
        <f>T("9791137019096")</f>
        <v>9791137019096</v>
      </c>
      <c r="BF761" t="str">
        <f>T("k300651")</f>
        <v>k300651</v>
      </c>
      <c r="BG761" t="str">
        <f>T("판타지 e북 &gt; 현대 판타지")</f>
        <v>판타지 e북 &gt; 현대 판타지</v>
      </c>
    </row>
    <row r="762" spans="1:59">
      <c r="A762" t="s">
        <v>60</v>
      </c>
      <c r="B762" s="1">
        <v>46129</v>
      </c>
      <c r="C762">
        <v>2378067360</v>
      </c>
      <c r="D762">
        <v>2378067364</v>
      </c>
      <c r="E762" t="str">
        <f>T("[e북]천재 번역가, 출판재벌 되다 5권")</f>
        <v>[e북]천재 번역가, 출판재벌 되다 5권</v>
      </c>
      <c r="F762">
        <v>5</v>
      </c>
      <c r="G762" t="str">
        <f>T("디트리히21")</f>
        <v>디트리히21</v>
      </c>
      <c r="J762" t="str">
        <f>T("매드햇")</f>
        <v>매드햇</v>
      </c>
      <c r="K762" t="str">
        <f>T("[e북]천재 번역가, 출판재벌 되다")</f>
        <v>[e북]천재 번역가, 출판재벌 되다</v>
      </c>
      <c r="L762">
        <v>3000</v>
      </c>
      <c r="M762">
        <v>3000</v>
      </c>
      <c r="N762">
        <v>1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3000</v>
      </c>
      <c r="AJ762">
        <v>1</v>
      </c>
      <c r="AK762">
        <v>0</v>
      </c>
      <c r="AL762">
        <v>0</v>
      </c>
      <c r="AM762">
        <v>300</v>
      </c>
      <c r="AN762">
        <v>0</v>
      </c>
      <c r="AO762">
        <v>3240</v>
      </c>
      <c r="AP762">
        <v>-324</v>
      </c>
      <c r="AQ762">
        <v>0</v>
      </c>
      <c r="AS762">
        <v>0</v>
      </c>
      <c r="AT762">
        <v>0</v>
      </c>
      <c r="AU762">
        <v>3240</v>
      </c>
      <c r="AV762">
        <v>-324</v>
      </c>
      <c r="AW762">
        <v>0</v>
      </c>
      <c r="AY762">
        <v>0</v>
      </c>
      <c r="AZ762">
        <v>0</v>
      </c>
      <c r="BA762">
        <v>2251.1999999999998</v>
      </c>
      <c r="BE762" t="str">
        <f>T("9791137019102")</f>
        <v>9791137019102</v>
      </c>
      <c r="BF762" t="str">
        <f>T("k300652")</f>
        <v>k300652</v>
      </c>
      <c r="BG762" t="str">
        <f>T("판타지 e북 &gt; 현대 판타지")</f>
        <v>판타지 e북 &gt; 현대 판타지</v>
      </c>
    </row>
    <row r="763" spans="1:59">
      <c r="A763" t="s">
        <v>60</v>
      </c>
      <c r="B763" s="1">
        <v>46129</v>
      </c>
      <c r="C763">
        <v>2378067360</v>
      </c>
      <c r="D763">
        <v>2378067365</v>
      </c>
      <c r="E763" t="str">
        <f>T("[e북]천재 번역가, 출판재벌 되다 6권")</f>
        <v>[e북]천재 번역가, 출판재벌 되다 6권</v>
      </c>
      <c r="F763">
        <v>6</v>
      </c>
      <c r="G763" t="str">
        <f>T("디트리히21")</f>
        <v>디트리히21</v>
      </c>
      <c r="J763" t="str">
        <f>T("매드햇")</f>
        <v>매드햇</v>
      </c>
      <c r="K763" t="str">
        <f>T("[e북]천재 번역가, 출판재벌 되다")</f>
        <v>[e북]천재 번역가, 출판재벌 되다</v>
      </c>
      <c r="L763">
        <v>3000</v>
      </c>
      <c r="M763">
        <v>3000</v>
      </c>
      <c r="N763">
        <v>1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3000</v>
      </c>
      <c r="AJ763">
        <v>1</v>
      </c>
      <c r="AK763">
        <v>0</v>
      </c>
      <c r="AL763">
        <v>0</v>
      </c>
      <c r="AM763">
        <v>300</v>
      </c>
      <c r="AN763">
        <v>0</v>
      </c>
      <c r="AO763">
        <v>3240</v>
      </c>
      <c r="AP763">
        <v>-324</v>
      </c>
      <c r="AQ763">
        <v>0</v>
      </c>
      <c r="AS763">
        <v>0</v>
      </c>
      <c r="AT763">
        <v>0</v>
      </c>
      <c r="AU763">
        <v>3240</v>
      </c>
      <c r="AV763">
        <v>-324</v>
      </c>
      <c r="AW763">
        <v>0</v>
      </c>
      <c r="AY763">
        <v>0</v>
      </c>
      <c r="AZ763">
        <v>0</v>
      </c>
      <c r="BA763">
        <v>2251.1999999999998</v>
      </c>
      <c r="BE763" t="str">
        <f>T("9791137019119")</f>
        <v>9791137019119</v>
      </c>
      <c r="BF763" t="str">
        <f>T("k300653")</f>
        <v>k300653</v>
      </c>
      <c r="BG763" t="str">
        <f>T("판타지 e북 &gt; 현대 판타지")</f>
        <v>판타지 e북 &gt; 현대 판타지</v>
      </c>
    </row>
    <row r="764" spans="1:59">
      <c r="A764" t="s">
        <v>60</v>
      </c>
      <c r="B764" s="1">
        <v>46130</v>
      </c>
      <c r="C764">
        <v>2378067360</v>
      </c>
      <c r="D764">
        <v>2378067361</v>
      </c>
      <c r="E764" t="str">
        <f>T("[e북]천재 번역가, 출판재벌 되다 2권")</f>
        <v>[e북]천재 번역가, 출판재벌 되다 2권</v>
      </c>
      <c r="F764">
        <v>2</v>
      </c>
      <c r="G764" t="str">
        <f>T("디트리히21")</f>
        <v>디트리히21</v>
      </c>
      <c r="J764" t="str">
        <f>T("매드햇")</f>
        <v>매드햇</v>
      </c>
      <c r="K764" t="str">
        <f>T("[e북]천재 번역가, 출판재벌 되다")</f>
        <v>[e북]천재 번역가, 출판재벌 되다</v>
      </c>
      <c r="L764">
        <v>3000</v>
      </c>
      <c r="M764">
        <v>3000</v>
      </c>
      <c r="N764">
        <v>1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3000</v>
      </c>
      <c r="AJ764">
        <v>1</v>
      </c>
      <c r="AK764">
        <v>0</v>
      </c>
      <c r="AL764">
        <v>0</v>
      </c>
      <c r="AM764">
        <v>3000</v>
      </c>
      <c r="AN764">
        <v>0</v>
      </c>
      <c r="AO764">
        <v>0</v>
      </c>
      <c r="AP764">
        <v>0</v>
      </c>
      <c r="AQ764">
        <v>0</v>
      </c>
      <c r="AS764">
        <v>0</v>
      </c>
      <c r="AT764">
        <v>0</v>
      </c>
      <c r="AV764">
        <v>0</v>
      </c>
      <c r="AW764">
        <v>0</v>
      </c>
      <c r="AY764">
        <v>0</v>
      </c>
      <c r="AZ764">
        <v>0</v>
      </c>
      <c r="BA764">
        <v>2100</v>
      </c>
      <c r="BE764" t="str">
        <f>T("9791137019072")</f>
        <v>9791137019072</v>
      </c>
      <c r="BF764" t="str">
        <f>T("k300649")</f>
        <v>k300649</v>
      </c>
      <c r="BG764" t="str">
        <f>T("판타지 e북 &gt; 현대 판타지")</f>
        <v>판타지 e북 &gt; 현대 판타지</v>
      </c>
    </row>
    <row r="765" spans="1:59">
      <c r="A765" t="s">
        <v>60</v>
      </c>
      <c r="B765" s="1">
        <v>46130</v>
      </c>
      <c r="C765">
        <v>2378067360</v>
      </c>
      <c r="D765">
        <v>2378067360</v>
      </c>
      <c r="E765" t="str">
        <f>T("[e북]천재 번역가, 출판재벌 되다 1권")</f>
        <v>[e북]천재 번역가, 출판재벌 되다 1권</v>
      </c>
      <c r="F765">
        <v>1</v>
      </c>
      <c r="G765" t="str">
        <f>T("디트리히21")</f>
        <v>디트리히21</v>
      </c>
      <c r="J765" t="str">
        <f>T("매드햇")</f>
        <v>매드햇</v>
      </c>
      <c r="K765" t="str">
        <f>T("[e북]천재 번역가, 출판재벌 되다")</f>
        <v>[e북]천재 번역가, 출판재벌 되다</v>
      </c>
      <c r="L765">
        <v>0</v>
      </c>
      <c r="M765">
        <v>0</v>
      </c>
      <c r="N765">
        <v>0</v>
      </c>
      <c r="O765">
        <v>1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0</v>
      </c>
      <c r="AJ765">
        <v>1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S765">
        <v>0</v>
      </c>
      <c r="AT765">
        <v>0</v>
      </c>
      <c r="AV765">
        <v>0</v>
      </c>
      <c r="AW765">
        <v>0</v>
      </c>
      <c r="AY765">
        <v>0</v>
      </c>
      <c r="AZ765">
        <v>0</v>
      </c>
      <c r="BA765">
        <v>0</v>
      </c>
      <c r="BE765" t="str">
        <f>T("9791137019065")</f>
        <v>9791137019065</v>
      </c>
      <c r="BF765" t="str">
        <f>T("k300648")</f>
        <v>k300648</v>
      </c>
      <c r="BG765" t="str">
        <f>T("판타지 e북 &gt; 현대 판타지")</f>
        <v>판타지 e북 &gt; 현대 판타지</v>
      </c>
    </row>
    <row r="766" spans="1:59">
      <c r="A766" t="s">
        <v>60</v>
      </c>
      <c r="B766" s="1">
        <v>46131</v>
      </c>
      <c r="C766">
        <v>2378067360</v>
      </c>
      <c r="D766">
        <v>2378067366</v>
      </c>
      <c r="E766" t="str">
        <f>T("[e북]천재 번역가, 출판재벌 되다 7권")</f>
        <v>[e북]천재 번역가, 출판재벌 되다 7권</v>
      </c>
      <c r="F766">
        <v>7</v>
      </c>
      <c r="G766" t="str">
        <f>T("디트리히21")</f>
        <v>디트리히21</v>
      </c>
      <c r="J766" t="str">
        <f>T("매드햇")</f>
        <v>매드햇</v>
      </c>
      <c r="K766" t="str">
        <f>T("[e북]천재 번역가, 출판재벌 되다")</f>
        <v>[e북]천재 번역가, 출판재벌 되다</v>
      </c>
      <c r="L766">
        <v>3000</v>
      </c>
      <c r="M766">
        <v>3000</v>
      </c>
      <c r="N766">
        <v>1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3000</v>
      </c>
      <c r="AJ766">
        <v>1</v>
      </c>
      <c r="AK766">
        <v>0</v>
      </c>
      <c r="AL766">
        <v>0</v>
      </c>
      <c r="AM766">
        <v>300</v>
      </c>
      <c r="AN766">
        <v>0</v>
      </c>
      <c r="AO766">
        <v>3240</v>
      </c>
      <c r="AP766">
        <v>-324</v>
      </c>
      <c r="AQ766">
        <v>0</v>
      </c>
      <c r="AS766">
        <v>0</v>
      </c>
      <c r="AT766">
        <v>0</v>
      </c>
      <c r="AU766">
        <v>3240</v>
      </c>
      <c r="AV766">
        <v>-324</v>
      </c>
      <c r="AW766">
        <v>0</v>
      </c>
      <c r="AY766">
        <v>0</v>
      </c>
      <c r="AZ766">
        <v>0</v>
      </c>
      <c r="BA766">
        <v>2251.1999999999998</v>
      </c>
      <c r="BE766" t="str">
        <f>T("9791137019126")</f>
        <v>9791137019126</v>
      </c>
      <c r="BF766" t="str">
        <f>T("k300654")</f>
        <v>k300654</v>
      </c>
      <c r="BG766" t="str">
        <f>T("판타지 e북 &gt; 현대 판타지")</f>
        <v>판타지 e북 &gt; 현대 판타지</v>
      </c>
    </row>
    <row r="767" spans="1:59">
      <c r="A767" t="s">
        <v>60</v>
      </c>
      <c r="B767" s="1">
        <v>46131</v>
      </c>
      <c r="C767">
        <v>2378067360</v>
      </c>
      <c r="D767">
        <v>2378067367</v>
      </c>
      <c r="E767" t="str">
        <f>T("[e북]천재 번역가, 출판재벌 되다 8권")</f>
        <v>[e북]천재 번역가, 출판재벌 되다 8권</v>
      </c>
      <c r="F767">
        <v>8</v>
      </c>
      <c r="G767" t="str">
        <f>T("디트리히21")</f>
        <v>디트리히21</v>
      </c>
      <c r="J767" t="str">
        <f>T("매드햇")</f>
        <v>매드햇</v>
      </c>
      <c r="K767" t="str">
        <f>T("[e북]천재 번역가, 출판재벌 되다")</f>
        <v>[e북]천재 번역가, 출판재벌 되다</v>
      </c>
      <c r="L767">
        <v>3000</v>
      </c>
      <c r="M767">
        <v>3000</v>
      </c>
      <c r="N767">
        <v>1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0</v>
      </c>
      <c r="AI767">
        <v>3000</v>
      </c>
      <c r="AJ767">
        <v>1</v>
      </c>
      <c r="AK767">
        <v>0</v>
      </c>
      <c r="AL767">
        <v>0</v>
      </c>
      <c r="AM767">
        <v>300</v>
      </c>
      <c r="AN767">
        <v>0</v>
      </c>
      <c r="AO767">
        <v>3240</v>
      </c>
      <c r="AP767">
        <v>-324</v>
      </c>
      <c r="AQ767">
        <v>0</v>
      </c>
      <c r="AS767">
        <v>0</v>
      </c>
      <c r="AT767">
        <v>0</v>
      </c>
      <c r="AU767">
        <v>3240</v>
      </c>
      <c r="AV767">
        <v>-324</v>
      </c>
      <c r="AW767">
        <v>0</v>
      </c>
      <c r="AY767">
        <v>0</v>
      </c>
      <c r="AZ767">
        <v>0</v>
      </c>
      <c r="BA767">
        <v>2251.1999999999998</v>
      </c>
      <c r="BE767" t="str">
        <f>T("9791137019133")</f>
        <v>9791137019133</v>
      </c>
      <c r="BF767" t="str">
        <f>T("k300655")</f>
        <v>k300655</v>
      </c>
      <c r="BG767" t="str">
        <f>T("판타지 e북 &gt; 현대 판타지")</f>
        <v>판타지 e북 &gt; 현대 판타지</v>
      </c>
    </row>
    <row r="768" spans="1:59">
      <c r="A768" t="s">
        <v>60</v>
      </c>
      <c r="B768" s="1">
        <v>46129</v>
      </c>
      <c r="C768">
        <v>2378037587</v>
      </c>
      <c r="D768">
        <v>2378037587</v>
      </c>
      <c r="E768" t="str">
        <f>T("[e북]체위연구일지 1권")</f>
        <v>[e북]체위연구일지 1권</v>
      </c>
      <c r="F768">
        <v>1</v>
      </c>
      <c r="G768" t="str">
        <f>T("야관문")</f>
        <v>야관문</v>
      </c>
      <c r="J768" t="str">
        <f>T("시계토끼")</f>
        <v>시계토끼</v>
      </c>
      <c r="K768" t="str">
        <f>T("[e북]체위연구일지")</f>
        <v>[e북]체위연구일지</v>
      </c>
      <c r="L768">
        <v>3000</v>
      </c>
      <c r="M768">
        <v>3000</v>
      </c>
      <c r="N768">
        <v>1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3000</v>
      </c>
      <c r="AJ768">
        <v>1</v>
      </c>
      <c r="AK768">
        <v>0</v>
      </c>
      <c r="AL768">
        <v>0</v>
      </c>
      <c r="AM768">
        <v>3000</v>
      </c>
      <c r="AN768">
        <v>0</v>
      </c>
      <c r="AO768">
        <v>0</v>
      </c>
      <c r="AP768">
        <v>0</v>
      </c>
      <c r="AQ768">
        <v>0</v>
      </c>
      <c r="AS768">
        <v>0</v>
      </c>
      <c r="AT768">
        <v>0</v>
      </c>
      <c r="AV768">
        <v>0</v>
      </c>
      <c r="AW768">
        <v>0</v>
      </c>
      <c r="AY768">
        <v>0</v>
      </c>
      <c r="AZ768">
        <v>0</v>
      </c>
      <c r="BA768">
        <v>2100</v>
      </c>
      <c r="BE768" t="str">
        <f>T("9791164092901")</f>
        <v>9791164092901</v>
      </c>
      <c r="BF768" t="str">
        <f>T("N135354")</f>
        <v>N135354</v>
      </c>
      <c r="BG768" t="str">
        <f>T("로판 e북 &gt; 서양풍 로판")</f>
        <v>로판 e북 &gt; 서양풍 로판</v>
      </c>
    </row>
    <row r="769" spans="1:59">
      <c r="A769" t="s">
        <v>60</v>
      </c>
      <c r="B769" s="1">
        <v>46130</v>
      </c>
      <c r="C769">
        <v>2378037587</v>
      </c>
      <c r="D769">
        <v>2378037650</v>
      </c>
      <c r="E769" t="str">
        <f>T("[e북]체위연구일지 2권 (완결)")</f>
        <v>[e북]체위연구일지 2권 (완결)</v>
      </c>
      <c r="F769">
        <v>2</v>
      </c>
      <c r="G769" t="str">
        <f>T("야관문")</f>
        <v>야관문</v>
      </c>
      <c r="J769" t="str">
        <f>T("시계토끼")</f>
        <v>시계토끼</v>
      </c>
      <c r="K769" t="str">
        <f>T("[e북]체위연구일지")</f>
        <v>[e북]체위연구일지</v>
      </c>
      <c r="L769">
        <v>3000</v>
      </c>
      <c r="M769">
        <v>3000</v>
      </c>
      <c r="N769">
        <v>1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3000</v>
      </c>
      <c r="AJ769">
        <v>1</v>
      </c>
      <c r="AK769">
        <v>0</v>
      </c>
      <c r="AL769">
        <v>0</v>
      </c>
      <c r="AM769">
        <v>3000</v>
      </c>
      <c r="AN769">
        <v>0</v>
      </c>
      <c r="AO769">
        <v>0</v>
      </c>
      <c r="AP769">
        <v>0</v>
      </c>
      <c r="AQ769">
        <v>0</v>
      </c>
      <c r="AS769">
        <v>0</v>
      </c>
      <c r="AT769">
        <v>0</v>
      </c>
      <c r="AV769">
        <v>0</v>
      </c>
      <c r="AW769">
        <v>0</v>
      </c>
      <c r="AY769">
        <v>0</v>
      </c>
      <c r="AZ769">
        <v>0</v>
      </c>
      <c r="BA769">
        <v>2100</v>
      </c>
      <c r="BE769" t="str">
        <f>T("9791164092918")</f>
        <v>9791164092918</v>
      </c>
      <c r="BF769" t="str">
        <f>T("N135355")</f>
        <v>N135355</v>
      </c>
      <c r="BG769" t="str">
        <f>T("로판 e북 &gt; 서양풍 로판")</f>
        <v>로판 e북 &gt; 서양풍 로판</v>
      </c>
    </row>
    <row r="770" spans="1:59">
      <c r="A770" t="s">
        <v>60</v>
      </c>
      <c r="B770" s="1">
        <v>46129</v>
      </c>
      <c r="C770">
        <v>2378079074</v>
      </c>
      <c r="D770">
        <v>2378079077</v>
      </c>
      <c r="E770" t="str">
        <f>T("[e북]추혈객 4권 (완결)")</f>
        <v>[e북]추혈객 4권 (완결)</v>
      </c>
      <c r="F770">
        <v>4</v>
      </c>
      <c r="G770" t="str">
        <f>T("설봉")</f>
        <v>설봉</v>
      </c>
      <c r="J770" t="str">
        <f>T("매드햇")</f>
        <v>매드햇</v>
      </c>
      <c r="K770" t="str">
        <f>T("[e북]추혈객")</f>
        <v>[e북]추혈객</v>
      </c>
      <c r="L770">
        <v>3200</v>
      </c>
      <c r="M770">
        <v>0</v>
      </c>
      <c r="N770">
        <v>0</v>
      </c>
      <c r="O770">
        <v>0</v>
      </c>
      <c r="P770">
        <v>900</v>
      </c>
      <c r="Q770">
        <v>1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900</v>
      </c>
      <c r="AJ770">
        <v>1</v>
      </c>
      <c r="AK770">
        <v>0</v>
      </c>
      <c r="AL770">
        <v>0</v>
      </c>
      <c r="AM770">
        <v>900</v>
      </c>
      <c r="AN770">
        <v>0</v>
      </c>
      <c r="AO770">
        <v>0</v>
      </c>
      <c r="AP770">
        <v>0</v>
      </c>
      <c r="AQ770">
        <v>0</v>
      </c>
      <c r="AS770">
        <v>0</v>
      </c>
      <c r="AT770">
        <v>0</v>
      </c>
      <c r="AV770">
        <v>0</v>
      </c>
      <c r="AW770">
        <v>0</v>
      </c>
      <c r="AY770">
        <v>0</v>
      </c>
      <c r="AZ770">
        <v>0</v>
      </c>
      <c r="BA770">
        <v>630</v>
      </c>
      <c r="BE770" t="str">
        <f>T("9791137002180")</f>
        <v>9791137002180</v>
      </c>
      <c r="BF770" t="str">
        <f>T("E747074")</f>
        <v>E747074</v>
      </c>
      <c r="BG770" t="str">
        <f>T("판타지 e북 &gt; 신무협")</f>
        <v>판타지 e북 &gt; 신무협</v>
      </c>
    </row>
    <row r="771" spans="1:59">
      <c r="A771" t="s">
        <v>60</v>
      </c>
      <c r="B771" s="1">
        <v>46130</v>
      </c>
      <c r="C771">
        <v>2378079074</v>
      </c>
      <c r="D771">
        <v>2378079074</v>
      </c>
      <c r="E771" t="str">
        <f>T("[e북]추혈객 1권")</f>
        <v>[e북]추혈객 1권</v>
      </c>
      <c r="F771">
        <v>1</v>
      </c>
      <c r="G771" t="str">
        <f>T("설봉")</f>
        <v>설봉</v>
      </c>
      <c r="J771" t="str">
        <f>T("매드햇")</f>
        <v>매드햇</v>
      </c>
      <c r="K771" t="str">
        <f>T("[e북]추혈객")</f>
        <v>[e북]추혈객</v>
      </c>
      <c r="L771">
        <v>3200</v>
      </c>
      <c r="M771">
        <v>0</v>
      </c>
      <c r="N771">
        <v>0</v>
      </c>
      <c r="O771">
        <v>0</v>
      </c>
      <c r="P771">
        <v>900</v>
      </c>
      <c r="Q771">
        <v>1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900</v>
      </c>
      <c r="AJ771">
        <v>1</v>
      </c>
      <c r="AK771">
        <v>0</v>
      </c>
      <c r="AL771">
        <v>0</v>
      </c>
      <c r="AM771">
        <v>900</v>
      </c>
      <c r="AN771">
        <v>0</v>
      </c>
      <c r="AO771">
        <v>0</v>
      </c>
      <c r="AP771">
        <v>0</v>
      </c>
      <c r="AQ771">
        <v>0</v>
      </c>
      <c r="AS771">
        <v>0</v>
      </c>
      <c r="AT771">
        <v>0</v>
      </c>
      <c r="AV771">
        <v>0</v>
      </c>
      <c r="AW771">
        <v>0</v>
      </c>
      <c r="AY771">
        <v>0</v>
      </c>
      <c r="AZ771">
        <v>0</v>
      </c>
      <c r="BA771">
        <v>630</v>
      </c>
      <c r="BE771" t="str">
        <f>T("9791137002159")</f>
        <v>9791137002159</v>
      </c>
      <c r="BF771" t="str">
        <f>T("E747071")</f>
        <v>E747071</v>
      </c>
      <c r="BG771" t="str">
        <f>T("판타지 e북 &gt; 신무협")</f>
        <v>판타지 e북 &gt; 신무협</v>
      </c>
    </row>
    <row r="772" spans="1:59">
      <c r="A772" t="s">
        <v>60</v>
      </c>
      <c r="B772" s="1">
        <v>46130</v>
      </c>
      <c r="C772">
        <v>2378079074</v>
      </c>
      <c r="D772">
        <v>2378079075</v>
      </c>
      <c r="E772" t="str">
        <f>T("[e북]추혈객 2권")</f>
        <v>[e북]추혈객 2권</v>
      </c>
      <c r="F772">
        <v>2</v>
      </c>
      <c r="G772" t="str">
        <f>T("설봉")</f>
        <v>설봉</v>
      </c>
      <c r="J772" t="str">
        <f>T("매드햇")</f>
        <v>매드햇</v>
      </c>
      <c r="K772" t="str">
        <f>T("[e북]추혈객")</f>
        <v>[e북]추혈객</v>
      </c>
      <c r="L772">
        <v>3200</v>
      </c>
      <c r="M772">
        <v>0</v>
      </c>
      <c r="N772">
        <v>0</v>
      </c>
      <c r="O772">
        <v>0</v>
      </c>
      <c r="P772">
        <v>900</v>
      </c>
      <c r="Q772">
        <v>1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900</v>
      </c>
      <c r="AJ772">
        <v>1</v>
      </c>
      <c r="AK772">
        <v>0</v>
      </c>
      <c r="AL772">
        <v>0</v>
      </c>
      <c r="AM772">
        <v>900</v>
      </c>
      <c r="AN772">
        <v>0</v>
      </c>
      <c r="AO772">
        <v>0</v>
      </c>
      <c r="AP772">
        <v>0</v>
      </c>
      <c r="AQ772">
        <v>0</v>
      </c>
      <c r="AS772">
        <v>0</v>
      </c>
      <c r="AT772">
        <v>0</v>
      </c>
      <c r="AV772">
        <v>0</v>
      </c>
      <c r="AW772">
        <v>0</v>
      </c>
      <c r="AY772">
        <v>0</v>
      </c>
      <c r="AZ772">
        <v>0</v>
      </c>
      <c r="BA772">
        <v>630</v>
      </c>
      <c r="BE772" t="str">
        <f>T("9791137002166")</f>
        <v>9791137002166</v>
      </c>
      <c r="BF772" t="str">
        <f>T("E747072")</f>
        <v>E747072</v>
      </c>
      <c r="BG772" t="str">
        <f>T("판타지 e북 &gt; 신무협")</f>
        <v>판타지 e북 &gt; 신무협</v>
      </c>
    </row>
    <row r="773" spans="1:59">
      <c r="A773" t="s">
        <v>60</v>
      </c>
      <c r="B773" s="1">
        <v>46130</v>
      </c>
      <c r="C773">
        <v>2378079074</v>
      </c>
      <c r="D773">
        <v>2378079076</v>
      </c>
      <c r="E773" t="str">
        <f>T("[e북]추혈객 3권")</f>
        <v>[e북]추혈객 3권</v>
      </c>
      <c r="F773">
        <v>3</v>
      </c>
      <c r="G773" t="str">
        <f>T("설봉")</f>
        <v>설봉</v>
      </c>
      <c r="J773" t="str">
        <f>T("매드햇")</f>
        <v>매드햇</v>
      </c>
      <c r="K773" t="str">
        <f>T("[e북]추혈객")</f>
        <v>[e북]추혈객</v>
      </c>
      <c r="L773">
        <v>3200</v>
      </c>
      <c r="M773">
        <v>0</v>
      </c>
      <c r="N773">
        <v>0</v>
      </c>
      <c r="O773">
        <v>0</v>
      </c>
      <c r="P773">
        <v>900</v>
      </c>
      <c r="Q773">
        <v>1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900</v>
      </c>
      <c r="AJ773">
        <v>1</v>
      </c>
      <c r="AK773">
        <v>0</v>
      </c>
      <c r="AL773">
        <v>0</v>
      </c>
      <c r="AM773">
        <v>900</v>
      </c>
      <c r="AN773">
        <v>0</v>
      </c>
      <c r="AO773">
        <v>0</v>
      </c>
      <c r="AP773">
        <v>0</v>
      </c>
      <c r="AQ773">
        <v>0</v>
      </c>
      <c r="AS773">
        <v>0</v>
      </c>
      <c r="AT773">
        <v>0</v>
      </c>
      <c r="AV773">
        <v>0</v>
      </c>
      <c r="AW773">
        <v>0</v>
      </c>
      <c r="AY773">
        <v>0</v>
      </c>
      <c r="AZ773">
        <v>0</v>
      </c>
      <c r="BA773">
        <v>630</v>
      </c>
      <c r="BE773" t="str">
        <f>T("9791137002173")</f>
        <v>9791137002173</v>
      </c>
      <c r="BF773" t="str">
        <f>T("E747073")</f>
        <v>E747073</v>
      </c>
      <c r="BG773" t="str">
        <f>T("판타지 e북 &gt; 신무협")</f>
        <v>판타지 e북 &gt; 신무협</v>
      </c>
    </row>
    <row r="774" spans="1:59">
      <c r="A774" t="s">
        <v>60</v>
      </c>
      <c r="B774" s="1">
        <v>46130</v>
      </c>
      <c r="C774">
        <v>2378079074</v>
      </c>
      <c r="D774">
        <v>2378079077</v>
      </c>
      <c r="E774" t="str">
        <f>T("[e북]추혈객 4권 (완결)")</f>
        <v>[e북]추혈객 4권 (완결)</v>
      </c>
      <c r="F774">
        <v>4</v>
      </c>
      <c r="G774" t="str">
        <f>T("설봉")</f>
        <v>설봉</v>
      </c>
      <c r="J774" t="str">
        <f>T("매드햇")</f>
        <v>매드햇</v>
      </c>
      <c r="K774" t="str">
        <f>T("[e북]추혈객")</f>
        <v>[e북]추혈객</v>
      </c>
      <c r="L774">
        <v>3200</v>
      </c>
      <c r="M774">
        <v>0</v>
      </c>
      <c r="N774">
        <v>0</v>
      </c>
      <c r="O774">
        <v>0</v>
      </c>
      <c r="P774">
        <v>900</v>
      </c>
      <c r="Q774">
        <v>1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900</v>
      </c>
      <c r="AJ774">
        <v>1</v>
      </c>
      <c r="AK774">
        <v>0</v>
      </c>
      <c r="AL774">
        <v>0</v>
      </c>
      <c r="AM774">
        <v>900</v>
      </c>
      <c r="AN774">
        <v>0</v>
      </c>
      <c r="AO774">
        <v>0</v>
      </c>
      <c r="AP774">
        <v>0</v>
      </c>
      <c r="AQ774">
        <v>0</v>
      </c>
      <c r="AS774">
        <v>0</v>
      </c>
      <c r="AT774">
        <v>0</v>
      </c>
      <c r="AV774">
        <v>0</v>
      </c>
      <c r="AW774">
        <v>0</v>
      </c>
      <c r="AY774">
        <v>0</v>
      </c>
      <c r="AZ774">
        <v>0</v>
      </c>
      <c r="BA774">
        <v>630</v>
      </c>
      <c r="BE774" t="str">
        <f>T("9791137002180")</f>
        <v>9791137002180</v>
      </c>
      <c r="BF774" t="str">
        <f>T("E747074")</f>
        <v>E747074</v>
      </c>
      <c r="BG774" t="str">
        <f>T("판타지 e북 &gt; 신무협")</f>
        <v>판타지 e북 &gt; 신무협</v>
      </c>
    </row>
    <row r="775" spans="1:59">
      <c r="A775" t="s">
        <v>60</v>
      </c>
      <c r="B775" s="1">
        <v>46131</v>
      </c>
      <c r="C775">
        <v>2378075208</v>
      </c>
      <c r="D775">
        <v>2378075216</v>
      </c>
      <c r="E775" t="str">
        <f>T("[e북]충무공의 아들이 되었다 9권")</f>
        <v>[e북]충무공의 아들이 되었다 9권</v>
      </c>
      <c r="F775">
        <v>9</v>
      </c>
      <c r="G775" t="str">
        <f>T("보헤미아")</f>
        <v>보헤미아</v>
      </c>
      <c r="J775" t="str">
        <f>T("매드햇")</f>
        <v>매드햇</v>
      </c>
      <c r="K775" t="str">
        <f>T("[e북]충무공의 아들이 되었다")</f>
        <v>[e북]충무공의 아들이 되었다</v>
      </c>
      <c r="L775">
        <v>3000</v>
      </c>
      <c r="M775">
        <v>3000</v>
      </c>
      <c r="N775">
        <v>1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3000</v>
      </c>
      <c r="AJ775">
        <v>1</v>
      </c>
      <c r="AK775">
        <v>0</v>
      </c>
      <c r="AL775">
        <v>0</v>
      </c>
      <c r="AM775">
        <v>3000</v>
      </c>
      <c r="AN775">
        <v>0</v>
      </c>
      <c r="AO775">
        <v>0</v>
      </c>
      <c r="AP775">
        <v>0</v>
      </c>
      <c r="AQ775">
        <v>0</v>
      </c>
      <c r="AS775">
        <v>0</v>
      </c>
      <c r="AT775">
        <v>0</v>
      </c>
      <c r="AV775">
        <v>0</v>
      </c>
      <c r="AW775">
        <v>0</v>
      </c>
      <c r="AY775">
        <v>0</v>
      </c>
      <c r="AZ775">
        <v>0</v>
      </c>
      <c r="BA775">
        <v>2100</v>
      </c>
      <c r="BE775" t="str">
        <f>T("9791137022188")</f>
        <v>9791137022188</v>
      </c>
      <c r="BF775" t="str">
        <f>T("B023106")</f>
        <v>B023106</v>
      </c>
      <c r="BG775" t="str">
        <f>T("판타지 e북 &gt; 퓨전 판타지")</f>
        <v>판타지 e북 &gt; 퓨전 판타지</v>
      </c>
    </row>
    <row r="776" spans="1:59">
      <c r="A776" t="s">
        <v>60</v>
      </c>
      <c r="B776" s="1">
        <v>46129</v>
      </c>
      <c r="C776">
        <v>2378068217</v>
      </c>
      <c r="D776">
        <v>2378068219</v>
      </c>
      <c r="E776" t="str">
        <f>T("[e북]칼레이 백작가의 매맞이 하녀 3권")</f>
        <v>[e북]칼레이 백작가의 매맞이 하녀 3권</v>
      </c>
      <c r="F776">
        <v>3</v>
      </c>
      <c r="G776" t="str">
        <f>T("뮤사203")</f>
        <v>뮤사203</v>
      </c>
      <c r="J776" t="str">
        <f>T("시계토끼")</f>
        <v>시계토끼</v>
      </c>
      <c r="K776" t="str">
        <f>T("[e북]칼레이 백작가의 매맞이 하녀")</f>
        <v>[e북]칼레이 백작가의 매맞이 하녀</v>
      </c>
      <c r="L776">
        <v>3000</v>
      </c>
      <c r="M776">
        <v>3000</v>
      </c>
      <c r="N776">
        <v>1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3000</v>
      </c>
      <c r="AJ776">
        <v>1</v>
      </c>
      <c r="AK776">
        <v>0</v>
      </c>
      <c r="AL776">
        <v>0</v>
      </c>
      <c r="AM776">
        <v>0</v>
      </c>
      <c r="AN776">
        <v>0</v>
      </c>
      <c r="AO776">
        <v>3600</v>
      </c>
      <c r="AP776">
        <v>-360</v>
      </c>
      <c r="AQ776">
        <v>0</v>
      </c>
      <c r="AS776">
        <v>0</v>
      </c>
      <c r="AT776">
        <v>0</v>
      </c>
      <c r="AV776">
        <v>0</v>
      </c>
      <c r="AW776">
        <v>0</v>
      </c>
      <c r="AX776">
        <v>3600</v>
      </c>
      <c r="AY776">
        <v>-360</v>
      </c>
      <c r="AZ776">
        <v>0</v>
      </c>
      <c r="BA776">
        <v>2268</v>
      </c>
      <c r="BE776" t="str">
        <f>T("9791172820275")</f>
        <v>9791172820275</v>
      </c>
      <c r="BF776" t="str">
        <f>T("k364701")</f>
        <v>k364701</v>
      </c>
      <c r="BG776" t="str">
        <f>T("로판 e북 &gt; 서양풍 로판")</f>
        <v>로판 e북 &gt; 서양풍 로판</v>
      </c>
    </row>
    <row r="777" spans="1:59">
      <c r="A777" t="s">
        <v>60</v>
      </c>
      <c r="B777" s="1">
        <v>46129</v>
      </c>
      <c r="C777">
        <v>2378068217</v>
      </c>
      <c r="D777">
        <v>2378068220</v>
      </c>
      <c r="E777" t="str">
        <f>T("[e북]칼레이 백작가의 매맞이 하녀 4권")</f>
        <v>[e북]칼레이 백작가의 매맞이 하녀 4권</v>
      </c>
      <c r="F777">
        <v>4</v>
      </c>
      <c r="G777" t="str">
        <f>T("뮤사203")</f>
        <v>뮤사203</v>
      </c>
      <c r="J777" t="str">
        <f>T("시계토끼")</f>
        <v>시계토끼</v>
      </c>
      <c r="K777" t="str">
        <f>T("[e북]칼레이 백작가의 매맞이 하녀")</f>
        <v>[e북]칼레이 백작가의 매맞이 하녀</v>
      </c>
      <c r="L777">
        <v>3000</v>
      </c>
      <c r="M777">
        <v>3000</v>
      </c>
      <c r="N777">
        <v>1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3000</v>
      </c>
      <c r="AJ777">
        <v>1</v>
      </c>
      <c r="AK777">
        <v>0</v>
      </c>
      <c r="AL777">
        <v>0</v>
      </c>
      <c r="AM777">
        <v>0</v>
      </c>
      <c r="AN777">
        <v>0</v>
      </c>
      <c r="AO777">
        <v>3600</v>
      </c>
      <c r="AP777">
        <v>-360</v>
      </c>
      <c r="AQ777">
        <v>0</v>
      </c>
      <c r="AS777">
        <v>0</v>
      </c>
      <c r="AT777">
        <v>0</v>
      </c>
      <c r="AV777">
        <v>0</v>
      </c>
      <c r="AW777">
        <v>0</v>
      </c>
      <c r="AX777">
        <v>3600</v>
      </c>
      <c r="AY777">
        <v>-360</v>
      </c>
      <c r="AZ777">
        <v>0</v>
      </c>
      <c r="BA777">
        <v>2268</v>
      </c>
      <c r="BE777" t="str">
        <f>T("9791172820282")</f>
        <v>9791172820282</v>
      </c>
      <c r="BF777" t="str">
        <f>T("k364702")</f>
        <v>k364702</v>
      </c>
      <c r="BG777" t="str">
        <f>T("로판 e북 &gt; 서양풍 로판")</f>
        <v>로판 e북 &gt; 서양풍 로판</v>
      </c>
    </row>
    <row r="778" spans="1:59">
      <c r="A778" t="s">
        <v>60</v>
      </c>
      <c r="B778" s="1">
        <v>46129</v>
      </c>
      <c r="C778">
        <v>2378068217</v>
      </c>
      <c r="D778">
        <v>2378080342</v>
      </c>
      <c r="E778" t="str">
        <f>T("[e북]칼레이 백작가의 매맞이 하녀 (추가 외전)")</f>
        <v>[e북]칼레이 백작가의 매맞이 하녀 (추가 외전)</v>
      </c>
      <c r="F778">
        <v>7</v>
      </c>
      <c r="G778" t="str">
        <f>T("뮤사203")</f>
        <v>뮤사203</v>
      </c>
      <c r="J778" t="str">
        <f>T("시계토끼")</f>
        <v>시계토끼</v>
      </c>
      <c r="K778" t="str">
        <f>T("[e북]칼레이 백작가의 매맞이 하녀")</f>
        <v>[e북]칼레이 백작가의 매맞이 하녀</v>
      </c>
      <c r="L778">
        <v>1000</v>
      </c>
      <c r="M778">
        <v>1000</v>
      </c>
      <c r="N778">
        <v>1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1000</v>
      </c>
      <c r="AJ778">
        <v>1</v>
      </c>
      <c r="AK778">
        <v>0</v>
      </c>
      <c r="AL778">
        <v>0</v>
      </c>
      <c r="AM778">
        <v>1000</v>
      </c>
      <c r="AN778">
        <v>0</v>
      </c>
      <c r="AO778">
        <v>0</v>
      </c>
      <c r="AP778">
        <v>0</v>
      </c>
      <c r="AQ778">
        <v>0</v>
      </c>
      <c r="AS778">
        <v>0</v>
      </c>
      <c r="AT778">
        <v>0</v>
      </c>
      <c r="AV778">
        <v>0</v>
      </c>
      <c r="AW778">
        <v>0</v>
      </c>
      <c r="AY778">
        <v>0</v>
      </c>
      <c r="AZ778">
        <v>0</v>
      </c>
      <c r="BA778">
        <v>700</v>
      </c>
      <c r="BE778" t="str">
        <f>T("9791172822149")</f>
        <v>9791172822149</v>
      </c>
      <c r="BF778" t="str">
        <f>T("D209275")</f>
        <v>D209275</v>
      </c>
      <c r="BG778" t="str">
        <f>T("로판 e북 &gt; 서양풍 로판")</f>
        <v>로판 e북 &gt; 서양풍 로판</v>
      </c>
    </row>
    <row r="779" spans="1:59">
      <c r="A779" t="s">
        <v>60</v>
      </c>
      <c r="B779" s="1">
        <v>46130</v>
      </c>
      <c r="C779">
        <v>2378068217</v>
      </c>
      <c r="D779">
        <v>2378080342</v>
      </c>
      <c r="E779" t="str">
        <f>T("[e북]칼레이 백작가의 매맞이 하녀 (추가 외전)")</f>
        <v>[e북]칼레이 백작가의 매맞이 하녀 (추가 외전)</v>
      </c>
      <c r="F779">
        <v>7</v>
      </c>
      <c r="G779" t="str">
        <f>T("뮤사203")</f>
        <v>뮤사203</v>
      </c>
      <c r="J779" t="str">
        <f>T("시계토끼")</f>
        <v>시계토끼</v>
      </c>
      <c r="K779" t="str">
        <f>T("[e북]칼레이 백작가의 매맞이 하녀")</f>
        <v>[e북]칼레이 백작가의 매맞이 하녀</v>
      </c>
      <c r="L779">
        <v>1000</v>
      </c>
      <c r="M779">
        <v>1000</v>
      </c>
      <c r="N779">
        <v>1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1000</v>
      </c>
      <c r="AJ779">
        <v>1</v>
      </c>
      <c r="AK779">
        <v>0</v>
      </c>
      <c r="AL779">
        <v>0</v>
      </c>
      <c r="AM779">
        <v>1000</v>
      </c>
      <c r="AN779">
        <v>0</v>
      </c>
      <c r="AO779">
        <v>0</v>
      </c>
      <c r="AP779">
        <v>0</v>
      </c>
      <c r="AQ779">
        <v>0</v>
      </c>
      <c r="AS779">
        <v>0</v>
      </c>
      <c r="AT779">
        <v>0</v>
      </c>
      <c r="AV779">
        <v>0</v>
      </c>
      <c r="AW779">
        <v>0</v>
      </c>
      <c r="AY779">
        <v>0</v>
      </c>
      <c r="AZ779">
        <v>0</v>
      </c>
      <c r="BA779">
        <v>700</v>
      </c>
      <c r="BE779" t="str">
        <f>T("9791172822149")</f>
        <v>9791172822149</v>
      </c>
      <c r="BF779" t="str">
        <f>T("D209275")</f>
        <v>D209275</v>
      </c>
      <c r="BG779" t="str">
        <f>T("로판 e북 &gt; 서양풍 로판")</f>
        <v>로판 e북 &gt; 서양풍 로판</v>
      </c>
    </row>
    <row r="780" spans="1:59">
      <c r="A780" t="s">
        <v>60</v>
      </c>
      <c r="B780" s="1">
        <v>46130</v>
      </c>
      <c r="C780">
        <v>2378068217</v>
      </c>
      <c r="D780">
        <v>2378068221</v>
      </c>
      <c r="E780" t="str">
        <f>T("[e북]칼레이 백작가의 매맞이 하녀 5권 (완결)")</f>
        <v>[e북]칼레이 백작가의 매맞이 하녀 5권 (완결)</v>
      </c>
      <c r="F780">
        <v>5</v>
      </c>
      <c r="G780" t="str">
        <f>T("뮤사203")</f>
        <v>뮤사203</v>
      </c>
      <c r="J780" t="str">
        <f>T("시계토끼")</f>
        <v>시계토끼</v>
      </c>
      <c r="K780" t="str">
        <f>T("[e북]칼레이 백작가의 매맞이 하녀")</f>
        <v>[e북]칼레이 백작가의 매맞이 하녀</v>
      </c>
      <c r="L780">
        <v>3000</v>
      </c>
      <c r="M780">
        <v>6000</v>
      </c>
      <c r="N780">
        <v>2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6000</v>
      </c>
      <c r="AJ780">
        <v>2</v>
      </c>
      <c r="AK780">
        <v>0</v>
      </c>
      <c r="AL780">
        <v>0</v>
      </c>
      <c r="AM780">
        <v>3000</v>
      </c>
      <c r="AN780">
        <v>0</v>
      </c>
      <c r="AO780">
        <v>3600</v>
      </c>
      <c r="AP780">
        <v>-360</v>
      </c>
      <c r="AQ780">
        <v>0</v>
      </c>
      <c r="AS780">
        <v>0</v>
      </c>
      <c r="AT780">
        <v>0</v>
      </c>
      <c r="AV780">
        <v>0</v>
      </c>
      <c r="AW780">
        <v>0</v>
      </c>
      <c r="AX780">
        <v>3600</v>
      </c>
      <c r="AY780">
        <v>-360</v>
      </c>
      <c r="AZ780">
        <v>0</v>
      </c>
      <c r="BA780">
        <v>4368</v>
      </c>
      <c r="BE780" t="str">
        <f>T("9791172820299")</f>
        <v>9791172820299</v>
      </c>
      <c r="BF780" t="str">
        <f>T("k364703")</f>
        <v>k364703</v>
      </c>
      <c r="BG780" t="str">
        <f>T("로판 e북 &gt; 서양풍 로판")</f>
        <v>로판 e북 &gt; 서양풍 로판</v>
      </c>
    </row>
    <row r="781" spans="1:59">
      <c r="A781" t="s">
        <v>60</v>
      </c>
      <c r="B781" s="1">
        <v>46130</v>
      </c>
      <c r="C781">
        <v>2378068217</v>
      </c>
      <c r="D781">
        <v>2378068220</v>
      </c>
      <c r="E781" t="str">
        <f>T("[e북]칼레이 백작가의 매맞이 하녀 4권")</f>
        <v>[e북]칼레이 백작가의 매맞이 하녀 4권</v>
      </c>
      <c r="F781">
        <v>4</v>
      </c>
      <c r="G781" t="str">
        <f>T("뮤사203")</f>
        <v>뮤사203</v>
      </c>
      <c r="J781" t="str">
        <f>T("시계토끼")</f>
        <v>시계토끼</v>
      </c>
      <c r="K781" t="str">
        <f>T("[e북]칼레이 백작가의 매맞이 하녀")</f>
        <v>[e북]칼레이 백작가의 매맞이 하녀</v>
      </c>
      <c r="L781">
        <v>3000</v>
      </c>
      <c r="M781">
        <v>3000</v>
      </c>
      <c r="N781">
        <v>1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3000</v>
      </c>
      <c r="AJ781">
        <v>1</v>
      </c>
      <c r="AK781">
        <v>0</v>
      </c>
      <c r="AL781">
        <v>0</v>
      </c>
      <c r="AM781">
        <v>3000</v>
      </c>
      <c r="AN781">
        <v>0</v>
      </c>
      <c r="AO781">
        <v>0</v>
      </c>
      <c r="AP781">
        <v>0</v>
      </c>
      <c r="AQ781">
        <v>0</v>
      </c>
      <c r="AS781">
        <v>0</v>
      </c>
      <c r="AT781">
        <v>0</v>
      </c>
      <c r="AV781">
        <v>0</v>
      </c>
      <c r="AW781">
        <v>0</v>
      </c>
      <c r="AY781">
        <v>0</v>
      </c>
      <c r="AZ781">
        <v>0</v>
      </c>
      <c r="BA781">
        <v>2100</v>
      </c>
      <c r="BE781" t="str">
        <f>T("9791172820282")</f>
        <v>9791172820282</v>
      </c>
      <c r="BF781" t="str">
        <f>T("k364702")</f>
        <v>k364702</v>
      </c>
      <c r="BG781" t="str">
        <f>T("로판 e북 &gt; 서양풍 로판")</f>
        <v>로판 e북 &gt; 서양풍 로판</v>
      </c>
    </row>
    <row r="782" spans="1:59">
      <c r="A782" t="s">
        <v>60</v>
      </c>
      <c r="B782" s="1">
        <v>46130</v>
      </c>
      <c r="C782">
        <v>2378068217</v>
      </c>
      <c r="D782">
        <v>2378068218</v>
      </c>
      <c r="E782" t="str">
        <f>T("[e북]칼레이 백작가의 매맞이 하녀 2권")</f>
        <v>[e북]칼레이 백작가의 매맞이 하녀 2권</v>
      </c>
      <c r="F782">
        <v>2</v>
      </c>
      <c r="G782" t="str">
        <f>T("뮤사203")</f>
        <v>뮤사203</v>
      </c>
      <c r="J782" t="str">
        <f>T("시계토끼")</f>
        <v>시계토끼</v>
      </c>
      <c r="K782" t="str">
        <f>T("[e북]칼레이 백작가의 매맞이 하녀")</f>
        <v>[e북]칼레이 백작가의 매맞이 하녀</v>
      </c>
      <c r="L782">
        <v>3000</v>
      </c>
      <c r="M782">
        <v>6000</v>
      </c>
      <c r="N782">
        <v>2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6000</v>
      </c>
      <c r="AJ782">
        <v>2</v>
      </c>
      <c r="AK782">
        <v>0</v>
      </c>
      <c r="AL782">
        <v>0</v>
      </c>
      <c r="AM782">
        <v>3000</v>
      </c>
      <c r="AN782">
        <v>0</v>
      </c>
      <c r="AO782">
        <v>3600</v>
      </c>
      <c r="AP782">
        <v>-1080</v>
      </c>
      <c r="AQ782">
        <v>0</v>
      </c>
      <c r="AR782">
        <v>3600</v>
      </c>
      <c r="AS782">
        <v>-1080</v>
      </c>
      <c r="AT782">
        <v>0</v>
      </c>
      <c r="AV782">
        <v>0</v>
      </c>
      <c r="AW782">
        <v>0</v>
      </c>
      <c r="AY782">
        <v>0</v>
      </c>
      <c r="AZ782">
        <v>0</v>
      </c>
      <c r="BA782">
        <v>3864</v>
      </c>
      <c r="BE782" t="str">
        <f>T("9791172820268")</f>
        <v>9791172820268</v>
      </c>
      <c r="BF782" t="str">
        <f>T("k364700")</f>
        <v>k364700</v>
      </c>
      <c r="BG782" t="str">
        <f>T("로판 e북 &gt; 서양풍 로판")</f>
        <v>로판 e북 &gt; 서양풍 로판</v>
      </c>
    </row>
    <row r="783" spans="1:59">
      <c r="A783" t="s">
        <v>60</v>
      </c>
      <c r="B783" s="1">
        <v>46130</v>
      </c>
      <c r="C783">
        <v>2378068217</v>
      </c>
      <c r="D783">
        <v>2378068217</v>
      </c>
      <c r="E783" t="str">
        <f>T("[e북]칼레이 백작가의 매맞이 하녀 1권")</f>
        <v>[e북]칼레이 백작가의 매맞이 하녀 1권</v>
      </c>
      <c r="F783">
        <v>1</v>
      </c>
      <c r="G783" t="str">
        <f>T("뮤사203")</f>
        <v>뮤사203</v>
      </c>
      <c r="J783" t="str">
        <f>T("시계토끼")</f>
        <v>시계토끼</v>
      </c>
      <c r="K783" t="str">
        <f>T("[e북]칼레이 백작가의 매맞이 하녀")</f>
        <v>[e북]칼레이 백작가의 매맞이 하녀</v>
      </c>
      <c r="L783">
        <v>3000</v>
      </c>
      <c r="M783">
        <v>6000</v>
      </c>
      <c r="N783">
        <v>2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6000</v>
      </c>
      <c r="AJ783">
        <v>2</v>
      </c>
      <c r="AK783">
        <v>0</v>
      </c>
      <c r="AL783">
        <v>0</v>
      </c>
      <c r="AM783">
        <v>6000</v>
      </c>
      <c r="AN783">
        <v>0</v>
      </c>
      <c r="AO783">
        <v>0</v>
      </c>
      <c r="AP783">
        <v>0</v>
      </c>
      <c r="AQ783">
        <v>0</v>
      </c>
      <c r="AS783">
        <v>0</v>
      </c>
      <c r="AT783">
        <v>0</v>
      </c>
      <c r="AV783">
        <v>0</v>
      </c>
      <c r="AW783">
        <v>0</v>
      </c>
      <c r="AY783">
        <v>0</v>
      </c>
      <c r="AZ783">
        <v>0</v>
      </c>
      <c r="BA783">
        <v>4200</v>
      </c>
      <c r="BE783" t="str">
        <f>T("9791172820251")</f>
        <v>9791172820251</v>
      </c>
      <c r="BF783" t="str">
        <f>T("k364699")</f>
        <v>k364699</v>
      </c>
      <c r="BG783" t="str">
        <f>T("로판 e북 &gt; 서양풍 로판")</f>
        <v>로판 e북 &gt; 서양풍 로판</v>
      </c>
    </row>
    <row r="784" spans="1:59">
      <c r="A784" t="s">
        <v>60</v>
      </c>
      <c r="B784" s="1">
        <v>46131</v>
      </c>
      <c r="C784">
        <v>2378068217</v>
      </c>
      <c r="D784">
        <v>2378068219</v>
      </c>
      <c r="E784" t="str">
        <f>T("[e북]칼레이 백작가의 매맞이 하녀 3권")</f>
        <v>[e북]칼레이 백작가의 매맞이 하녀 3권</v>
      </c>
      <c r="F784">
        <v>3</v>
      </c>
      <c r="G784" t="str">
        <f>T("뮤사203")</f>
        <v>뮤사203</v>
      </c>
      <c r="J784" t="str">
        <f>T("시계토끼")</f>
        <v>시계토끼</v>
      </c>
      <c r="K784" t="str">
        <f>T("[e북]칼레이 백작가의 매맞이 하녀")</f>
        <v>[e북]칼레이 백작가의 매맞이 하녀</v>
      </c>
      <c r="L784">
        <v>3000</v>
      </c>
      <c r="M784">
        <v>6000</v>
      </c>
      <c r="N784">
        <v>2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6000</v>
      </c>
      <c r="AJ784">
        <v>2</v>
      </c>
      <c r="AK784">
        <v>0</v>
      </c>
      <c r="AL784">
        <v>0</v>
      </c>
      <c r="AM784">
        <v>3000</v>
      </c>
      <c r="AN784">
        <v>0</v>
      </c>
      <c r="AO784">
        <v>3600</v>
      </c>
      <c r="AP784">
        <v>-360</v>
      </c>
      <c r="AQ784">
        <v>0</v>
      </c>
      <c r="AS784">
        <v>0</v>
      </c>
      <c r="AT784">
        <v>0</v>
      </c>
      <c r="AU784">
        <v>3600</v>
      </c>
      <c r="AV784">
        <v>-360</v>
      </c>
      <c r="AW784">
        <v>0</v>
      </c>
      <c r="AY784">
        <v>0</v>
      </c>
      <c r="AZ784">
        <v>0</v>
      </c>
      <c r="BA784">
        <v>4368</v>
      </c>
      <c r="BE784" t="str">
        <f>T("9791172820275")</f>
        <v>9791172820275</v>
      </c>
      <c r="BF784" t="str">
        <f>T("k364701")</f>
        <v>k364701</v>
      </c>
      <c r="BG784" t="str">
        <f>T("로판 e북 &gt; 서양풍 로판")</f>
        <v>로판 e북 &gt; 서양풍 로판</v>
      </c>
    </row>
    <row r="785" spans="1:59">
      <c r="A785" t="s">
        <v>60</v>
      </c>
      <c r="B785" s="1">
        <v>46131</v>
      </c>
      <c r="C785">
        <v>2378068217</v>
      </c>
      <c r="D785">
        <v>2378068221</v>
      </c>
      <c r="E785" t="str">
        <f>T("[e북]칼레이 백작가의 매맞이 하녀 5권 (완결)")</f>
        <v>[e북]칼레이 백작가의 매맞이 하녀 5권 (완결)</v>
      </c>
      <c r="F785">
        <v>5</v>
      </c>
      <c r="G785" t="str">
        <f>T("뮤사203")</f>
        <v>뮤사203</v>
      </c>
      <c r="J785" t="str">
        <f>T("시계토끼")</f>
        <v>시계토끼</v>
      </c>
      <c r="K785" t="str">
        <f>T("[e북]칼레이 백작가의 매맞이 하녀")</f>
        <v>[e북]칼레이 백작가의 매맞이 하녀</v>
      </c>
      <c r="L785">
        <v>3000</v>
      </c>
      <c r="M785">
        <v>3000</v>
      </c>
      <c r="N785">
        <v>1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3000</v>
      </c>
      <c r="AJ785">
        <v>1</v>
      </c>
      <c r="AK785">
        <v>0</v>
      </c>
      <c r="AL785">
        <v>0</v>
      </c>
      <c r="AM785">
        <v>2880</v>
      </c>
      <c r="AN785">
        <v>0</v>
      </c>
      <c r="AO785">
        <v>144</v>
      </c>
      <c r="AP785">
        <v>-14.4</v>
      </c>
      <c r="AQ785">
        <v>0</v>
      </c>
      <c r="AS785">
        <v>0</v>
      </c>
      <c r="AT785">
        <v>0</v>
      </c>
      <c r="AU785">
        <v>144</v>
      </c>
      <c r="AV785">
        <v>-14.4</v>
      </c>
      <c r="AW785">
        <v>0</v>
      </c>
      <c r="AY785">
        <v>0</v>
      </c>
      <c r="AZ785">
        <v>0</v>
      </c>
      <c r="BA785">
        <v>2106.7199999999998</v>
      </c>
      <c r="BE785" t="str">
        <f>T("9791172820299")</f>
        <v>9791172820299</v>
      </c>
      <c r="BF785" t="str">
        <f>T("k364703")</f>
        <v>k364703</v>
      </c>
      <c r="BG785" t="str">
        <f>T("로판 e북 &gt; 서양풍 로판")</f>
        <v>로판 e북 &gt; 서양풍 로판</v>
      </c>
    </row>
    <row r="786" spans="1:59">
      <c r="A786" t="s">
        <v>60</v>
      </c>
      <c r="B786" s="1">
        <v>46129</v>
      </c>
      <c r="C786">
        <v>2378006642</v>
      </c>
      <c r="D786">
        <v>2378006643</v>
      </c>
      <c r="E786" t="str">
        <f>T("[e북][체험판] 쾌락의 덫")</f>
        <v>[e북][체험판] 쾌락의 덫</v>
      </c>
      <c r="F786">
        <v>1</v>
      </c>
      <c r="G786" t="str">
        <f>T("파하슬릐")</f>
        <v>파하슬릐</v>
      </c>
      <c r="J786" t="str">
        <f>T("버닝북스")</f>
        <v>버닝북스</v>
      </c>
      <c r="K786" t="str">
        <f>T("[e북]쾌락의 덫")</f>
        <v>[e북]쾌락의 덫</v>
      </c>
      <c r="L786">
        <v>0</v>
      </c>
      <c r="M786">
        <v>0</v>
      </c>
      <c r="N786">
        <v>0</v>
      </c>
      <c r="O786">
        <v>1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1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S786">
        <v>0</v>
      </c>
      <c r="AT786">
        <v>0</v>
      </c>
      <c r="AV786">
        <v>0</v>
      </c>
      <c r="AW786">
        <v>0</v>
      </c>
      <c r="AY786">
        <v>0</v>
      </c>
      <c r="AZ786">
        <v>0</v>
      </c>
      <c r="BA786">
        <v>0</v>
      </c>
      <c r="BC786" t="str">
        <f>T("0000000000000")</f>
        <v>0000000000000</v>
      </c>
      <c r="BE786" t="str">
        <f>T("9791189350369")</f>
        <v>9791189350369</v>
      </c>
      <c r="BF786" t="str">
        <f>T("E371153")</f>
        <v>E371153</v>
      </c>
      <c r="BG786" t="str">
        <f>T("BL 소설 e북 &gt; 현대물")</f>
        <v>BL 소설 e북 &gt; 현대물</v>
      </c>
    </row>
    <row r="787" spans="1:59">
      <c r="A787" t="s">
        <v>60</v>
      </c>
      <c r="B787" s="1">
        <v>46130</v>
      </c>
      <c r="C787">
        <v>2378030673</v>
      </c>
      <c r="D787">
        <v>2378030673</v>
      </c>
      <c r="E787" t="str">
        <f>T("[e북]타락 찬미 1권")</f>
        <v>[e북]타락 찬미 1권</v>
      </c>
      <c r="F787">
        <v>1</v>
      </c>
      <c r="G787" t="str">
        <f>T("하얀백지")</f>
        <v>하얀백지</v>
      </c>
      <c r="J787" t="str">
        <f>T("시계토끼")</f>
        <v>시계토끼</v>
      </c>
      <c r="K787" t="str">
        <f>T("[e북]타락 찬미")</f>
        <v>[e북]타락 찬미</v>
      </c>
      <c r="L787">
        <v>3200</v>
      </c>
      <c r="M787">
        <v>3200</v>
      </c>
      <c r="N787">
        <v>1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3200</v>
      </c>
      <c r="AJ787">
        <v>1</v>
      </c>
      <c r="AK787">
        <v>0</v>
      </c>
      <c r="AL787">
        <v>0</v>
      </c>
      <c r="AM787">
        <v>3200</v>
      </c>
      <c r="AN787">
        <v>0</v>
      </c>
      <c r="AO787">
        <v>0</v>
      </c>
      <c r="AP787">
        <v>0</v>
      </c>
      <c r="AQ787">
        <v>0</v>
      </c>
      <c r="AS787">
        <v>0</v>
      </c>
      <c r="AT787">
        <v>0</v>
      </c>
      <c r="AV787">
        <v>0</v>
      </c>
      <c r="AW787">
        <v>0</v>
      </c>
      <c r="AY787">
        <v>0</v>
      </c>
      <c r="AZ787">
        <v>0</v>
      </c>
      <c r="BA787">
        <v>2240</v>
      </c>
      <c r="BE787" t="str">
        <f>T("9791164096039")</f>
        <v>9791164096039</v>
      </c>
      <c r="BF787" t="str">
        <f>T("E872099")</f>
        <v>E872099</v>
      </c>
      <c r="BG787" t="str">
        <f>T("로판 e북 &gt; 서양풍 로판")</f>
        <v>로판 e북 &gt; 서양풍 로판</v>
      </c>
    </row>
    <row r="788" spans="1:59">
      <c r="A788" t="s">
        <v>60</v>
      </c>
      <c r="B788" s="1">
        <v>46130</v>
      </c>
      <c r="C788">
        <v>2378030673</v>
      </c>
      <c r="D788">
        <v>2378030674</v>
      </c>
      <c r="E788" t="str">
        <f>T("[e북]타락 찬미 2권")</f>
        <v>[e북]타락 찬미 2권</v>
      </c>
      <c r="F788">
        <v>2</v>
      </c>
      <c r="G788" t="str">
        <f>T("하얀백지")</f>
        <v>하얀백지</v>
      </c>
      <c r="J788" t="str">
        <f>T("시계토끼")</f>
        <v>시계토끼</v>
      </c>
      <c r="K788" t="str">
        <f>T("[e북]타락 찬미")</f>
        <v>[e북]타락 찬미</v>
      </c>
      <c r="L788">
        <v>3200</v>
      </c>
      <c r="M788">
        <v>3200</v>
      </c>
      <c r="N788">
        <v>1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3200</v>
      </c>
      <c r="AJ788">
        <v>1</v>
      </c>
      <c r="AK788">
        <v>0</v>
      </c>
      <c r="AL788">
        <v>0</v>
      </c>
      <c r="AM788">
        <v>3200</v>
      </c>
      <c r="AN788">
        <v>0</v>
      </c>
      <c r="AO788">
        <v>0</v>
      </c>
      <c r="AP788">
        <v>0</v>
      </c>
      <c r="AQ788">
        <v>0</v>
      </c>
      <c r="AS788">
        <v>0</v>
      </c>
      <c r="AT788">
        <v>0</v>
      </c>
      <c r="AV788">
        <v>0</v>
      </c>
      <c r="AW788">
        <v>0</v>
      </c>
      <c r="AY788">
        <v>0</v>
      </c>
      <c r="AZ788">
        <v>0</v>
      </c>
      <c r="BA788">
        <v>2240</v>
      </c>
      <c r="BE788" t="str">
        <f>T("9791164096046")</f>
        <v>9791164096046</v>
      </c>
      <c r="BF788" t="str">
        <f>T("E872100")</f>
        <v>E872100</v>
      </c>
      <c r="BG788" t="str">
        <f>T("로판 e북 &gt; 서양풍 로판")</f>
        <v>로판 e북 &gt; 서양풍 로판</v>
      </c>
    </row>
    <row r="789" spans="1:59">
      <c r="A789" t="s">
        <v>60</v>
      </c>
      <c r="B789" s="1">
        <v>46130</v>
      </c>
      <c r="C789">
        <v>2378030673</v>
      </c>
      <c r="D789">
        <v>2378030675</v>
      </c>
      <c r="E789" t="str">
        <f>T("[e북]타락 찬미 3권")</f>
        <v>[e북]타락 찬미 3권</v>
      </c>
      <c r="F789">
        <v>3</v>
      </c>
      <c r="G789" t="str">
        <f>T("하얀백지")</f>
        <v>하얀백지</v>
      </c>
      <c r="J789" t="str">
        <f>T("시계토끼")</f>
        <v>시계토끼</v>
      </c>
      <c r="K789" t="str">
        <f>T("[e북]타락 찬미")</f>
        <v>[e북]타락 찬미</v>
      </c>
      <c r="L789">
        <v>3200</v>
      </c>
      <c r="M789">
        <v>3200</v>
      </c>
      <c r="N789">
        <v>1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3200</v>
      </c>
      <c r="AJ789">
        <v>1</v>
      </c>
      <c r="AK789">
        <v>0</v>
      </c>
      <c r="AL789">
        <v>0</v>
      </c>
      <c r="AM789">
        <v>3200</v>
      </c>
      <c r="AN789">
        <v>0</v>
      </c>
      <c r="AO789">
        <v>0</v>
      </c>
      <c r="AP789">
        <v>0</v>
      </c>
      <c r="AQ789">
        <v>0</v>
      </c>
      <c r="AS789">
        <v>0</v>
      </c>
      <c r="AT789">
        <v>0</v>
      </c>
      <c r="AV789">
        <v>0</v>
      </c>
      <c r="AW789">
        <v>0</v>
      </c>
      <c r="AY789">
        <v>0</v>
      </c>
      <c r="AZ789">
        <v>0</v>
      </c>
      <c r="BA789">
        <v>2240</v>
      </c>
      <c r="BE789" t="str">
        <f>T("9791164096053")</f>
        <v>9791164096053</v>
      </c>
      <c r="BF789" t="str">
        <f>T("E872101")</f>
        <v>E872101</v>
      </c>
      <c r="BG789" t="str">
        <f>T("로판 e북 &gt; 서양풍 로판")</f>
        <v>로판 e북 &gt; 서양풍 로판</v>
      </c>
    </row>
    <row r="790" spans="1:59">
      <c r="A790" t="s">
        <v>60</v>
      </c>
      <c r="B790" s="1">
        <v>46130</v>
      </c>
      <c r="C790">
        <v>2378030673</v>
      </c>
      <c r="D790">
        <v>2378030676</v>
      </c>
      <c r="E790" t="str">
        <f>T("[e북]타락 찬미 4권 (완결)")</f>
        <v>[e북]타락 찬미 4권 (완결)</v>
      </c>
      <c r="F790">
        <v>4</v>
      </c>
      <c r="G790" t="str">
        <f>T("하얀백지")</f>
        <v>하얀백지</v>
      </c>
      <c r="J790" t="str">
        <f>T("시계토끼")</f>
        <v>시계토끼</v>
      </c>
      <c r="K790" t="str">
        <f>T("[e북]타락 찬미")</f>
        <v>[e북]타락 찬미</v>
      </c>
      <c r="L790">
        <v>3200</v>
      </c>
      <c r="M790">
        <v>3200</v>
      </c>
      <c r="N790">
        <v>1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3200</v>
      </c>
      <c r="AJ790">
        <v>1</v>
      </c>
      <c r="AK790">
        <v>0</v>
      </c>
      <c r="AL790">
        <v>0</v>
      </c>
      <c r="AM790">
        <v>3200</v>
      </c>
      <c r="AN790">
        <v>0</v>
      </c>
      <c r="AO790">
        <v>0</v>
      </c>
      <c r="AP790">
        <v>0</v>
      </c>
      <c r="AQ790">
        <v>0</v>
      </c>
      <c r="AS790">
        <v>0</v>
      </c>
      <c r="AT790">
        <v>0</v>
      </c>
      <c r="AV790">
        <v>0</v>
      </c>
      <c r="AW790">
        <v>0</v>
      </c>
      <c r="AY790">
        <v>0</v>
      </c>
      <c r="AZ790">
        <v>0</v>
      </c>
      <c r="BA790">
        <v>2240</v>
      </c>
      <c r="BE790" t="str">
        <f>T("9791164096060")</f>
        <v>9791164096060</v>
      </c>
      <c r="BF790" t="str">
        <f>T("E872102")</f>
        <v>E872102</v>
      </c>
      <c r="BG790" t="str">
        <f>T("로판 e북 &gt; 서양풍 로판")</f>
        <v>로판 e북 &gt; 서양풍 로판</v>
      </c>
    </row>
    <row r="791" spans="1:59">
      <c r="A791" t="s">
        <v>60</v>
      </c>
      <c r="B791" s="1">
        <v>46131</v>
      </c>
      <c r="C791">
        <v>2378030673</v>
      </c>
      <c r="D791">
        <v>2378030673</v>
      </c>
      <c r="E791" t="str">
        <f>T("[e북]타락 찬미 1권")</f>
        <v>[e북]타락 찬미 1권</v>
      </c>
      <c r="F791">
        <v>1</v>
      </c>
      <c r="G791" t="str">
        <f>T("하얀백지")</f>
        <v>하얀백지</v>
      </c>
      <c r="J791" t="str">
        <f>T("시계토끼")</f>
        <v>시계토끼</v>
      </c>
      <c r="K791" t="str">
        <f>T("[e북]타락 찬미")</f>
        <v>[e북]타락 찬미</v>
      </c>
      <c r="L791">
        <v>3200</v>
      </c>
      <c r="M791">
        <v>3200</v>
      </c>
      <c r="N791">
        <v>1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3200</v>
      </c>
      <c r="AJ791">
        <v>1</v>
      </c>
      <c r="AK791">
        <v>0</v>
      </c>
      <c r="AL791">
        <v>0</v>
      </c>
      <c r="AM791">
        <v>0</v>
      </c>
      <c r="AN791">
        <v>0</v>
      </c>
      <c r="AO791">
        <v>3840</v>
      </c>
      <c r="AP791">
        <v>-384</v>
      </c>
      <c r="AQ791">
        <v>0</v>
      </c>
      <c r="AS791">
        <v>0</v>
      </c>
      <c r="AT791">
        <v>0</v>
      </c>
      <c r="AU791">
        <v>3840</v>
      </c>
      <c r="AV791">
        <v>-384</v>
      </c>
      <c r="AW791">
        <v>0</v>
      </c>
      <c r="AY791">
        <v>0</v>
      </c>
      <c r="AZ791">
        <v>0</v>
      </c>
      <c r="BA791">
        <v>2419.1999999999998</v>
      </c>
      <c r="BE791" t="str">
        <f>T("9791164096039")</f>
        <v>9791164096039</v>
      </c>
      <c r="BF791" t="str">
        <f>T("E872099")</f>
        <v>E872099</v>
      </c>
      <c r="BG791" t="str">
        <f>T("로판 e북 &gt; 서양풍 로판")</f>
        <v>로판 e북 &gt; 서양풍 로판</v>
      </c>
    </row>
    <row r="792" spans="1:59">
      <c r="A792" t="s">
        <v>60</v>
      </c>
      <c r="B792" s="1">
        <v>46131</v>
      </c>
      <c r="C792">
        <v>2378030673</v>
      </c>
      <c r="D792">
        <v>2378030674</v>
      </c>
      <c r="E792" t="str">
        <f>T("[e북]타락 찬미 2권")</f>
        <v>[e북]타락 찬미 2권</v>
      </c>
      <c r="F792">
        <v>2</v>
      </c>
      <c r="G792" t="str">
        <f>T("하얀백지")</f>
        <v>하얀백지</v>
      </c>
      <c r="J792" t="str">
        <f>T("시계토끼")</f>
        <v>시계토끼</v>
      </c>
      <c r="K792" t="str">
        <f>T("[e북]타락 찬미")</f>
        <v>[e북]타락 찬미</v>
      </c>
      <c r="L792">
        <v>3200</v>
      </c>
      <c r="M792">
        <v>3200</v>
      </c>
      <c r="N792">
        <v>1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3200</v>
      </c>
      <c r="AJ792">
        <v>1</v>
      </c>
      <c r="AK792">
        <v>0</v>
      </c>
      <c r="AL792">
        <v>0</v>
      </c>
      <c r="AM792">
        <v>0</v>
      </c>
      <c r="AN792">
        <v>0</v>
      </c>
      <c r="AO792">
        <v>3840</v>
      </c>
      <c r="AP792">
        <v>-384</v>
      </c>
      <c r="AQ792">
        <v>0</v>
      </c>
      <c r="AS792">
        <v>0</v>
      </c>
      <c r="AT792">
        <v>0</v>
      </c>
      <c r="AU792">
        <v>3840</v>
      </c>
      <c r="AV792">
        <v>-384</v>
      </c>
      <c r="AW792">
        <v>0</v>
      </c>
      <c r="AY792">
        <v>0</v>
      </c>
      <c r="AZ792">
        <v>0</v>
      </c>
      <c r="BA792">
        <v>2419.1999999999998</v>
      </c>
      <c r="BE792" t="str">
        <f>T("9791164096046")</f>
        <v>9791164096046</v>
      </c>
      <c r="BF792" t="str">
        <f>T("E872100")</f>
        <v>E872100</v>
      </c>
      <c r="BG792" t="str">
        <f>T("로판 e북 &gt; 서양풍 로판")</f>
        <v>로판 e북 &gt; 서양풍 로판</v>
      </c>
    </row>
    <row r="793" spans="1:59">
      <c r="A793" t="s">
        <v>60</v>
      </c>
      <c r="B793" s="1">
        <v>46129</v>
      </c>
      <c r="C793">
        <v>2378081205</v>
      </c>
      <c r="D793">
        <v>2378081205</v>
      </c>
      <c r="E793" t="str">
        <f>T("[e북]탑랭커의 작가지망생활백서 1권")</f>
        <v>[e북]탑랭커의 작가지망생활백서 1권</v>
      </c>
      <c r="F793">
        <v>1</v>
      </c>
      <c r="G793" t="str">
        <f>T("츄르한잔")</f>
        <v>츄르한잔</v>
      </c>
      <c r="J793" t="str">
        <f>T("매드햇")</f>
        <v>매드햇</v>
      </c>
      <c r="K793" t="str">
        <f>T("[e북]탑랭커의 작가지망생활백서")</f>
        <v>[e북]탑랭커의 작가지망생활백서</v>
      </c>
      <c r="L793">
        <v>0</v>
      </c>
      <c r="M793">
        <v>0</v>
      </c>
      <c r="N793">
        <v>0</v>
      </c>
      <c r="O793">
        <v>2</v>
      </c>
      <c r="P793">
        <v>0</v>
      </c>
      <c r="Q793">
        <v>0</v>
      </c>
      <c r="R793">
        <v>7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9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S793">
        <v>0</v>
      </c>
      <c r="AT793">
        <v>0</v>
      </c>
      <c r="AV793">
        <v>0</v>
      </c>
      <c r="AW793">
        <v>0</v>
      </c>
      <c r="AY793">
        <v>0</v>
      </c>
      <c r="AZ793">
        <v>0</v>
      </c>
      <c r="BA793">
        <v>0</v>
      </c>
      <c r="BE793" t="str">
        <f>T("9791137021815")</f>
        <v>9791137021815</v>
      </c>
      <c r="BF793" t="str">
        <f>T("k448170")</f>
        <v>k448170</v>
      </c>
      <c r="BG793" t="str">
        <f>T("판타지 e북 &gt; 퓨전 판타지")</f>
        <v>판타지 e북 &gt; 퓨전 판타지</v>
      </c>
    </row>
    <row r="794" spans="1:59">
      <c r="A794" t="s">
        <v>60</v>
      </c>
      <c r="B794" s="1">
        <v>46129</v>
      </c>
      <c r="C794">
        <v>2378081205</v>
      </c>
      <c r="D794">
        <v>2378081212</v>
      </c>
      <c r="E794" t="str">
        <f>T("[e북]탑랭커의 작가지망생활백서 8권")</f>
        <v>[e북]탑랭커의 작가지망생활백서 8권</v>
      </c>
      <c r="F794">
        <v>8</v>
      </c>
      <c r="G794" t="str">
        <f>T("츄르한잔")</f>
        <v>츄르한잔</v>
      </c>
      <c r="J794" t="str">
        <f>T("매드햇")</f>
        <v>매드햇</v>
      </c>
      <c r="K794" t="str">
        <f>T("[e북]탑랭커의 작가지망생활백서")</f>
        <v>[e북]탑랭커의 작가지망생활백서</v>
      </c>
      <c r="L794">
        <v>3000</v>
      </c>
      <c r="M794">
        <v>0</v>
      </c>
      <c r="N794">
        <v>0</v>
      </c>
      <c r="O794">
        <v>0</v>
      </c>
      <c r="P794">
        <v>900</v>
      </c>
      <c r="Q794">
        <v>1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900</v>
      </c>
      <c r="AJ794">
        <v>1</v>
      </c>
      <c r="AK794">
        <v>0</v>
      </c>
      <c r="AL794">
        <v>0</v>
      </c>
      <c r="AM794">
        <v>0</v>
      </c>
      <c r="AN794">
        <v>0</v>
      </c>
      <c r="AO794">
        <v>1080</v>
      </c>
      <c r="AP794">
        <v>-108</v>
      </c>
      <c r="AQ794">
        <v>0</v>
      </c>
      <c r="AS794">
        <v>0</v>
      </c>
      <c r="AT794">
        <v>0</v>
      </c>
      <c r="AU794">
        <v>1080</v>
      </c>
      <c r="AV794">
        <v>-108</v>
      </c>
      <c r="AW794">
        <v>0</v>
      </c>
      <c r="AY794">
        <v>0</v>
      </c>
      <c r="AZ794">
        <v>0</v>
      </c>
      <c r="BA794">
        <v>680.4</v>
      </c>
      <c r="BE794" t="str">
        <f>T("9791137021884")</f>
        <v>9791137021884</v>
      </c>
      <c r="BF794" t="str">
        <f>T("k448177")</f>
        <v>k448177</v>
      </c>
      <c r="BG794" t="str">
        <f>T("판타지 e북 &gt; 퓨전 판타지")</f>
        <v>판타지 e북 &gt; 퓨전 판타지</v>
      </c>
    </row>
    <row r="795" spans="1:59">
      <c r="A795" t="s">
        <v>60</v>
      </c>
      <c r="B795" s="1">
        <v>46129</v>
      </c>
      <c r="C795">
        <v>2378081205</v>
      </c>
      <c r="D795">
        <v>2378081213</v>
      </c>
      <c r="E795" t="str">
        <f>T("[e북]탑랭커의 작가지망생활백서 9권")</f>
        <v>[e북]탑랭커의 작가지망생활백서 9권</v>
      </c>
      <c r="F795">
        <v>9</v>
      </c>
      <c r="G795" t="str">
        <f>T("츄르한잔")</f>
        <v>츄르한잔</v>
      </c>
      <c r="J795" t="str">
        <f>T("매드햇")</f>
        <v>매드햇</v>
      </c>
      <c r="K795" t="str">
        <f>T("[e북]탑랭커의 작가지망생활백서")</f>
        <v>[e북]탑랭커의 작가지망생활백서</v>
      </c>
      <c r="L795">
        <v>3000</v>
      </c>
      <c r="M795">
        <v>3000</v>
      </c>
      <c r="N795">
        <v>1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3000</v>
      </c>
      <c r="AJ795">
        <v>1</v>
      </c>
      <c r="AK795">
        <v>0</v>
      </c>
      <c r="AL795">
        <v>0</v>
      </c>
      <c r="AM795">
        <v>0</v>
      </c>
      <c r="AN795">
        <v>0</v>
      </c>
      <c r="AO795">
        <v>3600</v>
      </c>
      <c r="AP795">
        <v>-360</v>
      </c>
      <c r="AQ795">
        <v>0</v>
      </c>
      <c r="AS795">
        <v>0</v>
      </c>
      <c r="AT795">
        <v>0</v>
      </c>
      <c r="AV795">
        <v>0</v>
      </c>
      <c r="AW795">
        <v>0</v>
      </c>
      <c r="AX795">
        <v>3600</v>
      </c>
      <c r="AY795">
        <v>-360</v>
      </c>
      <c r="AZ795">
        <v>0</v>
      </c>
      <c r="BA795">
        <v>2268</v>
      </c>
      <c r="BE795" t="str">
        <f>T("9791137021891")</f>
        <v>9791137021891</v>
      </c>
      <c r="BF795" t="str">
        <f>T("k448178")</f>
        <v>k448178</v>
      </c>
      <c r="BG795" t="str">
        <f>T("판타지 e북 &gt; 퓨전 판타지")</f>
        <v>판타지 e북 &gt; 퓨전 판타지</v>
      </c>
    </row>
    <row r="796" spans="1:59">
      <c r="A796" t="s">
        <v>60</v>
      </c>
      <c r="B796" s="1">
        <v>46129</v>
      </c>
      <c r="C796">
        <v>2378081205</v>
      </c>
      <c r="D796">
        <v>2378081214</v>
      </c>
      <c r="E796" t="str">
        <f>T("[e북]탑랭커의 작가지망생활백서 10권")</f>
        <v>[e북]탑랭커의 작가지망생활백서 10권</v>
      </c>
      <c r="F796">
        <v>10</v>
      </c>
      <c r="G796" t="str">
        <f>T("츄르한잔")</f>
        <v>츄르한잔</v>
      </c>
      <c r="J796" t="str">
        <f>T("매드햇")</f>
        <v>매드햇</v>
      </c>
      <c r="K796" t="str">
        <f>T("[e북]탑랭커의 작가지망생활백서")</f>
        <v>[e북]탑랭커의 작가지망생활백서</v>
      </c>
      <c r="L796">
        <v>3000</v>
      </c>
      <c r="M796">
        <v>3000</v>
      </c>
      <c r="N796">
        <v>1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3000</v>
      </c>
      <c r="AJ796">
        <v>1</v>
      </c>
      <c r="AK796">
        <v>0</v>
      </c>
      <c r="AL796">
        <v>0</v>
      </c>
      <c r="AM796">
        <v>0</v>
      </c>
      <c r="AN796">
        <v>0</v>
      </c>
      <c r="AO796">
        <v>3600</v>
      </c>
      <c r="AP796">
        <v>-360</v>
      </c>
      <c r="AQ796">
        <v>0</v>
      </c>
      <c r="AS796">
        <v>0</v>
      </c>
      <c r="AT796">
        <v>0</v>
      </c>
      <c r="AV796">
        <v>0</v>
      </c>
      <c r="AW796">
        <v>0</v>
      </c>
      <c r="AX796">
        <v>3600</v>
      </c>
      <c r="AY796">
        <v>-360</v>
      </c>
      <c r="AZ796">
        <v>0</v>
      </c>
      <c r="BA796">
        <v>2268</v>
      </c>
      <c r="BE796" t="str">
        <f>T("9791137021907")</f>
        <v>9791137021907</v>
      </c>
      <c r="BF796" t="str">
        <f>T("k448179")</f>
        <v>k448179</v>
      </c>
      <c r="BG796" t="str">
        <f>T("판타지 e북 &gt; 퓨전 판타지")</f>
        <v>판타지 e북 &gt; 퓨전 판타지</v>
      </c>
    </row>
    <row r="797" spans="1:59">
      <c r="A797" t="s">
        <v>60</v>
      </c>
      <c r="B797" s="1">
        <v>46129</v>
      </c>
      <c r="C797">
        <v>2378081205</v>
      </c>
      <c r="D797">
        <v>2378081215</v>
      </c>
      <c r="E797" t="str">
        <f>T("[e북]탑랭커의 작가지망생활백서 11권")</f>
        <v>[e북]탑랭커의 작가지망생활백서 11권</v>
      </c>
      <c r="F797">
        <v>11</v>
      </c>
      <c r="G797" t="str">
        <f>T("츄르한잔")</f>
        <v>츄르한잔</v>
      </c>
      <c r="J797" t="str">
        <f>T("매드햇")</f>
        <v>매드햇</v>
      </c>
      <c r="K797" t="str">
        <f>T("[e북]탑랭커의 작가지망생활백서")</f>
        <v>[e북]탑랭커의 작가지망생활백서</v>
      </c>
      <c r="L797">
        <v>3000</v>
      </c>
      <c r="M797">
        <v>3000</v>
      </c>
      <c r="N797">
        <v>1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3000</v>
      </c>
      <c r="AJ797">
        <v>1</v>
      </c>
      <c r="AK797">
        <v>0</v>
      </c>
      <c r="AL797">
        <v>0</v>
      </c>
      <c r="AM797">
        <v>0</v>
      </c>
      <c r="AN797">
        <v>0</v>
      </c>
      <c r="AO797">
        <v>3600</v>
      </c>
      <c r="AP797">
        <v>-360</v>
      </c>
      <c r="AQ797">
        <v>0</v>
      </c>
      <c r="AS797">
        <v>0</v>
      </c>
      <c r="AT797">
        <v>0</v>
      </c>
      <c r="AV797">
        <v>0</v>
      </c>
      <c r="AW797">
        <v>0</v>
      </c>
      <c r="AX797">
        <v>3600</v>
      </c>
      <c r="AY797">
        <v>-360</v>
      </c>
      <c r="AZ797">
        <v>0</v>
      </c>
      <c r="BA797">
        <v>2268</v>
      </c>
      <c r="BE797" t="str">
        <f>T("9791137021914")</f>
        <v>9791137021914</v>
      </c>
      <c r="BF797" t="str">
        <f>T("k448180")</f>
        <v>k448180</v>
      </c>
      <c r="BG797" t="str">
        <f>T("판타지 e북 &gt; 퓨전 판타지")</f>
        <v>판타지 e북 &gt; 퓨전 판타지</v>
      </c>
    </row>
    <row r="798" spans="1:59">
      <c r="A798" t="s">
        <v>60</v>
      </c>
      <c r="B798" s="1">
        <v>46129</v>
      </c>
      <c r="C798">
        <v>2378081205</v>
      </c>
      <c r="D798">
        <v>2378081216</v>
      </c>
      <c r="E798" t="str">
        <f>T("[e북]탑랭커의 작가지망생활백서 12권 (완결)")</f>
        <v>[e북]탑랭커의 작가지망생활백서 12권 (완결)</v>
      </c>
      <c r="F798">
        <v>12</v>
      </c>
      <c r="G798" t="str">
        <f>T("츄르한잔")</f>
        <v>츄르한잔</v>
      </c>
      <c r="J798" t="str">
        <f>T("매드햇")</f>
        <v>매드햇</v>
      </c>
      <c r="K798" t="str">
        <f>T("[e북]탑랭커의 작가지망생활백서")</f>
        <v>[e북]탑랭커의 작가지망생활백서</v>
      </c>
      <c r="L798">
        <v>3000</v>
      </c>
      <c r="M798">
        <v>3000</v>
      </c>
      <c r="N798">
        <v>1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3000</v>
      </c>
      <c r="AJ798">
        <v>1</v>
      </c>
      <c r="AK798">
        <v>0</v>
      </c>
      <c r="AL798">
        <v>0</v>
      </c>
      <c r="AM798">
        <v>0</v>
      </c>
      <c r="AN798">
        <v>0</v>
      </c>
      <c r="AO798">
        <v>3600</v>
      </c>
      <c r="AP798">
        <v>-360</v>
      </c>
      <c r="AQ798">
        <v>0</v>
      </c>
      <c r="AS798">
        <v>0</v>
      </c>
      <c r="AT798">
        <v>0</v>
      </c>
      <c r="AV798">
        <v>0</v>
      </c>
      <c r="AW798">
        <v>0</v>
      </c>
      <c r="AX798">
        <v>3600</v>
      </c>
      <c r="AY798">
        <v>-360</v>
      </c>
      <c r="AZ798">
        <v>0</v>
      </c>
      <c r="BA798">
        <v>2268</v>
      </c>
      <c r="BE798" t="str">
        <f>T("9791137021921")</f>
        <v>9791137021921</v>
      </c>
      <c r="BF798" t="str">
        <f>T("k448181")</f>
        <v>k448181</v>
      </c>
      <c r="BG798" t="str">
        <f>T("판타지 e북 &gt; 퓨전 판타지")</f>
        <v>판타지 e북 &gt; 퓨전 판타지</v>
      </c>
    </row>
    <row r="799" spans="1:59">
      <c r="A799" t="s">
        <v>60</v>
      </c>
      <c r="B799" s="1">
        <v>46130</v>
      </c>
      <c r="C799">
        <v>2378081205</v>
      </c>
      <c r="D799">
        <v>2378081208</v>
      </c>
      <c r="E799" t="str">
        <f>T("[e북]탑랭커의 작가지망생활백서 4권")</f>
        <v>[e북]탑랭커의 작가지망생활백서 4권</v>
      </c>
      <c r="F799">
        <v>4</v>
      </c>
      <c r="G799" t="str">
        <f>T("츄르한잔")</f>
        <v>츄르한잔</v>
      </c>
      <c r="J799" t="str">
        <f>T("매드햇")</f>
        <v>매드햇</v>
      </c>
      <c r="K799" t="str">
        <f>T("[e북]탑랭커의 작가지망생활백서")</f>
        <v>[e북]탑랭커의 작가지망생활백서</v>
      </c>
      <c r="L799">
        <v>3000</v>
      </c>
      <c r="M799">
        <v>0</v>
      </c>
      <c r="N799">
        <v>0</v>
      </c>
      <c r="O799">
        <v>0</v>
      </c>
      <c r="P799">
        <v>1710</v>
      </c>
      <c r="Q799">
        <v>2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1710</v>
      </c>
      <c r="AJ799">
        <v>2</v>
      </c>
      <c r="AK799">
        <v>0</v>
      </c>
      <c r="AL799">
        <v>0</v>
      </c>
      <c r="AM799">
        <v>1710</v>
      </c>
      <c r="AN799">
        <v>0</v>
      </c>
      <c r="AO799">
        <v>0</v>
      </c>
      <c r="AP799">
        <v>0</v>
      </c>
      <c r="AQ799">
        <v>0</v>
      </c>
      <c r="AS799">
        <v>0</v>
      </c>
      <c r="AT799">
        <v>0</v>
      </c>
      <c r="AV799">
        <v>0</v>
      </c>
      <c r="AW799">
        <v>0</v>
      </c>
      <c r="AY799">
        <v>0</v>
      </c>
      <c r="AZ799">
        <v>0</v>
      </c>
      <c r="BA799">
        <v>1197</v>
      </c>
      <c r="BE799" t="str">
        <f>T("9791137021846")</f>
        <v>9791137021846</v>
      </c>
      <c r="BF799" t="str">
        <f>T("k448173")</f>
        <v>k448173</v>
      </c>
      <c r="BG799" t="str">
        <f>T("판타지 e북 &gt; 퓨전 판타지")</f>
        <v>판타지 e북 &gt; 퓨전 판타지</v>
      </c>
    </row>
    <row r="800" spans="1:59">
      <c r="A800" t="s">
        <v>60</v>
      </c>
      <c r="B800" s="1">
        <v>46130</v>
      </c>
      <c r="C800">
        <v>2378081205</v>
      </c>
      <c r="D800">
        <v>2378081209</v>
      </c>
      <c r="E800" t="str">
        <f>T("[e북]탑랭커의 작가지망생활백서 5권")</f>
        <v>[e북]탑랭커의 작가지망생활백서 5권</v>
      </c>
      <c r="F800">
        <v>5</v>
      </c>
      <c r="G800" t="str">
        <f>T("츄르한잔")</f>
        <v>츄르한잔</v>
      </c>
      <c r="J800" t="str">
        <f>T("매드햇")</f>
        <v>매드햇</v>
      </c>
      <c r="K800" t="str">
        <f>T("[e북]탑랭커의 작가지망생활백서")</f>
        <v>[e북]탑랭커의 작가지망생활백서</v>
      </c>
      <c r="L800">
        <v>3000</v>
      </c>
      <c r="M800">
        <v>0</v>
      </c>
      <c r="N800">
        <v>0</v>
      </c>
      <c r="O800">
        <v>0</v>
      </c>
      <c r="P800">
        <v>1710</v>
      </c>
      <c r="Q800">
        <v>2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1710</v>
      </c>
      <c r="AJ800">
        <v>2</v>
      </c>
      <c r="AK800">
        <v>0</v>
      </c>
      <c r="AL800">
        <v>0</v>
      </c>
      <c r="AM800">
        <v>1710</v>
      </c>
      <c r="AN800">
        <v>0</v>
      </c>
      <c r="AO800">
        <v>0</v>
      </c>
      <c r="AP800">
        <v>0</v>
      </c>
      <c r="AQ800">
        <v>0</v>
      </c>
      <c r="AS800">
        <v>0</v>
      </c>
      <c r="AT800">
        <v>0</v>
      </c>
      <c r="AV800">
        <v>0</v>
      </c>
      <c r="AW800">
        <v>0</v>
      </c>
      <c r="AY800">
        <v>0</v>
      </c>
      <c r="AZ800">
        <v>0</v>
      </c>
      <c r="BA800">
        <v>1197</v>
      </c>
      <c r="BE800" t="str">
        <f>T("9791137021853")</f>
        <v>9791137021853</v>
      </c>
      <c r="BF800" t="str">
        <f>T("k448174")</f>
        <v>k448174</v>
      </c>
      <c r="BG800" t="str">
        <f>T("판타지 e북 &gt; 퓨전 판타지")</f>
        <v>판타지 e북 &gt; 퓨전 판타지</v>
      </c>
    </row>
    <row r="801" spans="1:59">
      <c r="A801" t="s">
        <v>60</v>
      </c>
      <c r="B801" s="1">
        <v>46130</v>
      </c>
      <c r="C801">
        <v>2378081205</v>
      </c>
      <c r="D801">
        <v>2378081210</v>
      </c>
      <c r="E801" t="str">
        <f>T("[e북]탑랭커의 작가지망생활백서 6권")</f>
        <v>[e북]탑랭커의 작가지망생활백서 6권</v>
      </c>
      <c r="F801">
        <v>6</v>
      </c>
      <c r="G801" t="str">
        <f>T("츄르한잔")</f>
        <v>츄르한잔</v>
      </c>
      <c r="J801" t="str">
        <f>T("매드햇")</f>
        <v>매드햇</v>
      </c>
      <c r="K801" t="str">
        <f>T("[e북]탑랭커의 작가지망생활백서")</f>
        <v>[e북]탑랭커의 작가지망생활백서</v>
      </c>
      <c r="L801">
        <v>3000</v>
      </c>
      <c r="M801">
        <v>0</v>
      </c>
      <c r="N801">
        <v>0</v>
      </c>
      <c r="O801">
        <v>0</v>
      </c>
      <c r="P801">
        <v>1710</v>
      </c>
      <c r="Q801">
        <v>2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1710</v>
      </c>
      <c r="AJ801">
        <v>2</v>
      </c>
      <c r="AK801">
        <v>0</v>
      </c>
      <c r="AL801">
        <v>0</v>
      </c>
      <c r="AM801">
        <v>1710</v>
      </c>
      <c r="AN801">
        <v>0</v>
      </c>
      <c r="AO801">
        <v>0</v>
      </c>
      <c r="AP801">
        <v>0</v>
      </c>
      <c r="AQ801">
        <v>0</v>
      </c>
      <c r="AS801">
        <v>0</v>
      </c>
      <c r="AT801">
        <v>0</v>
      </c>
      <c r="AV801">
        <v>0</v>
      </c>
      <c r="AW801">
        <v>0</v>
      </c>
      <c r="AY801">
        <v>0</v>
      </c>
      <c r="AZ801">
        <v>0</v>
      </c>
      <c r="BA801">
        <v>1197</v>
      </c>
      <c r="BE801" t="str">
        <f>T("9791137021860")</f>
        <v>9791137021860</v>
      </c>
      <c r="BF801" t="str">
        <f>T("k448175")</f>
        <v>k448175</v>
      </c>
      <c r="BG801" t="str">
        <f>T("판타지 e북 &gt; 퓨전 판타지")</f>
        <v>판타지 e북 &gt; 퓨전 판타지</v>
      </c>
    </row>
    <row r="802" spans="1:59">
      <c r="A802" t="s">
        <v>60</v>
      </c>
      <c r="B802" s="1">
        <v>46130</v>
      </c>
      <c r="C802">
        <v>2378081205</v>
      </c>
      <c r="D802">
        <v>2378081211</v>
      </c>
      <c r="E802" t="str">
        <f>T("[e북]탑랭커의 작가지망생활백서 7권")</f>
        <v>[e북]탑랭커의 작가지망생활백서 7권</v>
      </c>
      <c r="F802">
        <v>7</v>
      </c>
      <c r="G802" t="str">
        <f>T("츄르한잔")</f>
        <v>츄르한잔</v>
      </c>
      <c r="J802" t="str">
        <f>T("매드햇")</f>
        <v>매드햇</v>
      </c>
      <c r="K802" t="str">
        <f>T("[e북]탑랭커의 작가지망생활백서")</f>
        <v>[e북]탑랭커의 작가지망생활백서</v>
      </c>
      <c r="L802">
        <v>3000</v>
      </c>
      <c r="M802">
        <v>0</v>
      </c>
      <c r="N802">
        <v>0</v>
      </c>
      <c r="O802">
        <v>0</v>
      </c>
      <c r="P802">
        <v>1710</v>
      </c>
      <c r="Q802">
        <v>2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1710</v>
      </c>
      <c r="AJ802">
        <v>2</v>
      </c>
      <c r="AK802">
        <v>0</v>
      </c>
      <c r="AL802">
        <v>0</v>
      </c>
      <c r="AM802">
        <v>1710</v>
      </c>
      <c r="AN802">
        <v>0</v>
      </c>
      <c r="AO802">
        <v>0</v>
      </c>
      <c r="AP802">
        <v>0</v>
      </c>
      <c r="AQ802">
        <v>0</v>
      </c>
      <c r="AS802">
        <v>0</v>
      </c>
      <c r="AT802">
        <v>0</v>
      </c>
      <c r="AV802">
        <v>0</v>
      </c>
      <c r="AW802">
        <v>0</v>
      </c>
      <c r="AY802">
        <v>0</v>
      </c>
      <c r="AZ802">
        <v>0</v>
      </c>
      <c r="BA802">
        <v>1197</v>
      </c>
      <c r="BE802" t="str">
        <f>T("9791137021877")</f>
        <v>9791137021877</v>
      </c>
      <c r="BF802" t="str">
        <f>T("k448176")</f>
        <v>k448176</v>
      </c>
      <c r="BG802" t="str">
        <f>T("판타지 e북 &gt; 퓨전 판타지")</f>
        <v>판타지 e북 &gt; 퓨전 판타지</v>
      </c>
    </row>
    <row r="803" spans="1:59">
      <c r="A803" t="s">
        <v>60</v>
      </c>
      <c r="B803" s="1">
        <v>46130</v>
      </c>
      <c r="C803">
        <v>2378081205</v>
      </c>
      <c r="D803">
        <v>2378081212</v>
      </c>
      <c r="E803" t="str">
        <f>T("[e북]탑랭커의 작가지망생활백서 8권")</f>
        <v>[e북]탑랭커의 작가지망생활백서 8권</v>
      </c>
      <c r="F803">
        <v>8</v>
      </c>
      <c r="G803" t="str">
        <f>T("츄르한잔")</f>
        <v>츄르한잔</v>
      </c>
      <c r="J803" t="str">
        <f>T("매드햇")</f>
        <v>매드햇</v>
      </c>
      <c r="K803" t="str">
        <f>T("[e북]탑랭커의 작가지망생활백서")</f>
        <v>[e북]탑랭커의 작가지망생활백서</v>
      </c>
      <c r="L803">
        <v>3000</v>
      </c>
      <c r="M803">
        <v>0</v>
      </c>
      <c r="N803">
        <v>0</v>
      </c>
      <c r="O803">
        <v>0</v>
      </c>
      <c r="P803">
        <v>810</v>
      </c>
      <c r="Q803">
        <v>1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810</v>
      </c>
      <c r="AJ803">
        <v>1</v>
      </c>
      <c r="AK803">
        <v>0</v>
      </c>
      <c r="AL803">
        <v>0</v>
      </c>
      <c r="AM803">
        <v>810</v>
      </c>
      <c r="AN803">
        <v>0</v>
      </c>
      <c r="AO803">
        <v>0</v>
      </c>
      <c r="AP803">
        <v>0</v>
      </c>
      <c r="AQ803">
        <v>0</v>
      </c>
      <c r="AS803">
        <v>0</v>
      </c>
      <c r="AT803">
        <v>0</v>
      </c>
      <c r="AV803">
        <v>0</v>
      </c>
      <c r="AW803">
        <v>0</v>
      </c>
      <c r="AY803">
        <v>0</v>
      </c>
      <c r="AZ803">
        <v>0</v>
      </c>
      <c r="BA803">
        <v>567</v>
      </c>
      <c r="BE803" t="str">
        <f>T("9791137021884")</f>
        <v>9791137021884</v>
      </c>
      <c r="BF803" t="str">
        <f>T("k448177")</f>
        <v>k448177</v>
      </c>
      <c r="BG803" t="str">
        <f>T("판타지 e북 &gt; 퓨전 판타지")</f>
        <v>판타지 e북 &gt; 퓨전 판타지</v>
      </c>
    </row>
    <row r="804" spans="1:59">
      <c r="A804" t="s">
        <v>60</v>
      </c>
      <c r="B804" s="1">
        <v>46130</v>
      </c>
      <c r="C804">
        <v>2378081205</v>
      </c>
      <c r="D804">
        <v>2378081213</v>
      </c>
      <c r="E804" t="str">
        <f>T("[e북]탑랭커의 작가지망생활백서 9권")</f>
        <v>[e북]탑랭커의 작가지망생활백서 9권</v>
      </c>
      <c r="F804">
        <v>9</v>
      </c>
      <c r="G804" t="str">
        <f>T("츄르한잔")</f>
        <v>츄르한잔</v>
      </c>
      <c r="J804" t="str">
        <f>T("매드햇")</f>
        <v>매드햇</v>
      </c>
      <c r="K804" t="str">
        <f>T("[e북]탑랭커의 작가지망생활백서")</f>
        <v>[e북]탑랭커의 작가지망생활백서</v>
      </c>
      <c r="L804">
        <v>3000</v>
      </c>
      <c r="M804">
        <v>0</v>
      </c>
      <c r="N804">
        <v>0</v>
      </c>
      <c r="O804">
        <v>0</v>
      </c>
      <c r="P804">
        <v>810</v>
      </c>
      <c r="Q804">
        <v>1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810</v>
      </c>
      <c r="AJ804">
        <v>1</v>
      </c>
      <c r="AK804">
        <v>0</v>
      </c>
      <c r="AL804">
        <v>0</v>
      </c>
      <c r="AM804">
        <v>810</v>
      </c>
      <c r="AN804">
        <v>0</v>
      </c>
      <c r="AO804">
        <v>0</v>
      </c>
      <c r="AP804">
        <v>0</v>
      </c>
      <c r="AQ804">
        <v>0</v>
      </c>
      <c r="AS804">
        <v>0</v>
      </c>
      <c r="AT804">
        <v>0</v>
      </c>
      <c r="AV804">
        <v>0</v>
      </c>
      <c r="AW804">
        <v>0</v>
      </c>
      <c r="AY804">
        <v>0</v>
      </c>
      <c r="AZ804">
        <v>0</v>
      </c>
      <c r="BA804">
        <v>567</v>
      </c>
      <c r="BE804" t="str">
        <f>T("9791137021891")</f>
        <v>9791137021891</v>
      </c>
      <c r="BF804" t="str">
        <f>T("k448178")</f>
        <v>k448178</v>
      </c>
      <c r="BG804" t="str">
        <f>T("판타지 e북 &gt; 퓨전 판타지")</f>
        <v>판타지 e북 &gt; 퓨전 판타지</v>
      </c>
    </row>
    <row r="805" spans="1:59">
      <c r="A805" t="s">
        <v>60</v>
      </c>
      <c r="B805" s="1">
        <v>46130</v>
      </c>
      <c r="C805">
        <v>2378081205</v>
      </c>
      <c r="D805">
        <v>2378081214</v>
      </c>
      <c r="E805" t="str">
        <f>T("[e북]탑랭커의 작가지망생활백서 10권")</f>
        <v>[e북]탑랭커의 작가지망생활백서 10권</v>
      </c>
      <c r="F805">
        <v>10</v>
      </c>
      <c r="G805" t="str">
        <f>T("츄르한잔")</f>
        <v>츄르한잔</v>
      </c>
      <c r="J805" t="str">
        <f>T("매드햇")</f>
        <v>매드햇</v>
      </c>
      <c r="K805" t="str">
        <f>T("[e북]탑랭커의 작가지망생활백서")</f>
        <v>[e북]탑랭커의 작가지망생활백서</v>
      </c>
      <c r="L805">
        <v>3000</v>
      </c>
      <c r="M805">
        <v>0</v>
      </c>
      <c r="N805">
        <v>0</v>
      </c>
      <c r="O805">
        <v>0</v>
      </c>
      <c r="P805">
        <v>810</v>
      </c>
      <c r="Q805">
        <v>1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810</v>
      </c>
      <c r="AJ805">
        <v>1</v>
      </c>
      <c r="AK805">
        <v>0</v>
      </c>
      <c r="AL805">
        <v>0</v>
      </c>
      <c r="AM805">
        <v>810</v>
      </c>
      <c r="AN805">
        <v>0</v>
      </c>
      <c r="AO805">
        <v>0</v>
      </c>
      <c r="AP805">
        <v>0</v>
      </c>
      <c r="AQ805">
        <v>0</v>
      </c>
      <c r="AS805">
        <v>0</v>
      </c>
      <c r="AT805">
        <v>0</v>
      </c>
      <c r="AV805">
        <v>0</v>
      </c>
      <c r="AW805">
        <v>0</v>
      </c>
      <c r="AY805">
        <v>0</v>
      </c>
      <c r="AZ805">
        <v>0</v>
      </c>
      <c r="BA805">
        <v>567</v>
      </c>
      <c r="BE805" t="str">
        <f>T("9791137021907")</f>
        <v>9791137021907</v>
      </c>
      <c r="BF805" t="str">
        <f>T("k448179")</f>
        <v>k448179</v>
      </c>
      <c r="BG805" t="str">
        <f>T("판타지 e북 &gt; 퓨전 판타지")</f>
        <v>판타지 e북 &gt; 퓨전 판타지</v>
      </c>
    </row>
    <row r="806" spans="1:59">
      <c r="A806" t="s">
        <v>60</v>
      </c>
      <c r="B806" s="1">
        <v>46130</v>
      </c>
      <c r="C806">
        <v>2378081205</v>
      </c>
      <c r="D806">
        <v>2378081215</v>
      </c>
      <c r="E806" t="str">
        <f>T("[e북]탑랭커의 작가지망생활백서 11권")</f>
        <v>[e북]탑랭커의 작가지망생활백서 11권</v>
      </c>
      <c r="F806">
        <v>11</v>
      </c>
      <c r="G806" t="str">
        <f>T("츄르한잔")</f>
        <v>츄르한잔</v>
      </c>
      <c r="J806" t="str">
        <f>T("매드햇")</f>
        <v>매드햇</v>
      </c>
      <c r="K806" t="str">
        <f>T("[e북]탑랭커의 작가지망생활백서")</f>
        <v>[e북]탑랭커의 작가지망생활백서</v>
      </c>
      <c r="L806">
        <v>3000</v>
      </c>
      <c r="M806">
        <v>0</v>
      </c>
      <c r="N806">
        <v>0</v>
      </c>
      <c r="O806">
        <v>0</v>
      </c>
      <c r="P806">
        <v>810</v>
      </c>
      <c r="Q806">
        <v>1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810</v>
      </c>
      <c r="AJ806">
        <v>1</v>
      </c>
      <c r="AK806">
        <v>0</v>
      </c>
      <c r="AL806">
        <v>0</v>
      </c>
      <c r="AM806">
        <v>810</v>
      </c>
      <c r="AN806">
        <v>0</v>
      </c>
      <c r="AO806">
        <v>0</v>
      </c>
      <c r="AP806">
        <v>0</v>
      </c>
      <c r="AQ806">
        <v>0</v>
      </c>
      <c r="AS806">
        <v>0</v>
      </c>
      <c r="AT806">
        <v>0</v>
      </c>
      <c r="AV806">
        <v>0</v>
      </c>
      <c r="AW806">
        <v>0</v>
      </c>
      <c r="AY806">
        <v>0</v>
      </c>
      <c r="AZ806">
        <v>0</v>
      </c>
      <c r="BA806">
        <v>567</v>
      </c>
      <c r="BE806" t="str">
        <f>T("9791137021914")</f>
        <v>9791137021914</v>
      </c>
      <c r="BF806" t="str">
        <f>T("k448180")</f>
        <v>k448180</v>
      </c>
      <c r="BG806" t="str">
        <f>T("판타지 e북 &gt; 퓨전 판타지")</f>
        <v>판타지 e북 &gt; 퓨전 판타지</v>
      </c>
    </row>
    <row r="807" spans="1:59">
      <c r="A807" t="s">
        <v>60</v>
      </c>
      <c r="B807" s="1">
        <v>46130</v>
      </c>
      <c r="C807">
        <v>2378081205</v>
      </c>
      <c r="D807">
        <v>2378081216</v>
      </c>
      <c r="E807" t="str">
        <f>T("[e북]탑랭커의 작가지망생활백서 12권 (완결)")</f>
        <v>[e북]탑랭커의 작가지망생활백서 12권 (완결)</v>
      </c>
      <c r="F807">
        <v>12</v>
      </c>
      <c r="G807" t="str">
        <f>T("츄르한잔")</f>
        <v>츄르한잔</v>
      </c>
      <c r="J807" t="str">
        <f>T("매드햇")</f>
        <v>매드햇</v>
      </c>
      <c r="K807" t="str">
        <f>T("[e북]탑랭커의 작가지망생활백서")</f>
        <v>[e북]탑랭커의 작가지망생활백서</v>
      </c>
      <c r="L807">
        <v>3000</v>
      </c>
      <c r="M807">
        <v>0</v>
      </c>
      <c r="N807">
        <v>0</v>
      </c>
      <c r="O807">
        <v>0</v>
      </c>
      <c r="P807">
        <v>810</v>
      </c>
      <c r="Q807">
        <v>1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810</v>
      </c>
      <c r="AJ807">
        <v>1</v>
      </c>
      <c r="AK807">
        <v>0</v>
      </c>
      <c r="AL807">
        <v>0</v>
      </c>
      <c r="AM807">
        <v>810</v>
      </c>
      <c r="AN807">
        <v>0</v>
      </c>
      <c r="AO807">
        <v>0</v>
      </c>
      <c r="AP807">
        <v>0</v>
      </c>
      <c r="AQ807">
        <v>0</v>
      </c>
      <c r="AS807">
        <v>0</v>
      </c>
      <c r="AT807">
        <v>0</v>
      </c>
      <c r="AV807">
        <v>0</v>
      </c>
      <c r="AW807">
        <v>0</v>
      </c>
      <c r="AY807">
        <v>0</v>
      </c>
      <c r="AZ807">
        <v>0</v>
      </c>
      <c r="BA807">
        <v>567</v>
      </c>
      <c r="BE807" t="str">
        <f>T("9791137021921")</f>
        <v>9791137021921</v>
      </c>
      <c r="BF807" t="str">
        <f>T("k448181")</f>
        <v>k448181</v>
      </c>
      <c r="BG807" t="str">
        <f>T("판타지 e북 &gt; 퓨전 판타지")</f>
        <v>판타지 e북 &gt; 퓨전 판타지</v>
      </c>
    </row>
    <row r="808" spans="1:59">
      <c r="A808" t="s">
        <v>60</v>
      </c>
      <c r="B808" s="1">
        <v>46130</v>
      </c>
      <c r="C808">
        <v>2378081205</v>
      </c>
      <c r="D808">
        <v>2378081217</v>
      </c>
      <c r="E808" t="str">
        <f>T("[e북]탑랭커의 작가지망생활백서 외전")</f>
        <v>[e북]탑랭커의 작가지망생활백서 외전</v>
      </c>
      <c r="F808">
        <v>13</v>
      </c>
      <c r="G808" t="str">
        <f>T("츄르한잔")</f>
        <v>츄르한잔</v>
      </c>
      <c r="J808" t="str">
        <f>T("매드햇")</f>
        <v>매드햇</v>
      </c>
      <c r="K808" t="str">
        <f>T("[e북]탑랭커의 작가지망생활백서")</f>
        <v>[e북]탑랭커의 작가지망생활백서</v>
      </c>
      <c r="L808">
        <v>3000</v>
      </c>
      <c r="M808">
        <v>0</v>
      </c>
      <c r="N808">
        <v>0</v>
      </c>
      <c r="O808">
        <v>0</v>
      </c>
      <c r="P808">
        <v>810</v>
      </c>
      <c r="Q808">
        <v>1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810</v>
      </c>
      <c r="AJ808">
        <v>1</v>
      </c>
      <c r="AK808">
        <v>0</v>
      </c>
      <c r="AL808">
        <v>0</v>
      </c>
      <c r="AM808">
        <v>810</v>
      </c>
      <c r="AN808">
        <v>0</v>
      </c>
      <c r="AO808">
        <v>0</v>
      </c>
      <c r="AP808">
        <v>0</v>
      </c>
      <c r="AQ808">
        <v>0</v>
      </c>
      <c r="AS808">
        <v>0</v>
      </c>
      <c r="AT808">
        <v>0</v>
      </c>
      <c r="AV808">
        <v>0</v>
      </c>
      <c r="AW808">
        <v>0</v>
      </c>
      <c r="AY808">
        <v>0</v>
      </c>
      <c r="AZ808">
        <v>0</v>
      </c>
      <c r="BA808">
        <v>567</v>
      </c>
      <c r="BF808" t="str">
        <f>T("D270075")</f>
        <v>D270075</v>
      </c>
      <c r="BG808" t="str">
        <f>T("판타지 e북 &gt; 퓨전 판타지")</f>
        <v>판타지 e북 &gt; 퓨전 판타지</v>
      </c>
    </row>
    <row r="809" spans="1:59">
      <c r="A809" t="s">
        <v>60</v>
      </c>
      <c r="B809" s="1">
        <v>46130</v>
      </c>
      <c r="C809">
        <v>2378081205</v>
      </c>
      <c r="D809">
        <v>2378081205</v>
      </c>
      <c r="E809" t="str">
        <f>T("[e북]탑랭커의 작가지망생활백서 1권")</f>
        <v>[e북]탑랭커의 작가지망생활백서 1권</v>
      </c>
      <c r="F809">
        <v>1</v>
      </c>
      <c r="G809" t="str">
        <f>T("츄르한잔")</f>
        <v>츄르한잔</v>
      </c>
      <c r="J809" t="str">
        <f>T("매드햇")</f>
        <v>매드햇</v>
      </c>
      <c r="K809" t="str">
        <f>T("[e북]탑랭커의 작가지망생활백서")</f>
        <v>[e북]탑랭커의 작가지망생활백서</v>
      </c>
      <c r="L809">
        <v>0</v>
      </c>
      <c r="M809">
        <v>0</v>
      </c>
      <c r="N809">
        <v>0</v>
      </c>
      <c r="O809">
        <v>1</v>
      </c>
      <c r="P809">
        <v>0</v>
      </c>
      <c r="Q809">
        <v>0</v>
      </c>
      <c r="R809">
        <v>8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9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S809">
        <v>0</v>
      </c>
      <c r="AT809">
        <v>0</v>
      </c>
      <c r="AV809">
        <v>0</v>
      </c>
      <c r="AW809">
        <v>0</v>
      </c>
      <c r="AY809">
        <v>0</v>
      </c>
      <c r="AZ809">
        <v>0</v>
      </c>
      <c r="BA809">
        <v>0</v>
      </c>
      <c r="BE809" t="str">
        <f>T("9791137021815")</f>
        <v>9791137021815</v>
      </c>
      <c r="BF809" t="str">
        <f>T("k448170")</f>
        <v>k448170</v>
      </c>
      <c r="BG809" t="str">
        <f>T("판타지 e북 &gt; 퓨전 판타지")</f>
        <v>판타지 e북 &gt; 퓨전 판타지</v>
      </c>
    </row>
    <row r="810" spans="1:59">
      <c r="A810" t="s">
        <v>60</v>
      </c>
      <c r="B810" s="1">
        <v>46130</v>
      </c>
      <c r="C810">
        <v>2378081205</v>
      </c>
      <c r="D810">
        <v>2378081207</v>
      </c>
      <c r="E810" t="str">
        <f>T("[e북]탑랭커의 작가지망생활백서 3권")</f>
        <v>[e북]탑랭커의 작가지망생활백서 3권</v>
      </c>
      <c r="F810">
        <v>3</v>
      </c>
      <c r="G810" t="str">
        <f>T("츄르한잔")</f>
        <v>츄르한잔</v>
      </c>
      <c r="J810" t="str">
        <f>T("매드햇")</f>
        <v>매드햇</v>
      </c>
      <c r="K810" t="str">
        <f>T("[e북]탑랭커의 작가지망생활백서")</f>
        <v>[e북]탑랭커의 작가지망생활백서</v>
      </c>
      <c r="L810">
        <v>3000</v>
      </c>
      <c r="M810">
        <v>0</v>
      </c>
      <c r="N810">
        <v>0</v>
      </c>
      <c r="O810">
        <v>0</v>
      </c>
      <c r="P810">
        <v>1710</v>
      </c>
      <c r="Q810">
        <v>2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1710</v>
      </c>
      <c r="AJ810">
        <v>2</v>
      </c>
      <c r="AK810">
        <v>0</v>
      </c>
      <c r="AL810">
        <v>0</v>
      </c>
      <c r="AM810">
        <v>1710</v>
      </c>
      <c r="AN810">
        <v>0</v>
      </c>
      <c r="AO810">
        <v>0</v>
      </c>
      <c r="AP810">
        <v>0</v>
      </c>
      <c r="AQ810">
        <v>0</v>
      </c>
      <c r="AS810">
        <v>0</v>
      </c>
      <c r="AT810">
        <v>0</v>
      </c>
      <c r="AV810">
        <v>0</v>
      </c>
      <c r="AW810">
        <v>0</v>
      </c>
      <c r="AY810">
        <v>0</v>
      </c>
      <c r="AZ810">
        <v>0</v>
      </c>
      <c r="BA810">
        <v>1197</v>
      </c>
      <c r="BE810" t="str">
        <f>T("9791137021839")</f>
        <v>9791137021839</v>
      </c>
      <c r="BF810" t="str">
        <f>T("k448172")</f>
        <v>k448172</v>
      </c>
      <c r="BG810" t="str">
        <f>T("판타지 e북 &gt; 퓨전 판타지")</f>
        <v>판타지 e북 &gt; 퓨전 판타지</v>
      </c>
    </row>
    <row r="811" spans="1:59">
      <c r="A811" t="s">
        <v>60</v>
      </c>
      <c r="B811" s="1">
        <v>46130</v>
      </c>
      <c r="C811">
        <v>2378081205</v>
      </c>
      <c r="D811">
        <v>2378081206</v>
      </c>
      <c r="E811" t="str">
        <f>T("[e북]탑랭커의 작가지망생활백서 2권")</f>
        <v>[e북]탑랭커의 작가지망생활백서 2권</v>
      </c>
      <c r="F811">
        <v>2</v>
      </c>
      <c r="G811" t="str">
        <f>T("츄르한잔")</f>
        <v>츄르한잔</v>
      </c>
      <c r="J811" t="str">
        <f>T("매드햇")</f>
        <v>매드햇</v>
      </c>
      <c r="K811" t="str">
        <f>T("[e북]탑랭커의 작가지망생활백서")</f>
        <v>[e북]탑랭커의 작가지망생활백서</v>
      </c>
      <c r="L811">
        <v>3000</v>
      </c>
      <c r="M811">
        <v>0</v>
      </c>
      <c r="N811">
        <v>0</v>
      </c>
      <c r="O811">
        <v>0</v>
      </c>
      <c r="P811">
        <v>2610</v>
      </c>
      <c r="Q811">
        <v>3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2610</v>
      </c>
      <c r="AJ811">
        <v>3</v>
      </c>
      <c r="AK811">
        <v>0</v>
      </c>
      <c r="AL811">
        <v>0</v>
      </c>
      <c r="AM811">
        <v>2610</v>
      </c>
      <c r="AN811">
        <v>0</v>
      </c>
      <c r="AO811">
        <v>0</v>
      </c>
      <c r="AP811">
        <v>0</v>
      </c>
      <c r="AQ811">
        <v>0</v>
      </c>
      <c r="AS811">
        <v>0</v>
      </c>
      <c r="AT811">
        <v>0</v>
      </c>
      <c r="AV811">
        <v>0</v>
      </c>
      <c r="AW811">
        <v>0</v>
      </c>
      <c r="AY811">
        <v>0</v>
      </c>
      <c r="AZ811">
        <v>0</v>
      </c>
      <c r="BA811">
        <v>1827</v>
      </c>
      <c r="BE811" t="str">
        <f>T("9791137021822")</f>
        <v>9791137021822</v>
      </c>
      <c r="BF811" t="str">
        <f>T("k448171")</f>
        <v>k448171</v>
      </c>
      <c r="BG811" t="str">
        <f>T("판타지 e북 &gt; 퓨전 판타지")</f>
        <v>판타지 e북 &gt; 퓨전 판타지</v>
      </c>
    </row>
    <row r="812" spans="1:59">
      <c r="A812" t="s">
        <v>60</v>
      </c>
      <c r="B812" s="1">
        <v>46131</v>
      </c>
      <c r="C812">
        <v>2378081205</v>
      </c>
      <c r="D812">
        <v>2378081212</v>
      </c>
      <c r="E812" t="str">
        <f>T("[e북]탑랭커의 작가지망생활백서 8권")</f>
        <v>[e북]탑랭커의 작가지망생활백서 8권</v>
      </c>
      <c r="F812">
        <v>8</v>
      </c>
      <c r="G812" t="str">
        <f>T("츄르한잔")</f>
        <v>츄르한잔</v>
      </c>
      <c r="J812" t="str">
        <f>T("매드햇")</f>
        <v>매드햇</v>
      </c>
      <c r="K812" t="str">
        <f>T("[e북]탑랭커의 작가지망생활백서")</f>
        <v>[e북]탑랭커의 작가지망생활백서</v>
      </c>
      <c r="L812">
        <v>3000</v>
      </c>
      <c r="M812">
        <v>0</v>
      </c>
      <c r="N812">
        <v>0</v>
      </c>
      <c r="O812">
        <v>0</v>
      </c>
      <c r="P812">
        <v>1710</v>
      </c>
      <c r="Q812">
        <v>2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1710</v>
      </c>
      <c r="AJ812">
        <v>2</v>
      </c>
      <c r="AK812">
        <v>0</v>
      </c>
      <c r="AL812">
        <v>0</v>
      </c>
      <c r="AM812">
        <v>1710</v>
      </c>
      <c r="AN812">
        <v>0</v>
      </c>
      <c r="AO812">
        <v>0</v>
      </c>
      <c r="AP812">
        <v>0</v>
      </c>
      <c r="AQ812">
        <v>0</v>
      </c>
      <c r="AS812">
        <v>0</v>
      </c>
      <c r="AT812">
        <v>0</v>
      </c>
      <c r="AV812">
        <v>0</v>
      </c>
      <c r="AW812">
        <v>0</v>
      </c>
      <c r="AY812">
        <v>0</v>
      </c>
      <c r="AZ812">
        <v>0</v>
      </c>
      <c r="BA812">
        <v>1197</v>
      </c>
      <c r="BE812" t="str">
        <f>T("9791137021884")</f>
        <v>9791137021884</v>
      </c>
      <c r="BF812" t="str">
        <f>T("k448177")</f>
        <v>k448177</v>
      </c>
      <c r="BG812" t="str">
        <f>T("판타지 e북 &gt; 퓨전 판타지")</f>
        <v>판타지 e북 &gt; 퓨전 판타지</v>
      </c>
    </row>
    <row r="813" spans="1:59">
      <c r="A813" t="s">
        <v>60</v>
      </c>
      <c r="B813" s="1">
        <v>46131</v>
      </c>
      <c r="C813">
        <v>2378081205</v>
      </c>
      <c r="D813">
        <v>2378081205</v>
      </c>
      <c r="E813" t="str">
        <f>T("[e북]탑랭커의 작가지망생활백서 1권")</f>
        <v>[e북]탑랭커의 작가지망생활백서 1권</v>
      </c>
      <c r="F813">
        <v>1</v>
      </c>
      <c r="G813" t="str">
        <f>T("츄르한잔")</f>
        <v>츄르한잔</v>
      </c>
      <c r="J813" t="str">
        <f>T("매드햇")</f>
        <v>매드햇</v>
      </c>
      <c r="K813" t="str">
        <f>T("[e북]탑랭커의 작가지망생활백서")</f>
        <v>[e북]탑랭커의 작가지망생활백서</v>
      </c>
      <c r="L813">
        <v>0</v>
      </c>
      <c r="M813">
        <v>0</v>
      </c>
      <c r="N813">
        <v>0</v>
      </c>
      <c r="O813">
        <v>4</v>
      </c>
      <c r="P813">
        <v>0</v>
      </c>
      <c r="Q813">
        <v>0</v>
      </c>
      <c r="R813">
        <v>5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9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S813">
        <v>0</v>
      </c>
      <c r="AT813">
        <v>0</v>
      </c>
      <c r="AV813">
        <v>0</v>
      </c>
      <c r="AW813">
        <v>0</v>
      </c>
      <c r="AY813">
        <v>0</v>
      </c>
      <c r="AZ813">
        <v>0</v>
      </c>
      <c r="BA813">
        <v>0</v>
      </c>
      <c r="BE813" t="str">
        <f>T("9791137021815")</f>
        <v>9791137021815</v>
      </c>
      <c r="BF813" t="str">
        <f>T("k448170")</f>
        <v>k448170</v>
      </c>
      <c r="BG813" t="str">
        <f>T("판타지 e북 &gt; 퓨전 판타지")</f>
        <v>판타지 e북 &gt; 퓨전 판타지</v>
      </c>
    </row>
    <row r="814" spans="1:59">
      <c r="A814" t="s">
        <v>60</v>
      </c>
      <c r="B814" s="1">
        <v>46131</v>
      </c>
      <c r="C814">
        <v>2378081205</v>
      </c>
      <c r="D814">
        <v>2378081206</v>
      </c>
      <c r="E814" t="str">
        <f>T("[e북]탑랭커의 작가지망생활백서 2권")</f>
        <v>[e북]탑랭커의 작가지망생활백서 2권</v>
      </c>
      <c r="F814">
        <v>2</v>
      </c>
      <c r="G814" t="str">
        <f>T("츄르한잔")</f>
        <v>츄르한잔</v>
      </c>
      <c r="J814" t="str">
        <f>T("매드햇")</f>
        <v>매드햇</v>
      </c>
      <c r="K814" t="str">
        <f>T("[e북]탑랭커의 작가지망생활백서")</f>
        <v>[e북]탑랭커의 작가지망생활백서</v>
      </c>
      <c r="L814">
        <v>3000</v>
      </c>
      <c r="M814">
        <v>0</v>
      </c>
      <c r="N814">
        <v>0</v>
      </c>
      <c r="O814">
        <v>0</v>
      </c>
      <c r="P814">
        <v>1710</v>
      </c>
      <c r="Q814">
        <v>2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1710</v>
      </c>
      <c r="AJ814">
        <v>2</v>
      </c>
      <c r="AK814">
        <v>0</v>
      </c>
      <c r="AL814">
        <v>0</v>
      </c>
      <c r="AM814">
        <v>810</v>
      </c>
      <c r="AN814">
        <v>0</v>
      </c>
      <c r="AO814">
        <v>1080</v>
      </c>
      <c r="AP814">
        <v>-108</v>
      </c>
      <c r="AQ814">
        <v>0</v>
      </c>
      <c r="AS814">
        <v>0</v>
      </c>
      <c r="AT814">
        <v>0</v>
      </c>
      <c r="AU814">
        <v>1080</v>
      </c>
      <c r="AV814">
        <v>-108</v>
      </c>
      <c r="AW814">
        <v>0</v>
      </c>
      <c r="AY814">
        <v>0</v>
      </c>
      <c r="AZ814">
        <v>0</v>
      </c>
      <c r="BA814">
        <v>1247.4000000000001</v>
      </c>
      <c r="BE814" t="str">
        <f>T("9791137021822")</f>
        <v>9791137021822</v>
      </c>
      <c r="BF814" t="str">
        <f>T("k448171")</f>
        <v>k448171</v>
      </c>
      <c r="BG814" t="str">
        <f>T("판타지 e북 &gt; 퓨전 판타지")</f>
        <v>판타지 e북 &gt; 퓨전 판타지</v>
      </c>
    </row>
    <row r="815" spans="1:59">
      <c r="A815" t="s">
        <v>60</v>
      </c>
      <c r="B815" s="1">
        <v>46131</v>
      </c>
      <c r="C815">
        <v>2378081205</v>
      </c>
      <c r="D815">
        <v>2378081207</v>
      </c>
      <c r="E815" t="str">
        <f>T("[e북]탑랭커의 작가지망생활백서 3권")</f>
        <v>[e북]탑랭커의 작가지망생활백서 3권</v>
      </c>
      <c r="F815">
        <v>3</v>
      </c>
      <c r="G815" t="str">
        <f>T("츄르한잔")</f>
        <v>츄르한잔</v>
      </c>
      <c r="J815" t="str">
        <f>T("매드햇")</f>
        <v>매드햇</v>
      </c>
      <c r="K815" t="str">
        <f>T("[e북]탑랭커의 작가지망생활백서")</f>
        <v>[e북]탑랭커의 작가지망생활백서</v>
      </c>
      <c r="L815">
        <v>3000</v>
      </c>
      <c r="M815">
        <v>0</v>
      </c>
      <c r="N815">
        <v>0</v>
      </c>
      <c r="O815">
        <v>0</v>
      </c>
      <c r="P815">
        <v>2610</v>
      </c>
      <c r="Q815">
        <v>3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2610</v>
      </c>
      <c r="AJ815">
        <v>3</v>
      </c>
      <c r="AK815">
        <v>0</v>
      </c>
      <c r="AL815">
        <v>0</v>
      </c>
      <c r="AM815">
        <v>1710</v>
      </c>
      <c r="AN815">
        <v>0</v>
      </c>
      <c r="AO815">
        <v>1080</v>
      </c>
      <c r="AP815">
        <v>-108</v>
      </c>
      <c r="AQ815">
        <v>0</v>
      </c>
      <c r="AS815">
        <v>0</v>
      </c>
      <c r="AT815">
        <v>0</v>
      </c>
      <c r="AU815">
        <v>1080</v>
      </c>
      <c r="AV815">
        <v>-108</v>
      </c>
      <c r="AW815">
        <v>0</v>
      </c>
      <c r="AY815">
        <v>0</v>
      </c>
      <c r="AZ815">
        <v>0</v>
      </c>
      <c r="BA815">
        <v>1877.4</v>
      </c>
      <c r="BE815" t="str">
        <f>T("9791137021839")</f>
        <v>9791137021839</v>
      </c>
      <c r="BF815" t="str">
        <f>T("k448172")</f>
        <v>k448172</v>
      </c>
      <c r="BG815" t="str">
        <f>T("판타지 e북 &gt; 퓨전 판타지")</f>
        <v>판타지 e북 &gt; 퓨전 판타지</v>
      </c>
    </row>
    <row r="816" spans="1:59">
      <c r="A816" t="s">
        <v>60</v>
      </c>
      <c r="B816" s="1">
        <v>46131</v>
      </c>
      <c r="C816">
        <v>2378081205</v>
      </c>
      <c r="D816">
        <v>2378081208</v>
      </c>
      <c r="E816" t="str">
        <f>T("[e북]탑랭커의 작가지망생활백서 4권")</f>
        <v>[e북]탑랭커의 작가지망생활백서 4권</v>
      </c>
      <c r="F816">
        <v>4</v>
      </c>
      <c r="G816" t="str">
        <f>T("츄르한잔")</f>
        <v>츄르한잔</v>
      </c>
      <c r="J816" t="str">
        <f>T("매드햇")</f>
        <v>매드햇</v>
      </c>
      <c r="K816" t="str">
        <f>T("[e북]탑랭커의 작가지망생활백서")</f>
        <v>[e북]탑랭커의 작가지망생활백서</v>
      </c>
      <c r="L816">
        <v>3000</v>
      </c>
      <c r="M816">
        <v>0</v>
      </c>
      <c r="N816">
        <v>0</v>
      </c>
      <c r="O816">
        <v>0</v>
      </c>
      <c r="P816">
        <v>1710</v>
      </c>
      <c r="Q816">
        <v>2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1710</v>
      </c>
      <c r="AJ816">
        <v>2</v>
      </c>
      <c r="AK816">
        <v>0</v>
      </c>
      <c r="AL816">
        <v>0</v>
      </c>
      <c r="AM816">
        <v>810</v>
      </c>
      <c r="AN816">
        <v>0</v>
      </c>
      <c r="AO816">
        <v>1080</v>
      </c>
      <c r="AP816">
        <v>-108</v>
      </c>
      <c r="AQ816">
        <v>0</v>
      </c>
      <c r="AS816">
        <v>0</v>
      </c>
      <c r="AT816">
        <v>0</v>
      </c>
      <c r="AU816">
        <v>1080</v>
      </c>
      <c r="AV816">
        <v>-108</v>
      </c>
      <c r="AW816">
        <v>0</v>
      </c>
      <c r="AY816">
        <v>0</v>
      </c>
      <c r="AZ816">
        <v>0</v>
      </c>
      <c r="BA816">
        <v>1247.4000000000001</v>
      </c>
      <c r="BE816" t="str">
        <f>T("9791137021846")</f>
        <v>9791137021846</v>
      </c>
      <c r="BF816" t="str">
        <f>T("k448173")</f>
        <v>k448173</v>
      </c>
      <c r="BG816" t="str">
        <f>T("판타지 e북 &gt; 퓨전 판타지")</f>
        <v>판타지 e북 &gt; 퓨전 판타지</v>
      </c>
    </row>
    <row r="817" spans="1:59">
      <c r="A817" t="s">
        <v>60</v>
      </c>
      <c r="B817" s="1">
        <v>46131</v>
      </c>
      <c r="C817">
        <v>2378081205</v>
      </c>
      <c r="D817">
        <v>2378081209</v>
      </c>
      <c r="E817" t="str">
        <f>T("[e북]탑랭커의 작가지망생활백서 5권")</f>
        <v>[e북]탑랭커의 작가지망생활백서 5권</v>
      </c>
      <c r="F817">
        <v>5</v>
      </c>
      <c r="G817" t="str">
        <f>T("츄르한잔")</f>
        <v>츄르한잔</v>
      </c>
      <c r="J817" t="str">
        <f>T("매드햇")</f>
        <v>매드햇</v>
      </c>
      <c r="K817" t="str">
        <f>T("[e북]탑랭커의 작가지망생활백서")</f>
        <v>[e북]탑랭커의 작가지망생활백서</v>
      </c>
      <c r="L817">
        <v>3000</v>
      </c>
      <c r="M817">
        <v>0</v>
      </c>
      <c r="N817">
        <v>0</v>
      </c>
      <c r="O817">
        <v>0</v>
      </c>
      <c r="P817">
        <v>810</v>
      </c>
      <c r="Q817">
        <v>1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810</v>
      </c>
      <c r="AJ817">
        <v>1</v>
      </c>
      <c r="AK817">
        <v>0</v>
      </c>
      <c r="AL817">
        <v>0</v>
      </c>
      <c r="AM817">
        <v>810</v>
      </c>
      <c r="AN817">
        <v>0</v>
      </c>
      <c r="AO817">
        <v>0</v>
      </c>
      <c r="AP817">
        <v>0</v>
      </c>
      <c r="AQ817">
        <v>0</v>
      </c>
      <c r="AS817">
        <v>0</v>
      </c>
      <c r="AT817">
        <v>0</v>
      </c>
      <c r="AV817">
        <v>0</v>
      </c>
      <c r="AW817">
        <v>0</v>
      </c>
      <c r="AY817">
        <v>0</v>
      </c>
      <c r="AZ817">
        <v>0</v>
      </c>
      <c r="BA817">
        <v>567</v>
      </c>
      <c r="BE817" t="str">
        <f>T("9791137021853")</f>
        <v>9791137021853</v>
      </c>
      <c r="BF817" t="str">
        <f>T("k448174")</f>
        <v>k448174</v>
      </c>
      <c r="BG817" t="str">
        <f>T("판타지 e북 &gt; 퓨전 판타지")</f>
        <v>판타지 e북 &gt; 퓨전 판타지</v>
      </c>
    </row>
    <row r="818" spans="1:59">
      <c r="A818" t="s">
        <v>60</v>
      </c>
      <c r="B818" s="1">
        <v>46131</v>
      </c>
      <c r="C818">
        <v>2378081205</v>
      </c>
      <c r="D818">
        <v>2378081210</v>
      </c>
      <c r="E818" t="str">
        <f>T("[e북]탑랭커의 작가지망생활백서 6권")</f>
        <v>[e북]탑랭커의 작가지망생활백서 6권</v>
      </c>
      <c r="F818">
        <v>6</v>
      </c>
      <c r="G818" t="str">
        <f>T("츄르한잔")</f>
        <v>츄르한잔</v>
      </c>
      <c r="J818" t="str">
        <f>T("매드햇")</f>
        <v>매드햇</v>
      </c>
      <c r="K818" t="str">
        <f>T("[e북]탑랭커의 작가지망생활백서")</f>
        <v>[e북]탑랭커의 작가지망생활백서</v>
      </c>
      <c r="L818">
        <v>3000</v>
      </c>
      <c r="M818">
        <v>0</v>
      </c>
      <c r="N818">
        <v>0</v>
      </c>
      <c r="O818">
        <v>0</v>
      </c>
      <c r="P818">
        <v>810</v>
      </c>
      <c r="Q818">
        <v>1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810</v>
      </c>
      <c r="AJ818">
        <v>1</v>
      </c>
      <c r="AK818">
        <v>0</v>
      </c>
      <c r="AL818">
        <v>0</v>
      </c>
      <c r="AM818">
        <v>810</v>
      </c>
      <c r="AN818">
        <v>0</v>
      </c>
      <c r="AO818">
        <v>0</v>
      </c>
      <c r="AP818">
        <v>0</v>
      </c>
      <c r="AQ818">
        <v>0</v>
      </c>
      <c r="AS818">
        <v>0</v>
      </c>
      <c r="AT818">
        <v>0</v>
      </c>
      <c r="AV818">
        <v>0</v>
      </c>
      <c r="AW818">
        <v>0</v>
      </c>
      <c r="AY818">
        <v>0</v>
      </c>
      <c r="AZ818">
        <v>0</v>
      </c>
      <c r="BA818">
        <v>567</v>
      </c>
      <c r="BE818" t="str">
        <f>T("9791137021860")</f>
        <v>9791137021860</v>
      </c>
      <c r="BF818" t="str">
        <f>T("k448175")</f>
        <v>k448175</v>
      </c>
      <c r="BG818" t="str">
        <f>T("판타지 e북 &gt; 퓨전 판타지")</f>
        <v>판타지 e북 &gt; 퓨전 판타지</v>
      </c>
    </row>
    <row r="819" spans="1:59">
      <c r="A819" t="s">
        <v>60</v>
      </c>
      <c r="B819" s="1">
        <v>46131</v>
      </c>
      <c r="C819">
        <v>2378081205</v>
      </c>
      <c r="D819">
        <v>2378081211</v>
      </c>
      <c r="E819" t="str">
        <f>T("[e북]탑랭커의 작가지망생활백서 7권")</f>
        <v>[e북]탑랭커의 작가지망생활백서 7권</v>
      </c>
      <c r="F819">
        <v>7</v>
      </c>
      <c r="G819" t="str">
        <f>T("츄르한잔")</f>
        <v>츄르한잔</v>
      </c>
      <c r="J819" t="str">
        <f>T("매드햇")</f>
        <v>매드햇</v>
      </c>
      <c r="K819" t="str">
        <f>T("[e북]탑랭커의 작가지망생활백서")</f>
        <v>[e북]탑랭커의 작가지망생활백서</v>
      </c>
      <c r="L819">
        <v>3000</v>
      </c>
      <c r="M819">
        <v>0</v>
      </c>
      <c r="N819">
        <v>0</v>
      </c>
      <c r="O819">
        <v>0</v>
      </c>
      <c r="P819">
        <v>810</v>
      </c>
      <c r="Q819">
        <v>1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810</v>
      </c>
      <c r="AJ819">
        <v>1</v>
      </c>
      <c r="AK819">
        <v>0</v>
      </c>
      <c r="AL819">
        <v>0</v>
      </c>
      <c r="AM819">
        <v>810</v>
      </c>
      <c r="AN819">
        <v>0</v>
      </c>
      <c r="AO819">
        <v>0</v>
      </c>
      <c r="AP819">
        <v>0</v>
      </c>
      <c r="AQ819">
        <v>0</v>
      </c>
      <c r="AS819">
        <v>0</v>
      </c>
      <c r="AT819">
        <v>0</v>
      </c>
      <c r="AV819">
        <v>0</v>
      </c>
      <c r="AW819">
        <v>0</v>
      </c>
      <c r="AY819">
        <v>0</v>
      </c>
      <c r="AZ819">
        <v>0</v>
      </c>
      <c r="BA819">
        <v>567</v>
      </c>
      <c r="BE819" t="str">
        <f>T("9791137021877")</f>
        <v>9791137021877</v>
      </c>
      <c r="BF819" t="str">
        <f>T("k448176")</f>
        <v>k448176</v>
      </c>
      <c r="BG819" t="str">
        <f>T("판타지 e북 &gt; 퓨전 판타지")</f>
        <v>판타지 e북 &gt; 퓨전 판타지</v>
      </c>
    </row>
    <row r="820" spans="1:59">
      <c r="A820" t="s">
        <v>60</v>
      </c>
      <c r="B820" s="1">
        <v>46131</v>
      </c>
      <c r="C820">
        <v>2378081205</v>
      </c>
      <c r="D820">
        <v>2378081213</v>
      </c>
      <c r="E820" t="str">
        <f>T("[e북]탑랭커의 작가지망생활백서 9권")</f>
        <v>[e북]탑랭커의 작가지망생활백서 9권</v>
      </c>
      <c r="F820">
        <v>9</v>
      </c>
      <c r="G820" t="str">
        <f>T("츄르한잔")</f>
        <v>츄르한잔</v>
      </c>
      <c r="J820" t="str">
        <f>T("매드햇")</f>
        <v>매드햇</v>
      </c>
      <c r="K820" t="str">
        <f>T("[e북]탑랭커의 작가지망생활백서")</f>
        <v>[e북]탑랭커의 작가지망생활백서</v>
      </c>
      <c r="L820">
        <v>3000</v>
      </c>
      <c r="M820">
        <v>0</v>
      </c>
      <c r="N820">
        <v>0</v>
      </c>
      <c r="O820">
        <v>0</v>
      </c>
      <c r="P820">
        <v>1710</v>
      </c>
      <c r="Q820">
        <v>2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1710</v>
      </c>
      <c r="AJ820">
        <v>2</v>
      </c>
      <c r="AK820">
        <v>0</v>
      </c>
      <c r="AL820">
        <v>0</v>
      </c>
      <c r="AM820">
        <v>1710</v>
      </c>
      <c r="AN820">
        <v>0</v>
      </c>
      <c r="AO820">
        <v>0</v>
      </c>
      <c r="AP820">
        <v>0</v>
      </c>
      <c r="AQ820">
        <v>0</v>
      </c>
      <c r="AS820">
        <v>0</v>
      </c>
      <c r="AT820">
        <v>0</v>
      </c>
      <c r="AV820">
        <v>0</v>
      </c>
      <c r="AW820">
        <v>0</v>
      </c>
      <c r="AY820">
        <v>0</v>
      </c>
      <c r="AZ820">
        <v>0</v>
      </c>
      <c r="BA820">
        <v>1197</v>
      </c>
      <c r="BE820" t="str">
        <f>T("9791137021891")</f>
        <v>9791137021891</v>
      </c>
      <c r="BF820" t="str">
        <f>T("k448178")</f>
        <v>k448178</v>
      </c>
      <c r="BG820" t="str">
        <f>T("판타지 e북 &gt; 퓨전 판타지")</f>
        <v>판타지 e북 &gt; 퓨전 판타지</v>
      </c>
    </row>
    <row r="821" spans="1:59">
      <c r="A821" t="s">
        <v>60</v>
      </c>
      <c r="B821" s="1">
        <v>46131</v>
      </c>
      <c r="C821">
        <v>2378081205</v>
      </c>
      <c r="D821">
        <v>2378081214</v>
      </c>
      <c r="E821" t="str">
        <f>T("[e북]탑랭커의 작가지망생활백서 10권")</f>
        <v>[e북]탑랭커의 작가지망생활백서 10권</v>
      </c>
      <c r="F821">
        <v>10</v>
      </c>
      <c r="G821" t="str">
        <f>T("츄르한잔")</f>
        <v>츄르한잔</v>
      </c>
      <c r="J821" t="str">
        <f>T("매드햇")</f>
        <v>매드햇</v>
      </c>
      <c r="K821" t="str">
        <f>T("[e북]탑랭커의 작가지망생활백서")</f>
        <v>[e북]탑랭커의 작가지망생활백서</v>
      </c>
      <c r="L821">
        <v>3000</v>
      </c>
      <c r="M821">
        <v>0</v>
      </c>
      <c r="N821">
        <v>0</v>
      </c>
      <c r="O821">
        <v>0</v>
      </c>
      <c r="P821">
        <v>1710</v>
      </c>
      <c r="Q821">
        <v>2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1710</v>
      </c>
      <c r="AJ821">
        <v>2</v>
      </c>
      <c r="AK821">
        <v>0</v>
      </c>
      <c r="AL821">
        <v>0</v>
      </c>
      <c r="AM821">
        <v>1710</v>
      </c>
      <c r="AN821">
        <v>0</v>
      </c>
      <c r="AO821">
        <v>0</v>
      </c>
      <c r="AP821">
        <v>0</v>
      </c>
      <c r="AQ821">
        <v>0</v>
      </c>
      <c r="AS821">
        <v>0</v>
      </c>
      <c r="AT821">
        <v>0</v>
      </c>
      <c r="AV821">
        <v>0</v>
      </c>
      <c r="AW821">
        <v>0</v>
      </c>
      <c r="AY821">
        <v>0</v>
      </c>
      <c r="AZ821">
        <v>0</v>
      </c>
      <c r="BA821">
        <v>1197</v>
      </c>
      <c r="BE821" t="str">
        <f>T("9791137021907")</f>
        <v>9791137021907</v>
      </c>
      <c r="BF821" t="str">
        <f>T("k448179")</f>
        <v>k448179</v>
      </c>
      <c r="BG821" t="str">
        <f>T("판타지 e북 &gt; 퓨전 판타지")</f>
        <v>판타지 e북 &gt; 퓨전 판타지</v>
      </c>
    </row>
    <row r="822" spans="1:59">
      <c r="A822" t="s">
        <v>60</v>
      </c>
      <c r="B822" s="1">
        <v>46131</v>
      </c>
      <c r="C822">
        <v>2378081205</v>
      </c>
      <c r="D822">
        <v>2378081215</v>
      </c>
      <c r="E822" t="str">
        <f>T("[e북]탑랭커의 작가지망생활백서 11권")</f>
        <v>[e북]탑랭커의 작가지망생활백서 11권</v>
      </c>
      <c r="F822">
        <v>11</v>
      </c>
      <c r="G822" t="str">
        <f>T("츄르한잔")</f>
        <v>츄르한잔</v>
      </c>
      <c r="J822" t="str">
        <f>T("매드햇")</f>
        <v>매드햇</v>
      </c>
      <c r="K822" t="str">
        <f>T("[e북]탑랭커의 작가지망생활백서")</f>
        <v>[e북]탑랭커의 작가지망생활백서</v>
      </c>
      <c r="L822">
        <v>3000</v>
      </c>
      <c r="M822">
        <v>0</v>
      </c>
      <c r="N822">
        <v>0</v>
      </c>
      <c r="O822">
        <v>0</v>
      </c>
      <c r="P822">
        <v>1710</v>
      </c>
      <c r="Q822">
        <v>2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1710</v>
      </c>
      <c r="AJ822">
        <v>2</v>
      </c>
      <c r="AK822">
        <v>0</v>
      </c>
      <c r="AL822">
        <v>0</v>
      </c>
      <c r="AM822">
        <v>1710</v>
      </c>
      <c r="AN822">
        <v>0</v>
      </c>
      <c r="AO822">
        <v>0</v>
      </c>
      <c r="AP822">
        <v>0</v>
      </c>
      <c r="AQ822">
        <v>0</v>
      </c>
      <c r="AS822">
        <v>0</v>
      </c>
      <c r="AT822">
        <v>0</v>
      </c>
      <c r="AV822">
        <v>0</v>
      </c>
      <c r="AW822">
        <v>0</v>
      </c>
      <c r="AY822">
        <v>0</v>
      </c>
      <c r="AZ822">
        <v>0</v>
      </c>
      <c r="BA822">
        <v>1197</v>
      </c>
      <c r="BE822" t="str">
        <f>T("9791137021914")</f>
        <v>9791137021914</v>
      </c>
      <c r="BF822" t="str">
        <f>T("k448180")</f>
        <v>k448180</v>
      </c>
      <c r="BG822" t="str">
        <f>T("판타지 e북 &gt; 퓨전 판타지")</f>
        <v>판타지 e북 &gt; 퓨전 판타지</v>
      </c>
    </row>
    <row r="823" spans="1:59">
      <c r="A823" t="s">
        <v>60</v>
      </c>
      <c r="B823" s="1">
        <v>46131</v>
      </c>
      <c r="C823">
        <v>2378081205</v>
      </c>
      <c r="D823">
        <v>2378081216</v>
      </c>
      <c r="E823" t="str">
        <f>T("[e북]탑랭커의 작가지망생활백서 12권 (완결)")</f>
        <v>[e북]탑랭커의 작가지망생활백서 12권 (완결)</v>
      </c>
      <c r="F823">
        <v>12</v>
      </c>
      <c r="G823" t="str">
        <f>T("츄르한잔")</f>
        <v>츄르한잔</v>
      </c>
      <c r="J823" t="str">
        <f>T("매드햇")</f>
        <v>매드햇</v>
      </c>
      <c r="K823" t="str">
        <f>T("[e북]탑랭커의 작가지망생활백서")</f>
        <v>[e북]탑랭커의 작가지망생활백서</v>
      </c>
      <c r="L823">
        <v>3000</v>
      </c>
      <c r="M823">
        <v>0</v>
      </c>
      <c r="N823">
        <v>0</v>
      </c>
      <c r="O823">
        <v>0</v>
      </c>
      <c r="P823">
        <v>810</v>
      </c>
      <c r="Q823">
        <v>1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810</v>
      </c>
      <c r="AJ823">
        <v>1</v>
      </c>
      <c r="AK823">
        <v>0</v>
      </c>
      <c r="AL823">
        <v>0</v>
      </c>
      <c r="AM823">
        <v>810</v>
      </c>
      <c r="AN823">
        <v>0</v>
      </c>
      <c r="AO823">
        <v>0</v>
      </c>
      <c r="AP823">
        <v>0</v>
      </c>
      <c r="AQ823">
        <v>0</v>
      </c>
      <c r="AS823">
        <v>0</v>
      </c>
      <c r="AT823">
        <v>0</v>
      </c>
      <c r="AV823">
        <v>0</v>
      </c>
      <c r="AW823">
        <v>0</v>
      </c>
      <c r="AY823">
        <v>0</v>
      </c>
      <c r="AZ823">
        <v>0</v>
      </c>
      <c r="BA823">
        <v>567</v>
      </c>
      <c r="BE823" t="str">
        <f>T("9791137021921")</f>
        <v>9791137021921</v>
      </c>
      <c r="BF823" t="str">
        <f>T("k448181")</f>
        <v>k448181</v>
      </c>
      <c r="BG823" t="str">
        <f>T("판타지 e북 &gt; 퓨전 판타지")</f>
        <v>판타지 e북 &gt; 퓨전 판타지</v>
      </c>
    </row>
    <row r="824" spans="1:59">
      <c r="A824" t="s">
        <v>60</v>
      </c>
      <c r="B824" s="1">
        <v>46131</v>
      </c>
      <c r="C824">
        <v>2378081205</v>
      </c>
      <c r="D824">
        <v>2378081217</v>
      </c>
      <c r="E824" t="str">
        <f>T("[e북]탑랭커의 작가지망생활백서 외전")</f>
        <v>[e북]탑랭커의 작가지망생활백서 외전</v>
      </c>
      <c r="F824">
        <v>13</v>
      </c>
      <c r="G824" t="str">
        <f>T("츄르한잔")</f>
        <v>츄르한잔</v>
      </c>
      <c r="J824" t="str">
        <f>T("매드햇")</f>
        <v>매드햇</v>
      </c>
      <c r="K824" t="str">
        <f>T("[e북]탑랭커의 작가지망생활백서")</f>
        <v>[e북]탑랭커의 작가지망생활백서</v>
      </c>
      <c r="L824">
        <v>3000</v>
      </c>
      <c r="M824">
        <v>0</v>
      </c>
      <c r="N824">
        <v>0</v>
      </c>
      <c r="O824">
        <v>0</v>
      </c>
      <c r="P824">
        <v>810</v>
      </c>
      <c r="Q824">
        <v>1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810</v>
      </c>
      <c r="AJ824">
        <v>1</v>
      </c>
      <c r="AK824">
        <v>0</v>
      </c>
      <c r="AL824">
        <v>0</v>
      </c>
      <c r="AM824">
        <v>810</v>
      </c>
      <c r="AN824">
        <v>0</v>
      </c>
      <c r="AO824">
        <v>0</v>
      </c>
      <c r="AP824">
        <v>0</v>
      </c>
      <c r="AQ824">
        <v>0</v>
      </c>
      <c r="AS824">
        <v>0</v>
      </c>
      <c r="AT824">
        <v>0</v>
      </c>
      <c r="AV824">
        <v>0</v>
      </c>
      <c r="AW824">
        <v>0</v>
      </c>
      <c r="AY824">
        <v>0</v>
      </c>
      <c r="AZ824">
        <v>0</v>
      </c>
      <c r="BA824">
        <v>567</v>
      </c>
      <c r="BF824" t="str">
        <f>T("D270075")</f>
        <v>D270075</v>
      </c>
      <c r="BG824" t="str">
        <f>T("판타지 e북 &gt; 퓨전 판타지")</f>
        <v>판타지 e북 &gt; 퓨전 판타지</v>
      </c>
    </row>
    <row r="825" spans="1:59">
      <c r="A825" t="s">
        <v>60</v>
      </c>
      <c r="B825" s="1">
        <v>46129</v>
      </c>
      <c r="C825">
        <v>2378058546</v>
      </c>
      <c r="D825">
        <v>2378058546</v>
      </c>
      <c r="E825" t="str">
        <f>T("[e북]특별한 룸메들의 독특한 토이 취향에 관하여 1권")</f>
        <v>[e북]특별한 룸메들의 독특한 토이 취향에 관하여 1권</v>
      </c>
      <c r="F825">
        <v>1</v>
      </c>
      <c r="G825" t="str">
        <f>T("엔횰")</f>
        <v>엔횰</v>
      </c>
      <c r="J825" t="str">
        <f>T("누디나잇")</f>
        <v>누디나잇</v>
      </c>
      <c r="K825" t="str">
        <f>T("[e북]특별한 룸메들의 독특한 토이 취향에 관하여")</f>
        <v>[e북]특별한 룸메들의 독특한 토이 취향에 관하여</v>
      </c>
      <c r="L825">
        <v>1000</v>
      </c>
      <c r="M825">
        <v>2000</v>
      </c>
      <c r="N825">
        <v>2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2000</v>
      </c>
      <c r="AJ825">
        <v>2</v>
      </c>
      <c r="AK825">
        <v>0</v>
      </c>
      <c r="AL825">
        <v>0</v>
      </c>
      <c r="AM825">
        <v>2000</v>
      </c>
      <c r="AN825">
        <v>0</v>
      </c>
      <c r="AO825">
        <v>0</v>
      </c>
      <c r="AP825">
        <v>0</v>
      </c>
      <c r="AQ825">
        <v>0</v>
      </c>
      <c r="AS825">
        <v>0</v>
      </c>
      <c r="AT825">
        <v>0</v>
      </c>
      <c r="AV825">
        <v>0</v>
      </c>
      <c r="AW825">
        <v>0</v>
      </c>
      <c r="AY825">
        <v>0</v>
      </c>
      <c r="AZ825">
        <v>0</v>
      </c>
      <c r="BA825">
        <v>1400</v>
      </c>
      <c r="BE825" t="str">
        <f>T("9791193028773")</f>
        <v>9791193028773</v>
      </c>
      <c r="BF825" t="str">
        <f>T("k130052")</f>
        <v>k130052</v>
      </c>
      <c r="BG825" t="str">
        <f>T("로맨스 e북 &gt; 섹슈얼 로맨스")</f>
        <v>로맨스 e북 &gt; 섹슈얼 로맨스</v>
      </c>
    </row>
    <row r="826" spans="1:59">
      <c r="A826" t="s">
        <v>60</v>
      </c>
      <c r="B826" s="1">
        <v>46129</v>
      </c>
      <c r="C826">
        <v>2378058546</v>
      </c>
      <c r="D826">
        <v>2378058547</v>
      </c>
      <c r="E826" t="str">
        <f>T("[e북]특별한 룸메들의 독특한 토이 취향에 관하여 2권 (완결)")</f>
        <v>[e북]특별한 룸메들의 독특한 토이 취향에 관하여 2권 (완결)</v>
      </c>
      <c r="F826">
        <v>2</v>
      </c>
      <c r="G826" t="str">
        <f>T("엔횰")</f>
        <v>엔횰</v>
      </c>
      <c r="J826" t="str">
        <f>T("누디나잇")</f>
        <v>누디나잇</v>
      </c>
      <c r="K826" t="str">
        <f>T("[e북]특별한 룸메들의 독특한 토이 취향에 관하여")</f>
        <v>[e북]특별한 룸메들의 독특한 토이 취향에 관하여</v>
      </c>
      <c r="L826">
        <v>1000</v>
      </c>
      <c r="M826">
        <v>1000</v>
      </c>
      <c r="N826">
        <v>1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1000</v>
      </c>
      <c r="AJ826">
        <v>1</v>
      </c>
      <c r="AK826">
        <v>0</v>
      </c>
      <c r="AL826">
        <v>0</v>
      </c>
      <c r="AM826">
        <v>1000</v>
      </c>
      <c r="AN826">
        <v>0</v>
      </c>
      <c r="AO826">
        <v>0</v>
      </c>
      <c r="AP826">
        <v>0</v>
      </c>
      <c r="AQ826">
        <v>0</v>
      </c>
      <c r="AS826">
        <v>0</v>
      </c>
      <c r="AT826">
        <v>0</v>
      </c>
      <c r="AV826">
        <v>0</v>
      </c>
      <c r="AW826">
        <v>0</v>
      </c>
      <c r="AY826">
        <v>0</v>
      </c>
      <c r="AZ826">
        <v>0</v>
      </c>
      <c r="BA826">
        <v>700</v>
      </c>
      <c r="BE826" t="str">
        <f>T("9791193028780")</f>
        <v>9791193028780</v>
      </c>
      <c r="BF826" t="str">
        <f>T("k130053")</f>
        <v>k130053</v>
      </c>
      <c r="BG826" t="str">
        <f>T("로맨스 e북 &gt; 섹슈얼 로맨스")</f>
        <v>로맨스 e북 &gt; 섹슈얼 로맨스</v>
      </c>
    </row>
    <row r="827" spans="1:59">
      <c r="A827" t="s">
        <v>60</v>
      </c>
      <c r="B827" s="1">
        <v>46130</v>
      </c>
      <c r="C827">
        <v>2378058546</v>
      </c>
      <c r="D827">
        <v>2378059203</v>
      </c>
      <c r="E827" t="str">
        <f>T("[e북]특별한 룸메들의 독특한 토이 취향에 관하여 (외전)")</f>
        <v>[e북]특별한 룸메들의 독특한 토이 취향에 관하여 (외전)</v>
      </c>
      <c r="F827">
        <v>3</v>
      </c>
      <c r="G827" t="str">
        <f>T("엔횰")</f>
        <v>엔횰</v>
      </c>
      <c r="J827" t="str">
        <f>T("누디나잇")</f>
        <v>누디나잇</v>
      </c>
      <c r="K827" t="str">
        <f>T("[e북]특별한 룸메들의 독특한 토이 취향에 관하여")</f>
        <v>[e북]특별한 룸메들의 독특한 토이 취향에 관하여</v>
      </c>
      <c r="L827">
        <v>1000</v>
      </c>
      <c r="M827">
        <v>1000</v>
      </c>
      <c r="N827">
        <v>1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1000</v>
      </c>
      <c r="AJ827">
        <v>1</v>
      </c>
      <c r="AK827">
        <v>0</v>
      </c>
      <c r="AL827">
        <v>0</v>
      </c>
      <c r="AM827">
        <v>1000</v>
      </c>
      <c r="AN827">
        <v>0</v>
      </c>
      <c r="AO827">
        <v>0</v>
      </c>
      <c r="AP827">
        <v>0</v>
      </c>
      <c r="AQ827">
        <v>0</v>
      </c>
      <c r="AS827">
        <v>0</v>
      </c>
      <c r="AT827">
        <v>0</v>
      </c>
      <c r="AV827">
        <v>0</v>
      </c>
      <c r="AW827">
        <v>0</v>
      </c>
      <c r="AY827">
        <v>0</v>
      </c>
      <c r="AZ827">
        <v>0</v>
      </c>
      <c r="BA827">
        <v>700</v>
      </c>
      <c r="BE827" t="str">
        <f>T("9791171070756")</f>
        <v>9791171070756</v>
      </c>
      <c r="BF827" t="str">
        <f>T("k200274")</f>
        <v>k200274</v>
      </c>
      <c r="BG827" t="str">
        <f>T("로맨스 e북 &gt; 섹슈얼 로맨스")</f>
        <v>로맨스 e북 &gt; 섹슈얼 로맨스</v>
      </c>
    </row>
    <row r="828" spans="1:59">
      <c r="A828" t="s">
        <v>60</v>
      </c>
      <c r="B828" s="1">
        <v>46130</v>
      </c>
      <c r="C828">
        <v>2378080434</v>
      </c>
      <c r="D828">
        <v>2378080434</v>
      </c>
      <c r="E828" t="str">
        <f>T("[e북]파일럿이 고중력을 잘 견딤 1권")</f>
        <v>[e북]파일럿이 고중력을 잘 견딤 1권</v>
      </c>
      <c r="F828">
        <v>1</v>
      </c>
      <c r="G828" t="str">
        <f>T("보헤미아")</f>
        <v>보헤미아</v>
      </c>
      <c r="J828" t="str">
        <f>T("매드햇")</f>
        <v>매드햇</v>
      </c>
      <c r="K828" t="str">
        <f>T("[e북]파일럿이 고중력을 잘 견딤")</f>
        <v>[e북]파일럿이 고중력을 잘 견딤</v>
      </c>
      <c r="L828">
        <v>0</v>
      </c>
      <c r="M828">
        <v>0</v>
      </c>
      <c r="N828">
        <v>0</v>
      </c>
      <c r="O828">
        <v>1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1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S828">
        <v>0</v>
      </c>
      <c r="AT828">
        <v>0</v>
      </c>
      <c r="AV828">
        <v>0</v>
      </c>
      <c r="AW828">
        <v>0</v>
      </c>
      <c r="AY828">
        <v>0</v>
      </c>
      <c r="AZ828">
        <v>0</v>
      </c>
      <c r="BA828">
        <v>0</v>
      </c>
      <c r="BF828" t="str">
        <f>T("D210497")</f>
        <v>D210497</v>
      </c>
      <c r="BG828" t="str">
        <f>T("판타지 e북 &gt; 현대 판타지")</f>
        <v>판타지 e북 &gt; 현대 판타지</v>
      </c>
    </row>
    <row r="829" spans="1:59">
      <c r="A829" t="s">
        <v>60</v>
      </c>
      <c r="B829" s="1">
        <v>46130</v>
      </c>
      <c r="C829">
        <v>2378080434</v>
      </c>
      <c r="D829">
        <v>2378080435</v>
      </c>
      <c r="E829" t="str">
        <f>T("[e북]파일럿이 고중력을 잘 견딤 2권")</f>
        <v>[e북]파일럿이 고중력을 잘 견딤 2권</v>
      </c>
      <c r="F829">
        <v>2</v>
      </c>
      <c r="G829" t="str">
        <f>T("보헤미아")</f>
        <v>보헤미아</v>
      </c>
      <c r="J829" t="str">
        <f>T("매드햇")</f>
        <v>매드햇</v>
      </c>
      <c r="K829" t="str">
        <f>T("[e북]파일럿이 고중력을 잘 견딤")</f>
        <v>[e북]파일럿이 고중력을 잘 견딤</v>
      </c>
      <c r="L829">
        <v>3000</v>
      </c>
      <c r="M829">
        <v>3000</v>
      </c>
      <c r="N829">
        <v>1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3000</v>
      </c>
      <c r="AJ829">
        <v>1</v>
      </c>
      <c r="AK829">
        <v>0</v>
      </c>
      <c r="AL829">
        <v>0</v>
      </c>
      <c r="AM829">
        <v>3000</v>
      </c>
      <c r="AN829">
        <v>0</v>
      </c>
      <c r="AO829">
        <v>0</v>
      </c>
      <c r="AP829">
        <v>0</v>
      </c>
      <c r="AQ829">
        <v>0</v>
      </c>
      <c r="AS829">
        <v>0</v>
      </c>
      <c r="AT829">
        <v>0</v>
      </c>
      <c r="AV829">
        <v>0</v>
      </c>
      <c r="AW829">
        <v>0</v>
      </c>
      <c r="AY829">
        <v>0</v>
      </c>
      <c r="AZ829">
        <v>0</v>
      </c>
      <c r="BA829">
        <v>2100</v>
      </c>
      <c r="BF829" t="str">
        <f>T("D210498")</f>
        <v>D210498</v>
      </c>
      <c r="BG829" t="str">
        <f>T("판타지 e북 &gt; 현대 판타지")</f>
        <v>판타지 e북 &gt; 현대 판타지</v>
      </c>
    </row>
    <row r="830" spans="1:59">
      <c r="A830" t="s">
        <v>60</v>
      </c>
      <c r="B830" s="1">
        <v>46130</v>
      </c>
      <c r="C830">
        <v>2378080434</v>
      </c>
      <c r="D830">
        <v>2378080436</v>
      </c>
      <c r="E830" t="str">
        <f>T("[e북]파일럿이 고중력을 잘 견딤 3권")</f>
        <v>[e북]파일럿이 고중력을 잘 견딤 3권</v>
      </c>
      <c r="F830">
        <v>3</v>
      </c>
      <c r="G830" t="str">
        <f>T("보헤미아")</f>
        <v>보헤미아</v>
      </c>
      <c r="J830" t="str">
        <f>T("매드햇")</f>
        <v>매드햇</v>
      </c>
      <c r="K830" t="str">
        <f>T("[e북]파일럿이 고중력을 잘 견딤")</f>
        <v>[e북]파일럿이 고중력을 잘 견딤</v>
      </c>
      <c r="L830">
        <v>3000</v>
      </c>
      <c r="M830">
        <v>3000</v>
      </c>
      <c r="N830">
        <v>1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3000</v>
      </c>
      <c r="AJ830">
        <v>1</v>
      </c>
      <c r="AK830">
        <v>0</v>
      </c>
      <c r="AL830">
        <v>0</v>
      </c>
      <c r="AM830">
        <v>3000</v>
      </c>
      <c r="AN830">
        <v>0</v>
      </c>
      <c r="AO830">
        <v>0</v>
      </c>
      <c r="AP830">
        <v>0</v>
      </c>
      <c r="AQ830">
        <v>0</v>
      </c>
      <c r="AS830">
        <v>0</v>
      </c>
      <c r="AT830">
        <v>0</v>
      </c>
      <c r="AV830">
        <v>0</v>
      </c>
      <c r="AW830">
        <v>0</v>
      </c>
      <c r="AY830">
        <v>0</v>
      </c>
      <c r="AZ830">
        <v>0</v>
      </c>
      <c r="BA830">
        <v>2100</v>
      </c>
      <c r="BF830" t="str">
        <f>T("D210499")</f>
        <v>D210499</v>
      </c>
      <c r="BG830" t="str">
        <f>T("판타지 e북 &gt; 현대 판타지")</f>
        <v>판타지 e북 &gt; 현대 판타지</v>
      </c>
    </row>
    <row r="831" spans="1:59">
      <c r="A831" t="s">
        <v>60</v>
      </c>
      <c r="B831" s="1">
        <v>46130</v>
      </c>
      <c r="C831">
        <v>2378080434</v>
      </c>
      <c r="D831">
        <v>2378080437</v>
      </c>
      <c r="E831" t="str">
        <f>T("[e북]파일럿이 고중력을 잘 견딤 4권")</f>
        <v>[e북]파일럿이 고중력을 잘 견딤 4권</v>
      </c>
      <c r="F831">
        <v>4</v>
      </c>
      <c r="G831" t="str">
        <f>T("보헤미아")</f>
        <v>보헤미아</v>
      </c>
      <c r="J831" t="str">
        <f>T("매드햇")</f>
        <v>매드햇</v>
      </c>
      <c r="K831" t="str">
        <f>T("[e북]파일럿이 고중력을 잘 견딤")</f>
        <v>[e북]파일럿이 고중력을 잘 견딤</v>
      </c>
      <c r="L831">
        <v>3000</v>
      </c>
      <c r="M831">
        <v>3000</v>
      </c>
      <c r="N831">
        <v>1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3000</v>
      </c>
      <c r="AJ831">
        <v>1</v>
      </c>
      <c r="AK831">
        <v>0</v>
      </c>
      <c r="AL831">
        <v>0</v>
      </c>
      <c r="AM831">
        <v>3000</v>
      </c>
      <c r="AN831">
        <v>0</v>
      </c>
      <c r="AO831">
        <v>0</v>
      </c>
      <c r="AP831">
        <v>0</v>
      </c>
      <c r="AQ831">
        <v>0</v>
      </c>
      <c r="AS831">
        <v>0</v>
      </c>
      <c r="AT831">
        <v>0</v>
      </c>
      <c r="AV831">
        <v>0</v>
      </c>
      <c r="AW831">
        <v>0</v>
      </c>
      <c r="AY831">
        <v>0</v>
      </c>
      <c r="AZ831">
        <v>0</v>
      </c>
      <c r="BA831">
        <v>2100</v>
      </c>
      <c r="BF831" t="str">
        <f>T("D210500")</f>
        <v>D210500</v>
      </c>
      <c r="BG831" t="str">
        <f>T("판타지 e북 &gt; 현대 판타지")</f>
        <v>판타지 e북 &gt; 현대 판타지</v>
      </c>
    </row>
    <row r="832" spans="1:59">
      <c r="A832" t="s">
        <v>60</v>
      </c>
      <c r="B832" s="1">
        <v>46130</v>
      </c>
      <c r="C832">
        <v>2378080434</v>
      </c>
      <c r="D832">
        <v>2378080438</v>
      </c>
      <c r="E832" t="str">
        <f>T("[e북]파일럿이 고중력을 잘 견딤 5권")</f>
        <v>[e북]파일럿이 고중력을 잘 견딤 5권</v>
      </c>
      <c r="F832">
        <v>5</v>
      </c>
      <c r="G832" t="str">
        <f>T("보헤미아")</f>
        <v>보헤미아</v>
      </c>
      <c r="J832" t="str">
        <f>T("매드햇")</f>
        <v>매드햇</v>
      </c>
      <c r="K832" t="str">
        <f>T("[e북]파일럿이 고중력을 잘 견딤")</f>
        <v>[e북]파일럿이 고중력을 잘 견딤</v>
      </c>
      <c r="L832">
        <v>3000</v>
      </c>
      <c r="M832">
        <v>3000</v>
      </c>
      <c r="N832">
        <v>1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3000</v>
      </c>
      <c r="AJ832">
        <v>1</v>
      </c>
      <c r="AK832">
        <v>0</v>
      </c>
      <c r="AL832">
        <v>0</v>
      </c>
      <c r="AM832">
        <v>3000</v>
      </c>
      <c r="AN832">
        <v>0</v>
      </c>
      <c r="AO832">
        <v>0</v>
      </c>
      <c r="AP832">
        <v>0</v>
      </c>
      <c r="AQ832">
        <v>0</v>
      </c>
      <c r="AS832">
        <v>0</v>
      </c>
      <c r="AT832">
        <v>0</v>
      </c>
      <c r="AV832">
        <v>0</v>
      </c>
      <c r="AW832">
        <v>0</v>
      </c>
      <c r="AY832">
        <v>0</v>
      </c>
      <c r="AZ832">
        <v>0</v>
      </c>
      <c r="BA832">
        <v>2100</v>
      </c>
      <c r="BF832" t="str">
        <f>T("D210501")</f>
        <v>D210501</v>
      </c>
      <c r="BG832" t="str">
        <f>T("판타지 e북 &gt; 현대 판타지")</f>
        <v>판타지 e북 &gt; 현대 판타지</v>
      </c>
    </row>
    <row r="833" spans="1:59">
      <c r="A833" t="s">
        <v>60</v>
      </c>
      <c r="B833" s="1">
        <v>46130</v>
      </c>
      <c r="C833">
        <v>2378080434</v>
      </c>
      <c r="D833">
        <v>2378080439</v>
      </c>
      <c r="E833" t="str">
        <f>T("[e북]파일럿이 고중력을 잘 견딤 6권")</f>
        <v>[e북]파일럿이 고중력을 잘 견딤 6권</v>
      </c>
      <c r="F833">
        <v>6</v>
      </c>
      <c r="G833" t="str">
        <f>T("보헤미아")</f>
        <v>보헤미아</v>
      </c>
      <c r="J833" t="str">
        <f>T("매드햇")</f>
        <v>매드햇</v>
      </c>
      <c r="K833" t="str">
        <f>T("[e북]파일럿이 고중력을 잘 견딤")</f>
        <v>[e북]파일럿이 고중력을 잘 견딤</v>
      </c>
      <c r="L833">
        <v>3000</v>
      </c>
      <c r="M833">
        <v>3000</v>
      </c>
      <c r="N833">
        <v>1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3000</v>
      </c>
      <c r="AJ833">
        <v>1</v>
      </c>
      <c r="AK833">
        <v>0</v>
      </c>
      <c r="AL833">
        <v>0</v>
      </c>
      <c r="AM833">
        <v>3000</v>
      </c>
      <c r="AN833">
        <v>0</v>
      </c>
      <c r="AO833">
        <v>0</v>
      </c>
      <c r="AP833">
        <v>0</v>
      </c>
      <c r="AQ833">
        <v>0</v>
      </c>
      <c r="AS833">
        <v>0</v>
      </c>
      <c r="AT833">
        <v>0</v>
      </c>
      <c r="AV833">
        <v>0</v>
      </c>
      <c r="AW833">
        <v>0</v>
      </c>
      <c r="AY833">
        <v>0</v>
      </c>
      <c r="AZ833">
        <v>0</v>
      </c>
      <c r="BA833">
        <v>2100</v>
      </c>
      <c r="BF833" t="str">
        <f>T("D210502")</f>
        <v>D210502</v>
      </c>
      <c r="BG833" t="str">
        <f>T("판타지 e북 &gt; 현대 판타지")</f>
        <v>판타지 e북 &gt; 현대 판타지</v>
      </c>
    </row>
    <row r="834" spans="1:59">
      <c r="A834" t="s">
        <v>60</v>
      </c>
      <c r="B834" s="1">
        <v>46130</v>
      </c>
      <c r="C834">
        <v>2378080434</v>
      </c>
      <c r="D834">
        <v>2378080440</v>
      </c>
      <c r="E834" t="str">
        <f>T("[e북]파일럿이 고중력을 잘 견딤 7권")</f>
        <v>[e북]파일럿이 고중력을 잘 견딤 7권</v>
      </c>
      <c r="F834">
        <v>7</v>
      </c>
      <c r="G834" t="str">
        <f>T("보헤미아")</f>
        <v>보헤미아</v>
      </c>
      <c r="J834" t="str">
        <f>T("매드햇")</f>
        <v>매드햇</v>
      </c>
      <c r="K834" t="str">
        <f>T("[e북]파일럿이 고중력을 잘 견딤")</f>
        <v>[e북]파일럿이 고중력을 잘 견딤</v>
      </c>
      <c r="L834">
        <v>3000</v>
      </c>
      <c r="M834">
        <v>3000</v>
      </c>
      <c r="N834">
        <v>1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3000</v>
      </c>
      <c r="AJ834">
        <v>1</v>
      </c>
      <c r="AK834">
        <v>0</v>
      </c>
      <c r="AL834">
        <v>0</v>
      </c>
      <c r="AM834">
        <v>3000</v>
      </c>
      <c r="AN834">
        <v>0</v>
      </c>
      <c r="AO834">
        <v>0</v>
      </c>
      <c r="AP834">
        <v>0</v>
      </c>
      <c r="AQ834">
        <v>0</v>
      </c>
      <c r="AS834">
        <v>0</v>
      </c>
      <c r="AT834">
        <v>0</v>
      </c>
      <c r="AV834">
        <v>0</v>
      </c>
      <c r="AW834">
        <v>0</v>
      </c>
      <c r="AY834">
        <v>0</v>
      </c>
      <c r="AZ834">
        <v>0</v>
      </c>
      <c r="BA834">
        <v>2100</v>
      </c>
      <c r="BF834" t="str">
        <f>T("D210503")</f>
        <v>D210503</v>
      </c>
      <c r="BG834" t="str">
        <f>T("판타지 e북 &gt; 현대 판타지")</f>
        <v>판타지 e북 &gt; 현대 판타지</v>
      </c>
    </row>
    <row r="835" spans="1:59">
      <c r="A835" t="s">
        <v>60</v>
      </c>
      <c r="B835" s="1">
        <v>46130</v>
      </c>
      <c r="C835">
        <v>2378080434</v>
      </c>
      <c r="D835">
        <v>2378080441</v>
      </c>
      <c r="E835" t="str">
        <f>T("[e북]파일럿이 고중력을 잘 견딤 8권 (완결)")</f>
        <v>[e북]파일럿이 고중력을 잘 견딤 8권 (완결)</v>
      </c>
      <c r="F835">
        <v>8</v>
      </c>
      <c r="G835" t="str">
        <f>T("보헤미아")</f>
        <v>보헤미아</v>
      </c>
      <c r="J835" t="str">
        <f>T("매드햇")</f>
        <v>매드햇</v>
      </c>
      <c r="K835" t="str">
        <f>T("[e북]파일럿이 고중력을 잘 견딤")</f>
        <v>[e북]파일럿이 고중력을 잘 견딤</v>
      </c>
      <c r="L835">
        <v>3000</v>
      </c>
      <c r="M835">
        <v>3000</v>
      </c>
      <c r="N835">
        <v>1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3000</v>
      </c>
      <c r="AJ835">
        <v>1</v>
      </c>
      <c r="AK835">
        <v>0</v>
      </c>
      <c r="AL835">
        <v>0</v>
      </c>
      <c r="AM835">
        <v>3000</v>
      </c>
      <c r="AN835">
        <v>0</v>
      </c>
      <c r="AO835">
        <v>0</v>
      </c>
      <c r="AP835">
        <v>0</v>
      </c>
      <c r="AQ835">
        <v>0</v>
      </c>
      <c r="AS835">
        <v>0</v>
      </c>
      <c r="AT835">
        <v>0</v>
      </c>
      <c r="AV835">
        <v>0</v>
      </c>
      <c r="AW835">
        <v>0</v>
      </c>
      <c r="AY835">
        <v>0</v>
      </c>
      <c r="AZ835">
        <v>0</v>
      </c>
      <c r="BA835">
        <v>2100</v>
      </c>
      <c r="BF835" t="str">
        <f>T("D210504")</f>
        <v>D210504</v>
      </c>
      <c r="BG835" t="str">
        <f>T("판타지 e북 &gt; 현대 판타지")</f>
        <v>판타지 e북 &gt; 현대 판타지</v>
      </c>
    </row>
    <row r="836" spans="1:59">
      <c r="A836" t="s">
        <v>60</v>
      </c>
      <c r="B836" s="1">
        <v>46129</v>
      </c>
      <c r="C836">
        <v>2378078753</v>
      </c>
      <c r="D836">
        <v>2378078753</v>
      </c>
      <c r="E836" t="str">
        <f>T("[e북]패군 1권")</f>
        <v>[e북]패군 1권</v>
      </c>
      <c r="F836">
        <v>1</v>
      </c>
      <c r="G836" t="str">
        <f>T("설봉")</f>
        <v>설봉</v>
      </c>
      <c r="J836" t="str">
        <f>T("매드햇")</f>
        <v>매드햇</v>
      </c>
      <c r="K836" t="str">
        <f>T("[e북]패군")</f>
        <v>[e북]패군</v>
      </c>
      <c r="L836">
        <v>0</v>
      </c>
      <c r="M836">
        <v>0</v>
      </c>
      <c r="N836">
        <v>0</v>
      </c>
      <c r="O836">
        <v>1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1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S836">
        <v>0</v>
      </c>
      <c r="AT836">
        <v>0</v>
      </c>
      <c r="AV836">
        <v>0</v>
      </c>
      <c r="AW836">
        <v>0</v>
      </c>
      <c r="AY836">
        <v>0</v>
      </c>
      <c r="AZ836">
        <v>0</v>
      </c>
      <c r="BA836">
        <v>0</v>
      </c>
      <c r="BE836" t="str">
        <f>T("9791162583128")</f>
        <v>9791162583128</v>
      </c>
      <c r="BF836" t="str">
        <f>T("E311638")</f>
        <v>E311638</v>
      </c>
      <c r="BG836" t="str">
        <f>T("판타지 e북 &gt; 신무협")</f>
        <v>판타지 e북 &gt; 신무협</v>
      </c>
    </row>
    <row r="837" spans="1:59">
      <c r="A837" t="s">
        <v>60</v>
      </c>
      <c r="B837" s="1">
        <v>46130</v>
      </c>
      <c r="C837">
        <v>2378078753</v>
      </c>
      <c r="D837">
        <v>2378078753</v>
      </c>
      <c r="E837" t="str">
        <f>T("[e북]패군 1권")</f>
        <v>[e북]패군 1권</v>
      </c>
      <c r="F837">
        <v>1</v>
      </c>
      <c r="G837" t="str">
        <f>T("설봉")</f>
        <v>설봉</v>
      </c>
      <c r="J837" t="str">
        <f>T("매드햇")</f>
        <v>매드햇</v>
      </c>
      <c r="K837" t="str">
        <f>T("[e북]패군")</f>
        <v>[e북]패군</v>
      </c>
      <c r="L837">
        <v>0</v>
      </c>
      <c r="M837">
        <v>0</v>
      </c>
      <c r="N837">
        <v>0</v>
      </c>
      <c r="O837">
        <v>1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1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S837">
        <v>0</v>
      </c>
      <c r="AT837">
        <v>0</v>
      </c>
      <c r="AV837">
        <v>0</v>
      </c>
      <c r="AW837">
        <v>0</v>
      </c>
      <c r="AY837">
        <v>0</v>
      </c>
      <c r="AZ837">
        <v>0</v>
      </c>
      <c r="BA837">
        <v>0</v>
      </c>
      <c r="BE837" t="str">
        <f>T("9791162583128")</f>
        <v>9791162583128</v>
      </c>
      <c r="BF837" t="str">
        <f>T("E311638")</f>
        <v>E311638</v>
      </c>
      <c r="BG837" t="str">
        <f>T("판타지 e북 &gt; 신무협")</f>
        <v>판타지 e북 &gt; 신무협</v>
      </c>
    </row>
    <row r="838" spans="1:59">
      <c r="A838" t="s">
        <v>60</v>
      </c>
      <c r="B838" s="1">
        <v>46131</v>
      </c>
      <c r="C838">
        <v>2378078753</v>
      </c>
      <c r="D838">
        <v>2378078753</v>
      </c>
      <c r="E838" t="str">
        <f>T("[e북]패군 1권")</f>
        <v>[e북]패군 1권</v>
      </c>
      <c r="F838">
        <v>1</v>
      </c>
      <c r="G838" t="str">
        <f>T("설봉")</f>
        <v>설봉</v>
      </c>
      <c r="J838" t="str">
        <f>T("매드햇")</f>
        <v>매드햇</v>
      </c>
      <c r="K838" t="str">
        <f>T("[e북]패군")</f>
        <v>[e북]패군</v>
      </c>
      <c r="L838">
        <v>0</v>
      </c>
      <c r="M838">
        <v>0</v>
      </c>
      <c r="N838">
        <v>0</v>
      </c>
      <c r="O838">
        <v>1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1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S838">
        <v>0</v>
      </c>
      <c r="AT838">
        <v>0</v>
      </c>
      <c r="AV838">
        <v>0</v>
      </c>
      <c r="AW838">
        <v>0</v>
      </c>
      <c r="AY838">
        <v>0</v>
      </c>
      <c r="AZ838">
        <v>0</v>
      </c>
      <c r="BA838">
        <v>0</v>
      </c>
      <c r="BE838" t="str">
        <f>T("9791162583128")</f>
        <v>9791162583128</v>
      </c>
      <c r="BF838" t="str">
        <f>T("E311638")</f>
        <v>E311638</v>
      </c>
      <c r="BG838" t="str">
        <f>T("판타지 e북 &gt; 신무협")</f>
        <v>판타지 e북 &gt; 신무협</v>
      </c>
    </row>
    <row r="839" spans="1:59">
      <c r="A839" t="s">
        <v>60</v>
      </c>
      <c r="B839" s="1">
        <v>46129</v>
      </c>
      <c r="C839">
        <v>2378078605</v>
      </c>
      <c r="D839">
        <v>2378078605</v>
      </c>
      <c r="E839" t="str">
        <f>T("[e북]포식 본능 1권")</f>
        <v>[e북]포식 본능 1권</v>
      </c>
      <c r="F839">
        <v>1</v>
      </c>
      <c r="G839" t="str">
        <f>T("죄송한취향")</f>
        <v>죄송한취향</v>
      </c>
      <c r="J839" t="str">
        <f>T("하트퀸")</f>
        <v>하트퀸</v>
      </c>
      <c r="K839" t="str">
        <f>T("[e북]포식 본능")</f>
        <v>[e북]포식 본능</v>
      </c>
      <c r="L839">
        <v>3000</v>
      </c>
      <c r="M839">
        <v>2700</v>
      </c>
      <c r="N839">
        <v>1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0</v>
      </c>
      <c r="AH839">
        <v>0</v>
      </c>
      <c r="AI839">
        <v>2700</v>
      </c>
      <c r="AJ839">
        <v>1</v>
      </c>
      <c r="AK839">
        <v>0</v>
      </c>
      <c r="AL839">
        <v>0</v>
      </c>
      <c r="AM839">
        <v>2700</v>
      </c>
      <c r="AN839">
        <v>0</v>
      </c>
      <c r="AO839">
        <v>0</v>
      </c>
      <c r="AP839">
        <v>0</v>
      </c>
      <c r="AQ839">
        <v>0</v>
      </c>
      <c r="AS839">
        <v>0</v>
      </c>
      <c r="AT839">
        <v>0</v>
      </c>
      <c r="AV839">
        <v>0</v>
      </c>
      <c r="AW839">
        <v>0</v>
      </c>
      <c r="AY839">
        <v>0</v>
      </c>
      <c r="AZ839">
        <v>0</v>
      </c>
      <c r="BA839">
        <v>1890</v>
      </c>
      <c r="BE839" t="str">
        <f>T("9791171503018")</f>
        <v>9791171503018</v>
      </c>
      <c r="BF839" t="str">
        <f>T("D160504")</f>
        <v>D160504</v>
      </c>
      <c r="BG839" t="str">
        <f>T("로맨스 e북 &gt; 현대물")</f>
        <v>로맨스 e북 &gt; 현대물</v>
      </c>
    </row>
    <row r="840" spans="1:59">
      <c r="A840" t="s">
        <v>60</v>
      </c>
      <c r="B840" s="1">
        <v>46129</v>
      </c>
      <c r="C840">
        <v>2378078605</v>
      </c>
      <c r="D840">
        <v>2378078606</v>
      </c>
      <c r="E840" t="str">
        <f>T("[e북]포식 본능 2권")</f>
        <v>[e북]포식 본능 2권</v>
      </c>
      <c r="F840">
        <v>2</v>
      </c>
      <c r="G840" t="str">
        <f>T("죄송한취향")</f>
        <v>죄송한취향</v>
      </c>
      <c r="J840" t="str">
        <f>T("하트퀸")</f>
        <v>하트퀸</v>
      </c>
      <c r="K840" t="str">
        <f>T("[e북]포식 본능")</f>
        <v>[e북]포식 본능</v>
      </c>
      <c r="L840">
        <v>3000</v>
      </c>
      <c r="M840">
        <v>2700</v>
      </c>
      <c r="N840">
        <v>1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2700</v>
      </c>
      <c r="AJ840">
        <v>1</v>
      </c>
      <c r="AK840">
        <v>0</v>
      </c>
      <c r="AL840">
        <v>0</v>
      </c>
      <c r="AM840">
        <v>2700</v>
      </c>
      <c r="AN840">
        <v>0</v>
      </c>
      <c r="AO840">
        <v>0</v>
      </c>
      <c r="AP840">
        <v>0</v>
      </c>
      <c r="AQ840">
        <v>0</v>
      </c>
      <c r="AS840">
        <v>0</v>
      </c>
      <c r="AT840">
        <v>0</v>
      </c>
      <c r="AV840">
        <v>0</v>
      </c>
      <c r="AW840">
        <v>0</v>
      </c>
      <c r="AY840">
        <v>0</v>
      </c>
      <c r="AZ840">
        <v>0</v>
      </c>
      <c r="BA840">
        <v>1890</v>
      </c>
      <c r="BE840" t="str">
        <f>T("9791171503025")</f>
        <v>9791171503025</v>
      </c>
      <c r="BF840" t="str">
        <f>T("D160505")</f>
        <v>D160505</v>
      </c>
      <c r="BG840" t="str">
        <f>T("로맨스 e북 &gt; 현대물")</f>
        <v>로맨스 e북 &gt; 현대물</v>
      </c>
    </row>
    <row r="841" spans="1:59">
      <c r="A841" t="s">
        <v>60</v>
      </c>
      <c r="B841" s="1">
        <v>46129</v>
      </c>
      <c r="C841">
        <v>2378078605</v>
      </c>
      <c r="D841">
        <v>2378078607</v>
      </c>
      <c r="E841" t="str">
        <f>T("[e북]포식 본능 3권 (완결)")</f>
        <v>[e북]포식 본능 3권 (완결)</v>
      </c>
      <c r="F841">
        <v>3</v>
      </c>
      <c r="G841" t="str">
        <f>T("죄송한취향")</f>
        <v>죄송한취향</v>
      </c>
      <c r="J841" t="str">
        <f>T("하트퀸")</f>
        <v>하트퀸</v>
      </c>
      <c r="K841" t="str">
        <f>T("[e북]포식 본능")</f>
        <v>[e북]포식 본능</v>
      </c>
      <c r="L841">
        <v>3000</v>
      </c>
      <c r="M841">
        <v>2700</v>
      </c>
      <c r="N841">
        <v>1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2700</v>
      </c>
      <c r="AJ841">
        <v>1</v>
      </c>
      <c r="AK841">
        <v>0</v>
      </c>
      <c r="AL841">
        <v>0</v>
      </c>
      <c r="AM841">
        <v>2700</v>
      </c>
      <c r="AN841">
        <v>0</v>
      </c>
      <c r="AO841">
        <v>0</v>
      </c>
      <c r="AP841">
        <v>0</v>
      </c>
      <c r="AQ841">
        <v>0</v>
      </c>
      <c r="AS841">
        <v>0</v>
      </c>
      <c r="AT841">
        <v>0</v>
      </c>
      <c r="AV841">
        <v>0</v>
      </c>
      <c r="AW841">
        <v>0</v>
      </c>
      <c r="AY841">
        <v>0</v>
      </c>
      <c r="AZ841">
        <v>0</v>
      </c>
      <c r="BA841">
        <v>1890</v>
      </c>
      <c r="BE841" t="str">
        <f>T("9791171503032")</f>
        <v>9791171503032</v>
      </c>
      <c r="BF841" t="str">
        <f>T("D160506")</f>
        <v>D160506</v>
      </c>
      <c r="BG841" t="str">
        <f>T("로맨스 e북 &gt; 현대물")</f>
        <v>로맨스 e북 &gt; 현대물</v>
      </c>
    </row>
    <row r="842" spans="1:59">
      <c r="A842" t="s">
        <v>60</v>
      </c>
      <c r="B842" s="1">
        <v>46130</v>
      </c>
      <c r="C842">
        <v>2378078605</v>
      </c>
      <c r="D842">
        <v>2378078605</v>
      </c>
      <c r="E842" t="str">
        <f>T("[e북]포식 본능 1권")</f>
        <v>[e북]포식 본능 1권</v>
      </c>
      <c r="F842">
        <v>1</v>
      </c>
      <c r="G842" t="str">
        <f>T("죄송한취향")</f>
        <v>죄송한취향</v>
      </c>
      <c r="J842" t="str">
        <f>T("하트퀸")</f>
        <v>하트퀸</v>
      </c>
      <c r="K842" t="str">
        <f>T("[e북]포식 본능")</f>
        <v>[e북]포식 본능</v>
      </c>
      <c r="L842">
        <v>3000</v>
      </c>
      <c r="M842">
        <v>8100</v>
      </c>
      <c r="N842">
        <v>3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8100</v>
      </c>
      <c r="AJ842">
        <v>3</v>
      </c>
      <c r="AK842">
        <v>0</v>
      </c>
      <c r="AL842">
        <v>0</v>
      </c>
      <c r="AM842">
        <v>8100</v>
      </c>
      <c r="AN842">
        <v>0</v>
      </c>
      <c r="AO842">
        <v>0</v>
      </c>
      <c r="AP842">
        <v>0</v>
      </c>
      <c r="AQ842">
        <v>0</v>
      </c>
      <c r="AS842">
        <v>0</v>
      </c>
      <c r="AT842">
        <v>0</v>
      </c>
      <c r="AV842">
        <v>0</v>
      </c>
      <c r="AW842">
        <v>0</v>
      </c>
      <c r="AY842">
        <v>0</v>
      </c>
      <c r="AZ842">
        <v>0</v>
      </c>
      <c r="BA842">
        <v>5670</v>
      </c>
      <c r="BE842" t="str">
        <f>T("9791171503018")</f>
        <v>9791171503018</v>
      </c>
      <c r="BF842" t="str">
        <f>T("D160504")</f>
        <v>D160504</v>
      </c>
      <c r="BG842" t="str">
        <f>T("로맨스 e북 &gt; 현대물")</f>
        <v>로맨스 e북 &gt; 현대물</v>
      </c>
    </row>
    <row r="843" spans="1:59">
      <c r="A843" t="s">
        <v>60</v>
      </c>
      <c r="B843" s="1">
        <v>46130</v>
      </c>
      <c r="C843">
        <v>2378078605</v>
      </c>
      <c r="D843">
        <v>2378078606</v>
      </c>
      <c r="E843" t="str">
        <f>T("[e북]포식 본능 2권")</f>
        <v>[e북]포식 본능 2권</v>
      </c>
      <c r="F843">
        <v>2</v>
      </c>
      <c r="G843" t="str">
        <f>T("죄송한취향")</f>
        <v>죄송한취향</v>
      </c>
      <c r="J843" t="str">
        <f>T("하트퀸")</f>
        <v>하트퀸</v>
      </c>
      <c r="K843" t="str">
        <f>T("[e북]포식 본능")</f>
        <v>[e북]포식 본능</v>
      </c>
      <c r="L843">
        <v>3000</v>
      </c>
      <c r="M843">
        <v>5400</v>
      </c>
      <c r="N843">
        <v>2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5400</v>
      </c>
      <c r="AJ843">
        <v>2</v>
      </c>
      <c r="AK843">
        <v>0</v>
      </c>
      <c r="AL843">
        <v>0</v>
      </c>
      <c r="AM843">
        <v>5400</v>
      </c>
      <c r="AN843">
        <v>0</v>
      </c>
      <c r="AO843">
        <v>0</v>
      </c>
      <c r="AP843">
        <v>0</v>
      </c>
      <c r="AQ843">
        <v>0</v>
      </c>
      <c r="AS843">
        <v>0</v>
      </c>
      <c r="AT843">
        <v>0</v>
      </c>
      <c r="AV843">
        <v>0</v>
      </c>
      <c r="AW843">
        <v>0</v>
      </c>
      <c r="AY843">
        <v>0</v>
      </c>
      <c r="AZ843">
        <v>0</v>
      </c>
      <c r="BA843">
        <v>3780</v>
      </c>
      <c r="BE843" t="str">
        <f>T("9791171503025")</f>
        <v>9791171503025</v>
      </c>
      <c r="BF843" t="str">
        <f>T("D160505")</f>
        <v>D160505</v>
      </c>
      <c r="BG843" t="str">
        <f>T("로맨스 e북 &gt; 현대물")</f>
        <v>로맨스 e북 &gt; 현대물</v>
      </c>
    </row>
    <row r="844" spans="1:59">
      <c r="A844" t="s">
        <v>60</v>
      </c>
      <c r="B844" s="1">
        <v>46130</v>
      </c>
      <c r="C844">
        <v>2378078605</v>
      </c>
      <c r="D844">
        <v>2378078607</v>
      </c>
      <c r="E844" t="str">
        <f>T("[e북]포식 본능 3권 (완결)")</f>
        <v>[e북]포식 본능 3권 (완결)</v>
      </c>
      <c r="F844">
        <v>3</v>
      </c>
      <c r="G844" t="str">
        <f>T("죄송한취향")</f>
        <v>죄송한취향</v>
      </c>
      <c r="J844" t="str">
        <f>T("하트퀸")</f>
        <v>하트퀸</v>
      </c>
      <c r="K844" t="str">
        <f>T("[e북]포식 본능")</f>
        <v>[e북]포식 본능</v>
      </c>
      <c r="L844">
        <v>3000</v>
      </c>
      <c r="M844">
        <v>5400</v>
      </c>
      <c r="N844">
        <v>2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5400</v>
      </c>
      <c r="AJ844">
        <v>2</v>
      </c>
      <c r="AK844">
        <v>0</v>
      </c>
      <c r="AL844">
        <v>0</v>
      </c>
      <c r="AM844">
        <v>5400</v>
      </c>
      <c r="AN844">
        <v>0</v>
      </c>
      <c r="AO844">
        <v>0</v>
      </c>
      <c r="AP844">
        <v>0</v>
      </c>
      <c r="AQ844">
        <v>0</v>
      </c>
      <c r="AS844">
        <v>0</v>
      </c>
      <c r="AT844">
        <v>0</v>
      </c>
      <c r="AV844">
        <v>0</v>
      </c>
      <c r="AW844">
        <v>0</v>
      </c>
      <c r="AY844">
        <v>0</v>
      </c>
      <c r="AZ844">
        <v>0</v>
      </c>
      <c r="BA844">
        <v>3780</v>
      </c>
      <c r="BE844" t="str">
        <f>T("9791171503032")</f>
        <v>9791171503032</v>
      </c>
      <c r="BF844" t="str">
        <f>T("D160506")</f>
        <v>D160506</v>
      </c>
      <c r="BG844" t="str">
        <f>T("로맨스 e북 &gt; 현대물")</f>
        <v>로맨스 e북 &gt; 현대물</v>
      </c>
    </row>
    <row r="845" spans="1:59">
      <c r="A845" t="s">
        <v>60</v>
      </c>
      <c r="B845" s="1">
        <v>46129</v>
      </c>
      <c r="C845">
        <v>2378063711</v>
      </c>
      <c r="D845">
        <v>2378063711</v>
      </c>
      <c r="E845" t="str">
        <f>T("[e북]필수불가결 불가항력 1권")</f>
        <v>[e북]필수불가결 불가항력 1권</v>
      </c>
      <c r="F845">
        <v>1</v>
      </c>
      <c r="G845" t="str">
        <f>T("문아무개")</f>
        <v>문아무개</v>
      </c>
      <c r="J845" t="str">
        <f>T("체셔")</f>
        <v>체셔</v>
      </c>
      <c r="K845" t="str">
        <f>T("[e북]필수불가결 불가항력")</f>
        <v>[e북]필수불가결 불가항력</v>
      </c>
      <c r="L845">
        <v>3000</v>
      </c>
      <c r="M845">
        <v>3000</v>
      </c>
      <c r="N845">
        <v>1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3000</v>
      </c>
      <c r="AJ845">
        <v>1</v>
      </c>
      <c r="AK845">
        <v>0</v>
      </c>
      <c r="AL845">
        <v>0</v>
      </c>
      <c r="AM845">
        <v>3000</v>
      </c>
      <c r="AN845">
        <v>0</v>
      </c>
      <c r="AO845">
        <v>0</v>
      </c>
      <c r="AP845">
        <v>0</v>
      </c>
      <c r="AQ845">
        <v>0</v>
      </c>
      <c r="AS845">
        <v>0</v>
      </c>
      <c r="AT845">
        <v>0</v>
      </c>
      <c r="AV845">
        <v>0</v>
      </c>
      <c r="AW845">
        <v>0</v>
      </c>
      <c r="AY845">
        <v>0</v>
      </c>
      <c r="AZ845">
        <v>0</v>
      </c>
      <c r="BA845">
        <v>2100</v>
      </c>
      <c r="BE845" t="str">
        <f>T("9791164834495")</f>
        <v>9791164834495</v>
      </c>
      <c r="BF845" t="str">
        <f>T("k255303")</f>
        <v>k255303</v>
      </c>
      <c r="BG845" t="str">
        <f>T("BL 소설 e북 &gt; 역사/시대물")</f>
        <v>BL 소설 e북 &gt; 역사/시대물</v>
      </c>
    </row>
    <row r="846" spans="1:59">
      <c r="A846" t="s">
        <v>60</v>
      </c>
      <c r="B846" s="1">
        <v>46130</v>
      </c>
      <c r="C846">
        <v>2378063711</v>
      </c>
      <c r="D846">
        <v>2378063712</v>
      </c>
      <c r="E846" t="str">
        <f>T("[e북]필수불가결 불가항력 2권 (완결)")</f>
        <v>[e북]필수불가결 불가항력 2권 (완결)</v>
      </c>
      <c r="F846">
        <v>2</v>
      </c>
      <c r="G846" t="str">
        <f>T("문아무개")</f>
        <v>문아무개</v>
      </c>
      <c r="J846" t="str">
        <f>T("체셔")</f>
        <v>체셔</v>
      </c>
      <c r="K846" t="str">
        <f>T("[e북]필수불가결 불가항력")</f>
        <v>[e북]필수불가결 불가항력</v>
      </c>
      <c r="L846">
        <v>3000</v>
      </c>
      <c r="M846">
        <v>3000</v>
      </c>
      <c r="N846">
        <v>1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3000</v>
      </c>
      <c r="AJ846">
        <v>1</v>
      </c>
      <c r="AK846">
        <v>0</v>
      </c>
      <c r="AL846">
        <v>0</v>
      </c>
      <c r="AM846">
        <v>3000</v>
      </c>
      <c r="AN846">
        <v>0</v>
      </c>
      <c r="AO846">
        <v>0</v>
      </c>
      <c r="AP846">
        <v>0</v>
      </c>
      <c r="AQ846">
        <v>0</v>
      </c>
      <c r="AS846">
        <v>0</v>
      </c>
      <c r="AT846">
        <v>0</v>
      </c>
      <c r="AV846">
        <v>0</v>
      </c>
      <c r="AW846">
        <v>0</v>
      </c>
      <c r="AY846">
        <v>0</v>
      </c>
      <c r="AZ846">
        <v>0</v>
      </c>
      <c r="BA846">
        <v>2100</v>
      </c>
      <c r="BE846" t="str">
        <f>T("9791164834501")</f>
        <v>9791164834501</v>
      </c>
      <c r="BF846" t="str">
        <f>T("k255304")</f>
        <v>k255304</v>
      </c>
      <c r="BG846" t="str">
        <f>T("BL 소설 e북 &gt; 역사/시대물")</f>
        <v>BL 소설 e북 &gt; 역사/시대물</v>
      </c>
    </row>
    <row r="847" spans="1:59">
      <c r="A847" t="s">
        <v>60</v>
      </c>
      <c r="B847" s="1">
        <v>46130</v>
      </c>
      <c r="C847">
        <v>2378063711</v>
      </c>
      <c r="D847">
        <v>2378064783</v>
      </c>
      <c r="E847" t="str">
        <f>T("[e북]필수불가결 불가항력 (외전)")</f>
        <v>[e북]필수불가결 불가항력 (외전)</v>
      </c>
      <c r="F847">
        <v>3</v>
      </c>
      <c r="G847" t="str">
        <f>T("문아무개")</f>
        <v>문아무개</v>
      </c>
      <c r="J847" t="str">
        <f>T("체셔")</f>
        <v>체셔</v>
      </c>
      <c r="K847" t="str">
        <f>T("[e북]필수불가결 불가항력")</f>
        <v>[e북]필수불가결 불가항력</v>
      </c>
      <c r="L847">
        <v>1200</v>
      </c>
      <c r="M847">
        <v>1200</v>
      </c>
      <c r="N847">
        <v>1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1200</v>
      </c>
      <c r="AJ847">
        <v>1</v>
      </c>
      <c r="AK847">
        <v>0</v>
      </c>
      <c r="AL847">
        <v>0</v>
      </c>
      <c r="AM847">
        <v>1200</v>
      </c>
      <c r="AN847">
        <v>0</v>
      </c>
      <c r="AO847">
        <v>0</v>
      </c>
      <c r="AP847">
        <v>0</v>
      </c>
      <c r="AQ847">
        <v>0</v>
      </c>
      <c r="AS847">
        <v>0</v>
      </c>
      <c r="AT847">
        <v>0</v>
      </c>
      <c r="AV847">
        <v>0</v>
      </c>
      <c r="AW847">
        <v>0</v>
      </c>
      <c r="AY847">
        <v>0</v>
      </c>
      <c r="AZ847">
        <v>0</v>
      </c>
      <c r="BA847">
        <v>840</v>
      </c>
      <c r="BE847" t="str">
        <f>T("9791164834549")</f>
        <v>9791164834549</v>
      </c>
      <c r="BF847" t="str">
        <f>T("k284776")</f>
        <v>k284776</v>
      </c>
      <c r="BG847" t="str">
        <f>T("BL 소설 e북 &gt; 역사/시대물")</f>
        <v>BL 소설 e북 &gt; 역사/시대물</v>
      </c>
    </row>
    <row r="848" spans="1:59">
      <c r="A848" t="s">
        <v>60</v>
      </c>
      <c r="B848" s="1">
        <v>46130</v>
      </c>
      <c r="C848">
        <v>2378039162</v>
      </c>
      <c r="D848">
        <v>2378039167</v>
      </c>
      <c r="E848" t="str">
        <f>T("[e북]한 배를 탄 사이 6권")</f>
        <v>[e북]한 배를 탄 사이 6권</v>
      </c>
      <c r="F848">
        <v>6</v>
      </c>
      <c r="G848" t="str">
        <f>T("서루")</f>
        <v>서루</v>
      </c>
      <c r="J848" t="str">
        <f>T("시계토끼")</f>
        <v>시계토끼</v>
      </c>
      <c r="K848" t="str">
        <f>T("[e북]한 배를 탄 사이")</f>
        <v>[e북]한 배를 탄 사이</v>
      </c>
      <c r="L848">
        <v>3300</v>
      </c>
      <c r="M848">
        <v>3300</v>
      </c>
      <c r="N848">
        <v>1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3300</v>
      </c>
      <c r="AJ848">
        <v>1</v>
      </c>
      <c r="AK848">
        <v>0</v>
      </c>
      <c r="AL848">
        <v>0</v>
      </c>
      <c r="AM848">
        <v>3300</v>
      </c>
      <c r="AN848">
        <v>0</v>
      </c>
      <c r="AO848">
        <v>0</v>
      </c>
      <c r="AP848">
        <v>0</v>
      </c>
      <c r="AQ848">
        <v>0</v>
      </c>
      <c r="AS848">
        <v>0</v>
      </c>
      <c r="AT848">
        <v>0</v>
      </c>
      <c r="AV848">
        <v>0</v>
      </c>
      <c r="AW848">
        <v>0</v>
      </c>
      <c r="AY848">
        <v>0</v>
      </c>
      <c r="AZ848">
        <v>0</v>
      </c>
      <c r="BA848">
        <v>2310</v>
      </c>
      <c r="BE848" t="str">
        <f>T("9791164097586")</f>
        <v>9791164097586</v>
      </c>
      <c r="BF848" t="str">
        <f>T("N181098")</f>
        <v>N181098</v>
      </c>
      <c r="BG848" t="str">
        <f>T("로판 e북 &gt; 서양풍 로판")</f>
        <v>로판 e북 &gt; 서양풍 로판</v>
      </c>
    </row>
    <row r="849" spans="1:59">
      <c r="A849" t="s">
        <v>60</v>
      </c>
      <c r="B849" s="1">
        <v>46130</v>
      </c>
      <c r="C849">
        <v>2378039162</v>
      </c>
      <c r="D849">
        <v>2378039168</v>
      </c>
      <c r="E849" t="str">
        <f>T("[e북]한 배를 탄 사이 7권")</f>
        <v>[e북]한 배를 탄 사이 7권</v>
      </c>
      <c r="F849">
        <v>7</v>
      </c>
      <c r="G849" t="str">
        <f>T("서루")</f>
        <v>서루</v>
      </c>
      <c r="J849" t="str">
        <f>T("시계토끼")</f>
        <v>시계토끼</v>
      </c>
      <c r="K849" t="str">
        <f>T("[e북]한 배를 탄 사이")</f>
        <v>[e북]한 배를 탄 사이</v>
      </c>
      <c r="L849">
        <v>3300</v>
      </c>
      <c r="M849">
        <v>3300</v>
      </c>
      <c r="N849">
        <v>1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3300</v>
      </c>
      <c r="AJ849">
        <v>1</v>
      </c>
      <c r="AK849">
        <v>0</v>
      </c>
      <c r="AL849">
        <v>0</v>
      </c>
      <c r="AM849">
        <v>3300</v>
      </c>
      <c r="AN849">
        <v>0</v>
      </c>
      <c r="AO849">
        <v>0</v>
      </c>
      <c r="AP849">
        <v>0</v>
      </c>
      <c r="AQ849">
        <v>0</v>
      </c>
      <c r="AS849">
        <v>0</v>
      </c>
      <c r="AT849">
        <v>0</v>
      </c>
      <c r="AV849">
        <v>0</v>
      </c>
      <c r="AW849">
        <v>0</v>
      </c>
      <c r="AY849">
        <v>0</v>
      </c>
      <c r="AZ849">
        <v>0</v>
      </c>
      <c r="BA849">
        <v>2310</v>
      </c>
      <c r="BE849" t="str">
        <f>T("9791164097593")</f>
        <v>9791164097593</v>
      </c>
      <c r="BF849" t="str">
        <f>T("N181099")</f>
        <v>N181099</v>
      </c>
      <c r="BG849" t="str">
        <f>T("로판 e북 &gt; 서양풍 로판")</f>
        <v>로판 e북 &gt; 서양풍 로판</v>
      </c>
    </row>
    <row r="850" spans="1:59">
      <c r="A850" t="s">
        <v>60</v>
      </c>
      <c r="B850" s="1">
        <v>46131</v>
      </c>
      <c r="C850">
        <v>2378039162</v>
      </c>
      <c r="D850">
        <v>2378039169</v>
      </c>
      <c r="E850" t="str">
        <f>T("[e북]한 배를 탄 사이 8권")</f>
        <v>[e북]한 배를 탄 사이 8권</v>
      </c>
      <c r="F850">
        <v>8</v>
      </c>
      <c r="G850" t="str">
        <f>T("서루")</f>
        <v>서루</v>
      </c>
      <c r="J850" t="str">
        <f>T("시계토끼")</f>
        <v>시계토끼</v>
      </c>
      <c r="K850" t="str">
        <f>T("[e북]한 배를 탄 사이")</f>
        <v>[e북]한 배를 탄 사이</v>
      </c>
      <c r="L850">
        <v>3300</v>
      </c>
      <c r="M850">
        <v>3300</v>
      </c>
      <c r="N850">
        <v>1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0</v>
      </c>
      <c r="AH850">
        <v>0</v>
      </c>
      <c r="AI850">
        <v>3300</v>
      </c>
      <c r="AJ850">
        <v>1</v>
      </c>
      <c r="AK850">
        <v>0</v>
      </c>
      <c r="AL850">
        <v>0</v>
      </c>
      <c r="AM850">
        <v>3300</v>
      </c>
      <c r="AN850">
        <v>0</v>
      </c>
      <c r="AO850">
        <v>0</v>
      </c>
      <c r="AP850">
        <v>0</v>
      </c>
      <c r="AQ850">
        <v>0</v>
      </c>
      <c r="AS850">
        <v>0</v>
      </c>
      <c r="AT850">
        <v>0</v>
      </c>
      <c r="AV850">
        <v>0</v>
      </c>
      <c r="AW850">
        <v>0</v>
      </c>
      <c r="AY850">
        <v>0</v>
      </c>
      <c r="AZ850">
        <v>0</v>
      </c>
      <c r="BA850">
        <v>2310</v>
      </c>
      <c r="BE850" t="str">
        <f>T("9791164097609")</f>
        <v>9791164097609</v>
      </c>
      <c r="BF850" t="str">
        <f>T("N181100")</f>
        <v>N181100</v>
      </c>
      <c r="BG850" t="str">
        <f>T("로판 e북 &gt; 서양풍 로판")</f>
        <v>로판 e북 &gt; 서양풍 로판</v>
      </c>
    </row>
    <row r="851" spans="1:59">
      <c r="A851" t="s">
        <v>60</v>
      </c>
      <c r="B851" s="1">
        <v>46131</v>
      </c>
      <c r="C851">
        <v>2378050900</v>
      </c>
      <c r="D851">
        <v>2378050900</v>
      </c>
      <c r="E851" t="str">
        <f>T("[e북]혈마전인 1권")</f>
        <v>[e북]혈마전인 1권</v>
      </c>
      <c r="F851">
        <v>1</v>
      </c>
      <c r="G851" t="str">
        <f>T("설봉")</f>
        <v>설봉</v>
      </c>
      <c r="J851" t="str">
        <f>T("매드햇")</f>
        <v>매드햇</v>
      </c>
      <c r="K851" t="str">
        <f>T("[e북]혈마전인")</f>
        <v>[e북]혈마전인</v>
      </c>
      <c r="L851">
        <v>0</v>
      </c>
      <c r="M851">
        <v>0</v>
      </c>
      <c r="N851">
        <v>0</v>
      </c>
      <c r="O851">
        <v>1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1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S851">
        <v>0</v>
      </c>
      <c r="AT851">
        <v>0</v>
      </c>
      <c r="AV851">
        <v>0</v>
      </c>
      <c r="AW851">
        <v>0</v>
      </c>
      <c r="AY851">
        <v>0</v>
      </c>
      <c r="AZ851">
        <v>0</v>
      </c>
      <c r="BA851">
        <v>0</v>
      </c>
      <c r="BE851" t="str">
        <f>T("9791137015432")</f>
        <v>9791137015432</v>
      </c>
      <c r="BF851" t="str">
        <f>T("k063190")</f>
        <v>k063190</v>
      </c>
      <c r="BG851" t="str">
        <f>T("판타지 e북 &gt; 전통 무협")</f>
        <v>판타지 e북 &gt; 전통 무협</v>
      </c>
    </row>
    <row r="852" spans="1:59">
      <c r="A852" t="s">
        <v>60</v>
      </c>
      <c r="B852" s="1">
        <v>46130</v>
      </c>
      <c r="C852">
        <v>2378080403</v>
      </c>
      <c r="D852">
        <v>2378080403</v>
      </c>
      <c r="E852" t="str">
        <f>T("[e북]호환종 1권")</f>
        <v>[e북]호환종 1권</v>
      </c>
      <c r="F852">
        <v>1</v>
      </c>
      <c r="G852" t="str">
        <f>T("이월십구일")</f>
        <v>이월십구일</v>
      </c>
      <c r="J852" t="str">
        <f>T("시계토끼")</f>
        <v>시계토끼</v>
      </c>
      <c r="K852" t="str">
        <f>T("[e북]호환종")</f>
        <v>[e북]호환종</v>
      </c>
      <c r="L852">
        <v>3000</v>
      </c>
      <c r="M852">
        <v>3000</v>
      </c>
      <c r="N852">
        <v>1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3000</v>
      </c>
      <c r="AJ852">
        <v>1</v>
      </c>
      <c r="AK852">
        <v>0</v>
      </c>
      <c r="AL852">
        <v>0</v>
      </c>
      <c r="AM852">
        <v>3000</v>
      </c>
      <c r="AN852">
        <v>0</v>
      </c>
      <c r="AO852">
        <v>0</v>
      </c>
      <c r="AP852">
        <v>0</v>
      </c>
      <c r="AQ852">
        <v>0</v>
      </c>
      <c r="AS852">
        <v>0</v>
      </c>
      <c r="AT852">
        <v>0</v>
      </c>
      <c r="AV852">
        <v>0</v>
      </c>
      <c r="AW852">
        <v>0</v>
      </c>
      <c r="AY852">
        <v>0</v>
      </c>
      <c r="AZ852">
        <v>0</v>
      </c>
      <c r="BA852">
        <v>2100</v>
      </c>
      <c r="BF852" t="str">
        <f>T("D222276")</f>
        <v>D222276</v>
      </c>
      <c r="BG852" t="str">
        <f>T("로맨스 e북 &gt; 섹슈얼 로맨스")</f>
        <v>로맨스 e북 &gt; 섹슈얼 로맨스</v>
      </c>
    </row>
    <row r="853" spans="1:59">
      <c r="A853" t="s">
        <v>60</v>
      </c>
      <c r="B853" s="1">
        <v>46131</v>
      </c>
      <c r="C853">
        <v>2378080403</v>
      </c>
      <c r="D853">
        <v>2378080403</v>
      </c>
      <c r="E853" t="str">
        <f>T("[e북]호환종 1권")</f>
        <v>[e북]호환종 1권</v>
      </c>
      <c r="F853">
        <v>1</v>
      </c>
      <c r="G853" t="str">
        <f>T("이월십구일")</f>
        <v>이월십구일</v>
      </c>
      <c r="J853" t="str">
        <f>T("시계토끼")</f>
        <v>시계토끼</v>
      </c>
      <c r="K853" t="str">
        <f>T("[e북]호환종")</f>
        <v>[e북]호환종</v>
      </c>
      <c r="L853">
        <v>3000</v>
      </c>
      <c r="M853">
        <v>3000</v>
      </c>
      <c r="N853">
        <v>1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3000</v>
      </c>
      <c r="AJ853">
        <v>1</v>
      </c>
      <c r="AK853">
        <v>0</v>
      </c>
      <c r="AL853">
        <v>0</v>
      </c>
      <c r="AM853">
        <v>3000</v>
      </c>
      <c r="AN853">
        <v>0</v>
      </c>
      <c r="AO853">
        <v>0</v>
      </c>
      <c r="AP853">
        <v>0</v>
      </c>
      <c r="AQ853">
        <v>0</v>
      </c>
      <c r="AS853">
        <v>0</v>
      </c>
      <c r="AT853">
        <v>0</v>
      </c>
      <c r="AV853">
        <v>0</v>
      </c>
      <c r="AW853">
        <v>0</v>
      </c>
      <c r="AY853">
        <v>0</v>
      </c>
      <c r="AZ853">
        <v>0</v>
      </c>
      <c r="BA853">
        <v>2100</v>
      </c>
      <c r="BF853" t="str">
        <f>T("D222276")</f>
        <v>D222276</v>
      </c>
      <c r="BG853" t="str">
        <f>T("로맨스 e북 &gt; 섹슈얼 로맨스")</f>
        <v>로맨스 e북 &gt; 섹슈얼 로맨스</v>
      </c>
    </row>
    <row r="854" spans="1:59">
      <c r="A854" t="s">
        <v>60</v>
      </c>
      <c r="B854" s="1">
        <v>46129</v>
      </c>
      <c r="C854">
        <v>2378054720</v>
      </c>
      <c r="D854">
        <v>2378054724</v>
      </c>
      <c r="E854" t="str">
        <f>T("[e북]화력조선 5권")</f>
        <v>[e북]화력조선 5권</v>
      </c>
      <c r="F854">
        <v>5</v>
      </c>
      <c r="G854" t="str">
        <f>T("보헤미아")</f>
        <v>보헤미아</v>
      </c>
      <c r="J854" t="str">
        <f>T("매드햇")</f>
        <v>매드햇</v>
      </c>
      <c r="K854" t="str">
        <f>T("[e북]화력조선")</f>
        <v>[e북]화력조선</v>
      </c>
      <c r="L854">
        <v>3000</v>
      </c>
      <c r="M854">
        <v>3000</v>
      </c>
      <c r="N854">
        <v>1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3000</v>
      </c>
      <c r="AJ854">
        <v>1</v>
      </c>
      <c r="AK854">
        <v>0</v>
      </c>
      <c r="AL854">
        <v>0</v>
      </c>
      <c r="AM854">
        <v>0</v>
      </c>
      <c r="AN854">
        <v>0</v>
      </c>
      <c r="AO854">
        <v>3600</v>
      </c>
      <c r="AP854">
        <v>-360</v>
      </c>
      <c r="AQ854">
        <v>0</v>
      </c>
      <c r="AS854">
        <v>0</v>
      </c>
      <c r="AT854">
        <v>0</v>
      </c>
      <c r="AU854">
        <v>3600</v>
      </c>
      <c r="AV854">
        <v>-360</v>
      </c>
      <c r="AW854">
        <v>0</v>
      </c>
      <c r="AY854">
        <v>0</v>
      </c>
      <c r="AZ854">
        <v>0</v>
      </c>
      <c r="BA854">
        <v>2268</v>
      </c>
      <c r="BE854" t="str">
        <f>T("9791137016057")</f>
        <v>9791137016057</v>
      </c>
      <c r="BF854" t="str">
        <f>T("k079985")</f>
        <v>k079985</v>
      </c>
      <c r="BG854" t="str">
        <f>T("판타지 e북 &gt; 대체 역사물")</f>
        <v>판타지 e북 &gt; 대체 역사물</v>
      </c>
    </row>
    <row r="855" spans="1:59">
      <c r="A855" t="s">
        <v>60</v>
      </c>
      <c r="B855" s="1">
        <v>46130</v>
      </c>
      <c r="C855">
        <v>2378054720</v>
      </c>
      <c r="D855">
        <v>2378054725</v>
      </c>
      <c r="E855" t="str">
        <f>T("[e북]화력조선 6권")</f>
        <v>[e북]화력조선 6권</v>
      </c>
      <c r="F855">
        <v>6</v>
      </c>
      <c r="G855" t="str">
        <f>T("보헤미아")</f>
        <v>보헤미아</v>
      </c>
      <c r="J855" t="str">
        <f>T("매드햇")</f>
        <v>매드햇</v>
      </c>
      <c r="K855" t="str">
        <f>T("[e북]화력조선")</f>
        <v>[e북]화력조선</v>
      </c>
      <c r="L855">
        <v>3000</v>
      </c>
      <c r="M855">
        <v>3000</v>
      </c>
      <c r="N855">
        <v>1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3000</v>
      </c>
      <c r="AJ855">
        <v>1</v>
      </c>
      <c r="AK855">
        <v>0</v>
      </c>
      <c r="AL855">
        <v>0</v>
      </c>
      <c r="AM855">
        <v>0</v>
      </c>
      <c r="AN855">
        <v>0</v>
      </c>
      <c r="AO855">
        <v>3600</v>
      </c>
      <c r="AP855">
        <v>-360</v>
      </c>
      <c r="AQ855">
        <v>0</v>
      </c>
      <c r="AS855">
        <v>0</v>
      </c>
      <c r="AT855">
        <v>0</v>
      </c>
      <c r="AU855">
        <v>3600</v>
      </c>
      <c r="AV855">
        <v>-360</v>
      </c>
      <c r="AW855">
        <v>0</v>
      </c>
      <c r="AY855">
        <v>0</v>
      </c>
      <c r="AZ855">
        <v>0</v>
      </c>
      <c r="BA855">
        <v>2268</v>
      </c>
      <c r="BE855" t="str">
        <f>T("9791137016064")</f>
        <v>9791137016064</v>
      </c>
      <c r="BF855" t="str">
        <f>T("k079986")</f>
        <v>k079986</v>
      </c>
      <c r="BG855" t="str">
        <f>T("판타지 e북 &gt; 대체 역사물")</f>
        <v>판타지 e북 &gt; 대체 역사물</v>
      </c>
    </row>
    <row r="856" spans="1:59">
      <c r="A856" t="s">
        <v>60</v>
      </c>
      <c r="B856" s="1">
        <v>46131</v>
      </c>
      <c r="C856">
        <v>2378054720</v>
      </c>
      <c r="D856">
        <v>2378054720</v>
      </c>
      <c r="E856" t="str">
        <f>T("[e북]화력조선 1권")</f>
        <v>[e북]화력조선 1권</v>
      </c>
      <c r="F856">
        <v>1</v>
      </c>
      <c r="G856" t="str">
        <f>T("보헤미아")</f>
        <v>보헤미아</v>
      </c>
      <c r="J856" t="str">
        <f>T("매드햇")</f>
        <v>매드햇</v>
      </c>
      <c r="K856" t="str">
        <f>T("[e북]화력조선")</f>
        <v>[e북]화력조선</v>
      </c>
      <c r="L856">
        <v>0</v>
      </c>
      <c r="M856">
        <v>0</v>
      </c>
      <c r="N856">
        <v>0</v>
      </c>
      <c r="O856">
        <v>2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2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S856">
        <v>0</v>
      </c>
      <c r="AT856">
        <v>0</v>
      </c>
      <c r="AV856">
        <v>0</v>
      </c>
      <c r="AW856">
        <v>0</v>
      </c>
      <c r="AY856">
        <v>0</v>
      </c>
      <c r="AZ856">
        <v>0</v>
      </c>
      <c r="BA856">
        <v>0</v>
      </c>
      <c r="BE856" t="str">
        <f>T("9791137016019")</f>
        <v>9791137016019</v>
      </c>
      <c r="BF856" t="str">
        <f>T("k079981")</f>
        <v>k079981</v>
      </c>
      <c r="BG856" t="str">
        <f>T("판타지 e북 &gt; 대체 역사물")</f>
        <v>판타지 e북 &gt; 대체 역사물</v>
      </c>
    </row>
    <row r="857" spans="1:59">
      <c r="A857" t="s">
        <v>60</v>
      </c>
      <c r="B857" s="1">
        <v>46131</v>
      </c>
      <c r="C857">
        <v>2378054720</v>
      </c>
      <c r="D857">
        <v>2378054726</v>
      </c>
      <c r="E857" t="str">
        <f>T("[e북]화력조선 7권")</f>
        <v>[e북]화력조선 7권</v>
      </c>
      <c r="F857">
        <v>7</v>
      </c>
      <c r="G857" t="str">
        <f>T("보헤미아")</f>
        <v>보헤미아</v>
      </c>
      <c r="J857" t="str">
        <f>T("매드햇")</f>
        <v>매드햇</v>
      </c>
      <c r="K857" t="str">
        <f>T("[e북]화력조선")</f>
        <v>[e북]화력조선</v>
      </c>
      <c r="L857">
        <v>3000</v>
      </c>
      <c r="M857">
        <v>3000</v>
      </c>
      <c r="N857">
        <v>1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3000</v>
      </c>
      <c r="AJ857">
        <v>1</v>
      </c>
      <c r="AK857">
        <v>0</v>
      </c>
      <c r="AL857">
        <v>0</v>
      </c>
      <c r="AM857">
        <v>0</v>
      </c>
      <c r="AN857">
        <v>0</v>
      </c>
      <c r="AO857">
        <v>3600</v>
      </c>
      <c r="AP857">
        <v>-360</v>
      </c>
      <c r="AQ857">
        <v>0</v>
      </c>
      <c r="AS857">
        <v>0</v>
      </c>
      <c r="AT857">
        <v>0</v>
      </c>
      <c r="AU857">
        <v>3600</v>
      </c>
      <c r="AV857">
        <v>-360</v>
      </c>
      <c r="AW857">
        <v>0</v>
      </c>
      <c r="AY857">
        <v>0</v>
      </c>
      <c r="AZ857">
        <v>0</v>
      </c>
      <c r="BA857">
        <v>2268</v>
      </c>
      <c r="BE857" t="str">
        <f>T("9791137016071")</f>
        <v>9791137016071</v>
      </c>
      <c r="BF857" t="str">
        <f>T("k079987")</f>
        <v>k079987</v>
      </c>
      <c r="BG857" t="str">
        <f>T("판타지 e북 &gt; 대체 역사물")</f>
        <v>판타지 e북 &gt; 대체 역사물</v>
      </c>
    </row>
    <row r="858" spans="1:59">
      <c r="A858" t="s">
        <v>60</v>
      </c>
      <c r="B858" s="1">
        <v>46131</v>
      </c>
      <c r="C858">
        <v>2378054720</v>
      </c>
      <c r="D858">
        <v>2378054721</v>
      </c>
      <c r="E858" t="str">
        <f>T("[e북]화력조선 2권")</f>
        <v>[e북]화력조선 2권</v>
      </c>
      <c r="F858">
        <v>2</v>
      </c>
      <c r="G858" t="str">
        <f>T("보헤미아")</f>
        <v>보헤미아</v>
      </c>
      <c r="J858" t="str">
        <f>T("매드햇")</f>
        <v>매드햇</v>
      </c>
      <c r="K858" t="str">
        <f>T("[e북]화력조선")</f>
        <v>[e북]화력조선</v>
      </c>
      <c r="L858">
        <v>3000</v>
      </c>
      <c r="M858">
        <v>3000</v>
      </c>
      <c r="N858">
        <v>1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3000</v>
      </c>
      <c r="AJ858">
        <v>1</v>
      </c>
      <c r="AK858">
        <v>0</v>
      </c>
      <c r="AL858">
        <v>0</v>
      </c>
      <c r="AM858">
        <v>0</v>
      </c>
      <c r="AN858">
        <v>0</v>
      </c>
      <c r="AO858">
        <v>3600</v>
      </c>
      <c r="AP858">
        <v>-360</v>
      </c>
      <c r="AQ858">
        <v>0</v>
      </c>
      <c r="AS858">
        <v>0</v>
      </c>
      <c r="AT858">
        <v>0</v>
      </c>
      <c r="AU858">
        <v>3600</v>
      </c>
      <c r="AV858">
        <v>-360</v>
      </c>
      <c r="AW858">
        <v>0</v>
      </c>
      <c r="AY858">
        <v>0</v>
      </c>
      <c r="AZ858">
        <v>0</v>
      </c>
      <c r="BA858">
        <v>2268</v>
      </c>
      <c r="BE858" t="str">
        <f>T("9791137016026")</f>
        <v>9791137016026</v>
      </c>
      <c r="BF858" t="str">
        <f>T("k079982")</f>
        <v>k079982</v>
      </c>
      <c r="BG858" t="str">
        <f>T("판타지 e북 &gt; 대체 역사물")</f>
        <v>판타지 e북 &gt; 대체 역사물</v>
      </c>
    </row>
    <row r="859" spans="1:59">
      <c r="A859" t="s">
        <v>60</v>
      </c>
      <c r="B859" s="1">
        <v>46129</v>
      </c>
      <c r="C859">
        <v>2378010565</v>
      </c>
      <c r="D859">
        <v>2378010565</v>
      </c>
      <c r="E859" t="str">
        <f>T("[e북]황금 심장의 용 1권")</f>
        <v>[e북]황금 심장의 용 1권</v>
      </c>
      <c r="F859">
        <v>1</v>
      </c>
      <c r="G859" t="str">
        <f>T("덧붙임")</f>
        <v>덧붙임</v>
      </c>
      <c r="J859" t="str">
        <f>T("매드햇")</f>
        <v>매드햇</v>
      </c>
      <c r="K859" t="str">
        <f>T("[e북]황금 심장의 용")</f>
        <v>[e북]황금 심장의 용</v>
      </c>
      <c r="L859">
        <v>0</v>
      </c>
      <c r="M859">
        <v>0</v>
      </c>
      <c r="N859">
        <v>0</v>
      </c>
      <c r="O859">
        <v>1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1</v>
      </c>
      <c r="AK859">
        <v>0</v>
      </c>
      <c r="AL859">
        <v>0</v>
      </c>
      <c r="AM859">
        <v>0</v>
      </c>
      <c r="AN859">
        <v>0</v>
      </c>
      <c r="AO859">
        <v>0</v>
      </c>
      <c r="AP859">
        <v>0</v>
      </c>
      <c r="AQ859">
        <v>0</v>
      </c>
      <c r="AS859">
        <v>0</v>
      </c>
      <c r="AT859">
        <v>0</v>
      </c>
      <c r="AV859">
        <v>0</v>
      </c>
      <c r="AW859">
        <v>0</v>
      </c>
      <c r="AY859">
        <v>0</v>
      </c>
      <c r="AZ859">
        <v>0</v>
      </c>
      <c r="BA859">
        <v>0</v>
      </c>
      <c r="BC859" t="str">
        <f>T("0000000000000")</f>
        <v>0000000000000</v>
      </c>
      <c r="BE859" t="str">
        <f>T("9791137000148")</f>
        <v>9791137000148</v>
      </c>
      <c r="BF859" t="str">
        <f>T("E601692")</f>
        <v>E601692</v>
      </c>
      <c r="BG859" t="str">
        <f>T("판타지 e북 &gt; 정통 판타지")</f>
        <v>판타지 e북 &gt; 정통 판타지</v>
      </c>
    </row>
    <row r="860" spans="1:59">
      <c r="A860" t="s">
        <v>60</v>
      </c>
      <c r="B860" s="1">
        <v>46131</v>
      </c>
      <c r="C860">
        <v>2378010565</v>
      </c>
      <c r="D860">
        <v>2378010568</v>
      </c>
      <c r="E860" t="str">
        <f>T("[e북]황금 심장의 용 4권")</f>
        <v>[e북]황금 심장의 용 4권</v>
      </c>
      <c r="F860">
        <v>4</v>
      </c>
      <c r="G860" t="str">
        <f>T("덧붙임")</f>
        <v>덧붙임</v>
      </c>
      <c r="J860" t="str">
        <f>T("매드햇")</f>
        <v>매드햇</v>
      </c>
      <c r="K860" t="str">
        <f>T("[e북]황금 심장의 용")</f>
        <v>[e북]황금 심장의 용</v>
      </c>
      <c r="L860">
        <v>3000</v>
      </c>
      <c r="M860">
        <v>2700</v>
      </c>
      <c r="N860">
        <v>1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2700</v>
      </c>
      <c r="AJ860">
        <v>1</v>
      </c>
      <c r="AK860">
        <v>0</v>
      </c>
      <c r="AL860">
        <v>0</v>
      </c>
      <c r="AM860">
        <v>0</v>
      </c>
      <c r="AN860">
        <v>0</v>
      </c>
      <c r="AO860">
        <v>3240</v>
      </c>
      <c r="AP860">
        <v>-324</v>
      </c>
      <c r="AQ860">
        <v>0</v>
      </c>
      <c r="AS860">
        <v>0</v>
      </c>
      <c r="AT860">
        <v>0</v>
      </c>
      <c r="AU860">
        <v>3240</v>
      </c>
      <c r="AV860">
        <v>-324</v>
      </c>
      <c r="AW860">
        <v>0</v>
      </c>
      <c r="AY860">
        <v>0</v>
      </c>
      <c r="AZ860">
        <v>0</v>
      </c>
      <c r="BA860">
        <v>2041.2</v>
      </c>
      <c r="BC860" t="str">
        <f>T("0000000000000")</f>
        <v>0000000000000</v>
      </c>
      <c r="BE860" t="str">
        <f>T("9791137000179")</f>
        <v>9791137000179</v>
      </c>
      <c r="BF860" t="str">
        <f>T("E601695")</f>
        <v>E601695</v>
      </c>
      <c r="BG860" t="str">
        <f>T("판타지 e북 &gt; 정통 판타지")</f>
        <v>판타지 e북 &gt; 정통 판타지</v>
      </c>
    </row>
    <row r="861" spans="1:59">
      <c r="A861" t="s">
        <v>60</v>
      </c>
      <c r="B861" s="1">
        <v>46130</v>
      </c>
      <c r="C861">
        <v>2378032767</v>
      </c>
      <c r="D861">
        <v>2378032767</v>
      </c>
      <c r="E861" t="str">
        <f>T("[e북]회귀무사가 좀 밝힘 1권")</f>
        <v>[e북]회귀무사가 좀 밝힘 1권</v>
      </c>
      <c r="F861">
        <v>1</v>
      </c>
      <c r="G861" t="str">
        <f>T("무영武映")</f>
        <v>무영武映</v>
      </c>
      <c r="J861" t="str">
        <f>T("매드햇")</f>
        <v>매드햇</v>
      </c>
      <c r="K861" t="str">
        <f>T("[e북]회귀무사가 좀 밝힘")</f>
        <v>[e북]회귀무사가 좀 밝힘</v>
      </c>
      <c r="L861">
        <v>0</v>
      </c>
      <c r="M861">
        <v>0</v>
      </c>
      <c r="N861">
        <v>0</v>
      </c>
      <c r="O861">
        <v>1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1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S861">
        <v>0</v>
      </c>
      <c r="AT861">
        <v>0</v>
      </c>
      <c r="AV861">
        <v>0</v>
      </c>
      <c r="AW861">
        <v>0</v>
      </c>
      <c r="AY861">
        <v>0</v>
      </c>
      <c r="AZ861">
        <v>0</v>
      </c>
      <c r="BA861">
        <v>0</v>
      </c>
      <c r="BE861" t="str">
        <f>T("9791137006362")</f>
        <v>9791137006362</v>
      </c>
      <c r="BF861" t="str">
        <f>T("N048893")</f>
        <v>N048893</v>
      </c>
      <c r="BG861" t="str">
        <f>T("판타지 e북 &gt; 신무협")</f>
        <v>판타지 e북 &gt; 신무협</v>
      </c>
    </row>
    <row r="862" spans="1:59">
      <c r="A862" t="s">
        <v>60</v>
      </c>
      <c r="B862" s="1">
        <v>46129</v>
      </c>
      <c r="C862">
        <v>2378014527</v>
      </c>
      <c r="D862">
        <v>2378014527</v>
      </c>
      <c r="E862" t="str">
        <f>T("[e북]후궁의운 1권")</f>
        <v>[e북]후궁의운 1권</v>
      </c>
      <c r="F862">
        <v>1</v>
      </c>
      <c r="G862" t="str">
        <f>T("첸뤼")</f>
        <v>첸뤼</v>
      </c>
      <c r="J862" t="str">
        <f>T("시계토끼")</f>
        <v>시계토끼</v>
      </c>
      <c r="K862" t="str">
        <f>T("[e북]후궁의운")</f>
        <v>[e북]후궁의운</v>
      </c>
      <c r="L862">
        <v>0</v>
      </c>
      <c r="M862">
        <v>0</v>
      </c>
      <c r="N862">
        <v>0</v>
      </c>
      <c r="O862">
        <v>1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1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S862">
        <v>0</v>
      </c>
      <c r="AT862">
        <v>0</v>
      </c>
      <c r="AV862">
        <v>0</v>
      </c>
      <c r="AW862">
        <v>0</v>
      </c>
      <c r="AY862">
        <v>0</v>
      </c>
      <c r="AZ862">
        <v>0</v>
      </c>
      <c r="BA862">
        <v>0</v>
      </c>
      <c r="BE862" t="str">
        <f>T("9791164093212")</f>
        <v>9791164093212</v>
      </c>
      <c r="BF862" t="str">
        <f>T("E710458")</f>
        <v>E710458</v>
      </c>
      <c r="BG862" t="str">
        <f>T("로판 e북 &gt; 해외 소설")</f>
        <v>로판 e북 &gt; 해외 소설</v>
      </c>
    </row>
    <row r="863" spans="1:59">
      <c r="A863" t="s">
        <v>60</v>
      </c>
      <c r="B863" s="1">
        <v>46130</v>
      </c>
      <c r="C863">
        <v>2378014527</v>
      </c>
      <c r="D863">
        <v>2378014527</v>
      </c>
      <c r="E863" t="str">
        <f>T("[e북]후궁의운 1권")</f>
        <v>[e북]후궁의운 1권</v>
      </c>
      <c r="F863">
        <v>1</v>
      </c>
      <c r="G863" t="str">
        <f>T("첸뤼")</f>
        <v>첸뤼</v>
      </c>
      <c r="J863" t="str">
        <f>T("시계토끼")</f>
        <v>시계토끼</v>
      </c>
      <c r="K863" t="str">
        <f>T("[e북]후궁의운")</f>
        <v>[e북]후궁의운</v>
      </c>
      <c r="L863">
        <v>0</v>
      </c>
      <c r="M863">
        <v>0</v>
      </c>
      <c r="N863">
        <v>0</v>
      </c>
      <c r="O863">
        <v>1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1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S863">
        <v>0</v>
      </c>
      <c r="AT863">
        <v>0</v>
      </c>
      <c r="AV863">
        <v>0</v>
      </c>
      <c r="AW863">
        <v>0</v>
      </c>
      <c r="AY863">
        <v>0</v>
      </c>
      <c r="AZ863">
        <v>0</v>
      </c>
      <c r="BA863">
        <v>0</v>
      </c>
      <c r="BE863" t="str">
        <f>T("9791164093212")</f>
        <v>9791164093212</v>
      </c>
      <c r="BF863" t="str">
        <f>T("E710458")</f>
        <v>E710458</v>
      </c>
      <c r="BG863" t="str">
        <f>T("로판 e북 &gt; 해외 소설")</f>
        <v>로판 e북 &gt; 해외 소설</v>
      </c>
    </row>
    <row r="864" spans="1:59">
      <c r="A864" t="s">
        <v>60</v>
      </c>
      <c r="B864" s="1">
        <v>46130</v>
      </c>
      <c r="C864">
        <v>2378075552</v>
      </c>
      <c r="D864">
        <v>2378075556</v>
      </c>
      <c r="E864" t="str">
        <f>T("[e북]힘을 숨겨도 공녀가 제일 강함 5권")</f>
        <v>[e북]힘을 숨겨도 공녀가 제일 강함 5권</v>
      </c>
      <c r="F864">
        <v>5</v>
      </c>
      <c r="G864" t="str">
        <f>T("설윤영")</f>
        <v>설윤영</v>
      </c>
      <c r="J864" t="str">
        <f>T("앨리스")</f>
        <v>앨리스</v>
      </c>
      <c r="K864" t="str">
        <f>T("[e북]힘을 숨겨도 공녀가 제일 강함")</f>
        <v>[e북]힘을 숨겨도 공녀가 제일 강함</v>
      </c>
      <c r="L864">
        <v>3200</v>
      </c>
      <c r="M864">
        <v>3200</v>
      </c>
      <c r="N864">
        <v>1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3200</v>
      </c>
      <c r="AJ864">
        <v>1</v>
      </c>
      <c r="AK864">
        <v>0</v>
      </c>
      <c r="AL864">
        <v>0</v>
      </c>
      <c r="AM864">
        <v>3200</v>
      </c>
      <c r="AN864">
        <v>0</v>
      </c>
      <c r="AO864">
        <v>0</v>
      </c>
      <c r="AP864">
        <v>0</v>
      </c>
      <c r="AQ864">
        <v>0</v>
      </c>
      <c r="AS864">
        <v>0</v>
      </c>
      <c r="AT864">
        <v>0</v>
      </c>
      <c r="AV864">
        <v>0</v>
      </c>
      <c r="AW864">
        <v>0</v>
      </c>
      <c r="AY864">
        <v>0</v>
      </c>
      <c r="AZ864">
        <v>0</v>
      </c>
      <c r="BA864">
        <v>2240</v>
      </c>
      <c r="BE864" t="str">
        <f>T("9791189360672")</f>
        <v>9791189360672</v>
      </c>
      <c r="BF864" t="str">
        <f>T("D031320")</f>
        <v>D031320</v>
      </c>
      <c r="BG864" t="str">
        <f>T("로판 e북 &gt; 서양풍 로판")</f>
        <v>로판 e북 &gt; 서양풍 로판</v>
      </c>
    </row>
    <row r="865" spans="1:59">
      <c r="A865" t="s">
        <v>60</v>
      </c>
      <c r="B865" s="1">
        <v>46130</v>
      </c>
      <c r="C865">
        <v>2378075552</v>
      </c>
      <c r="D865">
        <v>2378075554</v>
      </c>
      <c r="E865" t="str">
        <f>T("[e북]힘을 숨겨도 공녀가 제일 강함 3권")</f>
        <v>[e북]힘을 숨겨도 공녀가 제일 강함 3권</v>
      </c>
      <c r="F865">
        <v>3</v>
      </c>
      <c r="G865" t="str">
        <f>T("설윤영")</f>
        <v>설윤영</v>
      </c>
      <c r="J865" t="str">
        <f>T("앨리스")</f>
        <v>앨리스</v>
      </c>
      <c r="K865" t="str">
        <f>T("[e북]힘을 숨겨도 공녀가 제일 강함")</f>
        <v>[e북]힘을 숨겨도 공녀가 제일 강함</v>
      </c>
      <c r="L865">
        <v>3200</v>
      </c>
      <c r="M865">
        <v>3200</v>
      </c>
      <c r="N865">
        <v>1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3200</v>
      </c>
      <c r="AJ865">
        <v>1</v>
      </c>
      <c r="AK865">
        <v>0</v>
      </c>
      <c r="AL865">
        <v>0</v>
      </c>
      <c r="AM865">
        <v>3200</v>
      </c>
      <c r="AN865">
        <v>0</v>
      </c>
      <c r="AO865">
        <v>0</v>
      </c>
      <c r="AP865">
        <v>0</v>
      </c>
      <c r="AQ865">
        <v>0</v>
      </c>
      <c r="AS865">
        <v>0</v>
      </c>
      <c r="AT865">
        <v>0</v>
      </c>
      <c r="AV865">
        <v>0</v>
      </c>
      <c r="AW865">
        <v>0</v>
      </c>
      <c r="AY865">
        <v>0</v>
      </c>
      <c r="AZ865">
        <v>0</v>
      </c>
      <c r="BA865">
        <v>2240</v>
      </c>
      <c r="BE865" t="str">
        <f>T("9791189360658")</f>
        <v>9791189360658</v>
      </c>
      <c r="BF865" t="str">
        <f>T("D031318")</f>
        <v>D031318</v>
      </c>
      <c r="BG865" t="str">
        <f>T("로판 e북 &gt; 서양풍 로판")</f>
        <v>로판 e북 &gt; 서양풍 로판</v>
      </c>
    </row>
    <row r="866" spans="1:59">
      <c r="A866" t="s">
        <v>60</v>
      </c>
      <c r="B866" s="1">
        <v>46130</v>
      </c>
      <c r="C866">
        <v>2378075552</v>
      </c>
      <c r="D866">
        <v>2378075552</v>
      </c>
      <c r="E866" t="str">
        <f>T("[e북]힘을 숨겨도 공녀가 제일 강함 1권")</f>
        <v>[e북]힘을 숨겨도 공녀가 제일 강함 1권</v>
      </c>
      <c r="F866">
        <v>1</v>
      </c>
      <c r="G866" t="str">
        <f>T("설윤영")</f>
        <v>설윤영</v>
      </c>
      <c r="J866" t="str">
        <f>T("앨리스")</f>
        <v>앨리스</v>
      </c>
      <c r="K866" t="str">
        <f>T("[e북]힘을 숨겨도 공녀가 제일 강함")</f>
        <v>[e북]힘을 숨겨도 공녀가 제일 강함</v>
      </c>
      <c r="L866">
        <v>3200</v>
      </c>
      <c r="M866">
        <v>3200</v>
      </c>
      <c r="N866">
        <v>1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3200</v>
      </c>
      <c r="AJ866">
        <v>1</v>
      </c>
      <c r="AK866">
        <v>0</v>
      </c>
      <c r="AL866">
        <v>0</v>
      </c>
      <c r="AM866">
        <v>3200</v>
      </c>
      <c r="AN866">
        <v>0</v>
      </c>
      <c r="AO866">
        <v>0</v>
      </c>
      <c r="AP866">
        <v>0</v>
      </c>
      <c r="AQ866">
        <v>0</v>
      </c>
      <c r="AS866">
        <v>0</v>
      </c>
      <c r="AT866">
        <v>0</v>
      </c>
      <c r="AV866">
        <v>0</v>
      </c>
      <c r="AW866">
        <v>0</v>
      </c>
      <c r="AY866">
        <v>0</v>
      </c>
      <c r="AZ866">
        <v>0</v>
      </c>
      <c r="BA866">
        <v>2240</v>
      </c>
      <c r="BE866" t="str">
        <f>T("9791189360634")</f>
        <v>9791189360634</v>
      </c>
      <c r="BF866" t="str">
        <f>T("D031316")</f>
        <v>D031316</v>
      </c>
      <c r="BG866" t="str">
        <f>T("로판 e북 &gt; 서양풍 로판")</f>
        <v>로판 e북 &gt; 서양풍 로판</v>
      </c>
    </row>
    <row r="867" spans="1:59">
      <c r="A867" t="s">
        <v>60</v>
      </c>
      <c r="B867" s="1">
        <v>46130</v>
      </c>
      <c r="C867">
        <v>2378075552</v>
      </c>
      <c r="D867">
        <v>2378075555</v>
      </c>
      <c r="E867" t="str">
        <f>T("[e북]힘을 숨겨도 공녀가 제일 강함 4권")</f>
        <v>[e북]힘을 숨겨도 공녀가 제일 강함 4권</v>
      </c>
      <c r="F867">
        <v>4</v>
      </c>
      <c r="G867" t="str">
        <f>T("설윤영")</f>
        <v>설윤영</v>
      </c>
      <c r="J867" t="str">
        <f>T("앨리스")</f>
        <v>앨리스</v>
      </c>
      <c r="K867" t="str">
        <f>T("[e북]힘을 숨겨도 공녀가 제일 강함")</f>
        <v>[e북]힘을 숨겨도 공녀가 제일 강함</v>
      </c>
      <c r="L867">
        <v>3200</v>
      </c>
      <c r="M867">
        <v>3200</v>
      </c>
      <c r="N867">
        <v>1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3200</v>
      </c>
      <c r="AJ867">
        <v>1</v>
      </c>
      <c r="AK867">
        <v>0</v>
      </c>
      <c r="AL867">
        <v>0</v>
      </c>
      <c r="AM867">
        <v>3200</v>
      </c>
      <c r="AN867">
        <v>0</v>
      </c>
      <c r="AO867">
        <v>0</v>
      </c>
      <c r="AP867">
        <v>0</v>
      </c>
      <c r="AQ867">
        <v>0</v>
      </c>
      <c r="AS867">
        <v>0</v>
      </c>
      <c r="AT867">
        <v>0</v>
      </c>
      <c r="AV867">
        <v>0</v>
      </c>
      <c r="AW867">
        <v>0</v>
      </c>
      <c r="AY867">
        <v>0</v>
      </c>
      <c r="AZ867">
        <v>0</v>
      </c>
      <c r="BA867">
        <v>2240</v>
      </c>
      <c r="BE867" t="str">
        <f>T("9791189360665")</f>
        <v>9791189360665</v>
      </c>
      <c r="BF867" t="str">
        <f>T("D031319")</f>
        <v>D031319</v>
      </c>
      <c r="BG867" t="str">
        <f>T("로판 e북 &gt; 서양풍 로판")</f>
        <v>로판 e북 &gt; 서양풍 로판</v>
      </c>
    </row>
    <row r="868" spans="1:59">
      <c r="A868" t="s">
        <v>60</v>
      </c>
      <c r="B868" s="1">
        <v>46131</v>
      </c>
      <c r="C868">
        <v>2378075552</v>
      </c>
      <c r="D868">
        <v>2378075553</v>
      </c>
      <c r="E868" t="str">
        <f>T("[e북]힘을 숨겨도 공녀가 제일 강함 2권")</f>
        <v>[e북]힘을 숨겨도 공녀가 제일 강함 2권</v>
      </c>
      <c r="F868">
        <v>2</v>
      </c>
      <c r="G868" t="str">
        <f>T("설윤영")</f>
        <v>설윤영</v>
      </c>
      <c r="J868" t="str">
        <f>T("앨리스")</f>
        <v>앨리스</v>
      </c>
      <c r="K868" t="str">
        <f>T("[e북]힘을 숨겨도 공녀가 제일 강함")</f>
        <v>[e북]힘을 숨겨도 공녀가 제일 강함</v>
      </c>
      <c r="L868">
        <v>3200</v>
      </c>
      <c r="M868">
        <v>3200</v>
      </c>
      <c r="N868">
        <v>1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3200</v>
      </c>
      <c r="AJ868">
        <v>1</v>
      </c>
      <c r="AK868">
        <v>0</v>
      </c>
      <c r="AL868">
        <v>0</v>
      </c>
      <c r="AM868">
        <v>3200</v>
      </c>
      <c r="AN868">
        <v>0</v>
      </c>
      <c r="AO868">
        <v>0</v>
      </c>
      <c r="AP868">
        <v>0</v>
      </c>
      <c r="AQ868">
        <v>0</v>
      </c>
      <c r="AS868">
        <v>0</v>
      </c>
      <c r="AT868">
        <v>0</v>
      </c>
      <c r="AV868">
        <v>0</v>
      </c>
      <c r="AW868">
        <v>0</v>
      </c>
      <c r="AY868">
        <v>0</v>
      </c>
      <c r="AZ868">
        <v>0</v>
      </c>
      <c r="BA868">
        <v>2240</v>
      </c>
      <c r="BE868" t="str">
        <f>T("9791189360641")</f>
        <v>9791189360641</v>
      </c>
      <c r="BF868" t="str">
        <f>T("D031317")</f>
        <v>D031317</v>
      </c>
      <c r="BG868" t="str">
        <f>T("로판 e북 &gt; 서양풍 로판")</f>
        <v>로판 e북 &gt; 서양풍 로판</v>
      </c>
    </row>
    <row r="869" spans="1:59">
      <c r="A869" t="s">
        <v>60</v>
      </c>
      <c r="B869" s="1">
        <v>46131</v>
      </c>
      <c r="C869">
        <v>2378075552</v>
      </c>
      <c r="D869">
        <v>2378075557</v>
      </c>
      <c r="E869" t="str">
        <f>T("[e북]힘을 숨겨도 공녀가 제일 강함 6권 (완결)")</f>
        <v>[e북]힘을 숨겨도 공녀가 제일 강함 6권 (완결)</v>
      </c>
      <c r="F869">
        <v>6</v>
      </c>
      <c r="G869" t="str">
        <f>T("설윤영")</f>
        <v>설윤영</v>
      </c>
      <c r="J869" t="str">
        <f>T("앨리스")</f>
        <v>앨리스</v>
      </c>
      <c r="K869" t="str">
        <f>T("[e북]힘을 숨겨도 공녀가 제일 강함")</f>
        <v>[e북]힘을 숨겨도 공녀가 제일 강함</v>
      </c>
      <c r="L869">
        <v>3200</v>
      </c>
      <c r="M869">
        <v>3200</v>
      </c>
      <c r="N869">
        <v>1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3200</v>
      </c>
      <c r="AJ869">
        <v>1</v>
      </c>
      <c r="AK869">
        <v>0</v>
      </c>
      <c r="AL869">
        <v>0</v>
      </c>
      <c r="AM869">
        <v>3200</v>
      </c>
      <c r="AN869">
        <v>0</v>
      </c>
      <c r="AO869">
        <v>0</v>
      </c>
      <c r="AP869">
        <v>0</v>
      </c>
      <c r="AQ869">
        <v>0</v>
      </c>
      <c r="AS869">
        <v>0</v>
      </c>
      <c r="AT869">
        <v>0</v>
      </c>
      <c r="AV869">
        <v>0</v>
      </c>
      <c r="AW869">
        <v>0</v>
      </c>
      <c r="AY869">
        <v>0</v>
      </c>
      <c r="AZ869">
        <v>0</v>
      </c>
      <c r="BA869">
        <v>2240</v>
      </c>
      <c r="BE869" t="str">
        <f>T("9791189360689")</f>
        <v>9791189360689</v>
      </c>
      <c r="BF869" t="str">
        <f>T("D031321")</f>
        <v>D031321</v>
      </c>
      <c r="BG869" t="str">
        <f>T("로판 e북 &gt; 서양풍 로판")</f>
        <v>로판 e북 &gt; 서양풍 로판</v>
      </c>
    </row>
    <row r="870" spans="1:59">
      <c r="A870" t="s">
        <v>60</v>
      </c>
      <c r="B870" s="1">
        <v>46129</v>
      </c>
      <c r="C870">
        <v>2378079581</v>
      </c>
      <c r="D870">
        <v>2378079581</v>
      </c>
      <c r="E870" t="str">
        <f>T("검출형산 1화")</f>
        <v>검출형산 1화</v>
      </c>
      <c r="F870">
        <v>1</v>
      </c>
      <c r="G870" t="str">
        <f>T("일편소엽")</f>
        <v>일편소엽</v>
      </c>
      <c r="J870" t="str">
        <f>T("심월(心月)")</f>
        <v>심월(心月)</v>
      </c>
      <c r="K870" t="str">
        <f>T("검출형산")</f>
        <v>검출형산</v>
      </c>
      <c r="L870">
        <v>0</v>
      </c>
      <c r="M870">
        <v>0</v>
      </c>
      <c r="N870">
        <v>0</v>
      </c>
      <c r="O870">
        <v>1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1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S870">
        <v>0</v>
      </c>
      <c r="AT870">
        <v>0</v>
      </c>
      <c r="AV870">
        <v>0</v>
      </c>
      <c r="AW870">
        <v>0</v>
      </c>
      <c r="AY870">
        <v>0</v>
      </c>
      <c r="AZ870">
        <v>0</v>
      </c>
      <c r="BA870">
        <v>0</v>
      </c>
      <c r="BE870" t="str">
        <f>T("9791199253612")</f>
        <v>9791199253612</v>
      </c>
      <c r="BF870" t="str">
        <f>T("D011746")</f>
        <v>D011746</v>
      </c>
      <c r="BG870" t="str">
        <f>T("판타지 웹소설 &gt; 무협 소설")</f>
        <v>판타지 웹소설 &gt; 무협 소설</v>
      </c>
    </row>
    <row r="871" spans="1:59">
      <c r="A871" t="s">
        <v>60</v>
      </c>
      <c r="B871" s="1">
        <v>46129</v>
      </c>
      <c r="C871">
        <v>2378079581</v>
      </c>
      <c r="D871">
        <v>2378079582</v>
      </c>
      <c r="E871" t="str">
        <f>T("검출형산 2화")</f>
        <v>검출형산 2화</v>
      </c>
      <c r="F871">
        <v>2</v>
      </c>
      <c r="G871" t="str">
        <f>T("일편소엽")</f>
        <v>일편소엽</v>
      </c>
      <c r="J871" t="str">
        <f>T("심월(心月)")</f>
        <v>심월(心月)</v>
      </c>
      <c r="K871" t="str">
        <f>T("검출형산")</f>
        <v>검출형산</v>
      </c>
      <c r="L871">
        <v>0</v>
      </c>
      <c r="M871">
        <v>0</v>
      </c>
      <c r="N871">
        <v>0</v>
      </c>
      <c r="O871">
        <v>1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1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S871">
        <v>0</v>
      </c>
      <c r="AT871">
        <v>0</v>
      </c>
      <c r="AV871">
        <v>0</v>
      </c>
      <c r="AW871">
        <v>0</v>
      </c>
      <c r="AY871">
        <v>0</v>
      </c>
      <c r="AZ871">
        <v>0</v>
      </c>
      <c r="BA871">
        <v>0</v>
      </c>
      <c r="BE871" t="str">
        <f>T("9791199253612")</f>
        <v>9791199253612</v>
      </c>
      <c r="BF871" t="str">
        <f>T("D011747")</f>
        <v>D011747</v>
      </c>
      <c r="BG871" t="str">
        <f>T("판타지 웹소설 &gt; 무협 소설")</f>
        <v>판타지 웹소설 &gt; 무협 소설</v>
      </c>
    </row>
    <row r="872" spans="1:59">
      <c r="A872" t="s">
        <v>60</v>
      </c>
      <c r="B872" s="1">
        <v>46129</v>
      </c>
      <c r="C872">
        <v>2378079581</v>
      </c>
      <c r="D872">
        <v>2378079583</v>
      </c>
      <c r="E872" t="str">
        <f>T("검출형산 3화")</f>
        <v>검출형산 3화</v>
      </c>
      <c r="F872">
        <v>3</v>
      </c>
      <c r="G872" t="str">
        <f>T("일편소엽")</f>
        <v>일편소엽</v>
      </c>
      <c r="J872" t="str">
        <f>T("심월(心月)")</f>
        <v>심월(心月)</v>
      </c>
      <c r="K872" t="str">
        <f>T("검출형산")</f>
        <v>검출형산</v>
      </c>
      <c r="L872">
        <v>0</v>
      </c>
      <c r="M872">
        <v>0</v>
      </c>
      <c r="N872">
        <v>0</v>
      </c>
      <c r="O872">
        <v>1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1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S872">
        <v>0</v>
      </c>
      <c r="AT872">
        <v>0</v>
      </c>
      <c r="AV872">
        <v>0</v>
      </c>
      <c r="AW872">
        <v>0</v>
      </c>
      <c r="AY872">
        <v>0</v>
      </c>
      <c r="AZ872">
        <v>0</v>
      </c>
      <c r="BA872">
        <v>0</v>
      </c>
      <c r="BE872" t="str">
        <f>T("9791199253612")</f>
        <v>9791199253612</v>
      </c>
      <c r="BF872" t="str">
        <f>T("D011748")</f>
        <v>D011748</v>
      </c>
      <c r="BG872" t="str">
        <f>T("판타지 웹소설 &gt; 무협 소설")</f>
        <v>판타지 웹소설 &gt; 무협 소설</v>
      </c>
    </row>
    <row r="873" spans="1:59">
      <c r="A873" t="s">
        <v>60</v>
      </c>
      <c r="B873" s="1">
        <v>46129</v>
      </c>
      <c r="C873">
        <v>2378079581</v>
      </c>
      <c r="D873">
        <v>2378079584</v>
      </c>
      <c r="E873" t="str">
        <f>T("검출형산 4화")</f>
        <v>검출형산 4화</v>
      </c>
      <c r="F873">
        <v>4</v>
      </c>
      <c r="G873" t="str">
        <f>T("일편소엽")</f>
        <v>일편소엽</v>
      </c>
      <c r="J873" t="str">
        <f>T("심월(心月)")</f>
        <v>심월(心月)</v>
      </c>
      <c r="K873" t="str">
        <f>T("검출형산")</f>
        <v>검출형산</v>
      </c>
      <c r="L873">
        <v>0</v>
      </c>
      <c r="M873">
        <v>0</v>
      </c>
      <c r="N873">
        <v>0</v>
      </c>
      <c r="O873">
        <v>1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1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S873">
        <v>0</v>
      </c>
      <c r="AT873">
        <v>0</v>
      </c>
      <c r="AV873">
        <v>0</v>
      </c>
      <c r="AW873">
        <v>0</v>
      </c>
      <c r="AY873">
        <v>0</v>
      </c>
      <c r="AZ873">
        <v>0</v>
      </c>
      <c r="BA873">
        <v>0</v>
      </c>
      <c r="BE873" t="str">
        <f>T("9791199253612")</f>
        <v>9791199253612</v>
      </c>
      <c r="BF873" t="str">
        <f>T("D011749")</f>
        <v>D011749</v>
      </c>
      <c r="BG873" t="str">
        <f>T("판타지 웹소설 &gt; 무협 소설")</f>
        <v>판타지 웹소설 &gt; 무협 소설</v>
      </c>
    </row>
    <row r="874" spans="1:59">
      <c r="A874" t="s">
        <v>60</v>
      </c>
      <c r="B874" s="1">
        <v>46129</v>
      </c>
      <c r="C874">
        <v>2378079581</v>
      </c>
      <c r="D874">
        <v>2378079585</v>
      </c>
      <c r="E874" t="str">
        <f>T("검출형산 5화")</f>
        <v>검출형산 5화</v>
      </c>
      <c r="F874">
        <v>5</v>
      </c>
      <c r="G874" t="str">
        <f>T("일편소엽")</f>
        <v>일편소엽</v>
      </c>
      <c r="J874" t="str">
        <f>T("심월(心月)")</f>
        <v>심월(心月)</v>
      </c>
      <c r="K874" t="str">
        <f>T("검출형산")</f>
        <v>검출형산</v>
      </c>
      <c r="L874">
        <v>0</v>
      </c>
      <c r="M874">
        <v>0</v>
      </c>
      <c r="N874">
        <v>0</v>
      </c>
      <c r="O874">
        <v>1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1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S874">
        <v>0</v>
      </c>
      <c r="AT874">
        <v>0</v>
      </c>
      <c r="AV874">
        <v>0</v>
      </c>
      <c r="AW874">
        <v>0</v>
      </c>
      <c r="AY874">
        <v>0</v>
      </c>
      <c r="AZ874">
        <v>0</v>
      </c>
      <c r="BA874">
        <v>0</v>
      </c>
      <c r="BE874" t="str">
        <f>T("9791199253612")</f>
        <v>9791199253612</v>
      </c>
      <c r="BF874" t="str">
        <f>T("D011750")</f>
        <v>D011750</v>
      </c>
      <c r="BG874" t="str">
        <f>T("판타지 웹소설 &gt; 무협 소설")</f>
        <v>판타지 웹소설 &gt; 무협 소설</v>
      </c>
    </row>
    <row r="875" spans="1:59">
      <c r="A875" t="s">
        <v>60</v>
      </c>
      <c r="B875" s="1">
        <v>46129</v>
      </c>
      <c r="C875">
        <v>2378079581</v>
      </c>
      <c r="D875">
        <v>2378079586</v>
      </c>
      <c r="E875" t="str">
        <f>T("검출형산 6화")</f>
        <v>검출형산 6화</v>
      </c>
      <c r="F875">
        <v>6</v>
      </c>
      <c r="G875" t="str">
        <f>T("일편소엽")</f>
        <v>일편소엽</v>
      </c>
      <c r="J875" t="str">
        <f>T("심월(心月)")</f>
        <v>심월(心月)</v>
      </c>
      <c r="K875" t="str">
        <f>T("검출형산")</f>
        <v>검출형산</v>
      </c>
      <c r="L875">
        <v>0</v>
      </c>
      <c r="M875">
        <v>0</v>
      </c>
      <c r="N875">
        <v>0</v>
      </c>
      <c r="O875">
        <v>1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1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S875">
        <v>0</v>
      </c>
      <c r="AT875">
        <v>0</v>
      </c>
      <c r="AV875">
        <v>0</v>
      </c>
      <c r="AW875">
        <v>0</v>
      </c>
      <c r="AY875">
        <v>0</v>
      </c>
      <c r="AZ875">
        <v>0</v>
      </c>
      <c r="BA875">
        <v>0</v>
      </c>
      <c r="BE875" t="str">
        <f>T("9791199253612")</f>
        <v>9791199253612</v>
      </c>
      <c r="BF875" t="str">
        <f>T("D011751")</f>
        <v>D011751</v>
      </c>
      <c r="BG875" t="str">
        <f>T("판타지 웹소설 &gt; 무협 소설")</f>
        <v>판타지 웹소설 &gt; 무협 소설</v>
      </c>
    </row>
    <row r="876" spans="1:59">
      <c r="A876" t="s">
        <v>60</v>
      </c>
      <c r="B876" s="1">
        <v>46129</v>
      </c>
      <c r="C876">
        <v>2378079581</v>
      </c>
      <c r="D876">
        <v>2378079587</v>
      </c>
      <c r="E876" t="str">
        <f>T("검출형산 7화")</f>
        <v>검출형산 7화</v>
      </c>
      <c r="F876">
        <v>7</v>
      </c>
      <c r="G876" t="str">
        <f>T("일편소엽")</f>
        <v>일편소엽</v>
      </c>
      <c r="J876" t="str">
        <f>T("심월(心月)")</f>
        <v>심월(心月)</v>
      </c>
      <c r="K876" t="str">
        <f>T("검출형산")</f>
        <v>검출형산</v>
      </c>
      <c r="L876">
        <v>0</v>
      </c>
      <c r="M876">
        <v>0</v>
      </c>
      <c r="N876">
        <v>0</v>
      </c>
      <c r="O876">
        <v>1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1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S876">
        <v>0</v>
      </c>
      <c r="AT876">
        <v>0</v>
      </c>
      <c r="AV876">
        <v>0</v>
      </c>
      <c r="AW876">
        <v>0</v>
      </c>
      <c r="AY876">
        <v>0</v>
      </c>
      <c r="AZ876">
        <v>0</v>
      </c>
      <c r="BA876">
        <v>0</v>
      </c>
      <c r="BE876" t="str">
        <f>T("9791199253612")</f>
        <v>9791199253612</v>
      </c>
      <c r="BF876" t="str">
        <f>T("D011752")</f>
        <v>D011752</v>
      </c>
      <c r="BG876" t="str">
        <f>T("판타지 웹소설 &gt; 무협 소설")</f>
        <v>판타지 웹소설 &gt; 무협 소설</v>
      </c>
    </row>
    <row r="877" spans="1:59">
      <c r="A877" t="s">
        <v>60</v>
      </c>
      <c r="B877" s="1">
        <v>46129</v>
      </c>
      <c r="C877">
        <v>2378079581</v>
      </c>
      <c r="D877">
        <v>2378079588</v>
      </c>
      <c r="E877" t="str">
        <f>T("검출형산 8화")</f>
        <v>검출형산 8화</v>
      </c>
      <c r="F877">
        <v>8</v>
      </c>
      <c r="G877" t="str">
        <f>T("일편소엽")</f>
        <v>일편소엽</v>
      </c>
      <c r="J877" t="str">
        <f>T("심월(心月)")</f>
        <v>심월(心月)</v>
      </c>
      <c r="K877" t="str">
        <f>T("검출형산")</f>
        <v>검출형산</v>
      </c>
      <c r="L877">
        <v>0</v>
      </c>
      <c r="M877">
        <v>0</v>
      </c>
      <c r="N877">
        <v>0</v>
      </c>
      <c r="O877">
        <v>1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1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S877">
        <v>0</v>
      </c>
      <c r="AT877">
        <v>0</v>
      </c>
      <c r="AV877">
        <v>0</v>
      </c>
      <c r="AW877">
        <v>0</v>
      </c>
      <c r="AY877">
        <v>0</v>
      </c>
      <c r="AZ877">
        <v>0</v>
      </c>
      <c r="BA877">
        <v>0</v>
      </c>
      <c r="BE877" t="str">
        <f>T("9791199253612")</f>
        <v>9791199253612</v>
      </c>
      <c r="BF877" t="str">
        <f>T("D011753")</f>
        <v>D011753</v>
      </c>
      <c r="BG877" t="str">
        <f>T("판타지 웹소설 &gt; 무협 소설")</f>
        <v>판타지 웹소설 &gt; 무협 소설</v>
      </c>
    </row>
    <row r="878" spans="1:59">
      <c r="A878" t="s">
        <v>60</v>
      </c>
      <c r="B878" s="1">
        <v>46129</v>
      </c>
      <c r="C878">
        <v>2378079581</v>
      </c>
      <c r="D878">
        <v>2378079589</v>
      </c>
      <c r="E878" t="str">
        <f>T("검출형산 9화")</f>
        <v>검출형산 9화</v>
      </c>
      <c r="F878">
        <v>9</v>
      </c>
      <c r="G878" t="str">
        <f>T("일편소엽")</f>
        <v>일편소엽</v>
      </c>
      <c r="J878" t="str">
        <f>T("심월(心月)")</f>
        <v>심월(心月)</v>
      </c>
      <c r="K878" t="str">
        <f>T("검출형산")</f>
        <v>검출형산</v>
      </c>
      <c r="L878">
        <v>0</v>
      </c>
      <c r="M878">
        <v>0</v>
      </c>
      <c r="N878">
        <v>0</v>
      </c>
      <c r="O878">
        <v>1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1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S878">
        <v>0</v>
      </c>
      <c r="AT878">
        <v>0</v>
      </c>
      <c r="AV878">
        <v>0</v>
      </c>
      <c r="AW878">
        <v>0</v>
      </c>
      <c r="AY878">
        <v>0</v>
      </c>
      <c r="AZ878">
        <v>0</v>
      </c>
      <c r="BA878">
        <v>0</v>
      </c>
      <c r="BE878" t="str">
        <f>T("9791199253612")</f>
        <v>9791199253612</v>
      </c>
      <c r="BF878" t="str">
        <f>T("D011754")</f>
        <v>D011754</v>
      </c>
      <c r="BG878" t="str">
        <f>T("판타지 웹소설 &gt; 무협 소설")</f>
        <v>판타지 웹소설 &gt; 무협 소설</v>
      </c>
    </row>
    <row r="879" spans="1:59">
      <c r="A879" t="s">
        <v>60</v>
      </c>
      <c r="B879" s="1">
        <v>46129</v>
      </c>
      <c r="C879">
        <v>2378079581</v>
      </c>
      <c r="D879">
        <v>2378079590</v>
      </c>
      <c r="E879" t="str">
        <f>T("검출형산 10화")</f>
        <v>검출형산 10화</v>
      </c>
      <c r="F879">
        <v>10</v>
      </c>
      <c r="G879" t="str">
        <f>T("일편소엽")</f>
        <v>일편소엽</v>
      </c>
      <c r="J879" t="str">
        <f>T("심월(心月)")</f>
        <v>심월(心月)</v>
      </c>
      <c r="K879" t="str">
        <f>T("검출형산")</f>
        <v>검출형산</v>
      </c>
      <c r="L879">
        <v>0</v>
      </c>
      <c r="M879">
        <v>0</v>
      </c>
      <c r="N879">
        <v>0</v>
      </c>
      <c r="O879">
        <v>1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1</v>
      </c>
      <c r="AK879">
        <v>0</v>
      </c>
      <c r="AL879">
        <v>0</v>
      </c>
      <c r="AM879">
        <v>0</v>
      </c>
      <c r="AN879">
        <v>0</v>
      </c>
      <c r="AO879">
        <v>0</v>
      </c>
      <c r="AP879">
        <v>0</v>
      </c>
      <c r="AQ879">
        <v>0</v>
      </c>
      <c r="AS879">
        <v>0</v>
      </c>
      <c r="AT879">
        <v>0</v>
      </c>
      <c r="AV879">
        <v>0</v>
      </c>
      <c r="AW879">
        <v>0</v>
      </c>
      <c r="AY879">
        <v>0</v>
      </c>
      <c r="AZ879">
        <v>0</v>
      </c>
      <c r="BA879">
        <v>0</v>
      </c>
      <c r="BE879" t="str">
        <f>T("9791199253612")</f>
        <v>9791199253612</v>
      </c>
      <c r="BF879" t="str">
        <f>T("D011755")</f>
        <v>D011755</v>
      </c>
      <c r="BG879" t="str">
        <f>T("판타지 웹소설 &gt; 무협 소설")</f>
        <v>판타지 웹소설 &gt; 무협 소설</v>
      </c>
    </row>
    <row r="880" spans="1:59">
      <c r="A880" t="s">
        <v>60</v>
      </c>
      <c r="B880" s="1">
        <v>46129</v>
      </c>
      <c r="C880">
        <v>2378079581</v>
      </c>
      <c r="D880">
        <v>2378079591</v>
      </c>
      <c r="E880" t="str">
        <f>T("검출형산 11화")</f>
        <v>검출형산 11화</v>
      </c>
      <c r="F880">
        <v>11</v>
      </c>
      <c r="G880" t="str">
        <f>T("일편소엽")</f>
        <v>일편소엽</v>
      </c>
      <c r="J880" t="str">
        <f>T("심월(心月)")</f>
        <v>심월(心月)</v>
      </c>
      <c r="K880" t="str">
        <f>T("검출형산")</f>
        <v>검출형산</v>
      </c>
      <c r="L880">
        <v>0</v>
      </c>
      <c r="M880">
        <v>0</v>
      </c>
      <c r="N880">
        <v>0</v>
      </c>
      <c r="O880">
        <v>1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1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S880">
        <v>0</v>
      </c>
      <c r="AT880">
        <v>0</v>
      </c>
      <c r="AV880">
        <v>0</v>
      </c>
      <c r="AW880">
        <v>0</v>
      </c>
      <c r="AY880">
        <v>0</v>
      </c>
      <c r="AZ880">
        <v>0</v>
      </c>
      <c r="BA880">
        <v>0</v>
      </c>
      <c r="BE880" t="str">
        <f>T("9791199253612")</f>
        <v>9791199253612</v>
      </c>
      <c r="BF880" t="str">
        <f>T("D011756")</f>
        <v>D011756</v>
      </c>
      <c r="BG880" t="str">
        <f>T("판타지 웹소설 &gt; 무협 소설")</f>
        <v>판타지 웹소설 &gt; 무협 소설</v>
      </c>
    </row>
    <row r="881" spans="1:59">
      <c r="A881" t="s">
        <v>60</v>
      </c>
      <c r="B881" s="1">
        <v>46129</v>
      </c>
      <c r="C881">
        <v>2378079581</v>
      </c>
      <c r="D881">
        <v>2378079592</v>
      </c>
      <c r="E881" t="str">
        <f>T("검출형산 12화")</f>
        <v>검출형산 12화</v>
      </c>
      <c r="F881">
        <v>12</v>
      </c>
      <c r="G881" t="str">
        <f>T("일편소엽")</f>
        <v>일편소엽</v>
      </c>
      <c r="J881" t="str">
        <f>T("심월(心月)")</f>
        <v>심월(心月)</v>
      </c>
      <c r="K881" t="str">
        <f>T("검출형산")</f>
        <v>검출형산</v>
      </c>
      <c r="L881">
        <v>0</v>
      </c>
      <c r="M881">
        <v>0</v>
      </c>
      <c r="N881">
        <v>0</v>
      </c>
      <c r="O881">
        <v>1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1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S881">
        <v>0</v>
      </c>
      <c r="AT881">
        <v>0</v>
      </c>
      <c r="AV881">
        <v>0</v>
      </c>
      <c r="AW881">
        <v>0</v>
      </c>
      <c r="AY881">
        <v>0</v>
      </c>
      <c r="AZ881">
        <v>0</v>
      </c>
      <c r="BA881">
        <v>0</v>
      </c>
      <c r="BE881" t="str">
        <f>T("9791199253612")</f>
        <v>9791199253612</v>
      </c>
      <c r="BF881" t="str">
        <f>T("D011757")</f>
        <v>D011757</v>
      </c>
      <c r="BG881" t="str">
        <f>T("판타지 웹소설 &gt; 무협 소설")</f>
        <v>판타지 웹소설 &gt; 무협 소설</v>
      </c>
    </row>
    <row r="882" spans="1:59">
      <c r="A882" t="s">
        <v>60</v>
      </c>
      <c r="B882" s="1">
        <v>46129</v>
      </c>
      <c r="C882">
        <v>2378079581</v>
      </c>
      <c r="D882">
        <v>2378079593</v>
      </c>
      <c r="E882" t="str">
        <f>T("검출형산 13화")</f>
        <v>검출형산 13화</v>
      </c>
      <c r="F882">
        <v>13</v>
      </c>
      <c r="G882" t="str">
        <f>T("일편소엽")</f>
        <v>일편소엽</v>
      </c>
      <c r="J882" t="str">
        <f>T("심월(心月)")</f>
        <v>심월(心月)</v>
      </c>
      <c r="K882" t="str">
        <f>T("검출형산")</f>
        <v>검출형산</v>
      </c>
      <c r="L882">
        <v>0</v>
      </c>
      <c r="M882">
        <v>0</v>
      </c>
      <c r="N882">
        <v>0</v>
      </c>
      <c r="O882">
        <v>1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1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S882">
        <v>0</v>
      </c>
      <c r="AT882">
        <v>0</v>
      </c>
      <c r="AV882">
        <v>0</v>
      </c>
      <c r="AW882">
        <v>0</v>
      </c>
      <c r="AY882">
        <v>0</v>
      </c>
      <c r="AZ882">
        <v>0</v>
      </c>
      <c r="BA882">
        <v>0</v>
      </c>
      <c r="BE882" t="str">
        <f>T("9791199253612")</f>
        <v>9791199253612</v>
      </c>
      <c r="BF882" t="str">
        <f>T("D011758")</f>
        <v>D011758</v>
      </c>
      <c r="BG882" t="str">
        <f>T("판타지 웹소설 &gt; 무협 소설")</f>
        <v>판타지 웹소설 &gt; 무협 소설</v>
      </c>
    </row>
    <row r="883" spans="1:59">
      <c r="A883" t="s">
        <v>60</v>
      </c>
      <c r="B883" s="1">
        <v>46129</v>
      </c>
      <c r="C883">
        <v>2378079581</v>
      </c>
      <c r="D883">
        <v>2378079594</v>
      </c>
      <c r="E883" t="str">
        <f>T("검출형산 14화")</f>
        <v>검출형산 14화</v>
      </c>
      <c r="F883">
        <v>14</v>
      </c>
      <c r="G883" t="str">
        <f>T("일편소엽")</f>
        <v>일편소엽</v>
      </c>
      <c r="J883" t="str">
        <f>T("심월(心月)")</f>
        <v>심월(心月)</v>
      </c>
      <c r="K883" t="str">
        <f>T("검출형산")</f>
        <v>검출형산</v>
      </c>
      <c r="L883">
        <v>0</v>
      </c>
      <c r="M883">
        <v>0</v>
      </c>
      <c r="N883">
        <v>0</v>
      </c>
      <c r="O883">
        <v>1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1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S883">
        <v>0</v>
      </c>
      <c r="AT883">
        <v>0</v>
      </c>
      <c r="AV883">
        <v>0</v>
      </c>
      <c r="AW883">
        <v>0</v>
      </c>
      <c r="AY883">
        <v>0</v>
      </c>
      <c r="AZ883">
        <v>0</v>
      </c>
      <c r="BA883">
        <v>0</v>
      </c>
      <c r="BE883" t="str">
        <f>T("9791199253612")</f>
        <v>9791199253612</v>
      </c>
      <c r="BF883" t="str">
        <f>T("D011759")</f>
        <v>D011759</v>
      </c>
      <c r="BG883" t="str">
        <f>T("판타지 웹소설 &gt; 무협 소설")</f>
        <v>판타지 웹소설 &gt; 무협 소설</v>
      </c>
    </row>
    <row r="884" spans="1:59">
      <c r="A884" t="s">
        <v>60</v>
      </c>
      <c r="B884" s="1">
        <v>46129</v>
      </c>
      <c r="C884">
        <v>2378079581</v>
      </c>
      <c r="D884">
        <v>2378079595</v>
      </c>
      <c r="E884" t="str">
        <f>T("검출형산 15화")</f>
        <v>검출형산 15화</v>
      </c>
      <c r="F884">
        <v>15</v>
      </c>
      <c r="G884" t="str">
        <f>T("일편소엽")</f>
        <v>일편소엽</v>
      </c>
      <c r="J884" t="str">
        <f>T("심월(心月)")</f>
        <v>심월(心月)</v>
      </c>
      <c r="K884" t="str">
        <f>T("검출형산")</f>
        <v>검출형산</v>
      </c>
      <c r="L884">
        <v>0</v>
      </c>
      <c r="M884">
        <v>0</v>
      </c>
      <c r="N884">
        <v>0</v>
      </c>
      <c r="O884">
        <v>1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1</v>
      </c>
      <c r="AK884">
        <v>0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S884">
        <v>0</v>
      </c>
      <c r="AT884">
        <v>0</v>
      </c>
      <c r="AV884">
        <v>0</v>
      </c>
      <c r="AW884">
        <v>0</v>
      </c>
      <c r="AY884">
        <v>0</v>
      </c>
      <c r="AZ884">
        <v>0</v>
      </c>
      <c r="BA884">
        <v>0</v>
      </c>
      <c r="BE884" t="str">
        <f>T("9791199253612")</f>
        <v>9791199253612</v>
      </c>
      <c r="BF884" t="str">
        <f>T("D011760")</f>
        <v>D011760</v>
      </c>
      <c r="BG884" t="str">
        <f>T("판타지 웹소설 &gt; 무협 소설")</f>
        <v>판타지 웹소설 &gt; 무협 소설</v>
      </c>
    </row>
    <row r="885" spans="1:59">
      <c r="A885" t="s">
        <v>60</v>
      </c>
      <c r="B885" s="1">
        <v>46129</v>
      </c>
      <c r="C885">
        <v>2378079581</v>
      </c>
      <c r="D885">
        <v>2378079596</v>
      </c>
      <c r="E885" t="str">
        <f>T("검출형산 16화")</f>
        <v>검출형산 16화</v>
      </c>
      <c r="F885">
        <v>16</v>
      </c>
      <c r="G885" t="str">
        <f>T("일편소엽")</f>
        <v>일편소엽</v>
      </c>
      <c r="J885" t="str">
        <f>T("심월(心月)")</f>
        <v>심월(心月)</v>
      </c>
      <c r="K885" t="str">
        <f>T("검출형산")</f>
        <v>검출형산</v>
      </c>
      <c r="L885">
        <v>0</v>
      </c>
      <c r="M885">
        <v>0</v>
      </c>
      <c r="N885">
        <v>0</v>
      </c>
      <c r="O885">
        <v>1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1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S885">
        <v>0</v>
      </c>
      <c r="AT885">
        <v>0</v>
      </c>
      <c r="AV885">
        <v>0</v>
      </c>
      <c r="AW885">
        <v>0</v>
      </c>
      <c r="AY885">
        <v>0</v>
      </c>
      <c r="AZ885">
        <v>0</v>
      </c>
      <c r="BA885">
        <v>0</v>
      </c>
      <c r="BE885" t="str">
        <f>T("9791199253612")</f>
        <v>9791199253612</v>
      </c>
      <c r="BF885" t="str">
        <f>T("D011761")</f>
        <v>D011761</v>
      </c>
      <c r="BG885" t="str">
        <f>T("판타지 웹소설 &gt; 무협 소설")</f>
        <v>판타지 웹소설 &gt; 무협 소설</v>
      </c>
    </row>
    <row r="886" spans="1:59">
      <c r="A886" t="s">
        <v>60</v>
      </c>
      <c r="B886" s="1">
        <v>46129</v>
      </c>
      <c r="C886">
        <v>2378079581</v>
      </c>
      <c r="D886">
        <v>2378079597</v>
      </c>
      <c r="E886" t="str">
        <f>T("검출형산 17화")</f>
        <v>검출형산 17화</v>
      </c>
      <c r="F886">
        <v>17</v>
      </c>
      <c r="G886" t="str">
        <f>T("일편소엽")</f>
        <v>일편소엽</v>
      </c>
      <c r="J886" t="str">
        <f>T("심월(心月)")</f>
        <v>심월(心月)</v>
      </c>
      <c r="K886" t="str">
        <f>T("검출형산")</f>
        <v>검출형산</v>
      </c>
      <c r="L886">
        <v>0</v>
      </c>
      <c r="M886">
        <v>0</v>
      </c>
      <c r="N886">
        <v>0</v>
      </c>
      <c r="O886">
        <v>1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1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S886">
        <v>0</v>
      </c>
      <c r="AT886">
        <v>0</v>
      </c>
      <c r="AV886">
        <v>0</v>
      </c>
      <c r="AW886">
        <v>0</v>
      </c>
      <c r="AY886">
        <v>0</v>
      </c>
      <c r="AZ886">
        <v>0</v>
      </c>
      <c r="BA886">
        <v>0</v>
      </c>
      <c r="BE886" t="str">
        <f>T("9791199253612")</f>
        <v>9791199253612</v>
      </c>
      <c r="BF886" t="str">
        <f>T("D011762")</f>
        <v>D011762</v>
      </c>
      <c r="BG886" t="str">
        <f>T("판타지 웹소설 &gt; 무협 소설")</f>
        <v>판타지 웹소설 &gt; 무협 소설</v>
      </c>
    </row>
    <row r="887" spans="1:59">
      <c r="A887" t="s">
        <v>60</v>
      </c>
      <c r="B887" s="1">
        <v>46129</v>
      </c>
      <c r="C887">
        <v>2378079581</v>
      </c>
      <c r="D887">
        <v>2378079598</v>
      </c>
      <c r="E887" t="str">
        <f>T("검출형산 18화")</f>
        <v>검출형산 18화</v>
      </c>
      <c r="F887">
        <v>18</v>
      </c>
      <c r="G887" t="str">
        <f>T("일편소엽")</f>
        <v>일편소엽</v>
      </c>
      <c r="J887" t="str">
        <f>T("심월(心月)")</f>
        <v>심월(心月)</v>
      </c>
      <c r="K887" t="str">
        <f>T("검출형산")</f>
        <v>검출형산</v>
      </c>
      <c r="L887">
        <v>0</v>
      </c>
      <c r="M887">
        <v>0</v>
      </c>
      <c r="N887">
        <v>0</v>
      </c>
      <c r="O887">
        <v>1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1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S887">
        <v>0</v>
      </c>
      <c r="AT887">
        <v>0</v>
      </c>
      <c r="AV887">
        <v>0</v>
      </c>
      <c r="AW887">
        <v>0</v>
      </c>
      <c r="AY887">
        <v>0</v>
      </c>
      <c r="AZ887">
        <v>0</v>
      </c>
      <c r="BA887">
        <v>0</v>
      </c>
      <c r="BE887" t="str">
        <f>T("9791199253612")</f>
        <v>9791199253612</v>
      </c>
      <c r="BF887" t="str">
        <f>T("D011763")</f>
        <v>D011763</v>
      </c>
      <c r="BG887" t="str">
        <f>T("판타지 웹소설 &gt; 무협 소설")</f>
        <v>판타지 웹소설 &gt; 무협 소설</v>
      </c>
    </row>
    <row r="888" spans="1:59">
      <c r="A888" t="s">
        <v>60</v>
      </c>
      <c r="B888" s="1">
        <v>46129</v>
      </c>
      <c r="C888">
        <v>2378079581</v>
      </c>
      <c r="D888">
        <v>2378079599</v>
      </c>
      <c r="E888" t="str">
        <f>T("검출형산 19화")</f>
        <v>검출형산 19화</v>
      </c>
      <c r="F888">
        <v>19</v>
      </c>
      <c r="G888" t="str">
        <f>T("일편소엽")</f>
        <v>일편소엽</v>
      </c>
      <c r="J888" t="str">
        <f>T("심월(心月)")</f>
        <v>심월(心月)</v>
      </c>
      <c r="K888" t="str">
        <f>T("검출형산")</f>
        <v>검출형산</v>
      </c>
      <c r="L888">
        <v>0</v>
      </c>
      <c r="M888">
        <v>0</v>
      </c>
      <c r="N888">
        <v>0</v>
      </c>
      <c r="O888">
        <v>1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0</v>
      </c>
      <c r="AH888">
        <v>0</v>
      </c>
      <c r="AI888">
        <v>0</v>
      </c>
      <c r="AJ888">
        <v>1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S888">
        <v>0</v>
      </c>
      <c r="AT888">
        <v>0</v>
      </c>
      <c r="AV888">
        <v>0</v>
      </c>
      <c r="AW888">
        <v>0</v>
      </c>
      <c r="AY888">
        <v>0</v>
      </c>
      <c r="AZ888">
        <v>0</v>
      </c>
      <c r="BA888">
        <v>0</v>
      </c>
      <c r="BE888" t="str">
        <f>T("9791199253612")</f>
        <v>9791199253612</v>
      </c>
      <c r="BF888" t="str">
        <f>T("D011764")</f>
        <v>D011764</v>
      </c>
      <c r="BG888" t="str">
        <f>T("판타지 웹소설 &gt; 무협 소설")</f>
        <v>판타지 웹소설 &gt; 무협 소설</v>
      </c>
    </row>
    <row r="889" spans="1:59">
      <c r="A889" t="s">
        <v>60</v>
      </c>
      <c r="B889" s="1">
        <v>46129</v>
      </c>
      <c r="C889">
        <v>2378079581</v>
      </c>
      <c r="D889">
        <v>2378079600</v>
      </c>
      <c r="E889" t="str">
        <f>T("검출형산 20화")</f>
        <v>검출형산 20화</v>
      </c>
      <c r="F889">
        <v>20</v>
      </c>
      <c r="G889" t="str">
        <f>T("일편소엽")</f>
        <v>일편소엽</v>
      </c>
      <c r="J889" t="str">
        <f>T("심월(心月)")</f>
        <v>심월(心月)</v>
      </c>
      <c r="K889" t="str">
        <f>T("검출형산")</f>
        <v>검출형산</v>
      </c>
      <c r="L889">
        <v>0</v>
      </c>
      <c r="M889">
        <v>0</v>
      </c>
      <c r="N889">
        <v>0</v>
      </c>
      <c r="O889">
        <v>1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1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S889">
        <v>0</v>
      </c>
      <c r="AT889">
        <v>0</v>
      </c>
      <c r="AV889">
        <v>0</v>
      </c>
      <c r="AW889">
        <v>0</v>
      </c>
      <c r="AY889">
        <v>0</v>
      </c>
      <c r="AZ889">
        <v>0</v>
      </c>
      <c r="BA889">
        <v>0</v>
      </c>
      <c r="BE889" t="str">
        <f>T("9791199253612")</f>
        <v>9791199253612</v>
      </c>
      <c r="BF889" t="str">
        <f>T("D011765")</f>
        <v>D011765</v>
      </c>
      <c r="BG889" t="str">
        <f>T("판타지 웹소설 &gt; 무협 소설")</f>
        <v>판타지 웹소설 &gt; 무협 소설</v>
      </c>
    </row>
    <row r="890" spans="1:59">
      <c r="A890" t="s">
        <v>60</v>
      </c>
      <c r="B890" s="1">
        <v>46129</v>
      </c>
      <c r="C890">
        <v>2378079581</v>
      </c>
      <c r="D890">
        <v>2378079601</v>
      </c>
      <c r="E890" t="str">
        <f>T("검출형산 21화")</f>
        <v>검출형산 21화</v>
      </c>
      <c r="F890">
        <v>21</v>
      </c>
      <c r="G890" t="str">
        <f>T("일편소엽")</f>
        <v>일편소엽</v>
      </c>
      <c r="J890" t="str">
        <f>T("심월(心月)")</f>
        <v>심월(心月)</v>
      </c>
      <c r="K890" t="str">
        <f>T("검출형산")</f>
        <v>검출형산</v>
      </c>
      <c r="L890">
        <v>0</v>
      </c>
      <c r="M890">
        <v>0</v>
      </c>
      <c r="N890">
        <v>0</v>
      </c>
      <c r="O890">
        <v>1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1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S890">
        <v>0</v>
      </c>
      <c r="AT890">
        <v>0</v>
      </c>
      <c r="AV890">
        <v>0</v>
      </c>
      <c r="AW890">
        <v>0</v>
      </c>
      <c r="AY890">
        <v>0</v>
      </c>
      <c r="AZ890">
        <v>0</v>
      </c>
      <c r="BA890">
        <v>0</v>
      </c>
      <c r="BE890" t="str">
        <f>T("9791199253612")</f>
        <v>9791199253612</v>
      </c>
      <c r="BF890" t="str">
        <f>T("D011766")</f>
        <v>D011766</v>
      </c>
      <c r="BG890" t="str">
        <f>T("판타지 웹소설 &gt; 무협 소설")</f>
        <v>판타지 웹소설 &gt; 무협 소설</v>
      </c>
    </row>
    <row r="891" spans="1:59">
      <c r="A891" t="s">
        <v>60</v>
      </c>
      <c r="B891" s="1">
        <v>46129</v>
      </c>
      <c r="C891">
        <v>2378079581</v>
      </c>
      <c r="D891">
        <v>2378079602</v>
      </c>
      <c r="E891" t="str">
        <f>T("검출형산 22화")</f>
        <v>검출형산 22화</v>
      </c>
      <c r="F891">
        <v>22</v>
      </c>
      <c r="G891" t="str">
        <f>T("일편소엽")</f>
        <v>일편소엽</v>
      </c>
      <c r="J891" t="str">
        <f>T("심월(心月)")</f>
        <v>심월(心月)</v>
      </c>
      <c r="K891" t="str">
        <f>T("검출형산")</f>
        <v>검출형산</v>
      </c>
      <c r="L891">
        <v>0</v>
      </c>
      <c r="M891">
        <v>0</v>
      </c>
      <c r="N891">
        <v>0</v>
      </c>
      <c r="O891">
        <v>1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1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S891">
        <v>0</v>
      </c>
      <c r="AT891">
        <v>0</v>
      </c>
      <c r="AV891">
        <v>0</v>
      </c>
      <c r="AW891">
        <v>0</v>
      </c>
      <c r="AY891">
        <v>0</v>
      </c>
      <c r="AZ891">
        <v>0</v>
      </c>
      <c r="BA891">
        <v>0</v>
      </c>
      <c r="BE891" t="str">
        <f>T("9791199253612")</f>
        <v>9791199253612</v>
      </c>
      <c r="BF891" t="str">
        <f>T("D011767")</f>
        <v>D011767</v>
      </c>
      <c r="BG891" t="str">
        <f>T("판타지 웹소설 &gt; 무협 소설")</f>
        <v>판타지 웹소설 &gt; 무협 소설</v>
      </c>
    </row>
    <row r="892" spans="1:59">
      <c r="A892" t="s">
        <v>60</v>
      </c>
      <c r="B892" s="1">
        <v>46129</v>
      </c>
      <c r="C892">
        <v>2378079581</v>
      </c>
      <c r="D892">
        <v>2378079603</v>
      </c>
      <c r="E892" t="str">
        <f>T("검출형산 23화")</f>
        <v>검출형산 23화</v>
      </c>
      <c r="F892">
        <v>23</v>
      </c>
      <c r="G892" t="str">
        <f>T("일편소엽")</f>
        <v>일편소엽</v>
      </c>
      <c r="J892" t="str">
        <f>T("심월(心月)")</f>
        <v>심월(心月)</v>
      </c>
      <c r="K892" t="str">
        <f>T("검출형산")</f>
        <v>검출형산</v>
      </c>
      <c r="L892">
        <v>0</v>
      </c>
      <c r="M892">
        <v>0</v>
      </c>
      <c r="N892">
        <v>0</v>
      </c>
      <c r="O892">
        <v>1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1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S892">
        <v>0</v>
      </c>
      <c r="AT892">
        <v>0</v>
      </c>
      <c r="AV892">
        <v>0</v>
      </c>
      <c r="AW892">
        <v>0</v>
      </c>
      <c r="AY892">
        <v>0</v>
      </c>
      <c r="AZ892">
        <v>0</v>
      </c>
      <c r="BA892">
        <v>0</v>
      </c>
      <c r="BE892" t="str">
        <f>T("9791199253612")</f>
        <v>9791199253612</v>
      </c>
      <c r="BF892" t="str">
        <f>T("D011768")</f>
        <v>D011768</v>
      </c>
      <c r="BG892" t="str">
        <f>T("판타지 웹소설 &gt; 무협 소설")</f>
        <v>판타지 웹소설 &gt; 무협 소설</v>
      </c>
    </row>
    <row r="893" spans="1:59">
      <c r="A893" t="s">
        <v>60</v>
      </c>
      <c r="B893" s="1">
        <v>46129</v>
      </c>
      <c r="C893">
        <v>2378079581</v>
      </c>
      <c r="D893">
        <v>2378079604</v>
      </c>
      <c r="E893" t="str">
        <f>T("검출형산 24화")</f>
        <v>검출형산 24화</v>
      </c>
      <c r="F893">
        <v>24</v>
      </c>
      <c r="G893" t="str">
        <f>T("일편소엽")</f>
        <v>일편소엽</v>
      </c>
      <c r="J893" t="str">
        <f>T("심월(心月)")</f>
        <v>심월(心月)</v>
      </c>
      <c r="K893" t="str">
        <f>T("검출형산")</f>
        <v>검출형산</v>
      </c>
      <c r="L893">
        <v>0</v>
      </c>
      <c r="M893">
        <v>0</v>
      </c>
      <c r="N893">
        <v>0</v>
      </c>
      <c r="O893">
        <v>1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1</v>
      </c>
      <c r="AK893">
        <v>0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S893">
        <v>0</v>
      </c>
      <c r="AT893">
        <v>0</v>
      </c>
      <c r="AV893">
        <v>0</v>
      </c>
      <c r="AW893">
        <v>0</v>
      </c>
      <c r="AY893">
        <v>0</v>
      </c>
      <c r="AZ893">
        <v>0</v>
      </c>
      <c r="BA893">
        <v>0</v>
      </c>
      <c r="BE893" t="str">
        <f>T("9791199253612")</f>
        <v>9791199253612</v>
      </c>
      <c r="BF893" t="str">
        <f>T("D011769")</f>
        <v>D011769</v>
      </c>
      <c r="BG893" t="str">
        <f>T("판타지 웹소설 &gt; 무협 소설")</f>
        <v>판타지 웹소설 &gt; 무협 소설</v>
      </c>
    </row>
    <row r="894" spans="1:59">
      <c r="A894" t="s">
        <v>60</v>
      </c>
      <c r="B894" s="1">
        <v>46129</v>
      </c>
      <c r="C894">
        <v>2378079581</v>
      </c>
      <c r="D894">
        <v>2378079605</v>
      </c>
      <c r="E894" t="str">
        <f>T("검출형산 25화")</f>
        <v>검출형산 25화</v>
      </c>
      <c r="F894">
        <v>25</v>
      </c>
      <c r="G894" t="str">
        <f>T("일편소엽")</f>
        <v>일편소엽</v>
      </c>
      <c r="J894" t="str">
        <f>T("심월(心月)")</f>
        <v>심월(心月)</v>
      </c>
      <c r="K894" t="str">
        <f>T("검출형산")</f>
        <v>검출형산</v>
      </c>
      <c r="L894">
        <v>0</v>
      </c>
      <c r="M894">
        <v>0</v>
      </c>
      <c r="N894">
        <v>0</v>
      </c>
      <c r="O894">
        <v>1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1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S894">
        <v>0</v>
      </c>
      <c r="AT894">
        <v>0</v>
      </c>
      <c r="AV894">
        <v>0</v>
      </c>
      <c r="AW894">
        <v>0</v>
      </c>
      <c r="AY894">
        <v>0</v>
      </c>
      <c r="AZ894">
        <v>0</v>
      </c>
      <c r="BA894">
        <v>0</v>
      </c>
      <c r="BE894" t="str">
        <f>T("9791199253612")</f>
        <v>9791199253612</v>
      </c>
      <c r="BF894" t="str">
        <f>T("D011770")</f>
        <v>D011770</v>
      </c>
      <c r="BG894" t="str">
        <f>T("판타지 웹소설 &gt; 무협 소설")</f>
        <v>판타지 웹소설 &gt; 무협 소설</v>
      </c>
    </row>
    <row r="895" spans="1:59">
      <c r="A895" t="s">
        <v>60</v>
      </c>
      <c r="B895" s="1">
        <v>46129</v>
      </c>
      <c r="C895">
        <v>2378079581</v>
      </c>
      <c r="D895">
        <v>2378079759</v>
      </c>
      <c r="E895" t="str">
        <f>T("검출형산 179화")</f>
        <v>검출형산 179화</v>
      </c>
      <c r="F895">
        <v>179</v>
      </c>
      <c r="G895" t="str">
        <f>T("일편소엽")</f>
        <v>일편소엽</v>
      </c>
      <c r="J895" t="str">
        <f>T("심월(心月)")</f>
        <v>심월(心月)</v>
      </c>
      <c r="K895" t="str">
        <f>T("검출형산")</f>
        <v>검출형산</v>
      </c>
      <c r="L895">
        <v>100</v>
      </c>
      <c r="M895">
        <v>100</v>
      </c>
      <c r="N895">
        <v>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100</v>
      </c>
      <c r="AJ895">
        <v>1</v>
      </c>
      <c r="AK895">
        <v>0</v>
      </c>
      <c r="AL895">
        <v>0</v>
      </c>
      <c r="AM895">
        <v>0</v>
      </c>
      <c r="AN895">
        <v>0</v>
      </c>
      <c r="AO895">
        <v>120</v>
      </c>
      <c r="AP895">
        <v>-12</v>
      </c>
      <c r="AQ895">
        <v>0</v>
      </c>
      <c r="AS895">
        <v>0</v>
      </c>
      <c r="AT895">
        <v>0</v>
      </c>
      <c r="AU895">
        <v>120</v>
      </c>
      <c r="AV895">
        <v>-12</v>
      </c>
      <c r="AW895">
        <v>0</v>
      </c>
      <c r="AY895">
        <v>0</v>
      </c>
      <c r="AZ895">
        <v>0</v>
      </c>
      <c r="BA895">
        <v>75.599999999999994</v>
      </c>
      <c r="BE895" t="str">
        <f>T("9791199253612")</f>
        <v>9791199253612</v>
      </c>
      <c r="BF895" t="str">
        <f>T("D061524")</f>
        <v>D061524</v>
      </c>
      <c r="BG895" t="str">
        <f>T("판타지 웹소설 &gt; 무협 소설")</f>
        <v>판타지 웹소설 &gt; 무협 소설</v>
      </c>
    </row>
    <row r="896" spans="1:59">
      <c r="A896" t="s">
        <v>60</v>
      </c>
      <c r="B896" s="1">
        <v>46129</v>
      </c>
      <c r="C896">
        <v>2378079581</v>
      </c>
      <c r="D896">
        <v>2378079760</v>
      </c>
      <c r="E896" t="str">
        <f>T("검출형산 180화")</f>
        <v>검출형산 180화</v>
      </c>
      <c r="F896">
        <v>180</v>
      </c>
      <c r="G896" t="str">
        <f>T("일편소엽")</f>
        <v>일편소엽</v>
      </c>
      <c r="J896" t="str">
        <f>T("심월(心月)")</f>
        <v>심월(心月)</v>
      </c>
      <c r="K896" t="str">
        <f>T("검출형산")</f>
        <v>검출형산</v>
      </c>
      <c r="L896">
        <v>100</v>
      </c>
      <c r="M896">
        <v>100</v>
      </c>
      <c r="N896">
        <v>1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100</v>
      </c>
      <c r="AJ896">
        <v>1</v>
      </c>
      <c r="AK896">
        <v>0</v>
      </c>
      <c r="AL896">
        <v>0</v>
      </c>
      <c r="AM896">
        <v>0</v>
      </c>
      <c r="AN896">
        <v>0</v>
      </c>
      <c r="AO896">
        <v>120</v>
      </c>
      <c r="AP896">
        <v>-12</v>
      </c>
      <c r="AQ896">
        <v>0</v>
      </c>
      <c r="AS896">
        <v>0</v>
      </c>
      <c r="AT896">
        <v>0</v>
      </c>
      <c r="AU896">
        <v>120</v>
      </c>
      <c r="AV896">
        <v>-12</v>
      </c>
      <c r="AW896">
        <v>0</v>
      </c>
      <c r="AY896">
        <v>0</v>
      </c>
      <c r="AZ896">
        <v>0</v>
      </c>
      <c r="BA896">
        <v>75.599999999999994</v>
      </c>
      <c r="BE896" t="str">
        <f>T("9791199253612")</f>
        <v>9791199253612</v>
      </c>
      <c r="BF896" t="str">
        <f>T("D061525")</f>
        <v>D061525</v>
      </c>
      <c r="BG896" t="str">
        <f>T("판타지 웹소설 &gt; 무협 소설")</f>
        <v>판타지 웹소설 &gt; 무협 소설</v>
      </c>
    </row>
    <row r="897" spans="1:59">
      <c r="A897" t="s">
        <v>60</v>
      </c>
      <c r="B897" s="1">
        <v>46129</v>
      </c>
      <c r="C897">
        <v>2378079581</v>
      </c>
      <c r="D897">
        <v>2378079761</v>
      </c>
      <c r="E897" t="str">
        <f>T("검출형산 181화")</f>
        <v>검출형산 181화</v>
      </c>
      <c r="F897">
        <v>181</v>
      </c>
      <c r="G897" t="str">
        <f>T("일편소엽")</f>
        <v>일편소엽</v>
      </c>
      <c r="J897" t="str">
        <f>T("심월(心月)")</f>
        <v>심월(心月)</v>
      </c>
      <c r="K897" t="str">
        <f>T("검출형산")</f>
        <v>검출형산</v>
      </c>
      <c r="L897">
        <v>100</v>
      </c>
      <c r="M897">
        <v>100</v>
      </c>
      <c r="N897">
        <v>1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100</v>
      </c>
      <c r="AJ897">
        <v>1</v>
      </c>
      <c r="AK897">
        <v>0</v>
      </c>
      <c r="AL897">
        <v>0</v>
      </c>
      <c r="AM897">
        <v>0</v>
      </c>
      <c r="AN897">
        <v>0</v>
      </c>
      <c r="AO897">
        <v>120</v>
      </c>
      <c r="AP897">
        <v>-12</v>
      </c>
      <c r="AQ897">
        <v>0</v>
      </c>
      <c r="AS897">
        <v>0</v>
      </c>
      <c r="AT897">
        <v>0</v>
      </c>
      <c r="AU897">
        <v>120</v>
      </c>
      <c r="AV897">
        <v>-12</v>
      </c>
      <c r="AW897">
        <v>0</v>
      </c>
      <c r="AY897">
        <v>0</v>
      </c>
      <c r="AZ897">
        <v>0</v>
      </c>
      <c r="BA897">
        <v>75.599999999999994</v>
      </c>
      <c r="BE897" t="str">
        <f>T("9791199253612")</f>
        <v>9791199253612</v>
      </c>
      <c r="BF897" t="str">
        <f>T("D061526")</f>
        <v>D061526</v>
      </c>
      <c r="BG897" t="str">
        <f>T("판타지 웹소설 &gt; 무협 소설")</f>
        <v>판타지 웹소설 &gt; 무협 소설</v>
      </c>
    </row>
    <row r="898" spans="1:59">
      <c r="A898" t="s">
        <v>60</v>
      </c>
      <c r="B898" s="1">
        <v>46129</v>
      </c>
      <c r="C898">
        <v>2378079581</v>
      </c>
      <c r="D898">
        <v>2378079762</v>
      </c>
      <c r="E898" t="str">
        <f>T("검출형산 182화")</f>
        <v>검출형산 182화</v>
      </c>
      <c r="F898">
        <v>182</v>
      </c>
      <c r="G898" t="str">
        <f>T("일편소엽")</f>
        <v>일편소엽</v>
      </c>
      <c r="J898" t="str">
        <f>T("심월(心月)")</f>
        <v>심월(心月)</v>
      </c>
      <c r="K898" t="str">
        <f>T("검출형산")</f>
        <v>검출형산</v>
      </c>
      <c r="L898">
        <v>100</v>
      </c>
      <c r="M898">
        <v>100</v>
      </c>
      <c r="N898">
        <v>1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100</v>
      </c>
      <c r="AJ898">
        <v>1</v>
      </c>
      <c r="AK898">
        <v>0</v>
      </c>
      <c r="AL898">
        <v>0</v>
      </c>
      <c r="AM898">
        <v>0</v>
      </c>
      <c r="AN898">
        <v>0</v>
      </c>
      <c r="AO898">
        <v>120</v>
      </c>
      <c r="AP898">
        <v>-12</v>
      </c>
      <c r="AQ898">
        <v>0</v>
      </c>
      <c r="AS898">
        <v>0</v>
      </c>
      <c r="AT898">
        <v>0</v>
      </c>
      <c r="AU898">
        <v>120</v>
      </c>
      <c r="AV898">
        <v>-12</v>
      </c>
      <c r="AW898">
        <v>0</v>
      </c>
      <c r="AY898">
        <v>0</v>
      </c>
      <c r="AZ898">
        <v>0</v>
      </c>
      <c r="BA898">
        <v>75.599999999999994</v>
      </c>
      <c r="BE898" t="str">
        <f>T("9791199253612")</f>
        <v>9791199253612</v>
      </c>
      <c r="BF898" t="str">
        <f>T("D061527")</f>
        <v>D061527</v>
      </c>
      <c r="BG898" t="str">
        <f>T("판타지 웹소설 &gt; 무협 소설")</f>
        <v>판타지 웹소설 &gt; 무협 소설</v>
      </c>
    </row>
    <row r="899" spans="1:59">
      <c r="A899" t="s">
        <v>60</v>
      </c>
      <c r="B899" s="1">
        <v>46129</v>
      </c>
      <c r="C899">
        <v>2378079581</v>
      </c>
      <c r="D899">
        <v>2378079763</v>
      </c>
      <c r="E899" t="str">
        <f>T("검출형산 183화")</f>
        <v>검출형산 183화</v>
      </c>
      <c r="F899">
        <v>183</v>
      </c>
      <c r="G899" t="str">
        <f>T("일편소엽")</f>
        <v>일편소엽</v>
      </c>
      <c r="J899" t="str">
        <f>T("심월(心月)")</f>
        <v>심월(心月)</v>
      </c>
      <c r="K899" t="str">
        <f>T("검출형산")</f>
        <v>검출형산</v>
      </c>
      <c r="L899">
        <v>100</v>
      </c>
      <c r="M899">
        <v>100</v>
      </c>
      <c r="N899">
        <v>1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0</v>
      </c>
      <c r="AH899">
        <v>0</v>
      </c>
      <c r="AI899">
        <v>100</v>
      </c>
      <c r="AJ899">
        <v>1</v>
      </c>
      <c r="AK899">
        <v>0</v>
      </c>
      <c r="AL899">
        <v>0</v>
      </c>
      <c r="AM899">
        <v>0</v>
      </c>
      <c r="AN899">
        <v>0</v>
      </c>
      <c r="AO899">
        <v>120</v>
      </c>
      <c r="AP899">
        <v>-12</v>
      </c>
      <c r="AQ899">
        <v>0</v>
      </c>
      <c r="AS899">
        <v>0</v>
      </c>
      <c r="AT899">
        <v>0</v>
      </c>
      <c r="AU899">
        <v>120</v>
      </c>
      <c r="AV899">
        <v>-12</v>
      </c>
      <c r="AW899">
        <v>0</v>
      </c>
      <c r="AY899">
        <v>0</v>
      </c>
      <c r="AZ899">
        <v>0</v>
      </c>
      <c r="BA899">
        <v>75.599999999999994</v>
      </c>
      <c r="BE899" t="str">
        <f>T("9791199253612")</f>
        <v>9791199253612</v>
      </c>
      <c r="BF899" t="str">
        <f>T("D061528")</f>
        <v>D061528</v>
      </c>
      <c r="BG899" t="str">
        <f>T("판타지 웹소설 &gt; 무협 소설")</f>
        <v>판타지 웹소설 &gt; 무협 소설</v>
      </c>
    </row>
    <row r="900" spans="1:59">
      <c r="A900" t="s">
        <v>60</v>
      </c>
      <c r="B900" s="1">
        <v>46129</v>
      </c>
      <c r="C900">
        <v>2378079581</v>
      </c>
      <c r="D900">
        <v>2378079764</v>
      </c>
      <c r="E900" t="str">
        <f>T("검출형산 184화")</f>
        <v>검출형산 184화</v>
      </c>
      <c r="F900">
        <v>184</v>
      </c>
      <c r="G900" t="str">
        <f>T("일편소엽")</f>
        <v>일편소엽</v>
      </c>
      <c r="J900" t="str">
        <f>T("심월(心月)")</f>
        <v>심월(心月)</v>
      </c>
      <c r="K900" t="str">
        <f>T("검출형산")</f>
        <v>검출형산</v>
      </c>
      <c r="L900">
        <v>100</v>
      </c>
      <c r="M900">
        <v>100</v>
      </c>
      <c r="N900">
        <v>1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100</v>
      </c>
      <c r="AJ900">
        <v>1</v>
      </c>
      <c r="AK900">
        <v>0</v>
      </c>
      <c r="AL900">
        <v>0</v>
      </c>
      <c r="AM900">
        <v>0</v>
      </c>
      <c r="AN900">
        <v>0</v>
      </c>
      <c r="AO900">
        <v>120</v>
      </c>
      <c r="AP900">
        <v>-12</v>
      </c>
      <c r="AQ900">
        <v>0</v>
      </c>
      <c r="AS900">
        <v>0</v>
      </c>
      <c r="AT900">
        <v>0</v>
      </c>
      <c r="AU900">
        <v>120</v>
      </c>
      <c r="AV900">
        <v>-12</v>
      </c>
      <c r="AW900">
        <v>0</v>
      </c>
      <c r="AY900">
        <v>0</v>
      </c>
      <c r="AZ900">
        <v>0</v>
      </c>
      <c r="BA900">
        <v>75.599999999999994</v>
      </c>
      <c r="BE900" t="str">
        <f>T("9791199253612")</f>
        <v>9791199253612</v>
      </c>
      <c r="BF900" t="str">
        <f>T("D061529")</f>
        <v>D061529</v>
      </c>
      <c r="BG900" t="str">
        <f>T("판타지 웹소설 &gt; 무협 소설")</f>
        <v>판타지 웹소설 &gt; 무협 소설</v>
      </c>
    </row>
    <row r="901" spans="1:59">
      <c r="A901" t="s">
        <v>60</v>
      </c>
      <c r="B901" s="1">
        <v>46129</v>
      </c>
      <c r="C901">
        <v>2378079581</v>
      </c>
      <c r="D901">
        <v>2378079765</v>
      </c>
      <c r="E901" t="str">
        <f>T("검출형산 185화")</f>
        <v>검출형산 185화</v>
      </c>
      <c r="F901">
        <v>185</v>
      </c>
      <c r="G901" t="str">
        <f>T("일편소엽")</f>
        <v>일편소엽</v>
      </c>
      <c r="J901" t="str">
        <f>T("심월(心月)")</f>
        <v>심월(心月)</v>
      </c>
      <c r="K901" t="str">
        <f>T("검출형산")</f>
        <v>검출형산</v>
      </c>
      <c r="L901">
        <v>100</v>
      </c>
      <c r="M901">
        <v>100</v>
      </c>
      <c r="N901">
        <v>1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100</v>
      </c>
      <c r="AJ901">
        <v>1</v>
      </c>
      <c r="AK901">
        <v>0</v>
      </c>
      <c r="AL901">
        <v>0</v>
      </c>
      <c r="AM901">
        <v>0</v>
      </c>
      <c r="AN901">
        <v>0</v>
      </c>
      <c r="AO901">
        <v>120</v>
      </c>
      <c r="AP901">
        <v>-12</v>
      </c>
      <c r="AQ901">
        <v>0</v>
      </c>
      <c r="AS901">
        <v>0</v>
      </c>
      <c r="AT901">
        <v>0</v>
      </c>
      <c r="AU901">
        <v>120</v>
      </c>
      <c r="AV901">
        <v>-12</v>
      </c>
      <c r="AW901">
        <v>0</v>
      </c>
      <c r="AY901">
        <v>0</v>
      </c>
      <c r="AZ901">
        <v>0</v>
      </c>
      <c r="BA901">
        <v>75.599999999999994</v>
      </c>
      <c r="BE901" t="str">
        <f>T("9791199253612")</f>
        <v>9791199253612</v>
      </c>
      <c r="BF901" t="str">
        <f>T("D061530")</f>
        <v>D061530</v>
      </c>
      <c r="BG901" t="str">
        <f>T("판타지 웹소설 &gt; 무협 소설")</f>
        <v>판타지 웹소설 &gt; 무협 소설</v>
      </c>
    </row>
    <row r="902" spans="1:59">
      <c r="A902" t="s">
        <v>60</v>
      </c>
      <c r="B902" s="1">
        <v>46129</v>
      </c>
      <c r="C902">
        <v>2378079581</v>
      </c>
      <c r="D902">
        <v>2378079766</v>
      </c>
      <c r="E902" t="str">
        <f>T("검출형산 186화")</f>
        <v>검출형산 186화</v>
      </c>
      <c r="F902">
        <v>186</v>
      </c>
      <c r="G902" t="str">
        <f>T("일편소엽")</f>
        <v>일편소엽</v>
      </c>
      <c r="J902" t="str">
        <f>T("심월(心月)")</f>
        <v>심월(心月)</v>
      </c>
      <c r="K902" t="str">
        <f>T("검출형산")</f>
        <v>검출형산</v>
      </c>
      <c r="L902">
        <v>100</v>
      </c>
      <c r="M902">
        <v>100</v>
      </c>
      <c r="N902">
        <v>1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100</v>
      </c>
      <c r="AJ902">
        <v>1</v>
      </c>
      <c r="AK902">
        <v>0</v>
      </c>
      <c r="AL902">
        <v>0</v>
      </c>
      <c r="AM902">
        <v>0</v>
      </c>
      <c r="AN902">
        <v>0</v>
      </c>
      <c r="AO902">
        <v>120</v>
      </c>
      <c r="AP902">
        <v>-12</v>
      </c>
      <c r="AQ902">
        <v>0</v>
      </c>
      <c r="AS902">
        <v>0</v>
      </c>
      <c r="AT902">
        <v>0</v>
      </c>
      <c r="AU902">
        <v>120</v>
      </c>
      <c r="AV902">
        <v>-12</v>
      </c>
      <c r="AW902">
        <v>0</v>
      </c>
      <c r="AY902">
        <v>0</v>
      </c>
      <c r="AZ902">
        <v>0</v>
      </c>
      <c r="BA902">
        <v>75.599999999999994</v>
      </c>
      <c r="BE902" t="str">
        <f>T("9791199253612")</f>
        <v>9791199253612</v>
      </c>
      <c r="BF902" t="str">
        <f>T("D061531")</f>
        <v>D061531</v>
      </c>
      <c r="BG902" t="str">
        <f>T("판타지 웹소설 &gt; 무협 소설")</f>
        <v>판타지 웹소설 &gt; 무협 소설</v>
      </c>
    </row>
    <row r="903" spans="1:59">
      <c r="A903" t="s">
        <v>60</v>
      </c>
      <c r="B903" s="1">
        <v>46129</v>
      </c>
      <c r="C903">
        <v>2378079581</v>
      </c>
      <c r="D903">
        <v>2378079767</v>
      </c>
      <c r="E903" t="str">
        <f>T("검출형산 187화")</f>
        <v>검출형산 187화</v>
      </c>
      <c r="F903">
        <v>187</v>
      </c>
      <c r="G903" t="str">
        <f>T("일편소엽")</f>
        <v>일편소엽</v>
      </c>
      <c r="J903" t="str">
        <f>T("심월(心月)")</f>
        <v>심월(心月)</v>
      </c>
      <c r="K903" t="str">
        <f>T("검출형산")</f>
        <v>검출형산</v>
      </c>
      <c r="L903">
        <v>100</v>
      </c>
      <c r="M903">
        <v>100</v>
      </c>
      <c r="N903">
        <v>1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100</v>
      </c>
      <c r="AJ903">
        <v>1</v>
      </c>
      <c r="AK903">
        <v>0</v>
      </c>
      <c r="AL903">
        <v>0</v>
      </c>
      <c r="AM903">
        <v>0</v>
      </c>
      <c r="AN903">
        <v>0</v>
      </c>
      <c r="AO903">
        <v>120</v>
      </c>
      <c r="AP903">
        <v>-12</v>
      </c>
      <c r="AQ903">
        <v>0</v>
      </c>
      <c r="AS903">
        <v>0</v>
      </c>
      <c r="AT903">
        <v>0</v>
      </c>
      <c r="AU903">
        <v>120</v>
      </c>
      <c r="AV903">
        <v>-12</v>
      </c>
      <c r="AW903">
        <v>0</v>
      </c>
      <c r="AY903">
        <v>0</v>
      </c>
      <c r="AZ903">
        <v>0</v>
      </c>
      <c r="BA903">
        <v>75.599999999999994</v>
      </c>
      <c r="BE903" t="str">
        <f>T("9791199253612")</f>
        <v>9791199253612</v>
      </c>
      <c r="BF903" t="str">
        <f>T("D061532")</f>
        <v>D061532</v>
      </c>
      <c r="BG903" t="str">
        <f>T("판타지 웹소설 &gt; 무협 소설")</f>
        <v>판타지 웹소설 &gt; 무협 소설</v>
      </c>
    </row>
    <row r="904" spans="1:59">
      <c r="A904" t="s">
        <v>60</v>
      </c>
      <c r="B904" s="1">
        <v>46129</v>
      </c>
      <c r="C904">
        <v>2378079581</v>
      </c>
      <c r="D904">
        <v>2378079768</v>
      </c>
      <c r="E904" t="str">
        <f>T("검출형산 188화")</f>
        <v>검출형산 188화</v>
      </c>
      <c r="F904">
        <v>188</v>
      </c>
      <c r="G904" t="str">
        <f>T("일편소엽")</f>
        <v>일편소엽</v>
      </c>
      <c r="J904" t="str">
        <f>T("심월(心月)")</f>
        <v>심월(心月)</v>
      </c>
      <c r="K904" t="str">
        <f>T("검출형산")</f>
        <v>검출형산</v>
      </c>
      <c r="L904">
        <v>100</v>
      </c>
      <c r="M904">
        <v>100</v>
      </c>
      <c r="N904">
        <v>1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0</v>
      </c>
      <c r="AI904">
        <v>100</v>
      </c>
      <c r="AJ904">
        <v>1</v>
      </c>
      <c r="AK904">
        <v>0</v>
      </c>
      <c r="AL904">
        <v>0</v>
      </c>
      <c r="AM904">
        <v>0</v>
      </c>
      <c r="AN904">
        <v>0</v>
      </c>
      <c r="AO904">
        <v>120</v>
      </c>
      <c r="AP904">
        <v>-12</v>
      </c>
      <c r="AQ904">
        <v>0</v>
      </c>
      <c r="AS904">
        <v>0</v>
      </c>
      <c r="AT904">
        <v>0</v>
      </c>
      <c r="AU904">
        <v>120</v>
      </c>
      <c r="AV904">
        <v>-12</v>
      </c>
      <c r="AW904">
        <v>0</v>
      </c>
      <c r="AY904">
        <v>0</v>
      </c>
      <c r="AZ904">
        <v>0</v>
      </c>
      <c r="BA904">
        <v>75.599999999999994</v>
      </c>
      <c r="BE904" t="str">
        <f>T("9791199253612")</f>
        <v>9791199253612</v>
      </c>
      <c r="BF904" t="str">
        <f>T("D061533")</f>
        <v>D061533</v>
      </c>
      <c r="BG904" t="str">
        <f>T("판타지 웹소설 &gt; 무협 소설")</f>
        <v>판타지 웹소설 &gt; 무협 소설</v>
      </c>
    </row>
    <row r="905" spans="1:59">
      <c r="A905" t="s">
        <v>60</v>
      </c>
      <c r="B905" s="1">
        <v>46129</v>
      </c>
      <c r="C905">
        <v>2378079581</v>
      </c>
      <c r="D905">
        <v>2378079769</v>
      </c>
      <c r="E905" t="str">
        <f>T("검출형산 189화")</f>
        <v>검출형산 189화</v>
      </c>
      <c r="F905">
        <v>189</v>
      </c>
      <c r="G905" t="str">
        <f>T("일편소엽")</f>
        <v>일편소엽</v>
      </c>
      <c r="J905" t="str">
        <f>T("심월(心月)")</f>
        <v>심월(心月)</v>
      </c>
      <c r="K905" t="str">
        <f>T("검출형산")</f>
        <v>검출형산</v>
      </c>
      <c r="L905">
        <v>100</v>
      </c>
      <c r="M905">
        <v>100</v>
      </c>
      <c r="N905">
        <v>1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100</v>
      </c>
      <c r="AJ905">
        <v>1</v>
      </c>
      <c r="AK905">
        <v>0</v>
      </c>
      <c r="AL905">
        <v>0</v>
      </c>
      <c r="AM905">
        <v>0</v>
      </c>
      <c r="AN905">
        <v>0</v>
      </c>
      <c r="AO905">
        <v>120</v>
      </c>
      <c r="AP905">
        <v>-12</v>
      </c>
      <c r="AQ905">
        <v>0</v>
      </c>
      <c r="AS905">
        <v>0</v>
      </c>
      <c r="AT905">
        <v>0</v>
      </c>
      <c r="AU905">
        <v>120</v>
      </c>
      <c r="AV905">
        <v>-12</v>
      </c>
      <c r="AW905">
        <v>0</v>
      </c>
      <c r="AY905">
        <v>0</v>
      </c>
      <c r="AZ905">
        <v>0</v>
      </c>
      <c r="BA905">
        <v>75.599999999999994</v>
      </c>
      <c r="BE905" t="str">
        <f>T("9791199253612")</f>
        <v>9791199253612</v>
      </c>
      <c r="BF905" t="str">
        <f>T("D061534")</f>
        <v>D061534</v>
      </c>
      <c r="BG905" t="str">
        <f>T("판타지 웹소설 &gt; 무협 소설")</f>
        <v>판타지 웹소설 &gt; 무협 소설</v>
      </c>
    </row>
    <row r="906" spans="1:59">
      <c r="A906" t="s">
        <v>60</v>
      </c>
      <c r="B906" s="1">
        <v>46129</v>
      </c>
      <c r="C906">
        <v>2378079581</v>
      </c>
      <c r="D906">
        <v>2378079770</v>
      </c>
      <c r="E906" t="str">
        <f>T("검출형산 190화")</f>
        <v>검출형산 190화</v>
      </c>
      <c r="F906">
        <v>190</v>
      </c>
      <c r="G906" t="str">
        <f>T("일편소엽")</f>
        <v>일편소엽</v>
      </c>
      <c r="J906" t="str">
        <f>T("심월(心月)")</f>
        <v>심월(心月)</v>
      </c>
      <c r="K906" t="str">
        <f>T("검출형산")</f>
        <v>검출형산</v>
      </c>
      <c r="L906">
        <v>100</v>
      </c>
      <c r="M906">
        <v>100</v>
      </c>
      <c r="N906">
        <v>1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0</v>
      </c>
      <c r="AH906">
        <v>0</v>
      </c>
      <c r="AI906">
        <v>100</v>
      </c>
      <c r="AJ906">
        <v>1</v>
      </c>
      <c r="AK906">
        <v>0</v>
      </c>
      <c r="AL906">
        <v>0</v>
      </c>
      <c r="AM906">
        <v>0</v>
      </c>
      <c r="AN906">
        <v>0</v>
      </c>
      <c r="AO906">
        <v>120</v>
      </c>
      <c r="AP906">
        <v>-12</v>
      </c>
      <c r="AQ906">
        <v>0</v>
      </c>
      <c r="AS906">
        <v>0</v>
      </c>
      <c r="AT906">
        <v>0</v>
      </c>
      <c r="AU906">
        <v>120</v>
      </c>
      <c r="AV906">
        <v>-12</v>
      </c>
      <c r="AW906">
        <v>0</v>
      </c>
      <c r="AY906">
        <v>0</v>
      </c>
      <c r="AZ906">
        <v>0</v>
      </c>
      <c r="BA906">
        <v>75.599999999999994</v>
      </c>
      <c r="BE906" t="str">
        <f>T("9791199253612")</f>
        <v>9791199253612</v>
      </c>
      <c r="BF906" t="str">
        <f>T("D061535")</f>
        <v>D061535</v>
      </c>
      <c r="BG906" t="str">
        <f>T("판타지 웹소설 &gt; 무협 소설")</f>
        <v>판타지 웹소설 &gt; 무협 소설</v>
      </c>
    </row>
    <row r="907" spans="1:59">
      <c r="A907" t="s">
        <v>60</v>
      </c>
      <c r="B907" s="1">
        <v>46129</v>
      </c>
      <c r="C907">
        <v>2378079581</v>
      </c>
      <c r="D907">
        <v>2378079771</v>
      </c>
      <c r="E907" t="str">
        <f>T("검출형산 191화")</f>
        <v>검출형산 191화</v>
      </c>
      <c r="F907">
        <v>191</v>
      </c>
      <c r="G907" t="str">
        <f>T("일편소엽")</f>
        <v>일편소엽</v>
      </c>
      <c r="J907" t="str">
        <f>T("심월(心月)")</f>
        <v>심월(心月)</v>
      </c>
      <c r="K907" t="str">
        <f>T("검출형산")</f>
        <v>검출형산</v>
      </c>
      <c r="L907">
        <v>100</v>
      </c>
      <c r="M907">
        <v>100</v>
      </c>
      <c r="N907">
        <v>1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100</v>
      </c>
      <c r="AJ907">
        <v>1</v>
      </c>
      <c r="AK907">
        <v>0</v>
      </c>
      <c r="AL907">
        <v>0</v>
      </c>
      <c r="AM907">
        <v>0</v>
      </c>
      <c r="AN907">
        <v>0</v>
      </c>
      <c r="AO907">
        <v>120</v>
      </c>
      <c r="AP907">
        <v>-12</v>
      </c>
      <c r="AQ907">
        <v>0</v>
      </c>
      <c r="AS907">
        <v>0</v>
      </c>
      <c r="AT907">
        <v>0</v>
      </c>
      <c r="AU907">
        <v>120</v>
      </c>
      <c r="AV907">
        <v>-12</v>
      </c>
      <c r="AW907">
        <v>0</v>
      </c>
      <c r="AY907">
        <v>0</v>
      </c>
      <c r="AZ907">
        <v>0</v>
      </c>
      <c r="BA907">
        <v>75.599999999999994</v>
      </c>
      <c r="BE907" t="str">
        <f>T("9791199253612")</f>
        <v>9791199253612</v>
      </c>
      <c r="BF907" t="str">
        <f>T("D061536")</f>
        <v>D061536</v>
      </c>
      <c r="BG907" t="str">
        <f>T("판타지 웹소설 &gt; 무협 소설")</f>
        <v>판타지 웹소설 &gt; 무협 소설</v>
      </c>
    </row>
    <row r="908" spans="1:59">
      <c r="A908" t="s">
        <v>60</v>
      </c>
      <c r="B908" s="1">
        <v>46129</v>
      </c>
      <c r="C908">
        <v>2378079581</v>
      </c>
      <c r="D908">
        <v>2378079772</v>
      </c>
      <c r="E908" t="str">
        <f>T("검출형산 192화")</f>
        <v>검출형산 192화</v>
      </c>
      <c r="F908">
        <v>192</v>
      </c>
      <c r="G908" t="str">
        <f>T("일편소엽")</f>
        <v>일편소엽</v>
      </c>
      <c r="J908" t="str">
        <f>T("심월(心月)")</f>
        <v>심월(心月)</v>
      </c>
      <c r="K908" t="str">
        <f>T("검출형산")</f>
        <v>검출형산</v>
      </c>
      <c r="L908">
        <v>100</v>
      </c>
      <c r="M908">
        <v>100</v>
      </c>
      <c r="N908">
        <v>1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100</v>
      </c>
      <c r="AJ908">
        <v>1</v>
      </c>
      <c r="AK908">
        <v>0</v>
      </c>
      <c r="AL908">
        <v>0</v>
      </c>
      <c r="AM908">
        <v>0</v>
      </c>
      <c r="AN908">
        <v>0</v>
      </c>
      <c r="AO908">
        <v>120</v>
      </c>
      <c r="AP908">
        <v>-12</v>
      </c>
      <c r="AQ908">
        <v>0</v>
      </c>
      <c r="AS908">
        <v>0</v>
      </c>
      <c r="AT908">
        <v>0</v>
      </c>
      <c r="AU908">
        <v>120</v>
      </c>
      <c r="AV908">
        <v>-12</v>
      </c>
      <c r="AW908">
        <v>0</v>
      </c>
      <c r="AY908">
        <v>0</v>
      </c>
      <c r="AZ908">
        <v>0</v>
      </c>
      <c r="BA908">
        <v>75.599999999999994</v>
      </c>
      <c r="BE908" t="str">
        <f>T("9791199253612")</f>
        <v>9791199253612</v>
      </c>
      <c r="BF908" t="str">
        <f>T("D061537")</f>
        <v>D061537</v>
      </c>
      <c r="BG908" t="str">
        <f>T("판타지 웹소설 &gt; 무협 소설")</f>
        <v>판타지 웹소설 &gt; 무협 소설</v>
      </c>
    </row>
    <row r="909" spans="1:59">
      <c r="A909" t="s">
        <v>60</v>
      </c>
      <c r="B909" s="1">
        <v>46129</v>
      </c>
      <c r="C909">
        <v>2378079581</v>
      </c>
      <c r="D909">
        <v>2378079773</v>
      </c>
      <c r="E909" t="str">
        <f>T("검출형산 193화")</f>
        <v>검출형산 193화</v>
      </c>
      <c r="F909">
        <v>193</v>
      </c>
      <c r="G909" t="str">
        <f>T("일편소엽")</f>
        <v>일편소엽</v>
      </c>
      <c r="J909" t="str">
        <f>T("심월(心月)")</f>
        <v>심월(心月)</v>
      </c>
      <c r="K909" t="str">
        <f>T("검출형산")</f>
        <v>검출형산</v>
      </c>
      <c r="L909">
        <v>100</v>
      </c>
      <c r="M909">
        <v>100</v>
      </c>
      <c r="N909">
        <v>1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100</v>
      </c>
      <c r="AJ909">
        <v>1</v>
      </c>
      <c r="AK909">
        <v>0</v>
      </c>
      <c r="AL909">
        <v>0</v>
      </c>
      <c r="AM909">
        <v>0</v>
      </c>
      <c r="AN909">
        <v>0</v>
      </c>
      <c r="AO909">
        <v>120</v>
      </c>
      <c r="AP909">
        <v>-12</v>
      </c>
      <c r="AQ909">
        <v>0</v>
      </c>
      <c r="AS909">
        <v>0</v>
      </c>
      <c r="AT909">
        <v>0</v>
      </c>
      <c r="AU909">
        <v>120</v>
      </c>
      <c r="AV909">
        <v>-12</v>
      </c>
      <c r="AW909">
        <v>0</v>
      </c>
      <c r="AY909">
        <v>0</v>
      </c>
      <c r="AZ909">
        <v>0</v>
      </c>
      <c r="BA909">
        <v>75.599999999999994</v>
      </c>
      <c r="BE909" t="str">
        <f>T("9791199253612")</f>
        <v>9791199253612</v>
      </c>
      <c r="BF909" t="str">
        <f>T("D061538")</f>
        <v>D061538</v>
      </c>
      <c r="BG909" t="str">
        <f>T("판타지 웹소설 &gt; 무협 소설")</f>
        <v>판타지 웹소설 &gt; 무협 소설</v>
      </c>
    </row>
    <row r="910" spans="1:59">
      <c r="A910" t="s">
        <v>60</v>
      </c>
      <c r="B910" s="1">
        <v>46129</v>
      </c>
      <c r="C910">
        <v>2378079581</v>
      </c>
      <c r="D910">
        <v>2378079774</v>
      </c>
      <c r="E910" t="str">
        <f>T("검출형산 194화")</f>
        <v>검출형산 194화</v>
      </c>
      <c r="F910">
        <v>194</v>
      </c>
      <c r="G910" t="str">
        <f>T("일편소엽")</f>
        <v>일편소엽</v>
      </c>
      <c r="J910" t="str">
        <f>T("심월(心月)")</f>
        <v>심월(心月)</v>
      </c>
      <c r="K910" t="str">
        <f>T("검출형산")</f>
        <v>검출형산</v>
      </c>
      <c r="L910">
        <v>100</v>
      </c>
      <c r="M910">
        <v>100</v>
      </c>
      <c r="N910">
        <v>1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100</v>
      </c>
      <c r="AJ910">
        <v>1</v>
      </c>
      <c r="AK910">
        <v>0</v>
      </c>
      <c r="AL910">
        <v>0</v>
      </c>
      <c r="AM910">
        <v>0</v>
      </c>
      <c r="AN910">
        <v>0</v>
      </c>
      <c r="AO910">
        <v>120</v>
      </c>
      <c r="AP910">
        <v>-12</v>
      </c>
      <c r="AQ910">
        <v>0</v>
      </c>
      <c r="AS910">
        <v>0</v>
      </c>
      <c r="AT910">
        <v>0</v>
      </c>
      <c r="AU910">
        <v>120</v>
      </c>
      <c r="AV910">
        <v>-12</v>
      </c>
      <c r="AW910">
        <v>0</v>
      </c>
      <c r="AY910">
        <v>0</v>
      </c>
      <c r="AZ910">
        <v>0</v>
      </c>
      <c r="BA910">
        <v>75.599999999999994</v>
      </c>
      <c r="BE910" t="str">
        <f>T("9791199253612")</f>
        <v>9791199253612</v>
      </c>
      <c r="BF910" t="str">
        <f>T("D061539")</f>
        <v>D061539</v>
      </c>
      <c r="BG910" t="str">
        <f>T("판타지 웹소설 &gt; 무협 소설")</f>
        <v>판타지 웹소설 &gt; 무협 소설</v>
      </c>
    </row>
    <row r="911" spans="1:59">
      <c r="A911" t="s">
        <v>60</v>
      </c>
      <c r="B911" s="1">
        <v>46129</v>
      </c>
      <c r="C911">
        <v>2378079581</v>
      </c>
      <c r="D911">
        <v>2378079775</v>
      </c>
      <c r="E911" t="str">
        <f>T("검출형산 195화")</f>
        <v>검출형산 195화</v>
      </c>
      <c r="F911">
        <v>195</v>
      </c>
      <c r="G911" t="str">
        <f>T("일편소엽")</f>
        <v>일편소엽</v>
      </c>
      <c r="J911" t="str">
        <f>T("심월(心月)")</f>
        <v>심월(心月)</v>
      </c>
      <c r="K911" t="str">
        <f>T("검출형산")</f>
        <v>검출형산</v>
      </c>
      <c r="L911">
        <v>100</v>
      </c>
      <c r="M911">
        <v>100</v>
      </c>
      <c r="N911">
        <v>1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100</v>
      </c>
      <c r="AJ911">
        <v>1</v>
      </c>
      <c r="AK911">
        <v>0</v>
      </c>
      <c r="AL911">
        <v>0</v>
      </c>
      <c r="AM911">
        <v>0</v>
      </c>
      <c r="AN911">
        <v>0</v>
      </c>
      <c r="AO911">
        <v>120</v>
      </c>
      <c r="AP911">
        <v>-12</v>
      </c>
      <c r="AQ911">
        <v>0</v>
      </c>
      <c r="AS911">
        <v>0</v>
      </c>
      <c r="AT911">
        <v>0</v>
      </c>
      <c r="AU911">
        <v>120</v>
      </c>
      <c r="AV911">
        <v>-12</v>
      </c>
      <c r="AW911">
        <v>0</v>
      </c>
      <c r="AY911">
        <v>0</v>
      </c>
      <c r="AZ911">
        <v>0</v>
      </c>
      <c r="BA911">
        <v>75.599999999999994</v>
      </c>
      <c r="BE911" t="str">
        <f>T("9791199253612")</f>
        <v>9791199253612</v>
      </c>
      <c r="BF911" t="str">
        <f>T("D061540")</f>
        <v>D061540</v>
      </c>
      <c r="BG911" t="str">
        <f>T("판타지 웹소설 &gt; 무협 소설")</f>
        <v>판타지 웹소설 &gt; 무협 소설</v>
      </c>
    </row>
    <row r="912" spans="1:59">
      <c r="A912" t="s">
        <v>60</v>
      </c>
      <c r="B912" s="1">
        <v>46129</v>
      </c>
      <c r="C912">
        <v>2378079581</v>
      </c>
      <c r="D912">
        <v>2378079776</v>
      </c>
      <c r="E912" t="str">
        <f>T("검출형산 196화")</f>
        <v>검출형산 196화</v>
      </c>
      <c r="F912">
        <v>196</v>
      </c>
      <c r="G912" t="str">
        <f>T("일편소엽")</f>
        <v>일편소엽</v>
      </c>
      <c r="J912" t="str">
        <f>T("심월(心月)")</f>
        <v>심월(心月)</v>
      </c>
      <c r="K912" t="str">
        <f>T("검출형산")</f>
        <v>검출형산</v>
      </c>
      <c r="L912">
        <v>100</v>
      </c>
      <c r="M912">
        <v>100</v>
      </c>
      <c r="N912">
        <v>1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100</v>
      </c>
      <c r="AJ912">
        <v>1</v>
      </c>
      <c r="AK912">
        <v>0</v>
      </c>
      <c r="AL912">
        <v>0</v>
      </c>
      <c r="AM912">
        <v>0</v>
      </c>
      <c r="AN912">
        <v>0</v>
      </c>
      <c r="AO912">
        <v>120</v>
      </c>
      <c r="AP912">
        <v>-12</v>
      </c>
      <c r="AQ912">
        <v>0</v>
      </c>
      <c r="AS912">
        <v>0</v>
      </c>
      <c r="AT912">
        <v>0</v>
      </c>
      <c r="AU912">
        <v>120</v>
      </c>
      <c r="AV912">
        <v>-12</v>
      </c>
      <c r="AW912">
        <v>0</v>
      </c>
      <c r="AY912">
        <v>0</v>
      </c>
      <c r="AZ912">
        <v>0</v>
      </c>
      <c r="BA912">
        <v>75.599999999999994</v>
      </c>
      <c r="BE912" t="str">
        <f>T("9791199253612")</f>
        <v>9791199253612</v>
      </c>
      <c r="BF912" t="str">
        <f>T("D061541")</f>
        <v>D061541</v>
      </c>
      <c r="BG912" t="str">
        <f>T("판타지 웹소설 &gt; 무협 소설")</f>
        <v>판타지 웹소설 &gt; 무협 소설</v>
      </c>
    </row>
    <row r="913" spans="1:59">
      <c r="A913" t="s">
        <v>60</v>
      </c>
      <c r="B913" s="1">
        <v>46129</v>
      </c>
      <c r="C913">
        <v>2378079581</v>
      </c>
      <c r="D913">
        <v>2378079777</v>
      </c>
      <c r="E913" t="str">
        <f>T("검출형산 197화")</f>
        <v>검출형산 197화</v>
      </c>
      <c r="F913">
        <v>197</v>
      </c>
      <c r="G913" t="str">
        <f>T("일편소엽")</f>
        <v>일편소엽</v>
      </c>
      <c r="J913" t="str">
        <f>T("심월(心月)")</f>
        <v>심월(心月)</v>
      </c>
      <c r="K913" t="str">
        <f>T("검출형산")</f>
        <v>검출형산</v>
      </c>
      <c r="L913">
        <v>100</v>
      </c>
      <c r="M913">
        <v>100</v>
      </c>
      <c r="N913">
        <v>1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100</v>
      </c>
      <c r="AJ913">
        <v>1</v>
      </c>
      <c r="AK913">
        <v>0</v>
      </c>
      <c r="AL913">
        <v>0</v>
      </c>
      <c r="AM913">
        <v>0</v>
      </c>
      <c r="AN913">
        <v>0</v>
      </c>
      <c r="AO913">
        <v>120</v>
      </c>
      <c r="AP913">
        <v>-12</v>
      </c>
      <c r="AQ913">
        <v>0</v>
      </c>
      <c r="AS913">
        <v>0</v>
      </c>
      <c r="AT913">
        <v>0</v>
      </c>
      <c r="AU913">
        <v>120</v>
      </c>
      <c r="AV913">
        <v>-12</v>
      </c>
      <c r="AW913">
        <v>0</v>
      </c>
      <c r="AY913">
        <v>0</v>
      </c>
      <c r="AZ913">
        <v>0</v>
      </c>
      <c r="BA913">
        <v>75.599999999999994</v>
      </c>
      <c r="BE913" t="str">
        <f>T("9791199253612")</f>
        <v>9791199253612</v>
      </c>
      <c r="BF913" t="str">
        <f>T("D061542")</f>
        <v>D061542</v>
      </c>
      <c r="BG913" t="str">
        <f>T("판타지 웹소설 &gt; 무협 소설")</f>
        <v>판타지 웹소설 &gt; 무협 소설</v>
      </c>
    </row>
    <row r="914" spans="1:59">
      <c r="A914" t="s">
        <v>60</v>
      </c>
      <c r="B914" s="1">
        <v>46129</v>
      </c>
      <c r="C914">
        <v>2378079581</v>
      </c>
      <c r="D914">
        <v>2378079778</v>
      </c>
      <c r="E914" t="str">
        <f>T("검출형산 198화")</f>
        <v>검출형산 198화</v>
      </c>
      <c r="F914">
        <v>198</v>
      </c>
      <c r="G914" t="str">
        <f>T("일편소엽")</f>
        <v>일편소엽</v>
      </c>
      <c r="J914" t="str">
        <f>T("심월(心月)")</f>
        <v>심월(心月)</v>
      </c>
      <c r="K914" t="str">
        <f>T("검출형산")</f>
        <v>검출형산</v>
      </c>
      <c r="L914">
        <v>100</v>
      </c>
      <c r="M914">
        <v>100</v>
      </c>
      <c r="N914">
        <v>1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100</v>
      </c>
      <c r="AJ914">
        <v>1</v>
      </c>
      <c r="AK914">
        <v>0</v>
      </c>
      <c r="AL914">
        <v>0</v>
      </c>
      <c r="AM914">
        <v>0</v>
      </c>
      <c r="AN914">
        <v>0</v>
      </c>
      <c r="AO914">
        <v>120</v>
      </c>
      <c r="AP914">
        <v>-12</v>
      </c>
      <c r="AQ914">
        <v>0</v>
      </c>
      <c r="AS914">
        <v>0</v>
      </c>
      <c r="AT914">
        <v>0</v>
      </c>
      <c r="AU914">
        <v>120</v>
      </c>
      <c r="AV914">
        <v>-12</v>
      </c>
      <c r="AW914">
        <v>0</v>
      </c>
      <c r="AY914">
        <v>0</v>
      </c>
      <c r="AZ914">
        <v>0</v>
      </c>
      <c r="BA914">
        <v>75.599999999999994</v>
      </c>
      <c r="BE914" t="str">
        <f>T("9791199253612")</f>
        <v>9791199253612</v>
      </c>
      <c r="BF914" t="str">
        <f>T("D061543")</f>
        <v>D061543</v>
      </c>
      <c r="BG914" t="str">
        <f>T("판타지 웹소설 &gt; 무협 소설")</f>
        <v>판타지 웹소설 &gt; 무협 소설</v>
      </c>
    </row>
    <row r="915" spans="1:59">
      <c r="A915" t="s">
        <v>60</v>
      </c>
      <c r="B915" s="1">
        <v>46129</v>
      </c>
      <c r="C915">
        <v>2378079581</v>
      </c>
      <c r="D915">
        <v>2378079779</v>
      </c>
      <c r="E915" t="str">
        <f>T("검출형산 199화")</f>
        <v>검출형산 199화</v>
      </c>
      <c r="F915">
        <v>199</v>
      </c>
      <c r="G915" t="str">
        <f>T("일편소엽")</f>
        <v>일편소엽</v>
      </c>
      <c r="J915" t="str">
        <f>T("심월(心月)")</f>
        <v>심월(心月)</v>
      </c>
      <c r="K915" t="str">
        <f>T("검출형산")</f>
        <v>검출형산</v>
      </c>
      <c r="L915">
        <v>100</v>
      </c>
      <c r="M915">
        <v>100</v>
      </c>
      <c r="N915">
        <v>1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100</v>
      </c>
      <c r="AJ915">
        <v>1</v>
      </c>
      <c r="AK915">
        <v>0</v>
      </c>
      <c r="AL915">
        <v>0</v>
      </c>
      <c r="AM915">
        <v>0</v>
      </c>
      <c r="AN915">
        <v>0</v>
      </c>
      <c r="AO915">
        <v>120</v>
      </c>
      <c r="AP915">
        <v>-12</v>
      </c>
      <c r="AQ915">
        <v>0</v>
      </c>
      <c r="AS915">
        <v>0</v>
      </c>
      <c r="AT915">
        <v>0</v>
      </c>
      <c r="AU915">
        <v>120</v>
      </c>
      <c r="AV915">
        <v>-12</v>
      </c>
      <c r="AW915">
        <v>0</v>
      </c>
      <c r="AY915">
        <v>0</v>
      </c>
      <c r="AZ915">
        <v>0</v>
      </c>
      <c r="BA915">
        <v>75.599999999999994</v>
      </c>
      <c r="BE915" t="str">
        <f>T("9791199253612")</f>
        <v>9791199253612</v>
      </c>
      <c r="BF915" t="str">
        <f>T("D061544")</f>
        <v>D061544</v>
      </c>
      <c r="BG915" t="str">
        <f>T("판타지 웹소설 &gt; 무협 소설")</f>
        <v>판타지 웹소설 &gt; 무협 소설</v>
      </c>
    </row>
    <row r="916" spans="1:59">
      <c r="A916" t="s">
        <v>60</v>
      </c>
      <c r="B916" s="1">
        <v>46129</v>
      </c>
      <c r="C916">
        <v>2378079581</v>
      </c>
      <c r="D916">
        <v>2378079780</v>
      </c>
      <c r="E916" t="str">
        <f>T("검출형산 200화")</f>
        <v>검출형산 200화</v>
      </c>
      <c r="F916">
        <v>200</v>
      </c>
      <c r="G916" t="str">
        <f>T("일편소엽")</f>
        <v>일편소엽</v>
      </c>
      <c r="J916" t="str">
        <f>T("심월(心月)")</f>
        <v>심월(心月)</v>
      </c>
      <c r="K916" t="str">
        <f>T("검출형산")</f>
        <v>검출형산</v>
      </c>
      <c r="L916">
        <v>100</v>
      </c>
      <c r="M916">
        <v>100</v>
      </c>
      <c r="N916">
        <v>1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100</v>
      </c>
      <c r="AJ916">
        <v>1</v>
      </c>
      <c r="AK916">
        <v>0</v>
      </c>
      <c r="AL916">
        <v>0</v>
      </c>
      <c r="AM916">
        <v>0</v>
      </c>
      <c r="AN916">
        <v>0</v>
      </c>
      <c r="AO916">
        <v>120</v>
      </c>
      <c r="AP916">
        <v>-12</v>
      </c>
      <c r="AQ916">
        <v>0</v>
      </c>
      <c r="AS916">
        <v>0</v>
      </c>
      <c r="AT916">
        <v>0</v>
      </c>
      <c r="AU916">
        <v>120</v>
      </c>
      <c r="AV916">
        <v>-12</v>
      </c>
      <c r="AW916">
        <v>0</v>
      </c>
      <c r="AY916">
        <v>0</v>
      </c>
      <c r="AZ916">
        <v>0</v>
      </c>
      <c r="BA916">
        <v>75.599999999999994</v>
      </c>
      <c r="BE916" t="str">
        <f>T("9791199253612")</f>
        <v>9791199253612</v>
      </c>
      <c r="BF916" t="str">
        <f>T("D061545")</f>
        <v>D061545</v>
      </c>
      <c r="BG916" t="str">
        <f>T("판타지 웹소설 &gt; 무협 소설")</f>
        <v>판타지 웹소설 &gt; 무협 소설</v>
      </c>
    </row>
    <row r="917" spans="1:59">
      <c r="A917" t="s">
        <v>60</v>
      </c>
      <c r="B917" s="1">
        <v>46129</v>
      </c>
      <c r="C917">
        <v>2378079581</v>
      </c>
      <c r="D917">
        <v>2378079781</v>
      </c>
      <c r="E917" t="str">
        <f>T("검출형산 201화")</f>
        <v>검출형산 201화</v>
      </c>
      <c r="F917">
        <v>201</v>
      </c>
      <c r="G917" t="str">
        <f>T("일편소엽")</f>
        <v>일편소엽</v>
      </c>
      <c r="J917" t="str">
        <f>T("심월(心月)")</f>
        <v>심월(心月)</v>
      </c>
      <c r="K917" t="str">
        <f>T("검출형산")</f>
        <v>검출형산</v>
      </c>
      <c r="L917">
        <v>100</v>
      </c>
      <c r="M917">
        <v>100</v>
      </c>
      <c r="N917">
        <v>1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0</v>
      </c>
      <c r="AH917">
        <v>0</v>
      </c>
      <c r="AI917">
        <v>100</v>
      </c>
      <c r="AJ917">
        <v>1</v>
      </c>
      <c r="AK917">
        <v>0</v>
      </c>
      <c r="AL917">
        <v>0</v>
      </c>
      <c r="AM917">
        <v>0</v>
      </c>
      <c r="AN917">
        <v>0</v>
      </c>
      <c r="AO917">
        <v>120</v>
      </c>
      <c r="AP917">
        <v>-12</v>
      </c>
      <c r="AQ917">
        <v>0</v>
      </c>
      <c r="AS917">
        <v>0</v>
      </c>
      <c r="AT917">
        <v>0</v>
      </c>
      <c r="AU917">
        <v>120</v>
      </c>
      <c r="AV917">
        <v>-12</v>
      </c>
      <c r="AW917">
        <v>0</v>
      </c>
      <c r="AY917">
        <v>0</v>
      </c>
      <c r="AZ917">
        <v>0</v>
      </c>
      <c r="BA917">
        <v>75.599999999999994</v>
      </c>
      <c r="BE917" t="str">
        <f>T("9791199253612")</f>
        <v>9791199253612</v>
      </c>
      <c r="BF917" t="str">
        <f>T("D061546")</f>
        <v>D061546</v>
      </c>
      <c r="BG917" t="str">
        <f>T("판타지 웹소설 &gt; 무협 소설")</f>
        <v>판타지 웹소설 &gt; 무협 소설</v>
      </c>
    </row>
    <row r="918" spans="1:59">
      <c r="A918" t="s">
        <v>60</v>
      </c>
      <c r="B918" s="1">
        <v>46129</v>
      </c>
      <c r="C918">
        <v>2378079581</v>
      </c>
      <c r="D918">
        <v>2378079782</v>
      </c>
      <c r="E918" t="str">
        <f>T("검출형산 202화")</f>
        <v>검출형산 202화</v>
      </c>
      <c r="F918">
        <v>202</v>
      </c>
      <c r="G918" t="str">
        <f>T("일편소엽")</f>
        <v>일편소엽</v>
      </c>
      <c r="J918" t="str">
        <f>T("심월(心月)")</f>
        <v>심월(心月)</v>
      </c>
      <c r="K918" t="str">
        <f>T("검출형산")</f>
        <v>검출형산</v>
      </c>
      <c r="L918">
        <v>100</v>
      </c>
      <c r="M918">
        <v>100</v>
      </c>
      <c r="N918">
        <v>1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100</v>
      </c>
      <c r="AJ918">
        <v>1</v>
      </c>
      <c r="AK918">
        <v>0</v>
      </c>
      <c r="AL918">
        <v>0</v>
      </c>
      <c r="AM918">
        <v>0</v>
      </c>
      <c r="AN918">
        <v>0</v>
      </c>
      <c r="AO918">
        <v>120</v>
      </c>
      <c r="AP918">
        <v>-12</v>
      </c>
      <c r="AQ918">
        <v>0</v>
      </c>
      <c r="AS918">
        <v>0</v>
      </c>
      <c r="AT918">
        <v>0</v>
      </c>
      <c r="AU918">
        <v>120</v>
      </c>
      <c r="AV918">
        <v>-12</v>
      </c>
      <c r="AW918">
        <v>0</v>
      </c>
      <c r="AY918">
        <v>0</v>
      </c>
      <c r="AZ918">
        <v>0</v>
      </c>
      <c r="BA918">
        <v>75.599999999999994</v>
      </c>
      <c r="BE918" t="str">
        <f>T("9791199253612")</f>
        <v>9791199253612</v>
      </c>
      <c r="BF918" t="str">
        <f>T("D061547")</f>
        <v>D061547</v>
      </c>
      <c r="BG918" t="str">
        <f>T("판타지 웹소설 &gt; 무협 소설")</f>
        <v>판타지 웹소설 &gt; 무협 소설</v>
      </c>
    </row>
    <row r="919" spans="1:59">
      <c r="A919" t="s">
        <v>60</v>
      </c>
      <c r="B919" s="1">
        <v>46129</v>
      </c>
      <c r="C919">
        <v>2378079581</v>
      </c>
      <c r="D919">
        <v>2378079783</v>
      </c>
      <c r="E919" t="str">
        <f>T("검출형산 203화")</f>
        <v>검출형산 203화</v>
      </c>
      <c r="F919">
        <v>203</v>
      </c>
      <c r="G919" t="str">
        <f>T("일편소엽")</f>
        <v>일편소엽</v>
      </c>
      <c r="J919" t="str">
        <f>T("심월(心月)")</f>
        <v>심월(心月)</v>
      </c>
      <c r="K919" t="str">
        <f>T("검출형산")</f>
        <v>검출형산</v>
      </c>
      <c r="L919">
        <v>100</v>
      </c>
      <c r="M919">
        <v>100</v>
      </c>
      <c r="N919">
        <v>1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100</v>
      </c>
      <c r="AJ919">
        <v>1</v>
      </c>
      <c r="AK919">
        <v>0</v>
      </c>
      <c r="AL919">
        <v>0</v>
      </c>
      <c r="AM919">
        <v>0</v>
      </c>
      <c r="AN919">
        <v>0</v>
      </c>
      <c r="AO919">
        <v>120</v>
      </c>
      <c r="AP919">
        <v>-12</v>
      </c>
      <c r="AQ919">
        <v>0</v>
      </c>
      <c r="AS919">
        <v>0</v>
      </c>
      <c r="AT919">
        <v>0</v>
      </c>
      <c r="AU919">
        <v>120</v>
      </c>
      <c r="AV919">
        <v>-12</v>
      </c>
      <c r="AW919">
        <v>0</v>
      </c>
      <c r="AY919">
        <v>0</v>
      </c>
      <c r="AZ919">
        <v>0</v>
      </c>
      <c r="BA919">
        <v>75.599999999999994</v>
      </c>
      <c r="BE919" t="str">
        <f>T("9791199253612")</f>
        <v>9791199253612</v>
      </c>
      <c r="BF919" t="str">
        <f>T("D061548")</f>
        <v>D061548</v>
      </c>
      <c r="BG919" t="str">
        <f>T("판타지 웹소설 &gt; 무협 소설")</f>
        <v>판타지 웹소설 &gt; 무협 소설</v>
      </c>
    </row>
    <row r="920" spans="1:59">
      <c r="A920" t="s">
        <v>60</v>
      </c>
      <c r="B920" s="1">
        <v>46129</v>
      </c>
      <c r="C920">
        <v>2378079581</v>
      </c>
      <c r="D920">
        <v>2378079784</v>
      </c>
      <c r="E920" t="str">
        <f>T("검출형산 204화")</f>
        <v>검출형산 204화</v>
      </c>
      <c r="F920">
        <v>204</v>
      </c>
      <c r="G920" t="str">
        <f>T("일편소엽")</f>
        <v>일편소엽</v>
      </c>
      <c r="J920" t="str">
        <f>T("심월(心月)")</f>
        <v>심월(心月)</v>
      </c>
      <c r="K920" t="str">
        <f>T("검출형산")</f>
        <v>검출형산</v>
      </c>
      <c r="L920">
        <v>100</v>
      </c>
      <c r="M920">
        <v>100</v>
      </c>
      <c r="N920">
        <v>1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100</v>
      </c>
      <c r="AJ920">
        <v>1</v>
      </c>
      <c r="AK920">
        <v>0</v>
      </c>
      <c r="AL920">
        <v>0</v>
      </c>
      <c r="AM920">
        <v>0</v>
      </c>
      <c r="AN920">
        <v>0</v>
      </c>
      <c r="AO920">
        <v>120</v>
      </c>
      <c r="AP920">
        <v>-12</v>
      </c>
      <c r="AQ920">
        <v>0</v>
      </c>
      <c r="AS920">
        <v>0</v>
      </c>
      <c r="AT920">
        <v>0</v>
      </c>
      <c r="AU920">
        <v>120</v>
      </c>
      <c r="AV920">
        <v>-12</v>
      </c>
      <c r="AW920">
        <v>0</v>
      </c>
      <c r="AY920">
        <v>0</v>
      </c>
      <c r="AZ920">
        <v>0</v>
      </c>
      <c r="BA920">
        <v>75.599999999999994</v>
      </c>
      <c r="BE920" t="str">
        <f>T("9791199253612")</f>
        <v>9791199253612</v>
      </c>
      <c r="BF920" t="str">
        <f>T("D061549")</f>
        <v>D061549</v>
      </c>
      <c r="BG920" t="str">
        <f>T("판타지 웹소설 &gt; 무협 소설")</f>
        <v>판타지 웹소설 &gt; 무협 소설</v>
      </c>
    </row>
    <row r="921" spans="1:59">
      <c r="A921" t="s">
        <v>60</v>
      </c>
      <c r="B921" s="1">
        <v>46129</v>
      </c>
      <c r="C921">
        <v>2378079581</v>
      </c>
      <c r="D921">
        <v>2378079785</v>
      </c>
      <c r="E921" t="str">
        <f>T("검출형산 205화")</f>
        <v>검출형산 205화</v>
      </c>
      <c r="F921">
        <v>205</v>
      </c>
      <c r="G921" t="str">
        <f>T("일편소엽")</f>
        <v>일편소엽</v>
      </c>
      <c r="J921" t="str">
        <f>T("심월(心月)")</f>
        <v>심월(心月)</v>
      </c>
      <c r="K921" t="str">
        <f>T("검출형산")</f>
        <v>검출형산</v>
      </c>
      <c r="L921">
        <v>100</v>
      </c>
      <c r="M921">
        <v>100</v>
      </c>
      <c r="N921">
        <v>1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100</v>
      </c>
      <c r="AJ921">
        <v>1</v>
      </c>
      <c r="AK921">
        <v>0</v>
      </c>
      <c r="AL921">
        <v>0</v>
      </c>
      <c r="AM921">
        <v>0</v>
      </c>
      <c r="AN921">
        <v>0</v>
      </c>
      <c r="AO921">
        <v>120</v>
      </c>
      <c r="AP921">
        <v>-12</v>
      </c>
      <c r="AQ921">
        <v>0</v>
      </c>
      <c r="AS921">
        <v>0</v>
      </c>
      <c r="AT921">
        <v>0</v>
      </c>
      <c r="AU921">
        <v>120</v>
      </c>
      <c r="AV921">
        <v>-12</v>
      </c>
      <c r="AW921">
        <v>0</v>
      </c>
      <c r="AY921">
        <v>0</v>
      </c>
      <c r="AZ921">
        <v>0</v>
      </c>
      <c r="BA921">
        <v>75.599999999999994</v>
      </c>
      <c r="BE921" t="str">
        <f>T("9791199253612")</f>
        <v>9791199253612</v>
      </c>
      <c r="BF921" t="str">
        <f>T("D061550")</f>
        <v>D061550</v>
      </c>
      <c r="BG921" t="str">
        <f>T("판타지 웹소설 &gt; 무협 소설")</f>
        <v>판타지 웹소설 &gt; 무협 소설</v>
      </c>
    </row>
    <row r="922" spans="1:59">
      <c r="A922" t="s">
        <v>60</v>
      </c>
      <c r="B922" s="1">
        <v>46129</v>
      </c>
      <c r="C922">
        <v>2378079581</v>
      </c>
      <c r="D922">
        <v>2378079786</v>
      </c>
      <c r="E922" t="str">
        <f>T("검출형산 206화")</f>
        <v>검출형산 206화</v>
      </c>
      <c r="F922">
        <v>206</v>
      </c>
      <c r="G922" t="str">
        <f>T("일편소엽")</f>
        <v>일편소엽</v>
      </c>
      <c r="J922" t="str">
        <f>T("심월(心月)")</f>
        <v>심월(心月)</v>
      </c>
      <c r="K922" t="str">
        <f>T("검출형산")</f>
        <v>검출형산</v>
      </c>
      <c r="L922">
        <v>100</v>
      </c>
      <c r="M922">
        <v>100</v>
      </c>
      <c r="N922">
        <v>1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100</v>
      </c>
      <c r="AJ922">
        <v>1</v>
      </c>
      <c r="AK922">
        <v>0</v>
      </c>
      <c r="AL922">
        <v>0</v>
      </c>
      <c r="AM922">
        <v>0</v>
      </c>
      <c r="AN922">
        <v>0</v>
      </c>
      <c r="AO922">
        <v>120</v>
      </c>
      <c r="AP922">
        <v>-12</v>
      </c>
      <c r="AQ922">
        <v>0</v>
      </c>
      <c r="AS922">
        <v>0</v>
      </c>
      <c r="AT922">
        <v>0</v>
      </c>
      <c r="AU922">
        <v>120</v>
      </c>
      <c r="AV922">
        <v>-12</v>
      </c>
      <c r="AW922">
        <v>0</v>
      </c>
      <c r="AY922">
        <v>0</v>
      </c>
      <c r="AZ922">
        <v>0</v>
      </c>
      <c r="BA922">
        <v>75.599999999999994</v>
      </c>
      <c r="BE922" t="str">
        <f>T("9791199253612")</f>
        <v>9791199253612</v>
      </c>
      <c r="BF922" t="str">
        <f>T("D061551")</f>
        <v>D061551</v>
      </c>
      <c r="BG922" t="str">
        <f>T("판타지 웹소설 &gt; 무협 소설")</f>
        <v>판타지 웹소설 &gt; 무협 소설</v>
      </c>
    </row>
    <row r="923" spans="1:59">
      <c r="A923" t="s">
        <v>60</v>
      </c>
      <c r="B923" s="1">
        <v>46129</v>
      </c>
      <c r="C923">
        <v>2378079581</v>
      </c>
      <c r="D923">
        <v>2378079787</v>
      </c>
      <c r="E923" t="str">
        <f>T("검출형산 207화")</f>
        <v>검출형산 207화</v>
      </c>
      <c r="F923">
        <v>207</v>
      </c>
      <c r="G923" t="str">
        <f>T("일편소엽")</f>
        <v>일편소엽</v>
      </c>
      <c r="J923" t="str">
        <f>T("심월(心月)")</f>
        <v>심월(心月)</v>
      </c>
      <c r="K923" t="str">
        <f>T("검출형산")</f>
        <v>검출형산</v>
      </c>
      <c r="L923">
        <v>100</v>
      </c>
      <c r="M923">
        <v>100</v>
      </c>
      <c r="N923">
        <v>1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100</v>
      </c>
      <c r="AJ923">
        <v>1</v>
      </c>
      <c r="AK923">
        <v>0</v>
      </c>
      <c r="AL923">
        <v>0</v>
      </c>
      <c r="AM923">
        <v>0</v>
      </c>
      <c r="AN923">
        <v>0</v>
      </c>
      <c r="AO923">
        <v>120</v>
      </c>
      <c r="AP923">
        <v>-12</v>
      </c>
      <c r="AQ923">
        <v>0</v>
      </c>
      <c r="AS923">
        <v>0</v>
      </c>
      <c r="AT923">
        <v>0</v>
      </c>
      <c r="AU923">
        <v>120</v>
      </c>
      <c r="AV923">
        <v>-12</v>
      </c>
      <c r="AW923">
        <v>0</v>
      </c>
      <c r="AY923">
        <v>0</v>
      </c>
      <c r="AZ923">
        <v>0</v>
      </c>
      <c r="BA923">
        <v>75.599999999999994</v>
      </c>
      <c r="BE923" t="str">
        <f>T("9791199253612")</f>
        <v>9791199253612</v>
      </c>
      <c r="BF923" t="str">
        <f>T("D061552")</f>
        <v>D061552</v>
      </c>
      <c r="BG923" t="str">
        <f>T("판타지 웹소설 &gt; 무협 소설")</f>
        <v>판타지 웹소설 &gt; 무협 소설</v>
      </c>
    </row>
    <row r="924" spans="1:59">
      <c r="A924" t="s">
        <v>60</v>
      </c>
      <c r="B924" s="1">
        <v>46129</v>
      </c>
      <c r="C924">
        <v>2378079581</v>
      </c>
      <c r="D924">
        <v>2378079788</v>
      </c>
      <c r="E924" t="str">
        <f>T("검출형산 208화")</f>
        <v>검출형산 208화</v>
      </c>
      <c r="F924">
        <v>208</v>
      </c>
      <c r="G924" t="str">
        <f>T("일편소엽")</f>
        <v>일편소엽</v>
      </c>
      <c r="J924" t="str">
        <f>T("심월(心月)")</f>
        <v>심월(心月)</v>
      </c>
      <c r="K924" t="str">
        <f>T("검출형산")</f>
        <v>검출형산</v>
      </c>
      <c r="L924">
        <v>100</v>
      </c>
      <c r="M924">
        <v>100</v>
      </c>
      <c r="N924">
        <v>1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100</v>
      </c>
      <c r="AJ924">
        <v>1</v>
      </c>
      <c r="AK924">
        <v>0</v>
      </c>
      <c r="AL924">
        <v>0</v>
      </c>
      <c r="AM924">
        <v>0</v>
      </c>
      <c r="AN924">
        <v>0</v>
      </c>
      <c r="AO924">
        <v>120</v>
      </c>
      <c r="AP924">
        <v>-12</v>
      </c>
      <c r="AQ924">
        <v>0</v>
      </c>
      <c r="AS924">
        <v>0</v>
      </c>
      <c r="AT924">
        <v>0</v>
      </c>
      <c r="AU924">
        <v>120</v>
      </c>
      <c r="AV924">
        <v>-12</v>
      </c>
      <c r="AW924">
        <v>0</v>
      </c>
      <c r="AY924">
        <v>0</v>
      </c>
      <c r="AZ924">
        <v>0</v>
      </c>
      <c r="BA924">
        <v>75.599999999999994</v>
      </c>
      <c r="BE924" t="str">
        <f>T("9791199253612")</f>
        <v>9791199253612</v>
      </c>
      <c r="BF924" t="str">
        <f>T("D061553")</f>
        <v>D061553</v>
      </c>
      <c r="BG924" t="str">
        <f>T("판타지 웹소설 &gt; 무협 소설")</f>
        <v>판타지 웹소설 &gt; 무협 소설</v>
      </c>
    </row>
    <row r="925" spans="1:59">
      <c r="A925" t="s">
        <v>60</v>
      </c>
      <c r="B925" s="1">
        <v>46129</v>
      </c>
      <c r="C925">
        <v>2378079581</v>
      </c>
      <c r="D925">
        <v>2378079789</v>
      </c>
      <c r="E925" t="str">
        <f>T("검출형산 209화")</f>
        <v>검출형산 209화</v>
      </c>
      <c r="F925">
        <v>209</v>
      </c>
      <c r="G925" t="str">
        <f>T("일편소엽")</f>
        <v>일편소엽</v>
      </c>
      <c r="J925" t="str">
        <f>T("심월(心月)")</f>
        <v>심월(心月)</v>
      </c>
      <c r="K925" t="str">
        <f>T("검출형산")</f>
        <v>검출형산</v>
      </c>
      <c r="L925">
        <v>100</v>
      </c>
      <c r="M925">
        <v>100</v>
      </c>
      <c r="N925">
        <v>1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100</v>
      </c>
      <c r="AJ925">
        <v>1</v>
      </c>
      <c r="AK925">
        <v>0</v>
      </c>
      <c r="AL925">
        <v>0</v>
      </c>
      <c r="AM925">
        <v>0</v>
      </c>
      <c r="AN925">
        <v>0</v>
      </c>
      <c r="AO925">
        <v>120</v>
      </c>
      <c r="AP925">
        <v>-12</v>
      </c>
      <c r="AQ925">
        <v>0</v>
      </c>
      <c r="AS925">
        <v>0</v>
      </c>
      <c r="AT925">
        <v>0</v>
      </c>
      <c r="AU925">
        <v>120</v>
      </c>
      <c r="AV925">
        <v>-12</v>
      </c>
      <c r="AW925">
        <v>0</v>
      </c>
      <c r="AY925">
        <v>0</v>
      </c>
      <c r="AZ925">
        <v>0</v>
      </c>
      <c r="BA925">
        <v>75.599999999999994</v>
      </c>
      <c r="BE925" t="str">
        <f>T("9791199253612")</f>
        <v>9791199253612</v>
      </c>
      <c r="BF925" t="str">
        <f>T("D061554")</f>
        <v>D061554</v>
      </c>
      <c r="BG925" t="str">
        <f>T("판타지 웹소설 &gt; 무협 소설")</f>
        <v>판타지 웹소설 &gt; 무협 소설</v>
      </c>
    </row>
    <row r="926" spans="1:59">
      <c r="A926" t="s">
        <v>60</v>
      </c>
      <c r="B926" s="1">
        <v>46129</v>
      </c>
      <c r="C926">
        <v>2378079581</v>
      </c>
      <c r="D926">
        <v>2378079790</v>
      </c>
      <c r="E926" t="str">
        <f>T("검출형산 210화")</f>
        <v>검출형산 210화</v>
      </c>
      <c r="F926">
        <v>210</v>
      </c>
      <c r="G926" t="str">
        <f>T("일편소엽")</f>
        <v>일편소엽</v>
      </c>
      <c r="J926" t="str">
        <f>T("심월(心月)")</f>
        <v>심월(心月)</v>
      </c>
      <c r="K926" t="str">
        <f>T("검출형산")</f>
        <v>검출형산</v>
      </c>
      <c r="L926">
        <v>100</v>
      </c>
      <c r="M926">
        <v>100</v>
      </c>
      <c r="N926">
        <v>1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100</v>
      </c>
      <c r="AJ926">
        <v>1</v>
      </c>
      <c r="AK926">
        <v>0</v>
      </c>
      <c r="AL926">
        <v>0</v>
      </c>
      <c r="AM926">
        <v>0</v>
      </c>
      <c r="AN926">
        <v>0</v>
      </c>
      <c r="AO926">
        <v>120</v>
      </c>
      <c r="AP926">
        <v>-12</v>
      </c>
      <c r="AQ926">
        <v>0</v>
      </c>
      <c r="AS926">
        <v>0</v>
      </c>
      <c r="AT926">
        <v>0</v>
      </c>
      <c r="AU926">
        <v>120</v>
      </c>
      <c r="AV926">
        <v>-12</v>
      </c>
      <c r="AW926">
        <v>0</v>
      </c>
      <c r="AY926">
        <v>0</v>
      </c>
      <c r="AZ926">
        <v>0</v>
      </c>
      <c r="BA926">
        <v>75.599999999999994</v>
      </c>
      <c r="BE926" t="str">
        <f>T("9791199253612")</f>
        <v>9791199253612</v>
      </c>
      <c r="BF926" t="str">
        <f>T("D061555")</f>
        <v>D061555</v>
      </c>
      <c r="BG926" t="str">
        <f>T("판타지 웹소설 &gt; 무협 소설")</f>
        <v>판타지 웹소설 &gt; 무협 소설</v>
      </c>
    </row>
    <row r="927" spans="1:59">
      <c r="A927" t="s">
        <v>60</v>
      </c>
      <c r="B927" s="1">
        <v>46129</v>
      </c>
      <c r="C927">
        <v>2378079581</v>
      </c>
      <c r="D927">
        <v>2378079791</v>
      </c>
      <c r="E927" t="str">
        <f>T("검출형산 211화")</f>
        <v>검출형산 211화</v>
      </c>
      <c r="F927">
        <v>211</v>
      </c>
      <c r="G927" t="str">
        <f>T("일편소엽")</f>
        <v>일편소엽</v>
      </c>
      <c r="J927" t="str">
        <f>T("심월(心月)")</f>
        <v>심월(心月)</v>
      </c>
      <c r="K927" t="str">
        <f>T("검출형산")</f>
        <v>검출형산</v>
      </c>
      <c r="L927">
        <v>100</v>
      </c>
      <c r="M927">
        <v>100</v>
      </c>
      <c r="N927">
        <v>1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100</v>
      </c>
      <c r="AJ927">
        <v>1</v>
      </c>
      <c r="AK927">
        <v>0</v>
      </c>
      <c r="AL927">
        <v>0</v>
      </c>
      <c r="AM927">
        <v>0</v>
      </c>
      <c r="AN927">
        <v>0</v>
      </c>
      <c r="AO927">
        <v>120</v>
      </c>
      <c r="AP927">
        <v>-12</v>
      </c>
      <c r="AQ927">
        <v>0</v>
      </c>
      <c r="AS927">
        <v>0</v>
      </c>
      <c r="AT927">
        <v>0</v>
      </c>
      <c r="AU927">
        <v>120</v>
      </c>
      <c r="AV927">
        <v>-12</v>
      </c>
      <c r="AW927">
        <v>0</v>
      </c>
      <c r="AY927">
        <v>0</v>
      </c>
      <c r="AZ927">
        <v>0</v>
      </c>
      <c r="BA927">
        <v>75.599999999999994</v>
      </c>
      <c r="BE927" t="str">
        <f>T("9791199253612")</f>
        <v>9791199253612</v>
      </c>
      <c r="BF927" t="str">
        <f>T("D061556")</f>
        <v>D061556</v>
      </c>
      <c r="BG927" t="str">
        <f>T("판타지 웹소설 &gt; 무협 소설")</f>
        <v>판타지 웹소설 &gt; 무협 소설</v>
      </c>
    </row>
    <row r="928" spans="1:59">
      <c r="A928" t="s">
        <v>60</v>
      </c>
      <c r="B928" s="1">
        <v>46129</v>
      </c>
      <c r="C928">
        <v>2378079581</v>
      </c>
      <c r="D928">
        <v>2378079792</v>
      </c>
      <c r="E928" t="str">
        <f>T("검출형산 212화")</f>
        <v>검출형산 212화</v>
      </c>
      <c r="F928">
        <v>212</v>
      </c>
      <c r="G928" t="str">
        <f>T("일편소엽")</f>
        <v>일편소엽</v>
      </c>
      <c r="J928" t="str">
        <f>T("심월(心月)")</f>
        <v>심월(心月)</v>
      </c>
      <c r="K928" t="str">
        <f>T("검출형산")</f>
        <v>검출형산</v>
      </c>
      <c r="L928">
        <v>100</v>
      </c>
      <c r="M928">
        <v>100</v>
      </c>
      <c r="N928">
        <v>1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100</v>
      </c>
      <c r="AJ928">
        <v>1</v>
      </c>
      <c r="AK928">
        <v>0</v>
      </c>
      <c r="AL928">
        <v>0</v>
      </c>
      <c r="AM928">
        <v>0</v>
      </c>
      <c r="AN928">
        <v>0</v>
      </c>
      <c r="AO928">
        <v>120</v>
      </c>
      <c r="AP928">
        <v>-12</v>
      </c>
      <c r="AQ928">
        <v>0</v>
      </c>
      <c r="AS928">
        <v>0</v>
      </c>
      <c r="AT928">
        <v>0</v>
      </c>
      <c r="AU928">
        <v>120</v>
      </c>
      <c r="AV928">
        <v>-12</v>
      </c>
      <c r="AW928">
        <v>0</v>
      </c>
      <c r="AY928">
        <v>0</v>
      </c>
      <c r="AZ928">
        <v>0</v>
      </c>
      <c r="BA928">
        <v>75.599999999999994</v>
      </c>
      <c r="BE928" t="str">
        <f>T("9791199253612")</f>
        <v>9791199253612</v>
      </c>
      <c r="BF928" t="str">
        <f>T("D061557")</f>
        <v>D061557</v>
      </c>
      <c r="BG928" t="str">
        <f>T("판타지 웹소설 &gt; 무협 소설")</f>
        <v>판타지 웹소설 &gt; 무협 소설</v>
      </c>
    </row>
    <row r="929" spans="1:59">
      <c r="A929" t="s">
        <v>60</v>
      </c>
      <c r="B929" s="1">
        <v>46129</v>
      </c>
      <c r="C929">
        <v>2378079581</v>
      </c>
      <c r="D929">
        <v>2378079793</v>
      </c>
      <c r="E929" t="str">
        <f>T("검출형산 213화")</f>
        <v>검출형산 213화</v>
      </c>
      <c r="F929">
        <v>213</v>
      </c>
      <c r="G929" t="str">
        <f>T("일편소엽")</f>
        <v>일편소엽</v>
      </c>
      <c r="J929" t="str">
        <f>T("심월(心月)")</f>
        <v>심월(心月)</v>
      </c>
      <c r="K929" t="str">
        <f>T("검출형산")</f>
        <v>검출형산</v>
      </c>
      <c r="L929">
        <v>100</v>
      </c>
      <c r="M929">
        <v>100</v>
      </c>
      <c r="N929">
        <v>1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100</v>
      </c>
      <c r="AJ929">
        <v>1</v>
      </c>
      <c r="AK929">
        <v>0</v>
      </c>
      <c r="AL929">
        <v>0</v>
      </c>
      <c r="AM929">
        <v>0</v>
      </c>
      <c r="AN929">
        <v>0</v>
      </c>
      <c r="AO929">
        <v>120</v>
      </c>
      <c r="AP929">
        <v>-12</v>
      </c>
      <c r="AQ929">
        <v>0</v>
      </c>
      <c r="AS929">
        <v>0</v>
      </c>
      <c r="AT929">
        <v>0</v>
      </c>
      <c r="AU929">
        <v>120</v>
      </c>
      <c r="AV929">
        <v>-12</v>
      </c>
      <c r="AW929">
        <v>0</v>
      </c>
      <c r="AY929">
        <v>0</v>
      </c>
      <c r="AZ929">
        <v>0</v>
      </c>
      <c r="BA929">
        <v>75.599999999999994</v>
      </c>
      <c r="BE929" t="str">
        <f>T("9791199253612")</f>
        <v>9791199253612</v>
      </c>
      <c r="BF929" t="str">
        <f>T("D061558")</f>
        <v>D061558</v>
      </c>
      <c r="BG929" t="str">
        <f>T("판타지 웹소설 &gt; 무협 소설")</f>
        <v>판타지 웹소설 &gt; 무협 소설</v>
      </c>
    </row>
    <row r="930" spans="1:59">
      <c r="A930" t="s">
        <v>60</v>
      </c>
      <c r="B930" s="1">
        <v>46129</v>
      </c>
      <c r="C930">
        <v>2378079581</v>
      </c>
      <c r="D930">
        <v>2378079794</v>
      </c>
      <c r="E930" t="str">
        <f>T("검출형산 214화")</f>
        <v>검출형산 214화</v>
      </c>
      <c r="F930">
        <v>214</v>
      </c>
      <c r="G930" t="str">
        <f>T("일편소엽")</f>
        <v>일편소엽</v>
      </c>
      <c r="J930" t="str">
        <f>T("심월(心月)")</f>
        <v>심월(心月)</v>
      </c>
      <c r="K930" t="str">
        <f>T("검출형산")</f>
        <v>검출형산</v>
      </c>
      <c r="L930">
        <v>100</v>
      </c>
      <c r="M930">
        <v>100</v>
      </c>
      <c r="N930">
        <v>1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100</v>
      </c>
      <c r="AJ930">
        <v>1</v>
      </c>
      <c r="AK930">
        <v>0</v>
      </c>
      <c r="AL930">
        <v>0</v>
      </c>
      <c r="AM930">
        <v>0</v>
      </c>
      <c r="AN930">
        <v>0</v>
      </c>
      <c r="AO930">
        <v>120</v>
      </c>
      <c r="AP930">
        <v>-12</v>
      </c>
      <c r="AQ930">
        <v>0</v>
      </c>
      <c r="AS930">
        <v>0</v>
      </c>
      <c r="AT930">
        <v>0</v>
      </c>
      <c r="AU930">
        <v>120</v>
      </c>
      <c r="AV930">
        <v>-12</v>
      </c>
      <c r="AW930">
        <v>0</v>
      </c>
      <c r="AY930">
        <v>0</v>
      </c>
      <c r="AZ930">
        <v>0</v>
      </c>
      <c r="BA930">
        <v>75.599999999999994</v>
      </c>
      <c r="BE930" t="str">
        <f>T("9791199253612")</f>
        <v>9791199253612</v>
      </c>
      <c r="BF930" t="str">
        <f>T("D061559")</f>
        <v>D061559</v>
      </c>
      <c r="BG930" t="str">
        <f>T("판타지 웹소설 &gt; 무협 소설")</f>
        <v>판타지 웹소설 &gt; 무협 소설</v>
      </c>
    </row>
    <row r="931" spans="1:59">
      <c r="A931" t="s">
        <v>60</v>
      </c>
      <c r="B931" s="1">
        <v>46129</v>
      </c>
      <c r="C931">
        <v>2378079581</v>
      </c>
      <c r="D931">
        <v>2378079795</v>
      </c>
      <c r="E931" t="str">
        <f>T("검출형산 215화")</f>
        <v>검출형산 215화</v>
      </c>
      <c r="F931">
        <v>215</v>
      </c>
      <c r="G931" t="str">
        <f>T("일편소엽")</f>
        <v>일편소엽</v>
      </c>
      <c r="J931" t="str">
        <f>T("심월(心月)")</f>
        <v>심월(心月)</v>
      </c>
      <c r="K931" t="str">
        <f>T("검출형산")</f>
        <v>검출형산</v>
      </c>
      <c r="L931">
        <v>100</v>
      </c>
      <c r="M931">
        <v>100</v>
      </c>
      <c r="N931">
        <v>1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100</v>
      </c>
      <c r="AJ931">
        <v>1</v>
      </c>
      <c r="AK931">
        <v>0</v>
      </c>
      <c r="AL931">
        <v>0</v>
      </c>
      <c r="AM931">
        <v>0</v>
      </c>
      <c r="AN931">
        <v>0</v>
      </c>
      <c r="AO931">
        <v>120</v>
      </c>
      <c r="AP931">
        <v>-12</v>
      </c>
      <c r="AQ931">
        <v>0</v>
      </c>
      <c r="AS931">
        <v>0</v>
      </c>
      <c r="AT931">
        <v>0</v>
      </c>
      <c r="AU931">
        <v>120</v>
      </c>
      <c r="AV931">
        <v>-12</v>
      </c>
      <c r="AW931">
        <v>0</v>
      </c>
      <c r="AY931">
        <v>0</v>
      </c>
      <c r="AZ931">
        <v>0</v>
      </c>
      <c r="BA931">
        <v>75.599999999999994</v>
      </c>
      <c r="BE931" t="str">
        <f>T("9791199253612")</f>
        <v>9791199253612</v>
      </c>
      <c r="BF931" t="str">
        <f>T("D061560")</f>
        <v>D061560</v>
      </c>
      <c r="BG931" t="str">
        <f>T("판타지 웹소설 &gt; 무협 소설")</f>
        <v>판타지 웹소설 &gt; 무협 소설</v>
      </c>
    </row>
    <row r="932" spans="1:59">
      <c r="A932" t="s">
        <v>60</v>
      </c>
      <c r="B932" s="1">
        <v>46129</v>
      </c>
      <c r="C932">
        <v>2378079581</v>
      </c>
      <c r="D932">
        <v>2378079796</v>
      </c>
      <c r="E932" t="str">
        <f>T("검출형산 216화")</f>
        <v>검출형산 216화</v>
      </c>
      <c r="F932">
        <v>216</v>
      </c>
      <c r="G932" t="str">
        <f>T("일편소엽")</f>
        <v>일편소엽</v>
      </c>
      <c r="J932" t="str">
        <f>T("심월(心月)")</f>
        <v>심월(心月)</v>
      </c>
      <c r="K932" t="str">
        <f>T("검출형산")</f>
        <v>검출형산</v>
      </c>
      <c r="L932">
        <v>100</v>
      </c>
      <c r="M932">
        <v>100</v>
      </c>
      <c r="N932">
        <v>1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100</v>
      </c>
      <c r="AJ932">
        <v>1</v>
      </c>
      <c r="AK932">
        <v>0</v>
      </c>
      <c r="AL932">
        <v>0</v>
      </c>
      <c r="AM932">
        <v>0</v>
      </c>
      <c r="AN932">
        <v>0</v>
      </c>
      <c r="AO932">
        <v>120</v>
      </c>
      <c r="AP932">
        <v>-12</v>
      </c>
      <c r="AQ932">
        <v>0</v>
      </c>
      <c r="AS932">
        <v>0</v>
      </c>
      <c r="AT932">
        <v>0</v>
      </c>
      <c r="AU932">
        <v>120</v>
      </c>
      <c r="AV932">
        <v>-12</v>
      </c>
      <c r="AW932">
        <v>0</v>
      </c>
      <c r="AY932">
        <v>0</v>
      </c>
      <c r="AZ932">
        <v>0</v>
      </c>
      <c r="BA932">
        <v>75.599999999999994</v>
      </c>
      <c r="BE932" t="str">
        <f>T("9791199253612")</f>
        <v>9791199253612</v>
      </c>
      <c r="BF932" t="str">
        <f>T("D061561")</f>
        <v>D061561</v>
      </c>
      <c r="BG932" t="str">
        <f>T("판타지 웹소설 &gt; 무협 소설")</f>
        <v>판타지 웹소설 &gt; 무협 소설</v>
      </c>
    </row>
    <row r="933" spans="1:59">
      <c r="A933" t="s">
        <v>60</v>
      </c>
      <c r="B933" s="1">
        <v>46129</v>
      </c>
      <c r="C933">
        <v>2378079581</v>
      </c>
      <c r="D933">
        <v>2378079797</v>
      </c>
      <c r="E933" t="str">
        <f>T("검출형산 217화")</f>
        <v>검출형산 217화</v>
      </c>
      <c r="F933">
        <v>217</v>
      </c>
      <c r="G933" t="str">
        <f>T("일편소엽")</f>
        <v>일편소엽</v>
      </c>
      <c r="J933" t="str">
        <f>T("심월(心月)")</f>
        <v>심월(心月)</v>
      </c>
      <c r="K933" t="str">
        <f>T("검출형산")</f>
        <v>검출형산</v>
      </c>
      <c r="L933">
        <v>100</v>
      </c>
      <c r="M933">
        <v>100</v>
      </c>
      <c r="N933">
        <v>1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100</v>
      </c>
      <c r="AJ933">
        <v>1</v>
      </c>
      <c r="AK933">
        <v>0</v>
      </c>
      <c r="AL933">
        <v>0</v>
      </c>
      <c r="AM933">
        <v>0</v>
      </c>
      <c r="AN933">
        <v>0</v>
      </c>
      <c r="AO933">
        <v>120</v>
      </c>
      <c r="AP933">
        <v>-12</v>
      </c>
      <c r="AQ933">
        <v>0</v>
      </c>
      <c r="AS933">
        <v>0</v>
      </c>
      <c r="AT933">
        <v>0</v>
      </c>
      <c r="AU933">
        <v>120</v>
      </c>
      <c r="AV933">
        <v>-12</v>
      </c>
      <c r="AW933">
        <v>0</v>
      </c>
      <c r="AY933">
        <v>0</v>
      </c>
      <c r="AZ933">
        <v>0</v>
      </c>
      <c r="BA933">
        <v>75.599999999999994</v>
      </c>
      <c r="BE933" t="str">
        <f>T("9791199253612")</f>
        <v>9791199253612</v>
      </c>
      <c r="BF933" t="str">
        <f>T("D061562")</f>
        <v>D061562</v>
      </c>
      <c r="BG933" t="str">
        <f>T("판타지 웹소설 &gt; 무협 소설")</f>
        <v>판타지 웹소설 &gt; 무협 소설</v>
      </c>
    </row>
    <row r="934" spans="1:59">
      <c r="A934" t="s">
        <v>60</v>
      </c>
      <c r="B934" s="1">
        <v>46129</v>
      </c>
      <c r="C934">
        <v>2378079581</v>
      </c>
      <c r="D934">
        <v>2378079798</v>
      </c>
      <c r="E934" t="str">
        <f>T("검출형산 218화")</f>
        <v>검출형산 218화</v>
      </c>
      <c r="F934">
        <v>218</v>
      </c>
      <c r="G934" t="str">
        <f>T("일편소엽")</f>
        <v>일편소엽</v>
      </c>
      <c r="J934" t="str">
        <f>T("심월(心月)")</f>
        <v>심월(心月)</v>
      </c>
      <c r="K934" t="str">
        <f>T("검출형산")</f>
        <v>검출형산</v>
      </c>
      <c r="L934">
        <v>100</v>
      </c>
      <c r="M934">
        <v>100</v>
      </c>
      <c r="N934">
        <v>1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100</v>
      </c>
      <c r="AJ934">
        <v>1</v>
      </c>
      <c r="AK934">
        <v>0</v>
      </c>
      <c r="AL934">
        <v>0</v>
      </c>
      <c r="AM934">
        <v>0</v>
      </c>
      <c r="AN934">
        <v>0</v>
      </c>
      <c r="AO934">
        <v>120</v>
      </c>
      <c r="AP934">
        <v>-12</v>
      </c>
      <c r="AQ934">
        <v>0</v>
      </c>
      <c r="AS934">
        <v>0</v>
      </c>
      <c r="AT934">
        <v>0</v>
      </c>
      <c r="AU934">
        <v>120</v>
      </c>
      <c r="AV934">
        <v>-12</v>
      </c>
      <c r="AW934">
        <v>0</v>
      </c>
      <c r="AY934">
        <v>0</v>
      </c>
      <c r="AZ934">
        <v>0</v>
      </c>
      <c r="BA934">
        <v>75.599999999999994</v>
      </c>
      <c r="BE934" t="str">
        <f>T("9791199253612")</f>
        <v>9791199253612</v>
      </c>
      <c r="BF934" t="str">
        <f>T("D061563")</f>
        <v>D061563</v>
      </c>
      <c r="BG934" t="str">
        <f>T("판타지 웹소설 &gt; 무협 소설")</f>
        <v>판타지 웹소설 &gt; 무협 소설</v>
      </c>
    </row>
    <row r="935" spans="1:59">
      <c r="A935" t="s">
        <v>60</v>
      </c>
      <c r="B935" s="1">
        <v>46129</v>
      </c>
      <c r="C935">
        <v>2378079581</v>
      </c>
      <c r="D935">
        <v>2378079799</v>
      </c>
      <c r="E935" t="str">
        <f>T("검출형산 219화")</f>
        <v>검출형산 219화</v>
      </c>
      <c r="F935">
        <v>219</v>
      </c>
      <c r="G935" t="str">
        <f>T("일편소엽")</f>
        <v>일편소엽</v>
      </c>
      <c r="J935" t="str">
        <f>T("심월(心月)")</f>
        <v>심월(心月)</v>
      </c>
      <c r="K935" t="str">
        <f>T("검출형산")</f>
        <v>검출형산</v>
      </c>
      <c r="L935">
        <v>100</v>
      </c>
      <c r="M935">
        <v>100</v>
      </c>
      <c r="N935">
        <v>1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100</v>
      </c>
      <c r="AJ935">
        <v>1</v>
      </c>
      <c r="AK935">
        <v>0</v>
      </c>
      <c r="AL935">
        <v>0</v>
      </c>
      <c r="AM935">
        <v>0</v>
      </c>
      <c r="AN935">
        <v>0</v>
      </c>
      <c r="AO935">
        <v>120</v>
      </c>
      <c r="AP935">
        <v>-12</v>
      </c>
      <c r="AQ935">
        <v>0</v>
      </c>
      <c r="AS935">
        <v>0</v>
      </c>
      <c r="AT935">
        <v>0</v>
      </c>
      <c r="AU935">
        <v>120</v>
      </c>
      <c r="AV935">
        <v>-12</v>
      </c>
      <c r="AW935">
        <v>0</v>
      </c>
      <c r="AY935">
        <v>0</v>
      </c>
      <c r="AZ935">
        <v>0</v>
      </c>
      <c r="BA935">
        <v>75.599999999999994</v>
      </c>
      <c r="BE935" t="str">
        <f>T("9791199253612")</f>
        <v>9791199253612</v>
      </c>
      <c r="BF935" t="str">
        <f>T("D061564")</f>
        <v>D061564</v>
      </c>
      <c r="BG935" t="str">
        <f>T("판타지 웹소설 &gt; 무협 소설")</f>
        <v>판타지 웹소설 &gt; 무협 소설</v>
      </c>
    </row>
    <row r="936" spans="1:59">
      <c r="A936" t="s">
        <v>60</v>
      </c>
      <c r="B936" s="1">
        <v>46130</v>
      </c>
      <c r="C936">
        <v>2378079581</v>
      </c>
      <c r="D936">
        <v>2378079819</v>
      </c>
      <c r="E936" t="str">
        <f>T("검출형산 239화")</f>
        <v>검출형산 239화</v>
      </c>
      <c r="F936">
        <v>239</v>
      </c>
      <c r="G936" t="str">
        <f>T("일편소엽")</f>
        <v>일편소엽</v>
      </c>
      <c r="J936" t="str">
        <f>T("심월(心月)")</f>
        <v>심월(心月)</v>
      </c>
      <c r="K936" t="str">
        <f>T("검출형산")</f>
        <v>검출형산</v>
      </c>
      <c r="L936">
        <v>100</v>
      </c>
      <c r="M936">
        <v>100</v>
      </c>
      <c r="N936">
        <v>1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100</v>
      </c>
      <c r="AJ936">
        <v>1</v>
      </c>
      <c r="AK936">
        <v>0</v>
      </c>
      <c r="AL936">
        <v>0</v>
      </c>
      <c r="AM936">
        <v>0</v>
      </c>
      <c r="AN936">
        <v>0</v>
      </c>
      <c r="AO936">
        <v>120</v>
      </c>
      <c r="AP936">
        <v>-12</v>
      </c>
      <c r="AQ936">
        <v>0</v>
      </c>
      <c r="AS936">
        <v>0</v>
      </c>
      <c r="AT936">
        <v>0</v>
      </c>
      <c r="AU936">
        <v>120</v>
      </c>
      <c r="AV936">
        <v>-12</v>
      </c>
      <c r="AW936">
        <v>0</v>
      </c>
      <c r="AY936">
        <v>0</v>
      </c>
      <c r="AZ936">
        <v>0</v>
      </c>
      <c r="BA936">
        <v>75.599999999999994</v>
      </c>
      <c r="BE936" t="str">
        <f>T("9791199253612")</f>
        <v>9791199253612</v>
      </c>
      <c r="BF936" t="str">
        <f>T("D061584")</f>
        <v>D061584</v>
      </c>
      <c r="BG936" t="str">
        <f>T("판타지 웹소설 &gt; 무협 소설")</f>
        <v>판타지 웹소설 &gt; 무협 소설</v>
      </c>
    </row>
    <row r="937" spans="1:59">
      <c r="A937" t="s">
        <v>60</v>
      </c>
      <c r="B937" s="1">
        <v>46130</v>
      </c>
      <c r="C937">
        <v>2378079581</v>
      </c>
      <c r="D937">
        <v>2378079803</v>
      </c>
      <c r="E937" t="str">
        <f>T("검출형산 223화")</f>
        <v>검출형산 223화</v>
      </c>
      <c r="F937">
        <v>223</v>
      </c>
      <c r="G937" t="str">
        <f>T("일편소엽")</f>
        <v>일편소엽</v>
      </c>
      <c r="J937" t="str">
        <f>T("심월(心月)")</f>
        <v>심월(心月)</v>
      </c>
      <c r="K937" t="str">
        <f>T("검출형산")</f>
        <v>검출형산</v>
      </c>
      <c r="L937">
        <v>100</v>
      </c>
      <c r="M937">
        <v>100</v>
      </c>
      <c r="N937">
        <v>1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100</v>
      </c>
      <c r="AJ937">
        <v>1</v>
      </c>
      <c r="AK937">
        <v>0</v>
      </c>
      <c r="AL937">
        <v>0</v>
      </c>
      <c r="AM937">
        <v>0</v>
      </c>
      <c r="AN937">
        <v>0</v>
      </c>
      <c r="AO937">
        <v>120</v>
      </c>
      <c r="AP937">
        <v>-12</v>
      </c>
      <c r="AQ937">
        <v>0</v>
      </c>
      <c r="AS937">
        <v>0</v>
      </c>
      <c r="AT937">
        <v>0</v>
      </c>
      <c r="AU937">
        <v>120</v>
      </c>
      <c r="AV937">
        <v>-12</v>
      </c>
      <c r="AW937">
        <v>0</v>
      </c>
      <c r="AY937">
        <v>0</v>
      </c>
      <c r="AZ937">
        <v>0</v>
      </c>
      <c r="BA937">
        <v>75.599999999999994</v>
      </c>
      <c r="BE937" t="str">
        <f>T("9791199253612")</f>
        <v>9791199253612</v>
      </c>
      <c r="BF937" t="str">
        <f>T("D061568")</f>
        <v>D061568</v>
      </c>
      <c r="BG937" t="str">
        <f>T("판타지 웹소설 &gt; 무협 소설")</f>
        <v>판타지 웹소설 &gt; 무협 소설</v>
      </c>
    </row>
    <row r="938" spans="1:59">
      <c r="A938" t="s">
        <v>60</v>
      </c>
      <c r="B938" s="1">
        <v>46130</v>
      </c>
      <c r="C938">
        <v>2378079581</v>
      </c>
      <c r="D938">
        <v>2378079804</v>
      </c>
      <c r="E938" t="str">
        <f>T("검출형산 224화")</f>
        <v>검출형산 224화</v>
      </c>
      <c r="F938">
        <v>224</v>
      </c>
      <c r="G938" t="str">
        <f>T("일편소엽")</f>
        <v>일편소엽</v>
      </c>
      <c r="J938" t="str">
        <f>T("심월(心月)")</f>
        <v>심월(心月)</v>
      </c>
      <c r="K938" t="str">
        <f>T("검출형산")</f>
        <v>검출형산</v>
      </c>
      <c r="L938">
        <v>100</v>
      </c>
      <c r="M938">
        <v>100</v>
      </c>
      <c r="N938">
        <v>1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100</v>
      </c>
      <c r="AJ938">
        <v>1</v>
      </c>
      <c r="AK938">
        <v>0</v>
      </c>
      <c r="AL938">
        <v>0</v>
      </c>
      <c r="AM938">
        <v>0</v>
      </c>
      <c r="AN938">
        <v>0</v>
      </c>
      <c r="AO938">
        <v>120</v>
      </c>
      <c r="AP938">
        <v>-12</v>
      </c>
      <c r="AQ938">
        <v>0</v>
      </c>
      <c r="AS938">
        <v>0</v>
      </c>
      <c r="AT938">
        <v>0</v>
      </c>
      <c r="AU938">
        <v>120</v>
      </c>
      <c r="AV938">
        <v>-12</v>
      </c>
      <c r="AW938">
        <v>0</v>
      </c>
      <c r="AY938">
        <v>0</v>
      </c>
      <c r="AZ938">
        <v>0</v>
      </c>
      <c r="BA938">
        <v>75.599999999999994</v>
      </c>
      <c r="BE938" t="str">
        <f>T("9791199253612")</f>
        <v>9791199253612</v>
      </c>
      <c r="BF938" t="str">
        <f>T("D061569")</f>
        <v>D061569</v>
      </c>
      <c r="BG938" t="str">
        <f>T("판타지 웹소설 &gt; 무협 소설")</f>
        <v>판타지 웹소설 &gt; 무협 소설</v>
      </c>
    </row>
    <row r="939" spans="1:59">
      <c r="A939" t="s">
        <v>60</v>
      </c>
      <c r="B939" s="1">
        <v>46130</v>
      </c>
      <c r="C939">
        <v>2378079581</v>
      </c>
      <c r="D939">
        <v>2378079805</v>
      </c>
      <c r="E939" t="str">
        <f>T("검출형산 225화")</f>
        <v>검출형산 225화</v>
      </c>
      <c r="F939">
        <v>225</v>
      </c>
      <c r="G939" t="str">
        <f>T("일편소엽")</f>
        <v>일편소엽</v>
      </c>
      <c r="J939" t="str">
        <f>T("심월(心月)")</f>
        <v>심월(心月)</v>
      </c>
      <c r="K939" t="str">
        <f>T("검출형산")</f>
        <v>검출형산</v>
      </c>
      <c r="L939">
        <v>100</v>
      </c>
      <c r="M939">
        <v>100</v>
      </c>
      <c r="N939">
        <v>1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100</v>
      </c>
      <c r="AJ939">
        <v>1</v>
      </c>
      <c r="AK939">
        <v>0</v>
      </c>
      <c r="AL939">
        <v>0</v>
      </c>
      <c r="AM939">
        <v>0</v>
      </c>
      <c r="AN939">
        <v>0</v>
      </c>
      <c r="AO939">
        <v>120</v>
      </c>
      <c r="AP939">
        <v>-12</v>
      </c>
      <c r="AQ939">
        <v>0</v>
      </c>
      <c r="AS939">
        <v>0</v>
      </c>
      <c r="AT939">
        <v>0</v>
      </c>
      <c r="AU939">
        <v>120</v>
      </c>
      <c r="AV939">
        <v>-12</v>
      </c>
      <c r="AW939">
        <v>0</v>
      </c>
      <c r="AY939">
        <v>0</v>
      </c>
      <c r="AZ939">
        <v>0</v>
      </c>
      <c r="BA939">
        <v>75.599999999999994</v>
      </c>
      <c r="BE939" t="str">
        <f>T("9791199253612")</f>
        <v>9791199253612</v>
      </c>
      <c r="BF939" t="str">
        <f>T("D061570")</f>
        <v>D061570</v>
      </c>
      <c r="BG939" t="str">
        <f>T("판타지 웹소설 &gt; 무협 소설")</f>
        <v>판타지 웹소설 &gt; 무협 소설</v>
      </c>
    </row>
    <row r="940" spans="1:59">
      <c r="A940" t="s">
        <v>60</v>
      </c>
      <c r="B940" s="1">
        <v>46130</v>
      </c>
      <c r="C940">
        <v>2378079581</v>
      </c>
      <c r="D940">
        <v>2378079619</v>
      </c>
      <c r="E940" t="str">
        <f>T("검출형산 39화")</f>
        <v>검출형산 39화</v>
      </c>
      <c r="F940">
        <v>39</v>
      </c>
      <c r="G940" t="str">
        <f>T("일편소엽")</f>
        <v>일편소엽</v>
      </c>
      <c r="J940" t="str">
        <f>T("심월(心月)")</f>
        <v>심월(心月)</v>
      </c>
      <c r="K940" t="str">
        <f>T("검출형산")</f>
        <v>검출형산</v>
      </c>
      <c r="L940">
        <v>100</v>
      </c>
      <c r="M940">
        <v>100</v>
      </c>
      <c r="N940">
        <v>1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100</v>
      </c>
      <c r="AJ940">
        <v>1</v>
      </c>
      <c r="AK940">
        <v>0</v>
      </c>
      <c r="AL940">
        <v>0</v>
      </c>
      <c r="AM940">
        <v>100</v>
      </c>
      <c r="AN940">
        <v>0</v>
      </c>
      <c r="AO940">
        <v>0</v>
      </c>
      <c r="AP940">
        <v>0</v>
      </c>
      <c r="AQ940">
        <v>0</v>
      </c>
      <c r="AS940">
        <v>0</v>
      </c>
      <c r="AT940">
        <v>0</v>
      </c>
      <c r="AV940">
        <v>0</v>
      </c>
      <c r="AW940">
        <v>0</v>
      </c>
      <c r="AY940">
        <v>0</v>
      </c>
      <c r="AZ940">
        <v>0</v>
      </c>
      <c r="BA940">
        <v>70</v>
      </c>
      <c r="BE940" t="str">
        <f>T("9791199253612")</f>
        <v>9791199253612</v>
      </c>
      <c r="BF940" t="str">
        <f>T("D011784")</f>
        <v>D011784</v>
      </c>
      <c r="BG940" t="str">
        <f>T("판타지 웹소설 &gt; 무협 소설")</f>
        <v>판타지 웹소설 &gt; 무협 소설</v>
      </c>
    </row>
    <row r="941" spans="1:59">
      <c r="A941" t="s">
        <v>60</v>
      </c>
      <c r="B941" s="1">
        <v>46130</v>
      </c>
      <c r="C941">
        <v>2378079581</v>
      </c>
      <c r="D941">
        <v>2378079620</v>
      </c>
      <c r="E941" t="str">
        <f>T("검출형산 40화")</f>
        <v>검출형산 40화</v>
      </c>
      <c r="F941">
        <v>40</v>
      </c>
      <c r="G941" t="str">
        <f>T("일편소엽")</f>
        <v>일편소엽</v>
      </c>
      <c r="J941" t="str">
        <f>T("심월(心月)")</f>
        <v>심월(心月)</v>
      </c>
      <c r="K941" t="str">
        <f>T("검출형산")</f>
        <v>검출형산</v>
      </c>
      <c r="L941">
        <v>100</v>
      </c>
      <c r="M941">
        <v>100</v>
      </c>
      <c r="N941">
        <v>1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100</v>
      </c>
      <c r="AJ941">
        <v>1</v>
      </c>
      <c r="AK941">
        <v>0</v>
      </c>
      <c r="AL941">
        <v>0</v>
      </c>
      <c r="AM941">
        <v>100</v>
      </c>
      <c r="AN941">
        <v>0</v>
      </c>
      <c r="AO941">
        <v>0</v>
      </c>
      <c r="AP941">
        <v>0</v>
      </c>
      <c r="AQ941">
        <v>0</v>
      </c>
      <c r="AS941">
        <v>0</v>
      </c>
      <c r="AT941">
        <v>0</v>
      </c>
      <c r="AV941">
        <v>0</v>
      </c>
      <c r="AW941">
        <v>0</v>
      </c>
      <c r="AY941">
        <v>0</v>
      </c>
      <c r="AZ941">
        <v>0</v>
      </c>
      <c r="BA941">
        <v>70</v>
      </c>
      <c r="BE941" t="str">
        <f>T("9791199253612")</f>
        <v>9791199253612</v>
      </c>
      <c r="BF941" t="str">
        <f>T("D011785")</f>
        <v>D011785</v>
      </c>
      <c r="BG941" t="str">
        <f>T("판타지 웹소설 &gt; 무협 소설")</f>
        <v>판타지 웹소설 &gt; 무협 소설</v>
      </c>
    </row>
    <row r="942" spans="1:59">
      <c r="A942" t="s">
        <v>60</v>
      </c>
      <c r="B942" s="1">
        <v>46130</v>
      </c>
      <c r="C942">
        <v>2378079581</v>
      </c>
      <c r="D942">
        <v>2378079621</v>
      </c>
      <c r="E942" t="str">
        <f>T("검출형산 41화")</f>
        <v>검출형산 41화</v>
      </c>
      <c r="F942">
        <v>41</v>
      </c>
      <c r="G942" t="str">
        <f>T("일편소엽")</f>
        <v>일편소엽</v>
      </c>
      <c r="J942" t="str">
        <f>T("심월(心月)")</f>
        <v>심월(心月)</v>
      </c>
      <c r="K942" t="str">
        <f>T("검출형산")</f>
        <v>검출형산</v>
      </c>
      <c r="L942">
        <v>100</v>
      </c>
      <c r="M942">
        <v>100</v>
      </c>
      <c r="N942">
        <v>1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100</v>
      </c>
      <c r="AJ942">
        <v>1</v>
      </c>
      <c r="AK942">
        <v>0</v>
      </c>
      <c r="AL942">
        <v>0</v>
      </c>
      <c r="AM942">
        <v>100</v>
      </c>
      <c r="AN942">
        <v>0</v>
      </c>
      <c r="AO942">
        <v>0</v>
      </c>
      <c r="AP942">
        <v>0</v>
      </c>
      <c r="AQ942">
        <v>0</v>
      </c>
      <c r="AS942">
        <v>0</v>
      </c>
      <c r="AT942">
        <v>0</v>
      </c>
      <c r="AV942">
        <v>0</v>
      </c>
      <c r="AW942">
        <v>0</v>
      </c>
      <c r="AY942">
        <v>0</v>
      </c>
      <c r="AZ942">
        <v>0</v>
      </c>
      <c r="BA942">
        <v>70</v>
      </c>
      <c r="BE942" t="str">
        <f>T("9791199253612")</f>
        <v>9791199253612</v>
      </c>
      <c r="BF942" t="str">
        <f>T("D011786")</f>
        <v>D011786</v>
      </c>
      <c r="BG942" t="str">
        <f>T("판타지 웹소설 &gt; 무협 소설")</f>
        <v>판타지 웹소설 &gt; 무협 소설</v>
      </c>
    </row>
    <row r="943" spans="1:59">
      <c r="A943" t="s">
        <v>60</v>
      </c>
      <c r="B943" s="1">
        <v>46130</v>
      </c>
      <c r="C943">
        <v>2378079581</v>
      </c>
      <c r="D943">
        <v>2378079622</v>
      </c>
      <c r="E943" t="str">
        <f>T("검출형산 42화")</f>
        <v>검출형산 42화</v>
      </c>
      <c r="F943">
        <v>42</v>
      </c>
      <c r="G943" t="str">
        <f>T("일편소엽")</f>
        <v>일편소엽</v>
      </c>
      <c r="J943" t="str">
        <f>T("심월(心月)")</f>
        <v>심월(心月)</v>
      </c>
      <c r="K943" t="str">
        <f>T("검출형산")</f>
        <v>검출형산</v>
      </c>
      <c r="L943">
        <v>100</v>
      </c>
      <c r="M943">
        <v>100</v>
      </c>
      <c r="N943">
        <v>1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100</v>
      </c>
      <c r="AJ943">
        <v>1</v>
      </c>
      <c r="AK943">
        <v>0</v>
      </c>
      <c r="AL943">
        <v>0</v>
      </c>
      <c r="AM943">
        <v>100</v>
      </c>
      <c r="AN943">
        <v>0</v>
      </c>
      <c r="AO943">
        <v>0</v>
      </c>
      <c r="AP943">
        <v>0</v>
      </c>
      <c r="AQ943">
        <v>0</v>
      </c>
      <c r="AS943">
        <v>0</v>
      </c>
      <c r="AT943">
        <v>0</v>
      </c>
      <c r="AV943">
        <v>0</v>
      </c>
      <c r="AW943">
        <v>0</v>
      </c>
      <c r="AY943">
        <v>0</v>
      </c>
      <c r="AZ943">
        <v>0</v>
      </c>
      <c r="BA943">
        <v>70</v>
      </c>
      <c r="BE943" t="str">
        <f>T("9791199253612")</f>
        <v>9791199253612</v>
      </c>
      <c r="BF943" t="str">
        <f>T("D011787")</f>
        <v>D011787</v>
      </c>
      <c r="BG943" t="str">
        <f>T("판타지 웹소설 &gt; 무협 소설")</f>
        <v>판타지 웹소설 &gt; 무협 소설</v>
      </c>
    </row>
    <row r="944" spans="1:59">
      <c r="A944" t="s">
        <v>60</v>
      </c>
      <c r="B944" s="1">
        <v>46130</v>
      </c>
      <c r="C944">
        <v>2378079581</v>
      </c>
      <c r="D944">
        <v>2378079623</v>
      </c>
      <c r="E944" t="str">
        <f>T("검출형산 43화")</f>
        <v>검출형산 43화</v>
      </c>
      <c r="F944">
        <v>43</v>
      </c>
      <c r="G944" t="str">
        <f>T("일편소엽")</f>
        <v>일편소엽</v>
      </c>
      <c r="J944" t="str">
        <f>T("심월(心月)")</f>
        <v>심월(心月)</v>
      </c>
      <c r="K944" t="str">
        <f>T("검출형산")</f>
        <v>검출형산</v>
      </c>
      <c r="L944">
        <v>100</v>
      </c>
      <c r="M944">
        <v>100</v>
      </c>
      <c r="N944">
        <v>1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100</v>
      </c>
      <c r="AJ944">
        <v>1</v>
      </c>
      <c r="AK944">
        <v>0</v>
      </c>
      <c r="AL944">
        <v>0</v>
      </c>
      <c r="AM944">
        <v>100</v>
      </c>
      <c r="AN944">
        <v>0</v>
      </c>
      <c r="AO944">
        <v>0</v>
      </c>
      <c r="AP944">
        <v>0</v>
      </c>
      <c r="AQ944">
        <v>0</v>
      </c>
      <c r="AS944">
        <v>0</v>
      </c>
      <c r="AT944">
        <v>0</v>
      </c>
      <c r="AV944">
        <v>0</v>
      </c>
      <c r="AW944">
        <v>0</v>
      </c>
      <c r="AY944">
        <v>0</v>
      </c>
      <c r="AZ944">
        <v>0</v>
      </c>
      <c r="BA944">
        <v>70</v>
      </c>
      <c r="BE944" t="str">
        <f>T("9791199253612")</f>
        <v>9791199253612</v>
      </c>
      <c r="BF944" t="str">
        <f>T("D011788")</f>
        <v>D011788</v>
      </c>
      <c r="BG944" t="str">
        <f>T("판타지 웹소설 &gt; 무협 소설")</f>
        <v>판타지 웹소설 &gt; 무협 소설</v>
      </c>
    </row>
    <row r="945" spans="1:59">
      <c r="A945" t="s">
        <v>60</v>
      </c>
      <c r="B945" s="1">
        <v>46130</v>
      </c>
      <c r="C945">
        <v>2378079581</v>
      </c>
      <c r="D945">
        <v>2378079624</v>
      </c>
      <c r="E945" t="str">
        <f>T("검출형산 44화")</f>
        <v>검출형산 44화</v>
      </c>
      <c r="F945">
        <v>44</v>
      </c>
      <c r="G945" t="str">
        <f>T("일편소엽")</f>
        <v>일편소엽</v>
      </c>
      <c r="J945" t="str">
        <f>T("심월(心月)")</f>
        <v>심월(心月)</v>
      </c>
      <c r="K945" t="str">
        <f>T("검출형산")</f>
        <v>검출형산</v>
      </c>
      <c r="L945">
        <v>100</v>
      </c>
      <c r="M945">
        <v>100</v>
      </c>
      <c r="N945">
        <v>1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100</v>
      </c>
      <c r="AJ945">
        <v>1</v>
      </c>
      <c r="AK945">
        <v>0</v>
      </c>
      <c r="AL945">
        <v>0</v>
      </c>
      <c r="AM945">
        <v>100</v>
      </c>
      <c r="AN945">
        <v>0</v>
      </c>
      <c r="AO945">
        <v>0</v>
      </c>
      <c r="AP945">
        <v>0</v>
      </c>
      <c r="AQ945">
        <v>0</v>
      </c>
      <c r="AS945">
        <v>0</v>
      </c>
      <c r="AT945">
        <v>0</v>
      </c>
      <c r="AV945">
        <v>0</v>
      </c>
      <c r="AW945">
        <v>0</v>
      </c>
      <c r="AY945">
        <v>0</v>
      </c>
      <c r="AZ945">
        <v>0</v>
      </c>
      <c r="BA945">
        <v>70</v>
      </c>
      <c r="BE945" t="str">
        <f>T("9791199253612")</f>
        <v>9791199253612</v>
      </c>
      <c r="BF945" t="str">
        <f>T("D011789")</f>
        <v>D011789</v>
      </c>
      <c r="BG945" t="str">
        <f>T("판타지 웹소설 &gt; 무협 소설")</f>
        <v>판타지 웹소설 &gt; 무협 소설</v>
      </c>
    </row>
    <row r="946" spans="1:59">
      <c r="A946" t="s">
        <v>60</v>
      </c>
      <c r="B946" s="1">
        <v>46130</v>
      </c>
      <c r="C946">
        <v>2378079581</v>
      </c>
      <c r="D946">
        <v>2378079625</v>
      </c>
      <c r="E946" t="str">
        <f>T("검출형산 45화")</f>
        <v>검출형산 45화</v>
      </c>
      <c r="F946">
        <v>45</v>
      </c>
      <c r="G946" t="str">
        <f>T("일편소엽")</f>
        <v>일편소엽</v>
      </c>
      <c r="J946" t="str">
        <f>T("심월(心月)")</f>
        <v>심월(心月)</v>
      </c>
      <c r="K946" t="str">
        <f>T("검출형산")</f>
        <v>검출형산</v>
      </c>
      <c r="L946">
        <v>100</v>
      </c>
      <c r="M946">
        <v>100</v>
      </c>
      <c r="N946">
        <v>1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100</v>
      </c>
      <c r="AJ946">
        <v>1</v>
      </c>
      <c r="AK946">
        <v>0</v>
      </c>
      <c r="AL946">
        <v>0</v>
      </c>
      <c r="AM946">
        <v>100</v>
      </c>
      <c r="AN946">
        <v>0</v>
      </c>
      <c r="AO946">
        <v>0</v>
      </c>
      <c r="AP946">
        <v>0</v>
      </c>
      <c r="AQ946">
        <v>0</v>
      </c>
      <c r="AS946">
        <v>0</v>
      </c>
      <c r="AT946">
        <v>0</v>
      </c>
      <c r="AV946">
        <v>0</v>
      </c>
      <c r="AW946">
        <v>0</v>
      </c>
      <c r="AY946">
        <v>0</v>
      </c>
      <c r="AZ946">
        <v>0</v>
      </c>
      <c r="BA946">
        <v>70</v>
      </c>
      <c r="BE946" t="str">
        <f>T("9791199253612")</f>
        <v>9791199253612</v>
      </c>
      <c r="BF946" t="str">
        <f>T("D011790")</f>
        <v>D011790</v>
      </c>
      <c r="BG946" t="str">
        <f>T("판타지 웹소설 &gt; 무협 소설")</f>
        <v>판타지 웹소설 &gt; 무협 소설</v>
      </c>
    </row>
    <row r="947" spans="1:59">
      <c r="A947" t="s">
        <v>60</v>
      </c>
      <c r="B947" s="1">
        <v>46130</v>
      </c>
      <c r="C947">
        <v>2378079581</v>
      </c>
      <c r="D947">
        <v>2378079626</v>
      </c>
      <c r="E947" t="str">
        <f>T("검출형산 46화")</f>
        <v>검출형산 46화</v>
      </c>
      <c r="F947">
        <v>46</v>
      </c>
      <c r="G947" t="str">
        <f>T("일편소엽")</f>
        <v>일편소엽</v>
      </c>
      <c r="J947" t="str">
        <f>T("심월(心月)")</f>
        <v>심월(心月)</v>
      </c>
      <c r="K947" t="str">
        <f>T("검출형산")</f>
        <v>검출형산</v>
      </c>
      <c r="L947">
        <v>100</v>
      </c>
      <c r="M947">
        <v>100</v>
      </c>
      <c r="N947">
        <v>1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100</v>
      </c>
      <c r="AJ947">
        <v>1</v>
      </c>
      <c r="AK947">
        <v>0</v>
      </c>
      <c r="AL947">
        <v>0</v>
      </c>
      <c r="AM947">
        <v>100</v>
      </c>
      <c r="AN947">
        <v>0</v>
      </c>
      <c r="AO947">
        <v>0</v>
      </c>
      <c r="AP947">
        <v>0</v>
      </c>
      <c r="AQ947">
        <v>0</v>
      </c>
      <c r="AS947">
        <v>0</v>
      </c>
      <c r="AT947">
        <v>0</v>
      </c>
      <c r="AV947">
        <v>0</v>
      </c>
      <c r="AW947">
        <v>0</v>
      </c>
      <c r="AY947">
        <v>0</v>
      </c>
      <c r="AZ947">
        <v>0</v>
      </c>
      <c r="BA947">
        <v>70</v>
      </c>
      <c r="BE947" t="str">
        <f>T("9791199253612")</f>
        <v>9791199253612</v>
      </c>
      <c r="BF947" t="str">
        <f>T("D011791")</f>
        <v>D011791</v>
      </c>
      <c r="BG947" t="str">
        <f>T("판타지 웹소설 &gt; 무협 소설")</f>
        <v>판타지 웹소설 &gt; 무협 소설</v>
      </c>
    </row>
    <row r="948" spans="1:59">
      <c r="A948" t="s">
        <v>60</v>
      </c>
      <c r="B948" s="1">
        <v>46130</v>
      </c>
      <c r="C948">
        <v>2378079581</v>
      </c>
      <c r="D948">
        <v>2378079627</v>
      </c>
      <c r="E948" t="str">
        <f>T("검출형산 47화")</f>
        <v>검출형산 47화</v>
      </c>
      <c r="F948">
        <v>47</v>
      </c>
      <c r="G948" t="str">
        <f>T("일편소엽")</f>
        <v>일편소엽</v>
      </c>
      <c r="J948" t="str">
        <f>T("심월(心月)")</f>
        <v>심월(心月)</v>
      </c>
      <c r="K948" t="str">
        <f>T("검출형산")</f>
        <v>검출형산</v>
      </c>
      <c r="L948">
        <v>100</v>
      </c>
      <c r="M948">
        <v>100</v>
      </c>
      <c r="N948">
        <v>1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100</v>
      </c>
      <c r="AJ948">
        <v>1</v>
      </c>
      <c r="AK948">
        <v>0</v>
      </c>
      <c r="AL948">
        <v>0</v>
      </c>
      <c r="AM948">
        <v>100</v>
      </c>
      <c r="AN948">
        <v>0</v>
      </c>
      <c r="AO948">
        <v>0</v>
      </c>
      <c r="AP948">
        <v>0</v>
      </c>
      <c r="AQ948">
        <v>0</v>
      </c>
      <c r="AS948">
        <v>0</v>
      </c>
      <c r="AT948">
        <v>0</v>
      </c>
      <c r="AV948">
        <v>0</v>
      </c>
      <c r="AW948">
        <v>0</v>
      </c>
      <c r="AY948">
        <v>0</v>
      </c>
      <c r="AZ948">
        <v>0</v>
      </c>
      <c r="BA948">
        <v>70</v>
      </c>
      <c r="BE948" t="str">
        <f>T("9791199253612")</f>
        <v>9791199253612</v>
      </c>
      <c r="BF948" t="str">
        <f>T("D011792")</f>
        <v>D011792</v>
      </c>
      <c r="BG948" t="str">
        <f>T("판타지 웹소설 &gt; 무협 소설")</f>
        <v>판타지 웹소설 &gt; 무협 소설</v>
      </c>
    </row>
    <row r="949" spans="1:59">
      <c r="A949" t="s">
        <v>60</v>
      </c>
      <c r="B949" s="1">
        <v>46130</v>
      </c>
      <c r="C949">
        <v>2378079581</v>
      </c>
      <c r="D949">
        <v>2378079628</v>
      </c>
      <c r="E949" t="str">
        <f>T("검출형산 48화")</f>
        <v>검출형산 48화</v>
      </c>
      <c r="F949">
        <v>48</v>
      </c>
      <c r="G949" t="str">
        <f>T("일편소엽")</f>
        <v>일편소엽</v>
      </c>
      <c r="J949" t="str">
        <f>T("심월(心月)")</f>
        <v>심월(心月)</v>
      </c>
      <c r="K949" t="str">
        <f>T("검출형산")</f>
        <v>검출형산</v>
      </c>
      <c r="L949">
        <v>100</v>
      </c>
      <c r="M949">
        <v>100</v>
      </c>
      <c r="N949">
        <v>1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100</v>
      </c>
      <c r="AJ949">
        <v>1</v>
      </c>
      <c r="AK949">
        <v>0</v>
      </c>
      <c r="AL949">
        <v>0</v>
      </c>
      <c r="AM949">
        <v>100</v>
      </c>
      <c r="AN949">
        <v>0</v>
      </c>
      <c r="AO949">
        <v>0</v>
      </c>
      <c r="AP949">
        <v>0</v>
      </c>
      <c r="AQ949">
        <v>0</v>
      </c>
      <c r="AS949">
        <v>0</v>
      </c>
      <c r="AT949">
        <v>0</v>
      </c>
      <c r="AV949">
        <v>0</v>
      </c>
      <c r="AW949">
        <v>0</v>
      </c>
      <c r="AY949">
        <v>0</v>
      </c>
      <c r="AZ949">
        <v>0</v>
      </c>
      <c r="BA949">
        <v>70</v>
      </c>
      <c r="BE949" t="str">
        <f>T("9791199253612")</f>
        <v>9791199253612</v>
      </c>
      <c r="BF949" t="str">
        <f>T("D011793")</f>
        <v>D011793</v>
      </c>
      <c r="BG949" t="str">
        <f>T("판타지 웹소설 &gt; 무협 소설")</f>
        <v>판타지 웹소설 &gt; 무협 소설</v>
      </c>
    </row>
    <row r="950" spans="1:59">
      <c r="A950" t="s">
        <v>60</v>
      </c>
      <c r="B950" s="1">
        <v>46130</v>
      </c>
      <c r="C950">
        <v>2378079581</v>
      </c>
      <c r="D950">
        <v>2378079607</v>
      </c>
      <c r="E950" t="str">
        <f>T("검출형산 27화")</f>
        <v>검출형산 27화</v>
      </c>
      <c r="F950">
        <v>27</v>
      </c>
      <c r="G950" t="str">
        <f>T("일편소엽")</f>
        <v>일편소엽</v>
      </c>
      <c r="J950" t="str">
        <f>T("심월(心月)")</f>
        <v>심월(心月)</v>
      </c>
      <c r="K950" t="str">
        <f>T("검출형산")</f>
        <v>검출형산</v>
      </c>
      <c r="L950">
        <v>100</v>
      </c>
      <c r="M950">
        <v>100</v>
      </c>
      <c r="N950">
        <v>1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100</v>
      </c>
      <c r="AJ950">
        <v>1</v>
      </c>
      <c r="AK950">
        <v>0</v>
      </c>
      <c r="AL950">
        <v>0</v>
      </c>
      <c r="AM950">
        <v>100</v>
      </c>
      <c r="AN950">
        <v>0</v>
      </c>
      <c r="AO950">
        <v>0</v>
      </c>
      <c r="AP950">
        <v>0</v>
      </c>
      <c r="AQ950">
        <v>0</v>
      </c>
      <c r="AS950">
        <v>0</v>
      </c>
      <c r="AT950">
        <v>0</v>
      </c>
      <c r="AV950">
        <v>0</v>
      </c>
      <c r="AW950">
        <v>0</v>
      </c>
      <c r="AY950">
        <v>0</v>
      </c>
      <c r="AZ950">
        <v>0</v>
      </c>
      <c r="BA950">
        <v>70</v>
      </c>
      <c r="BE950" t="str">
        <f>T("9791199253612")</f>
        <v>9791199253612</v>
      </c>
      <c r="BF950" t="str">
        <f>T("D011772")</f>
        <v>D011772</v>
      </c>
      <c r="BG950" t="str">
        <f>T("판타지 웹소설 &gt; 무협 소설")</f>
        <v>판타지 웹소설 &gt; 무협 소설</v>
      </c>
    </row>
    <row r="951" spans="1:59">
      <c r="A951" t="s">
        <v>60</v>
      </c>
      <c r="B951" s="1">
        <v>46130</v>
      </c>
      <c r="C951">
        <v>2378079581</v>
      </c>
      <c r="D951">
        <v>2378079608</v>
      </c>
      <c r="E951" t="str">
        <f>T("검출형산 28화")</f>
        <v>검출형산 28화</v>
      </c>
      <c r="F951">
        <v>28</v>
      </c>
      <c r="G951" t="str">
        <f>T("일편소엽")</f>
        <v>일편소엽</v>
      </c>
      <c r="J951" t="str">
        <f>T("심월(心月)")</f>
        <v>심월(心月)</v>
      </c>
      <c r="K951" t="str">
        <f>T("검출형산")</f>
        <v>검출형산</v>
      </c>
      <c r="L951">
        <v>100</v>
      </c>
      <c r="M951">
        <v>100</v>
      </c>
      <c r="N951">
        <v>1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100</v>
      </c>
      <c r="AJ951">
        <v>1</v>
      </c>
      <c r="AK951">
        <v>0</v>
      </c>
      <c r="AL951">
        <v>0</v>
      </c>
      <c r="AM951">
        <v>100</v>
      </c>
      <c r="AN951">
        <v>0</v>
      </c>
      <c r="AO951">
        <v>0</v>
      </c>
      <c r="AP951">
        <v>0</v>
      </c>
      <c r="AQ951">
        <v>0</v>
      </c>
      <c r="AS951">
        <v>0</v>
      </c>
      <c r="AT951">
        <v>0</v>
      </c>
      <c r="AV951">
        <v>0</v>
      </c>
      <c r="AW951">
        <v>0</v>
      </c>
      <c r="AY951">
        <v>0</v>
      </c>
      <c r="AZ951">
        <v>0</v>
      </c>
      <c r="BA951">
        <v>70</v>
      </c>
      <c r="BE951" t="str">
        <f>T("9791199253612")</f>
        <v>9791199253612</v>
      </c>
      <c r="BF951" t="str">
        <f>T("D011773")</f>
        <v>D011773</v>
      </c>
      <c r="BG951" t="str">
        <f>T("판타지 웹소설 &gt; 무협 소설")</f>
        <v>판타지 웹소설 &gt; 무협 소설</v>
      </c>
    </row>
    <row r="952" spans="1:59">
      <c r="A952" t="s">
        <v>60</v>
      </c>
      <c r="B952" s="1">
        <v>46130</v>
      </c>
      <c r="C952">
        <v>2378079581</v>
      </c>
      <c r="D952">
        <v>2378079609</v>
      </c>
      <c r="E952" t="str">
        <f>T("검출형산 29화")</f>
        <v>검출형산 29화</v>
      </c>
      <c r="F952">
        <v>29</v>
      </c>
      <c r="G952" t="str">
        <f>T("일편소엽")</f>
        <v>일편소엽</v>
      </c>
      <c r="J952" t="str">
        <f>T("심월(心月)")</f>
        <v>심월(心月)</v>
      </c>
      <c r="K952" t="str">
        <f>T("검출형산")</f>
        <v>검출형산</v>
      </c>
      <c r="L952">
        <v>100</v>
      </c>
      <c r="M952">
        <v>100</v>
      </c>
      <c r="N952">
        <v>1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100</v>
      </c>
      <c r="AJ952">
        <v>1</v>
      </c>
      <c r="AK952">
        <v>0</v>
      </c>
      <c r="AL952">
        <v>0</v>
      </c>
      <c r="AM952">
        <v>100</v>
      </c>
      <c r="AN952">
        <v>0</v>
      </c>
      <c r="AO952">
        <v>0</v>
      </c>
      <c r="AP952">
        <v>0</v>
      </c>
      <c r="AQ952">
        <v>0</v>
      </c>
      <c r="AS952">
        <v>0</v>
      </c>
      <c r="AT952">
        <v>0</v>
      </c>
      <c r="AV952">
        <v>0</v>
      </c>
      <c r="AW952">
        <v>0</v>
      </c>
      <c r="AY952">
        <v>0</v>
      </c>
      <c r="AZ952">
        <v>0</v>
      </c>
      <c r="BA952">
        <v>70</v>
      </c>
      <c r="BE952" t="str">
        <f>T("9791199253612")</f>
        <v>9791199253612</v>
      </c>
      <c r="BF952" t="str">
        <f>T("D011774")</f>
        <v>D011774</v>
      </c>
      <c r="BG952" t="str">
        <f>T("판타지 웹소설 &gt; 무협 소설")</f>
        <v>판타지 웹소설 &gt; 무협 소설</v>
      </c>
    </row>
    <row r="953" spans="1:59">
      <c r="A953" t="s">
        <v>60</v>
      </c>
      <c r="B953" s="1">
        <v>46130</v>
      </c>
      <c r="C953">
        <v>2378079581</v>
      </c>
      <c r="D953">
        <v>2378079610</v>
      </c>
      <c r="E953" t="str">
        <f>T("검출형산 30화")</f>
        <v>검출형산 30화</v>
      </c>
      <c r="F953">
        <v>30</v>
      </c>
      <c r="G953" t="str">
        <f>T("일편소엽")</f>
        <v>일편소엽</v>
      </c>
      <c r="J953" t="str">
        <f>T("심월(心月)")</f>
        <v>심월(心月)</v>
      </c>
      <c r="K953" t="str">
        <f>T("검출형산")</f>
        <v>검출형산</v>
      </c>
      <c r="L953">
        <v>100</v>
      </c>
      <c r="M953">
        <v>100</v>
      </c>
      <c r="N953">
        <v>1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100</v>
      </c>
      <c r="AJ953">
        <v>1</v>
      </c>
      <c r="AK953">
        <v>0</v>
      </c>
      <c r="AL953">
        <v>0</v>
      </c>
      <c r="AM953">
        <v>100</v>
      </c>
      <c r="AN953">
        <v>0</v>
      </c>
      <c r="AO953">
        <v>0</v>
      </c>
      <c r="AP953">
        <v>0</v>
      </c>
      <c r="AQ953">
        <v>0</v>
      </c>
      <c r="AS953">
        <v>0</v>
      </c>
      <c r="AT953">
        <v>0</v>
      </c>
      <c r="AV953">
        <v>0</v>
      </c>
      <c r="AW953">
        <v>0</v>
      </c>
      <c r="AY953">
        <v>0</v>
      </c>
      <c r="AZ953">
        <v>0</v>
      </c>
      <c r="BA953">
        <v>70</v>
      </c>
      <c r="BE953" t="str">
        <f>T("9791199253612")</f>
        <v>9791199253612</v>
      </c>
      <c r="BF953" t="str">
        <f>T("D011775")</f>
        <v>D011775</v>
      </c>
      <c r="BG953" t="str">
        <f>T("판타지 웹소설 &gt; 무협 소설")</f>
        <v>판타지 웹소설 &gt; 무협 소설</v>
      </c>
    </row>
    <row r="954" spans="1:59">
      <c r="A954" t="s">
        <v>60</v>
      </c>
      <c r="B954" s="1">
        <v>46130</v>
      </c>
      <c r="C954">
        <v>2378079581</v>
      </c>
      <c r="D954">
        <v>2378079611</v>
      </c>
      <c r="E954" t="str">
        <f>T("검출형산 31화")</f>
        <v>검출형산 31화</v>
      </c>
      <c r="F954">
        <v>31</v>
      </c>
      <c r="G954" t="str">
        <f>T("일편소엽")</f>
        <v>일편소엽</v>
      </c>
      <c r="J954" t="str">
        <f>T("심월(心月)")</f>
        <v>심월(心月)</v>
      </c>
      <c r="K954" t="str">
        <f>T("검출형산")</f>
        <v>검출형산</v>
      </c>
      <c r="L954">
        <v>100</v>
      </c>
      <c r="M954">
        <v>100</v>
      </c>
      <c r="N954">
        <v>1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100</v>
      </c>
      <c r="AJ954">
        <v>1</v>
      </c>
      <c r="AK954">
        <v>0</v>
      </c>
      <c r="AL954">
        <v>0</v>
      </c>
      <c r="AM954">
        <v>100</v>
      </c>
      <c r="AN954">
        <v>0</v>
      </c>
      <c r="AO954">
        <v>0</v>
      </c>
      <c r="AP954">
        <v>0</v>
      </c>
      <c r="AQ954">
        <v>0</v>
      </c>
      <c r="AS954">
        <v>0</v>
      </c>
      <c r="AT954">
        <v>0</v>
      </c>
      <c r="AV954">
        <v>0</v>
      </c>
      <c r="AW954">
        <v>0</v>
      </c>
      <c r="AY954">
        <v>0</v>
      </c>
      <c r="AZ954">
        <v>0</v>
      </c>
      <c r="BA954">
        <v>70</v>
      </c>
      <c r="BE954" t="str">
        <f>T("9791199253612")</f>
        <v>9791199253612</v>
      </c>
      <c r="BF954" t="str">
        <f>T("D011776")</f>
        <v>D011776</v>
      </c>
      <c r="BG954" t="str">
        <f>T("판타지 웹소설 &gt; 무협 소설")</f>
        <v>판타지 웹소설 &gt; 무협 소설</v>
      </c>
    </row>
    <row r="955" spans="1:59">
      <c r="A955" t="s">
        <v>60</v>
      </c>
      <c r="B955" s="1">
        <v>46130</v>
      </c>
      <c r="C955">
        <v>2378079581</v>
      </c>
      <c r="D955">
        <v>2378079612</v>
      </c>
      <c r="E955" t="str">
        <f>T("검출형산 32화")</f>
        <v>검출형산 32화</v>
      </c>
      <c r="F955">
        <v>32</v>
      </c>
      <c r="G955" t="str">
        <f>T("일편소엽")</f>
        <v>일편소엽</v>
      </c>
      <c r="J955" t="str">
        <f>T("심월(心月)")</f>
        <v>심월(心月)</v>
      </c>
      <c r="K955" t="str">
        <f>T("검출형산")</f>
        <v>검출형산</v>
      </c>
      <c r="L955">
        <v>100</v>
      </c>
      <c r="M955">
        <v>100</v>
      </c>
      <c r="N955">
        <v>1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100</v>
      </c>
      <c r="AJ955">
        <v>1</v>
      </c>
      <c r="AK955">
        <v>0</v>
      </c>
      <c r="AL955">
        <v>0</v>
      </c>
      <c r="AM955">
        <v>100</v>
      </c>
      <c r="AN955">
        <v>0</v>
      </c>
      <c r="AO955">
        <v>0</v>
      </c>
      <c r="AP955">
        <v>0</v>
      </c>
      <c r="AQ955">
        <v>0</v>
      </c>
      <c r="AS955">
        <v>0</v>
      </c>
      <c r="AT955">
        <v>0</v>
      </c>
      <c r="AV955">
        <v>0</v>
      </c>
      <c r="AW955">
        <v>0</v>
      </c>
      <c r="AY955">
        <v>0</v>
      </c>
      <c r="AZ955">
        <v>0</v>
      </c>
      <c r="BA955">
        <v>70</v>
      </c>
      <c r="BE955" t="str">
        <f>T("9791199253612")</f>
        <v>9791199253612</v>
      </c>
      <c r="BF955" t="str">
        <f>T("D011777")</f>
        <v>D011777</v>
      </c>
      <c r="BG955" t="str">
        <f>T("판타지 웹소설 &gt; 무협 소설")</f>
        <v>판타지 웹소설 &gt; 무협 소설</v>
      </c>
    </row>
    <row r="956" spans="1:59">
      <c r="A956" t="s">
        <v>60</v>
      </c>
      <c r="B956" s="1">
        <v>46130</v>
      </c>
      <c r="C956">
        <v>2378079581</v>
      </c>
      <c r="D956">
        <v>2378079613</v>
      </c>
      <c r="E956" t="str">
        <f>T("검출형산 33화")</f>
        <v>검출형산 33화</v>
      </c>
      <c r="F956">
        <v>33</v>
      </c>
      <c r="G956" t="str">
        <f>T("일편소엽")</f>
        <v>일편소엽</v>
      </c>
      <c r="J956" t="str">
        <f>T("심월(心月)")</f>
        <v>심월(心月)</v>
      </c>
      <c r="K956" t="str">
        <f>T("검출형산")</f>
        <v>검출형산</v>
      </c>
      <c r="L956">
        <v>100</v>
      </c>
      <c r="M956">
        <v>100</v>
      </c>
      <c r="N956">
        <v>1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100</v>
      </c>
      <c r="AJ956">
        <v>1</v>
      </c>
      <c r="AK956">
        <v>0</v>
      </c>
      <c r="AL956">
        <v>0</v>
      </c>
      <c r="AM956">
        <v>100</v>
      </c>
      <c r="AN956">
        <v>0</v>
      </c>
      <c r="AO956">
        <v>0</v>
      </c>
      <c r="AP956">
        <v>0</v>
      </c>
      <c r="AQ956">
        <v>0</v>
      </c>
      <c r="AS956">
        <v>0</v>
      </c>
      <c r="AT956">
        <v>0</v>
      </c>
      <c r="AV956">
        <v>0</v>
      </c>
      <c r="AW956">
        <v>0</v>
      </c>
      <c r="AY956">
        <v>0</v>
      </c>
      <c r="AZ956">
        <v>0</v>
      </c>
      <c r="BA956">
        <v>70</v>
      </c>
      <c r="BE956" t="str">
        <f>T("9791199253612")</f>
        <v>9791199253612</v>
      </c>
      <c r="BF956" t="str">
        <f>T("D011778")</f>
        <v>D011778</v>
      </c>
      <c r="BG956" t="str">
        <f>T("판타지 웹소설 &gt; 무협 소설")</f>
        <v>판타지 웹소설 &gt; 무협 소설</v>
      </c>
    </row>
    <row r="957" spans="1:59">
      <c r="A957" t="s">
        <v>60</v>
      </c>
      <c r="B957" s="1">
        <v>46130</v>
      </c>
      <c r="C957">
        <v>2378079581</v>
      </c>
      <c r="D957">
        <v>2378079614</v>
      </c>
      <c r="E957" t="str">
        <f>T("검출형산 34화")</f>
        <v>검출형산 34화</v>
      </c>
      <c r="F957">
        <v>34</v>
      </c>
      <c r="G957" t="str">
        <f>T("일편소엽")</f>
        <v>일편소엽</v>
      </c>
      <c r="J957" t="str">
        <f>T("심월(心月)")</f>
        <v>심월(心月)</v>
      </c>
      <c r="K957" t="str">
        <f>T("검출형산")</f>
        <v>검출형산</v>
      </c>
      <c r="L957">
        <v>100</v>
      </c>
      <c r="M957">
        <v>100</v>
      </c>
      <c r="N957">
        <v>1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100</v>
      </c>
      <c r="AJ957">
        <v>1</v>
      </c>
      <c r="AK957">
        <v>0</v>
      </c>
      <c r="AL957">
        <v>0</v>
      </c>
      <c r="AM957">
        <v>100</v>
      </c>
      <c r="AN957">
        <v>0</v>
      </c>
      <c r="AO957">
        <v>0</v>
      </c>
      <c r="AP957">
        <v>0</v>
      </c>
      <c r="AQ957">
        <v>0</v>
      </c>
      <c r="AS957">
        <v>0</v>
      </c>
      <c r="AT957">
        <v>0</v>
      </c>
      <c r="AV957">
        <v>0</v>
      </c>
      <c r="AW957">
        <v>0</v>
      </c>
      <c r="AY957">
        <v>0</v>
      </c>
      <c r="AZ957">
        <v>0</v>
      </c>
      <c r="BA957">
        <v>70</v>
      </c>
      <c r="BE957" t="str">
        <f>T("9791199253612")</f>
        <v>9791199253612</v>
      </c>
      <c r="BF957" t="str">
        <f>T("D011779")</f>
        <v>D011779</v>
      </c>
      <c r="BG957" t="str">
        <f>T("판타지 웹소설 &gt; 무협 소설")</f>
        <v>판타지 웹소설 &gt; 무협 소설</v>
      </c>
    </row>
    <row r="958" spans="1:59">
      <c r="A958" t="s">
        <v>60</v>
      </c>
      <c r="B958" s="1">
        <v>46130</v>
      </c>
      <c r="C958">
        <v>2378079581</v>
      </c>
      <c r="D958">
        <v>2378079615</v>
      </c>
      <c r="E958" t="str">
        <f>T("검출형산 35화")</f>
        <v>검출형산 35화</v>
      </c>
      <c r="F958">
        <v>35</v>
      </c>
      <c r="G958" t="str">
        <f>T("일편소엽")</f>
        <v>일편소엽</v>
      </c>
      <c r="J958" t="str">
        <f>T("심월(心月)")</f>
        <v>심월(心月)</v>
      </c>
      <c r="K958" t="str">
        <f>T("검출형산")</f>
        <v>검출형산</v>
      </c>
      <c r="L958">
        <v>100</v>
      </c>
      <c r="M958">
        <v>100</v>
      </c>
      <c r="N958">
        <v>1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100</v>
      </c>
      <c r="AJ958">
        <v>1</v>
      </c>
      <c r="AK958">
        <v>0</v>
      </c>
      <c r="AL958">
        <v>0</v>
      </c>
      <c r="AM958">
        <v>100</v>
      </c>
      <c r="AN958">
        <v>0</v>
      </c>
      <c r="AO958">
        <v>0</v>
      </c>
      <c r="AP958">
        <v>0</v>
      </c>
      <c r="AQ958">
        <v>0</v>
      </c>
      <c r="AS958">
        <v>0</v>
      </c>
      <c r="AT958">
        <v>0</v>
      </c>
      <c r="AV958">
        <v>0</v>
      </c>
      <c r="AW958">
        <v>0</v>
      </c>
      <c r="AY958">
        <v>0</v>
      </c>
      <c r="AZ958">
        <v>0</v>
      </c>
      <c r="BA958">
        <v>70</v>
      </c>
      <c r="BE958" t="str">
        <f>T("9791199253612")</f>
        <v>9791199253612</v>
      </c>
      <c r="BF958" t="str">
        <f>T("D011780")</f>
        <v>D011780</v>
      </c>
      <c r="BG958" t="str">
        <f>T("판타지 웹소설 &gt; 무협 소설")</f>
        <v>판타지 웹소설 &gt; 무협 소설</v>
      </c>
    </row>
    <row r="959" spans="1:59">
      <c r="A959" t="s">
        <v>60</v>
      </c>
      <c r="B959" s="1">
        <v>46130</v>
      </c>
      <c r="C959">
        <v>2378079581</v>
      </c>
      <c r="D959">
        <v>2378079616</v>
      </c>
      <c r="E959" t="str">
        <f>T("검출형산 36화")</f>
        <v>검출형산 36화</v>
      </c>
      <c r="F959">
        <v>36</v>
      </c>
      <c r="G959" t="str">
        <f>T("일편소엽")</f>
        <v>일편소엽</v>
      </c>
      <c r="J959" t="str">
        <f>T("심월(心月)")</f>
        <v>심월(心月)</v>
      </c>
      <c r="K959" t="str">
        <f>T("검출형산")</f>
        <v>검출형산</v>
      </c>
      <c r="L959">
        <v>100</v>
      </c>
      <c r="M959">
        <v>100</v>
      </c>
      <c r="N959">
        <v>1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100</v>
      </c>
      <c r="AJ959">
        <v>1</v>
      </c>
      <c r="AK959">
        <v>0</v>
      </c>
      <c r="AL959">
        <v>0</v>
      </c>
      <c r="AM959">
        <v>100</v>
      </c>
      <c r="AN959">
        <v>0</v>
      </c>
      <c r="AO959">
        <v>0</v>
      </c>
      <c r="AP959">
        <v>0</v>
      </c>
      <c r="AQ959">
        <v>0</v>
      </c>
      <c r="AS959">
        <v>0</v>
      </c>
      <c r="AT959">
        <v>0</v>
      </c>
      <c r="AV959">
        <v>0</v>
      </c>
      <c r="AW959">
        <v>0</v>
      </c>
      <c r="AY959">
        <v>0</v>
      </c>
      <c r="AZ959">
        <v>0</v>
      </c>
      <c r="BA959">
        <v>70</v>
      </c>
      <c r="BE959" t="str">
        <f>T("9791199253612")</f>
        <v>9791199253612</v>
      </c>
      <c r="BF959" t="str">
        <f>T("D011781")</f>
        <v>D011781</v>
      </c>
      <c r="BG959" t="str">
        <f>T("판타지 웹소설 &gt; 무협 소설")</f>
        <v>판타지 웹소설 &gt; 무협 소설</v>
      </c>
    </row>
    <row r="960" spans="1:59">
      <c r="A960" t="s">
        <v>60</v>
      </c>
      <c r="B960" s="1">
        <v>46130</v>
      </c>
      <c r="C960">
        <v>2378079581</v>
      </c>
      <c r="D960">
        <v>2378079617</v>
      </c>
      <c r="E960" t="str">
        <f>T("검출형산 37화")</f>
        <v>검출형산 37화</v>
      </c>
      <c r="F960">
        <v>37</v>
      </c>
      <c r="G960" t="str">
        <f>T("일편소엽")</f>
        <v>일편소엽</v>
      </c>
      <c r="J960" t="str">
        <f>T("심월(心月)")</f>
        <v>심월(心月)</v>
      </c>
      <c r="K960" t="str">
        <f>T("검출형산")</f>
        <v>검출형산</v>
      </c>
      <c r="L960">
        <v>100</v>
      </c>
      <c r="M960">
        <v>100</v>
      </c>
      <c r="N960">
        <v>1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100</v>
      </c>
      <c r="AJ960">
        <v>1</v>
      </c>
      <c r="AK960">
        <v>0</v>
      </c>
      <c r="AL960">
        <v>0</v>
      </c>
      <c r="AM960">
        <v>100</v>
      </c>
      <c r="AN960">
        <v>0</v>
      </c>
      <c r="AO960">
        <v>0</v>
      </c>
      <c r="AP960">
        <v>0</v>
      </c>
      <c r="AQ960">
        <v>0</v>
      </c>
      <c r="AS960">
        <v>0</v>
      </c>
      <c r="AT960">
        <v>0</v>
      </c>
      <c r="AV960">
        <v>0</v>
      </c>
      <c r="AW960">
        <v>0</v>
      </c>
      <c r="AY960">
        <v>0</v>
      </c>
      <c r="AZ960">
        <v>0</v>
      </c>
      <c r="BA960">
        <v>70</v>
      </c>
      <c r="BE960" t="str">
        <f>T("9791199253612")</f>
        <v>9791199253612</v>
      </c>
      <c r="BF960" t="str">
        <f>T("D011782")</f>
        <v>D011782</v>
      </c>
      <c r="BG960" t="str">
        <f>T("판타지 웹소설 &gt; 무협 소설")</f>
        <v>판타지 웹소설 &gt; 무협 소설</v>
      </c>
    </row>
    <row r="961" spans="1:59">
      <c r="A961" t="s">
        <v>60</v>
      </c>
      <c r="B961" s="1">
        <v>46130</v>
      </c>
      <c r="C961">
        <v>2378079581</v>
      </c>
      <c r="D961">
        <v>2378079618</v>
      </c>
      <c r="E961" t="str">
        <f>T("검출형산 38화")</f>
        <v>검출형산 38화</v>
      </c>
      <c r="F961">
        <v>38</v>
      </c>
      <c r="G961" t="str">
        <f>T("일편소엽")</f>
        <v>일편소엽</v>
      </c>
      <c r="J961" t="str">
        <f>T("심월(心月)")</f>
        <v>심월(心月)</v>
      </c>
      <c r="K961" t="str">
        <f>T("검출형산")</f>
        <v>검출형산</v>
      </c>
      <c r="L961">
        <v>100</v>
      </c>
      <c r="M961">
        <v>100</v>
      </c>
      <c r="N961">
        <v>1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100</v>
      </c>
      <c r="AJ961">
        <v>1</v>
      </c>
      <c r="AK961">
        <v>0</v>
      </c>
      <c r="AL961">
        <v>0</v>
      </c>
      <c r="AM961">
        <v>100</v>
      </c>
      <c r="AN961">
        <v>0</v>
      </c>
      <c r="AO961">
        <v>0</v>
      </c>
      <c r="AP961">
        <v>0</v>
      </c>
      <c r="AQ961">
        <v>0</v>
      </c>
      <c r="AS961">
        <v>0</v>
      </c>
      <c r="AT961">
        <v>0</v>
      </c>
      <c r="AV961">
        <v>0</v>
      </c>
      <c r="AW961">
        <v>0</v>
      </c>
      <c r="AY961">
        <v>0</v>
      </c>
      <c r="AZ961">
        <v>0</v>
      </c>
      <c r="BA961">
        <v>70</v>
      </c>
      <c r="BE961" t="str">
        <f>T("9791199253612")</f>
        <v>9791199253612</v>
      </c>
      <c r="BF961" t="str">
        <f>T("D011783")</f>
        <v>D011783</v>
      </c>
      <c r="BG961" t="str">
        <f>T("판타지 웹소설 &gt; 무협 소설")</f>
        <v>판타지 웹소설 &gt; 무협 소설</v>
      </c>
    </row>
    <row r="962" spans="1:59">
      <c r="A962" t="s">
        <v>60</v>
      </c>
      <c r="B962" s="1">
        <v>46130</v>
      </c>
      <c r="C962">
        <v>2378079581</v>
      </c>
      <c r="D962">
        <v>2378079801</v>
      </c>
      <c r="E962" t="str">
        <f>T("검출형산 221화")</f>
        <v>검출형산 221화</v>
      </c>
      <c r="F962">
        <v>221</v>
      </c>
      <c r="G962" t="str">
        <f>T("일편소엽")</f>
        <v>일편소엽</v>
      </c>
      <c r="J962" t="str">
        <f>T("심월(心月)")</f>
        <v>심월(心月)</v>
      </c>
      <c r="K962" t="str">
        <f>T("검출형산")</f>
        <v>검출형산</v>
      </c>
      <c r="L962">
        <v>100</v>
      </c>
      <c r="M962">
        <v>100</v>
      </c>
      <c r="N962">
        <v>1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100</v>
      </c>
      <c r="AJ962">
        <v>1</v>
      </c>
      <c r="AK962">
        <v>0</v>
      </c>
      <c r="AL962">
        <v>0</v>
      </c>
      <c r="AM962">
        <v>0</v>
      </c>
      <c r="AN962">
        <v>0</v>
      </c>
      <c r="AO962">
        <v>120</v>
      </c>
      <c r="AP962">
        <v>-12</v>
      </c>
      <c r="AQ962">
        <v>0</v>
      </c>
      <c r="AS962">
        <v>0</v>
      </c>
      <c r="AT962">
        <v>0</v>
      </c>
      <c r="AU962">
        <v>120</v>
      </c>
      <c r="AV962">
        <v>-12</v>
      </c>
      <c r="AW962">
        <v>0</v>
      </c>
      <c r="AY962">
        <v>0</v>
      </c>
      <c r="AZ962">
        <v>0</v>
      </c>
      <c r="BA962">
        <v>75.599999999999994</v>
      </c>
      <c r="BE962" t="str">
        <f>T("9791199253612")</f>
        <v>9791199253612</v>
      </c>
      <c r="BF962" t="str">
        <f>T("D061566")</f>
        <v>D061566</v>
      </c>
      <c r="BG962" t="str">
        <f>T("판타지 웹소설 &gt; 무협 소설")</f>
        <v>판타지 웹소설 &gt; 무협 소설</v>
      </c>
    </row>
    <row r="963" spans="1:59">
      <c r="A963" t="s">
        <v>60</v>
      </c>
      <c r="B963" s="1">
        <v>46130</v>
      </c>
      <c r="C963">
        <v>2378079581</v>
      </c>
      <c r="D963">
        <v>2378079802</v>
      </c>
      <c r="E963" t="str">
        <f>T("검출형산 222화")</f>
        <v>검출형산 222화</v>
      </c>
      <c r="F963">
        <v>222</v>
      </c>
      <c r="G963" t="str">
        <f>T("일편소엽")</f>
        <v>일편소엽</v>
      </c>
      <c r="J963" t="str">
        <f>T("심월(心月)")</f>
        <v>심월(心月)</v>
      </c>
      <c r="K963" t="str">
        <f>T("검출형산")</f>
        <v>검출형산</v>
      </c>
      <c r="L963">
        <v>100</v>
      </c>
      <c r="M963">
        <v>100</v>
      </c>
      <c r="N963">
        <v>1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100</v>
      </c>
      <c r="AJ963">
        <v>1</v>
      </c>
      <c r="AK963">
        <v>0</v>
      </c>
      <c r="AL963">
        <v>0</v>
      </c>
      <c r="AM963">
        <v>0</v>
      </c>
      <c r="AN963">
        <v>0</v>
      </c>
      <c r="AO963">
        <v>120</v>
      </c>
      <c r="AP963">
        <v>-12</v>
      </c>
      <c r="AQ963">
        <v>0</v>
      </c>
      <c r="AS963">
        <v>0</v>
      </c>
      <c r="AT963">
        <v>0</v>
      </c>
      <c r="AU963">
        <v>120</v>
      </c>
      <c r="AV963">
        <v>-12</v>
      </c>
      <c r="AW963">
        <v>0</v>
      </c>
      <c r="AY963">
        <v>0</v>
      </c>
      <c r="AZ963">
        <v>0</v>
      </c>
      <c r="BA963">
        <v>75.599999999999994</v>
      </c>
      <c r="BE963" t="str">
        <f>T("9791199253612")</f>
        <v>9791199253612</v>
      </c>
      <c r="BF963" t="str">
        <f>T("D061567")</f>
        <v>D061567</v>
      </c>
      <c r="BG963" t="str">
        <f>T("판타지 웹소설 &gt; 무협 소설")</f>
        <v>판타지 웹소설 &gt; 무협 소설</v>
      </c>
    </row>
    <row r="964" spans="1:59">
      <c r="A964" t="s">
        <v>60</v>
      </c>
      <c r="B964" s="1">
        <v>46130</v>
      </c>
      <c r="C964">
        <v>2378079581</v>
      </c>
      <c r="D964">
        <v>2378079629</v>
      </c>
      <c r="E964" t="str">
        <f>T("검출형산 49화")</f>
        <v>검출형산 49화</v>
      </c>
      <c r="F964">
        <v>49</v>
      </c>
      <c r="G964" t="str">
        <f>T("일편소엽")</f>
        <v>일편소엽</v>
      </c>
      <c r="J964" t="str">
        <f>T("심월(心月)")</f>
        <v>심월(心月)</v>
      </c>
      <c r="K964" t="str">
        <f>T("검출형산")</f>
        <v>검출형산</v>
      </c>
      <c r="L964">
        <v>100</v>
      </c>
      <c r="M964">
        <v>100</v>
      </c>
      <c r="N964">
        <v>1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0</v>
      </c>
      <c r="AH964">
        <v>0</v>
      </c>
      <c r="AI964">
        <v>100</v>
      </c>
      <c r="AJ964">
        <v>1</v>
      </c>
      <c r="AK964">
        <v>0</v>
      </c>
      <c r="AL964">
        <v>0</v>
      </c>
      <c r="AM964">
        <v>100</v>
      </c>
      <c r="AN964">
        <v>0</v>
      </c>
      <c r="AO964">
        <v>0</v>
      </c>
      <c r="AP964">
        <v>0</v>
      </c>
      <c r="AQ964">
        <v>0</v>
      </c>
      <c r="AS964">
        <v>0</v>
      </c>
      <c r="AT964">
        <v>0</v>
      </c>
      <c r="AV964">
        <v>0</v>
      </c>
      <c r="AW964">
        <v>0</v>
      </c>
      <c r="AY964">
        <v>0</v>
      </c>
      <c r="AZ964">
        <v>0</v>
      </c>
      <c r="BA964">
        <v>70</v>
      </c>
      <c r="BE964" t="str">
        <f>T("9791199253612")</f>
        <v>9791199253612</v>
      </c>
      <c r="BF964" t="str">
        <f>T("D011794")</f>
        <v>D011794</v>
      </c>
      <c r="BG964" t="str">
        <f>T("판타지 웹소설 &gt; 무협 소설")</f>
        <v>판타지 웹소설 &gt; 무협 소설</v>
      </c>
    </row>
    <row r="965" spans="1:59">
      <c r="A965" t="s">
        <v>60</v>
      </c>
      <c r="B965" s="1">
        <v>46130</v>
      </c>
      <c r="C965">
        <v>2378079581</v>
      </c>
      <c r="D965">
        <v>2378079630</v>
      </c>
      <c r="E965" t="str">
        <f>T("검출형산 50화")</f>
        <v>검출형산 50화</v>
      </c>
      <c r="F965">
        <v>50</v>
      </c>
      <c r="G965" t="str">
        <f>T("일편소엽")</f>
        <v>일편소엽</v>
      </c>
      <c r="J965" t="str">
        <f>T("심월(心月)")</f>
        <v>심월(心月)</v>
      </c>
      <c r="K965" t="str">
        <f>T("검출형산")</f>
        <v>검출형산</v>
      </c>
      <c r="L965">
        <v>100</v>
      </c>
      <c r="M965">
        <v>100</v>
      </c>
      <c r="N965">
        <v>1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100</v>
      </c>
      <c r="AJ965">
        <v>1</v>
      </c>
      <c r="AK965">
        <v>0</v>
      </c>
      <c r="AL965">
        <v>0</v>
      </c>
      <c r="AM965">
        <v>100</v>
      </c>
      <c r="AN965">
        <v>0</v>
      </c>
      <c r="AO965">
        <v>0</v>
      </c>
      <c r="AP965">
        <v>0</v>
      </c>
      <c r="AQ965">
        <v>0</v>
      </c>
      <c r="AS965">
        <v>0</v>
      </c>
      <c r="AT965">
        <v>0</v>
      </c>
      <c r="AV965">
        <v>0</v>
      </c>
      <c r="AW965">
        <v>0</v>
      </c>
      <c r="AY965">
        <v>0</v>
      </c>
      <c r="AZ965">
        <v>0</v>
      </c>
      <c r="BA965">
        <v>70</v>
      </c>
      <c r="BE965" t="str">
        <f>T("9791199253612")</f>
        <v>9791199253612</v>
      </c>
      <c r="BF965" t="str">
        <f>T("D011795")</f>
        <v>D011795</v>
      </c>
      <c r="BG965" t="str">
        <f>T("판타지 웹소설 &gt; 무협 소설")</f>
        <v>판타지 웹소설 &gt; 무협 소설</v>
      </c>
    </row>
    <row r="966" spans="1:59">
      <c r="A966" t="s">
        <v>60</v>
      </c>
      <c r="B966" s="1">
        <v>46130</v>
      </c>
      <c r="C966">
        <v>2378079581</v>
      </c>
      <c r="D966">
        <v>2378079631</v>
      </c>
      <c r="E966" t="str">
        <f>T("검출형산 51화")</f>
        <v>검출형산 51화</v>
      </c>
      <c r="F966">
        <v>51</v>
      </c>
      <c r="G966" t="str">
        <f>T("일편소엽")</f>
        <v>일편소엽</v>
      </c>
      <c r="J966" t="str">
        <f>T("심월(心月)")</f>
        <v>심월(心月)</v>
      </c>
      <c r="K966" t="str">
        <f>T("검출형산")</f>
        <v>검출형산</v>
      </c>
      <c r="L966">
        <v>100</v>
      </c>
      <c r="M966">
        <v>100</v>
      </c>
      <c r="N966">
        <v>1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100</v>
      </c>
      <c r="AJ966">
        <v>1</v>
      </c>
      <c r="AK966">
        <v>0</v>
      </c>
      <c r="AL966">
        <v>0</v>
      </c>
      <c r="AM966">
        <v>100</v>
      </c>
      <c r="AN966">
        <v>0</v>
      </c>
      <c r="AO966">
        <v>0</v>
      </c>
      <c r="AP966">
        <v>0</v>
      </c>
      <c r="AQ966">
        <v>0</v>
      </c>
      <c r="AS966">
        <v>0</v>
      </c>
      <c r="AT966">
        <v>0</v>
      </c>
      <c r="AV966">
        <v>0</v>
      </c>
      <c r="AW966">
        <v>0</v>
      </c>
      <c r="AY966">
        <v>0</v>
      </c>
      <c r="AZ966">
        <v>0</v>
      </c>
      <c r="BA966">
        <v>70</v>
      </c>
      <c r="BE966" t="str">
        <f>T("9791199253612")</f>
        <v>9791199253612</v>
      </c>
      <c r="BF966" t="str">
        <f>T("D011796")</f>
        <v>D011796</v>
      </c>
      <c r="BG966" t="str">
        <f>T("판타지 웹소설 &gt; 무협 소설")</f>
        <v>판타지 웹소설 &gt; 무협 소설</v>
      </c>
    </row>
    <row r="967" spans="1:59">
      <c r="A967" t="s">
        <v>60</v>
      </c>
      <c r="B967" s="1">
        <v>46130</v>
      </c>
      <c r="C967">
        <v>2378079581</v>
      </c>
      <c r="D967">
        <v>2378079632</v>
      </c>
      <c r="E967" t="str">
        <f>T("검출형산 52화")</f>
        <v>검출형산 52화</v>
      </c>
      <c r="F967">
        <v>52</v>
      </c>
      <c r="G967" t="str">
        <f>T("일편소엽")</f>
        <v>일편소엽</v>
      </c>
      <c r="J967" t="str">
        <f>T("심월(心月)")</f>
        <v>심월(心月)</v>
      </c>
      <c r="K967" t="str">
        <f>T("검출형산")</f>
        <v>검출형산</v>
      </c>
      <c r="L967">
        <v>100</v>
      </c>
      <c r="M967">
        <v>100</v>
      </c>
      <c r="N967">
        <v>1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100</v>
      </c>
      <c r="AJ967">
        <v>1</v>
      </c>
      <c r="AK967">
        <v>0</v>
      </c>
      <c r="AL967">
        <v>0</v>
      </c>
      <c r="AM967">
        <v>100</v>
      </c>
      <c r="AN967">
        <v>0</v>
      </c>
      <c r="AO967">
        <v>0</v>
      </c>
      <c r="AP967">
        <v>0</v>
      </c>
      <c r="AQ967">
        <v>0</v>
      </c>
      <c r="AS967">
        <v>0</v>
      </c>
      <c r="AT967">
        <v>0</v>
      </c>
      <c r="AV967">
        <v>0</v>
      </c>
      <c r="AW967">
        <v>0</v>
      </c>
      <c r="AY967">
        <v>0</v>
      </c>
      <c r="AZ967">
        <v>0</v>
      </c>
      <c r="BA967">
        <v>70</v>
      </c>
      <c r="BE967" t="str">
        <f>T("9791199253612")</f>
        <v>9791199253612</v>
      </c>
      <c r="BF967" t="str">
        <f>T("D011797")</f>
        <v>D011797</v>
      </c>
      <c r="BG967" t="str">
        <f>T("판타지 웹소설 &gt; 무협 소설")</f>
        <v>판타지 웹소설 &gt; 무협 소설</v>
      </c>
    </row>
    <row r="968" spans="1:59">
      <c r="A968" t="s">
        <v>60</v>
      </c>
      <c r="B968" s="1">
        <v>46130</v>
      </c>
      <c r="C968">
        <v>2378079581</v>
      </c>
      <c r="D968">
        <v>2378079634</v>
      </c>
      <c r="E968" t="str">
        <f>T("검출형산 54화")</f>
        <v>검출형산 54화</v>
      </c>
      <c r="F968">
        <v>54</v>
      </c>
      <c r="G968" t="str">
        <f>T("일편소엽")</f>
        <v>일편소엽</v>
      </c>
      <c r="J968" t="str">
        <f>T("심월(心月)")</f>
        <v>심월(心月)</v>
      </c>
      <c r="K968" t="str">
        <f>T("검출형산")</f>
        <v>검출형산</v>
      </c>
      <c r="L968">
        <v>100</v>
      </c>
      <c r="M968">
        <v>100</v>
      </c>
      <c r="N968">
        <v>1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100</v>
      </c>
      <c r="AJ968">
        <v>1</v>
      </c>
      <c r="AK968">
        <v>0</v>
      </c>
      <c r="AL968">
        <v>0</v>
      </c>
      <c r="AM968">
        <v>100</v>
      </c>
      <c r="AN968">
        <v>0</v>
      </c>
      <c r="AO968">
        <v>0</v>
      </c>
      <c r="AP968">
        <v>0</v>
      </c>
      <c r="AQ968">
        <v>0</v>
      </c>
      <c r="AS968">
        <v>0</v>
      </c>
      <c r="AT968">
        <v>0</v>
      </c>
      <c r="AV968">
        <v>0</v>
      </c>
      <c r="AW968">
        <v>0</v>
      </c>
      <c r="AY968">
        <v>0</v>
      </c>
      <c r="AZ968">
        <v>0</v>
      </c>
      <c r="BA968">
        <v>70</v>
      </c>
      <c r="BE968" t="str">
        <f>T("9791199253612")</f>
        <v>9791199253612</v>
      </c>
      <c r="BF968" t="str">
        <f>T("D011799")</f>
        <v>D011799</v>
      </c>
      <c r="BG968" t="str">
        <f>T("판타지 웹소설 &gt; 무협 소설")</f>
        <v>판타지 웹소설 &gt; 무협 소설</v>
      </c>
    </row>
    <row r="969" spans="1:59">
      <c r="A969" t="s">
        <v>60</v>
      </c>
      <c r="B969" s="1">
        <v>46130</v>
      </c>
      <c r="C969">
        <v>2378079581</v>
      </c>
      <c r="D969">
        <v>2378079806</v>
      </c>
      <c r="E969" t="str">
        <f>T("검출형산 226화")</f>
        <v>검출형산 226화</v>
      </c>
      <c r="F969">
        <v>226</v>
      </c>
      <c r="G969" t="str">
        <f>T("일편소엽")</f>
        <v>일편소엽</v>
      </c>
      <c r="J969" t="str">
        <f>T("심월(心月)")</f>
        <v>심월(心月)</v>
      </c>
      <c r="K969" t="str">
        <f>T("검출형산")</f>
        <v>검출형산</v>
      </c>
      <c r="L969">
        <v>100</v>
      </c>
      <c r="M969">
        <v>100</v>
      </c>
      <c r="N969">
        <v>1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100</v>
      </c>
      <c r="AJ969">
        <v>1</v>
      </c>
      <c r="AK969">
        <v>0</v>
      </c>
      <c r="AL969">
        <v>0</v>
      </c>
      <c r="AM969">
        <v>0</v>
      </c>
      <c r="AN969">
        <v>0</v>
      </c>
      <c r="AO969">
        <v>120</v>
      </c>
      <c r="AP969">
        <v>-12</v>
      </c>
      <c r="AQ969">
        <v>0</v>
      </c>
      <c r="AS969">
        <v>0</v>
      </c>
      <c r="AT969">
        <v>0</v>
      </c>
      <c r="AU969">
        <v>120</v>
      </c>
      <c r="AV969">
        <v>-12</v>
      </c>
      <c r="AW969">
        <v>0</v>
      </c>
      <c r="AY969">
        <v>0</v>
      </c>
      <c r="AZ969">
        <v>0</v>
      </c>
      <c r="BA969">
        <v>75.599999999999994</v>
      </c>
      <c r="BE969" t="str">
        <f>T("9791199253612")</f>
        <v>9791199253612</v>
      </c>
      <c r="BF969" t="str">
        <f>T("D061571")</f>
        <v>D061571</v>
      </c>
      <c r="BG969" t="str">
        <f>T("판타지 웹소설 &gt; 무협 소설")</f>
        <v>판타지 웹소설 &gt; 무협 소설</v>
      </c>
    </row>
    <row r="970" spans="1:59">
      <c r="A970" t="s">
        <v>60</v>
      </c>
      <c r="B970" s="1">
        <v>46130</v>
      </c>
      <c r="C970">
        <v>2378079581</v>
      </c>
      <c r="D970">
        <v>2378079807</v>
      </c>
      <c r="E970" t="str">
        <f>T("검출형산 227화")</f>
        <v>검출형산 227화</v>
      </c>
      <c r="F970">
        <v>227</v>
      </c>
      <c r="G970" t="str">
        <f>T("일편소엽")</f>
        <v>일편소엽</v>
      </c>
      <c r="J970" t="str">
        <f>T("심월(心月)")</f>
        <v>심월(心月)</v>
      </c>
      <c r="K970" t="str">
        <f>T("검출형산")</f>
        <v>검출형산</v>
      </c>
      <c r="L970">
        <v>100</v>
      </c>
      <c r="M970">
        <v>100</v>
      </c>
      <c r="N970">
        <v>1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100</v>
      </c>
      <c r="AJ970">
        <v>1</v>
      </c>
      <c r="AK970">
        <v>0</v>
      </c>
      <c r="AL970">
        <v>0</v>
      </c>
      <c r="AM970">
        <v>0</v>
      </c>
      <c r="AN970">
        <v>0</v>
      </c>
      <c r="AO970">
        <v>120</v>
      </c>
      <c r="AP970">
        <v>-12</v>
      </c>
      <c r="AQ970">
        <v>0</v>
      </c>
      <c r="AS970">
        <v>0</v>
      </c>
      <c r="AT970">
        <v>0</v>
      </c>
      <c r="AU970">
        <v>120</v>
      </c>
      <c r="AV970">
        <v>-12</v>
      </c>
      <c r="AW970">
        <v>0</v>
      </c>
      <c r="AY970">
        <v>0</v>
      </c>
      <c r="AZ970">
        <v>0</v>
      </c>
      <c r="BA970">
        <v>75.599999999999994</v>
      </c>
      <c r="BE970" t="str">
        <f>T("9791199253612")</f>
        <v>9791199253612</v>
      </c>
      <c r="BF970" t="str">
        <f>T("D061572")</f>
        <v>D061572</v>
      </c>
      <c r="BG970" t="str">
        <f>T("판타지 웹소설 &gt; 무협 소설")</f>
        <v>판타지 웹소설 &gt; 무협 소설</v>
      </c>
    </row>
    <row r="971" spans="1:59">
      <c r="A971" t="s">
        <v>60</v>
      </c>
      <c r="B971" s="1">
        <v>46130</v>
      </c>
      <c r="C971">
        <v>2378079581</v>
      </c>
      <c r="D971">
        <v>2378079808</v>
      </c>
      <c r="E971" t="str">
        <f>T("검출형산 228화")</f>
        <v>검출형산 228화</v>
      </c>
      <c r="F971">
        <v>228</v>
      </c>
      <c r="G971" t="str">
        <f>T("일편소엽")</f>
        <v>일편소엽</v>
      </c>
      <c r="J971" t="str">
        <f>T("심월(心月)")</f>
        <v>심월(心月)</v>
      </c>
      <c r="K971" t="str">
        <f>T("검출형산")</f>
        <v>검출형산</v>
      </c>
      <c r="L971">
        <v>100</v>
      </c>
      <c r="M971">
        <v>100</v>
      </c>
      <c r="N971">
        <v>1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100</v>
      </c>
      <c r="AJ971">
        <v>1</v>
      </c>
      <c r="AK971">
        <v>0</v>
      </c>
      <c r="AL971">
        <v>0</v>
      </c>
      <c r="AM971">
        <v>0</v>
      </c>
      <c r="AN971">
        <v>0</v>
      </c>
      <c r="AO971">
        <v>120</v>
      </c>
      <c r="AP971">
        <v>-12</v>
      </c>
      <c r="AQ971">
        <v>0</v>
      </c>
      <c r="AS971">
        <v>0</v>
      </c>
      <c r="AT971">
        <v>0</v>
      </c>
      <c r="AU971">
        <v>120</v>
      </c>
      <c r="AV971">
        <v>-12</v>
      </c>
      <c r="AW971">
        <v>0</v>
      </c>
      <c r="AY971">
        <v>0</v>
      </c>
      <c r="AZ971">
        <v>0</v>
      </c>
      <c r="BA971">
        <v>75.599999999999994</v>
      </c>
      <c r="BE971" t="str">
        <f>T("9791199253612")</f>
        <v>9791199253612</v>
      </c>
      <c r="BF971" t="str">
        <f>T("D061573")</f>
        <v>D061573</v>
      </c>
      <c r="BG971" t="str">
        <f>T("판타지 웹소설 &gt; 무협 소설")</f>
        <v>판타지 웹소설 &gt; 무협 소설</v>
      </c>
    </row>
    <row r="972" spans="1:59">
      <c r="A972" t="s">
        <v>60</v>
      </c>
      <c r="B972" s="1">
        <v>46130</v>
      </c>
      <c r="C972">
        <v>2378079581</v>
      </c>
      <c r="D972">
        <v>2378079809</v>
      </c>
      <c r="E972" t="str">
        <f>T("검출형산 229화")</f>
        <v>검출형산 229화</v>
      </c>
      <c r="F972">
        <v>229</v>
      </c>
      <c r="G972" t="str">
        <f>T("일편소엽")</f>
        <v>일편소엽</v>
      </c>
      <c r="J972" t="str">
        <f>T("심월(心月)")</f>
        <v>심월(心月)</v>
      </c>
      <c r="K972" t="str">
        <f>T("검출형산")</f>
        <v>검출형산</v>
      </c>
      <c r="L972">
        <v>100</v>
      </c>
      <c r="M972">
        <v>100</v>
      </c>
      <c r="N972">
        <v>1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100</v>
      </c>
      <c r="AJ972">
        <v>1</v>
      </c>
      <c r="AK972">
        <v>0</v>
      </c>
      <c r="AL972">
        <v>0</v>
      </c>
      <c r="AM972">
        <v>0</v>
      </c>
      <c r="AN972">
        <v>0</v>
      </c>
      <c r="AO972">
        <v>120</v>
      </c>
      <c r="AP972">
        <v>-12</v>
      </c>
      <c r="AQ972">
        <v>0</v>
      </c>
      <c r="AS972">
        <v>0</v>
      </c>
      <c r="AT972">
        <v>0</v>
      </c>
      <c r="AU972">
        <v>120</v>
      </c>
      <c r="AV972">
        <v>-12</v>
      </c>
      <c r="AW972">
        <v>0</v>
      </c>
      <c r="AY972">
        <v>0</v>
      </c>
      <c r="AZ972">
        <v>0</v>
      </c>
      <c r="BA972">
        <v>75.599999999999994</v>
      </c>
      <c r="BE972" t="str">
        <f>T("9791199253612")</f>
        <v>9791199253612</v>
      </c>
      <c r="BF972" t="str">
        <f>T("D061574")</f>
        <v>D061574</v>
      </c>
      <c r="BG972" t="str">
        <f>T("판타지 웹소설 &gt; 무협 소설")</f>
        <v>판타지 웹소설 &gt; 무협 소설</v>
      </c>
    </row>
    <row r="973" spans="1:59">
      <c r="A973" t="s">
        <v>60</v>
      </c>
      <c r="B973" s="1">
        <v>46130</v>
      </c>
      <c r="C973">
        <v>2378079581</v>
      </c>
      <c r="D973">
        <v>2378079810</v>
      </c>
      <c r="E973" t="str">
        <f>T("검출형산 230화")</f>
        <v>검출형산 230화</v>
      </c>
      <c r="F973">
        <v>230</v>
      </c>
      <c r="G973" t="str">
        <f>T("일편소엽")</f>
        <v>일편소엽</v>
      </c>
      <c r="J973" t="str">
        <f>T("심월(心月)")</f>
        <v>심월(心月)</v>
      </c>
      <c r="K973" t="str">
        <f>T("검출형산")</f>
        <v>검출형산</v>
      </c>
      <c r="L973">
        <v>100</v>
      </c>
      <c r="M973">
        <v>100</v>
      </c>
      <c r="N973">
        <v>1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100</v>
      </c>
      <c r="AJ973">
        <v>1</v>
      </c>
      <c r="AK973">
        <v>0</v>
      </c>
      <c r="AL973">
        <v>0</v>
      </c>
      <c r="AM973">
        <v>0</v>
      </c>
      <c r="AN973">
        <v>0</v>
      </c>
      <c r="AO973">
        <v>120</v>
      </c>
      <c r="AP973">
        <v>-12</v>
      </c>
      <c r="AQ973">
        <v>0</v>
      </c>
      <c r="AS973">
        <v>0</v>
      </c>
      <c r="AT973">
        <v>0</v>
      </c>
      <c r="AU973">
        <v>120</v>
      </c>
      <c r="AV973">
        <v>-12</v>
      </c>
      <c r="AW973">
        <v>0</v>
      </c>
      <c r="AY973">
        <v>0</v>
      </c>
      <c r="AZ973">
        <v>0</v>
      </c>
      <c r="BA973">
        <v>75.599999999999994</v>
      </c>
      <c r="BE973" t="str">
        <f>T("9791199253612")</f>
        <v>9791199253612</v>
      </c>
      <c r="BF973" t="str">
        <f>T("D061575")</f>
        <v>D061575</v>
      </c>
      <c r="BG973" t="str">
        <f>T("판타지 웹소설 &gt; 무협 소설")</f>
        <v>판타지 웹소설 &gt; 무협 소설</v>
      </c>
    </row>
    <row r="974" spans="1:59">
      <c r="A974" t="s">
        <v>60</v>
      </c>
      <c r="B974" s="1">
        <v>46130</v>
      </c>
      <c r="C974">
        <v>2378079581</v>
      </c>
      <c r="D974">
        <v>2378079811</v>
      </c>
      <c r="E974" t="str">
        <f>T("검출형산 231화")</f>
        <v>검출형산 231화</v>
      </c>
      <c r="F974">
        <v>231</v>
      </c>
      <c r="G974" t="str">
        <f>T("일편소엽")</f>
        <v>일편소엽</v>
      </c>
      <c r="J974" t="str">
        <f>T("심월(心月)")</f>
        <v>심월(心月)</v>
      </c>
      <c r="K974" t="str">
        <f>T("검출형산")</f>
        <v>검출형산</v>
      </c>
      <c r="L974">
        <v>100</v>
      </c>
      <c r="M974">
        <v>100</v>
      </c>
      <c r="N974">
        <v>1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100</v>
      </c>
      <c r="AJ974">
        <v>1</v>
      </c>
      <c r="AK974">
        <v>0</v>
      </c>
      <c r="AL974">
        <v>0</v>
      </c>
      <c r="AM974">
        <v>0</v>
      </c>
      <c r="AN974">
        <v>0</v>
      </c>
      <c r="AO974">
        <v>120</v>
      </c>
      <c r="AP974">
        <v>-12</v>
      </c>
      <c r="AQ974">
        <v>0</v>
      </c>
      <c r="AS974">
        <v>0</v>
      </c>
      <c r="AT974">
        <v>0</v>
      </c>
      <c r="AU974">
        <v>120</v>
      </c>
      <c r="AV974">
        <v>-12</v>
      </c>
      <c r="AW974">
        <v>0</v>
      </c>
      <c r="AY974">
        <v>0</v>
      </c>
      <c r="AZ974">
        <v>0</v>
      </c>
      <c r="BA974">
        <v>75.599999999999994</v>
      </c>
      <c r="BE974" t="str">
        <f>T("9791199253612")</f>
        <v>9791199253612</v>
      </c>
      <c r="BF974" t="str">
        <f>T("D061576")</f>
        <v>D061576</v>
      </c>
      <c r="BG974" t="str">
        <f>T("판타지 웹소설 &gt; 무협 소설")</f>
        <v>판타지 웹소설 &gt; 무협 소설</v>
      </c>
    </row>
    <row r="975" spans="1:59">
      <c r="A975" t="s">
        <v>60</v>
      </c>
      <c r="B975" s="1">
        <v>46130</v>
      </c>
      <c r="C975">
        <v>2378079581</v>
      </c>
      <c r="D975">
        <v>2378079812</v>
      </c>
      <c r="E975" t="str">
        <f>T("검출형산 232화")</f>
        <v>검출형산 232화</v>
      </c>
      <c r="F975">
        <v>232</v>
      </c>
      <c r="G975" t="str">
        <f>T("일편소엽")</f>
        <v>일편소엽</v>
      </c>
      <c r="J975" t="str">
        <f>T("심월(心月)")</f>
        <v>심월(心月)</v>
      </c>
      <c r="K975" t="str">
        <f>T("검출형산")</f>
        <v>검출형산</v>
      </c>
      <c r="L975">
        <v>100</v>
      </c>
      <c r="M975">
        <v>100</v>
      </c>
      <c r="N975">
        <v>1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100</v>
      </c>
      <c r="AJ975">
        <v>1</v>
      </c>
      <c r="AK975">
        <v>0</v>
      </c>
      <c r="AL975">
        <v>0</v>
      </c>
      <c r="AM975">
        <v>0</v>
      </c>
      <c r="AN975">
        <v>0</v>
      </c>
      <c r="AO975">
        <v>120</v>
      </c>
      <c r="AP975">
        <v>-12</v>
      </c>
      <c r="AQ975">
        <v>0</v>
      </c>
      <c r="AS975">
        <v>0</v>
      </c>
      <c r="AT975">
        <v>0</v>
      </c>
      <c r="AU975">
        <v>120</v>
      </c>
      <c r="AV975">
        <v>-12</v>
      </c>
      <c r="AW975">
        <v>0</v>
      </c>
      <c r="AY975">
        <v>0</v>
      </c>
      <c r="AZ975">
        <v>0</v>
      </c>
      <c r="BA975">
        <v>75.599999999999994</v>
      </c>
      <c r="BE975" t="str">
        <f>T("9791199253612")</f>
        <v>9791199253612</v>
      </c>
      <c r="BF975" t="str">
        <f>T("D061577")</f>
        <v>D061577</v>
      </c>
      <c r="BG975" t="str">
        <f>T("판타지 웹소설 &gt; 무협 소설")</f>
        <v>판타지 웹소설 &gt; 무협 소설</v>
      </c>
    </row>
    <row r="976" spans="1:59">
      <c r="A976" t="s">
        <v>60</v>
      </c>
      <c r="B976" s="1">
        <v>46130</v>
      </c>
      <c r="C976">
        <v>2378079581</v>
      </c>
      <c r="D976">
        <v>2378079813</v>
      </c>
      <c r="E976" t="str">
        <f>T("검출형산 233화")</f>
        <v>검출형산 233화</v>
      </c>
      <c r="F976">
        <v>233</v>
      </c>
      <c r="G976" t="str">
        <f>T("일편소엽")</f>
        <v>일편소엽</v>
      </c>
      <c r="J976" t="str">
        <f>T("심월(心月)")</f>
        <v>심월(心月)</v>
      </c>
      <c r="K976" t="str">
        <f>T("검출형산")</f>
        <v>검출형산</v>
      </c>
      <c r="L976">
        <v>100</v>
      </c>
      <c r="M976">
        <v>100</v>
      </c>
      <c r="N976">
        <v>1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100</v>
      </c>
      <c r="AJ976">
        <v>1</v>
      </c>
      <c r="AK976">
        <v>0</v>
      </c>
      <c r="AL976">
        <v>0</v>
      </c>
      <c r="AM976">
        <v>0</v>
      </c>
      <c r="AN976">
        <v>0</v>
      </c>
      <c r="AO976">
        <v>120</v>
      </c>
      <c r="AP976">
        <v>-12</v>
      </c>
      <c r="AQ976">
        <v>0</v>
      </c>
      <c r="AS976">
        <v>0</v>
      </c>
      <c r="AT976">
        <v>0</v>
      </c>
      <c r="AU976">
        <v>120</v>
      </c>
      <c r="AV976">
        <v>-12</v>
      </c>
      <c r="AW976">
        <v>0</v>
      </c>
      <c r="AY976">
        <v>0</v>
      </c>
      <c r="AZ976">
        <v>0</v>
      </c>
      <c r="BA976">
        <v>75.599999999999994</v>
      </c>
      <c r="BE976" t="str">
        <f>T("9791199253612")</f>
        <v>9791199253612</v>
      </c>
      <c r="BF976" t="str">
        <f>T("D061578")</f>
        <v>D061578</v>
      </c>
      <c r="BG976" t="str">
        <f>T("판타지 웹소설 &gt; 무협 소설")</f>
        <v>판타지 웹소설 &gt; 무협 소설</v>
      </c>
    </row>
    <row r="977" spans="1:59">
      <c r="A977" t="s">
        <v>60</v>
      </c>
      <c r="B977" s="1">
        <v>46130</v>
      </c>
      <c r="C977">
        <v>2378079581</v>
      </c>
      <c r="D977">
        <v>2378079814</v>
      </c>
      <c r="E977" t="str">
        <f>T("검출형산 234화")</f>
        <v>검출형산 234화</v>
      </c>
      <c r="F977">
        <v>234</v>
      </c>
      <c r="G977" t="str">
        <f>T("일편소엽")</f>
        <v>일편소엽</v>
      </c>
      <c r="J977" t="str">
        <f>T("심월(心月)")</f>
        <v>심월(心月)</v>
      </c>
      <c r="K977" t="str">
        <f>T("검출형산")</f>
        <v>검출형산</v>
      </c>
      <c r="L977">
        <v>100</v>
      </c>
      <c r="M977">
        <v>100</v>
      </c>
      <c r="N977">
        <v>1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100</v>
      </c>
      <c r="AJ977">
        <v>1</v>
      </c>
      <c r="AK977">
        <v>0</v>
      </c>
      <c r="AL977">
        <v>0</v>
      </c>
      <c r="AM977">
        <v>0</v>
      </c>
      <c r="AN977">
        <v>0</v>
      </c>
      <c r="AO977">
        <v>120</v>
      </c>
      <c r="AP977">
        <v>-12</v>
      </c>
      <c r="AQ977">
        <v>0</v>
      </c>
      <c r="AS977">
        <v>0</v>
      </c>
      <c r="AT977">
        <v>0</v>
      </c>
      <c r="AU977">
        <v>120</v>
      </c>
      <c r="AV977">
        <v>-12</v>
      </c>
      <c r="AW977">
        <v>0</v>
      </c>
      <c r="AY977">
        <v>0</v>
      </c>
      <c r="AZ977">
        <v>0</v>
      </c>
      <c r="BA977">
        <v>75.599999999999994</v>
      </c>
      <c r="BE977" t="str">
        <f>T("9791199253612")</f>
        <v>9791199253612</v>
      </c>
      <c r="BF977" t="str">
        <f>T("D061579")</f>
        <v>D061579</v>
      </c>
      <c r="BG977" t="str">
        <f>T("판타지 웹소설 &gt; 무협 소설")</f>
        <v>판타지 웹소설 &gt; 무협 소설</v>
      </c>
    </row>
    <row r="978" spans="1:59">
      <c r="A978" t="s">
        <v>60</v>
      </c>
      <c r="B978" s="1">
        <v>46130</v>
      </c>
      <c r="C978">
        <v>2378079581</v>
      </c>
      <c r="D978">
        <v>2378079815</v>
      </c>
      <c r="E978" t="str">
        <f>T("검출형산 235화")</f>
        <v>검출형산 235화</v>
      </c>
      <c r="F978">
        <v>235</v>
      </c>
      <c r="G978" t="str">
        <f>T("일편소엽")</f>
        <v>일편소엽</v>
      </c>
      <c r="J978" t="str">
        <f>T("심월(心月)")</f>
        <v>심월(心月)</v>
      </c>
      <c r="K978" t="str">
        <f>T("검출형산")</f>
        <v>검출형산</v>
      </c>
      <c r="L978">
        <v>100</v>
      </c>
      <c r="M978">
        <v>100</v>
      </c>
      <c r="N978">
        <v>1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100</v>
      </c>
      <c r="AJ978">
        <v>1</v>
      </c>
      <c r="AK978">
        <v>0</v>
      </c>
      <c r="AL978">
        <v>0</v>
      </c>
      <c r="AM978">
        <v>0</v>
      </c>
      <c r="AN978">
        <v>0</v>
      </c>
      <c r="AO978">
        <v>120</v>
      </c>
      <c r="AP978">
        <v>-12</v>
      </c>
      <c r="AQ978">
        <v>0</v>
      </c>
      <c r="AS978">
        <v>0</v>
      </c>
      <c r="AT978">
        <v>0</v>
      </c>
      <c r="AU978">
        <v>120</v>
      </c>
      <c r="AV978">
        <v>-12</v>
      </c>
      <c r="AW978">
        <v>0</v>
      </c>
      <c r="AY978">
        <v>0</v>
      </c>
      <c r="AZ978">
        <v>0</v>
      </c>
      <c r="BA978">
        <v>75.599999999999994</v>
      </c>
      <c r="BE978" t="str">
        <f>T("9791199253612")</f>
        <v>9791199253612</v>
      </c>
      <c r="BF978" t="str">
        <f>T("D061580")</f>
        <v>D061580</v>
      </c>
      <c r="BG978" t="str">
        <f>T("판타지 웹소설 &gt; 무협 소설")</f>
        <v>판타지 웹소설 &gt; 무협 소설</v>
      </c>
    </row>
    <row r="979" spans="1:59">
      <c r="A979" t="s">
        <v>60</v>
      </c>
      <c r="B979" s="1">
        <v>46130</v>
      </c>
      <c r="C979">
        <v>2378079581</v>
      </c>
      <c r="D979">
        <v>2378079816</v>
      </c>
      <c r="E979" t="str">
        <f>T("검출형산 236화")</f>
        <v>검출형산 236화</v>
      </c>
      <c r="F979">
        <v>236</v>
      </c>
      <c r="G979" t="str">
        <f>T("일편소엽")</f>
        <v>일편소엽</v>
      </c>
      <c r="J979" t="str">
        <f>T("심월(心月)")</f>
        <v>심월(心月)</v>
      </c>
      <c r="K979" t="str">
        <f>T("검출형산")</f>
        <v>검출형산</v>
      </c>
      <c r="L979">
        <v>100</v>
      </c>
      <c r="M979">
        <v>100</v>
      </c>
      <c r="N979">
        <v>1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100</v>
      </c>
      <c r="AJ979">
        <v>1</v>
      </c>
      <c r="AK979">
        <v>0</v>
      </c>
      <c r="AL979">
        <v>0</v>
      </c>
      <c r="AM979">
        <v>0</v>
      </c>
      <c r="AN979">
        <v>0</v>
      </c>
      <c r="AO979">
        <v>120</v>
      </c>
      <c r="AP979">
        <v>-12</v>
      </c>
      <c r="AQ979">
        <v>0</v>
      </c>
      <c r="AS979">
        <v>0</v>
      </c>
      <c r="AT979">
        <v>0</v>
      </c>
      <c r="AU979">
        <v>120</v>
      </c>
      <c r="AV979">
        <v>-12</v>
      </c>
      <c r="AW979">
        <v>0</v>
      </c>
      <c r="AY979">
        <v>0</v>
      </c>
      <c r="AZ979">
        <v>0</v>
      </c>
      <c r="BA979">
        <v>75.599999999999994</v>
      </c>
      <c r="BE979" t="str">
        <f>T("9791199253612")</f>
        <v>9791199253612</v>
      </c>
      <c r="BF979" t="str">
        <f>T("D061581")</f>
        <v>D061581</v>
      </c>
      <c r="BG979" t="str">
        <f>T("판타지 웹소설 &gt; 무협 소설")</f>
        <v>판타지 웹소설 &gt; 무협 소설</v>
      </c>
    </row>
    <row r="980" spans="1:59">
      <c r="A980" t="s">
        <v>60</v>
      </c>
      <c r="B980" s="1">
        <v>46130</v>
      </c>
      <c r="C980">
        <v>2378079581</v>
      </c>
      <c r="D980">
        <v>2378079817</v>
      </c>
      <c r="E980" t="str">
        <f>T("검출형산 237화")</f>
        <v>검출형산 237화</v>
      </c>
      <c r="F980">
        <v>237</v>
      </c>
      <c r="G980" t="str">
        <f>T("일편소엽")</f>
        <v>일편소엽</v>
      </c>
      <c r="J980" t="str">
        <f>T("심월(心月)")</f>
        <v>심월(心月)</v>
      </c>
      <c r="K980" t="str">
        <f>T("검출형산")</f>
        <v>검출형산</v>
      </c>
      <c r="L980">
        <v>100</v>
      </c>
      <c r="M980">
        <v>100</v>
      </c>
      <c r="N980">
        <v>1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100</v>
      </c>
      <c r="AJ980">
        <v>1</v>
      </c>
      <c r="AK980">
        <v>0</v>
      </c>
      <c r="AL980">
        <v>0</v>
      </c>
      <c r="AM980">
        <v>0</v>
      </c>
      <c r="AN980">
        <v>0</v>
      </c>
      <c r="AO980">
        <v>120</v>
      </c>
      <c r="AP980">
        <v>-12</v>
      </c>
      <c r="AQ980">
        <v>0</v>
      </c>
      <c r="AS980">
        <v>0</v>
      </c>
      <c r="AT980">
        <v>0</v>
      </c>
      <c r="AU980">
        <v>120</v>
      </c>
      <c r="AV980">
        <v>-12</v>
      </c>
      <c r="AW980">
        <v>0</v>
      </c>
      <c r="AY980">
        <v>0</v>
      </c>
      <c r="AZ980">
        <v>0</v>
      </c>
      <c r="BA980">
        <v>75.599999999999994</v>
      </c>
      <c r="BE980" t="str">
        <f>T("9791199253612")</f>
        <v>9791199253612</v>
      </c>
      <c r="BF980" t="str">
        <f>T("D061582")</f>
        <v>D061582</v>
      </c>
      <c r="BG980" t="str">
        <f>T("판타지 웹소설 &gt; 무협 소설")</f>
        <v>판타지 웹소설 &gt; 무협 소설</v>
      </c>
    </row>
    <row r="981" spans="1:59">
      <c r="A981" t="s">
        <v>60</v>
      </c>
      <c r="B981" s="1">
        <v>46130</v>
      </c>
      <c r="C981">
        <v>2378079581</v>
      </c>
      <c r="D981">
        <v>2378079818</v>
      </c>
      <c r="E981" t="str">
        <f>T("검출형산 238화")</f>
        <v>검출형산 238화</v>
      </c>
      <c r="F981">
        <v>238</v>
      </c>
      <c r="G981" t="str">
        <f>T("일편소엽")</f>
        <v>일편소엽</v>
      </c>
      <c r="J981" t="str">
        <f>T("심월(心月)")</f>
        <v>심월(心月)</v>
      </c>
      <c r="K981" t="str">
        <f>T("검출형산")</f>
        <v>검출형산</v>
      </c>
      <c r="L981">
        <v>100</v>
      </c>
      <c r="M981">
        <v>100</v>
      </c>
      <c r="N981">
        <v>1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100</v>
      </c>
      <c r="AJ981">
        <v>1</v>
      </c>
      <c r="AK981">
        <v>0</v>
      </c>
      <c r="AL981">
        <v>0</v>
      </c>
      <c r="AM981">
        <v>0</v>
      </c>
      <c r="AN981">
        <v>0</v>
      </c>
      <c r="AO981">
        <v>120</v>
      </c>
      <c r="AP981">
        <v>-12</v>
      </c>
      <c r="AQ981">
        <v>0</v>
      </c>
      <c r="AS981">
        <v>0</v>
      </c>
      <c r="AT981">
        <v>0</v>
      </c>
      <c r="AU981">
        <v>120</v>
      </c>
      <c r="AV981">
        <v>-12</v>
      </c>
      <c r="AW981">
        <v>0</v>
      </c>
      <c r="AY981">
        <v>0</v>
      </c>
      <c r="AZ981">
        <v>0</v>
      </c>
      <c r="BA981">
        <v>75.599999999999994</v>
      </c>
      <c r="BE981" t="str">
        <f>T("9791199253612")</f>
        <v>9791199253612</v>
      </c>
      <c r="BF981" t="str">
        <f>T("D061583")</f>
        <v>D061583</v>
      </c>
      <c r="BG981" t="str">
        <f>T("판타지 웹소설 &gt; 무협 소설")</f>
        <v>판타지 웹소설 &gt; 무협 소설</v>
      </c>
    </row>
    <row r="982" spans="1:59">
      <c r="A982" t="s">
        <v>60</v>
      </c>
      <c r="B982" s="1">
        <v>46131</v>
      </c>
      <c r="C982">
        <v>2378079581</v>
      </c>
      <c r="D982">
        <v>2378079649</v>
      </c>
      <c r="E982" t="str">
        <f>T("검출형산 69화")</f>
        <v>검출형산 69화</v>
      </c>
      <c r="F982">
        <v>69</v>
      </c>
      <c r="G982" t="str">
        <f>T("일편소엽")</f>
        <v>일편소엽</v>
      </c>
      <c r="J982" t="str">
        <f>T("심월(心月)")</f>
        <v>심월(心月)</v>
      </c>
      <c r="K982" t="str">
        <f>T("검출형산")</f>
        <v>검출형산</v>
      </c>
      <c r="L982">
        <v>100</v>
      </c>
      <c r="M982">
        <v>100</v>
      </c>
      <c r="N982">
        <v>1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100</v>
      </c>
      <c r="AJ982">
        <v>1</v>
      </c>
      <c r="AK982">
        <v>0</v>
      </c>
      <c r="AL982">
        <v>0</v>
      </c>
      <c r="AM982">
        <v>100</v>
      </c>
      <c r="AN982">
        <v>0</v>
      </c>
      <c r="AO982">
        <v>0</v>
      </c>
      <c r="AP982">
        <v>0</v>
      </c>
      <c r="AQ982">
        <v>0</v>
      </c>
      <c r="AS982">
        <v>0</v>
      </c>
      <c r="AT982">
        <v>0</v>
      </c>
      <c r="AV982">
        <v>0</v>
      </c>
      <c r="AW982">
        <v>0</v>
      </c>
      <c r="AY982">
        <v>0</v>
      </c>
      <c r="AZ982">
        <v>0</v>
      </c>
      <c r="BA982">
        <v>70</v>
      </c>
      <c r="BE982" t="str">
        <f>T("9791199253612")</f>
        <v>9791199253612</v>
      </c>
      <c r="BF982" t="str">
        <f>T("D011814")</f>
        <v>D011814</v>
      </c>
      <c r="BG982" t="str">
        <f>T("판타지 웹소설 &gt; 무협 소설")</f>
        <v>판타지 웹소설 &gt; 무협 소설</v>
      </c>
    </row>
    <row r="983" spans="1:59">
      <c r="A983" t="s">
        <v>60</v>
      </c>
      <c r="B983" s="1">
        <v>46131</v>
      </c>
      <c r="C983">
        <v>2378079581</v>
      </c>
      <c r="D983">
        <v>2378079650</v>
      </c>
      <c r="E983" t="str">
        <f>T("검출형산 70화")</f>
        <v>검출형산 70화</v>
      </c>
      <c r="F983">
        <v>70</v>
      </c>
      <c r="G983" t="str">
        <f>T("일편소엽")</f>
        <v>일편소엽</v>
      </c>
      <c r="J983" t="str">
        <f>T("심월(心月)")</f>
        <v>심월(心月)</v>
      </c>
      <c r="K983" t="str">
        <f>T("검출형산")</f>
        <v>검출형산</v>
      </c>
      <c r="L983">
        <v>100</v>
      </c>
      <c r="M983">
        <v>100</v>
      </c>
      <c r="N983">
        <v>1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100</v>
      </c>
      <c r="AJ983">
        <v>1</v>
      </c>
      <c r="AK983">
        <v>0</v>
      </c>
      <c r="AL983">
        <v>0</v>
      </c>
      <c r="AM983">
        <v>100</v>
      </c>
      <c r="AN983">
        <v>0</v>
      </c>
      <c r="AO983">
        <v>0</v>
      </c>
      <c r="AP983">
        <v>0</v>
      </c>
      <c r="AQ983">
        <v>0</v>
      </c>
      <c r="AS983">
        <v>0</v>
      </c>
      <c r="AT983">
        <v>0</v>
      </c>
      <c r="AV983">
        <v>0</v>
      </c>
      <c r="AW983">
        <v>0</v>
      </c>
      <c r="AY983">
        <v>0</v>
      </c>
      <c r="AZ983">
        <v>0</v>
      </c>
      <c r="BA983">
        <v>70</v>
      </c>
      <c r="BE983" t="str">
        <f>T("9791199253612")</f>
        <v>9791199253612</v>
      </c>
      <c r="BF983" t="str">
        <f>T("D011815")</f>
        <v>D011815</v>
      </c>
      <c r="BG983" t="str">
        <f>T("판타지 웹소설 &gt; 무협 소설")</f>
        <v>판타지 웹소설 &gt; 무협 소설</v>
      </c>
    </row>
    <row r="984" spans="1:59">
      <c r="A984" t="s">
        <v>60</v>
      </c>
      <c r="B984" s="1">
        <v>46131</v>
      </c>
      <c r="C984">
        <v>2378079581</v>
      </c>
      <c r="D984">
        <v>2378079651</v>
      </c>
      <c r="E984" t="str">
        <f>T("검출형산 71화")</f>
        <v>검출형산 71화</v>
      </c>
      <c r="F984">
        <v>71</v>
      </c>
      <c r="G984" t="str">
        <f>T("일편소엽")</f>
        <v>일편소엽</v>
      </c>
      <c r="J984" t="str">
        <f>T("심월(心月)")</f>
        <v>심월(心月)</v>
      </c>
      <c r="K984" t="str">
        <f>T("검출형산")</f>
        <v>검출형산</v>
      </c>
      <c r="L984">
        <v>100</v>
      </c>
      <c r="M984">
        <v>100</v>
      </c>
      <c r="N984">
        <v>1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100</v>
      </c>
      <c r="AJ984">
        <v>1</v>
      </c>
      <c r="AK984">
        <v>0</v>
      </c>
      <c r="AL984">
        <v>0</v>
      </c>
      <c r="AM984">
        <v>100</v>
      </c>
      <c r="AN984">
        <v>0</v>
      </c>
      <c r="AO984">
        <v>0</v>
      </c>
      <c r="AP984">
        <v>0</v>
      </c>
      <c r="AQ984">
        <v>0</v>
      </c>
      <c r="AS984">
        <v>0</v>
      </c>
      <c r="AT984">
        <v>0</v>
      </c>
      <c r="AV984">
        <v>0</v>
      </c>
      <c r="AW984">
        <v>0</v>
      </c>
      <c r="AY984">
        <v>0</v>
      </c>
      <c r="AZ984">
        <v>0</v>
      </c>
      <c r="BA984">
        <v>70</v>
      </c>
      <c r="BE984" t="str">
        <f>T("9791199253612")</f>
        <v>9791199253612</v>
      </c>
      <c r="BF984" t="str">
        <f>T("D011816")</f>
        <v>D011816</v>
      </c>
      <c r="BG984" t="str">
        <f>T("판타지 웹소설 &gt; 무협 소설")</f>
        <v>판타지 웹소설 &gt; 무협 소설</v>
      </c>
    </row>
    <row r="985" spans="1:59">
      <c r="A985" t="s">
        <v>60</v>
      </c>
      <c r="B985" s="1">
        <v>46131</v>
      </c>
      <c r="C985">
        <v>2378079581</v>
      </c>
      <c r="D985">
        <v>2378079652</v>
      </c>
      <c r="E985" t="str">
        <f>T("검출형산 72화")</f>
        <v>검출형산 72화</v>
      </c>
      <c r="F985">
        <v>72</v>
      </c>
      <c r="G985" t="str">
        <f>T("일편소엽")</f>
        <v>일편소엽</v>
      </c>
      <c r="J985" t="str">
        <f>T("심월(心月)")</f>
        <v>심월(心月)</v>
      </c>
      <c r="K985" t="str">
        <f>T("검출형산")</f>
        <v>검출형산</v>
      </c>
      <c r="L985">
        <v>100</v>
      </c>
      <c r="M985">
        <v>100</v>
      </c>
      <c r="N985">
        <v>1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100</v>
      </c>
      <c r="AJ985">
        <v>1</v>
      </c>
      <c r="AK985">
        <v>0</v>
      </c>
      <c r="AL985">
        <v>0</v>
      </c>
      <c r="AM985">
        <v>100</v>
      </c>
      <c r="AN985">
        <v>0</v>
      </c>
      <c r="AO985">
        <v>0</v>
      </c>
      <c r="AP985">
        <v>0</v>
      </c>
      <c r="AQ985">
        <v>0</v>
      </c>
      <c r="AS985">
        <v>0</v>
      </c>
      <c r="AT985">
        <v>0</v>
      </c>
      <c r="AV985">
        <v>0</v>
      </c>
      <c r="AW985">
        <v>0</v>
      </c>
      <c r="AY985">
        <v>0</v>
      </c>
      <c r="AZ985">
        <v>0</v>
      </c>
      <c r="BA985">
        <v>70</v>
      </c>
      <c r="BE985" t="str">
        <f>T("9791199253612")</f>
        <v>9791199253612</v>
      </c>
      <c r="BF985" t="str">
        <f>T("D011817")</f>
        <v>D011817</v>
      </c>
      <c r="BG985" t="str">
        <f>T("판타지 웹소설 &gt; 무협 소설")</f>
        <v>판타지 웹소설 &gt; 무협 소설</v>
      </c>
    </row>
    <row r="986" spans="1:59">
      <c r="A986" t="s">
        <v>60</v>
      </c>
      <c r="B986" s="1">
        <v>46131</v>
      </c>
      <c r="C986">
        <v>2378079581</v>
      </c>
      <c r="D986">
        <v>2378079653</v>
      </c>
      <c r="E986" t="str">
        <f>T("검출형산 73화")</f>
        <v>검출형산 73화</v>
      </c>
      <c r="F986">
        <v>73</v>
      </c>
      <c r="G986" t="str">
        <f>T("일편소엽")</f>
        <v>일편소엽</v>
      </c>
      <c r="J986" t="str">
        <f>T("심월(心月)")</f>
        <v>심월(心月)</v>
      </c>
      <c r="K986" t="str">
        <f>T("검출형산")</f>
        <v>검출형산</v>
      </c>
      <c r="L986">
        <v>100</v>
      </c>
      <c r="M986">
        <v>100</v>
      </c>
      <c r="N986">
        <v>1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100</v>
      </c>
      <c r="AJ986">
        <v>1</v>
      </c>
      <c r="AK986">
        <v>0</v>
      </c>
      <c r="AL986">
        <v>0</v>
      </c>
      <c r="AM986">
        <v>100</v>
      </c>
      <c r="AN986">
        <v>0</v>
      </c>
      <c r="AO986">
        <v>0</v>
      </c>
      <c r="AP986">
        <v>0</v>
      </c>
      <c r="AQ986">
        <v>0</v>
      </c>
      <c r="AS986">
        <v>0</v>
      </c>
      <c r="AT986">
        <v>0</v>
      </c>
      <c r="AV986">
        <v>0</v>
      </c>
      <c r="AW986">
        <v>0</v>
      </c>
      <c r="AY986">
        <v>0</v>
      </c>
      <c r="AZ986">
        <v>0</v>
      </c>
      <c r="BA986">
        <v>70</v>
      </c>
      <c r="BE986" t="str">
        <f>T("9791199253612")</f>
        <v>9791199253612</v>
      </c>
      <c r="BF986" t="str">
        <f>T("D011818")</f>
        <v>D011818</v>
      </c>
      <c r="BG986" t="str">
        <f>T("판타지 웹소설 &gt; 무협 소설")</f>
        <v>판타지 웹소설 &gt; 무협 소설</v>
      </c>
    </row>
    <row r="987" spans="1:59">
      <c r="A987" t="s">
        <v>60</v>
      </c>
      <c r="B987" s="1">
        <v>46131</v>
      </c>
      <c r="C987">
        <v>2378079581</v>
      </c>
      <c r="D987">
        <v>2378079821</v>
      </c>
      <c r="E987" t="str">
        <f>T("검출형산 241화")</f>
        <v>검출형산 241화</v>
      </c>
      <c r="F987">
        <v>241</v>
      </c>
      <c r="G987" t="str">
        <f>T("일편소엽")</f>
        <v>일편소엽</v>
      </c>
      <c r="J987" t="str">
        <f>T("심월(心月)")</f>
        <v>심월(心月)</v>
      </c>
      <c r="K987" t="str">
        <f>T("검출형산")</f>
        <v>검출형산</v>
      </c>
      <c r="L987">
        <v>100</v>
      </c>
      <c r="M987">
        <v>100</v>
      </c>
      <c r="N987">
        <v>1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100</v>
      </c>
      <c r="AJ987">
        <v>1</v>
      </c>
      <c r="AK987">
        <v>0</v>
      </c>
      <c r="AL987">
        <v>0</v>
      </c>
      <c r="AM987">
        <v>0</v>
      </c>
      <c r="AN987">
        <v>0</v>
      </c>
      <c r="AO987">
        <v>120</v>
      </c>
      <c r="AP987">
        <v>-12</v>
      </c>
      <c r="AQ987">
        <v>0</v>
      </c>
      <c r="AS987">
        <v>0</v>
      </c>
      <c r="AT987">
        <v>0</v>
      </c>
      <c r="AU987">
        <v>120</v>
      </c>
      <c r="AV987">
        <v>-12</v>
      </c>
      <c r="AW987">
        <v>0</v>
      </c>
      <c r="AY987">
        <v>0</v>
      </c>
      <c r="AZ987">
        <v>0</v>
      </c>
      <c r="BA987">
        <v>75.599999999999994</v>
      </c>
      <c r="BE987" t="str">
        <f>T("9791199253612")</f>
        <v>9791199253612</v>
      </c>
      <c r="BF987" t="str">
        <f>T("D061586")</f>
        <v>D061586</v>
      </c>
      <c r="BG987" t="str">
        <f>T("판타지 웹소설 &gt; 무협 소설")</f>
        <v>판타지 웹소설 &gt; 무협 소설</v>
      </c>
    </row>
    <row r="988" spans="1:59">
      <c r="A988" t="s">
        <v>60</v>
      </c>
      <c r="B988" s="1">
        <v>46131</v>
      </c>
      <c r="C988">
        <v>2378079581</v>
      </c>
      <c r="D988">
        <v>2378079822</v>
      </c>
      <c r="E988" t="str">
        <f>T("검출형산 242화")</f>
        <v>검출형산 242화</v>
      </c>
      <c r="F988">
        <v>242</v>
      </c>
      <c r="G988" t="str">
        <f>T("일편소엽")</f>
        <v>일편소엽</v>
      </c>
      <c r="J988" t="str">
        <f>T("심월(心月)")</f>
        <v>심월(心月)</v>
      </c>
      <c r="K988" t="str">
        <f>T("검출형산")</f>
        <v>검출형산</v>
      </c>
      <c r="L988">
        <v>100</v>
      </c>
      <c r="M988">
        <v>100</v>
      </c>
      <c r="N988">
        <v>1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100</v>
      </c>
      <c r="AJ988">
        <v>1</v>
      </c>
      <c r="AK988">
        <v>0</v>
      </c>
      <c r="AL988">
        <v>0</v>
      </c>
      <c r="AM988">
        <v>0</v>
      </c>
      <c r="AN988">
        <v>0</v>
      </c>
      <c r="AO988">
        <v>120</v>
      </c>
      <c r="AP988">
        <v>-12</v>
      </c>
      <c r="AQ988">
        <v>0</v>
      </c>
      <c r="AS988">
        <v>0</v>
      </c>
      <c r="AT988">
        <v>0</v>
      </c>
      <c r="AU988">
        <v>120</v>
      </c>
      <c r="AV988">
        <v>-12</v>
      </c>
      <c r="AW988">
        <v>0</v>
      </c>
      <c r="AY988">
        <v>0</v>
      </c>
      <c r="AZ988">
        <v>0</v>
      </c>
      <c r="BA988">
        <v>75.599999999999994</v>
      </c>
      <c r="BE988" t="str">
        <f>T("9791199253612")</f>
        <v>9791199253612</v>
      </c>
      <c r="BF988" t="str">
        <f>T("D061587")</f>
        <v>D061587</v>
      </c>
      <c r="BG988" t="str">
        <f>T("판타지 웹소설 &gt; 무협 소설")</f>
        <v>판타지 웹소설 &gt; 무협 소설</v>
      </c>
    </row>
    <row r="989" spans="1:59">
      <c r="A989" t="s">
        <v>60</v>
      </c>
      <c r="B989" s="1">
        <v>46131</v>
      </c>
      <c r="C989">
        <v>2378079581</v>
      </c>
      <c r="D989">
        <v>2378079823</v>
      </c>
      <c r="E989" t="str">
        <f>T("검출형산 243화")</f>
        <v>검출형산 243화</v>
      </c>
      <c r="F989">
        <v>243</v>
      </c>
      <c r="G989" t="str">
        <f>T("일편소엽")</f>
        <v>일편소엽</v>
      </c>
      <c r="J989" t="str">
        <f>T("심월(心月)")</f>
        <v>심월(心月)</v>
      </c>
      <c r="K989" t="str">
        <f>T("검출형산")</f>
        <v>검출형산</v>
      </c>
      <c r="L989">
        <v>100</v>
      </c>
      <c r="M989">
        <v>100</v>
      </c>
      <c r="N989">
        <v>1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0</v>
      </c>
      <c r="AI989">
        <v>100</v>
      </c>
      <c r="AJ989">
        <v>1</v>
      </c>
      <c r="AK989">
        <v>0</v>
      </c>
      <c r="AL989">
        <v>0</v>
      </c>
      <c r="AM989">
        <v>0</v>
      </c>
      <c r="AN989">
        <v>0</v>
      </c>
      <c r="AO989">
        <v>120</v>
      </c>
      <c r="AP989">
        <v>-12</v>
      </c>
      <c r="AQ989">
        <v>0</v>
      </c>
      <c r="AS989">
        <v>0</v>
      </c>
      <c r="AT989">
        <v>0</v>
      </c>
      <c r="AU989">
        <v>120</v>
      </c>
      <c r="AV989">
        <v>-12</v>
      </c>
      <c r="AW989">
        <v>0</v>
      </c>
      <c r="AY989">
        <v>0</v>
      </c>
      <c r="AZ989">
        <v>0</v>
      </c>
      <c r="BA989">
        <v>75.599999999999994</v>
      </c>
      <c r="BE989" t="str">
        <f>T("9791199253612")</f>
        <v>9791199253612</v>
      </c>
      <c r="BF989" t="str">
        <f>T("D061588")</f>
        <v>D061588</v>
      </c>
      <c r="BG989" t="str">
        <f>T("판타지 웹소설 &gt; 무협 소설")</f>
        <v>판타지 웹소설 &gt; 무협 소설</v>
      </c>
    </row>
    <row r="990" spans="1:59">
      <c r="A990" t="s">
        <v>60</v>
      </c>
      <c r="B990" s="1">
        <v>46131</v>
      </c>
      <c r="C990">
        <v>2378079581</v>
      </c>
      <c r="D990">
        <v>2378079824</v>
      </c>
      <c r="E990" t="str">
        <f>T("검출형산 244화")</f>
        <v>검출형산 244화</v>
      </c>
      <c r="F990">
        <v>244</v>
      </c>
      <c r="G990" t="str">
        <f>T("일편소엽")</f>
        <v>일편소엽</v>
      </c>
      <c r="J990" t="str">
        <f>T("심월(心月)")</f>
        <v>심월(心月)</v>
      </c>
      <c r="K990" t="str">
        <f>T("검출형산")</f>
        <v>검출형산</v>
      </c>
      <c r="L990">
        <v>100</v>
      </c>
      <c r="M990">
        <v>100</v>
      </c>
      <c r="N990">
        <v>1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100</v>
      </c>
      <c r="AJ990">
        <v>1</v>
      </c>
      <c r="AK990">
        <v>0</v>
      </c>
      <c r="AL990">
        <v>0</v>
      </c>
      <c r="AM990">
        <v>0</v>
      </c>
      <c r="AN990">
        <v>0</v>
      </c>
      <c r="AO990">
        <v>120</v>
      </c>
      <c r="AP990">
        <v>-12</v>
      </c>
      <c r="AQ990">
        <v>0</v>
      </c>
      <c r="AS990">
        <v>0</v>
      </c>
      <c r="AT990">
        <v>0</v>
      </c>
      <c r="AU990">
        <v>120</v>
      </c>
      <c r="AV990">
        <v>-12</v>
      </c>
      <c r="AW990">
        <v>0</v>
      </c>
      <c r="AY990">
        <v>0</v>
      </c>
      <c r="AZ990">
        <v>0</v>
      </c>
      <c r="BA990">
        <v>75.599999999999994</v>
      </c>
      <c r="BE990" t="str">
        <f>T("9791199253612")</f>
        <v>9791199253612</v>
      </c>
      <c r="BF990" t="str">
        <f>T("D061589")</f>
        <v>D061589</v>
      </c>
      <c r="BG990" t="str">
        <f>T("판타지 웹소설 &gt; 무협 소설")</f>
        <v>판타지 웹소설 &gt; 무협 소설</v>
      </c>
    </row>
    <row r="991" spans="1:59">
      <c r="A991" t="s">
        <v>60</v>
      </c>
      <c r="B991" s="1">
        <v>46131</v>
      </c>
      <c r="C991">
        <v>2378079581</v>
      </c>
      <c r="D991">
        <v>2378079825</v>
      </c>
      <c r="E991" t="str">
        <f>T("검출형산 245화")</f>
        <v>검출형산 245화</v>
      </c>
      <c r="F991">
        <v>245</v>
      </c>
      <c r="G991" t="str">
        <f>T("일편소엽")</f>
        <v>일편소엽</v>
      </c>
      <c r="J991" t="str">
        <f>T("심월(心月)")</f>
        <v>심월(心月)</v>
      </c>
      <c r="K991" t="str">
        <f>T("검출형산")</f>
        <v>검출형산</v>
      </c>
      <c r="L991">
        <v>100</v>
      </c>
      <c r="M991">
        <v>100</v>
      </c>
      <c r="N991">
        <v>1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100</v>
      </c>
      <c r="AJ991">
        <v>1</v>
      </c>
      <c r="AK991">
        <v>0</v>
      </c>
      <c r="AL991">
        <v>0</v>
      </c>
      <c r="AM991">
        <v>0</v>
      </c>
      <c r="AN991">
        <v>0</v>
      </c>
      <c r="AO991">
        <v>120</v>
      </c>
      <c r="AP991">
        <v>-12</v>
      </c>
      <c r="AQ991">
        <v>0</v>
      </c>
      <c r="AS991">
        <v>0</v>
      </c>
      <c r="AT991">
        <v>0</v>
      </c>
      <c r="AU991">
        <v>120</v>
      </c>
      <c r="AV991">
        <v>-12</v>
      </c>
      <c r="AW991">
        <v>0</v>
      </c>
      <c r="AY991">
        <v>0</v>
      </c>
      <c r="AZ991">
        <v>0</v>
      </c>
      <c r="BA991">
        <v>75.599999999999994</v>
      </c>
      <c r="BE991" t="str">
        <f>T("9791199253612")</f>
        <v>9791199253612</v>
      </c>
      <c r="BF991" t="str">
        <f>T("D061590")</f>
        <v>D061590</v>
      </c>
      <c r="BG991" t="str">
        <f>T("판타지 웹소설 &gt; 무협 소설")</f>
        <v>판타지 웹소설 &gt; 무협 소설</v>
      </c>
    </row>
    <row r="992" spans="1:59">
      <c r="A992" t="s">
        <v>60</v>
      </c>
      <c r="B992" s="1">
        <v>46131</v>
      </c>
      <c r="C992">
        <v>2378079581</v>
      </c>
      <c r="D992">
        <v>2378079826</v>
      </c>
      <c r="E992" t="str">
        <f>T("검출형산 246화")</f>
        <v>검출형산 246화</v>
      </c>
      <c r="F992">
        <v>246</v>
      </c>
      <c r="G992" t="str">
        <f>T("일편소엽")</f>
        <v>일편소엽</v>
      </c>
      <c r="J992" t="str">
        <f>T("심월(心月)")</f>
        <v>심월(心月)</v>
      </c>
      <c r="K992" t="str">
        <f>T("검출형산")</f>
        <v>검출형산</v>
      </c>
      <c r="L992">
        <v>100</v>
      </c>
      <c r="M992">
        <v>100</v>
      </c>
      <c r="N992">
        <v>1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100</v>
      </c>
      <c r="AJ992">
        <v>1</v>
      </c>
      <c r="AK992">
        <v>0</v>
      </c>
      <c r="AL992">
        <v>0</v>
      </c>
      <c r="AM992">
        <v>0</v>
      </c>
      <c r="AN992">
        <v>0</v>
      </c>
      <c r="AO992">
        <v>120</v>
      </c>
      <c r="AP992">
        <v>-12</v>
      </c>
      <c r="AQ992">
        <v>0</v>
      </c>
      <c r="AS992">
        <v>0</v>
      </c>
      <c r="AT992">
        <v>0</v>
      </c>
      <c r="AU992">
        <v>120</v>
      </c>
      <c r="AV992">
        <v>-12</v>
      </c>
      <c r="AW992">
        <v>0</v>
      </c>
      <c r="AY992">
        <v>0</v>
      </c>
      <c r="AZ992">
        <v>0</v>
      </c>
      <c r="BA992">
        <v>75.599999999999994</v>
      </c>
      <c r="BE992" t="str">
        <f>T("9791199253612")</f>
        <v>9791199253612</v>
      </c>
      <c r="BF992" t="str">
        <f>T("D061591")</f>
        <v>D061591</v>
      </c>
      <c r="BG992" t="str">
        <f>T("판타지 웹소설 &gt; 무협 소설")</f>
        <v>판타지 웹소설 &gt; 무협 소설</v>
      </c>
    </row>
    <row r="993" spans="1:59">
      <c r="A993" t="s">
        <v>60</v>
      </c>
      <c r="B993" s="1">
        <v>46131</v>
      </c>
      <c r="C993">
        <v>2378079581</v>
      </c>
      <c r="D993">
        <v>2378079827</v>
      </c>
      <c r="E993" t="str">
        <f>T("검출형산 247화")</f>
        <v>검출형산 247화</v>
      </c>
      <c r="F993">
        <v>247</v>
      </c>
      <c r="G993" t="str">
        <f>T("일편소엽")</f>
        <v>일편소엽</v>
      </c>
      <c r="J993" t="str">
        <f>T("심월(心月)")</f>
        <v>심월(心月)</v>
      </c>
      <c r="K993" t="str">
        <f>T("검출형산")</f>
        <v>검출형산</v>
      </c>
      <c r="L993">
        <v>100</v>
      </c>
      <c r="M993">
        <v>100</v>
      </c>
      <c r="N993">
        <v>1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100</v>
      </c>
      <c r="AJ993">
        <v>1</v>
      </c>
      <c r="AK993">
        <v>0</v>
      </c>
      <c r="AL993">
        <v>0</v>
      </c>
      <c r="AM993">
        <v>0</v>
      </c>
      <c r="AN993">
        <v>0</v>
      </c>
      <c r="AO993">
        <v>120</v>
      </c>
      <c r="AP993">
        <v>-12</v>
      </c>
      <c r="AQ993">
        <v>0</v>
      </c>
      <c r="AS993">
        <v>0</v>
      </c>
      <c r="AT993">
        <v>0</v>
      </c>
      <c r="AU993">
        <v>120</v>
      </c>
      <c r="AV993">
        <v>-12</v>
      </c>
      <c r="AW993">
        <v>0</v>
      </c>
      <c r="AY993">
        <v>0</v>
      </c>
      <c r="AZ993">
        <v>0</v>
      </c>
      <c r="BA993">
        <v>75.599999999999994</v>
      </c>
      <c r="BE993" t="str">
        <f>T("9791199253612")</f>
        <v>9791199253612</v>
      </c>
      <c r="BF993" t="str">
        <f>T("D061592")</f>
        <v>D061592</v>
      </c>
      <c r="BG993" t="str">
        <f>T("판타지 웹소설 &gt; 무협 소설")</f>
        <v>판타지 웹소설 &gt; 무협 소설</v>
      </c>
    </row>
    <row r="994" spans="1:59">
      <c r="A994" t="s">
        <v>60</v>
      </c>
      <c r="B994" s="1">
        <v>46131</v>
      </c>
      <c r="C994">
        <v>2378079581</v>
      </c>
      <c r="D994">
        <v>2378079581</v>
      </c>
      <c r="E994" t="str">
        <f>T("검출형산 1화")</f>
        <v>검출형산 1화</v>
      </c>
      <c r="F994">
        <v>1</v>
      </c>
      <c r="G994" t="str">
        <f>T("일편소엽")</f>
        <v>일편소엽</v>
      </c>
      <c r="J994" t="str">
        <f>T("심월(心月)")</f>
        <v>심월(心月)</v>
      </c>
      <c r="K994" t="str">
        <f>T("검출형산")</f>
        <v>검출형산</v>
      </c>
      <c r="L994">
        <v>0</v>
      </c>
      <c r="M994">
        <v>0</v>
      </c>
      <c r="N994">
        <v>0</v>
      </c>
      <c r="O994">
        <v>1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1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S994">
        <v>0</v>
      </c>
      <c r="AT994">
        <v>0</v>
      </c>
      <c r="AV994">
        <v>0</v>
      </c>
      <c r="AW994">
        <v>0</v>
      </c>
      <c r="AY994">
        <v>0</v>
      </c>
      <c r="AZ994">
        <v>0</v>
      </c>
      <c r="BA994">
        <v>0</v>
      </c>
      <c r="BE994" t="str">
        <f>T("9791199253612")</f>
        <v>9791199253612</v>
      </c>
      <c r="BF994" t="str">
        <f>T("D011746")</f>
        <v>D011746</v>
      </c>
      <c r="BG994" t="str">
        <f>T("판타지 웹소설 &gt; 무협 소설")</f>
        <v>판타지 웹소설 &gt; 무협 소설</v>
      </c>
    </row>
    <row r="995" spans="1:59">
      <c r="A995" t="s">
        <v>60</v>
      </c>
      <c r="B995" s="1">
        <v>46131</v>
      </c>
      <c r="C995">
        <v>2378079581</v>
      </c>
      <c r="D995">
        <v>2378079654</v>
      </c>
      <c r="E995" t="str">
        <f>T("검출형산 74화")</f>
        <v>검출형산 74화</v>
      </c>
      <c r="F995">
        <v>74</v>
      </c>
      <c r="G995" t="str">
        <f>T("일편소엽")</f>
        <v>일편소엽</v>
      </c>
      <c r="J995" t="str">
        <f>T("심월(心月)")</f>
        <v>심월(心月)</v>
      </c>
      <c r="K995" t="str">
        <f>T("검출형산")</f>
        <v>검출형산</v>
      </c>
      <c r="L995">
        <v>100</v>
      </c>
      <c r="M995">
        <v>100</v>
      </c>
      <c r="N995">
        <v>1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100</v>
      </c>
      <c r="AJ995">
        <v>1</v>
      </c>
      <c r="AK995">
        <v>0</v>
      </c>
      <c r="AL995">
        <v>0</v>
      </c>
      <c r="AM995">
        <v>100</v>
      </c>
      <c r="AN995">
        <v>0</v>
      </c>
      <c r="AO995">
        <v>0</v>
      </c>
      <c r="AP995">
        <v>0</v>
      </c>
      <c r="AQ995">
        <v>0</v>
      </c>
      <c r="AS995">
        <v>0</v>
      </c>
      <c r="AT995">
        <v>0</v>
      </c>
      <c r="AV995">
        <v>0</v>
      </c>
      <c r="AW995">
        <v>0</v>
      </c>
      <c r="AY995">
        <v>0</v>
      </c>
      <c r="AZ995">
        <v>0</v>
      </c>
      <c r="BA995">
        <v>70</v>
      </c>
      <c r="BE995" t="str">
        <f>T("9791199253612")</f>
        <v>9791199253612</v>
      </c>
      <c r="BF995" t="str">
        <f>T("D011819")</f>
        <v>D011819</v>
      </c>
      <c r="BG995" t="str">
        <f>T("판타지 웹소설 &gt; 무협 소설")</f>
        <v>판타지 웹소설 &gt; 무협 소설</v>
      </c>
    </row>
    <row r="996" spans="1:59">
      <c r="A996" t="s">
        <v>60</v>
      </c>
      <c r="B996" s="1">
        <v>46131</v>
      </c>
      <c r="C996">
        <v>2378079581</v>
      </c>
      <c r="D996">
        <v>2378079655</v>
      </c>
      <c r="E996" t="str">
        <f>T("검출형산 75화")</f>
        <v>검출형산 75화</v>
      </c>
      <c r="F996">
        <v>75</v>
      </c>
      <c r="G996" t="str">
        <f>T("일편소엽")</f>
        <v>일편소엽</v>
      </c>
      <c r="J996" t="str">
        <f>T("심월(心月)")</f>
        <v>심월(心月)</v>
      </c>
      <c r="K996" t="str">
        <f>T("검출형산")</f>
        <v>검출형산</v>
      </c>
      <c r="L996">
        <v>100</v>
      </c>
      <c r="M996">
        <v>100</v>
      </c>
      <c r="N996">
        <v>1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100</v>
      </c>
      <c r="AJ996">
        <v>1</v>
      </c>
      <c r="AK996">
        <v>0</v>
      </c>
      <c r="AL996">
        <v>0</v>
      </c>
      <c r="AM996">
        <v>100</v>
      </c>
      <c r="AN996">
        <v>0</v>
      </c>
      <c r="AO996">
        <v>0</v>
      </c>
      <c r="AP996">
        <v>0</v>
      </c>
      <c r="AQ996">
        <v>0</v>
      </c>
      <c r="AS996">
        <v>0</v>
      </c>
      <c r="AT996">
        <v>0</v>
      </c>
      <c r="AV996">
        <v>0</v>
      </c>
      <c r="AW996">
        <v>0</v>
      </c>
      <c r="AY996">
        <v>0</v>
      </c>
      <c r="AZ996">
        <v>0</v>
      </c>
      <c r="BA996">
        <v>70</v>
      </c>
      <c r="BE996" t="str">
        <f>T("9791199253612")</f>
        <v>9791199253612</v>
      </c>
      <c r="BF996" t="str">
        <f>T("D011820")</f>
        <v>D011820</v>
      </c>
      <c r="BG996" t="str">
        <f>T("판타지 웹소설 &gt; 무협 소설")</f>
        <v>판타지 웹소설 &gt; 무협 소설</v>
      </c>
    </row>
    <row r="997" spans="1:59">
      <c r="A997" t="s">
        <v>60</v>
      </c>
      <c r="B997" s="1">
        <v>46131</v>
      </c>
      <c r="C997">
        <v>2378079581</v>
      </c>
      <c r="D997">
        <v>2378079635</v>
      </c>
      <c r="E997" t="str">
        <f>T("검출형산 55화")</f>
        <v>검출형산 55화</v>
      </c>
      <c r="F997">
        <v>55</v>
      </c>
      <c r="G997" t="str">
        <f>T("일편소엽")</f>
        <v>일편소엽</v>
      </c>
      <c r="J997" t="str">
        <f>T("심월(心月)")</f>
        <v>심월(心月)</v>
      </c>
      <c r="K997" t="str">
        <f>T("검출형산")</f>
        <v>검출형산</v>
      </c>
      <c r="L997">
        <v>100</v>
      </c>
      <c r="M997">
        <v>100</v>
      </c>
      <c r="N997">
        <v>1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100</v>
      </c>
      <c r="AJ997">
        <v>1</v>
      </c>
      <c r="AK997">
        <v>0</v>
      </c>
      <c r="AL997">
        <v>0</v>
      </c>
      <c r="AM997">
        <v>100</v>
      </c>
      <c r="AN997">
        <v>0</v>
      </c>
      <c r="AO997">
        <v>0</v>
      </c>
      <c r="AP997">
        <v>0</v>
      </c>
      <c r="AQ997">
        <v>0</v>
      </c>
      <c r="AS997">
        <v>0</v>
      </c>
      <c r="AT997">
        <v>0</v>
      </c>
      <c r="AV997">
        <v>0</v>
      </c>
      <c r="AW997">
        <v>0</v>
      </c>
      <c r="AY997">
        <v>0</v>
      </c>
      <c r="AZ997">
        <v>0</v>
      </c>
      <c r="BA997">
        <v>70</v>
      </c>
      <c r="BE997" t="str">
        <f>T("9791199253612")</f>
        <v>9791199253612</v>
      </c>
      <c r="BF997" t="str">
        <f>T("D011800")</f>
        <v>D011800</v>
      </c>
      <c r="BG997" t="str">
        <f>T("판타지 웹소설 &gt; 무협 소설")</f>
        <v>판타지 웹소설 &gt; 무협 소설</v>
      </c>
    </row>
    <row r="998" spans="1:59">
      <c r="A998" t="s">
        <v>60</v>
      </c>
      <c r="B998" s="1">
        <v>46131</v>
      </c>
      <c r="C998">
        <v>2378079581</v>
      </c>
      <c r="D998">
        <v>2378079636</v>
      </c>
      <c r="E998" t="str">
        <f>T("검출형산 56화")</f>
        <v>검출형산 56화</v>
      </c>
      <c r="F998">
        <v>56</v>
      </c>
      <c r="G998" t="str">
        <f>T("일편소엽")</f>
        <v>일편소엽</v>
      </c>
      <c r="J998" t="str">
        <f>T("심월(心月)")</f>
        <v>심월(心月)</v>
      </c>
      <c r="K998" t="str">
        <f>T("검출형산")</f>
        <v>검출형산</v>
      </c>
      <c r="L998">
        <v>100</v>
      </c>
      <c r="M998">
        <v>100</v>
      </c>
      <c r="N998">
        <v>1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100</v>
      </c>
      <c r="AJ998">
        <v>1</v>
      </c>
      <c r="AK998">
        <v>0</v>
      </c>
      <c r="AL998">
        <v>0</v>
      </c>
      <c r="AM998">
        <v>100</v>
      </c>
      <c r="AN998">
        <v>0</v>
      </c>
      <c r="AO998">
        <v>0</v>
      </c>
      <c r="AP998">
        <v>0</v>
      </c>
      <c r="AQ998">
        <v>0</v>
      </c>
      <c r="AS998">
        <v>0</v>
      </c>
      <c r="AT998">
        <v>0</v>
      </c>
      <c r="AV998">
        <v>0</v>
      </c>
      <c r="AW998">
        <v>0</v>
      </c>
      <c r="AY998">
        <v>0</v>
      </c>
      <c r="AZ998">
        <v>0</v>
      </c>
      <c r="BA998">
        <v>70</v>
      </c>
      <c r="BE998" t="str">
        <f>T("9791199253612")</f>
        <v>9791199253612</v>
      </c>
      <c r="BF998" t="str">
        <f>T("D011801")</f>
        <v>D011801</v>
      </c>
      <c r="BG998" t="str">
        <f>T("판타지 웹소설 &gt; 무협 소설")</f>
        <v>판타지 웹소설 &gt; 무협 소설</v>
      </c>
    </row>
    <row r="999" spans="1:59">
      <c r="A999" t="s">
        <v>60</v>
      </c>
      <c r="B999" s="1">
        <v>46131</v>
      </c>
      <c r="C999">
        <v>2378079581</v>
      </c>
      <c r="D999">
        <v>2378079637</v>
      </c>
      <c r="E999" t="str">
        <f>T("검출형산 57화")</f>
        <v>검출형산 57화</v>
      </c>
      <c r="F999">
        <v>57</v>
      </c>
      <c r="G999" t="str">
        <f>T("일편소엽")</f>
        <v>일편소엽</v>
      </c>
      <c r="J999" t="str">
        <f>T("심월(心月)")</f>
        <v>심월(心月)</v>
      </c>
      <c r="K999" t="str">
        <f>T("검출형산")</f>
        <v>검출형산</v>
      </c>
      <c r="L999">
        <v>100</v>
      </c>
      <c r="M999">
        <v>100</v>
      </c>
      <c r="N999">
        <v>1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100</v>
      </c>
      <c r="AJ999">
        <v>1</v>
      </c>
      <c r="AK999">
        <v>0</v>
      </c>
      <c r="AL999">
        <v>0</v>
      </c>
      <c r="AM999">
        <v>100</v>
      </c>
      <c r="AN999">
        <v>0</v>
      </c>
      <c r="AO999">
        <v>0</v>
      </c>
      <c r="AP999">
        <v>0</v>
      </c>
      <c r="AQ999">
        <v>0</v>
      </c>
      <c r="AS999">
        <v>0</v>
      </c>
      <c r="AT999">
        <v>0</v>
      </c>
      <c r="AV999">
        <v>0</v>
      </c>
      <c r="AW999">
        <v>0</v>
      </c>
      <c r="AY999">
        <v>0</v>
      </c>
      <c r="AZ999">
        <v>0</v>
      </c>
      <c r="BA999">
        <v>70</v>
      </c>
      <c r="BE999" t="str">
        <f>T("9791199253612")</f>
        <v>9791199253612</v>
      </c>
      <c r="BF999" t="str">
        <f>T("D011802")</f>
        <v>D011802</v>
      </c>
      <c r="BG999" t="str">
        <f>T("판타지 웹소설 &gt; 무협 소설")</f>
        <v>판타지 웹소설 &gt; 무협 소설</v>
      </c>
    </row>
    <row r="1000" spans="1:59">
      <c r="A1000" t="s">
        <v>60</v>
      </c>
      <c r="B1000" s="1">
        <v>46131</v>
      </c>
      <c r="C1000">
        <v>2378079581</v>
      </c>
      <c r="D1000">
        <v>2378079638</v>
      </c>
      <c r="E1000" t="str">
        <f>T("검출형산 58화")</f>
        <v>검출형산 58화</v>
      </c>
      <c r="F1000">
        <v>58</v>
      </c>
      <c r="G1000" t="str">
        <f>T("일편소엽")</f>
        <v>일편소엽</v>
      </c>
      <c r="J1000" t="str">
        <f>T("심월(心月)")</f>
        <v>심월(心月)</v>
      </c>
      <c r="K1000" t="str">
        <f>T("검출형산")</f>
        <v>검출형산</v>
      </c>
      <c r="L1000">
        <v>100</v>
      </c>
      <c r="M1000">
        <v>100</v>
      </c>
      <c r="N1000">
        <v>1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100</v>
      </c>
      <c r="AJ1000">
        <v>1</v>
      </c>
      <c r="AK1000">
        <v>0</v>
      </c>
      <c r="AL1000">
        <v>0</v>
      </c>
      <c r="AM1000">
        <v>100</v>
      </c>
      <c r="AN1000">
        <v>0</v>
      </c>
      <c r="AO1000">
        <v>0</v>
      </c>
      <c r="AP1000">
        <v>0</v>
      </c>
      <c r="AQ1000">
        <v>0</v>
      </c>
      <c r="AS1000">
        <v>0</v>
      </c>
      <c r="AT1000">
        <v>0</v>
      </c>
      <c r="AV1000">
        <v>0</v>
      </c>
      <c r="AW1000">
        <v>0</v>
      </c>
      <c r="AY1000">
        <v>0</v>
      </c>
      <c r="AZ1000">
        <v>0</v>
      </c>
      <c r="BA1000">
        <v>70</v>
      </c>
      <c r="BE1000" t="str">
        <f>T("9791199253612")</f>
        <v>9791199253612</v>
      </c>
      <c r="BF1000" t="str">
        <f>T("D011803")</f>
        <v>D011803</v>
      </c>
      <c r="BG1000" t="str">
        <f>T("판타지 웹소설 &gt; 무협 소설")</f>
        <v>판타지 웹소설 &gt; 무협 소설</v>
      </c>
    </row>
    <row r="1001" spans="1:59">
      <c r="A1001" t="s">
        <v>60</v>
      </c>
      <c r="B1001" s="1">
        <v>46131</v>
      </c>
      <c r="C1001">
        <v>2378079581</v>
      </c>
      <c r="D1001">
        <v>2378079639</v>
      </c>
      <c r="E1001" t="str">
        <f>T("검출형산 59화")</f>
        <v>검출형산 59화</v>
      </c>
      <c r="F1001">
        <v>59</v>
      </c>
      <c r="G1001" t="str">
        <f>T("일편소엽")</f>
        <v>일편소엽</v>
      </c>
      <c r="J1001" t="str">
        <f>T("심월(心月)")</f>
        <v>심월(心月)</v>
      </c>
      <c r="K1001" t="str">
        <f>T("검출형산")</f>
        <v>검출형산</v>
      </c>
      <c r="L1001">
        <v>100</v>
      </c>
      <c r="M1001">
        <v>100</v>
      </c>
      <c r="N1001">
        <v>1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100</v>
      </c>
      <c r="AJ1001">
        <v>1</v>
      </c>
      <c r="AK1001">
        <v>0</v>
      </c>
      <c r="AL1001">
        <v>0</v>
      </c>
      <c r="AM1001">
        <v>100</v>
      </c>
      <c r="AN1001">
        <v>0</v>
      </c>
      <c r="AO1001">
        <v>0</v>
      </c>
      <c r="AP1001">
        <v>0</v>
      </c>
      <c r="AQ1001">
        <v>0</v>
      </c>
      <c r="AS1001">
        <v>0</v>
      </c>
      <c r="AT1001">
        <v>0</v>
      </c>
      <c r="AV1001">
        <v>0</v>
      </c>
      <c r="AW1001">
        <v>0</v>
      </c>
      <c r="AY1001">
        <v>0</v>
      </c>
      <c r="AZ1001">
        <v>0</v>
      </c>
      <c r="BA1001">
        <v>70</v>
      </c>
      <c r="BE1001" t="str">
        <f>T("9791199253612")</f>
        <v>9791199253612</v>
      </c>
      <c r="BF1001" t="str">
        <f>T("D011804")</f>
        <v>D011804</v>
      </c>
      <c r="BG1001" t="str">
        <f>T("판타지 웹소설 &gt; 무협 소설")</f>
        <v>판타지 웹소설 &gt; 무협 소설</v>
      </c>
    </row>
    <row r="1002" spans="1:59">
      <c r="A1002" t="s">
        <v>60</v>
      </c>
      <c r="B1002" s="1">
        <v>46131</v>
      </c>
      <c r="C1002">
        <v>2378079581</v>
      </c>
      <c r="D1002">
        <v>2378079640</v>
      </c>
      <c r="E1002" t="str">
        <f>T("검출형산 60화")</f>
        <v>검출형산 60화</v>
      </c>
      <c r="F1002">
        <v>60</v>
      </c>
      <c r="G1002" t="str">
        <f>T("일편소엽")</f>
        <v>일편소엽</v>
      </c>
      <c r="J1002" t="str">
        <f>T("심월(心月)")</f>
        <v>심월(心月)</v>
      </c>
      <c r="K1002" t="str">
        <f>T("검출형산")</f>
        <v>검출형산</v>
      </c>
      <c r="L1002">
        <v>100</v>
      </c>
      <c r="M1002">
        <v>100</v>
      </c>
      <c r="N1002">
        <v>1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100</v>
      </c>
      <c r="AJ1002">
        <v>1</v>
      </c>
      <c r="AK1002">
        <v>0</v>
      </c>
      <c r="AL1002">
        <v>0</v>
      </c>
      <c r="AM1002">
        <v>100</v>
      </c>
      <c r="AN1002">
        <v>0</v>
      </c>
      <c r="AO1002">
        <v>0</v>
      </c>
      <c r="AP1002">
        <v>0</v>
      </c>
      <c r="AQ1002">
        <v>0</v>
      </c>
      <c r="AS1002">
        <v>0</v>
      </c>
      <c r="AT1002">
        <v>0</v>
      </c>
      <c r="AV1002">
        <v>0</v>
      </c>
      <c r="AW1002">
        <v>0</v>
      </c>
      <c r="AY1002">
        <v>0</v>
      </c>
      <c r="AZ1002">
        <v>0</v>
      </c>
      <c r="BA1002">
        <v>70</v>
      </c>
      <c r="BE1002" t="str">
        <f>T("9791199253612")</f>
        <v>9791199253612</v>
      </c>
      <c r="BF1002" t="str">
        <f>T("D011805")</f>
        <v>D011805</v>
      </c>
      <c r="BG1002" t="str">
        <f>T("판타지 웹소설 &gt; 무협 소설")</f>
        <v>판타지 웹소설 &gt; 무협 소설</v>
      </c>
    </row>
    <row r="1003" spans="1:59">
      <c r="A1003" t="s">
        <v>60</v>
      </c>
      <c r="B1003" s="1">
        <v>46131</v>
      </c>
      <c r="C1003">
        <v>2378079581</v>
      </c>
      <c r="D1003">
        <v>2378079641</v>
      </c>
      <c r="E1003" t="str">
        <f>T("검출형산 61화")</f>
        <v>검출형산 61화</v>
      </c>
      <c r="F1003">
        <v>61</v>
      </c>
      <c r="G1003" t="str">
        <f>T("일편소엽")</f>
        <v>일편소엽</v>
      </c>
      <c r="J1003" t="str">
        <f>T("심월(心月)")</f>
        <v>심월(心月)</v>
      </c>
      <c r="K1003" t="str">
        <f>T("검출형산")</f>
        <v>검출형산</v>
      </c>
      <c r="L1003">
        <v>100</v>
      </c>
      <c r="M1003">
        <v>100</v>
      </c>
      <c r="N1003">
        <v>1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100</v>
      </c>
      <c r="AJ1003">
        <v>1</v>
      </c>
      <c r="AK1003">
        <v>0</v>
      </c>
      <c r="AL1003">
        <v>0</v>
      </c>
      <c r="AM1003">
        <v>100</v>
      </c>
      <c r="AN1003">
        <v>0</v>
      </c>
      <c r="AO1003">
        <v>0</v>
      </c>
      <c r="AP1003">
        <v>0</v>
      </c>
      <c r="AQ1003">
        <v>0</v>
      </c>
      <c r="AS1003">
        <v>0</v>
      </c>
      <c r="AT1003">
        <v>0</v>
      </c>
      <c r="AV1003">
        <v>0</v>
      </c>
      <c r="AW1003">
        <v>0</v>
      </c>
      <c r="AY1003">
        <v>0</v>
      </c>
      <c r="AZ1003">
        <v>0</v>
      </c>
      <c r="BA1003">
        <v>70</v>
      </c>
      <c r="BE1003" t="str">
        <f>T("9791199253612")</f>
        <v>9791199253612</v>
      </c>
      <c r="BF1003" t="str">
        <f>T("D011806")</f>
        <v>D011806</v>
      </c>
      <c r="BG1003" t="str">
        <f>T("판타지 웹소설 &gt; 무협 소설")</f>
        <v>판타지 웹소설 &gt; 무협 소설</v>
      </c>
    </row>
    <row r="1004" spans="1:59">
      <c r="A1004" t="s">
        <v>60</v>
      </c>
      <c r="B1004" s="1">
        <v>46131</v>
      </c>
      <c r="C1004">
        <v>2378079581</v>
      </c>
      <c r="D1004">
        <v>2378079642</v>
      </c>
      <c r="E1004" t="str">
        <f>T("검출형산 62화")</f>
        <v>검출형산 62화</v>
      </c>
      <c r="F1004">
        <v>62</v>
      </c>
      <c r="G1004" t="str">
        <f>T("일편소엽")</f>
        <v>일편소엽</v>
      </c>
      <c r="J1004" t="str">
        <f>T("심월(心月)")</f>
        <v>심월(心月)</v>
      </c>
      <c r="K1004" t="str">
        <f>T("검출형산")</f>
        <v>검출형산</v>
      </c>
      <c r="L1004">
        <v>100</v>
      </c>
      <c r="M1004">
        <v>100</v>
      </c>
      <c r="N1004">
        <v>1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100</v>
      </c>
      <c r="AJ1004">
        <v>1</v>
      </c>
      <c r="AK1004">
        <v>0</v>
      </c>
      <c r="AL1004">
        <v>0</v>
      </c>
      <c r="AM1004">
        <v>100</v>
      </c>
      <c r="AN1004">
        <v>0</v>
      </c>
      <c r="AO1004">
        <v>0</v>
      </c>
      <c r="AP1004">
        <v>0</v>
      </c>
      <c r="AQ1004">
        <v>0</v>
      </c>
      <c r="AS1004">
        <v>0</v>
      </c>
      <c r="AT1004">
        <v>0</v>
      </c>
      <c r="AV1004">
        <v>0</v>
      </c>
      <c r="AW1004">
        <v>0</v>
      </c>
      <c r="AY1004">
        <v>0</v>
      </c>
      <c r="AZ1004">
        <v>0</v>
      </c>
      <c r="BA1004">
        <v>70</v>
      </c>
      <c r="BE1004" t="str">
        <f>T("9791199253612")</f>
        <v>9791199253612</v>
      </c>
      <c r="BF1004" t="str">
        <f>T("D011807")</f>
        <v>D011807</v>
      </c>
      <c r="BG1004" t="str">
        <f>T("판타지 웹소설 &gt; 무협 소설")</f>
        <v>판타지 웹소설 &gt; 무협 소설</v>
      </c>
    </row>
    <row r="1005" spans="1:59">
      <c r="A1005" t="s">
        <v>60</v>
      </c>
      <c r="B1005" s="1">
        <v>46131</v>
      </c>
      <c r="C1005">
        <v>2378079581</v>
      </c>
      <c r="D1005">
        <v>2378079643</v>
      </c>
      <c r="E1005" t="str">
        <f>T("검출형산 63화")</f>
        <v>검출형산 63화</v>
      </c>
      <c r="F1005">
        <v>63</v>
      </c>
      <c r="G1005" t="str">
        <f>T("일편소엽")</f>
        <v>일편소엽</v>
      </c>
      <c r="J1005" t="str">
        <f>T("심월(心月)")</f>
        <v>심월(心月)</v>
      </c>
      <c r="K1005" t="str">
        <f>T("검출형산")</f>
        <v>검출형산</v>
      </c>
      <c r="L1005">
        <v>100</v>
      </c>
      <c r="M1005">
        <v>100</v>
      </c>
      <c r="N1005">
        <v>1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100</v>
      </c>
      <c r="AJ1005">
        <v>1</v>
      </c>
      <c r="AK1005">
        <v>0</v>
      </c>
      <c r="AL1005">
        <v>0</v>
      </c>
      <c r="AM1005">
        <v>100</v>
      </c>
      <c r="AN1005">
        <v>0</v>
      </c>
      <c r="AO1005">
        <v>0</v>
      </c>
      <c r="AP1005">
        <v>0</v>
      </c>
      <c r="AQ1005">
        <v>0</v>
      </c>
      <c r="AS1005">
        <v>0</v>
      </c>
      <c r="AT1005">
        <v>0</v>
      </c>
      <c r="AV1005">
        <v>0</v>
      </c>
      <c r="AW1005">
        <v>0</v>
      </c>
      <c r="AY1005">
        <v>0</v>
      </c>
      <c r="AZ1005">
        <v>0</v>
      </c>
      <c r="BA1005">
        <v>70</v>
      </c>
      <c r="BE1005" t="str">
        <f>T("9791199253612")</f>
        <v>9791199253612</v>
      </c>
      <c r="BF1005" t="str">
        <f>T("D011808")</f>
        <v>D011808</v>
      </c>
      <c r="BG1005" t="str">
        <f>T("판타지 웹소설 &gt; 무협 소설")</f>
        <v>판타지 웹소설 &gt; 무협 소설</v>
      </c>
    </row>
    <row r="1006" spans="1:59">
      <c r="A1006" t="s">
        <v>60</v>
      </c>
      <c r="B1006" s="1">
        <v>46131</v>
      </c>
      <c r="C1006">
        <v>2378079581</v>
      </c>
      <c r="D1006">
        <v>2378079644</v>
      </c>
      <c r="E1006" t="str">
        <f>T("검출형산 64화")</f>
        <v>검출형산 64화</v>
      </c>
      <c r="F1006">
        <v>64</v>
      </c>
      <c r="G1006" t="str">
        <f>T("일편소엽")</f>
        <v>일편소엽</v>
      </c>
      <c r="J1006" t="str">
        <f>T("심월(心月)")</f>
        <v>심월(心月)</v>
      </c>
      <c r="K1006" t="str">
        <f>T("검출형산")</f>
        <v>검출형산</v>
      </c>
      <c r="L1006">
        <v>100</v>
      </c>
      <c r="M1006">
        <v>100</v>
      </c>
      <c r="N1006">
        <v>1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100</v>
      </c>
      <c r="AJ1006">
        <v>1</v>
      </c>
      <c r="AK1006">
        <v>0</v>
      </c>
      <c r="AL1006">
        <v>0</v>
      </c>
      <c r="AM1006">
        <v>100</v>
      </c>
      <c r="AN1006">
        <v>0</v>
      </c>
      <c r="AO1006">
        <v>0</v>
      </c>
      <c r="AP1006">
        <v>0</v>
      </c>
      <c r="AQ1006">
        <v>0</v>
      </c>
      <c r="AS1006">
        <v>0</v>
      </c>
      <c r="AT1006">
        <v>0</v>
      </c>
      <c r="AV1006">
        <v>0</v>
      </c>
      <c r="AW1006">
        <v>0</v>
      </c>
      <c r="AY1006">
        <v>0</v>
      </c>
      <c r="AZ1006">
        <v>0</v>
      </c>
      <c r="BA1006">
        <v>70</v>
      </c>
      <c r="BE1006" t="str">
        <f>T("9791199253612")</f>
        <v>9791199253612</v>
      </c>
      <c r="BF1006" t="str">
        <f>T("D011809")</f>
        <v>D011809</v>
      </c>
      <c r="BG1006" t="str">
        <f>T("판타지 웹소설 &gt; 무협 소설")</f>
        <v>판타지 웹소설 &gt; 무협 소설</v>
      </c>
    </row>
    <row r="1007" spans="1:59">
      <c r="A1007" t="s">
        <v>60</v>
      </c>
      <c r="B1007" s="1">
        <v>46131</v>
      </c>
      <c r="C1007">
        <v>2378079581</v>
      </c>
      <c r="D1007">
        <v>2378079645</v>
      </c>
      <c r="E1007" t="str">
        <f>T("검출형산 65화")</f>
        <v>검출형산 65화</v>
      </c>
      <c r="F1007">
        <v>65</v>
      </c>
      <c r="G1007" t="str">
        <f>T("일편소엽")</f>
        <v>일편소엽</v>
      </c>
      <c r="J1007" t="str">
        <f>T("심월(心月)")</f>
        <v>심월(心月)</v>
      </c>
      <c r="K1007" t="str">
        <f>T("검출형산")</f>
        <v>검출형산</v>
      </c>
      <c r="L1007">
        <v>100</v>
      </c>
      <c r="M1007">
        <v>100</v>
      </c>
      <c r="N1007">
        <v>1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100</v>
      </c>
      <c r="AJ1007">
        <v>1</v>
      </c>
      <c r="AK1007">
        <v>0</v>
      </c>
      <c r="AL1007">
        <v>0</v>
      </c>
      <c r="AM1007">
        <v>100</v>
      </c>
      <c r="AN1007">
        <v>0</v>
      </c>
      <c r="AO1007">
        <v>0</v>
      </c>
      <c r="AP1007">
        <v>0</v>
      </c>
      <c r="AQ1007">
        <v>0</v>
      </c>
      <c r="AS1007">
        <v>0</v>
      </c>
      <c r="AT1007">
        <v>0</v>
      </c>
      <c r="AV1007">
        <v>0</v>
      </c>
      <c r="AW1007">
        <v>0</v>
      </c>
      <c r="AY1007">
        <v>0</v>
      </c>
      <c r="AZ1007">
        <v>0</v>
      </c>
      <c r="BA1007">
        <v>70</v>
      </c>
      <c r="BE1007" t="str">
        <f>T("9791199253612")</f>
        <v>9791199253612</v>
      </c>
      <c r="BF1007" t="str">
        <f>T("D011810")</f>
        <v>D011810</v>
      </c>
      <c r="BG1007" t="str">
        <f>T("판타지 웹소설 &gt; 무협 소설")</f>
        <v>판타지 웹소설 &gt; 무협 소설</v>
      </c>
    </row>
    <row r="1008" spans="1:59">
      <c r="A1008" t="s">
        <v>60</v>
      </c>
      <c r="B1008" s="1">
        <v>46131</v>
      </c>
      <c r="C1008">
        <v>2378079581</v>
      </c>
      <c r="D1008">
        <v>2378079646</v>
      </c>
      <c r="E1008" t="str">
        <f>T("검출형산 66화")</f>
        <v>검출형산 66화</v>
      </c>
      <c r="F1008">
        <v>66</v>
      </c>
      <c r="G1008" t="str">
        <f>T("일편소엽")</f>
        <v>일편소엽</v>
      </c>
      <c r="J1008" t="str">
        <f>T("심월(心月)")</f>
        <v>심월(心月)</v>
      </c>
      <c r="K1008" t="str">
        <f>T("검출형산")</f>
        <v>검출형산</v>
      </c>
      <c r="L1008">
        <v>100</v>
      </c>
      <c r="M1008">
        <v>100</v>
      </c>
      <c r="N1008">
        <v>1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100</v>
      </c>
      <c r="AJ1008">
        <v>1</v>
      </c>
      <c r="AK1008">
        <v>0</v>
      </c>
      <c r="AL1008">
        <v>0</v>
      </c>
      <c r="AM1008">
        <v>100</v>
      </c>
      <c r="AN1008">
        <v>0</v>
      </c>
      <c r="AO1008">
        <v>0</v>
      </c>
      <c r="AP1008">
        <v>0</v>
      </c>
      <c r="AQ1008">
        <v>0</v>
      </c>
      <c r="AS1008">
        <v>0</v>
      </c>
      <c r="AT1008">
        <v>0</v>
      </c>
      <c r="AV1008">
        <v>0</v>
      </c>
      <c r="AW1008">
        <v>0</v>
      </c>
      <c r="AY1008">
        <v>0</v>
      </c>
      <c r="AZ1008">
        <v>0</v>
      </c>
      <c r="BA1008">
        <v>70</v>
      </c>
      <c r="BE1008" t="str">
        <f>T("9791199253612")</f>
        <v>9791199253612</v>
      </c>
      <c r="BF1008" t="str">
        <f>T("D011811")</f>
        <v>D011811</v>
      </c>
      <c r="BG1008" t="str">
        <f>T("판타지 웹소설 &gt; 무협 소설")</f>
        <v>판타지 웹소설 &gt; 무협 소설</v>
      </c>
    </row>
    <row r="1009" spans="1:59">
      <c r="A1009" t="s">
        <v>60</v>
      </c>
      <c r="B1009" s="1">
        <v>46131</v>
      </c>
      <c r="C1009">
        <v>2378079581</v>
      </c>
      <c r="D1009">
        <v>2378079647</v>
      </c>
      <c r="E1009" t="str">
        <f>T("검출형산 67화")</f>
        <v>검출형산 67화</v>
      </c>
      <c r="F1009">
        <v>67</v>
      </c>
      <c r="G1009" t="str">
        <f>T("일편소엽")</f>
        <v>일편소엽</v>
      </c>
      <c r="J1009" t="str">
        <f>T("심월(心月)")</f>
        <v>심월(心月)</v>
      </c>
      <c r="K1009" t="str">
        <f>T("검출형산")</f>
        <v>검출형산</v>
      </c>
      <c r="L1009">
        <v>100</v>
      </c>
      <c r="M1009">
        <v>100</v>
      </c>
      <c r="N1009">
        <v>1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100</v>
      </c>
      <c r="AJ1009">
        <v>1</v>
      </c>
      <c r="AK1009">
        <v>0</v>
      </c>
      <c r="AL1009">
        <v>0</v>
      </c>
      <c r="AM1009">
        <v>100</v>
      </c>
      <c r="AN1009">
        <v>0</v>
      </c>
      <c r="AO1009">
        <v>0</v>
      </c>
      <c r="AP1009">
        <v>0</v>
      </c>
      <c r="AQ1009">
        <v>0</v>
      </c>
      <c r="AS1009">
        <v>0</v>
      </c>
      <c r="AT1009">
        <v>0</v>
      </c>
      <c r="AV1009">
        <v>0</v>
      </c>
      <c r="AW1009">
        <v>0</v>
      </c>
      <c r="AY1009">
        <v>0</v>
      </c>
      <c r="AZ1009">
        <v>0</v>
      </c>
      <c r="BA1009">
        <v>70</v>
      </c>
      <c r="BE1009" t="str">
        <f>T("9791199253612")</f>
        <v>9791199253612</v>
      </c>
      <c r="BF1009" t="str">
        <f>T("D011812")</f>
        <v>D011812</v>
      </c>
      <c r="BG1009" t="str">
        <f>T("판타지 웹소설 &gt; 무협 소설")</f>
        <v>판타지 웹소설 &gt; 무협 소설</v>
      </c>
    </row>
    <row r="1010" spans="1:59">
      <c r="A1010" t="s">
        <v>60</v>
      </c>
      <c r="B1010" s="1">
        <v>46131</v>
      </c>
      <c r="C1010">
        <v>2378079581</v>
      </c>
      <c r="D1010">
        <v>2378079648</v>
      </c>
      <c r="E1010" t="str">
        <f>T("검출형산 68화")</f>
        <v>검출형산 68화</v>
      </c>
      <c r="F1010">
        <v>68</v>
      </c>
      <c r="G1010" t="str">
        <f>T("일편소엽")</f>
        <v>일편소엽</v>
      </c>
      <c r="J1010" t="str">
        <f>T("심월(心月)")</f>
        <v>심월(心月)</v>
      </c>
      <c r="K1010" t="str">
        <f>T("검출형산")</f>
        <v>검출형산</v>
      </c>
      <c r="L1010">
        <v>100</v>
      </c>
      <c r="M1010">
        <v>100</v>
      </c>
      <c r="N1010">
        <v>1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100</v>
      </c>
      <c r="AJ1010">
        <v>1</v>
      </c>
      <c r="AK1010">
        <v>0</v>
      </c>
      <c r="AL1010">
        <v>0</v>
      </c>
      <c r="AM1010">
        <v>100</v>
      </c>
      <c r="AN1010">
        <v>0</v>
      </c>
      <c r="AO1010">
        <v>0</v>
      </c>
      <c r="AP1010">
        <v>0</v>
      </c>
      <c r="AQ1010">
        <v>0</v>
      </c>
      <c r="AS1010">
        <v>0</v>
      </c>
      <c r="AT1010">
        <v>0</v>
      </c>
      <c r="AV1010">
        <v>0</v>
      </c>
      <c r="AW1010">
        <v>0</v>
      </c>
      <c r="AY1010">
        <v>0</v>
      </c>
      <c r="AZ1010">
        <v>0</v>
      </c>
      <c r="BA1010">
        <v>70</v>
      </c>
      <c r="BE1010" t="str">
        <f>T("9791199253612")</f>
        <v>9791199253612</v>
      </c>
      <c r="BF1010" t="str">
        <f>T("D011813")</f>
        <v>D011813</v>
      </c>
      <c r="BG1010" t="str">
        <f>T("판타지 웹소설 &gt; 무협 소설")</f>
        <v>판타지 웹소설 &gt; 무협 소설</v>
      </c>
    </row>
    <row r="1011" spans="1:59">
      <c r="A1011" t="s">
        <v>60</v>
      </c>
      <c r="B1011" s="1">
        <v>46131</v>
      </c>
      <c r="C1011">
        <v>2378079581</v>
      </c>
      <c r="D1011">
        <v>2378079663</v>
      </c>
      <c r="E1011" t="str">
        <f>T("검출형산 83화")</f>
        <v>검출형산 83화</v>
      </c>
      <c r="F1011">
        <v>83</v>
      </c>
      <c r="G1011" t="str">
        <f>T("일편소엽")</f>
        <v>일편소엽</v>
      </c>
      <c r="J1011" t="str">
        <f>T("심월(心月)")</f>
        <v>심월(心月)</v>
      </c>
      <c r="K1011" t="str">
        <f>T("검출형산")</f>
        <v>검출형산</v>
      </c>
      <c r="L1011">
        <v>100</v>
      </c>
      <c r="M1011">
        <v>100</v>
      </c>
      <c r="N1011">
        <v>1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100</v>
      </c>
      <c r="AJ1011">
        <v>1</v>
      </c>
      <c r="AK1011">
        <v>0</v>
      </c>
      <c r="AL1011">
        <v>0</v>
      </c>
      <c r="AM1011">
        <v>100</v>
      </c>
      <c r="AN1011">
        <v>0</v>
      </c>
      <c r="AO1011">
        <v>0</v>
      </c>
      <c r="AP1011">
        <v>0</v>
      </c>
      <c r="AQ1011">
        <v>0</v>
      </c>
      <c r="AS1011">
        <v>0</v>
      </c>
      <c r="AT1011">
        <v>0</v>
      </c>
      <c r="AV1011">
        <v>0</v>
      </c>
      <c r="AW1011">
        <v>0</v>
      </c>
      <c r="AY1011">
        <v>0</v>
      </c>
      <c r="AZ1011">
        <v>0</v>
      </c>
      <c r="BA1011">
        <v>70</v>
      </c>
      <c r="BE1011" t="str">
        <f>T("9791199253612")</f>
        <v>9791199253612</v>
      </c>
      <c r="BF1011" t="str">
        <f>T("D011828")</f>
        <v>D011828</v>
      </c>
      <c r="BG1011" t="str">
        <f>T("판타지 웹소설 &gt; 무협 소설")</f>
        <v>판타지 웹소설 &gt; 무협 소설</v>
      </c>
    </row>
    <row r="1012" spans="1:59">
      <c r="A1012" t="s">
        <v>60</v>
      </c>
      <c r="B1012" s="1">
        <v>46131</v>
      </c>
      <c r="C1012">
        <v>2378079581</v>
      </c>
      <c r="D1012">
        <v>2378079828</v>
      </c>
      <c r="E1012" t="str">
        <f>T("검출형산 248화")</f>
        <v>검출형산 248화</v>
      </c>
      <c r="F1012">
        <v>248</v>
      </c>
      <c r="G1012" t="str">
        <f>T("일편소엽")</f>
        <v>일편소엽</v>
      </c>
      <c r="J1012" t="str">
        <f>T("심월(心月)")</f>
        <v>심월(心月)</v>
      </c>
      <c r="K1012" t="str">
        <f>T("검출형산")</f>
        <v>검출형산</v>
      </c>
      <c r="L1012">
        <v>100</v>
      </c>
      <c r="M1012">
        <v>100</v>
      </c>
      <c r="N1012">
        <v>1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100</v>
      </c>
      <c r="AJ1012">
        <v>1</v>
      </c>
      <c r="AK1012">
        <v>0</v>
      </c>
      <c r="AL1012">
        <v>0</v>
      </c>
      <c r="AM1012">
        <v>0</v>
      </c>
      <c r="AN1012">
        <v>0</v>
      </c>
      <c r="AO1012">
        <v>120</v>
      </c>
      <c r="AP1012">
        <v>-12</v>
      </c>
      <c r="AQ1012">
        <v>0</v>
      </c>
      <c r="AS1012">
        <v>0</v>
      </c>
      <c r="AT1012">
        <v>0</v>
      </c>
      <c r="AU1012">
        <v>120</v>
      </c>
      <c r="AV1012">
        <v>-12</v>
      </c>
      <c r="AW1012">
        <v>0</v>
      </c>
      <c r="AY1012">
        <v>0</v>
      </c>
      <c r="AZ1012">
        <v>0</v>
      </c>
      <c r="BA1012">
        <v>75.599999999999994</v>
      </c>
      <c r="BE1012" t="str">
        <f>T("9791199253612")</f>
        <v>9791199253612</v>
      </c>
      <c r="BF1012" t="str">
        <f>T("D061593")</f>
        <v>D061593</v>
      </c>
      <c r="BG1012" t="str">
        <f>T("판타지 웹소설 &gt; 무협 소설")</f>
        <v>판타지 웹소설 &gt; 무협 소설</v>
      </c>
    </row>
    <row r="1013" spans="1:59">
      <c r="A1013" t="s">
        <v>60</v>
      </c>
      <c r="B1013" s="1">
        <v>46131</v>
      </c>
      <c r="C1013">
        <v>2378079581</v>
      </c>
      <c r="D1013">
        <v>2378079829</v>
      </c>
      <c r="E1013" t="str">
        <f>T("검출형산 249화")</f>
        <v>검출형산 249화</v>
      </c>
      <c r="F1013">
        <v>249</v>
      </c>
      <c r="G1013" t="str">
        <f>T("일편소엽")</f>
        <v>일편소엽</v>
      </c>
      <c r="J1013" t="str">
        <f>T("심월(心月)")</f>
        <v>심월(心月)</v>
      </c>
      <c r="K1013" t="str">
        <f>T("검출형산")</f>
        <v>검출형산</v>
      </c>
      <c r="L1013">
        <v>100</v>
      </c>
      <c r="M1013">
        <v>100</v>
      </c>
      <c r="N1013">
        <v>1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100</v>
      </c>
      <c r="AJ1013">
        <v>1</v>
      </c>
      <c r="AK1013">
        <v>0</v>
      </c>
      <c r="AL1013">
        <v>0</v>
      </c>
      <c r="AM1013">
        <v>0</v>
      </c>
      <c r="AN1013">
        <v>0</v>
      </c>
      <c r="AO1013">
        <v>120</v>
      </c>
      <c r="AP1013">
        <v>-12</v>
      </c>
      <c r="AQ1013">
        <v>0</v>
      </c>
      <c r="AS1013">
        <v>0</v>
      </c>
      <c r="AT1013">
        <v>0</v>
      </c>
      <c r="AU1013">
        <v>120</v>
      </c>
      <c r="AV1013">
        <v>-12</v>
      </c>
      <c r="AW1013">
        <v>0</v>
      </c>
      <c r="AY1013">
        <v>0</v>
      </c>
      <c r="AZ1013">
        <v>0</v>
      </c>
      <c r="BA1013">
        <v>75.599999999999994</v>
      </c>
      <c r="BE1013" t="str">
        <f>T("9791199253612")</f>
        <v>9791199253612</v>
      </c>
      <c r="BF1013" t="str">
        <f>T("D061594")</f>
        <v>D061594</v>
      </c>
      <c r="BG1013" t="str">
        <f>T("판타지 웹소설 &gt; 무협 소설")</f>
        <v>판타지 웹소설 &gt; 무협 소설</v>
      </c>
    </row>
    <row r="1014" spans="1:59">
      <c r="A1014" t="s">
        <v>60</v>
      </c>
      <c r="B1014" s="1">
        <v>46131</v>
      </c>
      <c r="C1014">
        <v>2378079581</v>
      </c>
      <c r="D1014">
        <v>2378079830</v>
      </c>
      <c r="E1014" t="str">
        <f>T("검출형산 250화")</f>
        <v>검출형산 250화</v>
      </c>
      <c r="F1014">
        <v>250</v>
      </c>
      <c r="G1014" t="str">
        <f>T("일편소엽")</f>
        <v>일편소엽</v>
      </c>
      <c r="J1014" t="str">
        <f>T("심월(心月)")</f>
        <v>심월(心月)</v>
      </c>
      <c r="K1014" t="str">
        <f>T("검출형산")</f>
        <v>검출형산</v>
      </c>
      <c r="L1014">
        <v>100</v>
      </c>
      <c r="M1014">
        <v>100</v>
      </c>
      <c r="N1014">
        <v>1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100</v>
      </c>
      <c r="AJ1014">
        <v>1</v>
      </c>
      <c r="AK1014">
        <v>0</v>
      </c>
      <c r="AL1014">
        <v>0</v>
      </c>
      <c r="AM1014">
        <v>0</v>
      </c>
      <c r="AN1014">
        <v>0</v>
      </c>
      <c r="AO1014">
        <v>120</v>
      </c>
      <c r="AP1014">
        <v>-12</v>
      </c>
      <c r="AQ1014">
        <v>0</v>
      </c>
      <c r="AS1014">
        <v>0</v>
      </c>
      <c r="AT1014">
        <v>0</v>
      </c>
      <c r="AU1014">
        <v>120</v>
      </c>
      <c r="AV1014">
        <v>-12</v>
      </c>
      <c r="AW1014">
        <v>0</v>
      </c>
      <c r="AY1014">
        <v>0</v>
      </c>
      <c r="AZ1014">
        <v>0</v>
      </c>
      <c r="BA1014">
        <v>75.599999999999994</v>
      </c>
      <c r="BE1014" t="str">
        <f>T("9791199253612")</f>
        <v>9791199253612</v>
      </c>
      <c r="BF1014" t="str">
        <f>T("D061595")</f>
        <v>D061595</v>
      </c>
      <c r="BG1014" t="str">
        <f>T("판타지 웹소설 &gt; 무협 소설")</f>
        <v>판타지 웹소설 &gt; 무협 소설</v>
      </c>
    </row>
    <row r="1015" spans="1:59">
      <c r="A1015" t="s">
        <v>60</v>
      </c>
      <c r="B1015" s="1">
        <v>46131</v>
      </c>
      <c r="C1015">
        <v>2378079581</v>
      </c>
      <c r="D1015">
        <v>2378079831</v>
      </c>
      <c r="E1015" t="str">
        <f>T("검출형산 251화")</f>
        <v>검출형산 251화</v>
      </c>
      <c r="F1015">
        <v>251</v>
      </c>
      <c r="G1015" t="str">
        <f>T("일편소엽")</f>
        <v>일편소엽</v>
      </c>
      <c r="J1015" t="str">
        <f>T("심월(心月)")</f>
        <v>심월(心月)</v>
      </c>
      <c r="K1015" t="str">
        <f>T("검출형산")</f>
        <v>검출형산</v>
      </c>
      <c r="L1015">
        <v>100</v>
      </c>
      <c r="M1015">
        <v>100</v>
      </c>
      <c r="N1015">
        <v>1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100</v>
      </c>
      <c r="AJ1015">
        <v>1</v>
      </c>
      <c r="AK1015">
        <v>0</v>
      </c>
      <c r="AL1015">
        <v>0</v>
      </c>
      <c r="AM1015">
        <v>0</v>
      </c>
      <c r="AN1015">
        <v>0</v>
      </c>
      <c r="AO1015">
        <v>120</v>
      </c>
      <c r="AP1015">
        <v>-12</v>
      </c>
      <c r="AQ1015">
        <v>0</v>
      </c>
      <c r="AS1015">
        <v>0</v>
      </c>
      <c r="AT1015">
        <v>0</v>
      </c>
      <c r="AU1015">
        <v>120</v>
      </c>
      <c r="AV1015">
        <v>-12</v>
      </c>
      <c r="AW1015">
        <v>0</v>
      </c>
      <c r="AY1015">
        <v>0</v>
      </c>
      <c r="AZ1015">
        <v>0</v>
      </c>
      <c r="BA1015">
        <v>75.599999999999994</v>
      </c>
      <c r="BE1015" t="str">
        <f>T("9791199253612")</f>
        <v>9791199253612</v>
      </c>
      <c r="BF1015" t="str">
        <f>T("D061596")</f>
        <v>D061596</v>
      </c>
      <c r="BG1015" t="str">
        <f>T("판타지 웹소설 &gt; 무협 소설")</f>
        <v>판타지 웹소설 &gt; 무협 소설</v>
      </c>
    </row>
    <row r="1016" spans="1:59">
      <c r="A1016" t="s">
        <v>60</v>
      </c>
      <c r="B1016" s="1">
        <v>46131</v>
      </c>
      <c r="C1016">
        <v>2378079581</v>
      </c>
      <c r="D1016">
        <v>2378079832</v>
      </c>
      <c r="E1016" t="str">
        <f>T("검출형산 252화")</f>
        <v>검출형산 252화</v>
      </c>
      <c r="F1016">
        <v>252</v>
      </c>
      <c r="G1016" t="str">
        <f>T("일편소엽")</f>
        <v>일편소엽</v>
      </c>
      <c r="J1016" t="str">
        <f>T("심월(心月)")</f>
        <v>심월(心月)</v>
      </c>
      <c r="K1016" t="str">
        <f>T("검출형산")</f>
        <v>검출형산</v>
      </c>
      <c r="L1016">
        <v>100</v>
      </c>
      <c r="M1016">
        <v>100</v>
      </c>
      <c r="N1016">
        <v>1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100</v>
      </c>
      <c r="AJ1016">
        <v>1</v>
      </c>
      <c r="AK1016">
        <v>0</v>
      </c>
      <c r="AL1016">
        <v>0</v>
      </c>
      <c r="AM1016">
        <v>0</v>
      </c>
      <c r="AN1016">
        <v>0</v>
      </c>
      <c r="AO1016">
        <v>120</v>
      </c>
      <c r="AP1016">
        <v>-12</v>
      </c>
      <c r="AQ1016">
        <v>0</v>
      </c>
      <c r="AS1016">
        <v>0</v>
      </c>
      <c r="AT1016">
        <v>0</v>
      </c>
      <c r="AU1016">
        <v>120</v>
      </c>
      <c r="AV1016">
        <v>-12</v>
      </c>
      <c r="AW1016">
        <v>0</v>
      </c>
      <c r="AY1016">
        <v>0</v>
      </c>
      <c r="AZ1016">
        <v>0</v>
      </c>
      <c r="BA1016">
        <v>75.599999999999994</v>
      </c>
      <c r="BE1016" t="str">
        <f>T("9791199253612")</f>
        <v>9791199253612</v>
      </c>
      <c r="BF1016" t="str">
        <f>T("D061597")</f>
        <v>D061597</v>
      </c>
      <c r="BG1016" t="str">
        <f>T("판타지 웹소설 &gt; 무협 소설")</f>
        <v>판타지 웹소설 &gt; 무협 소설</v>
      </c>
    </row>
    <row r="1017" spans="1:59">
      <c r="A1017" t="s">
        <v>60</v>
      </c>
      <c r="B1017" s="1">
        <v>46131</v>
      </c>
      <c r="C1017">
        <v>2378079581</v>
      </c>
      <c r="D1017">
        <v>2378079833</v>
      </c>
      <c r="E1017" t="str">
        <f>T("검출형산 253화")</f>
        <v>검출형산 253화</v>
      </c>
      <c r="F1017">
        <v>253</v>
      </c>
      <c r="G1017" t="str">
        <f>T("일편소엽")</f>
        <v>일편소엽</v>
      </c>
      <c r="J1017" t="str">
        <f>T("심월(心月)")</f>
        <v>심월(心月)</v>
      </c>
      <c r="K1017" t="str">
        <f>T("검출형산")</f>
        <v>검출형산</v>
      </c>
      <c r="L1017">
        <v>100</v>
      </c>
      <c r="M1017">
        <v>100</v>
      </c>
      <c r="N1017">
        <v>1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100</v>
      </c>
      <c r="AJ1017">
        <v>1</v>
      </c>
      <c r="AK1017">
        <v>0</v>
      </c>
      <c r="AL1017">
        <v>0</v>
      </c>
      <c r="AM1017">
        <v>0</v>
      </c>
      <c r="AN1017">
        <v>0</v>
      </c>
      <c r="AO1017">
        <v>120</v>
      </c>
      <c r="AP1017">
        <v>-12</v>
      </c>
      <c r="AQ1017">
        <v>0</v>
      </c>
      <c r="AS1017">
        <v>0</v>
      </c>
      <c r="AT1017">
        <v>0</v>
      </c>
      <c r="AU1017">
        <v>120</v>
      </c>
      <c r="AV1017">
        <v>-12</v>
      </c>
      <c r="AW1017">
        <v>0</v>
      </c>
      <c r="AY1017">
        <v>0</v>
      </c>
      <c r="AZ1017">
        <v>0</v>
      </c>
      <c r="BA1017">
        <v>75.599999999999994</v>
      </c>
      <c r="BE1017" t="str">
        <f>T("9791199253612")</f>
        <v>9791199253612</v>
      </c>
      <c r="BF1017" t="str">
        <f>T("D061598")</f>
        <v>D061598</v>
      </c>
      <c r="BG1017" t="str">
        <f>T("판타지 웹소설 &gt; 무협 소설")</f>
        <v>판타지 웹소설 &gt; 무협 소설</v>
      </c>
    </row>
    <row r="1018" spans="1:59">
      <c r="A1018" t="s">
        <v>60</v>
      </c>
      <c r="B1018" s="1">
        <v>46131</v>
      </c>
      <c r="C1018">
        <v>2378079581</v>
      </c>
      <c r="D1018">
        <v>2378079834</v>
      </c>
      <c r="E1018" t="str">
        <f>T("검출형산 254화")</f>
        <v>검출형산 254화</v>
      </c>
      <c r="F1018">
        <v>254</v>
      </c>
      <c r="G1018" t="str">
        <f>T("일편소엽")</f>
        <v>일편소엽</v>
      </c>
      <c r="J1018" t="str">
        <f>T("심월(心月)")</f>
        <v>심월(心月)</v>
      </c>
      <c r="K1018" t="str">
        <f>T("검출형산")</f>
        <v>검출형산</v>
      </c>
      <c r="L1018">
        <v>100</v>
      </c>
      <c r="M1018">
        <v>100</v>
      </c>
      <c r="N1018">
        <v>1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100</v>
      </c>
      <c r="AJ1018">
        <v>1</v>
      </c>
      <c r="AK1018">
        <v>0</v>
      </c>
      <c r="AL1018">
        <v>0</v>
      </c>
      <c r="AM1018">
        <v>0</v>
      </c>
      <c r="AN1018">
        <v>0</v>
      </c>
      <c r="AO1018">
        <v>120</v>
      </c>
      <c r="AP1018">
        <v>-12</v>
      </c>
      <c r="AQ1018">
        <v>0</v>
      </c>
      <c r="AS1018">
        <v>0</v>
      </c>
      <c r="AT1018">
        <v>0</v>
      </c>
      <c r="AU1018">
        <v>120</v>
      </c>
      <c r="AV1018">
        <v>-12</v>
      </c>
      <c r="AW1018">
        <v>0</v>
      </c>
      <c r="AY1018">
        <v>0</v>
      </c>
      <c r="AZ1018">
        <v>0</v>
      </c>
      <c r="BA1018">
        <v>75.599999999999994</v>
      </c>
      <c r="BE1018" t="str">
        <f>T("9791199253612")</f>
        <v>9791199253612</v>
      </c>
      <c r="BF1018" t="str">
        <f>T("D061599")</f>
        <v>D061599</v>
      </c>
      <c r="BG1018" t="str">
        <f>T("판타지 웹소설 &gt; 무협 소설")</f>
        <v>판타지 웹소설 &gt; 무협 소설</v>
      </c>
    </row>
    <row r="1019" spans="1:59">
      <c r="A1019" t="s">
        <v>60</v>
      </c>
      <c r="B1019" s="1">
        <v>46131</v>
      </c>
      <c r="C1019">
        <v>2378079581</v>
      </c>
      <c r="D1019">
        <v>2378079835</v>
      </c>
      <c r="E1019" t="str">
        <f>T("검출형산 255화")</f>
        <v>검출형산 255화</v>
      </c>
      <c r="F1019">
        <v>255</v>
      </c>
      <c r="G1019" t="str">
        <f>T("일편소엽")</f>
        <v>일편소엽</v>
      </c>
      <c r="J1019" t="str">
        <f>T("심월(心月)")</f>
        <v>심월(心月)</v>
      </c>
      <c r="K1019" t="str">
        <f>T("검출형산")</f>
        <v>검출형산</v>
      </c>
      <c r="L1019">
        <v>100</v>
      </c>
      <c r="M1019">
        <v>100</v>
      </c>
      <c r="N1019">
        <v>1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0</v>
      </c>
      <c r="AH1019">
        <v>0</v>
      </c>
      <c r="AI1019">
        <v>100</v>
      </c>
      <c r="AJ1019">
        <v>1</v>
      </c>
      <c r="AK1019">
        <v>0</v>
      </c>
      <c r="AL1019">
        <v>0</v>
      </c>
      <c r="AM1019">
        <v>0</v>
      </c>
      <c r="AN1019">
        <v>0</v>
      </c>
      <c r="AO1019">
        <v>120</v>
      </c>
      <c r="AP1019">
        <v>-12</v>
      </c>
      <c r="AQ1019">
        <v>0</v>
      </c>
      <c r="AS1019">
        <v>0</v>
      </c>
      <c r="AT1019">
        <v>0</v>
      </c>
      <c r="AU1019">
        <v>120</v>
      </c>
      <c r="AV1019">
        <v>-12</v>
      </c>
      <c r="AW1019">
        <v>0</v>
      </c>
      <c r="AY1019">
        <v>0</v>
      </c>
      <c r="AZ1019">
        <v>0</v>
      </c>
      <c r="BA1019">
        <v>75.599999999999994</v>
      </c>
      <c r="BE1019" t="str">
        <f>T("9791199253612")</f>
        <v>9791199253612</v>
      </c>
      <c r="BF1019" t="str">
        <f>T("D061600")</f>
        <v>D061600</v>
      </c>
      <c r="BG1019" t="str">
        <f>T("판타지 웹소설 &gt; 무협 소설")</f>
        <v>판타지 웹소설 &gt; 무협 소설</v>
      </c>
    </row>
    <row r="1020" spans="1:59">
      <c r="A1020" t="s">
        <v>60</v>
      </c>
      <c r="B1020" s="1">
        <v>46131</v>
      </c>
      <c r="C1020">
        <v>2378079581</v>
      </c>
      <c r="D1020">
        <v>2378079836</v>
      </c>
      <c r="E1020" t="str">
        <f>T("검출형산 256화")</f>
        <v>검출형산 256화</v>
      </c>
      <c r="F1020">
        <v>256</v>
      </c>
      <c r="G1020" t="str">
        <f>T("일편소엽")</f>
        <v>일편소엽</v>
      </c>
      <c r="J1020" t="str">
        <f>T("심월(心月)")</f>
        <v>심월(心月)</v>
      </c>
      <c r="K1020" t="str">
        <f>T("검출형산")</f>
        <v>검출형산</v>
      </c>
      <c r="L1020">
        <v>100</v>
      </c>
      <c r="M1020">
        <v>100</v>
      </c>
      <c r="N1020">
        <v>1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100</v>
      </c>
      <c r="AJ1020">
        <v>1</v>
      </c>
      <c r="AK1020">
        <v>0</v>
      </c>
      <c r="AL1020">
        <v>0</v>
      </c>
      <c r="AM1020">
        <v>0</v>
      </c>
      <c r="AN1020">
        <v>0</v>
      </c>
      <c r="AO1020">
        <v>120</v>
      </c>
      <c r="AP1020">
        <v>-12</v>
      </c>
      <c r="AQ1020">
        <v>0</v>
      </c>
      <c r="AS1020">
        <v>0</v>
      </c>
      <c r="AT1020">
        <v>0</v>
      </c>
      <c r="AU1020">
        <v>120</v>
      </c>
      <c r="AV1020">
        <v>-12</v>
      </c>
      <c r="AW1020">
        <v>0</v>
      </c>
      <c r="AY1020">
        <v>0</v>
      </c>
      <c r="AZ1020">
        <v>0</v>
      </c>
      <c r="BA1020">
        <v>75.599999999999994</v>
      </c>
      <c r="BE1020" t="str">
        <f>T("9791199253612")</f>
        <v>9791199253612</v>
      </c>
      <c r="BF1020" t="str">
        <f>T("D061601")</f>
        <v>D061601</v>
      </c>
      <c r="BG1020" t="str">
        <f>T("판타지 웹소설 &gt; 무협 소설")</f>
        <v>판타지 웹소설 &gt; 무협 소설</v>
      </c>
    </row>
    <row r="1021" spans="1:59">
      <c r="A1021" t="s">
        <v>60</v>
      </c>
      <c r="B1021" s="1">
        <v>46131</v>
      </c>
      <c r="C1021">
        <v>2378079581</v>
      </c>
      <c r="D1021">
        <v>2378079837</v>
      </c>
      <c r="E1021" t="str">
        <f>T("검출형산 257화")</f>
        <v>검출형산 257화</v>
      </c>
      <c r="F1021">
        <v>257</v>
      </c>
      <c r="G1021" t="str">
        <f>T("일편소엽")</f>
        <v>일편소엽</v>
      </c>
      <c r="J1021" t="str">
        <f>T("심월(心月)")</f>
        <v>심월(心月)</v>
      </c>
      <c r="K1021" t="str">
        <f>T("검출형산")</f>
        <v>검출형산</v>
      </c>
      <c r="L1021">
        <v>100</v>
      </c>
      <c r="M1021">
        <v>100</v>
      </c>
      <c r="N1021">
        <v>1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100</v>
      </c>
      <c r="AJ1021">
        <v>1</v>
      </c>
      <c r="AK1021">
        <v>0</v>
      </c>
      <c r="AL1021">
        <v>0</v>
      </c>
      <c r="AM1021">
        <v>0</v>
      </c>
      <c r="AN1021">
        <v>0</v>
      </c>
      <c r="AO1021">
        <v>120</v>
      </c>
      <c r="AP1021">
        <v>-12</v>
      </c>
      <c r="AQ1021">
        <v>0</v>
      </c>
      <c r="AS1021">
        <v>0</v>
      </c>
      <c r="AT1021">
        <v>0</v>
      </c>
      <c r="AU1021">
        <v>120</v>
      </c>
      <c r="AV1021">
        <v>-12</v>
      </c>
      <c r="AW1021">
        <v>0</v>
      </c>
      <c r="AY1021">
        <v>0</v>
      </c>
      <c r="AZ1021">
        <v>0</v>
      </c>
      <c r="BA1021">
        <v>75.599999999999994</v>
      </c>
      <c r="BE1021" t="str">
        <f>T("9791199253612")</f>
        <v>9791199253612</v>
      </c>
      <c r="BF1021" t="str">
        <f>T("D061602")</f>
        <v>D061602</v>
      </c>
      <c r="BG1021" t="str">
        <f>T("판타지 웹소설 &gt; 무협 소설")</f>
        <v>판타지 웹소설 &gt; 무협 소설</v>
      </c>
    </row>
    <row r="1022" spans="1:59">
      <c r="A1022" t="s">
        <v>60</v>
      </c>
      <c r="B1022" s="1">
        <v>46131</v>
      </c>
      <c r="C1022">
        <v>2378079581</v>
      </c>
      <c r="D1022">
        <v>2378079838</v>
      </c>
      <c r="E1022" t="str">
        <f>T("검출형산 258화")</f>
        <v>검출형산 258화</v>
      </c>
      <c r="F1022">
        <v>258</v>
      </c>
      <c r="G1022" t="str">
        <f>T("일편소엽")</f>
        <v>일편소엽</v>
      </c>
      <c r="J1022" t="str">
        <f>T("심월(心月)")</f>
        <v>심월(心月)</v>
      </c>
      <c r="K1022" t="str">
        <f>T("검출형산")</f>
        <v>검출형산</v>
      </c>
      <c r="L1022">
        <v>100</v>
      </c>
      <c r="M1022">
        <v>100</v>
      </c>
      <c r="N1022">
        <v>1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100</v>
      </c>
      <c r="AJ1022">
        <v>1</v>
      </c>
      <c r="AK1022">
        <v>0</v>
      </c>
      <c r="AL1022">
        <v>0</v>
      </c>
      <c r="AM1022">
        <v>0</v>
      </c>
      <c r="AN1022">
        <v>0</v>
      </c>
      <c r="AO1022">
        <v>120</v>
      </c>
      <c r="AP1022">
        <v>-12</v>
      </c>
      <c r="AQ1022">
        <v>0</v>
      </c>
      <c r="AS1022">
        <v>0</v>
      </c>
      <c r="AT1022">
        <v>0</v>
      </c>
      <c r="AU1022">
        <v>120</v>
      </c>
      <c r="AV1022">
        <v>-12</v>
      </c>
      <c r="AW1022">
        <v>0</v>
      </c>
      <c r="AY1022">
        <v>0</v>
      </c>
      <c r="AZ1022">
        <v>0</v>
      </c>
      <c r="BA1022">
        <v>75.599999999999994</v>
      </c>
      <c r="BE1022" t="str">
        <f>T("9791199253612")</f>
        <v>9791199253612</v>
      </c>
      <c r="BF1022" t="str">
        <f>T("D061603")</f>
        <v>D061603</v>
      </c>
      <c r="BG1022" t="str">
        <f>T("판타지 웹소설 &gt; 무협 소설")</f>
        <v>판타지 웹소설 &gt; 무협 소설</v>
      </c>
    </row>
    <row r="1023" spans="1:59">
      <c r="A1023" t="s">
        <v>60</v>
      </c>
      <c r="B1023" s="1">
        <v>46131</v>
      </c>
      <c r="C1023">
        <v>2378079581</v>
      </c>
      <c r="D1023">
        <v>2378079839</v>
      </c>
      <c r="E1023" t="str">
        <f>T("검출형산 259화")</f>
        <v>검출형산 259화</v>
      </c>
      <c r="F1023">
        <v>259</v>
      </c>
      <c r="G1023" t="str">
        <f>T("일편소엽")</f>
        <v>일편소엽</v>
      </c>
      <c r="J1023" t="str">
        <f>T("심월(心月)")</f>
        <v>심월(心月)</v>
      </c>
      <c r="K1023" t="str">
        <f>T("검출형산")</f>
        <v>검출형산</v>
      </c>
      <c r="L1023">
        <v>100</v>
      </c>
      <c r="M1023">
        <v>100</v>
      </c>
      <c r="N1023">
        <v>1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100</v>
      </c>
      <c r="AJ1023">
        <v>1</v>
      </c>
      <c r="AK1023">
        <v>0</v>
      </c>
      <c r="AL1023">
        <v>0</v>
      </c>
      <c r="AM1023">
        <v>0</v>
      </c>
      <c r="AN1023">
        <v>0</v>
      </c>
      <c r="AO1023">
        <v>120</v>
      </c>
      <c r="AP1023">
        <v>-12</v>
      </c>
      <c r="AQ1023">
        <v>0</v>
      </c>
      <c r="AS1023">
        <v>0</v>
      </c>
      <c r="AT1023">
        <v>0</v>
      </c>
      <c r="AU1023">
        <v>120</v>
      </c>
      <c r="AV1023">
        <v>-12</v>
      </c>
      <c r="AW1023">
        <v>0</v>
      </c>
      <c r="AY1023">
        <v>0</v>
      </c>
      <c r="AZ1023">
        <v>0</v>
      </c>
      <c r="BA1023">
        <v>75.599999999999994</v>
      </c>
      <c r="BE1023" t="str">
        <f>T("9791199253612")</f>
        <v>9791199253612</v>
      </c>
      <c r="BF1023" t="str">
        <f>T("D061604")</f>
        <v>D061604</v>
      </c>
      <c r="BG1023" t="str">
        <f>T("판타지 웹소설 &gt; 무협 소설")</f>
        <v>판타지 웹소설 &gt; 무협 소설</v>
      </c>
    </row>
    <row r="1024" spans="1:59">
      <c r="A1024" t="s">
        <v>60</v>
      </c>
      <c r="B1024" s="1">
        <v>46131</v>
      </c>
      <c r="C1024">
        <v>2378079581</v>
      </c>
      <c r="D1024">
        <v>2378079840</v>
      </c>
      <c r="E1024" t="str">
        <f>T("검출형산 260화")</f>
        <v>검출형산 260화</v>
      </c>
      <c r="F1024">
        <v>260</v>
      </c>
      <c r="G1024" t="str">
        <f>T("일편소엽")</f>
        <v>일편소엽</v>
      </c>
      <c r="J1024" t="str">
        <f>T("심월(心月)")</f>
        <v>심월(心月)</v>
      </c>
      <c r="K1024" t="str">
        <f>T("검출형산")</f>
        <v>검출형산</v>
      </c>
      <c r="L1024">
        <v>100</v>
      </c>
      <c r="M1024">
        <v>100</v>
      </c>
      <c r="N1024">
        <v>1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100</v>
      </c>
      <c r="AJ1024">
        <v>1</v>
      </c>
      <c r="AK1024">
        <v>0</v>
      </c>
      <c r="AL1024">
        <v>0</v>
      </c>
      <c r="AM1024">
        <v>0</v>
      </c>
      <c r="AN1024">
        <v>0</v>
      </c>
      <c r="AO1024">
        <v>120</v>
      </c>
      <c r="AP1024">
        <v>-12</v>
      </c>
      <c r="AQ1024">
        <v>0</v>
      </c>
      <c r="AS1024">
        <v>0</v>
      </c>
      <c r="AT1024">
        <v>0</v>
      </c>
      <c r="AU1024">
        <v>120</v>
      </c>
      <c r="AV1024">
        <v>-12</v>
      </c>
      <c r="AW1024">
        <v>0</v>
      </c>
      <c r="AY1024">
        <v>0</v>
      </c>
      <c r="AZ1024">
        <v>0</v>
      </c>
      <c r="BA1024">
        <v>75.599999999999994</v>
      </c>
      <c r="BE1024" t="str">
        <f>T("9791199253612")</f>
        <v>9791199253612</v>
      </c>
      <c r="BF1024" t="str">
        <f>T("D061605")</f>
        <v>D061605</v>
      </c>
      <c r="BG1024" t="str">
        <f>T("판타지 웹소설 &gt; 무협 소설")</f>
        <v>판타지 웹소설 &gt; 무협 소설</v>
      </c>
    </row>
    <row r="1025" spans="1:59">
      <c r="A1025" t="s">
        <v>60</v>
      </c>
      <c r="B1025" s="1">
        <v>46131</v>
      </c>
      <c r="C1025">
        <v>2378079581</v>
      </c>
      <c r="D1025">
        <v>2378079841</v>
      </c>
      <c r="E1025" t="str">
        <f>T("검출형산 261화")</f>
        <v>검출형산 261화</v>
      </c>
      <c r="F1025">
        <v>261</v>
      </c>
      <c r="G1025" t="str">
        <f>T("일편소엽")</f>
        <v>일편소엽</v>
      </c>
      <c r="J1025" t="str">
        <f>T("심월(心月)")</f>
        <v>심월(心月)</v>
      </c>
      <c r="K1025" t="str">
        <f>T("검출형산")</f>
        <v>검출형산</v>
      </c>
      <c r="L1025">
        <v>100</v>
      </c>
      <c r="M1025">
        <v>100</v>
      </c>
      <c r="N1025">
        <v>1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100</v>
      </c>
      <c r="AJ1025">
        <v>1</v>
      </c>
      <c r="AK1025">
        <v>0</v>
      </c>
      <c r="AL1025">
        <v>0</v>
      </c>
      <c r="AM1025">
        <v>0</v>
      </c>
      <c r="AN1025">
        <v>0</v>
      </c>
      <c r="AO1025">
        <v>120</v>
      </c>
      <c r="AP1025">
        <v>-12</v>
      </c>
      <c r="AQ1025">
        <v>0</v>
      </c>
      <c r="AS1025">
        <v>0</v>
      </c>
      <c r="AT1025">
        <v>0</v>
      </c>
      <c r="AU1025">
        <v>120</v>
      </c>
      <c r="AV1025">
        <v>-12</v>
      </c>
      <c r="AW1025">
        <v>0</v>
      </c>
      <c r="AY1025">
        <v>0</v>
      </c>
      <c r="AZ1025">
        <v>0</v>
      </c>
      <c r="BA1025">
        <v>75.599999999999994</v>
      </c>
      <c r="BE1025" t="str">
        <f>T("9791199253612")</f>
        <v>9791199253612</v>
      </c>
      <c r="BF1025" t="str">
        <f>T("D061606")</f>
        <v>D061606</v>
      </c>
      <c r="BG1025" t="str">
        <f>T("판타지 웹소설 &gt; 무협 소설")</f>
        <v>판타지 웹소설 &gt; 무협 소설</v>
      </c>
    </row>
    <row r="1026" spans="1:59">
      <c r="A1026" t="s">
        <v>60</v>
      </c>
      <c r="B1026" s="1">
        <v>46131</v>
      </c>
      <c r="C1026">
        <v>2378079581</v>
      </c>
      <c r="D1026">
        <v>2378079842</v>
      </c>
      <c r="E1026" t="str">
        <f>T("검출형산 262화")</f>
        <v>검출형산 262화</v>
      </c>
      <c r="F1026">
        <v>262</v>
      </c>
      <c r="G1026" t="str">
        <f>T("일편소엽")</f>
        <v>일편소엽</v>
      </c>
      <c r="J1026" t="str">
        <f>T("심월(心月)")</f>
        <v>심월(心月)</v>
      </c>
      <c r="K1026" t="str">
        <f>T("검출형산")</f>
        <v>검출형산</v>
      </c>
      <c r="L1026">
        <v>100</v>
      </c>
      <c r="M1026">
        <v>100</v>
      </c>
      <c r="N1026">
        <v>1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100</v>
      </c>
      <c r="AJ1026">
        <v>1</v>
      </c>
      <c r="AK1026">
        <v>0</v>
      </c>
      <c r="AL1026">
        <v>0</v>
      </c>
      <c r="AM1026">
        <v>0</v>
      </c>
      <c r="AN1026">
        <v>0</v>
      </c>
      <c r="AO1026">
        <v>120</v>
      </c>
      <c r="AP1026">
        <v>-12</v>
      </c>
      <c r="AQ1026">
        <v>0</v>
      </c>
      <c r="AS1026">
        <v>0</v>
      </c>
      <c r="AT1026">
        <v>0</v>
      </c>
      <c r="AU1026">
        <v>120</v>
      </c>
      <c r="AV1026">
        <v>-12</v>
      </c>
      <c r="AW1026">
        <v>0</v>
      </c>
      <c r="AY1026">
        <v>0</v>
      </c>
      <c r="AZ1026">
        <v>0</v>
      </c>
      <c r="BA1026">
        <v>75.599999999999994</v>
      </c>
      <c r="BE1026" t="str">
        <f>T("9791199253612")</f>
        <v>9791199253612</v>
      </c>
      <c r="BF1026" t="str">
        <f>T("D061607")</f>
        <v>D061607</v>
      </c>
      <c r="BG1026" t="str">
        <f>T("판타지 웹소설 &gt; 무협 소설")</f>
        <v>판타지 웹소설 &gt; 무협 소설</v>
      </c>
    </row>
    <row r="1027" spans="1:59">
      <c r="A1027" t="s">
        <v>60</v>
      </c>
      <c r="B1027" s="1">
        <v>46131</v>
      </c>
      <c r="C1027">
        <v>2378079581</v>
      </c>
      <c r="D1027">
        <v>2378079656</v>
      </c>
      <c r="E1027" t="str">
        <f>T("검출형산 76화")</f>
        <v>검출형산 76화</v>
      </c>
      <c r="F1027">
        <v>76</v>
      </c>
      <c r="G1027" t="str">
        <f>T("일편소엽")</f>
        <v>일편소엽</v>
      </c>
      <c r="J1027" t="str">
        <f>T("심월(心月)")</f>
        <v>심월(心月)</v>
      </c>
      <c r="K1027" t="str">
        <f>T("검출형산")</f>
        <v>검출형산</v>
      </c>
      <c r="L1027">
        <v>100</v>
      </c>
      <c r="M1027">
        <v>100</v>
      </c>
      <c r="N1027">
        <v>1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100</v>
      </c>
      <c r="AJ1027">
        <v>1</v>
      </c>
      <c r="AK1027">
        <v>0</v>
      </c>
      <c r="AL1027">
        <v>0</v>
      </c>
      <c r="AM1027">
        <v>100</v>
      </c>
      <c r="AN1027">
        <v>0</v>
      </c>
      <c r="AO1027">
        <v>0</v>
      </c>
      <c r="AP1027">
        <v>0</v>
      </c>
      <c r="AQ1027">
        <v>0</v>
      </c>
      <c r="AS1027">
        <v>0</v>
      </c>
      <c r="AT1027">
        <v>0</v>
      </c>
      <c r="AV1027">
        <v>0</v>
      </c>
      <c r="AW1027">
        <v>0</v>
      </c>
      <c r="AY1027">
        <v>0</v>
      </c>
      <c r="AZ1027">
        <v>0</v>
      </c>
      <c r="BA1027">
        <v>70</v>
      </c>
      <c r="BE1027" t="str">
        <f>T("9791199253612")</f>
        <v>9791199253612</v>
      </c>
      <c r="BF1027" t="str">
        <f>T("D011821")</f>
        <v>D011821</v>
      </c>
      <c r="BG1027" t="str">
        <f>T("판타지 웹소설 &gt; 무협 소설")</f>
        <v>판타지 웹소설 &gt; 무협 소설</v>
      </c>
    </row>
    <row r="1028" spans="1:59">
      <c r="A1028" t="s">
        <v>60</v>
      </c>
      <c r="B1028" s="1">
        <v>46131</v>
      </c>
      <c r="C1028">
        <v>2378079581</v>
      </c>
      <c r="D1028">
        <v>2378079843</v>
      </c>
      <c r="E1028" t="str">
        <f>T("검출형산 263화")</f>
        <v>검출형산 263화</v>
      </c>
      <c r="F1028">
        <v>263</v>
      </c>
      <c r="G1028" t="str">
        <f>T("일편소엽")</f>
        <v>일편소엽</v>
      </c>
      <c r="J1028" t="str">
        <f>T("심월(心月)")</f>
        <v>심월(心月)</v>
      </c>
      <c r="K1028" t="str">
        <f>T("검출형산")</f>
        <v>검출형산</v>
      </c>
      <c r="L1028">
        <v>100</v>
      </c>
      <c r="M1028">
        <v>100</v>
      </c>
      <c r="N1028">
        <v>1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100</v>
      </c>
      <c r="AJ1028">
        <v>1</v>
      </c>
      <c r="AK1028">
        <v>0</v>
      </c>
      <c r="AL1028">
        <v>0</v>
      </c>
      <c r="AM1028">
        <v>0</v>
      </c>
      <c r="AN1028">
        <v>0</v>
      </c>
      <c r="AO1028">
        <v>120</v>
      </c>
      <c r="AP1028">
        <v>-12</v>
      </c>
      <c r="AQ1028">
        <v>0</v>
      </c>
      <c r="AS1028">
        <v>0</v>
      </c>
      <c r="AT1028">
        <v>0</v>
      </c>
      <c r="AU1028">
        <v>120</v>
      </c>
      <c r="AV1028">
        <v>-12</v>
      </c>
      <c r="AW1028">
        <v>0</v>
      </c>
      <c r="AY1028">
        <v>0</v>
      </c>
      <c r="AZ1028">
        <v>0</v>
      </c>
      <c r="BA1028">
        <v>75.599999999999994</v>
      </c>
      <c r="BE1028" t="str">
        <f>T("9791199253612")</f>
        <v>9791199253612</v>
      </c>
      <c r="BF1028" t="str">
        <f>T("D061608")</f>
        <v>D061608</v>
      </c>
      <c r="BG1028" t="str">
        <f>T("판타지 웹소설 &gt; 무협 소설")</f>
        <v>판타지 웹소설 &gt; 무협 소설</v>
      </c>
    </row>
    <row r="1029" spans="1:59">
      <c r="A1029" t="s">
        <v>60</v>
      </c>
      <c r="B1029" s="1">
        <v>46131</v>
      </c>
      <c r="C1029">
        <v>2378079581</v>
      </c>
      <c r="D1029">
        <v>2378079657</v>
      </c>
      <c r="E1029" t="str">
        <f>T("검출형산 77화")</f>
        <v>검출형산 77화</v>
      </c>
      <c r="F1029">
        <v>77</v>
      </c>
      <c r="G1029" t="str">
        <f>T("일편소엽")</f>
        <v>일편소엽</v>
      </c>
      <c r="J1029" t="str">
        <f>T("심월(心月)")</f>
        <v>심월(心月)</v>
      </c>
      <c r="K1029" t="str">
        <f>T("검출형산")</f>
        <v>검출형산</v>
      </c>
      <c r="L1029">
        <v>100</v>
      </c>
      <c r="M1029">
        <v>100</v>
      </c>
      <c r="N1029">
        <v>1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100</v>
      </c>
      <c r="AJ1029">
        <v>1</v>
      </c>
      <c r="AK1029">
        <v>0</v>
      </c>
      <c r="AL1029">
        <v>0</v>
      </c>
      <c r="AM1029">
        <v>100</v>
      </c>
      <c r="AN1029">
        <v>0</v>
      </c>
      <c r="AO1029">
        <v>0</v>
      </c>
      <c r="AP1029">
        <v>0</v>
      </c>
      <c r="AQ1029">
        <v>0</v>
      </c>
      <c r="AS1029">
        <v>0</v>
      </c>
      <c r="AT1029">
        <v>0</v>
      </c>
      <c r="AV1029">
        <v>0</v>
      </c>
      <c r="AW1029">
        <v>0</v>
      </c>
      <c r="AY1029">
        <v>0</v>
      </c>
      <c r="AZ1029">
        <v>0</v>
      </c>
      <c r="BA1029">
        <v>70</v>
      </c>
      <c r="BE1029" t="str">
        <f>T("9791199253612")</f>
        <v>9791199253612</v>
      </c>
      <c r="BF1029" t="str">
        <f>T("D011822")</f>
        <v>D011822</v>
      </c>
      <c r="BG1029" t="str">
        <f>T("판타지 웹소설 &gt; 무협 소설")</f>
        <v>판타지 웹소설 &gt; 무협 소설</v>
      </c>
    </row>
    <row r="1030" spans="1:59">
      <c r="A1030" t="s">
        <v>60</v>
      </c>
      <c r="B1030" s="1">
        <v>46131</v>
      </c>
      <c r="C1030">
        <v>2378079581</v>
      </c>
      <c r="D1030">
        <v>2378079658</v>
      </c>
      <c r="E1030" t="str">
        <f>T("검출형산 78화")</f>
        <v>검출형산 78화</v>
      </c>
      <c r="F1030">
        <v>78</v>
      </c>
      <c r="G1030" t="str">
        <f>T("일편소엽")</f>
        <v>일편소엽</v>
      </c>
      <c r="J1030" t="str">
        <f>T("심월(心月)")</f>
        <v>심월(心月)</v>
      </c>
      <c r="K1030" t="str">
        <f>T("검출형산")</f>
        <v>검출형산</v>
      </c>
      <c r="L1030">
        <v>100</v>
      </c>
      <c r="M1030">
        <v>100</v>
      </c>
      <c r="N1030">
        <v>1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0</v>
      </c>
      <c r="AH1030">
        <v>0</v>
      </c>
      <c r="AI1030">
        <v>100</v>
      </c>
      <c r="AJ1030">
        <v>1</v>
      </c>
      <c r="AK1030">
        <v>0</v>
      </c>
      <c r="AL1030">
        <v>0</v>
      </c>
      <c r="AM1030">
        <v>100</v>
      </c>
      <c r="AN1030">
        <v>0</v>
      </c>
      <c r="AO1030">
        <v>0</v>
      </c>
      <c r="AP1030">
        <v>0</v>
      </c>
      <c r="AQ1030">
        <v>0</v>
      </c>
      <c r="AS1030">
        <v>0</v>
      </c>
      <c r="AT1030">
        <v>0</v>
      </c>
      <c r="AV1030">
        <v>0</v>
      </c>
      <c r="AW1030">
        <v>0</v>
      </c>
      <c r="AY1030">
        <v>0</v>
      </c>
      <c r="AZ1030">
        <v>0</v>
      </c>
      <c r="BA1030">
        <v>70</v>
      </c>
      <c r="BE1030" t="str">
        <f>T("9791199253612")</f>
        <v>9791199253612</v>
      </c>
      <c r="BF1030" t="str">
        <f>T("D011823")</f>
        <v>D011823</v>
      </c>
      <c r="BG1030" t="str">
        <f>T("판타지 웹소설 &gt; 무협 소설")</f>
        <v>판타지 웹소설 &gt; 무협 소설</v>
      </c>
    </row>
    <row r="1031" spans="1:59">
      <c r="A1031" t="s">
        <v>60</v>
      </c>
      <c r="B1031" s="1">
        <v>46131</v>
      </c>
      <c r="C1031">
        <v>2378079581</v>
      </c>
      <c r="D1031">
        <v>2378079659</v>
      </c>
      <c r="E1031" t="str">
        <f>T("검출형산 79화")</f>
        <v>검출형산 79화</v>
      </c>
      <c r="F1031">
        <v>79</v>
      </c>
      <c r="G1031" t="str">
        <f>T("일편소엽")</f>
        <v>일편소엽</v>
      </c>
      <c r="J1031" t="str">
        <f>T("심월(心月)")</f>
        <v>심월(心月)</v>
      </c>
      <c r="K1031" t="str">
        <f>T("검출형산")</f>
        <v>검출형산</v>
      </c>
      <c r="L1031">
        <v>100</v>
      </c>
      <c r="M1031">
        <v>100</v>
      </c>
      <c r="N1031">
        <v>1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100</v>
      </c>
      <c r="AJ1031">
        <v>1</v>
      </c>
      <c r="AK1031">
        <v>0</v>
      </c>
      <c r="AL1031">
        <v>0</v>
      </c>
      <c r="AM1031">
        <v>100</v>
      </c>
      <c r="AN1031">
        <v>0</v>
      </c>
      <c r="AO1031">
        <v>0</v>
      </c>
      <c r="AP1031">
        <v>0</v>
      </c>
      <c r="AQ1031">
        <v>0</v>
      </c>
      <c r="AS1031">
        <v>0</v>
      </c>
      <c r="AT1031">
        <v>0</v>
      </c>
      <c r="AV1031">
        <v>0</v>
      </c>
      <c r="AW1031">
        <v>0</v>
      </c>
      <c r="AY1031">
        <v>0</v>
      </c>
      <c r="AZ1031">
        <v>0</v>
      </c>
      <c r="BA1031">
        <v>70</v>
      </c>
      <c r="BE1031" t="str">
        <f>T("9791199253612")</f>
        <v>9791199253612</v>
      </c>
      <c r="BF1031" t="str">
        <f>T("D011824")</f>
        <v>D011824</v>
      </c>
      <c r="BG1031" t="str">
        <f>T("판타지 웹소설 &gt; 무협 소설")</f>
        <v>판타지 웹소설 &gt; 무협 소설</v>
      </c>
    </row>
    <row r="1032" spans="1:59">
      <c r="A1032" t="s">
        <v>60</v>
      </c>
      <c r="B1032" s="1">
        <v>46131</v>
      </c>
      <c r="C1032">
        <v>2378079581</v>
      </c>
      <c r="D1032">
        <v>2378079660</v>
      </c>
      <c r="E1032" t="str">
        <f>T("검출형산 80화")</f>
        <v>검출형산 80화</v>
      </c>
      <c r="F1032">
        <v>80</v>
      </c>
      <c r="G1032" t="str">
        <f>T("일편소엽")</f>
        <v>일편소엽</v>
      </c>
      <c r="J1032" t="str">
        <f>T("심월(心月)")</f>
        <v>심월(心月)</v>
      </c>
      <c r="K1032" t="str">
        <f>T("검출형산")</f>
        <v>검출형산</v>
      </c>
      <c r="L1032">
        <v>100</v>
      </c>
      <c r="M1032">
        <v>100</v>
      </c>
      <c r="N1032">
        <v>1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100</v>
      </c>
      <c r="AJ1032">
        <v>1</v>
      </c>
      <c r="AK1032">
        <v>0</v>
      </c>
      <c r="AL1032">
        <v>0</v>
      </c>
      <c r="AM1032">
        <v>100</v>
      </c>
      <c r="AN1032">
        <v>0</v>
      </c>
      <c r="AO1032">
        <v>0</v>
      </c>
      <c r="AP1032">
        <v>0</v>
      </c>
      <c r="AQ1032">
        <v>0</v>
      </c>
      <c r="AS1032">
        <v>0</v>
      </c>
      <c r="AT1032">
        <v>0</v>
      </c>
      <c r="AV1032">
        <v>0</v>
      </c>
      <c r="AW1032">
        <v>0</v>
      </c>
      <c r="AY1032">
        <v>0</v>
      </c>
      <c r="AZ1032">
        <v>0</v>
      </c>
      <c r="BA1032">
        <v>70</v>
      </c>
      <c r="BE1032" t="str">
        <f>T("9791199253612")</f>
        <v>9791199253612</v>
      </c>
      <c r="BF1032" t="str">
        <f>T("D011825")</f>
        <v>D011825</v>
      </c>
      <c r="BG1032" t="str">
        <f>T("판타지 웹소설 &gt; 무협 소설")</f>
        <v>판타지 웹소설 &gt; 무협 소설</v>
      </c>
    </row>
    <row r="1033" spans="1:59">
      <c r="A1033" t="s">
        <v>60</v>
      </c>
      <c r="B1033" s="1">
        <v>46131</v>
      </c>
      <c r="C1033">
        <v>2378079581</v>
      </c>
      <c r="D1033">
        <v>2378079661</v>
      </c>
      <c r="E1033" t="str">
        <f>T("검출형산 81화")</f>
        <v>검출형산 81화</v>
      </c>
      <c r="F1033">
        <v>81</v>
      </c>
      <c r="G1033" t="str">
        <f>T("일편소엽")</f>
        <v>일편소엽</v>
      </c>
      <c r="J1033" t="str">
        <f>T("심월(心月)")</f>
        <v>심월(心月)</v>
      </c>
      <c r="K1033" t="str">
        <f>T("검출형산")</f>
        <v>검출형산</v>
      </c>
      <c r="L1033">
        <v>100</v>
      </c>
      <c r="M1033">
        <v>100</v>
      </c>
      <c r="N1033">
        <v>1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100</v>
      </c>
      <c r="AJ1033">
        <v>1</v>
      </c>
      <c r="AK1033">
        <v>0</v>
      </c>
      <c r="AL1033">
        <v>0</v>
      </c>
      <c r="AM1033">
        <v>100</v>
      </c>
      <c r="AN1033">
        <v>0</v>
      </c>
      <c r="AO1033">
        <v>0</v>
      </c>
      <c r="AP1033">
        <v>0</v>
      </c>
      <c r="AQ1033">
        <v>0</v>
      </c>
      <c r="AS1033">
        <v>0</v>
      </c>
      <c r="AT1033">
        <v>0</v>
      </c>
      <c r="AV1033">
        <v>0</v>
      </c>
      <c r="AW1033">
        <v>0</v>
      </c>
      <c r="AY1033">
        <v>0</v>
      </c>
      <c r="AZ1033">
        <v>0</v>
      </c>
      <c r="BA1033">
        <v>70</v>
      </c>
      <c r="BE1033" t="str">
        <f>T("9791199253612")</f>
        <v>9791199253612</v>
      </c>
      <c r="BF1033" t="str">
        <f>T("D011826")</f>
        <v>D011826</v>
      </c>
      <c r="BG1033" t="str">
        <f>T("판타지 웹소설 &gt; 무협 소설")</f>
        <v>판타지 웹소설 &gt; 무협 소설</v>
      </c>
    </row>
    <row r="1034" spans="1:59">
      <c r="A1034" t="s">
        <v>60</v>
      </c>
      <c r="B1034" s="1">
        <v>46131</v>
      </c>
      <c r="C1034">
        <v>2378079581</v>
      </c>
      <c r="D1034">
        <v>2378079844</v>
      </c>
      <c r="E1034" t="str">
        <f>T("검출형산 264화")</f>
        <v>검출형산 264화</v>
      </c>
      <c r="F1034">
        <v>264</v>
      </c>
      <c r="G1034" t="str">
        <f>T("일편소엽")</f>
        <v>일편소엽</v>
      </c>
      <c r="J1034" t="str">
        <f>T("심월(心月)")</f>
        <v>심월(心月)</v>
      </c>
      <c r="K1034" t="str">
        <f>T("검출형산")</f>
        <v>검출형산</v>
      </c>
      <c r="L1034">
        <v>100</v>
      </c>
      <c r="M1034">
        <v>100</v>
      </c>
      <c r="N1034">
        <v>1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100</v>
      </c>
      <c r="AJ1034">
        <v>1</v>
      </c>
      <c r="AK1034">
        <v>0</v>
      </c>
      <c r="AL1034">
        <v>0</v>
      </c>
      <c r="AM1034">
        <v>0</v>
      </c>
      <c r="AN1034">
        <v>0</v>
      </c>
      <c r="AO1034">
        <v>120</v>
      </c>
      <c r="AP1034">
        <v>-12</v>
      </c>
      <c r="AQ1034">
        <v>0</v>
      </c>
      <c r="AS1034">
        <v>0</v>
      </c>
      <c r="AT1034">
        <v>0</v>
      </c>
      <c r="AU1034">
        <v>120</v>
      </c>
      <c r="AV1034">
        <v>-12</v>
      </c>
      <c r="AW1034">
        <v>0</v>
      </c>
      <c r="AY1034">
        <v>0</v>
      </c>
      <c r="AZ1034">
        <v>0</v>
      </c>
      <c r="BA1034">
        <v>75.599999999999994</v>
      </c>
      <c r="BE1034" t="str">
        <f>T("9791199253612")</f>
        <v>9791199253612</v>
      </c>
      <c r="BF1034" t="str">
        <f>T("D061609")</f>
        <v>D061609</v>
      </c>
      <c r="BG1034" t="str">
        <f>T("판타지 웹소설 &gt; 무협 소설")</f>
        <v>판타지 웹소설 &gt; 무협 소설</v>
      </c>
    </row>
    <row r="1035" spans="1:59">
      <c r="A1035" t="s">
        <v>60</v>
      </c>
      <c r="B1035" s="1">
        <v>46131</v>
      </c>
      <c r="C1035">
        <v>2378079581</v>
      </c>
      <c r="D1035">
        <v>2378079845</v>
      </c>
      <c r="E1035" t="str">
        <f>T("검출형산 265화")</f>
        <v>검출형산 265화</v>
      </c>
      <c r="F1035">
        <v>265</v>
      </c>
      <c r="G1035" t="str">
        <f>T("일편소엽")</f>
        <v>일편소엽</v>
      </c>
      <c r="J1035" t="str">
        <f>T("심월(心月)")</f>
        <v>심월(心月)</v>
      </c>
      <c r="K1035" t="str">
        <f>T("검출형산")</f>
        <v>검출형산</v>
      </c>
      <c r="L1035">
        <v>100</v>
      </c>
      <c r="M1035">
        <v>100</v>
      </c>
      <c r="N1035">
        <v>1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100</v>
      </c>
      <c r="AJ1035">
        <v>1</v>
      </c>
      <c r="AK1035">
        <v>0</v>
      </c>
      <c r="AL1035">
        <v>0</v>
      </c>
      <c r="AM1035">
        <v>0</v>
      </c>
      <c r="AN1035">
        <v>0</v>
      </c>
      <c r="AO1035">
        <v>120</v>
      </c>
      <c r="AP1035">
        <v>-12</v>
      </c>
      <c r="AQ1035">
        <v>0</v>
      </c>
      <c r="AS1035">
        <v>0</v>
      </c>
      <c r="AT1035">
        <v>0</v>
      </c>
      <c r="AU1035">
        <v>120</v>
      </c>
      <c r="AV1035">
        <v>-12</v>
      </c>
      <c r="AW1035">
        <v>0</v>
      </c>
      <c r="AY1035">
        <v>0</v>
      </c>
      <c r="AZ1035">
        <v>0</v>
      </c>
      <c r="BA1035">
        <v>75.599999999999994</v>
      </c>
      <c r="BE1035" t="str">
        <f>T("9791199253612")</f>
        <v>9791199253612</v>
      </c>
      <c r="BF1035" t="str">
        <f>T("D061610")</f>
        <v>D061610</v>
      </c>
      <c r="BG1035" t="str">
        <f>T("판타지 웹소설 &gt; 무협 소설")</f>
        <v>판타지 웹소설 &gt; 무협 소설</v>
      </c>
    </row>
    <row r="1036" spans="1:59">
      <c r="A1036" t="s">
        <v>60</v>
      </c>
      <c r="B1036" s="1">
        <v>46131</v>
      </c>
      <c r="C1036">
        <v>2378079581</v>
      </c>
      <c r="D1036">
        <v>2378079846</v>
      </c>
      <c r="E1036" t="str">
        <f>T("검출형산 266화")</f>
        <v>검출형산 266화</v>
      </c>
      <c r="F1036">
        <v>266</v>
      </c>
      <c r="G1036" t="str">
        <f>T("일편소엽")</f>
        <v>일편소엽</v>
      </c>
      <c r="J1036" t="str">
        <f>T("심월(心月)")</f>
        <v>심월(心月)</v>
      </c>
      <c r="K1036" t="str">
        <f>T("검출형산")</f>
        <v>검출형산</v>
      </c>
      <c r="L1036">
        <v>100</v>
      </c>
      <c r="M1036">
        <v>100</v>
      </c>
      <c r="N1036">
        <v>1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100</v>
      </c>
      <c r="AJ1036">
        <v>1</v>
      </c>
      <c r="AK1036">
        <v>0</v>
      </c>
      <c r="AL1036">
        <v>0</v>
      </c>
      <c r="AM1036">
        <v>0</v>
      </c>
      <c r="AN1036">
        <v>0</v>
      </c>
      <c r="AO1036">
        <v>120</v>
      </c>
      <c r="AP1036">
        <v>-12</v>
      </c>
      <c r="AQ1036">
        <v>0</v>
      </c>
      <c r="AS1036">
        <v>0</v>
      </c>
      <c r="AT1036">
        <v>0</v>
      </c>
      <c r="AU1036">
        <v>120</v>
      </c>
      <c r="AV1036">
        <v>-12</v>
      </c>
      <c r="AW1036">
        <v>0</v>
      </c>
      <c r="AY1036">
        <v>0</v>
      </c>
      <c r="AZ1036">
        <v>0</v>
      </c>
      <c r="BA1036">
        <v>75.599999999999994</v>
      </c>
      <c r="BE1036" t="str">
        <f>T("9791199253612")</f>
        <v>9791199253612</v>
      </c>
      <c r="BF1036" t="str">
        <f>T("D061611")</f>
        <v>D061611</v>
      </c>
      <c r="BG1036" t="str">
        <f>T("판타지 웹소설 &gt; 무협 소설")</f>
        <v>판타지 웹소설 &gt; 무협 소설</v>
      </c>
    </row>
    <row r="1037" spans="1:59">
      <c r="A1037" t="s">
        <v>60</v>
      </c>
      <c r="B1037" s="1">
        <v>46129</v>
      </c>
      <c r="C1037">
        <v>2378052443</v>
      </c>
      <c r="D1037">
        <v>2378052601</v>
      </c>
      <c r="E1037" t="str">
        <f>T("경찰이 너무 강함 159화")</f>
        <v>경찰이 너무 강함 159화</v>
      </c>
      <c r="F1037">
        <v>159</v>
      </c>
      <c r="G1037" t="str">
        <f>T("김기세")</f>
        <v>김기세</v>
      </c>
      <c r="J1037" t="str">
        <f>T("매드햇")</f>
        <v>매드햇</v>
      </c>
      <c r="K1037" t="str">
        <f>T("경찰이 너무 강함")</f>
        <v>경찰이 너무 강함</v>
      </c>
      <c r="L1037">
        <v>100</v>
      </c>
      <c r="M1037">
        <v>100</v>
      </c>
      <c r="N1037">
        <v>1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100</v>
      </c>
      <c r="AJ1037">
        <v>1</v>
      </c>
      <c r="AK1037">
        <v>0</v>
      </c>
      <c r="AL1037">
        <v>0</v>
      </c>
      <c r="AM1037">
        <v>100</v>
      </c>
      <c r="AN1037">
        <v>0</v>
      </c>
      <c r="AO1037">
        <v>0</v>
      </c>
      <c r="AP1037">
        <v>0</v>
      </c>
      <c r="AQ1037">
        <v>0</v>
      </c>
      <c r="AS1037">
        <v>0</v>
      </c>
      <c r="AT1037">
        <v>0</v>
      </c>
      <c r="AV1037">
        <v>0</v>
      </c>
      <c r="AW1037">
        <v>0</v>
      </c>
      <c r="AY1037">
        <v>0</v>
      </c>
      <c r="AZ1037">
        <v>0</v>
      </c>
      <c r="BA1037">
        <v>70</v>
      </c>
      <c r="BE1037" t="str">
        <f>T("9791137007062")</f>
        <v>9791137007062</v>
      </c>
      <c r="BF1037" t="str">
        <f>T("N191730")</f>
        <v>N191730</v>
      </c>
      <c r="BG1037" t="str">
        <f>T("판타지 웹소설 &gt; 현대 판타지")</f>
        <v>판타지 웹소설 &gt; 현대 판타지</v>
      </c>
    </row>
    <row r="1038" spans="1:59">
      <c r="A1038" t="s">
        <v>60</v>
      </c>
      <c r="B1038" s="1">
        <v>46129</v>
      </c>
      <c r="C1038">
        <v>2378052443</v>
      </c>
      <c r="D1038">
        <v>2378052602</v>
      </c>
      <c r="E1038" t="str">
        <f>T("경찰이 너무 강함 160화")</f>
        <v>경찰이 너무 강함 160화</v>
      </c>
      <c r="F1038">
        <v>160</v>
      </c>
      <c r="G1038" t="str">
        <f>T("김기세")</f>
        <v>김기세</v>
      </c>
      <c r="J1038" t="str">
        <f>T("매드햇")</f>
        <v>매드햇</v>
      </c>
      <c r="K1038" t="str">
        <f>T("경찰이 너무 강함")</f>
        <v>경찰이 너무 강함</v>
      </c>
      <c r="L1038">
        <v>100</v>
      </c>
      <c r="M1038">
        <v>100</v>
      </c>
      <c r="N1038">
        <v>1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100</v>
      </c>
      <c r="AJ1038">
        <v>1</v>
      </c>
      <c r="AK1038">
        <v>0</v>
      </c>
      <c r="AL1038">
        <v>0</v>
      </c>
      <c r="AM1038">
        <v>100</v>
      </c>
      <c r="AN1038">
        <v>0</v>
      </c>
      <c r="AO1038">
        <v>0</v>
      </c>
      <c r="AP1038">
        <v>0</v>
      </c>
      <c r="AQ1038">
        <v>0</v>
      </c>
      <c r="AS1038">
        <v>0</v>
      </c>
      <c r="AT1038">
        <v>0</v>
      </c>
      <c r="AV1038">
        <v>0</v>
      </c>
      <c r="AW1038">
        <v>0</v>
      </c>
      <c r="AY1038">
        <v>0</v>
      </c>
      <c r="AZ1038">
        <v>0</v>
      </c>
      <c r="BA1038">
        <v>70</v>
      </c>
      <c r="BE1038" t="str">
        <f>T("9791137007062")</f>
        <v>9791137007062</v>
      </c>
      <c r="BF1038" t="str">
        <f>T("N191731")</f>
        <v>N191731</v>
      </c>
      <c r="BG1038" t="str">
        <f>T("판타지 웹소설 &gt; 현대 판타지")</f>
        <v>판타지 웹소설 &gt; 현대 판타지</v>
      </c>
    </row>
    <row r="1039" spans="1:59">
      <c r="A1039" t="s">
        <v>60</v>
      </c>
      <c r="B1039" s="1">
        <v>46129</v>
      </c>
      <c r="C1039">
        <v>2378052443</v>
      </c>
      <c r="D1039">
        <v>2378052603</v>
      </c>
      <c r="E1039" t="str">
        <f>T("경찰이 너무 강함 161화")</f>
        <v>경찰이 너무 강함 161화</v>
      </c>
      <c r="F1039">
        <v>161</v>
      </c>
      <c r="G1039" t="str">
        <f>T("김기세")</f>
        <v>김기세</v>
      </c>
      <c r="J1039" t="str">
        <f>T("매드햇")</f>
        <v>매드햇</v>
      </c>
      <c r="K1039" t="str">
        <f>T("경찰이 너무 강함")</f>
        <v>경찰이 너무 강함</v>
      </c>
      <c r="L1039">
        <v>100</v>
      </c>
      <c r="M1039">
        <v>100</v>
      </c>
      <c r="N1039">
        <v>1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100</v>
      </c>
      <c r="AJ1039">
        <v>1</v>
      </c>
      <c r="AK1039">
        <v>0</v>
      </c>
      <c r="AL1039">
        <v>0</v>
      </c>
      <c r="AM1039">
        <v>100</v>
      </c>
      <c r="AN1039">
        <v>0</v>
      </c>
      <c r="AO1039">
        <v>0</v>
      </c>
      <c r="AP1039">
        <v>0</v>
      </c>
      <c r="AQ1039">
        <v>0</v>
      </c>
      <c r="AS1039">
        <v>0</v>
      </c>
      <c r="AT1039">
        <v>0</v>
      </c>
      <c r="AV1039">
        <v>0</v>
      </c>
      <c r="AW1039">
        <v>0</v>
      </c>
      <c r="AY1039">
        <v>0</v>
      </c>
      <c r="AZ1039">
        <v>0</v>
      </c>
      <c r="BA1039">
        <v>70</v>
      </c>
      <c r="BE1039" t="str">
        <f>T("9791137007062")</f>
        <v>9791137007062</v>
      </c>
      <c r="BF1039" t="str">
        <f>T("N191732")</f>
        <v>N191732</v>
      </c>
      <c r="BG1039" t="str">
        <f>T("판타지 웹소설 &gt; 현대 판타지")</f>
        <v>판타지 웹소설 &gt; 현대 판타지</v>
      </c>
    </row>
    <row r="1040" spans="1:59">
      <c r="A1040" t="s">
        <v>60</v>
      </c>
      <c r="B1040" s="1">
        <v>46129</v>
      </c>
      <c r="C1040">
        <v>2378052443</v>
      </c>
      <c r="D1040">
        <v>2378052604</v>
      </c>
      <c r="E1040" t="str">
        <f>T("경찰이 너무 강함 162화")</f>
        <v>경찰이 너무 강함 162화</v>
      </c>
      <c r="F1040">
        <v>162</v>
      </c>
      <c r="G1040" t="str">
        <f>T("김기세")</f>
        <v>김기세</v>
      </c>
      <c r="J1040" t="str">
        <f>T("매드햇")</f>
        <v>매드햇</v>
      </c>
      <c r="K1040" t="str">
        <f>T("경찰이 너무 강함")</f>
        <v>경찰이 너무 강함</v>
      </c>
      <c r="L1040">
        <v>100</v>
      </c>
      <c r="M1040">
        <v>100</v>
      </c>
      <c r="N1040">
        <v>1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100</v>
      </c>
      <c r="AJ1040">
        <v>1</v>
      </c>
      <c r="AK1040">
        <v>0</v>
      </c>
      <c r="AL1040">
        <v>0</v>
      </c>
      <c r="AM1040">
        <v>100</v>
      </c>
      <c r="AN1040">
        <v>0</v>
      </c>
      <c r="AO1040">
        <v>0</v>
      </c>
      <c r="AP1040">
        <v>0</v>
      </c>
      <c r="AQ1040">
        <v>0</v>
      </c>
      <c r="AS1040">
        <v>0</v>
      </c>
      <c r="AT1040">
        <v>0</v>
      </c>
      <c r="AV1040">
        <v>0</v>
      </c>
      <c r="AW1040">
        <v>0</v>
      </c>
      <c r="AY1040">
        <v>0</v>
      </c>
      <c r="AZ1040">
        <v>0</v>
      </c>
      <c r="BA1040">
        <v>70</v>
      </c>
      <c r="BE1040" t="str">
        <f>T("9791137007062")</f>
        <v>9791137007062</v>
      </c>
      <c r="BF1040" t="str">
        <f>T("N191733")</f>
        <v>N191733</v>
      </c>
      <c r="BG1040" t="str">
        <f>T("판타지 웹소설 &gt; 현대 판타지")</f>
        <v>판타지 웹소설 &gt; 현대 판타지</v>
      </c>
    </row>
    <row r="1041" spans="1:59">
      <c r="A1041" t="s">
        <v>60</v>
      </c>
      <c r="B1041" s="1">
        <v>46129</v>
      </c>
      <c r="C1041">
        <v>2378052443</v>
      </c>
      <c r="D1041">
        <v>2378052605</v>
      </c>
      <c r="E1041" t="str">
        <f>T("경찰이 너무 강함 163화")</f>
        <v>경찰이 너무 강함 163화</v>
      </c>
      <c r="F1041">
        <v>163</v>
      </c>
      <c r="G1041" t="str">
        <f>T("김기세")</f>
        <v>김기세</v>
      </c>
      <c r="J1041" t="str">
        <f>T("매드햇")</f>
        <v>매드햇</v>
      </c>
      <c r="K1041" t="str">
        <f>T("경찰이 너무 강함")</f>
        <v>경찰이 너무 강함</v>
      </c>
      <c r="L1041">
        <v>100</v>
      </c>
      <c r="M1041">
        <v>100</v>
      </c>
      <c r="N1041">
        <v>1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100</v>
      </c>
      <c r="AJ1041">
        <v>1</v>
      </c>
      <c r="AK1041">
        <v>0</v>
      </c>
      <c r="AL1041">
        <v>0</v>
      </c>
      <c r="AM1041">
        <v>100</v>
      </c>
      <c r="AN1041">
        <v>0</v>
      </c>
      <c r="AO1041">
        <v>0</v>
      </c>
      <c r="AP1041">
        <v>0</v>
      </c>
      <c r="AQ1041">
        <v>0</v>
      </c>
      <c r="AS1041">
        <v>0</v>
      </c>
      <c r="AT1041">
        <v>0</v>
      </c>
      <c r="AV1041">
        <v>0</v>
      </c>
      <c r="AW1041">
        <v>0</v>
      </c>
      <c r="AY1041">
        <v>0</v>
      </c>
      <c r="AZ1041">
        <v>0</v>
      </c>
      <c r="BA1041">
        <v>70</v>
      </c>
      <c r="BE1041" t="str">
        <f>T("9791137007062")</f>
        <v>9791137007062</v>
      </c>
      <c r="BF1041" t="str">
        <f>T("N191734")</f>
        <v>N191734</v>
      </c>
      <c r="BG1041" t="str">
        <f>T("판타지 웹소설 &gt; 현대 판타지")</f>
        <v>판타지 웹소설 &gt; 현대 판타지</v>
      </c>
    </row>
    <row r="1042" spans="1:59">
      <c r="A1042" t="s">
        <v>60</v>
      </c>
      <c r="B1042" s="1">
        <v>46129</v>
      </c>
      <c r="C1042">
        <v>2378052443</v>
      </c>
      <c r="D1042">
        <v>2378052606</v>
      </c>
      <c r="E1042" t="str">
        <f>T("경찰이 너무 강함 164화")</f>
        <v>경찰이 너무 강함 164화</v>
      </c>
      <c r="F1042">
        <v>164</v>
      </c>
      <c r="G1042" t="str">
        <f>T("김기세")</f>
        <v>김기세</v>
      </c>
      <c r="J1042" t="str">
        <f>T("매드햇")</f>
        <v>매드햇</v>
      </c>
      <c r="K1042" t="str">
        <f>T("경찰이 너무 강함")</f>
        <v>경찰이 너무 강함</v>
      </c>
      <c r="L1042">
        <v>100</v>
      </c>
      <c r="M1042">
        <v>100</v>
      </c>
      <c r="N1042">
        <v>1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100</v>
      </c>
      <c r="AJ1042">
        <v>1</v>
      </c>
      <c r="AK1042">
        <v>0</v>
      </c>
      <c r="AL1042">
        <v>0</v>
      </c>
      <c r="AM1042">
        <v>100</v>
      </c>
      <c r="AN1042">
        <v>0</v>
      </c>
      <c r="AO1042">
        <v>0</v>
      </c>
      <c r="AP1042">
        <v>0</v>
      </c>
      <c r="AQ1042">
        <v>0</v>
      </c>
      <c r="AS1042">
        <v>0</v>
      </c>
      <c r="AT1042">
        <v>0</v>
      </c>
      <c r="AV1042">
        <v>0</v>
      </c>
      <c r="AW1042">
        <v>0</v>
      </c>
      <c r="AY1042">
        <v>0</v>
      </c>
      <c r="AZ1042">
        <v>0</v>
      </c>
      <c r="BA1042">
        <v>70</v>
      </c>
      <c r="BE1042" t="str">
        <f>T("9791137007062")</f>
        <v>9791137007062</v>
      </c>
      <c r="BF1042" t="str">
        <f>T("N192584")</f>
        <v>N192584</v>
      </c>
      <c r="BG1042" t="str">
        <f>T("판타지 웹소설 &gt; 현대 판타지")</f>
        <v>판타지 웹소설 &gt; 현대 판타지</v>
      </c>
    </row>
    <row r="1043" spans="1:59">
      <c r="A1043" t="s">
        <v>60</v>
      </c>
      <c r="B1043" s="1">
        <v>46129</v>
      </c>
      <c r="C1043">
        <v>2378052443</v>
      </c>
      <c r="D1043">
        <v>2378052607</v>
      </c>
      <c r="E1043" t="str">
        <f>T("경찰이 너무 강함 165화")</f>
        <v>경찰이 너무 강함 165화</v>
      </c>
      <c r="F1043">
        <v>165</v>
      </c>
      <c r="G1043" t="str">
        <f>T("김기세")</f>
        <v>김기세</v>
      </c>
      <c r="J1043" t="str">
        <f>T("매드햇")</f>
        <v>매드햇</v>
      </c>
      <c r="K1043" t="str">
        <f>T("경찰이 너무 강함")</f>
        <v>경찰이 너무 강함</v>
      </c>
      <c r="L1043">
        <v>100</v>
      </c>
      <c r="M1043">
        <v>100</v>
      </c>
      <c r="N1043">
        <v>1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100</v>
      </c>
      <c r="AJ1043">
        <v>1</v>
      </c>
      <c r="AK1043">
        <v>0</v>
      </c>
      <c r="AL1043">
        <v>0</v>
      </c>
      <c r="AM1043">
        <v>100</v>
      </c>
      <c r="AN1043">
        <v>0</v>
      </c>
      <c r="AO1043">
        <v>0</v>
      </c>
      <c r="AP1043">
        <v>0</v>
      </c>
      <c r="AQ1043">
        <v>0</v>
      </c>
      <c r="AS1043">
        <v>0</v>
      </c>
      <c r="AT1043">
        <v>0</v>
      </c>
      <c r="AV1043">
        <v>0</v>
      </c>
      <c r="AW1043">
        <v>0</v>
      </c>
      <c r="AY1043">
        <v>0</v>
      </c>
      <c r="AZ1043">
        <v>0</v>
      </c>
      <c r="BA1043">
        <v>70</v>
      </c>
      <c r="BE1043" t="str">
        <f>T("9791137007062")</f>
        <v>9791137007062</v>
      </c>
      <c r="BF1043" t="str">
        <f>T("N192585")</f>
        <v>N192585</v>
      </c>
      <c r="BG1043" t="str">
        <f>T("판타지 웹소설 &gt; 현대 판타지")</f>
        <v>판타지 웹소설 &gt; 현대 판타지</v>
      </c>
    </row>
    <row r="1044" spans="1:59">
      <c r="A1044" t="s">
        <v>60</v>
      </c>
      <c r="B1044" s="1">
        <v>46129</v>
      </c>
      <c r="C1044">
        <v>2378052443</v>
      </c>
      <c r="D1044">
        <v>2378052608</v>
      </c>
      <c r="E1044" t="str">
        <f>T("경찰이 너무 강함 166화")</f>
        <v>경찰이 너무 강함 166화</v>
      </c>
      <c r="F1044">
        <v>166</v>
      </c>
      <c r="G1044" t="str">
        <f>T("김기세")</f>
        <v>김기세</v>
      </c>
      <c r="J1044" t="str">
        <f>T("매드햇")</f>
        <v>매드햇</v>
      </c>
      <c r="K1044" t="str">
        <f>T("경찰이 너무 강함")</f>
        <v>경찰이 너무 강함</v>
      </c>
      <c r="L1044">
        <v>100</v>
      </c>
      <c r="M1044">
        <v>100</v>
      </c>
      <c r="N1044">
        <v>1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100</v>
      </c>
      <c r="AJ1044">
        <v>1</v>
      </c>
      <c r="AK1044">
        <v>0</v>
      </c>
      <c r="AL1044">
        <v>0</v>
      </c>
      <c r="AM1044">
        <v>100</v>
      </c>
      <c r="AN1044">
        <v>0</v>
      </c>
      <c r="AO1044">
        <v>0</v>
      </c>
      <c r="AP1044">
        <v>0</v>
      </c>
      <c r="AQ1044">
        <v>0</v>
      </c>
      <c r="AS1044">
        <v>0</v>
      </c>
      <c r="AT1044">
        <v>0</v>
      </c>
      <c r="AV1044">
        <v>0</v>
      </c>
      <c r="AW1044">
        <v>0</v>
      </c>
      <c r="AY1044">
        <v>0</v>
      </c>
      <c r="AZ1044">
        <v>0</v>
      </c>
      <c r="BA1044">
        <v>70</v>
      </c>
      <c r="BE1044" t="str">
        <f>T("9791137007062")</f>
        <v>9791137007062</v>
      </c>
      <c r="BF1044" t="str">
        <f>T("N192586")</f>
        <v>N192586</v>
      </c>
      <c r="BG1044" t="str">
        <f>T("판타지 웹소설 &gt; 현대 판타지")</f>
        <v>판타지 웹소설 &gt; 현대 판타지</v>
      </c>
    </row>
    <row r="1045" spans="1:59">
      <c r="A1045" t="s">
        <v>60</v>
      </c>
      <c r="B1045" s="1">
        <v>46129</v>
      </c>
      <c r="C1045">
        <v>2378052443</v>
      </c>
      <c r="D1045">
        <v>2378052609</v>
      </c>
      <c r="E1045" t="str">
        <f>T("경찰이 너무 강함 167화")</f>
        <v>경찰이 너무 강함 167화</v>
      </c>
      <c r="F1045">
        <v>167</v>
      </c>
      <c r="G1045" t="str">
        <f>T("김기세")</f>
        <v>김기세</v>
      </c>
      <c r="J1045" t="str">
        <f>T("매드햇")</f>
        <v>매드햇</v>
      </c>
      <c r="K1045" t="str">
        <f>T("경찰이 너무 강함")</f>
        <v>경찰이 너무 강함</v>
      </c>
      <c r="L1045">
        <v>100</v>
      </c>
      <c r="M1045">
        <v>100</v>
      </c>
      <c r="N1045">
        <v>1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100</v>
      </c>
      <c r="AJ1045">
        <v>1</v>
      </c>
      <c r="AK1045">
        <v>0</v>
      </c>
      <c r="AL1045">
        <v>0</v>
      </c>
      <c r="AM1045">
        <v>100</v>
      </c>
      <c r="AN1045">
        <v>0</v>
      </c>
      <c r="AO1045">
        <v>0</v>
      </c>
      <c r="AP1045">
        <v>0</v>
      </c>
      <c r="AQ1045">
        <v>0</v>
      </c>
      <c r="AS1045">
        <v>0</v>
      </c>
      <c r="AT1045">
        <v>0</v>
      </c>
      <c r="AV1045">
        <v>0</v>
      </c>
      <c r="AW1045">
        <v>0</v>
      </c>
      <c r="AY1045">
        <v>0</v>
      </c>
      <c r="AZ1045">
        <v>0</v>
      </c>
      <c r="BA1045">
        <v>70</v>
      </c>
      <c r="BE1045" t="str">
        <f>T("9791137007062")</f>
        <v>9791137007062</v>
      </c>
      <c r="BF1045" t="str">
        <f>T("N192587")</f>
        <v>N192587</v>
      </c>
      <c r="BG1045" t="str">
        <f>T("판타지 웹소설 &gt; 현대 판타지")</f>
        <v>판타지 웹소설 &gt; 현대 판타지</v>
      </c>
    </row>
    <row r="1046" spans="1:59">
      <c r="A1046" t="s">
        <v>60</v>
      </c>
      <c r="B1046" s="1">
        <v>46129</v>
      </c>
      <c r="C1046">
        <v>2378052443</v>
      </c>
      <c r="D1046">
        <v>2378052610</v>
      </c>
      <c r="E1046" t="str">
        <f>T("경찰이 너무 강함 168화")</f>
        <v>경찰이 너무 강함 168화</v>
      </c>
      <c r="F1046">
        <v>168</v>
      </c>
      <c r="G1046" t="str">
        <f>T("김기세")</f>
        <v>김기세</v>
      </c>
      <c r="J1046" t="str">
        <f>T("매드햇")</f>
        <v>매드햇</v>
      </c>
      <c r="K1046" t="str">
        <f>T("경찰이 너무 강함")</f>
        <v>경찰이 너무 강함</v>
      </c>
      <c r="L1046">
        <v>100</v>
      </c>
      <c r="M1046">
        <v>100</v>
      </c>
      <c r="N1046">
        <v>1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100</v>
      </c>
      <c r="AJ1046">
        <v>1</v>
      </c>
      <c r="AK1046">
        <v>0</v>
      </c>
      <c r="AL1046">
        <v>0</v>
      </c>
      <c r="AM1046">
        <v>100</v>
      </c>
      <c r="AN1046">
        <v>0</v>
      </c>
      <c r="AO1046">
        <v>0</v>
      </c>
      <c r="AP1046">
        <v>0</v>
      </c>
      <c r="AQ1046">
        <v>0</v>
      </c>
      <c r="AS1046">
        <v>0</v>
      </c>
      <c r="AT1046">
        <v>0</v>
      </c>
      <c r="AV1046">
        <v>0</v>
      </c>
      <c r="AW1046">
        <v>0</v>
      </c>
      <c r="AY1046">
        <v>0</v>
      </c>
      <c r="AZ1046">
        <v>0</v>
      </c>
      <c r="BA1046">
        <v>70</v>
      </c>
      <c r="BE1046" t="str">
        <f>T("9791137007062")</f>
        <v>9791137007062</v>
      </c>
      <c r="BF1046" t="str">
        <f>T("N192588")</f>
        <v>N192588</v>
      </c>
      <c r="BG1046" t="str">
        <f>T("판타지 웹소설 &gt; 현대 판타지")</f>
        <v>판타지 웹소설 &gt; 현대 판타지</v>
      </c>
    </row>
    <row r="1047" spans="1:59">
      <c r="A1047" t="s">
        <v>60</v>
      </c>
      <c r="B1047" s="1">
        <v>46129</v>
      </c>
      <c r="C1047">
        <v>2378052443</v>
      </c>
      <c r="D1047">
        <v>2378052611</v>
      </c>
      <c r="E1047" t="str">
        <f>T("경찰이 너무 강함 169화")</f>
        <v>경찰이 너무 강함 169화</v>
      </c>
      <c r="F1047">
        <v>169</v>
      </c>
      <c r="G1047" t="str">
        <f>T("김기세")</f>
        <v>김기세</v>
      </c>
      <c r="J1047" t="str">
        <f>T("매드햇")</f>
        <v>매드햇</v>
      </c>
      <c r="K1047" t="str">
        <f>T("경찰이 너무 강함")</f>
        <v>경찰이 너무 강함</v>
      </c>
      <c r="L1047">
        <v>100</v>
      </c>
      <c r="M1047">
        <v>100</v>
      </c>
      <c r="N1047">
        <v>1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100</v>
      </c>
      <c r="AJ1047">
        <v>1</v>
      </c>
      <c r="AK1047">
        <v>0</v>
      </c>
      <c r="AL1047">
        <v>0</v>
      </c>
      <c r="AM1047">
        <v>100</v>
      </c>
      <c r="AN1047">
        <v>0</v>
      </c>
      <c r="AO1047">
        <v>0</v>
      </c>
      <c r="AP1047">
        <v>0</v>
      </c>
      <c r="AQ1047">
        <v>0</v>
      </c>
      <c r="AS1047">
        <v>0</v>
      </c>
      <c r="AT1047">
        <v>0</v>
      </c>
      <c r="AV1047">
        <v>0</v>
      </c>
      <c r="AW1047">
        <v>0</v>
      </c>
      <c r="AY1047">
        <v>0</v>
      </c>
      <c r="AZ1047">
        <v>0</v>
      </c>
      <c r="BA1047">
        <v>70</v>
      </c>
      <c r="BE1047" t="str">
        <f>T("9791137007062")</f>
        <v>9791137007062</v>
      </c>
      <c r="BF1047" t="str">
        <f>T("N194060")</f>
        <v>N194060</v>
      </c>
      <c r="BG1047" t="str">
        <f>T("판타지 웹소설 &gt; 현대 판타지")</f>
        <v>판타지 웹소설 &gt; 현대 판타지</v>
      </c>
    </row>
    <row r="1048" spans="1:59">
      <c r="A1048" t="s">
        <v>60</v>
      </c>
      <c r="B1048" s="1">
        <v>46129</v>
      </c>
      <c r="C1048">
        <v>2378052443</v>
      </c>
      <c r="D1048">
        <v>2378052612</v>
      </c>
      <c r="E1048" t="str">
        <f>T("경찰이 너무 강함 170화")</f>
        <v>경찰이 너무 강함 170화</v>
      </c>
      <c r="F1048">
        <v>170</v>
      </c>
      <c r="G1048" t="str">
        <f>T("김기세")</f>
        <v>김기세</v>
      </c>
      <c r="J1048" t="str">
        <f>T("매드햇")</f>
        <v>매드햇</v>
      </c>
      <c r="K1048" t="str">
        <f>T("경찰이 너무 강함")</f>
        <v>경찰이 너무 강함</v>
      </c>
      <c r="L1048">
        <v>100</v>
      </c>
      <c r="M1048">
        <v>100</v>
      </c>
      <c r="N1048">
        <v>1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100</v>
      </c>
      <c r="AJ1048">
        <v>1</v>
      </c>
      <c r="AK1048">
        <v>0</v>
      </c>
      <c r="AL1048">
        <v>0</v>
      </c>
      <c r="AM1048">
        <v>100</v>
      </c>
      <c r="AN1048">
        <v>0</v>
      </c>
      <c r="AO1048">
        <v>0</v>
      </c>
      <c r="AP1048">
        <v>0</v>
      </c>
      <c r="AQ1048">
        <v>0</v>
      </c>
      <c r="AS1048">
        <v>0</v>
      </c>
      <c r="AT1048">
        <v>0</v>
      </c>
      <c r="AV1048">
        <v>0</v>
      </c>
      <c r="AW1048">
        <v>0</v>
      </c>
      <c r="AY1048">
        <v>0</v>
      </c>
      <c r="AZ1048">
        <v>0</v>
      </c>
      <c r="BA1048">
        <v>70</v>
      </c>
      <c r="BE1048" t="str">
        <f>T("9791137007062")</f>
        <v>9791137007062</v>
      </c>
      <c r="BF1048" t="str">
        <f>T("N195233")</f>
        <v>N195233</v>
      </c>
      <c r="BG1048" t="str">
        <f>T("판타지 웹소설 &gt; 현대 판타지")</f>
        <v>판타지 웹소설 &gt; 현대 판타지</v>
      </c>
    </row>
    <row r="1049" spans="1:59">
      <c r="A1049" t="s">
        <v>60</v>
      </c>
      <c r="B1049" s="1">
        <v>46129</v>
      </c>
      <c r="C1049">
        <v>2378052443</v>
      </c>
      <c r="D1049">
        <v>2378052613</v>
      </c>
      <c r="E1049" t="str">
        <f>T("경찰이 너무 강함 171화")</f>
        <v>경찰이 너무 강함 171화</v>
      </c>
      <c r="F1049">
        <v>171</v>
      </c>
      <c r="G1049" t="str">
        <f>T("김기세")</f>
        <v>김기세</v>
      </c>
      <c r="J1049" t="str">
        <f>T("매드햇")</f>
        <v>매드햇</v>
      </c>
      <c r="K1049" t="str">
        <f>T("경찰이 너무 강함")</f>
        <v>경찰이 너무 강함</v>
      </c>
      <c r="L1049">
        <v>100</v>
      </c>
      <c r="M1049">
        <v>100</v>
      </c>
      <c r="N1049">
        <v>1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100</v>
      </c>
      <c r="AJ1049">
        <v>1</v>
      </c>
      <c r="AK1049">
        <v>0</v>
      </c>
      <c r="AL1049">
        <v>0</v>
      </c>
      <c r="AM1049">
        <v>100</v>
      </c>
      <c r="AN1049">
        <v>0</v>
      </c>
      <c r="AO1049">
        <v>0</v>
      </c>
      <c r="AP1049">
        <v>0</v>
      </c>
      <c r="AQ1049">
        <v>0</v>
      </c>
      <c r="AS1049">
        <v>0</v>
      </c>
      <c r="AT1049">
        <v>0</v>
      </c>
      <c r="AV1049">
        <v>0</v>
      </c>
      <c r="AW1049">
        <v>0</v>
      </c>
      <c r="AY1049">
        <v>0</v>
      </c>
      <c r="AZ1049">
        <v>0</v>
      </c>
      <c r="BA1049">
        <v>70</v>
      </c>
      <c r="BE1049" t="str">
        <f>T("9791137007062")</f>
        <v>9791137007062</v>
      </c>
      <c r="BF1049" t="str">
        <f>T("N195234")</f>
        <v>N195234</v>
      </c>
      <c r="BG1049" t="str">
        <f>T("판타지 웹소설 &gt; 현대 판타지")</f>
        <v>판타지 웹소설 &gt; 현대 판타지</v>
      </c>
    </row>
    <row r="1050" spans="1:59">
      <c r="A1050" t="s">
        <v>60</v>
      </c>
      <c r="B1050" s="1">
        <v>46129</v>
      </c>
      <c r="C1050">
        <v>2378052443</v>
      </c>
      <c r="D1050">
        <v>2378052614</v>
      </c>
      <c r="E1050" t="str">
        <f>T("경찰이 너무 강함 172화")</f>
        <v>경찰이 너무 강함 172화</v>
      </c>
      <c r="F1050">
        <v>172</v>
      </c>
      <c r="G1050" t="str">
        <f>T("김기세")</f>
        <v>김기세</v>
      </c>
      <c r="J1050" t="str">
        <f>T("매드햇")</f>
        <v>매드햇</v>
      </c>
      <c r="K1050" t="str">
        <f>T("경찰이 너무 강함")</f>
        <v>경찰이 너무 강함</v>
      </c>
      <c r="L1050">
        <v>100</v>
      </c>
      <c r="M1050">
        <v>100</v>
      </c>
      <c r="N1050">
        <v>1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100</v>
      </c>
      <c r="AJ1050">
        <v>1</v>
      </c>
      <c r="AK1050">
        <v>0</v>
      </c>
      <c r="AL1050">
        <v>0</v>
      </c>
      <c r="AM1050">
        <v>100</v>
      </c>
      <c r="AN1050">
        <v>0</v>
      </c>
      <c r="AO1050">
        <v>0</v>
      </c>
      <c r="AP1050">
        <v>0</v>
      </c>
      <c r="AQ1050">
        <v>0</v>
      </c>
      <c r="AS1050">
        <v>0</v>
      </c>
      <c r="AT1050">
        <v>0</v>
      </c>
      <c r="AV1050">
        <v>0</v>
      </c>
      <c r="AW1050">
        <v>0</v>
      </c>
      <c r="AY1050">
        <v>0</v>
      </c>
      <c r="AZ1050">
        <v>0</v>
      </c>
      <c r="BA1050">
        <v>70</v>
      </c>
      <c r="BE1050" t="str">
        <f>T("9791137007062")</f>
        <v>9791137007062</v>
      </c>
      <c r="BF1050" t="str">
        <f>T("N195235")</f>
        <v>N195235</v>
      </c>
      <c r="BG1050" t="str">
        <f>T("판타지 웹소설 &gt; 현대 판타지")</f>
        <v>판타지 웹소설 &gt; 현대 판타지</v>
      </c>
    </row>
    <row r="1051" spans="1:59">
      <c r="A1051" t="s">
        <v>60</v>
      </c>
      <c r="B1051" s="1">
        <v>46129</v>
      </c>
      <c r="C1051">
        <v>2378052443</v>
      </c>
      <c r="D1051">
        <v>2378052615</v>
      </c>
      <c r="E1051" t="str">
        <f>T("경찰이 너무 강함 173화")</f>
        <v>경찰이 너무 강함 173화</v>
      </c>
      <c r="F1051">
        <v>173</v>
      </c>
      <c r="G1051" t="str">
        <f>T("김기세")</f>
        <v>김기세</v>
      </c>
      <c r="J1051" t="str">
        <f>T("매드햇")</f>
        <v>매드햇</v>
      </c>
      <c r="K1051" t="str">
        <f>T("경찰이 너무 강함")</f>
        <v>경찰이 너무 강함</v>
      </c>
      <c r="L1051">
        <v>100</v>
      </c>
      <c r="M1051">
        <v>100</v>
      </c>
      <c r="N1051">
        <v>1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100</v>
      </c>
      <c r="AJ1051">
        <v>1</v>
      </c>
      <c r="AK1051">
        <v>0</v>
      </c>
      <c r="AL1051">
        <v>0</v>
      </c>
      <c r="AM1051">
        <v>100</v>
      </c>
      <c r="AN1051">
        <v>0</v>
      </c>
      <c r="AO1051">
        <v>0</v>
      </c>
      <c r="AP1051">
        <v>0</v>
      </c>
      <c r="AQ1051">
        <v>0</v>
      </c>
      <c r="AS1051">
        <v>0</v>
      </c>
      <c r="AT1051">
        <v>0</v>
      </c>
      <c r="AV1051">
        <v>0</v>
      </c>
      <c r="AW1051">
        <v>0</v>
      </c>
      <c r="AY1051">
        <v>0</v>
      </c>
      <c r="AZ1051">
        <v>0</v>
      </c>
      <c r="BA1051">
        <v>70</v>
      </c>
      <c r="BE1051" t="str">
        <f>T("9791137007062")</f>
        <v>9791137007062</v>
      </c>
      <c r="BF1051" t="str">
        <f>T("N195236")</f>
        <v>N195236</v>
      </c>
      <c r="BG1051" t="str">
        <f>T("판타지 웹소설 &gt; 현대 판타지")</f>
        <v>판타지 웹소설 &gt; 현대 판타지</v>
      </c>
    </row>
    <row r="1052" spans="1:59">
      <c r="A1052" t="s">
        <v>60</v>
      </c>
      <c r="B1052" s="1">
        <v>46130</v>
      </c>
      <c r="C1052">
        <v>2378052443</v>
      </c>
      <c r="D1052">
        <v>2378052616</v>
      </c>
      <c r="E1052" t="str">
        <f>T("경찰이 너무 강함 174화")</f>
        <v>경찰이 너무 강함 174화</v>
      </c>
      <c r="F1052">
        <v>174</v>
      </c>
      <c r="G1052" t="str">
        <f>T("김기세")</f>
        <v>김기세</v>
      </c>
      <c r="J1052" t="str">
        <f>T("매드햇")</f>
        <v>매드햇</v>
      </c>
      <c r="K1052" t="str">
        <f>T("경찰이 너무 강함")</f>
        <v>경찰이 너무 강함</v>
      </c>
      <c r="L1052">
        <v>100</v>
      </c>
      <c r="M1052">
        <v>100</v>
      </c>
      <c r="N1052">
        <v>1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100</v>
      </c>
      <c r="AJ1052">
        <v>1</v>
      </c>
      <c r="AK1052">
        <v>0</v>
      </c>
      <c r="AL1052">
        <v>0</v>
      </c>
      <c r="AM1052">
        <v>100</v>
      </c>
      <c r="AN1052">
        <v>0</v>
      </c>
      <c r="AO1052">
        <v>0</v>
      </c>
      <c r="AP1052">
        <v>0</v>
      </c>
      <c r="AQ1052">
        <v>0</v>
      </c>
      <c r="AS1052">
        <v>0</v>
      </c>
      <c r="AT1052">
        <v>0</v>
      </c>
      <c r="AV1052">
        <v>0</v>
      </c>
      <c r="AW1052">
        <v>0</v>
      </c>
      <c r="AY1052">
        <v>0</v>
      </c>
      <c r="AZ1052">
        <v>0</v>
      </c>
      <c r="BA1052">
        <v>70</v>
      </c>
      <c r="BE1052" t="str">
        <f>T("9791137007062")</f>
        <v>9791137007062</v>
      </c>
      <c r="BF1052" t="str">
        <f>T("N195237")</f>
        <v>N195237</v>
      </c>
      <c r="BG1052" t="str">
        <f>T("판타지 웹소설 &gt; 현대 판타지")</f>
        <v>판타지 웹소설 &gt; 현대 판타지</v>
      </c>
    </row>
    <row r="1053" spans="1:59">
      <c r="A1053" t="s">
        <v>60</v>
      </c>
      <c r="B1053" s="1">
        <v>46130</v>
      </c>
      <c r="C1053">
        <v>2378052443</v>
      </c>
      <c r="D1053">
        <v>2378052617</v>
      </c>
      <c r="E1053" t="str">
        <f>T("경찰이 너무 강함 175화")</f>
        <v>경찰이 너무 강함 175화</v>
      </c>
      <c r="F1053">
        <v>175</v>
      </c>
      <c r="G1053" t="str">
        <f>T("김기세")</f>
        <v>김기세</v>
      </c>
      <c r="J1053" t="str">
        <f>T("매드햇")</f>
        <v>매드햇</v>
      </c>
      <c r="K1053" t="str">
        <f>T("경찰이 너무 강함")</f>
        <v>경찰이 너무 강함</v>
      </c>
      <c r="L1053">
        <v>100</v>
      </c>
      <c r="M1053">
        <v>100</v>
      </c>
      <c r="N1053">
        <v>1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100</v>
      </c>
      <c r="AJ1053">
        <v>1</v>
      </c>
      <c r="AK1053">
        <v>0</v>
      </c>
      <c r="AL1053">
        <v>0</v>
      </c>
      <c r="AM1053">
        <v>100</v>
      </c>
      <c r="AN1053">
        <v>0</v>
      </c>
      <c r="AO1053">
        <v>0</v>
      </c>
      <c r="AP1053">
        <v>0</v>
      </c>
      <c r="AQ1053">
        <v>0</v>
      </c>
      <c r="AS1053">
        <v>0</v>
      </c>
      <c r="AT1053">
        <v>0</v>
      </c>
      <c r="AV1053">
        <v>0</v>
      </c>
      <c r="AW1053">
        <v>0</v>
      </c>
      <c r="AY1053">
        <v>0</v>
      </c>
      <c r="AZ1053">
        <v>0</v>
      </c>
      <c r="BA1053">
        <v>70</v>
      </c>
      <c r="BE1053" t="str">
        <f>T("9791137007062")</f>
        <v>9791137007062</v>
      </c>
      <c r="BF1053" t="str">
        <f>T("N195880")</f>
        <v>N195880</v>
      </c>
      <c r="BG1053" t="str">
        <f>T("판타지 웹소설 &gt; 현대 판타지")</f>
        <v>판타지 웹소설 &gt; 현대 판타지</v>
      </c>
    </row>
    <row r="1054" spans="1:59">
      <c r="A1054" t="s">
        <v>60</v>
      </c>
      <c r="B1054" s="1">
        <v>46130</v>
      </c>
      <c r="C1054">
        <v>2378052443</v>
      </c>
      <c r="D1054">
        <v>2378052618</v>
      </c>
      <c r="E1054" t="str">
        <f>T("경찰이 너무 강함 176화")</f>
        <v>경찰이 너무 강함 176화</v>
      </c>
      <c r="F1054">
        <v>176</v>
      </c>
      <c r="G1054" t="str">
        <f>T("김기세")</f>
        <v>김기세</v>
      </c>
      <c r="J1054" t="str">
        <f>T("매드햇")</f>
        <v>매드햇</v>
      </c>
      <c r="K1054" t="str">
        <f>T("경찰이 너무 강함")</f>
        <v>경찰이 너무 강함</v>
      </c>
      <c r="L1054">
        <v>100</v>
      </c>
      <c r="M1054">
        <v>100</v>
      </c>
      <c r="N1054">
        <v>1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100</v>
      </c>
      <c r="AJ1054">
        <v>1</v>
      </c>
      <c r="AK1054">
        <v>0</v>
      </c>
      <c r="AL1054">
        <v>0</v>
      </c>
      <c r="AM1054">
        <v>100</v>
      </c>
      <c r="AN1054">
        <v>0</v>
      </c>
      <c r="AO1054">
        <v>0</v>
      </c>
      <c r="AP1054">
        <v>0</v>
      </c>
      <c r="AQ1054">
        <v>0</v>
      </c>
      <c r="AS1054">
        <v>0</v>
      </c>
      <c r="AT1054">
        <v>0</v>
      </c>
      <c r="AV1054">
        <v>0</v>
      </c>
      <c r="AW1054">
        <v>0</v>
      </c>
      <c r="AY1054">
        <v>0</v>
      </c>
      <c r="AZ1054">
        <v>0</v>
      </c>
      <c r="BA1054">
        <v>70</v>
      </c>
      <c r="BE1054" t="str">
        <f>T("9791137007062")</f>
        <v>9791137007062</v>
      </c>
      <c r="BF1054" t="str">
        <f>T("N195881")</f>
        <v>N195881</v>
      </c>
      <c r="BG1054" t="str">
        <f>T("판타지 웹소설 &gt; 현대 판타지")</f>
        <v>판타지 웹소설 &gt; 현대 판타지</v>
      </c>
    </row>
    <row r="1055" spans="1:59">
      <c r="A1055" t="s">
        <v>60</v>
      </c>
      <c r="B1055" s="1">
        <v>46130</v>
      </c>
      <c r="C1055">
        <v>2378052443</v>
      </c>
      <c r="D1055">
        <v>2378052619</v>
      </c>
      <c r="E1055" t="str">
        <f>T("경찰이 너무 강함 177화")</f>
        <v>경찰이 너무 강함 177화</v>
      </c>
      <c r="F1055">
        <v>177</v>
      </c>
      <c r="G1055" t="str">
        <f>T("김기세")</f>
        <v>김기세</v>
      </c>
      <c r="J1055" t="str">
        <f>T("매드햇")</f>
        <v>매드햇</v>
      </c>
      <c r="K1055" t="str">
        <f>T("경찰이 너무 강함")</f>
        <v>경찰이 너무 강함</v>
      </c>
      <c r="L1055">
        <v>100</v>
      </c>
      <c r="M1055">
        <v>100</v>
      </c>
      <c r="N1055">
        <v>1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100</v>
      </c>
      <c r="AJ1055">
        <v>1</v>
      </c>
      <c r="AK1055">
        <v>0</v>
      </c>
      <c r="AL1055">
        <v>0</v>
      </c>
      <c r="AM1055">
        <v>100</v>
      </c>
      <c r="AN1055">
        <v>0</v>
      </c>
      <c r="AO1055">
        <v>0</v>
      </c>
      <c r="AP1055">
        <v>0</v>
      </c>
      <c r="AQ1055">
        <v>0</v>
      </c>
      <c r="AS1055">
        <v>0</v>
      </c>
      <c r="AT1055">
        <v>0</v>
      </c>
      <c r="AV1055">
        <v>0</v>
      </c>
      <c r="AW1055">
        <v>0</v>
      </c>
      <c r="AY1055">
        <v>0</v>
      </c>
      <c r="AZ1055">
        <v>0</v>
      </c>
      <c r="BA1055">
        <v>70</v>
      </c>
      <c r="BE1055" t="str">
        <f>T("9791137007062")</f>
        <v>9791137007062</v>
      </c>
      <c r="BF1055" t="str">
        <f>T("N195896")</f>
        <v>N195896</v>
      </c>
      <c r="BG1055" t="str">
        <f>T("판타지 웹소설 &gt; 현대 판타지")</f>
        <v>판타지 웹소설 &gt; 현대 판타지</v>
      </c>
    </row>
    <row r="1056" spans="1:59">
      <c r="A1056" t="s">
        <v>60</v>
      </c>
      <c r="B1056" s="1">
        <v>46130</v>
      </c>
      <c r="C1056">
        <v>2378052443</v>
      </c>
      <c r="D1056">
        <v>2378052620</v>
      </c>
      <c r="E1056" t="str">
        <f>T("경찰이 너무 강함 178화")</f>
        <v>경찰이 너무 강함 178화</v>
      </c>
      <c r="F1056">
        <v>178</v>
      </c>
      <c r="G1056" t="str">
        <f>T("김기세")</f>
        <v>김기세</v>
      </c>
      <c r="J1056" t="str">
        <f>T("매드햇")</f>
        <v>매드햇</v>
      </c>
      <c r="K1056" t="str">
        <f>T("경찰이 너무 강함")</f>
        <v>경찰이 너무 강함</v>
      </c>
      <c r="L1056">
        <v>100</v>
      </c>
      <c r="M1056">
        <v>100</v>
      </c>
      <c r="N1056">
        <v>1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100</v>
      </c>
      <c r="AJ1056">
        <v>1</v>
      </c>
      <c r="AK1056">
        <v>0</v>
      </c>
      <c r="AL1056">
        <v>0</v>
      </c>
      <c r="AM1056">
        <v>100</v>
      </c>
      <c r="AN1056">
        <v>0</v>
      </c>
      <c r="AO1056">
        <v>0</v>
      </c>
      <c r="AP1056">
        <v>0</v>
      </c>
      <c r="AQ1056">
        <v>0</v>
      </c>
      <c r="AS1056">
        <v>0</v>
      </c>
      <c r="AT1056">
        <v>0</v>
      </c>
      <c r="AV1056">
        <v>0</v>
      </c>
      <c r="AW1056">
        <v>0</v>
      </c>
      <c r="AY1056">
        <v>0</v>
      </c>
      <c r="AZ1056">
        <v>0</v>
      </c>
      <c r="BA1056">
        <v>70</v>
      </c>
      <c r="BE1056" t="str">
        <f>T("9791137007062")</f>
        <v>9791137007062</v>
      </c>
      <c r="BF1056" t="str">
        <f>T("N197594")</f>
        <v>N197594</v>
      </c>
      <c r="BG1056" t="str">
        <f>T("판타지 웹소설 &gt; 현대 판타지")</f>
        <v>판타지 웹소설 &gt; 현대 판타지</v>
      </c>
    </row>
    <row r="1057" spans="1:59">
      <c r="A1057" t="s">
        <v>60</v>
      </c>
      <c r="B1057" s="1">
        <v>46130</v>
      </c>
      <c r="C1057">
        <v>2378052443</v>
      </c>
      <c r="D1057">
        <v>2378052621</v>
      </c>
      <c r="E1057" t="str">
        <f>T("경찰이 너무 강함 179화")</f>
        <v>경찰이 너무 강함 179화</v>
      </c>
      <c r="F1057">
        <v>179</v>
      </c>
      <c r="G1057" t="str">
        <f>T("김기세")</f>
        <v>김기세</v>
      </c>
      <c r="J1057" t="str">
        <f>T("매드햇")</f>
        <v>매드햇</v>
      </c>
      <c r="K1057" t="str">
        <f>T("경찰이 너무 강함")</f>
        <v>경찰이 너무 강함</v>
      </c>
      <c r="L1057">
        <v>100</v>
      </c>
      <c r="M1057">
        <v>100</v>
      </c>
      <c r="N1057">
        <v>1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100</v>
      </c>
      <c r="AJ1057">
        <v>1</v>
      </c>
      <c r="AK1057">
        <v>0</v>
      </c>
      <c r="AL1057">
        <v>0</v>
      </c>
      <c r="AM1057">
        <v>100</v>
      </c>
      <c r="AN1057">
        <v>0</v>
      </c>
      <c r="AO1057">
        <v>0</v>
      </c>
      <c r="AP1057">
        <v>0</v>
      </c>
      <c r="AQ1057">
        <v>0</v>
      </c>
      <c r="AS1057">
        <v>0</v>
      </c>
      <c r="AT1057">
        <v>0</v>
      </c>
      <c r="AV1057">
        <v>0</v>
      </c>
      <c r="AW1057">
        <v>0</v>
      </c>
      <c r="AY1057">
        <v>0</v>
      </c>
      <c r="AZ1057">
        <v>0</v>
      </c>
      <c r="BA1057">
        <v>70</v>
      </c>
      <c r="BE1057" t="str">
        <f>T("9791137007062")</f>
        <v>9791137007062</v>
      </c>
      <c r="BF1057" t="str">
        <f>T("N197595")</f>
        <v>N197595</v>
      </c>
      <c r="BG1057" t="str">
        <f>T("판타지 웹소설 &gt; 현대 판타지")</f>
        <v>판타지 웹소설 &gt; 현대 판타지</v>
      </c>
    </row>
    <row r="1058" spans="1:59">
      <c r="A1058" t="s">
        <v>60</v>
      </c>
      <c r="B1058" s="1">
        <v>46130</v>
      </c>
      <c r="C1058">
        <v>2378052443</v>
      </c>
      <c r="D1058">
        <v>2378052622</v>
      </c>
      <c r="E1058" t="str">
        <f>T("경찰이 너무 강함 180화")</f>
        <v>경찰이 너무 강함 180화</v>
      </c>
      <c r="F1058">
        <v>180</v>
      </c>
      <c r="G1058" t="str">
        <f>T("김기세")</f>
        <v>김기세</v>
      </c>
      <c r="J1058" t="str">
        <f>T("매드햇")</f>
        <v>매드햇</v>
      </c>
      <c r="K1058" t="str">
        <f>T("경찰이 너무 강함")</f>
        <v>경찰이 너무 강함</v>
      </c>
      <c r="L1058">
        <v>100</v>
      </c>
      <c r="M1058">
        <v>100</v>
      </c>
      <c r="N1058">
        <v>1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100</v>
      </c>
      <c r="AJ1058">
        <v>1</v>
      </c>
      <c r="AK1058">
        <v>0</v>
      </c>
      <c r="AL1058">
        <v>0</v>
      </c>
      <c r="AM1058">
        <v>100</v>
      </c>
      <c r="AN1058">
        <v>0</v>
      </c>
      <c r="AO1058">
        <v>0</v>
      </c>
      <c r="AP1058">
        <v>0</v>
      </c>
      <c r="AQ1058">
        <v>0</v>
      </c>
      <c r="AS1058">
        <v>0</v>
      </c>
      <c r="AT1058">
        <v>0</v>
      </c>
      <c r="AV1058">
        <v>0</v>
      </c>
      <c r="AW1058">
        <v>0</v>
      </c>
      <c r="AY1058">
        <v>0</v>
      </c>
      <c r="AZ1058">
        <v>0</v>
      </c>
      <c r="BA1058">
        <v>70</v>
      </c>
      <c r="BE1058" t="str">
        <f>T("9791137007062")</f>
        <v>9791137007062</v>
      </c>
      <c r="BF1058" t="str">
        <f>T("N197596")</f>
        <v>N197596</v>
      </c>
      <c r="BG1058" t="str">
        <f>T("판타지 웹소설 &gt; 현대 판타지")</f>
        <v>판타지 웹소설 &gt; 현대 판타지</v>
      </c>
    </row>
    <row r="1059" spans="1:59">
      <c r="A1059" t="s">
        <v>60</v>
      </c>
      <c r="B1059" s="1">
        <v>46130</v>
      </c>
      <c r="C1059">
        <v>2378052443</v>
      </c>
      <c r="D1059">
        <v>2378052623</v>
      </c>
      <c r="E1059" t="str">
        <f>T("경찰이 너무 강함 181화")</f>
        <v>경찰이 너무 강함 181화</v>
      </c>
      <c r="F1059">
        <v>181</v>
      </c>
      <c r="G1059" t="str">
        <f>T("김기세")</f>
        <v>김기세</v>
      </c>
      <c r="J1059" t="str">
        <f>T("매드햇")</f>
        <v>매드햇</v>
      </c>
      <c r="K1059" t="str">
        <f>T("경찰이 너무 강함")</f>
        <v>경찰이 너무 강함</v>
      </c>
      <c r="L1059">
        <v>100</v>
      </c>
      <c r="M1059">
        <v>100</v>
      </c>
      <c r="N1059">
        <v>1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100</v>
      </c>
      <c r="AJ1059">
        <v>1</v>
      </c>
      <c r="AK1059">
        <v>0</v>
      </c>
      <c r="AL1059">
        <v>0</v>
      </c>
      <c r="AM1059">
        <v>100</v>
      </c>
      <c r="AN1059">
        <v>0</v>
      </c>
      <c r="AO1059">
        <v>0</v>
      </c>
      <c r="AP1059">
        <v>0</v>
      </c>
      <c r="AQ1059">
        <v>0</v>
      </c>
      <c r="AS1059">
        <v>0</v>
      </c>
      <c r="AT1059">
        <v>0</v>
      </c>
      <c r="AV1059">
        <v>0</v>
      </c>
      <c r="AW1059">
        <v>0</v>
      </c>
      <c r="AY1059">
        <v>0</v>
      </c>
      <c r="AZ1059">
        <v>0</v>
      </c>
      <c r="BA1059">
        <v>70</v>
      </c>
      <c r="BE1059" t="str">
        <f>T("9791137007062")</f>
        <v>9791137007062</v>
      </c>
      <c r="BF1059" t="str">
        <f>T("N197597")</f>
        <v>N197597</v>
      </c>
      <c r="BG1059" t="str">
        <f>T("판타지 웹소설 &gt; 현대 판타지")</f>
        <v>판타지 웹소설 &gt; 현대 판타지</v>
      </c>
    </row>
    <row r="1060" spans="1:59">
      <c r="A1060" t="s">
        <v>60</v>
      </c>
      <c r="B1060" s="1">
        <v>46130</v>
      </c>
      <c r="C1060">
        <v>2378052443</v>
      </c>
      <c r="D1060">
        <v>2378052624</v>
      </c>
      <c r="E1060" t="str">
        <f>T("경찰이 너무 강함 182화")</f>
        <v>경찰이 너무 강함 182화</v>
      </c>
      <c r="F1060">
        <v>182</v>
      </c>
      <c r="G1060" t="str">
        <f>T("김기세")</f>
        <v>김기세</v>
      </c>
      <c r="J1060" t="str">
        <f>T("매드햇")</f>
        <v>매드햇</v>
      </c>
      <c r="K1060" t="str">
        <f>T("경찰이 너무 강함")</f>
        <v>경찰이 너무 강함</v>
      </c>
      <c r="L1060">
        <v>100</v>
      </c>
      <c r="M1060">
        <v>100</v>
      </c>
      <c r="N1060">
        <v>1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100</v>
      </c>
      <c r="AJ1060">
        <v>1</v>
      </c>
      <c r="AK1060">
        <v>0</v>
      </c>
      <c r="AL1060">
        <v>0</v>
      </c>
      <c r="AM1060">
        <v>100</v>
      </c>
      <c r="AN1060">
        <v>0</v>
      </c>
      <c r="AO1060">
        <v>0</v>
      </c>
      <c r="AP1060">
        <v>0</v>
      </c>
      <c r="AQ1060">
        <v>0</v>
      </c>
      <c r="AS1060">
        <v>0</v>
      </c>
      <c r="AT1060">
        <v>0</v>
      </c>
      <c r="AV1060">
        <v>0</v>
      </c>
      <c r="AW1060">
        <v>0</v>
      </c>
      <c r="AY1060">
        <v>0</v>
      </c>
      <c r="AZ1060">
        <v>0</v>
      </c>
      <c r="BA1060">
        <v>70</v>
      </c>
      <c r="BE1060" t="str">
        <f>T("9791137007062")</f>
        <v>9791137007062</v>
      </c>
      <c r="BF1060" t="str">
        <f>T("N202684")</f>
        <v>N202684</v>
      </c>
      <c r="BG1060" t="str">
        <f>T("판타지 웹소설 &gt; 현대 판타지")</f>
        <v>판타지 웹소설 &gt; 현대 판타지</v>
      </c>
    </row>
    <row r="1061" spans="1:59">
      <c r="A1061" t="s">
        <v>60</v>
      </c>
      <c r="B1061" s="1">
        <v>46130</v>
      </c>
      <c r="C1061">
        <v>2378052443</v>
      </c>
      <c r="D1061">
        <v>2378052625</v>
      </c>
      <c r="E1061" t="str">
        <f>T("경찰이 너무 강함 183화")</f>
        <v>경찰이 너무 강함 183화</v>
      </c>
      <c r="F1061">
        <v>183</v>
      </c>
      <c r="G1061" t="str">
        <f>T("김기세")</f>
        <v>김기세</v>
      </c>
      <c r="J1061" t="str">
        <f>T("매드햇")</f>
        <v>매드햇</v>
      </c>
      <c r="K1061" t="str">
        <f>T("경찰이 너무 강함")</f>
        <v>경찰이 너무 강함</v>
      </c>
      <c r="L1061">
        <v>100</v>
      </c>
      <c r="M1061">
        <v>100</v>
      </c>
      <c r="N1061">
        <v>1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100</v>
      </c>
      <c r="AJ1061">
        <v>1</v>
      </c>
      <c r="AK1061">
        <v>0</v>
      </c>
      <c r="AL1061">
        <v>0</v>
      </c>
      <c r="AM1061">
        <v>100</v>
      </c>
      <c r="AN1061">
        <v>0</v>
      </c>
      <c r="AO1061">
        <v>0</v>
      </c>
      <c r="AP1061">
        <v>0</v>
      </c>
      <c r="AQ1061">
        <v>0</v>
      </c>
      <c r="AS1061">
        <v>0</v>
      </c>
      <c r="AT1061">
        <v>0</v>
      </c>
      <c r="AV1061">
        <v>0</v>
      </c>
      <c r="AW1061">
        <v>0</v>
      </c>
      <c r="AY1061">
        <v>0</v>
      </c>
      <c r="AZ1061">
        <v>0</v>
      </c>
      <c r="BA1061">
        <v>70</v>
      </c>
      <c r="BE1061" t="str">
        <f>T("9791137007062")</f>
        <v>9791137007062</v>
      </c>
      <c r="BF1061" t="str">
        <f>T("N202685")</f>
        <v>N202685</v>
      </c>
      <c r="BG1061" t="str">
        <f>T("판타지 웹소설 &gt; 현대 판타지")</f>
        <v>판타지 웹소설 &gt; 현대 판타지</v>
      </c>
    </row>
    <row r="1062" spans="1:59">
      <c r="A1062" t="s">
        <v>60</v>
      </c>
      <c r="B1062" s="1">
        <v>46131</v>
      </c>
      <c r="C1062">
        <v>2378052443</v>
      </c>
      <c r="D1062">
        <v>2378052443</v>
      </c>
      <c r="E1062" t="str">
        <f>T("경찰이 너무 강함 1화")</f>
        <v>경찰이 너무 강함 1화</v>
      </c>
      <c r="F1062">
        <v>1</v>
      </c>
      <c r="G1062" t="str">
        <f>T("김기세")</f>
        <v>김기세</v>
      </c>
      <c r="J1062" t="str">
        <f>T("매드햇")</f>
        <v>매드햇</v>
      </c>
      <c r="K1062" t="str">
        <f>T("경찰이 너무 강함")</f>
        <v>경찰이 너무 강함</v>
      </c>
      <c r="L1062">
        <v>0</v>
      </c>
      <c r="M1062">
        <v>0</v>
      </c>
      <c r="N1062">
        <v>0</v>
      </c>
      <c r="O1062">
        <v>1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1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S1062">
        <v>0</v>
      </c>
      <c r="AT1062">
        <v>0</v>
      </c>
      <c r="AV1062">
        <v>0</v>
      </c>
      <c r="AW1062">
        <v>0</v>
      </c>
      <c r="AY1062">
        <v>0</v>
      </c>
      <c r="AZ1062">
        <v>0</v>
      </c>
      <c r="BA1062">
        <v>0</v>
      </c>
      <c r="BE1062" t="str">
        <f>T("9791137007062")</f>
        <v>9791137007062</v>
      </c>
      <c r="BF1062" t="str">
        <f>T("N120810")</f>
        <v>N120810</v>
      </c>
      <c r="BG1062" t="str">
        <f>T("판타지 웹소설 &gt; 현대 판타지")</f>
        <v>판타지 웹소설 &gt; 현대 판타지</v>
      </c>
    </row>
    <row r="1063" spans="1:59">
      <c r="A1063" t="s">
        <v>60</v>
      </c>
      <c r="B1063" s="1">
        <v>46131</v>
      </c>
      <c r="C1063">
        <v>2378052443</v>
      </c>
      <c r="D1063">
        <v>2378052626</v>
      </c>
      <c r="E1063" t="str">
        <f>T("경찰이 너무 강함 184화")</f>
        <v>경찰이 너무 강함 184화</v>
      </c>
      <c r="F1063">
        <v>184</v>
      </c>
      <c r="G1063" t="str">
        <f>T("김기세")</f>
        <v>김기세</v>
      </c>
      <c r="J1063" t="str">
        <f>T("매드햇")</f>
        <v>매드햇</v>
      </c>
      <c r="K1063" t="str">
        <f>T("경찰이 너무 강함")</f>
        <v>경찰이 너무 강함</v>
      </c>
      <c r="L1063">
        <v>100</v>
      </c>
      <c r="M1063">
        <v>100</v>
      </c>
      <c r="N1063">
        <v>1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100</v>
      </c>
      <c r="AJ1063">
        <v>1</v>
      </c>
      <c r="AK1063">
        <v>0</v>
      </c>
      <c r="AL1063">
        <v>0</v>
      </c>
      <c r="AM1063">
        <v>100</v>
      </c>
      <c r="AN1063">
        <v>0</v>
      </c>
      <c r="AO1063">
        <v>0</v>
      </c>
      <c r="AP1063">
        <v>0</v>
      </c>
      <c r="AQ1063">
        <v>0</v>
      </c>
      <c r="AS1063">
        <v>0</v>
      </c>
      <c r="AT1063">
        <v>0</v>
      </c>
      <c r="AV1063">
        <v>0</v>
      </c>
      <c r="AW1063">
        <v>0</v>
      </c>
      <c r="AY1063">
        <v>0</v>
      </c>
      <c r="AZ1063">
        <v>0</v>
      </c>
      <c r="BA1063">
        <v>70</v>
      </c>
      <c r="BE1063" t="str">
        <f>T("9791137007062")</f>
        <v>9791137007062</v>
      </c>
      <c r="BF1063" t="str">
        <f>T("N202686")</f>
        <v>N202686</v>
      </c>
      <c r="BG1063" t="str">
        <f>T("판타지 웹소설 &gt; 현대 판타지")</f>
        <v>판타지 웹소설 &gt; 현대 판타지</v>
      </c>
    </row>
    <row r="1064" spans="1:59">
      <c r="A1064" t="s">
        <v>60</v>
      </c>
      <c r="B1064" s="1">
        <v>46131</v>
      </c>
      <c r="C1064">
        <v>2378052443</v>
      </c>
      <c r="D1064">
        <v>2378052627</v>
      </c>
      <c r="E1064" t="str">
        <f>T("경찰이 너무 강함 185화")</f>
        <v>경찰이 너무 강함 185화</v>
      </c>
      <c r="F1064">
        <v>185</v>
      </c>
      <c r="G1064" t="str">
        <f>T("김기세")</f>
        <v>김기세</v>
      </c>
      <c r="J1064" t="str">
        <f>T("매드햇")</f>
        <v>매드햇</v>
      </c>
      <c r="K1064" t="str">
        <f>T("경찰이 너무 강함")</f>
        <v>경찰이 너무 강함</v>
      </c>
      <c r="L1064">
        <v>100</v>
      </c>
      <c r="M1064">
        <v>100</v>
      </c>
      <c r="N1064">
        <v>1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100</v>
      </c>
      <c r="AJ1064">
        <v>1</v>
      </c>
      <c r="AK1064">
        <v>0</v>
      </c>
      <c r="AL1064">
        <v>0</v>
      </c>
      <c r="AM1064">
        <v>100</v>
      </c>
      <c r="AN1064">
        <v>0</v>
      </c>
      <c r="AO1064">
        <v>0</v>
      </c>
      <c r="AP1064">
        <v>0</v>
      </c>
      <c r="AQ1064">
        <v>0</v>
      </c>
      <c r="AS1064">
        <v>0</v>
      </c>
      <c r="AT1064">
        <v>0</v>
      </c>
      <c r="AV1064">
        <v>0</v>
      </c>
      <c r="AW1064">
        <v>0</v>
      </c>
      <c r="AY1064">
        <v>0</v>
      </c>
      <c r="AZ1064">
        <v>0</v>
      </c>
      <c r="BA1064">
        <v>70</v>
      </c>
      <c r="BE1064" t="str">
        <f>T("9791137007062")</f>
        <v>9791137007062</v>
      </c>
      <c r="BF1064" t="str">
        <f>T("N202687")</f>
        <v>N202687</v>
      </c>
      <c r="BG1064" t="str">
        <f>T("판타지 웹소설 &gt; 현대 판타지")</f>
        <v>판타지 웹소설 &gt; 현대 판타지</v>
      </c>
    </row>
    <row r="1065" spans="1:59">
      <c r="A1065" t="s">
        <v>60</v>
      </c>
      <c r="B1065" s="1">
        <v>46130</v>
      </c>
      <c r="C1065">
        <v>2378006375</v>
      </c>
      <c r="D1065">
        <v>2378006375</v>
      </c>
      <c r="E1065" t="str">
        <f>T("공작가의 수치, 회귀하다 1화")</f>
        <v>공작가의 수치, 회귀하다 1화</v>
      </c>
      <c r="F1065">
        <v>1</v>
      </c>
      <c r="G1065" t="str">
        <f>T("실라인")</f>
        <v>실라인</v>
      </c>
      <c r="J1065" t="str">
        <f>T("매드햇")</f>
        <v>매드햇</v>
      </c>
      <c r="K1065" t="str">
        <f>T("공작가의 수치, 회귀하다")</f>
        <v>공작가의 수치, 회귀하다</v>
      </c>
      <c r="L1065">
        <v>0</v>
      </c>
      <c r="M1065">
        <v>0</v>
      </c>
      <c r="N1065">
        <v>0</v>
      </c>
      <c r="O1065">
        <v>1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1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S1065">
        <v>0</v>
      </c>
      <c r="AT1065">
        <v>0</v>
      </c>
      <c r="AV1065">
        <v>0</v>
      </c>
      <c r="AW1065">
        <v>0</v>
      </c>
      <c r="AY1065">
        <v>0</v>
      </c>
      <c r="AZ1065">
        <v>0</v>
      </c>
      <c r="BA1065">
        <v>0</v>
      </c>
      <c r="BE1065" t="str">
        <f>T("9791162585115")</f>
        <v>9791162585115</v>
      </c>
      <c r="BF1065" t="str">
        <f>T("E329446")</f>
        <v>E329446</v>
      </c>
      <c r="BG1065" t="str">
        <f>T("판타지 웹소설 &gt; 퓨전 판타지")</f>
        <v>판타지 웹소설 &gt; 퓨전 판타지</v>
      </c>
    </row>
    <row r="1066" spans="1:59">
      <c r="A1066" t="s">
        <v>60</v>
      </c>
      <c r="B1066" s="1">
        <v>46130</v>
      </c>
      <c r="C1066">
        <v>2378006375</v>
      </c>
      <c r="D1066">
        <v>2378006376</v>
      </c>
      <c r="E1066" t="str">
        <f>T("공작가의 수치, 회귀하다 2화")</f>
        <v>공작가의 수치, 회귀하다 2화</v>
      </c>
      <c r="F1066">
        <v>2</v>
      </c>
      <c r="G1066" t="str">
        <f>T("실라인")</f>
        <v>실라인</v>
      </c>
      <c r="J1066" t="str">
        <f>T("매드햇")</f>
        <v>매드햇</v>
      </c>
      <c r="K1066" t="str">
        <f>T("공작가의 수치, 회귀하다")</f>
        <v>공작가의 수치, 회귀하다</v>
      </c>
      <c r="L1066">
        <v>0</v>
      </c>
      <c r="M1066">
        <v>0</v>
      </c>
      <c r="N1066">
        <v>0</v>
      </c>
      <c r="O1066">
        <v>1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1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0</v>
      </c>
      <c r="AS1066">
        <v>0</v>
      </c>
      <c r="AT1066">
        <v>0</v>
      </c>
      <c r="AV1066">
        <v>0</v>
      </c>
      <c r="AW1066">
        <v>0</v>
      </c>
      <c r="AY1066">
        <v>0</v>
      </c>
      <c r="AZ1066">
        <v>0</v>
      </c>
      <c r="BA1066">
        <v>0</v>
      </c>
      <c r="BE1066" t="str">
        <f>T("9791162585115")</f>
        <v>9791162585115</v>
      </c>
      <c r="BF1066" t="str">
        <f>T("E329447")</f>
        <v>E329447</v>
      </c>
      <c r="BG1066" t="str">
        <f>T("판타지 웹소설 &gt; 퓨전 판타지")</f>
        <v>판타지 웹소설 &gt; 퓨전 판타지</v>
      </c>
    </row>
    <row r="1067" spans="1:59">
      <c r="A1067" t="s">
        <v>60</v>
      </c>
      <c r="B1067" s="1">
        <v>46130</v>
      </c>
      <c r="C1067">
        <v>2378006375</v>
      </c>
      <c r="D1067">
        <v>2378006377</v>
      </c>
      <c r="E1067" t="str">
        <f>T("공작가의 수치, 회귀하다 3화")</f>
        <v>공작가의 수치, 회귀하다 3화</v>
      </c>
      <c r="F1067">
        <v>3</v>
      </c>
      <c r="G1067" t="str">
        <f>T("실라인")</f>
        <v>실라인</v>
      </c>
      <c r="J1067" t="str">
        <f>T("매드햇")</f>
        <v>매드햇</v>
      </c>
      <c r="K1067" t="str">
        <f>T("공작가의 수치, 회귀하다")</f>
        <v>공작가의 수치, 회귀하다</v>
      </c>
      <c r="L1067">
        <v>0</v>
      </c>
      <c r="M1067">
        <v>0</v>
      </c>
      <c r="N1067">
        <v>0</v>
      </c>
      <c r="O1067">
        <v>1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1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0</v>
      </c>
      <c r="AS1067">
        <v>0</v>
      </c>
      <c r="AT1067">
        <v>0</v>
      </c>
      <c r="AV1067">
        <v>0</v>
      </c>
      <c r="AW1067">
        <v>0</v>
      </c>
      <c r="AY1067">
        <v>0</v>
      </c>
      <c r="AZ1067">
        <v>0</v>
      </c>
      <c r="BA1067">
        <v>0</v>
      </c>
      <c r="BE1067" t="str">
        <f>T("9791162585115")</f>
        <v>9791162585115</v>
      </c>
      <c r="BF1067" t="str">
        <f>T("E329448")</f>
        <v>E329448</v>
      </c>
      <c r="BG1067" t="str">
        <f>T("판타지 웹소설 &gt; 퓨전 판타지")</f>
        <v>판타지 웹소설 &gt; 퓨전 판타지</v>
      </c>
    </row>
    <row r="1068" spans="1:59">
      <c r="A1068" t="s">
        <v>60</v>
      </c>
      <c r="B1068" s="1">
        <v>46130</v>
      </c>
      <c r="C1068">
        <v>2378006375</v>
      </c>
      <c r="D1068">
        <v>2378006378</v>
      </c>
      <c r="E1068" t="str">
        <f>T("공작가의 수치, 회귀하다 4화")</f>
        <v>공작가의 수치, 회귀하다 4화</v>
      </c>
      <c r="F1068">
        <v>4</v>
      </c>
      <c r="G1068" t="str">
        <f>T("실라인")</f>
        <v>실라인</v>
      </c>
      <c r="J1068" t="str">
        <f>T("매드햇")</f>
        <v>매드햇</v>
      </c>
      <c r="K1068" t="str">
        <f>T("공작가의 수치, 회귀하다")</f>
        <v>공작가의 수치, 회귀하다</v>
      </c>
      <c r="L1068">
        <v>0</v>
      </c>
      <c r="M1068">
        <v>0</v>
      </c>
      <c r="N1068">
        <v>0</v>
      </c>
      <c r="O1068">
        <v>1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1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S1068">
        <v>0</v>
      </c>
      <c r="AT1068">
        <v>0</v>
      </c>
      <c r="AV1068">
        <v>0</v>
      </c>
      <c r="AW1068">
        <v>0</v>
      </c>
      <c r="AY1068">
        <v>0</v>
      </c>
      <c r="AZ1068">
        <v>0</v>
      </c>
      <c r="BA1068">
        <v>0</v>
      </c>
      <c r="BE1068" t="str">
        <f>T("9791162585115")</f>
        <v>9791162585115</v>
      </c>
      <c r="BF1068" t="str">
        <f>T("E329449")</f>
        <v>E329449</v>
      </c>
      <c r="BG1068" t="str">
        <f>T("판타지 웹소설 &gt; 퓨전 판타지")</f>
        <v>판타지 웹소설 &gt; 퓨전 판타지</v>
      </c>
    </row>
    <row r="1069" spans="1:59">
      <c r="A1069" t="s">
        <v>60</v>
      </c>
      <c r="B1069" s="1">
        <v>46130</v>
      </c>
      <c r="C1069">
        <v>2378006375</v>
      </c>
      <c r="D1069">
        <v>2378006379</v>
      </c>
      <c r="E1069" t="str">
        <f>T("공작가의 수치, 회귀하다 5화")</f>
        <v>공작가의 수치, 회귀하다 5화</v>
      </c>
      <c r="F1069">
        <v>5</v>
      </c>
      <c r="G1069" t="str">
        <f>T("실라인")</f>
        <v>실라인</v>
      </c>
      <c r="J1069" t="str">
        <f>T("매드햇")</f>
        <v>매드햇</v>
      </c>
      <c r="K1069" t="str">
        <f>T("공작가의 수치, 회귀하다")</f>
        <v>공작가의 수치, 회귀하다</v>
      </c>
      <c r="L1069">
        <v>0</v>
      </c>
      <c r="M1069">
        <v>0</v>
      </c>
      <c r="N1069">
        <v>0</v>
      </c>
      <c r="O1069">
        <v>1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1</v>
      </c>
      <c r="AK1069">
        <v>0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S1069">
        <v>0</v>
      </c>
      <c r="AT1069">
        <v>0</v>
      </c>
      <c r="AV1069">
        <v>0</v>
      </c>
      <c r="AW1069">
        <v>0</v>
      </c>
      <c r="AY1069">
        <v>0</v>
      </c>
      <c r="AZ1069">
        <v>0</v>
      </c>
      <c r="BA1069">
        <v>0</v>
      </c>
      <c r="BE1069" t="str">
        <f>T("9791162585115")</f>
        <v>9791162585115</v>
      </c>
      <c r="BF1069" t="str">
        <f>T("E329450")</f>
        <v>E329450</v>
      </c>
      <c r="BG1069" t="str">
        <f>T("판타지 웹소설 &gt; 퓨전 판타지")</f>
        <v>판타지 웹소설 &gt; 퓨전 판타지</v>
      </c>
    </row>
    <row r="1070" spans="1:59">
      <c r="A1070" t="s">
        <v>60</v>
      </c>
      <c r="B1070" s="1">
        <v>46130</v>
      </c>
      <c r="C1070">
        <v>2378006375</v>
      </c>
      <c r="D1070">
        <v>2378006380</v>
      </c>
      <c r="E1070" t="str">
        <f>T("공작가의 수치, 회귀하다 6화")</f>
        <v>공작가의 수치, 회귀하다 6화</v>
      </c>
      <c r="F1070">
        <v>6</v>
      </c>
      <c r="G1070" t="str">
        <f>T("실라인")</f>
        <v>실라인</v>
      </c>
      <c r="J1070" t="str">
        <f>T("매드햇")</f>
        <v>매드햇</v>
      </c>
      <c r="K1070" t="str">
        <f>T("공작가의 수치, 회귀하다")</f>
        <v>공작가의 수치, 회귀하다</v>
      </c>
      <c r="L1070">
        <v>0</v>
      </c>
      <c r="M1070">
        <v>0</v>
      </c>
      <c r="N1070">
        <v>0</v>
      </c>
      <c r="O1070">
        <v>1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0</v>
      </c>
      <c r="AJ1070">
        <v>1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0</v>
      </c>
      <c r="AS1070">
        <v>0</v>
      </c>
      <c r="AT1070">
        <v>0</v>
      </c>
      <c r="AV1070">
        <v>0</v>
      </c>
      <c r="AW1070">
        <v>0</v>
      </c>
      <c r="AY1070">
        <v>0</v>
      </c>
      <c r="AZ1070">
        <v>0</v>
      </c>
      <c r="BA1070">
        <v>0</v>
      </c>
      <c r="BE1070" t="str">
        <f>T("9791162585115")</f>
        <v>9791162585115</v>
      </c>
      <c r="BF1070" t="str">
        <f>T("E329451")</f>
        <v>E329451</v>
      </c>
      <c r="BG1070" t="str">
        <f>T("판타지 웹소설 &gt; 퓨전 판타지")</f>
        <v>판타지 웹소설 &gt; 퓨전 판타지</v>
      </c>
    </row>
    <row r="1071" spans="1:59">
      <c r="A1071" t="s">
        <v>60</v>
      </c>
      <c r="B1071" s="1">
        <v>46130</v>
      </c>
      <c r="C1071">
        <v>2378006375</v>
      </c>
      <c r="D1071">
        <v>2378006381</v>
      </c>
      <c r="E1071" t="str">
        <f>T("공작가의 수치, 회귀하다 7화")</f>
        <v>공작가의 수치, 회귀하다 7화</v>
      </c>
      <c r="F1071">
        <v>7</v>
      </c>
      <c r="G1071" t="str">
        <f>T("실라인")</f>
        <v>실라인</v>
      </c>
      <c r="J1071" t="str">
        <f>T("매드햇")</f>
        <v>매드햇</v>
      </c>
      <c r="K1071" t="str">
        <f>T("공작가의 수치, 회귀하다")</f>
        <v>공작가의 수치, 회귀하다</v>
      </c>
      <c r="L1071">
        <v>0</v>
      </c>
      <c r="M1071">
        <v>0</v>
      </c>
      <c r="N1071">
        <v>0</v>
      </c>
      <c r="O1071">
        <v>1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1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S1071">
        <v>0</v>
      </c>
      <c r="AT1071">
        <v>0</v>
      </c>
      <c r="AV1071">
        <v>0</v>
      </c>
      <c r="AW1071">
        <v>0</v>
      </c>
      <c r="AY1071">
        <v>0</v>
      </c>
      <c r="AZ1071">
        <v>0</v>
      </c>
      <c r="BA1071">
        <v>0</v>
      </c>
      <c r="BE1071" t="str">
        <f>T("9791162585115")</f>
        <v>9791162585115</v>
      </c>
      <c r="BF1071" t="str">
        <f>T("E329452")</f>
        <v>E329452</v>
      </c>
      <c r="BG1071" t="str">
        <f>T("판타지 웹소설 &gt; 퓨전 판타지")</f>
        <v>판타지 웹소설 &gt; 퓨전 판타지</v>
      </c>
    </row>
    <row r="1072" spans="1:59">
      <c r="A1072" t="s">
        <v>60</v>
      </c>
      <c r="B1072" s="1">
        <v>46130</v>
      </c>
      <c r="C1072">
        <v>2378006375</v>
      </c>
      <c r="D1072">
        <v>2378006382</v>
      </c>
      <c r="E1072" t="str">
        <f>T("공작가의 수치, 회귀하다 8화")</f>
        <v>공작가의 수치, 회귀하다 8화</v>
      </c>
      <c r="F1072">
        <v>8</v>
      </c>
      <c r="G1072" t="str">
        <f>T("실라인")</f>
        <v>실라인</v>
      </c>
      <c r="J1072" t="str">
        <f>T("매드햇")</f>
        <v>매드햇</v>
      </c>
      <c r="K1072" t="str">
        <f>T("공작가의 수치, 회귀하다")</f>
        <v>공작가의 수치, 회귀하다</v>
      </c>
      <c r="L1072">
        <v>0</v>
      </c>
      <c r="M1072">
        <v>0</v>
      </c>
      <c r="N1072">
        <v>0</v>
      </c>
      <c r="O1072">
        <v>1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1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0</v>
      </c>
      <c r="AS1072">
        <v>0</v>
      </c>
      <c r="AT1072">
        <v>0</v>
      </c>
      <c r="AV1072">
        <v>0</v>
      </c>
      <c r="AW1072">
        <v>0</v>
      </c>
      <c r="AY1072">
        <v>0</v>
      </c>
      <c r="AZ1072">
        <v>0</v>
      </c>
      <c r="BA1072">
        <v>0</v>
      </c>
      <c r="BE1072" t="str">
        <f>T("9791162585115")</f>
        <v>9791162585115</v>
      </c>
      <c r="BF1072" t="str">
        <f>T("E329453")</f>
        <v>E329453</v>
      </c>
      <c r="BG1072" t="str">
        <f>T("판타지 웹소설 &gt; 퓨전 판타지")</f>
        <v>판타지 웹소설 &gt; 퓨전 판타지</v>
      </c>
    </row>
    <row r="1073" spans="1:59">
      <c r="A1073" t="s">
        <v>60</v>
      </c>
      <c r="B1073" s="1">
        <v>46130</v>
      </c>
      <c r="C1073">
        <v>2378006375</v>
      </c>
      <c r="D1073">
        <v>2378006383</v>
      </c>
      <c r="E1073" t="str">
        <f>T("공작가의 수치, 회귀하다 9화")</f>
        <v>공작가의 수치, 회귀하다 9화</v>
      </c>
      <c r="F1073">
        <v>9</v>
      </c>
      <c r="G1073" t="str">
        <f>T("실라인")</f>
        <v>실라인</v>
      </c>
      <c r="J1073" t="str">
        <f>T("매드햇")</f>
        <v>매드햇</v>
      </c>
      <c r="K1073" t="str">
        <f>T("공작가의 수치, 회귀하다")</f>
        <v>공작가의 수치, 회귀하다</v>
      </c>
      <c r="L1073">
        <v>0</v>
      </c>
      <c r="M1073">
        <v>0</v>
      </c>
      <c r="N1073">
        <v>0</v>
      </c>
      <c r="O1073">
        <v>1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1</v>
      </c>
      <c r="AK1073">
        <v>0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0</v>
      </c>
      <c r="AS1073">
        <v>0</v>
      </c>
      <c r="AT1073">
        <v>0</v>
      </c>
      <c r="AV1073">
        <v>0</v>
      </c>
      <c r="AW1073">
        <v>0</v>
      </c>
      <c r="AY1073">
        <v>0</v>
      </c>
      <c r="AZ1073">
        <v>0</v>
      </c>
      <c r="BA1073">
        <v>0</v>
      </c>
      <c r="BE1073" t="str">
        <f>T("9791162585115")</f>
        <v>9791162585115</v>
      </c>
      <c r="BF1073" t="str">
        <f>T("E329454")</f>
        <v>E329454</v>
      </c>
      <c r="BG1073" t="str">
        <f>T("판타지 웹소설 &gt; 퓨전 판타지")</f>
        <v>판타지 웹소설 &gt; 퓨전 판타지</v>
      </c>
    </row>
    <row r="1074" spans="1:59">
      <c r="A1074" t="s">
        <v>60</v>
      </c>
      <c r="B1074" s="1">
        <v>46130</v>
      </c>
      <c r="C1074">
        <v>2378006375</v>
      </c>
      <c r="D1074">
        <v>2378006384</v>
      </c>
      <c r="E1074" t="str">
        <f>T("공작가의 수치, 회귀하다 10화")</f>
        <v>공작가의 수치, 회귀하다 10화</v>
      </c>
      <c r="F1074">
        <v>10</v>
      </c>
      <c r="G1074" t="str">
        <f>T("실라인")</f>
        <v>실라인</v>
      </c>
      <c r="J1074" t="str">
        <f>T("매드햇")</f>
        <v>매드햇</v>
      </c>
      <c r="K1074" t="str">
        <f>T("공작가의 수치, 회귀하다")</f>
        <v>공작가의 수치, 회귀하다</v>
      </c>
      <c r="L1074">
        <v>0</v>
      </c>
      <c r="M1074">
        <v>0</v>
      </c>
      <c r="N1074">
        <v>0</v>
      </c>
      <c r="O1074">
        <v>1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1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0</v>
      </c>
      <c r="AS1074">
        <v>0</v>
      </c>
      <c r="AT1074">
        <v>0</v>
      </c>
      <c r="AV1074">
        <v>0</v>
      </c>
      <c r="AW1074">
        <v>0</v>
      </c>
      <c r="AY1074">
        <v>0</v>
      </c>
      <c r="AZ1074">
        <v>0</v>
      </c>
      <c r="BA1074">
        <v>0</v>
      </c>
      <c r="BE1074" t="str">
        <f>T("9791162585115")</f>
        <v>9791162585115</v>
      </c>
      <c r="BF1074" t="str">
        <f>T("E329455")</f>
        <v>E329455</v>
      </c>
      <c r="BG1074" t="str">
        <f>T("판타지 웹소설 &gt; 퓨전 판타지")</f>
        <v>판타지 웹소설 &gt; 퓨전 판타지</v>
      </c>
    </row>
    <row r="1075" spans="1:59">
      <c r="A1075" t="s">
        <v>60</v>
      </c>
      <c r="B1075" s="1">
        <v>46130</v>
      </c>
      <c r="C1075">
        <v>2378006375</v>
      </c>
      <c r="D1075">
        <v>2378006385</v>
      </c>
      <c r="E1075" t="str">
        <f>T("공작가의 수치, 회귀하다 11화")</f>
        <v>공작가의 수치, 회귀하다 11화</v>
      </c>
      <c r="F1075">
        <v>11</v>
      </c>
      <c r="G1075" t="str">
        <f>T("실라인")</f>
        <v>실라인</v>
      </c>
      <c r="J1075" t="str">
        <f>T("매드햇")</f>
        <v>매드햇</v>
      </c>
      <c r="K1075" t="str">
        <f>T("공작가의 수치, 회귀하다")</f>
        <v>공작가의 수치, 회귀하다</v>
      </c>
      <c r="L1075">
        <v>0</v>
      </c>
      <c r="M1075">
        <v>0</v>
      </c>
      <c r="N1075">
        <v>0</v>
      </c>
      <c r="O1075">
        <v>1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1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S1075">
        <v>0</v>
      </c>
      <c r="AT1075">
        <v>0</v>
      </c>
      <c r="AV1075">
        <v>0</v>
      </c>
      <c r="AW1075">
        <v>0</v>
      </c>
      <c r="AY1075">
        <v>0</v>
      </c>
      <c r="AZ1075">
        <v>0</v>
      </c>
      <c r="BA1075">
        <v>0</v>
      </c>
      <c r="BE1075" t="str">
        <f>T("9791162585115")</f>
        <v>9791162585115</v>
      </c>
      <c r="BF1075" t="str">
        <f>T("E329456")</f>
        <v>E329456</v>
      </c>
      <c r="BG1075" t="str">
        <f>T("판타지 웹소설 &gt; 퓨전 판타지")</f>
        <v>판타지 웹소설 &gt; 퓨전 판타지</v>
      </c>
    </row>
    <row r="1076" spans="1:59">
      <c r="A1076" t="s">
        <v>60</v>
      </c>
      <c r="B1076" s="1">
        <v>46130</v>
      </c>
      <c r="C1076">
        <v>2378006375</v>
      </c>
      <c r="D1076">
        <v>2378006386</v>
      </c>
      <c r="E1076" t="str">
        <f>T("공작가의 수치, 회귀하다 12화")</f>
        <v>공작가의 수치, 회귀하다 12화</v>
      </c>
      <c r="F1076">
        <v>12</v>
      </c>
      <c r="G1076" t="str">
        <f>T("실라인")</f>
        <v>실라인</v>
      </c>
      <c r="J1076" t="str">
        <f>T("매드햇")</f>
        <v>매드햇</v>
      </c>
      <c r="K1076" t="str">
        <f>T("공작가의 수치, 회귀하다")</f>
        <v>공작가의 수치, 회귀하다</v>
      </c>
      <c r="L1076">
        <v>0</v>
      </c>
      <c r="M1076">
        <v>0</v>
      </c>
      <c r="N1076">
        <v>0</v>
      </c>
      <c r="O1076">
        <v>1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>
        <v>0</v>
      </c>
      <c r="AG1076">
        <v>0</v>
      </c>
      <c r="AH1076">
        <v>0</v>
      </c>
      <c r="AI1076">
        <v>0</v>
      </c>
      <c r="AJ1076">
        <v>1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S1076">
        <v>0</v>
      </c>
      <c r="AT1076">
        <v>0</v>
      </c>
      <c r="AV1076">
        <v>0</v>
      </c>
      <c r="AW1076">
        <v>0</v>
      </c>
      <c r="AY1076">
        <v>0</v>
      </c>
      <c r="AZ1076">
        <v>0</v>
      </c>
      <c r="BA1076">
        <v>0</v>
      </c>
      <c r="BE1076" t="str">
        <f>T("9791162585115")</f>
        <v>9791162585115</v>
      </c>
      <c r="BF1076" t="str">
        <f>T("E329457")</f>
        <v>E329457</v>
      </c>
      <c r="BG1076" t="str">
        <f>T("판타지 웹소설 &gt; 퓨전 판타지")</f>
        <v>판타지 웹소설 &gt; 퓨전 판타지</v>
      </c>
    </row>
    <row r="1077" spans="1:59">
      <c r="A1077" t="s">
        <v>60</v>
      </c>
      <c r="B1077" s="1">
        <v>46130</v>
      </c>
      <c r="C1077">
        <v>2378006375</v>
      </c>
      <c r="D1077">
        <v>2378006387</v>
      </c>
      <c r="E1077" t="str">
        <f>T("공작가의 수치, 회귀하다 13화")</f>
        <v>공작가의 수치, 회귀하다 13화</v>
      </c>
      <c r="F1077">
        <v>13</v>
      </c>
      <c r="G1077" t="str">
        <f>T("실라인")</f>
        <v>실라인</v>
      </c>
      <c r="J1077" t="str">
        <f>T("매드햇")</f>
        <v>매드햇</v>
      </c>
      <c r="K1077" t="str">
        <f>T("공작가의 수치, 회귀하다")</f>
        <v>공작가의 수치, 회귀하다</v>
      </c>
      <c r="L1077">
        <v>0</v>
      </c>
      <c r="M1077">
        <v>0</v>
      </c>
      <c r="N1077">
        <v>0</v>
      </c>
      <c r="O1077">
        <v>1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1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S1077">
        <v>0</v>
      </c>
      <c r="AT1077">
        <v>0</v>
      </c>
      <c r="AV1077">
        <v>0</v>
      </c>
      <c r="AW1077">
        <v>0</v>
      </c>
      <c r="AY1077">
        <v>0</v>
      </c>
      <c r="AZ1077">
        <v>0</v>
      </c>
      <c r="BA1077">
        <v>0</v>
      </c>
      <c r="BE1077" t="str">
        <f>T("9791162585115")</f>
        <v>9791162585115</v>
      </c>
      <c r="BF1077" t="str">
        <f>T("E329458")</f>
        <v>E329458</v>
      </c>
      <c r="BG1077" t="str">
        <f>T("판타지 웹소설 &gt; 퓨전 판타지")</f>
        <v>판타지 웹소설 &gt; 퓨전 판타지</v>
      </c>
    </row>
    <row r="1078" spans="1:59">
      <c r="A1078" t="s">
        <v>60</v>
      </c>
      <c r="B1078" s="1">
        <v>46130</v>
      </c>
      <c r="C1078">
        <v>2378006375</v>
      </c>
      <c r="D1078">
        <v>2378006388</v>
      </c>
      <c r="E1078" t="str">
        <f>T("공작가의 수치, 회귀하다 14화")</f>
        <v>공작가의 수치, 회귀하다 14화</v>
      </c>
      <c r="F1078">
        <v>14</v>
      </c>
      <c r="G1078" t="str">
        <f>T("실라인")</f>
        <v>실라인</v>
      </c>
      <c r="J1078" t="str">
        <f>T("매드햇")</f>
        <v>매드햇</v>
      </c>
      <c r="K1078" t="str">
        <f>T("공작가의 수치, 회귀하다")</f>
        <v>공작가의 수치, 회귀하다</v>
      </c>
      <c r="L1078">
        <v>0</v>
      </c>
      <c r="M1078">
        <v>0</v>
      </c>
      <c r="N1078">
        <v>0</v>
      </c>
      <c r="O1078">
        <v>1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1</v>
      </c>
      <c r="AK1078">
        <v>0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S1078">
        <v>0</v>
      </c>
      <c r="AT1078">
        <v>0</v>
      </c>
      <c r="AV1078">
        <v>0</v>
      </c>
      <c r="AW1078">
        <v>0</v>
      </c>
      <c r="AY1078">
        <v>0</v>
      </c>
      <c r="AZ1078">
        <v>0</v>
      </c>
      <c r="BA1078">
        <v>0</v>
      </c>
      <c r="BE1078" t="str">
        <f>T("9791162585115")</f>
        <v>9791162585115</v>
      </c>
      <c r="BF1078" t="str">
        <f>T("E329459")</f>
        <v>E329459</v>
      </c>
      <c r="BG1078" t="str">
        <f>T("판타지 웹소설 &gt; 퓨전 판타지")</f>
        <v>판타지 웹소설 &gt; 퓨전 판타지</v>
      </c>
    </row>
    <row r="1079" spans="1:59">
      <c r="A1079" t="s">
        <v>60</v>
      </c>
      <c r="B1079" s="1">
        <v>46130</v>
      </c>
      <c r="C1079">
        <v>2378006375</v>
      </c>
      <c r="D1079">
        <v>2378006389</v>
      </c>
      <c r="E1079" t="str">
        <f>T("공작가의 수치, 회귀하다 15화")</f>
        <v>공작가의 수치, 회귀하다 15화</v>
      </c>
      <c r="F1079">
        <v>15</v>
      </c>
      <c r="G1079" t="str">
        <f>T("실라인")</f>
        <v>실라인</v>
      </c>
      <c r="J1079" t="str">
        <f>T("매드햇")</f>
        <v>매드햇</v>
      </c>
      <c r="K1079" t="str">
        <f>T("공작가의 수치, 회귀하다")</f>
        <v>공작가의 수치, 회귀하다</v>
      </c>
      <c r="L1079">
        <v>0</v>
      </c>
      <c r="M1079">
        <v>0</v>
      </c>
      <c r="N1079">
        <v>0</v>
      </c>
      <c r="O1079">
        <v>1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0</v>
      </c>
      <c r="AJ1079">
        <v>1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0</v>
      </c>
      <c r="AS1079">
        <v>0</v>
      </c>
      <c r="AT1079">
        <v>0</v>
      </c>
      <c r="AV1079">
        <v>0</v>
      </c>
      <c r="AW1079">
        <v>0</v>
      </c>
      <c r="AY1079">
        <v>0</v>
      </c>
      <c r="AZ1079">
        <v>0</v>
      </c>
      <c r="BA1079">
        <v>0</v>
      </c>
      <c r="BE1079" t="str">
        <f>T("9791162585115")</f>
        <v>9791162585115</v>
      </c>
      <c r="BF1079" t="str">
        <f>T("E329460")</f>
        <v>E329460</v>
      </c>
      <c r="BG1079" t="str">
        <f>T("판타지 웹소설 &gt; 퓨전 판타지")</f>
        <v>판타지 웹소설 &gt; 퓨전 판타지</v>
      </c>
    </row>
    <row r="1080" spans="1:59">
      <c r="A1080" t="s">
        <v>60</v>
      </c>
      <c r="B1080" s="1">
        <v>46130</v>
      </c>
      <c r="C1080">
        <v>2378006375</v>
      </c>
      <c r="D1080">
        <v>2378006390</v>
      </c>
      <c r="E1080" t="str">
        <f>T("공작가의 수치, 회귀하다 16화")</f>
        <v>공작가의 수치, 회귀하다 16화</v>
      </c>
      <c r="F1080">
        <v>16</v>
      </c>
      <c r="G1080" t="str">
        <f>T("실라인")</f>
        <v>실라인</v>
      </c>
      <c r="J1080" t="str">
        <f>T("매드햇")</f>
        <v>매드햇</v>
      </c>
      <c r="K1080" t="str">
        <f>T("공작가의 수치, 회귀하다")</f>
        <v>공작가의 수치, 회귀하다</v>
      </c>
      <c r="L1080">
        <v>0</v>
      </c>
      <c r="M1080">
        <v>0</v>
      </c>
      <c r="N1080">
        <v>0</v>
      </c>
      <c r="O1080">
        <v>1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1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0</v>
      </c>
      <c r="AQ1080">
        <v>0</v>
      </c>
      <c r="AS1080">
        <v>0</v>
      </c>
      <c r="AT1080">
        <v>0</v>
      </c>
      <c r="AV1080">
        <v>0</v>
      </c>
      <c r="AW1080">
        <v>0</v>
      </c>
      <c r="AY1080">
        <v>0</v>
      </c>
      <c r="AZ1080">
        <v>0</v>
      </c>
      <c r="BA1080">
        <v>0</v>
      </c>
      <c r="BE1080" t="str">
        <f>T("9791162585115")</f>
        <v>9791162585115</v>
      </c>
      <c r="BF1080" t="str">
        <f>T("E329461")</f>
        <v>E329461</v>
      </c>
      <c r="BG1080" t="str">
        <f>T("판타지 웹소설 &gt; 퓨전 판타지")</f>
        <v>판타지 웹소설 &gt; 퓨전 판타지</v>
      </c>
    </row>
    <row r="1081" spans="1:59">
      <c r="A1081" t="s">
        <v>60</v>
      </c>
      <c r="B1081" s="1">
        <v>46130</v>
      </c>
      <c r="C1081">
        <v>2378006375</v>
      </c>
      <c r="D1081">
        <v>2378006391</v>
      </c>
      <c r="E1081" t="str">
        <f>T("공작가의 수치, 회귀하다 17화")</f>
        <v>공작가의 수치, 회귀하다 17화</v>
      </c>
      <c r="F1081">
        <v>17</v>
      </c>
      <c r="G1081" t="str">
        <f>T("실라인")</f>
        <v>실라인</v>
      </c>
      <c r="J1081" t="str">
        <f>T("매드햇")</f>
        <v>매드햇</v>
      </c>
      <c r="K1081" t="str">
        <f>T("공작가의 수치, 회귀하다")</f>
        <v>공작가의 수치, 회귀하다</v>
      </c>
      <c r="L1081">
        <v>0</v>
      </c>
      <c r="M1081">
        <v>0</v>
      </c>
      <c r="N1081">
        <v>0</v>
      </c>
      <c r="O1081">
        <v>1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1</v>
      </c>
      <c r="AK1081">
        <v>0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S1081">
        <v>0</v>
      </c>
      <c r="AT1081">
        <v>0</v>
      </c>
      <c r="AV1081">
        <v>0</v>
      </c>
      <c r="AW1081">
        <v>0</v>
      </c>
      <c r="AY1081">
        <v>0</v>
      </c>
      <c r="AZ1081">
        <v>0</v>
      </c>
      <c r="BA1081">
        <v>0</v>
      </c>
      <c r="BE1081" t="str">
        <f>T("9791162585115")</f>
        <v>9791162585115</v>
      </c>
      <c r="BF1081" t="str">
        <f>T("E329462")</f>
        <v>E329462</v>
      </c>
      <c r="BG1081" t="str">
        <f>T("판타지 웹소설 &gt; 퓨전 판타지")</f>
        <v>판타지 웹소설 &gt; 퓨전 판타지</v>
      </c>
    </row>
    <row r="1082" spans="1:59">
      <c r="A1082" t="s">
        <v>60</v>
      </c>
      <c r="B1082" s="1">
        <v>46130</v>
      </c>
      <c r="C1082">
        <v>2378006375</v>
      </c>
      <c r="D1082">
        <v>2378006392</v>
      </c>
      <c r="E1082" t="str">
        <f>T("공작가의 수치, 회귀하다 18화")</f>
        <v>공작가의 수치, 회귀하다 18화</v>
      </c>
      <c r="F1082">
        <v>18</v>
      </c>
      <c r="G1082" t="str">
        <f>T("실라인")</f>
        <v>실라인</v>
      </c>
      <c r="J1082" t="str">
        <f>T("매드햇")</f>
        <v>매드햇</v>
      </c>
      <c r="K1082" t="str">
        <f>T("공작가의 수치, 회귀하다")</f>
        <v>공작가의 수치, 회귀하다</v>
      </c>
      <c r="L1082">
        <v>0</v>
      </c>
      <c r="M1082">
        <v>0</v>
      </c>
      <c r="N1082">
        <v>0</v>
      </c>
      <c r="O1082">
        <v>1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1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S1082">
        <v>0</v>
      </c>
      <c r="AT1082">
        <v>0</v>
      </c>
      <c r="AV1082">
        <v>0</v>
      </c>
      <c r="AW1082">
        <v>0</v>
      </c>
      <c r="AY1082">
        <v>0</v>
      </c>
      <c r="AZ1082">
        <v>0</v>
      </c>
      <c r="BA1082">
        <v>0</v>
      </c>
      <c r="BE1082" t="str">
        <f>T("9791162585115")</f>
        <v>9791162585115</v>
      </c>
      <c r="BF1082" t="str">
        <f>T("E329463")</f>
        <v>E329463</v>
      </c>
      <c r="BG1082" t="str">
        <f>T("판타지 웹소설 &gt; 퓨전 판타지")</f>
        <v>판타지 웹소설 &gt; 퓨전 판타지</v>
      </c>
    </row>
    <row r="1083" spans="1:59">
      <c r="A1083" t="s">
        <v>60</v>
      </c>
      <c r="B1083" s="1">
        <v>46130</v>
      </c>
      <c r="C1083">
        <v>2378006375</v>
      </c>
      <c r="D1083">
        <v>2378006393</v>
      </c>
      <c r="E1083" t="str">
        <f>T("공작가의 수치, 회귀하다 19화")</f>
        <v>공작가의 수치, 회귀하다 19화</v>
      </c>
      <c r="F1083">
        <v>19</v>
      </c>
      <c r="G1083" t="str">
        <f>T("실라인")</f>
        <v>실라인</v>
      </c>
      <c r="J1083" t="str">
        <f>T("매드햇")</f>
        <v>매드햇</v>
      </c>
      <c r="K1083" t="str">
        <f>T("공작가의 수치, 회귀하다")</f>
        <v>공작가의 수치, 회귀하다</v>
      </c>
      <c r="L1083">
        <v>0</v>
      </c>
      <c r="M1083">
        <v>0</v>
      </c>
      <c r="N1083">
        <v>0</v>
      </c>
      <c r="O1083">
        <v>1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1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S1083">
        <v>0</v>
      </c>
      <c r="AT1083">
        <v>0</v>
      </c>
      <c r="AV1083">
        <v>0</v>
      </c>
      <c r="AW1083">
        <v>0</v>
      </c>
      <c r="AY1083">
        <v>0</v>
      </c>
      <c r="AZ1083">
        <v>0</v>
      </c>
      <c r="BA1083">
        <v>0</v>
      </c>
      <c r="BE1083" t="str">
        <f>T("9791162585115")</f>
        <v>9791162585115</v>
      </c>
      <c r="BF1083" t="str">
        <f>T("E329464")</f>
        <v>E329464</v>
      </c>
      <c r="BG1083" t="str">
        <f>T("판타지 웹소설 &gt; 퓨전 판타지")</f>
        <v>판타지 웹소설 &gt; 퓨전 판타지</v>
      </c>
    </row>
    <row r="1084" spans="1:59">
      <c r="A1084" t="s">
        <v>60</v>
      </c>
      <c r="B1084" s="1">
        <v>46130</v>
      </c>
      <c r="C1084">
        <v>2378006375</v>
      </c>
      <c r="D1084">
        <v>2378006394</v>
      </c>
      <c r="E1084" t="str">
        <f>T("공작가의 수치, 회귀하다 20화")</f>
        <v>공작가의 수치, 회귀하다 20화</v>
      </c>
      <c r="F1084">
        <v>20</v>
      </c>
      <c r="G1084" t="str">
        <f>T("실라인")</f>
        <v>실라인</v>
      </c>
      <c r="J1084" t="str">
        <f>T("매드햇")</f>
        <v>매드햇</v>
      </c>
      <c r="K1084" t="str">
        <f>T("공작가의 수치, 회귀하다")</f>
        <v>공작가의 수치, 회귀하다</v>
      </c>
      <c r="L1084">
        <v>0</v>
      </c>
      <c r="M1084">
        <v>0</v>
      </c>
      <c r="N1084">
        <v>0</v>
      </c>
      <c r="O1084">
        <v>1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1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S1084">
        <v>0</v>
      </c>
      <c r="AT1084">
        <v>0</v>
      </c>
      <c r="AV1084">
        <v>0</v>
      </c>
      <c r="AW1084">
        <v>0</v>
      </c>
      <c r="AY1084">
        <v>0</v>
      </c>
      <c r="AZ1084">
        <v>0</v>
      </c>
      <c r="BA1084">
        <v>0</v>
      </c>
      <c r="BE1084" t="str">
        <f>T("9791162585115")</f>
        <v>9791162585115</v>
      </c>
      <c r="BF1084" t="str">
        <f>T("E329465")</f>
        <v>E329465</v>
      </c>
      <c r="BG1084" t="str">
        <f>T("판타지 웹소설 &gt; 퓨전 판타지")</f>
        <v>판타지 웹소설 &gt; 퓨전 판타지</v>
      </c>
    </row>
    <row r="1085" spans="1:59">
      <c r="A1085" t="s">
        <v>60</v>
      </c>
      <c r="B1085" s="1">
        <v>46130</v>
      </c>
      <c r="C1085">
        <v>2378006375</v>
      </c>
      <c r="D1085">
        <v>2378006395</v>
      </c>
      <c r="E1085" t="str">
        <f>T("공작가의 수치, 회귀하다 21화")</f>
        <v>공작가의 수치, 회귀하다 21화</v>
      </c>
      <c r="F1085">
        <v>21</v>
      </c>
      <c r="G1085" t="str">
        <f>T("실라인")</f>
        <v>실라인</v>
      </c>
      <c r="J1085" t="str">
        <f>T("매드햇")</f>
        <v>매드햇</v>
      </c>
      <c r="K1085" t="str">
        <f>T("공작가의 수치, 회귀하다")</f>
        <v>공작가의 수치, 회귀하다</v>
      </c>
      <c r="L1085">
        <v>0</v>
      </c>
      <c r="M1085">
        <v>0</v>
      </c>
      <c r="N1085">
        <v>0</v>
      </c>
      <c r="O1085">
        <v>1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0</v>
      </c>
      <c r="AF1085">
        <v>0</v>
      </c>
      <c r="AG1085">
        <v>0</v>
      </c>
      <c r="AH1085">
        <v>0</v>
      </c>
      <c r="AI1085">
        <v>0</v>
      </c>
      <c r="AJ1085">
        <v>1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S1085">
        <v>0</v>
      </c>
      <c r="AT1085">
        <v>0</v>
      </c>
      <c r="AV1085">
        <v>0</v>
      </c>
      <c r="AW1085">
        <v>0</v>
      </c>
      <c r="AY1085">
        <v>0</v>
      </c>
      <c r="AZ1085">
        <v>0</v>
      </c>
      <c r="BA1085">
        <v>0</v>
      </c>
      <c r="BE1085" t="str">
        <f>T("9791162585115")</f>
        <v>9791162585115</v>
      </c>
      <c r="BF1085" t="str">
        <f>T("E329466")</f>
        <v>E329466</v>
      </c>
      <c r="BG1085" t="str">
        <f>T("판타지 웹소설 &gt; 퓨전 판타지")</f>
        <v>판타지 웹소설 &gt; 퓨전 판타지</v>
      </c>
    </row>
    <row r="1086" spans="1:59">
      <c r="A1086" t="s">
        <v>60</v>
      </c>
      <c r="B1086" s="1">
        <v>46130</v>
      </c>
      <c r="C1086">
        <v>2378006375</v>
      </c>
      <c r="D1086">
        <v>2378006396</v>
      </c>
      <c r="E1086" t="str">
        <f>T("공작가의 수치, 회귀하다 22화")</f>
        <v>공작가의 수치, 회귀하다 22화</v>
      </c>
      <c r="F1086">
        <v>22</v>
      </c>
      <c r="G1086" t="str">
        <f>T("실라인")</f>
        <v>실라인</v>
      </c>
      <c r="J1086" t="str">
        <f>T("매드햇")</f>
        <v>매드햇</v>
      </c>
      <c r="K1086" t="str">
        <f>T("공작가의 수치, 회귀하다")</f>
        <v>공작가의 수치, 회귀하다</v>
      </c>
      <c r="L1086">
        <v>0</v>
      </c>
      <c r="M1086">
        <v>0</v>
      </c>
      <c r="N1086">
        <v>0</v>
      </c>
      <c r="O1086">
        <v>1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0</v>
      </c>
      <c r="AH1086">
        <v>0</v>
      </c>
      <c r="AI1086">
        <v>0</v>
      </c>
      <c r="AJ1086">
        <v>1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0</v>
      </c>
      <c r="AS1086">
        <v>0</v>
      </c>
      <c r="AT1086">
        <v>0</v>
      </c>
      <c r="AV1086">
        <v>0</v>
      </c>
      <c r="AW1086">
        <v>0</v>
      </c>
      <c r="AY1086">
        <v>0</v>
      </c>
      <c r="AZ1086">
        <v>0</v>
      </c>
      <c r="BA1086">
        <v>0</v>
      </c>
      <c r="BE1086" t="str">
        <f>T("9791162585115")</f>
        <v>9791162585115</v>
      </c>
      <c r="BF1086" t="str">
        <f>T("E329467")</f>
        <v>E329467</v>
      </c>
      <c r="BG1086" t="str">
        <f>T("판타지 웹소설 &gt; 퓨전 판타지")</f>
        <v>판타지 웹소설 &gt; 퓨전 판타지</v>
      </c>
    </row>
    <row r="1087" spans="1:59">
      <c r="A1087" t="s">
        <v>60</v>
      </c>
      <c r="B1087" s="1">
        <v>46130</v>
      </c>
      <c r="C1087">
        <v>2378006375</v>
      </c>
      <c r="D1087">
        <v>2378006397</v>
      </c>
      <c r="E1087" t="str">
        <f>T("공작가의 수치, 회귀하다 23화")</f>
        <v>공작가의 수치, 회귀하다 23화</v>
      </c>
      <c r="F1087">
        <v>23</v>
      </c>
      <c r="G1087" t="str">
        <f>T("실라인")</f>
        <v>실라인</v>
      </c>
      <c r="J1087" t="str">
        <f>T("매드햇")</f>
        <v>매드햇</v>
      </c>
      <c r="K1087" t="str">
        <f>T("공작가의 수치, 회귀하다")</f>
        <v>공작가의 수치, 회귀하다</v>
      </c>
      <c r="L1087">
        <v>0</v>
      </c>
      <c r="M1087">
        <v>0</v>
      </c>
      <c r="N1087">
        <v>0</v>
      </c>
      <c r="O1087">
        <v>1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0</v>
      </c>
      <c r="AJ1087">
        <v>1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S1087">
        <v>0</v>
      </c>
      <c r="AT1087">
        <v>0</v>
      </c>
      <c r="AV1087">
        <v>0</v>
      </c>
      <c r="AW1087">
        <v>0</v>
      </c>
      <c r="AY1087">
        <v>0</v>
      </c>
      <c r="AZ1087">
        <v>0</v>
      </c>
      <c r="BA1087">
        <v>0</v>
      </c>
      <c r="BE1087" t="str">
        <f>T("9791162585115")</f>
        <v>9791162585115</v>
      </c>
      <c r="BF1087" t="str">
        <f>T("E329468")</f>
        <v>E329468</v>
      </c>
      <c r="BG1087" t="str">
        <f>T("판타지 웹소설 &gt; 퓨전 판타지")</f>
        <v>판타지 웹소설 &gt; 퓨전 판타지</v>
      </c>
    </row>
    <row r="1088" spans="1:59">
      <c r="A1088" t="s">
        <v>60</v>
      </c>
      <c r="B1088" s="1">
        <v>46130</v>
      </c>
      <c r="C1088">
        <v>2378006375</v>
      </c>
      <c r="D1088">
        <v>2378006398</v>
      </c>
      <c r="E1088" t="str">
        <f>T("공작가의 수치, 회귀하다 24화")</f>
        <v>공작가의 수치, 회귀하다 24화</v>
      </c>
      <c r="F1088">
        <v>24</v>
      </c>
      <c r="G1088" t="str">
        <f>T("실라인")</f>
        <v>실라인</v>
      </c>
      <c r="J1088" t="str">
        <f>T("매드햇")</f>
        <v>매드햇</v>
      </c>
      <c r="K1088" t="str">
        <f>T("공작가의 수치, 회귀하다")</f>
        <v>공작가의 수치, 회귀하다</v>
      </c>
      <c r="L1088">
        <v>100</v>
      </c>
      <c r="M1088">
        <v>100</v>
      </c>
      <c r="N1088">
        <v>1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100</v>
      </c>
      <c r="AJ1088">
        <v>1</v>
      </c>
      <c r="AK1088">
        <v>0</v>
      </c>
      <c r="AL1088">
        <v>0</v>
      </c>
      <c r="AM1088">
        <v>100</v>
      </c>
      <c r="AN1088">
        <v>0</v>
      </c>
      <c r="AO1088">
        <v>0</v>
      </c>
      <c r="AP1088">
        <v>0</v>
      </c>
      <c r="AQ1088">
        <v>0</v>
      </c>
      <c r="AS1088">
        <v>0</v>
      </c>
      <c r="AT1088">
        <v>0</v>
      </c>
      <c r="AV1088">
        <v>0</v>
      </c>
      <c r="AW1088">
        <v>0</v>
      </c>
      <c r="AY1088">
        <v>0</v>
      </c>
      <c r="AZ1088">
        <v>0</v>
      </c>
      <c r="BA1088">
        <v>70</v>
      </c>
      <c r="BE1088" t="str">
        <f>T("9791162585115")</f>
        <v>9791162585115</v>
      </c>
      <c r="BF1088" t="str">
        <f>T("E329469")</f>
        <v>E329469</v>
      </c>
      <c r="BG1088" t="str">
        <f>T("판타지 웹소설 &gt; 퓨전 판타지")</f>
        <v>판타지 웹소설 &gt; 퓨전 판타지</v>
      </c>
    </row>
    <row r="1089" spans="1:59">
      <c r="A1089" t="s">
        <v>60</v>
      </c>
      <c r="B1089" s="1">
        <v>46131</v>
      </c>
      <c r="C1089">
        <v>2378006375</v>
      </c>
      <c r="D1089">
        <v>2378006425</v>
      </c>
      <c r="E1089" t="str">
        <f>T("공작가의 수치, 회귀하다 51화")</f>
        <v>공작가의 수치, 회귀하다 51화</v>
      </c>
      <c r="F1089">
        <v>51</v>
      </c>
      <c r="G1089" t="str">
        <f>T("실라인")</f>
        <v>실라인</v>
      </c>
      <c r="J1089" t="str">
        <f>T("매드햇")</f>
        <v>매드햇</v>
      </c>
      <c r="K1089" t="str">
        <f>T("공작가의 수치, 회귀하다")</f>
        <v>공작가의 수치, 회귀하다</v>
      </c>
      <c r="L1089">
        <v>100</v>
      </c>
      <c r="M1089">
        <v>100</v>
      </c>
      <c r="N1089">
        <v>1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100</v>
      </c>
      <c r="AJ1089">
        <v>1</v>
      </c>
      <c r="AK1089">
        <v>0</v>
      </c>
      <c r="AL1089">
        <v>0</v>
      </c>
      <c r="AM1089">
        <v>0</v>
      </c>
      <c r="AN1089">
        <v>0</v>
      </c>
      <c r="AO1089">
        <v>120</v>
      </c>
      <c r="AP1089">
        <v>-12</v>
      </c>
      <c r="AQ1089">
        <v>0</v>
      </c>
      <c r="AS1089">
        <v>0</v>
      </c>
      <c r="AT1089">
        <v>0</v>
      </c>
      <c r="AU1089">
        <v>120</v>
      </c>
      <c r="AV1089">
        <v>-12</v>
      </c>
      <c r="AW1089">
        <v>0</v>
      </c>
      <c r="AY1089">
        <v>0</v>
      </c>
      <c r="AZ1089">
        <v>0</v>
      </c>
      <c r="BA1089">
        <v>75.599999999999994</v>
      </c>
      <c r="BE1089" t="str">
        <f>T("9791162585115")</f>
        <v>9791162585115</v>
      </c>
      <c r="BF1089" t="str">
        <f>T("E329496")</f>
        <v>E329496</v>
      </c>
      <c r="BG1089" t="str">
        <f>T("판타지 웹소설 &gt; 퓨전 판타지")</f>
        <v>판타지 웹소설 &gt; 퓨전 판타지</v>
      </c>
    </row>
    <row r="1090" spans="1:59">
      <c r="A1090" t="s">
        <v>60</v>
      </c>
      <c r="B1090" s="1">
        <v>46131</v>
      </c>
      <c r="C1090">
        <v>2378006375</v>
      </c>
      <c r="D1090">
        <v>2378006442</v>
      </c>
      <c r="E1090" t="str">
        <f>T("공작가의 수치, 회귀하다 68화")</f>
        <v>공작가의 수치, 회귀하다 68화</v>
      </c>
      <c r="F1090">
        <v>68</v>
      </c>
      <c r="G1090" t="str">
        <f>T("실라인")</f>
        <v>실라인</v>
      </c>
      <c r="J1090" t="str">
        <f>T("매드햇")</f>
        <v>매드햇</v>
      </c>
      <c r="K1090" t="str">
        <f>T("공작가의 수치, 회귀하다")</f>
        <v>공작가의 수치, 회귀하다</v>
      </c>
      <c r="L1090">
        <v>100</v>
      </c>
      <c r="M1090">
        <v>100</v>
      </c>
      <c r="N1090">
        <v>1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100</v>
      </c>
      <c r="AJ1090">
        <v>1</v>
      </c>
      <c r="AK1090">
        <v>0</v>
      </c>
      <c r="AL1090">
        <v>0</v>
      </c>
      <c r="AM1090">
        <v>0</v>
      </c>
      <c r="AN1090">
        <v>0</v>
      </c>
      <c r="AO1090">
        <v>120</v>
      </c>
      <c r="AP1090">
        <v>-12</v>
      </c>
      <c r="AQ1090">
        <v>0</v>
      </c>
      <c r="AS1090">
        <v>0</v>
      </c>
      <c r="AT1090">
        <v>0</v>
      </c>
      <c r="AU1090">
        <v>120</v>
      </c>
      <c r="AV1090">
        <v>-12</v>
      </c>
      <c r="AW1090">
        <v>0</v>
      </c>
      <c r="AY1090">
        <v>0</v>
      </c>
      <c r="AZ1090">
        <v>0</v>
      </c>
      <c r="BA1090">
        <v>75.599999999999994</v>
      </c>
      <c r="BE1090" t="str">
        <f>T("9791162585115")</f>
        <v>9791162585115</v>
      </c>
      <c r="BF1090" t="str">
        <f>T("E329513")</f>
        <v>E329513</v>
      </c>
      <c r="BG1090" t="str">
        <f>T("판타지 웹소설 &gt; 퓨전 판타지")</f>
        <v>판타지 웹소설 &gt; 퓨전 판타지</v>
      </c>
    </row>
    <row r="1091" spans="1:59">
      <c r="A1091" t="s">
        <v>60</v>
      </c>
      <c r="B1091" s="1">
        <v>46131</v>
      </c>
      <c r="C1091">
        <v>2378006375</v>
      </c>
      <c r="D1091">
        <v>2378006443</v>
      </c>
      <c r="E1091" t="str">
        <f>T("공작가의 수치, 회귀하다 69화")</f>
        <v>공작가의 수치, 회귀하다 69화</v>
      </c>
      <c r="F1091">
        <v>69</v>
      </c>
      <c r="G1091" t="str">
        <f>T("실라인")</f>
        <v>실라인</v>
      </c>
      <c r="J1091" t="str">
        <f>T("매드햇")</f>
        <v>매드햇</v>
      </c>
      <c r="K1091" t="str">
        <f>T("공작가의 수치, 회귀하다")</f>
        <v>공작가의 수치, 회귀하다</v>
      </c>
      <c r="L1091">
        <v>100</v>
      </c>
      <c r="M1091">
        <v>100</v>
      </c>
      <c r="N1091">
        <v>1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0</v>
      </c>
      <c r="AH1091">
        <v>0</v>
      </c>
      <c r="AI1091">
        <v>100</v>
      </c>
      <c r="AJ1091">
        <v>1</v>
      </c>
      <c r="AK1091">
        <v>0</v>
      </c>
      <c r="AL1091">
        <v>0</v>
      </c>
      <c r="AM1091">
        <v>0</v>
      </c>
      <c r="AN1091">
        <v>0</v>
      </c>
      <c r="AO1091">
        <v>120</v>
      </c>
      <c r="AP1091">
        <v>-12</v>
      </c>
      <c r="AQ1091">
        <v>0</v>
      </c>
      <c r="AS1091">
        <v>0</v>
      </c>
      <c r="AT1091">
        <v>0</v>
      </c>
      <c r="AU1091">
        <v>120</v>
      </c>
      <c r="AV1091">
        <v>-12</v>
      </c>
      <c r="AW1091">
        <v>0</v>
      </c>
      <c r="AY1091">
        <v>0</v>
      </c>
      <c r="AZ1091">
        <v>0</v>
      </c>
      <c r="BA1091">
        <v>75.599999999999994</v>
      </c>
      <c r="BE1091" t="str">
        <f>T("9791162585115")</f>
        <v>9791162585115</v>
      </c>
      <c r="BF1091" t="str">
        <f>T("E329514")</f>
        <v>E329514</v>
      </c>
      <c r="BG1091" t="str">
        <f>T("판타지 웹소설 &gt; 퓨전 판타지")</f>
        <v>판타지 웹소설 &gt; 퓨전 판타지</v>
      </c>
    </row>
    <row r="1092" spans="1:59">
      <c r="A1092" t="s">
        <v>60</v>
      </c>
      <c r="B1092" s="1">
        <v>46131</v>
      </c>
      <c r="C1092">
        <v>2378006375</v>
      </c>
      <c r="D1092">
        <v>2378006449</v>
      </c>
      <c r="E1092" t="str">
        <f>T("공작가의 수치, 회귀하다 75화")</f>
        <v>공작가의 수치, 회귀하다 75화</v>
      </c>
      <c r="F1092">
        <v>75</v>
      </c>
      <c r="G1092" t="str">
        <f>T("실라인")</f>
        <v>실라인</v>
      </c>
      <c r="J1092" t="str">
        <f>T("매드햇")</f>
        <v>매드햇</v>
      </c>
      <c r="K1092" t="str">
        <f>T("공작가의 수치, 회귀하다")</f>
        <v>공작가의 수치, 회귀하다</v>
      </c>
      <c r="L1092">
        <v>100</v>
      </c>
      <c r="M1092">
        <v>100</v>
      </c>
      <c r="N1092">
        <v>1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100</v>
      </c>
      <c r="AJ1092">
        <v>1</v>
      </c>
      <c r="AK1092">
        <v>0</v>
      </c>
      <c r="AL1092">
        <v>0</v>
      </c>
      <c r="AM1092">
        <v>0</v>
      </c>
      <c r="AN1092">
        <v>0</v>
      </c>
      <c r="AO1092">
        <v>120</v>
      </c>
      <c r="AP1092">
        <v>-12</v>
      </c>
      <c r="AQ1092">
        <v>0</v>
      </c>
      <c r="AS1092">
        <v>0</v>
      </c>
      <c r="AT1092">
        <v>0</v>
      </c>
      <c r="AU1092">
        <v>120</v>
      </c>
      <c r="AV1092">
        <v>-12</v>
      </c>
      <c r="AW1092">
        <v>0</v>
      </c>
      <c r="AY1092">
        <v>0</v>
      </c>
      <c r="AZ1092">
        <v>0</v>
      </c>
      <c r="BA1092">
        <v>75.599999999999994</v>
      </c>
      <c r="BE1092" t="str">
        <f>T("9791162585115")</f>
        <v>9791162585115</v>
      </c>
      <c r="BF1092" t="str">
        <f>T("E332888")</f>
        <v>E332888</v>
      </c>
      <c r="BG1092" t="str">
        <f>T("판타지 웹소설 &gt; 퓨전 판타지")</f>
        <v>판타지 웹소설 &gt; 퓨전 판타지</v>
      </c>
    </row>
    <row r="1093" spans="1:59">
      <c r="A1093" t="s">
        <v>60</v>
      </c>
      <c r="B1093" s="1">
        <v>46131</v>
      </c>
      <c r="C1093">
        <v>2378006375</v>
      </c>
      <c r="D1093">
        <v>2378006450</v>
      </c>
      <c r="E1093" t="str">
        <f>T("공작가의 수치, 회귀하다 76화")</f>
        <v>공작가의 수치, 회귀하다 76화</v>
      </c>
      <c r="F1093">
        <v>76</v>
      </c>
      <c r="G1093" t="str">
        <f>T("실라인")</f>
        <v>실라인</v>
      </c>
      <c r="J1093" t="str">
        <f>T("매드햇")</f>
        <v>매드햇</v>
      </c>
      <c r="K1093" t="str">
        <f>T("공작가의 수치, 회귀하다")</f>
        <v>공작가의 수치, 회귀하다</v>
      </c>
      <c r="L1093">
        <v>100</v>
      </c>
      <c r="M1093">
        <v>100</v>
      </c>
      <c r="N1093">
        <v>1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100</v>
      </c>
      <c r="AJ1093">
        <v>1</v>
      </c>
      <c r="AK1093">
        <v>0</v>
      </c>
      <c r="AL1093">
        <v>0</v>
      </c>
      <c r="AM1093">
        <v>0</v>
      </c>
      <c r="AN1093">
        <v>0</v>
      </c>
      <c r="AO1093">
        <v>120</v>
      </c>
      <c r="AP1093">
        <v>-12</v>
      </c>
      <c r="AQ1093">
        <v>0</v>
      </c>
      <c r="AS1093">
        <v>0</v>
      </c>
      <c r="AT1093">
        <v>0</v>
      </c>
      <c r="AU1093">
        <v>120</v>
      </c>
      <c r="AV1093">
        <v>-12</v>
      </c>
      <c r="AW1093">
        <v>0</v>
      </c>
      <c r="AY1093">
        <v>0</v>
      </c>
      <c r="AZ1093">
        <v>0</v>
      </c>
      <c r="BA1093">
        <v>75.599999999999994</v>
      </c>
      <c r="BE1093" t="str">
        <f>T("9791162585115")</f>
        <v>9791162585115</v>
      </c>
      <c r="BF1093" t="str">
        <f>T("E332889")</f>
        <v>E332889</v>
      </c>
      <c r="BG1093" t="str">
        <f>T("판타지 웹소설 &gt; 퓨전 판타지")</f>
        <v>판타지 웹소설 &gt; 퓨전 판타지</v>
      </c>
    </row>
    <row r="1094" spans="1:59">
      <c r="A1094" t="s">
        <v>60</v>
      </c>
      <c r="B1094" s="1">
        <v>46131</v>
      </c>
      <c r="C1094">
        <v>2378006375</v>
      </c>
      <c r="D1094">
        <v>2378006451</v>
      </c>
      <c r="E1094" t="str">
        <f>T("공작가의 수치, 회귀하다 77화")</f>
        <v>공작가의 수치, 회귀하다 77화</v>
      </c>
      <c r="F1094">
        <v>77</v>
      </c>
      <c r="G1094" t="str">
        <f>T("실라인")</f>
        <v>실라인</v>
      </c>
      <c r="J1094" t="str">
        <f>T("매드햇")</f>
        <v>매드햇</v>
      </c>
      <c r="K1094" t="str">
        <f>T("공작가의 수치, 회귀하다")</f>
        <v>공작가의 수치, 회귀하다</v>
      </c>
      <c r="L1094">
        <v>100</v>
      </c>
      <c r="M1094">
        <v>100</v>
      </c>
      <c r="N1094">
        <v>1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100</v>
      </c>
      <c r="AJ1094">
        <v>1</v>
      </c>
      <c r="AK1094">
        <v>0</v>
      </c>
      <c r="AL1094">
        <v>0</v>
      </c>
      <c r="AM1094">
        <v>0</v>
      </c>
      <c r="AN1094">
        <v>0</v>
      </c>
      <c r="AO1094">
        <v>120</v>
      </c>
      <c r="AP1094">
        <v>-12</v>
      </c>
      <c r="AQ1094">
        <v>0</v>
      </c>
      <c r="AS1094">
        <v>0</v>
      </c>
      <c r="AT1094">
        <v>0</v>
      </c>
      <c r="AU1094">
        <v>120</v>
      </c>
      <c r="AV1094">
        <v>-12</v>
      </c>
      <c r="AW1094">
        <v>0</v>
      </c>
      <c r="AY1094">
        <v>0</v>
      </c>
      <c r="AZ1094">
        <v>0</v>
      </c>
      <c r="BA1094">
        <v>75.599999999999994</v>
      </c>
      <c r="BE1094" t="str">
        <f>T("9791162585115")</f>
        <v>9791162585115</v>
      </c>
      <c r="BF1094" t="str">
        <f>T("E332890")</f>
        <v>E332890</v>
      </c>
      <c r="BG1094" t="str">
        <f>T("판타지 웹소설 &gt; 퓨전 판타지")</f>
        <v>판타지 웹소설 &gt; 퓨전 판타지</v>
      </c>
    </row>
    <row r="1095" spans="1:59">
      <c r="A1095" t="s">
        <v>60</v>
      </c>
      <c r="B1095" s="1">
        <v>46131</v>
      </c>
      <c r="C1095">
        <v>2378006375</v>
      </c>
      <c r="D1095">
        <v>2378006452</v>
      </c>
      <c r="E1095" t="str">
        <f>T("공작가의 수치, 회귀하다 78화")</f>
        <v>공작가의 수치, 회귀하다 78화</v>
      </c>
      <c r="F1095">
        <v>78</v>
      </c>
      <c r="G1095" t="str">
        <f>T("실라인")</f>
        <v>실라인</v>
      </c>
      <c r="J1095" t="str">
        <f>T("매드햇")</f>
        <v>매드햇</v>
      </c>
      <c r="K1095" t="str">
        <f>T("공작가의 수치, 회귀하다")</f>
        <v>공작가의 수치, 회귀하다</v>
      </c>
      <c r="L1095">
        <v>100</v>
      </c>
      <c r="M1095">
        <v>100</v>
      </c>
      <c r="N1095">
        <v>1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>
        <v>100</v>
      </c>
      <c r="AJ1095">
        <v>1</v>
      </c>
      <c r="AK1095">
        <v>0</v>
      </c>
      <c r="AL1095">
        <v>0</v>
      </c>
      <c r="AM1095">
        <v>0</v>
      </c>
      <c r="AN1095">
        <v>0</v>
      </c>
      <c r="AO1095">
        <v>120</v>
      </c>
      <c r="AP1095">
        <v>-12</v>
      </c>
      <c r="AQ1095">
        <v>0</v>
      </c>
      <c r="AS1095">
        <v>0</v>
      </c>
      <c r="AT1095">
        <v>0</v>
      </c>
      <c r="AU1095">
        <v>120</v>
      </c>
      <c r="AV1095">
        <v>-12</v>
      </c>
      <c r="AW1095">
        <v>0</v>
      </c>
      <c r="AY1095">
        <v>0</v>
      </c>
      <c r="AZ1095">
        <v>0</v>
      </c>
      <c r="BA1095">
        <v>75.599999999999994</v>
      </c>
      <c r="BE1095" t="str">
        <f>T("9791162585115")</f>
        <v>9791162585115</v>
      </c>
      <c r="BF1095" t="str">
        <f>T("E332891")</f>
        <v>E332891</v>
      </c>
      <c r="BG1095" t="str">
        <f>T("판타지 웹소설 &gt; 퓨전 판타지")</f>
        <v>판타지 웹소설 &gt; 퓨전 판타지</v>
      </c>
    </row>
    <row r="1096" spans="1:59">
      <c r="A1096" t="s">
        <v>60</v>
      </c>
      <c r="B1096" s="1">
        <v>46131</v>
      </c>
      <c r="C1096">
        <v>2378006375</v>
      </c>
      <c r="D1096">
        <v>2378006453</v>
      </c>
      <c r="E1096" t="str">
        <f>T("공작가의 수치, 회귀하다 79화")</f>
        <v>공작가의 수치, 회귀하다 79화</v>
      </c>
      <c r="F1096">
        <v>79</v>
      </c>
      <c r="G1096" t="str">
        <f>T("실라인")</f>
        <v>실라인</v>
      </c>
      <c r="J1096" t="str">
        <f>T("매드햇")</f>
        <v>매드햇</v>
      </c>
      <c r="K1096" t="str">
        <f>T("공작가의 수치, 회귀하다")</f>
        <v>공작가의 수치, 회귀하다</v>
      </c>
      <c r="L1096">
        <v>100</v>
      </c>
      <c r="M1096">
        <v>100</v>
      </c>
      <c r="N1096">
        <v>1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100</v>
      </c>
      <c r="AJ1096">
        <v>1</v>
      </c>
      <c r="AK1096">
        <v>0</v>
      </c>
      <c r="AL1096">
        <v>0</v>
      </c>
      <c r="AM1096">
        <v>0</v>
      </c>
      <c r="AN1096">
        <v>0</v>
      </c>
      <c r="AO1096">
        <v>120</v>
      </c>
      <c r="AP1096">
        <v>-12</v>
      </c>
      <c r="AQ1096">
        <v>0</v>
      </c>
      <c r="AS1096">
        <v>0</v>
      </c>
      <c r="AT1096">
        <v>0</v>
      </c>
      <c r="AU1096">
        <v>120</v>
      </c>
      <c r="AV1096">
        <v>-12</v>
      </c>
      <c r="AW1096">
        <v>0</v>
      </c>
      <c r="AY1096">
        <v>0</v>
      </c>
      <c r="AZ1096">
        <v>0</v>
      </c>
      <c r="BA1096">
        <v>75.599999999999994</v>
      </c>
      <c r="BE1096" t="str">
        <f>T("9791162585115")</f>
        <v>9791162585115</v>
      </c>
      <c r="BF1096" t="str">
        <f>T("E332892")</f>
        <v>E332892</v>
      </c>
      <c r="BG1096" t="str">
        <f>T("판타지 웹소설 &gt; 퓨전 판타지")</f>
        <v>판타지 웹소설 &gt; 퓨전 판타지</v>
      </c>
    </row>
    <row r="1097" spans="1:59">
      <c r="A1097" t="s">
        <v>60</v>
      </c>
      <c r="B1097" s="1">
        <v>46131</v>
      </c>
      <c r="C1097">
        <v>2378006375</v>
      </c>
      <c r="D1097">
        <v>2378006454</v>
      </c>
      <c r="E1097" t="str">
        <f>T("공작가의 수치, 회귀하다 80화")</f>
        <v>공작가의 수치, 회귀하다 80화</v>
      </c>
      <c r="F1097">
        <v>80</v>
      </c>
      <c r="G1097" t="str">
        <f>T("실라인")</f>
        <v>실라인</v>
      </c>
      <c r="J1097" t="str">
        <f>T("매드햇")</f>
        <v>매드햇</v>
      </c>
      <c r="K1097" t="str">
        <f>T("공작가의 수치, 회귀하다")</f>
        <v>공작가의 수치, 회귀하다</v>
      </c>
      <c r="L1097">
        <v>100</v>
      </c>
      <c r="M1097">
        <v>100</v>
      </c>
      <c r="N1097">
        <v>1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100</v>
      </c>
      <c r="AJ1097">
        <v>1</v>
      </c>
      <c r="AK1097">
        <v>0</v>
      </c>
      <c r="AL1097">
        <v>0</v>
      </c>
      <c r="AM1097">
        <v>0</v>
      </c>
      <c r="AN1097">
        <v>0</v>
      </c>
      <c r="AO1097">
        <v>120</v>
      </c>
      <c r="AP1097">
        <v>-12</v>
      </c>
      <c r="AQ1097">
        <v>0</v>
      </c>
      <c r="AS1097">
        <v>0</v>
      </c>
      <c r="AT1097">
        <v>0</v>
      </c>
      <c r="AU1097">
        <v>120</v>
      </c>
      <c r="AV1097">
        <v>-12</v>
      </c>
      <c r="AW1097">
        <v>0</v>
      </c>
      <c r="AY1097">
        <v>0</v>
      </c>
      <c r="AZ1097">
        <v>0</v>
      </c>
      <c r="BA1097">
        <v>75.599999999999994</v>
      </c>
      <c r="BE1097" t="str">
        <f>T("9791162585115")</f>
        <v>9791162585115</v>
      </c>
      <c r="BF1097" t="str">
        <f>T("E332893")</f>
        <v>E332893</v>
      </c>
      <c r="BG1097" t="str">
        <f>T("판타지 웹소설 &gt; 퓨전 판타지")</f>
        <v>판타지 웹소설 &gt; 퓨전 판타지</v>
      </c>
    </row>
    <row r="1098" spans="1:59">
      <c r="A1098" t="s">
        <v>60</v>
      </c>
      <c r="B1098" s="1">
        <v>46129</v>
      </c>
      <c r="C1098">
        <v>2378047879</v>
      </c>
      <c r="D1098">
        <v>2378047879</v>
      </c>
      <c r="E1098" t="str">
        <f>T("광명소야전 1화")</f>
        <v>광명소야전 1화</v>
      </c>
      <c r="F1098">
        <v>1</v>
      </c>
      <c r="G1098" t="str">
        <f>T("무언")</f>
        <v>무언</v>
      </c>
      <c r="J1098" t="str">
        <f>T("매드햇")</f>
        <v>매드햇</v>
      </c>
      <c r="K1098" t="str">
        <f>T("광명소야전")</f>
        <v>광명소야전</v>
      </c>
      <c r="L1098">
        <v>0</v>
      </c>
      <c r="M1098">
        <v>0</v>
      </c>
      <c r="N1098">
        <v>0</v>
      </c>
      <c r="O1098">
        <v>1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1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S1098">
        <v>0</v>
      </c>
      <c r="AT1098">
        <v>0</v>
      </c>
      <c r="AV1098">
        <v>0</v>
      </c>
      <c r="AW1098">
        <v>0</v>
      </c>
      <c r="AY1098">
        <v>0</v>
      </c>
      <c r="AZ1098">
        <v>0</v>
      </c>
      <c r="BA1098">
        <v>0</v>
      </c>
      <c r="BE1098" t="str">
        <f>T("9791137014725")</f>
        <v>9791137014725</v>
      </c>
      <c r="BF1098" t="str">
        <f>T("k023209")</f>
        <v>k023209</v>
      </c>
      <c r="BG1098" t="str">
        <f>T("판타지 웹소설 &gt; 퓨전 판타지")</f>
        <v>판타지 웹소설 &gt; 퓨전 판타지</v>
      </c>
    </row>
    <row r="1099" spans="1:59">
      <c r="A1099" t="s">
        <v>60</v>
      </c>
      <c r="B1099" s="1">
        <v>46129</v>
      </c>
      <c r="C1099">
        <v>2378047879</v>
      </c>
      <c r="D1099">
        <v>2378047880</v>
      </c>
      <c r="E1099" t="str">
        <f>T("광명소야전 2화")</f>
        <v>광명소야전 2화</v>
      </c>
      <c r="F1099">
        <v>2</v>
      </c>
      <c r="G1099" t="str">
        <f>T("무언")</f>
        <v>무언</v>
      </c>
      <c r="J1099" t="str">
        <f>T("매드햇")</f>
        <v>매드햇</v>
      </c>
      <c r="K1099" t="str">
        <f>T("광명소야전")</f>
        <v>광명소야전</v>
      </c>
      <c r="L1099">
        <v>0</v>
      </c>
      <c r="M1099">
        <v>0</v>
      </c>
      <c r="N1099">
        <v>0</v>
      </c>
      <c r="O1099">
        <v>1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0</v>
      </c>
      <c r="AJ1099">
        <v>1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S1099">
        <v>0</v>
      </c>
      <c r="AT1099">
        <v>0</v>
      </c>
      <c r="AV1099">
        <v>0</v>
      </c>
      <c r="AW1099">
        <v>0</v>
      </c>
      <c r="AY1099">
        <v>0</v>
      </c>
      <c r="AZ1099">
        <v>0</v>
      </c>
      <c r="BA1099">
        <v>0</v>
      </c>
      <c r="BE1099" t="str">
        <f>T("9791137014725")</f>
        <v>9791137014725</v>
      </c>
      <c r="BF1099" t="str">
        <f>T("k023210")</f>
        <v>k023210</v>
      </c>
      <c r="BG1099" t="str">
        <f>T("판타지 웹소설 &gt; 퓨전 판타지")</f>
        <v>판타지 웹소설 &gt; 퓨전 판타지</v>
      </c>
    </row>
    <row r="1100" spans="1:59">
      <c r="A1100" t="s">
        <v>60</v>
      </c>
      <c r="B1100" s="1">
        <v>46129</v>
      </c>
      <c r="C1100">
        <v>2378047879</v>
      </c>
      <c r="D1100">
        <v>2378047881</v>
      </c>
      <c r="E1100" t="str">
        <f>T("광명소야전 3화")</f>
        <v>광명소야전 3화</v>
      </c>
      <c r="F1100">
        <v>3</v>
      </c>
      <c r="G1100" t="str">
        <f>T("무언")</f>
        <v>무언</v>
      </c>
      <c r="J1100" t="str">
        <f>T("매드햇")</f>
        <v>매드햇</v>
      </c>
      <c r="K1100" t="str">
        <f>T("광명소야전")</f>
        <v>광명소야전</v>
      </c>
      <c r="L1100">
        <v>0</v>
      </c>
      <c r="M1100">
        <v>0</v>
      </c>
      <c r="N1100">
        <v>0</v>
      </c>
      <c r="O1100">
        <v>1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1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S1100">
        <v>0</v>
      </c>
      <c r="AT1100">
        <v>0</v>
      </c>
      <c r="AV1100">
        <v>0</v>
      </c>
      <c r="AW1100">
        <v>0</v>
      </c>
      <c r="AY1100">
        <v>0</v>
      </c>
      <c r="AZ1100">
        <v>0</v>
      </c>
      <c r="BA1100">
        <v>0</v>
      </c>
      <c r="BE1100" t="str">
        <f>T("9791137014725")</f>
        <v>9791137014725</v>
      </c>
      <c r="BF1100" t="str">
        <f>T("k023211")</f>
        <v>k023211</v>
      </c>
      <c r="BG1100" t="str">
        <f>T("판타지 웹소설 &gt; 퓨전 판타지")</f>
        <v>판타지 웹소설 &gt; 퓨전 판타지</v>
      </c>
    </row>
    <row r="1101" spans="1:59">
      <c r="A1101" t="s">
        <v>60</v>
      </c>
      <c r="B1101" s="1">
        <v>46129</v>
      </c>
      <c r="C1101">
        <v>2378047879</v>
      </c>
      <c r="D1101">
        <v>2378047882</v>
      </c>
      <c r="E1101" t="str">
        <f>T("광명소야전 4화")</f>
        <v>광명소야전 4화</v>
      </c>
      <c r="F1101">
        <v>4</v>
      </c>
      <c r="G1101" t="str">
        <f>T("무언")</f>
        <v>무언</v>
      </c>
      <c r="J1101" t="str">
        <f>T("매드햇")</f>
        <v>매드햇</v>
      </c>
      <c r="K1101" t="str">
        <f>T("광명소야전")</f>
        <v>광명소야전</v>
      </c>
      <c r="L1101">
        <v>0</v>
      </c>
      <c r="M1101">
        <v>0</v>
      </c>
      <c r="N1101">
        <v>0</v>
      </c>
      <c r="O1101">
        <v>1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0</v>
      </c>
      <c r="AJ1101">
        <v>1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S1101">
        <v>0</v>
      </c>
      <c r="AT1101">
        <v>0</v>
      </c>
      <c r="AV1101">
        <v>0</v>
      </c>
      <c r="AW1101">
        <v>0</v>
      </c>
      <c r="AY1101">
        <v>0</v>
      </c>
      <c r="AZ1101">
        <v>0</v>
      </c>
      <c r="BA1101">
        <v>0</v>
      </c>
      <c r="BE1101" t="str">
        <f>T("9791137014725")</f>
        <v>9791137014725</v>
      </c>
      <c r="BF1101" t="str">
        <f>T("k023212")</f>
        <v>k023212</v>
      </c>
      <c r="BG1101" t="str">
        <f>T("판타지 웹소설 &gt; 퓨전 판타지")</f>
        <v>판타지 웹소설 &gt; 퓨전 판타지</v>
      </c>
    </row>
    <row r="1102" spans="1:59">
      <c r="A1102" t="s">
        <v>60</v>
      </c>
      <c r="B1102" s="1">
        <v>46129</v>
      </c>
      <c r="C1102">
        <v>2378047879</v>
      </c>
      <c r="D1102">
        <v>2378047883</v>
      </c>
      <c r="E1102" t="str">
        <f>T("광명소야전 5화")</f>
        <v>광명소야전 5화</v>
      </c>
      <c r="F1102">
        <v>5</v>
      </c>
      <c r="G1102" t="str">
        <f>T("무언")</f>
        <v>무언</v>
      </c>
      <c r="J1102" t="str">
        <f>T("매드햇")</f>
        <v>매드햇</v>
      </c>
      <c r="K1102" t="str">
        <f>T("광명소야전")</f>
        <v>광명소야전</v>
      </c>
      <c r="L1102">
        <v>0</v>
      </c>
      <c r="M1102">
        <v>0</v>
      </c>
      <c r="N1102">
        <v>0</v>
      </c>
      <c r="O1102">
        <v>1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1</v>
      </c>
      <c r="AK1102">
        <v>0</v>
      </c>
      <c r="AL1102">
        <v>0</v>
      </c>
      <c r="AM1102">
        <v>0</v>
      </c>
      <c r="AN1102">
        <v>0</v>
      </c>
      <c r="AO1102">
        <v>0</v>
      </c>
      <c r="AP1102">
        <v>0</v>
      </c>
      <c r="AQ1102">
        <v>0</v>
      </c>
      <c r="AS1102">
        <v>0</v>
      </c>
      <c r="AT1102">
        <v>0</v>
      </c>
      <c r="AV1102">
        <v>0</v>
      </c>
      <c r="AW1102">
        <v>0</v>
      </c>
      <c r="AY1102">
        <v>0</v>
      </c>
      <c r="AZ1102">
        <v>0</v>
      </c>
      <c r="BA1102">
        <v>0</v>
      </c>
      <c r="BE1102" t="str">
        <f>T("9791137014725")</f>
        <v>9791137014725</v>
      </c>
      <c r="BF1102" t="str">
        <f>T("k023213")</f>
        <v>k023213</v>
      </c>
      <c r="BG1102" t="str">
        <f>T("판타지 웹소설 &gt; 퓨전 판타지")</f>
        <v>판타지 웹소설 &gt; 퓨전 판타지</v>
      </c>
    </row>
    <row r="1103" spans="1:59">
      <c r="A1103" t="s">
        <v>60</v>
      </c>
      <c r="B1103" s="1">
        <v>46129</v>
      </c>
      <c r="C1103">
        <v>2378047879</v>
      </c>
      <c r="D1103">
        <v>2378047884</v>
      </c>
      <c r="E1103" t="str">
        <f>T("광명소야전 6화")</f>
        <v>광명소야전 6화</v>
      </c>
      <c r="F1103">
        <v>6</v>
      </c>
      <c r="G1103" t="str">
        <f>T("무언")</f>
        <v>무언</v>
      </c>
      <c r="J1103" t="str">
        <f>T("매드햇")</f>
        <v>매드햇</v>
      </c>
      <c r="K1103" t="str">
        <f>T("광명소야전")</f>
        <v>광명소야전</v>
      </c>
      <c r="L1103">
        <v>0</v>
      </c>
      <c r="M1103">
        <v>0</v>
      </c>
      <c r="N1103">
        <v>0</v>
      </c>
      <c r="O1103">
        <v>1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1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S1103">
        <v>0</v>
      </c>
      <c r="AT1103">
        <v>0</v>
      </c>
      <c r="AV1103">
        <v>0</v>
      </c>
      <c r="AW1103">
        <v>0</v>
      </c>
      <c r="AY1103">
        <v>0</v>
      </c>
      <c r="AZ1103">
        <v>0</v>
      </c>
      <c r="BA1103">
        <v>0</v>
      </c>
      <c r="BE1103" t="str">
        <f>T("9791137014725")</f>
        <v>9791137014725</v>
      </c>
      <c r="BF1103" t="str">
        <f>T("k023214")</f>
        <v>k023214</v>
      </c>
      <c r="BG1103" t="str">
        <f>T("판타지 웹소설 &gt; 퓨전 판타지")</f>
        <v>판타지 웹소설 &gt; 퓨전 판타지</v>
      </c>
    </row>
    <row r="1104" spans="1:59">
      <c r="A1104" t="s">
        <v>60</v>
      </c>
      <c r="B1104" s="1">
        <v>46129</v>
      </c>
      <c r="C1104">
        <v>2378047879</v>
      </c>
      <c r="D1104">
        <v>2378047885</v>
      </c>
      <c r="E1104" t="str">
        <f>T("광명소야전 7화")</f>
        <v>광명소야전 7화</v>
      </c>
      <c r="F1104">
        <v>7</v>
      </c>
      <c r="G1104" t="str">
        <f>T("무언")</f>
        <v>무언</v>
      </c>
      <c r="J1104" t="str">
        <f>T("매드햇")</f>
        <v>매드햇</v>
      </c>
      <c r="K1104" t="str">
        <f>T("광명소야전")</f>
        <v>광명소야전</v>
      </c>
      <c r="L1104">
        <v>0</v>
      </c>
      <c r="M1104">
        <v>0</v>
      </c>
      <c r="N1104">
        <v>0</v>
      </c>
      <c r="O1104">
        <v>1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1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0</v>
      </c>
      <c r="AS1104">
        <v>0</v>
      </c>
      <c r="AT1104">
        <v>0</v>
      </c>
      <c r="AV1104">
        <v>0</v>
      </c>
      <c r="AW1104">
        <v>0</v>
      </c>
      <c r="AY1104">
        <v>0</v>
      </c>
      <c r="AZ1104">
        <v>0</v>
      </c>
      <c r="BA1104">
        <v>0</v>
      </c>
      <c r="BE1104" t="str">
        <f>T("9791137014725")</f>
        <v>9791137014725</v>
      </c>
      <c r="BF1104" t="str">
        <f>T("k023215")</f>
        <v>k023215</v>
      </c>
      <c r="BG1104" t="str">
        <f>T("판타지 웹소설 &gt; 퓨전 판타지")</f>
        <v>판타지 웹소설 &gt; 퓨전 판타지</v>
      </c>
    </row>
    <row r="1105" spans="1:59">
      <c r="A1105" t="s">
        <v>60</v>
      </c>
      <c r="B1105" s="1">
        <v>46129</v>
      </c>
      <c r="C1105">
        <v>2378047879</v>
      </c>
      <c r="D1105">
        <v>2378047886</v>
      </c>
      <c r="E1105" t="str">
        <f>T("광명소야전 8화")</f>
        <v>광명소야전 8화</v>
      </c>
      <c r="F1105">
        <v>8</v>
      </c>
      <c r="G1105" t="str">
        <f>T("무언")</f>
        <v>무언</v>
      </c>
      <c r="J1105" t="str">
        <f>T("매드햇")</f>
        <v>매드햇</v>
      </c>
      <c r="K1105" t="str">
        <f>T("광명소야전")</f>
        <v>광명소야전</v>
      </c>
      <c r="L1105">
        <v>0</v>
      </c>
      <c r="M1105">
        <v>0</v>
      </c>
      <c r="N1105">
        <v>0</v>
      </c>
      <c r="O1105">
        <v>1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1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S1105">
        <v>0</v>
      </c>
      <c r="AT1105">
        <v>0</v>
      </c>
      <c r="AV1105">
        <v>0</v>
      </c>
      <c r="AW1105">
        <v>0</v>
      </c>
      <c r="AY1105">
        <v>0</v>
      </c>
      <c r="AZ1105">
        <v>0</v>
      </c>
      <c r="BA1105">
        <v>0</v>
      </c>
      <c r="BE1105" t="str">
        <f>T("9791137014725")</f>
        <v>9791137014725</v>
      </c>
      <c r="BF1105" t="str">
        <f>T("k023216")</f>
        <v>k023216</v>
      </c>
      <c r="BG1105" t="str">
        <f>T("판타지 웹소설 &gt; 퓨전 판타지")</f>
        <v>판타지 웹소설 &gt; 퓨전 판타지</v>
      </c>
    </row>
    <row r="1106" spans="1:59">
      <c r="A1106" t="s">
        <v>60</v>
      </c>
      <c r="B1106" s="1">
        <v>46129</v>
      </c>
      <c r="C1106">
        <v>2378047879</v>
      </c>
      <c r="D1106">
        <v>2378047887</v>
      </c>
      <c r="E1106" t="str">
        <f>T("광명소야전 9화")</f>
        <v>광명소야전 9화</v>
      </c>
      <c r="F1106">
        <v>9</v>
      </c>
      <c r="G1106" t="str">
        <f>T("무언")</f>
        <v>무언</v>
      </c>
      <c r="J1106" t="str">
        <f>T("매드햇")</f>
        <v>매드햇</v>
      </c>
      <c r="K1106" t="str">
        <f>T("광명소야전")</f>
        <v>광명소야전</v>
      </c>
      <c r="L1106">
        <v>0</v>
      </c>
      <c r="M1106">
        <v>0</v>
      </c>
      <c r="N1106">
        <v>0</v>
      </c>
      <c r="O1106">
        <v>1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1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S1106">
        <v>0</v>
      </c>
      <c r="AT1106">
        <v>0</v>
      </c>
      <c r="AV1106">
        <v>0</v>
      </c>
      <c r="AW1106">
        <v>0</v>
      </c>
      <c r="AY1106">
        <v>0</v>
      </c>
      <c r="AZ1106">
        <v>0</v>
      </c>
      <c r="BA1106">
        <v>0</v>
      </c>
      <c r="BE1106" t="str">
        <f>T("9791137014725")</f>
        <v>9791137014725</v>
      </c>
      <c r="BF1106" t="str">
        <f>T("k023217")</f>
        <v>k023217</v>
      </c>
      <c r="BG1106" t="str">
        <f>T("판타지 웹소설 &gt; 퓨전 판타지")</f>
        <v>판타지 웹소설 &gt; 퓨전 판타지</v>
      </c>
    </row>
    <row r="1107" spans="1:59">
      <c r="A1107" t="s">
        <v>60</v>
      </c>
      <c r="B1107" s="1">
        <v>46129</v>
      </c>
      <c r="C1107">
        <v>2378047879</v>
      </c>
      <c r="D1107">
        <v>2378047888</v>
      </c>
      <c r="E1107" t="str">
        <f>T("광명소야전 10화")</f>
        <v>광명소야전 10화</v>
      </c>
      <c r="F1107">
        <v>10</v>
      </c>
      <c r="G1107" t="str">
        <f>T("무언")</f>
        <v>무언</v>
      </c>
      <c r="J1107" t="str">
        <f>T("매드햇")</f>
        <v>매드햇</v>
      </c>
      <c r="K1107" t="str">
        <f>T("광명소야전")</f>
        <v>광명소야전</v>
      </c>
      <c r="L1107">
        <v>0</v>
      </c>
      <c r="M1107">
        <v>0</v>
      </c>
      <c r="N1107">
        <v>0</v>
      </c>
      <c r="O1107">
        <v>1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1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S1107">
        <v>0</v>
      </c>
      <c r="AT1107">
        <v>0</v>
      </c>
      <c r="AV1107">
        <v>0</v>
      </c>
      <c r="AW1107">
        <v>0</v>
      </c>
      <c r="AY1107">
        <v>0</v>
      </c>
      <c r="AZ1107">
        <v>0</v>
      </c>
      <c r="BA1107">
        <v>0</v>
      </c>
      <c r="BE1107" t="str">
        <f>T("9791137014725")</f>
        <v>9791137014725</v>
      </c>
      <c r="BF1107" t="str">
        <f>T("k023218")</f>
        <v>k023218</v>
      </c>
      <c r="BG1107" t="str">
        <f>T("판타지 웹소설 &gt; 퓨전 판타지")</f>
        <v>판타지 웹소설 &gt; 퓨전 판타지</v>
      </c>
    </row>
    <row r="1108" spans="1:59">
      <c r="A1108" t="s">
        <v>60</v>
      </c>
      <c r="B1108" s="1">
        <v>46129</v>
      </c>
      <c r="C1108">
        <v>2378047879</v>
      </c>
      <c r="D1108">
        <v>2378047889</v>
      </c>
      <c r="E1108" t="str">
        <f>T("광명소야전 11화")</f>
        <v>광명소야전 11화</v>
      </c>
      <c r="F1108">
        <v>11</v>
      </c>
      <c r="G1108" t="str">
        <f>T("무언")</f>
        <v>무언</v>
      </c>
      <c r="J1108" t="str">
        <f>T("매드햇")</f>
        <v>매드햇</v>
      </c>
      <c r="K1108" t="str">
        <f>T("광명소야전")</f>
        <v>광명소야전</v>
      </c>
      <c r="L1108">
        <v>0</v>
      </c>
      <c r="M1108">
        <v>0</v>
      </c>
      <c r="N1108">
        <v>0</v>
      </c>
      <c r="O1108">
        <v>1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1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S1108">
        <v>0</v>
      </c>
      <c r="AT1108">
        <v>0</v>
      </c>
      <c r="AV1108">
        <v>0</v>
      </c>
      <c r="AW1108">
        <v>0</v>
      </c>
      <c r="AY1108">
        <v>0</v>
      </c>
      <c r="AZ1108">
        <v>0</v>
      </c>
      <c r="BA1108">
        <v>0</v>
      </c>
      <c r="BE1108" t="str">
        <f>T("9791137014725")</f>
        <v>9791137014725</v>
      </c>
      <c r="BF1108" t="str">
        <f>T("k023219")</f>
        <v>k023219</v>
      </c>
      <c r="BG1108" t="str">
        <f>T("판타지 웹소설 &gt; 퓨전 판타지")</f>
        <v>판타지 웹소설 &gt; 퓨전 판타지</v>
      </c>
    </row>
    <row r="1109" spans="1:59">
      <c r="A1109" t="s">
        <v>60</v>
      </c>
      <c r="B1109" s="1">
        <v>46129</v>
      </c>
      <c r="C1109">
        <v>2378047879</v>
      </c>
      <c r="D1109">
        <v>2378047890</v>
      </c>
      <c r="E1109" t="str">
        <f>T("광명소야전 12화")</f>
        <v>광명소야전 12화</v>
      </c>
      <c r="F1109">
        <v>12</v>
      </c>
      <c r="G1109" t="str">
        <f>T("무언")</f>
        <v>무언</v>
      </c>
      <c r="J1109" t="str">
        <f>T("매드햇")</f>
        <v>매드햇</v>
      </c>
      <c r="K1109" t="str">
        <f>T("광명소야전")</f>
        <v>광명소야전</v>
      </c>
      <c r="L1109">
        <v>0</v>
      </c>
      <c r="M1109">
        <v>0</v>
      </c>
      <c r="N1109">
        <v>0</v>
      </c>
      <c r="O1109">
        <v>1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1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S1109">
        <v>0</v>
      </c>
      <c r="AT1109">
        <v>0</v>
      </c>
      <c r="AV1109">
        <v>0</v>
      </c>
      <c r="AW1109">
        <v>0</v>
      </c>
      <c r="AY1109">
        <v>0</v>
      </c>
      <c r="AZ1109">
        <v>0</v>
      </c>
      <c r="BA1109">
        <v>0</v>
      </c>
      <c r="BE1109" t="str">
        <f>T("9791137014725")</f>
        <v>9791137014725</v>
      </c>
      <c r="BF1109" t="str">
        <f>T("k023220")</f>
        <v>k023220</v>
      </c>
      <c r="BG1109" t="str">
        <f>T("판타지 웹소설 &gt; 퓨전 판타지")</f>
        <v>판타지 웹소설 &gt; 퓨전 판타지</v>
      </c>
    </row>
    <row r="1110" spans="1:59">
      <c r="A1110" t="s">
        <v>60</v>
      </c>
      <c r="B1110" s="1">
        <v>46129</v>
      </c>
      <c r="C1110">
        <v>2378047879</v>
      </c>
      <c r="D1110">
        <v>2378047891</v>
      </c>
      <c r="E1110" t="str">
        <f>T("광명소야전 13화")</f>
        <v>광명소야전 13화</v>
      </c>
      <c r="F1110">
        <v>13</v>
      </c>
      <c r="G1110" t="str">
        <f>T("무언")</f>
        <v>무언</v>
      </c>
      <c r="J1110" t="str">
        <f>T("매드햇")</f>
        <v>매드햇</v>
      </c>
      <c r="K1110" t="str">
        <f>T("광명소야전")</f>
        <v>광명소야전</v>
      </c>
      <c r="L1110">
        <v>0</v>
      </c>
      <c r="M1110">
        <v>0</v>
      </c>
      <c r="N1110">
        <v>0</v>
      </c>
      <c r="O1110">
        <v>1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0</v>
      </c>
      <c r="AJ1110">
        <v>1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S1110">
        <v>0</v>
      </c>
      <c r="AT1110">
        <v>0</v>
      </c>
      <c r="AV1110">
        <v>0</v>
      </c>
      <c r="AW1110">
        <v>0</v>
      </c>
      <c r="AY1110">
        <v>0</v>
      </c>
      <c r="AZ1110">
        <v>0</v>
      </c>
      <c r="BA1110">
        <v>0</v>
      </c>
      <c r="BE1110" t="str">
        <f>T("9791137014725")</f>
        <v>9791137014725</v>
      </c>
      <c r="BF1110" t="str">
        <f>T("k023221")</f>
        <v>k023221</v>
      </c>
      <c r="BG1110" t="str">
        <f>T("판타지 웹소설 &gt; 퓨전 판타지")</f>
        <v>판타지 웹소설 &gt; 퓨전 판타지</v>
      </c>
    </row>
    <row r="1111" spans="1:59">
      <c r="A1111" t="s">
        <v>60</v>
      </c>
      <c r="B1111" s="1">
        <v>46129</v>
      </c>
      <c r="C1111">
        <v>2378047879</v>
      </c>
      <c r="D1111">
        <v>2378047892</v>
      </c>
      <c r="E1111" t="str">
        <f>T("광명소야전 14화")</f>
        <v>광명소야전 14화</v>
      </c>
      <c r="F1111">
        <v>14</v>
      </c>
      <c r="G1111" t="str">
        <f>T("무언")</f>
        <v>무언</v>
      </c>
      <c r="J1111" t="str">
        <f>T("매드햇")</f>
        <v>매드햇</v>
      </c>
      <c r="K1111" t="str">
        <f>T("광명소야전")</f>
        <v>광명소야전</v>
      </c>
      <c r="L1111">
        <v>0</v>
      </c>
      <c r="M1111">
        <v>0</v>
      </c>
      <c r="N1111">
        <v>0</v>
      </c>
      <c r="O1111">
        <v>1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1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S1111">
        <v>0</v>
      </c>
      <c r="AT1111">
        <v>0</v>
      </c>
      <c r="AV1111">
        <v>0</v>
      </c>
      <c r="AW1111">
        <v>0</v>
      </c>
      <c r="AY1111">
        <v>0</v>
      </c>
      <c r="AZ1111">
        <v>0</v>
      </c>
      <c r="BA1111">
        <v>0</v>
      </c>
      <c r="BE1111" t="str">
        <f>T("9791137014725")</f>
        <v>9791137014725</v>
      </c>
      <c r="BF1111" t="str">
        <f>T("k023222")</f>
        <v>k023222</v>
      </c>
      <c r="BG1111" t="str">
        <f>T("판타지 웹소설 &gt; 퓨전 판타지")</f>
        <v>판타지 웹소설 &gt; 퓨전 판타지</v>
      </c>
    </row>
    <row r="1112" spans="1:59">
      <c r="A1112" t="s">
        <v>60</v>
      </c>
      <c r="B1112" s="1">
        <v>46129</v>
      </c>
      <c r="C1112">
        <v>2378047879</v>
      </c>
      <c r="D1112">
        <v>2378047893</v>
      </c>
      <c r="E1112" t="str">
        <f>T("광명소야전 15화")</f>
        <v>광명소야전 15화</v>
      </c>
      <c r="F1112">
        <v>15</v>
      </c>
      <c r="G1112" t="str">
        <f>T("무언")</f>
        <v>무언</v>
      </c>
      <c r="J1112" t="str">
        <f>T("매드햇")</f>
        <v>매드햇</v>
      </c>
      <c r="K1112" t="str">
        <f>T("광명소야전")</f>
        <v>광명소야전</v>
      </c>
      <c r="L1112">
        <v>0</v>
      </c>
      <c r="M1112">
        <v>0</v>
      </c>
      <c r="N1112">
        <v>0</v>
      </c>
      <c r="O1112">
        <v>1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1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S1112">
        <v>0</v>
      </c>
      <c r="AT1112">
        <v>0</v>
      </c>
      <c r="AV1112">
        <v>0</v>
      </c>
      <c r="AW1112">
        <v>0</v>
      </c>
      <c r="AY1112">
        <v>0</v>
      </c>
      <c r="AZ1112">
        <v>0</v>
      </c>
      <c r="BA1112">
        <v>0</v>
      </c>
      <c r="BE1112" t="str">
        <f>T("9791137014725")</f>
        <v>9791137014725</v>
      </c>
      <c r="BF1112" t="str">
        <f>T("k023223")</f>
        <v>k023223</v>
      </c>
      <c r="BG1112" t="str">
        <f>T("판타지 웹소설 &gt; 퓨전 판타지")</f>
        <v>판타지 웹소설 &gt; 퓨전 판타지</v>
      </c>
    </row>
    <row r="1113" spans="1:59">
      <c r="A1113" t="s">
        <v>60</v>
      </c>
      <c r="B1113" s="1">
        <v>46129</v>
      </c>
      <c r="C1113">
        <v>2378047879</v>
      </c>
      <c r="D1113">
        <v>2378047894</v>
      </c>
      <c r="E1113" t="str">
        <f>T("광명소야전 16화")</f>
        <v>광명소야전 16화</v>
      </c>
      <c r="F1113">
        <v>16</v>
      </c>
      <c r="G1113" t="str">
        <f>T("무언")</f>
        <v>무언</v>
      </c>
      <c r="J1113" t="str">
        <f>T("매드햇")</f>
        <v>매드햇</v>
      </c>
      <c r="K1113" t="str">
        <f>T("광명소야전")</f>
        <v>광명소야전</v>
      </c>
      <c r="L1113">
        <v>0</v>
      </c>
      <c r="M1113">
        <v>0</v>
      </c>
      <c r="N1113">
        <v>0</v>
      </c>
      <c r="O1113">
        <v>1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1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S1113">
        <v>0</v>
      </c>
      <c r="AT1113">
        <v>0</v>
      </c>
      <c r="AV1113">
        <v>0</v>
      </c>
      <c r="AW1113">
        <v>0</v>
      </c>
      <c r="AY1113">
        <v>0</v>
      </c>
      <c r="AZ1113">
        <v>0</v>
      </c>
      <c r="BA1113">
        <v>0</v>
      </c>
      <c r="BE1113" t="str">
        <f>T("9791137014725")</f>
        <v>9791137014725</v>
      </c>
      <c r="BF1113" t="str">
        <f>T("k023224")</f>
        <v>k023224</v>
      </c>
      <c r="BG1113" t="str">
        <f>T("판타지 웹소설 &gt; 퓨전 판타지")</f>
        <v>판타지 웹소설 &gt; 퓨전 판타지</v>
      </c>
    </row>
    <row r="1114" spans="1:59">
      <c r="A1114" t="s">
        <v>60</v>
      </c>
      <c r="B1114" s="1">
        <v>46129</v>
      </c>
      <c r="C1114">
        <v>2378047879</v>
      </c>
      <c r="D1114">
        <v>2378047895</v>
      </c>
      <c r="E1114" t="str">
        <f>T("광명소야전 17화")</f>
        <v>광명소야전 17화</v>
      </c>
      <c r="F1114">
        <v>17</v>
      </c>
      <c r="G1114" t="str">
        <f>T("무언")</f>
        <v>무언</v>
      </c>
      <c r="J1114" t="str">
        <f>T("매드햇")</f>
        <v>매드햇</v>
      </c>
      <c r="K1114" t="str">
        <f>T("광명소야전")</f>
        <v>광명소야전</v>
      </c>
      <c r="L1114">
        <v>0</v>
      </c>
      <c r="M1114">
        <v>0</v>
      </c>
      <c r="N1114">
        <v>0</v>
      </c>
      <c r="O1114">
        <v>1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1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S1114">
        <v>0</v>
      </c>
      <c r="AT1114">
        <v>0</v>
      </c>
      <c r="AV1114">
        <v>0</v>
      </c>
      <c r="AW1114">
        <v>0</v>
      </c>
      <c r="AY1114">
        <v>0</v>
      </c>
      <c r="AZ1114">
        <v>0</v>
      </c>
      <c r="BA1114">
        <v>0</v>
      </c>
      <c r="BE1114" t="str">
        <f>T("9791137014725")</f>
        <v>9791137014725</v>
      </c>
      <c r="BF1114" t="str">
        <f>T("k023225")</f>
        <v>k023225</v>
      </c>
      <c r="BG1114" t="str">
        <f>T("판타지 웹소설 &gt; 퓨전 판타지")</f>
        <v>판타지 웹소설 &gt; 퓨전 판타지</v>
      </c>
    </row>
    <row r="1115" spans="1:59">
      <c r="A1115" t="s">
        <v>60</v>
      </c>
      <c r="B1115" s="1">
        <v>46129</v>
      </c>
      <c r="C1115">
        <v>2378047879</v>
      </c>
      <c r="D1115">
        <v>2378047896</v>
      </c>
      <c r="E1115" t="str">
        <f>T("광명소야전 18화")</f>
        <v>광명소야전 18화</v>
      </c>
      <c r="F1115">
        <v>18</v>
      </c>
      <c r="G1115" t="str">
        <f>T("무언")</f>
        <v>무언</v>
      </c>
      <c r="J1115" t="str">
        <f>T("매드햇")</f>
        <v>매드햇</v>
      </c>
      <c r="K1115" t="str">
        <f>T("광명소야전")</f>
        <v>광명소야전</v>
      </c>
      <c r="L1115">
        <v>0</v>
      </c>
      <c r="M1115">
        <v>0</v>
      </c>
      <c r="N1115">
        <v>0</v>
      </c>
      <c r="O1115">
        <v>1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0</v>
      </c>
      <c r="AJ1115">
        <v>1</v>
      </c>
      <c r="AK1115">
        <v>0</v>
      </c>
      <c r="AL1115">
        <v>0</v>
      </c>
      <c r="AM1115">
        <v>0</v>
      </c>
      <c r="AN1115">
        <v>0</v>
      </c>
      <c r="AO1115">
        <v>0</v>
      </c>
      <c r="AP1115">
        <v>0</v>
      </c>
      <c r="AQ1115">
        <v>0</v>
      </c>
      <c r="AS1115">
        <v>0</v>
      </c>
      <c r="AT1115">
        <v>0</v>
      </c>
      <c r="AV1115">
        <v>0</v>
      </c>
      <c r="AW1115">
        <v>0</v>
      </c>
      <c r="AY1115">
        <v>0</v>
      </c>
      <c r="AZ1115">
        <v>0</v>
      </c>
      <c r="BA1115">
        <v>0</v>
      </c>
      <c r="BE1115" t="str">
        <f>T("9791137014725")</f>
        <v>9791137014725</v>
      </c>
      <c r="BF1115" t="str">
        <f>T("k023226")</f>
        <v>k023226</v>
      </c>
      <c r="BG1115" t="str">
        <f>T("판타지 웹소설 &gt; 퓨전 판타지")</f>
        <v>판타지 웹소설 &gt; 퓨전 판타지</v>
      </c>
    </row>
    <row r="1116" spans="1:59">
      <c r="A1116" t="s">
        <v>60</v>
      </c>
      <c r="B1116" s="1">
        <v>46129</v>
      </c>
      <c r="C1116">
        <v>2378047879</v>
      </c>
      <c r="D1116">
        <v>2378047897</v>
      </c>
      <c r="E1116" t="str">
        <f>T("광명소야전 19화")</f>
        <v>광명소야전 19화</v>
      </c>
      <c r="F1116">
        <v>19</v>
      </c>
      <c r="G1116" t="str">
        <f>T("무언")</f>
        <v>무언</v>
      </c>
      <c r="J1116" t="str">
        <f>T("매드햇")</f>
        <v>매드햇</v>
      </c>
      <c r="K1116" t="str">
        <f>T("광명소야전")</f>
        <v>광명소야전</v>
      </c>
      <c r="L1116">
        <v>0</v>
      </c>
      <c r="M1116">
        <v>0</v>
      </c>
      <c r="N1116">
        <v>0</v>
      </c>
      <c r="O1116">
        <v>1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1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0</v>
      </c>
      <c r="AS1116">
        <v>0</v>
      </c>
      <c r="AT1116">
        <v>0</v>
      </c>
      <c r="AV1116">
        <v>0</v>
      </c>
      <c r="AW1116">
        <v>0</v>
      </c>
      <c r="AY1116">
        <v>0</v>
      </c>
      <c r="AZ1116">
        <v>0</v>
      </c>
      <c r="BA1116">
        <v>0</v>
      </c>
      <c r="BE1116" t="str">
        <f>T("9791137014725")</f>
        <v>9791137014725</v>
      </c>
      <c r="BF1116" t="str">
        <f>T("k023227")</f>
        <v>k023227</v>
      </c>
      <c r="BG1116" t="str">
        <f>T("판타지 웹소설 &gt; 퓨전 판타지")</f>
        <v>판타지 웹소설 &gt; 퓨전 판타지</v>
      </c>
    </row>
    <row r="1117" spans="1:59">
      <c r="A1117" t="s">
        <v>60</v>
      </c>
      <c r="B1117" s="1">
        <v>46129</v>
      </c>
      <c r="C1117">
        <v>2378047879</v>
      </c>
      <c r="D1117">
        <v>2378047898</v>
      </c>
      <c r="E1117" t="str">
        <f>T("광명소야전 20화")</f>
        <v>광명소야전 20화</v>
      </c>
      <c r="F1117">
        <v>20</v>
      </c>
      <c r="G1117" t="str">
        <f>T("무언")</f>
        <v>무언</v>
      </c>
      <c r="J1117" t="str">
        <f>T("매드햇")</f>
        <v>매드햇</v>
      </c>
      <c r="K1117" t="str">
        <f>T("광명소야전")</f>
        <v>광명소야전</v>
      </c>
      <c r="L1117">
        <v>0</v>
      </c>
      <c r="M1117">
        <v>0</v>
      </c>
      <c r="N1117">
        <v>0</v>
      </c>
      <c r="O1117">
        <v>1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0</v>
      </c>
      <c r="AJ1117">
        <v>1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S1117">
        <v>0</v>
      </c>
      <c r="AT1117">
        <v>0</v>
      </c>
      <c r="AV1117">
        <v>0</v>
      </c>
      <c r="AW1117">
        <v>0</v>
      </c>
      <c r="AY1117">
        <v>0</v>
      </c>
      <c r="AZ1117">
        <v>0</v>
      </c>
      <c r="BA1117">
        <v>0</v>
      </c>
      <c r="BE1117" t="str">
        <f>T("9791137014725")</f>
        <v>9791137014725</v>
      </c>
      <c r="BF1117" t="str">
        <f>T("k023228")</f>
        <v>k023228</v>
      </c>
      <c r="BG1117" t="str">
        <f>T("판타지 웹소설 &gt; 퓨전 판타지")</f>
        <v>판타지 웹소설 &gt; 퓨전 판타지</v>
      </c>
    </row>
    <row r="1118" spans="1:59">
      <c r="A1118" t="s">
        <v>60</v>
      </c>
      <c r="B1118" s="1">
        <v>46129</v>
      </c>
      <c r="C1118">
        <v>2378047879</v>
      </c>
      <c r="D1118">
        <v>2378047899</v>
      </c>
      <c r="E1118" t="str">
        <f>T("광명소야전 21화")</f>
        <v>광명소야전 21화</v>
      </c>
      <c r="F1118">
        <v>21</v>
      </c>
      <c r="G1118" t="str">
        <f>T("무언")</f>
        <v>무언</v>
      </c>
      <c r="J1118" t="str">
        <f>T("매드햇")</f>
        <v>매드햇</v>
      </c>
      <c r="K1118" t="str">
        <f>T("광명소야전")</f>
        <v>광명소야전</v>
      </c>
      <c r="L1118">
        <v>0</v>
      </c>
      <c r="M1118">
        <v>0</v>
      </c>
      <c r="N1118">
        <v>0</v>
      </c>
      <c r="O1118">
        <v>1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0</v>
      </c>
      <c r="AJ1118">
        <v>1</v>
      </c>
      <c r="AK1118">
        <v>0</v>
      </c>
      <c r="AL1118">
        <v>0</v>
      </c>
      <c r="AM1118">
        <v>0</v>
      </c>
      <c r="AN1118">
        <v>0</v>
      </c>
      <c r="AO1118">
        <v>0</v>
      </c>
      <c r="AP1118">
        <v>0</v>
      </c>
      <c r="AQ1118">
        <v>0</v>
      </c>
      <c r="AS1118">
        <v>0</v>
      </c>
      <c r="AT1118">
        <v>0</v>
      </c>
      <c r="AV1118">
        <v>0</v>
      </c>
      <c r="AW1118">
        <v>0</v>
      </c>
      <c r="AY1118">
        <v>0</v>
      </c>
      <c r="AZ1118">
        <v>0</v>
      </c>
      <c r="BA1118">
        <v>0</v>
      </c>
      <c r="BE1118" t="str">
        <f>T("9791137014725")</f>
        <v>9791137014725</v>
      </c>
      <c r="BF1118" t="str">
        <f>T("k023229")</f>
        <v>k023229</v>
      </c>
      <c r="BG1118" t="str">
        <f>T("판타지 웹소설 &gt; 퓨전 판타지")</f>
        <v>판타지 웹소설 &gt; 퓨전 판타지</v>
      </c>
    </row>
    <row r="1119" spans="1:59">
      <c r="A1119" t="s">
        <v>60</v>
      </c>
      <c r="B1119" s="1">
        <v>46129</v>
      </c>
      <c r="C1119">
        <v>2378047879</v>
      </c>
      <c r="D1119">
        <v>2378047900</v>
      </c>
      <c r="E1119" t="str">
        <f>T("광명소야전 22화")</f>
        <v>광명소야전 22화</v>
      </c>
      <c r="F1119">
        <v>22</v>
      </c>
      <c r="G1119" t="str">
        <f>T("무언")</f>
        <v>무언</v>
      </c>
      <c r="J1119" t="str">
        <f>T("매드햇")</f>
        <v>매드햇</v>
      </c>
      <c r="K1119" t="str">
        <f>T("광명소야전")</f>
        <v>광명소야전</v>
      </c>
      <c r="L1119">
        <v>0</v>
      </c>
      <c r="M1119">
        <v>0</v>
      </c>
      <c r="N1119">
        <v>0</v>
      </c>
      <c r="O1119">
        <v>1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1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0</v>
      </c>
      <c r="AS1119">
        <v>0</v>
      </c>
      <c r="AT1119">
        <v>0</v>
      </c>
      <c r="AV1119">
        <v>0</v>
      </c>
      <c r="AW1119">
        <v>0</v>
      </c>
      <c r="AY1119">
        <v>0</v>
      </c>
      <c r="AZ1119">
        <v>0</v>
      </c>
      <c r="BA1119">
        <v>0</v>
      </c>
      <c r="BE1119" t="str">
        <f>T("9791137014725")</f>
        <v>9791137014725</v>
      </c>
      <c r="BF1119" t="str">
        <f>T("k023230")</f>
        <v>k023230</v>
      </c>
      <c r="BG1119" t="str">
        <f>T("판타지 웹소설 &gt; 퓨전 판타지")</f>
        <v>판타지 웹소설 &gt; 퓨전 판타지</v>
      </c>
    </row>
    <row r="1120" spans="1:59">
      <c r="A1120" t="s">
        <v>60</v>
      </c>
      <c r="B1120" s="1">
        <v>46129</v>
      </c>
      <c r="C1120">
        <v>2378047879</v>
      </c>
      <c r="D1120">
        <v>2378047901</v>
      </c>
      <c r="E1120" t="str">
        <f>T("광명소야전 23화")</f>
        <v>광명소야전 23화</v>
      </c>
      <c r="F1120">
        <v>23</v>
      </c>
      <c r="G1120" t="str">
        <f>T("무언")</f>
        <v>무언</v>
      </c>
      <c r="J1120" t="str">
        <f>T("매드햇")</f>
        <v>매드햇</v>
      </c>
      <c r="K1120" t="str">
        <f>T("광명소야전")</f>
        <v>광명소야전</v>
      </c>
      <c r="L1120">
        <v>0</v>
      </c>
      <c r="M1120">
        <v>0</v>
      </c>
      <c r="N1120">
        <v>0</v>
      </c>
      <c r="O1120">
        <v>1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1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S1120">
        <v>0</v>
      </c>
      <c r="AT1120">
        <v>0</v>
      </c>
      <c r="AV1120">
        <v>0</v>
      </c>
      <c r="AW1120">
        <v>0</v>
      </c>
      <c r="AY1120">
        <v>0</v>
      </c>
      <c r="AZ1120">
        <v>0</v>
      </c>
      <c r="BA1120">
        <v>0</v>
      </c>
      <c r="BE1120" t="str">
        <f>T("9791137014725")</f>
        <v>9791137014725</v>
      </c>
      <c r="BF1120" t="str">
        <f>T("k023231")</f>
        <v>k023231</v>
      </c>
      <c r="BG1120" t="str">
        <f>T("판타지 웹소설 &gt; 퓨전 판타지")</f>
        <v>판타지 웹소설 &gt; 퓨전 판타지</v>
      </c>
    </row>
    <row r="1121" spans="1:59">
      <c r="A1121" t="s">
        <v>60</v>
      </c>
      <c r="B1121" s="1">
        <v>46129</v>
      </c>
      <c r="C1121">
        <v>2378047879</v>
      </c>
      <c r="D1121">
        <v>2378047902</v>
      </c>
      <c r="E1121" t="str">
        <f>T("광명소야전 24화")</f>
        <v>광명소야전 24화</v>
      </c>
      <c r="F1121">
        <v>24</v>
      </c>
      <c r="G1121" t="str">
        <f>T("무언")</f>
        <v>무언</v>
      </c>
      <c r="J1121" t="str">
        <f>T("매드햇")</f>
        <v>매드햇</v>
      </c>
      <c r="K1121" t="str">
        <f>T("광명소야전")</f>
        <v>광명소야전</v>
      </c>
      <c r="L1121">
        <v>0</v>
      </c>
      <c r="M1121">
        <v>0</v>
      </c>
      <c r="N1121">
        <v>0</v>
      </c>
      <c r="O1121">
        <v>1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1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S1121">
        <v>0</v>
      </c>
      <c r="AT1121">
        <v>0</v>
      </c>
      <c r="AV1121">
        <v>0</v>
      </c>
      <c r="AW1121">
        <v>0</v>
      </c>
      <c r="AY1121">
        <v>0</v>
      </c>
      <c r="AZ1121">
        <v>0</v>
      </c>
      <c r="BA1121">
        <v>0</v>
      </c>
      <c r="BE1121" t="str">
        <f>T("9791137014725")</f>
        <v>9791137014725</v>
      </c>
      <c r="BF1121" t="str">
        <f>T("k023232")</f>
        <v>k023232</v>
      </c>
      <c r="BG1121" t="str">
        <f>T("판타지 웹소설 &gt; 퓨전 판타지")</f>
        <v>판타지 웹소설 &gt; 퓨전 판타지</v>
      </c>
    </row>
    <row r="1122" spans="1:59">
      <c r="A1122" t="s">
        <v>60</v>
      </c>
      <c r="B1122" s="1">
        <v>46129</v>
      </c>
      <c r="C1122">
        <v>2378047879</v>
      </c>
      <c r="D1122">
        <v>2378047903</v>
      </c>
      <c r="E1122" t="str">
        <f>T("광명소야전 25화")</f>
        <v>광명소야전 25화</v>
      </c>
      <c r="F1122">
        <v>25</v>
      </c>
      <c r="G1122" t="str">
        <f>T("무언")</f>
        <v>무언</v>
      </c>
      <c r="J1122" t="str">
        <f>T("매드햇")</f>
        <v>매드햇</v>
      </c>
      <c r="K1122" t="str">
        <f>T("광명소야전")</f>
        <v>광명소야전</v>
      </c>
      <c r="L1122">
        <v>0</v>
      </c>
      <c r="M1122">
        <v>0</v>
      </c>
      <c r="N1122">
        <v>0</v>
      </c>
      <c r="O1122">
        <v>1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1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S1122">
        <v>0</v>
      </c>
      <c r="AT1122">
        <v>0</v>
      </c>
      <c r="AV1122">
        <v>0</v>
      </c>
      <c r="AW1122">
        <v>0</v>
      </c>
      <c r="AY1122">
        <v>0</v>
      </c>
      <c r="AZ1122">
        <v>0</v>
      </c>
      <c r="BA1122">
        <v>0</v>
      </c>
      <c r="BE1122" t="str">
        <f>T("9791137014725")</f>
        <v>9791137014725</v>
      </c>
      <c r="BF1122" t="str">
        <f>T("k023233")</f>
        <v>k023233</v>
      </c>
      <c r="BG1122" t="str">
        <f>T("판타지 웹소설 &gt; 퓨전 판타지")</f>
        <v>판타지 웹소설 &gt; 퓨전 판타지</v>
      </c>
    </row>
    <row r="1123" spans="1:59">
      <c r="A1123" t="s">
        <v>60</v>
      </c>
      <c r="B1123" s="1">
        <v>46129</v>
      </c>
      <c r="C1123">
        <v>2378047879</v>
      </c>
      <c r="D1123">
        <v>2378047904</v>
      </c>
      <c r="E1123" t="str">
        <f>T("광명소야전 26화")</f>
        <v>광명소야전 26화</v>
      </c>
      <c r="F1123">
        <v>26</v>
      </c>
      <c r="G1123" t="str">
        <f>T("무언")</f>
        <v>무언</v>
      </c>
      <c r="J1123" t="str">
        <f>T("매드햇")</f>
        <v>매드햇</v>
      </c>
      <c r="K1123" t="str">
        <f>T("광명소야전")</f>
        <v>광명소야전</v>
      </c>
      <c r="L1123">
        <v>100</v>
      </c>
      <c r="M1123">
        <v>70</v>
      </c>
      <c r="N1123">
        <v>1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70</v>
      </c>
      <c r="AJ1123">
        <v>1</v>
      </c>
      <c r="AK1123">
        <v>0</v>
      </c>
      <c r="AL1123">
        <v>0</v>
      </c>
      <c r="AM1123">
        <v>70</v>
      </c>
      <c r="AN1123">
        <v>0</v>
      </c>
      <c r="AO1123">
        <v>0</v>
      </c>
      <c r="AP1123">
        <v>0</v>
      </c>
      <c r="AQ1123">
        <v>0</v>
      </c>
      <c r="AS1123">
        <v>0</v>
      </c>
      <c r="AT1123">
        <v>0</v>
      </c>
      <c r="AV1123">
        <v>0</v>
      </c>
      <c r="AW1123">
        <v>0</v>
      </c>
      <c r="AY1123">
        <v>0</v>
      </c>
      <c r="AZ1123">
        <v>0</v>
      </c>
      <c r="BA1123">
        <v>49</v>
      </c>
      <c r="BE1123" t="str">
        <f>T("9791137014725")</f>
        <v>9791137014725</v>
      </c>
      <c r="BF1123" t="str">
        <f>T("k023234")</f>
        <v>k023234</v>
      </c>
      <c r="BG1123" t="str">
        <f>T("판타지 웹소설 &gt; 퓨전 판타지")</f>
        <v>판타지 웹소설 &gt; 퓨전 판타지</v>
      </c>
    </row>
    <row r="1124" spans="1:59">
      <c r="A1124" t="s">
        <v>60</v>
      </c>
      <c r="B1124" s="1">
        <v>46129</v>
      </c>
      <c r="C1124">
        <v>2378047879</v>
      </c>
      <c r="D1124">
        <v>2378047905</v>
      </c>
      <c r="E1124" t="str">
        <f>T("광명소야전 27화")</f>
        <v>광명소야전 27화</v>
      </c>
      <c r="F1124">
        <v>27</v>
      </c>
      <c r="G1124" t="str">
        <f>T("무언")</f>
        <v>무언</v>
      </c>
      <c r="J1124" t="str">
        <f>T("매드햇")</f>
        <v>매드햇</v>
      </c>
      <c r="K1124" t="str">
        <f>T("광명소야전")</f>
        <v>광명소야전</v>
      </c>
      <c r="L1124">
        <v>100</v>
      </c>
      <c r="M1124">
        <v>70</v>
      </c>
      <c r="N1124">
        <v>1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70</v>
      </c>
      <c r="AJ1124">
        <v>1</v>
      </c>
      <c r="AK1124">
        <v>0</v>
      </c>
      <c r="AL1124">
        <v>0</v>
      </c>
      <c r="AM1124">
        <v>70</v>
      </c>
      <c r="AN1124">
        <v>0</v>
      </c>
      <c r="AO1124">
        <v>0</v>
      </c>
      <c r="AP1124">
        <v>0</v>
      </c>
      <c r="AQ1124">
        <v>0</v>
      </c>
      <c r="AS1124">
        <v>0</v>
      </c>
      <c r="AT1124">
        <v>0</v>
      </c>
      <c r="AV1124">
        <v>0</v>
      </c>
      <c r="AW1124">
        <v>0</v>
      </c>
      <c r="AY1124">
        <v>0</v>
      </c>
      <c r="AZ1124">
        <v>0</v>
      </c>
      <c r="BA1124">
        <v>49</v>
      </c>
      <c r="BE1124" t="str">
        <f>T("9791137014725")</f>
        <v>9791137014725</v>
      </c>
      <c r="BF1124" t="str">
        <f>T("k023235")</f>
        <v>k023235</v>
      </c>
      <c r="BG1124" t="str">
        <f>T("판타지 웹소설 &gt; 퓨전 판타지")</f>
        <v>판타지 웹소설 &gt; 퓨전 판타지</v>
      </c>
    </row>
    <row r="1125" spans="1:59">
      <c r="A1125" t="s">
        <v>60</v>
      </c>
      <c r="B1125" s="1">
        <v>46129</v>
      </c>
      <c r="C1125">
        <v>2378047879</v>
      </c>
      <c r="D1125">
        <v>2378047906</v>
      </c>
      <c r="E1125" t="str">
        <f>T("광명소야전 28화")</f>
        <v>광명소야전 28화</v>
      </c>
      <c r="F1125">
        <v>28</v>
      </c>
      <c r="G1125" t="str">
        <f>T("무언")</f>
        <v>무언</v>
      </c>
      <c r="J1125" t="str">
        <f>T("매드햇")</f>
        <v>매드햇</v>
      </c>
      <c r="K1125" t="str">
        <f>T("광명소야전")</f>
        <v>광명소야전</v>
      </c>
      <c r="L1125">
        <v>100</v>
      </c>
      <c r="M1125">
        <v>70</v>
      </c>
      <c r="N1125">
        <v>1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70</v>
      </c>
      <c r="AJ1125">
        <v>1</v>
      </c>
      <c r="AK1125">
        <v>0</v>
      </c>
      <c r="AL1125">
        <v>0</v>
      </c>
      <c r="AM1125">
        <v>70</v>
      </c>
      <c r="AN1125">
        <v>0</v>
      </c>
      <c r="AO1125">
        <v>0</v>
      </c>
      <c r="AP1125">
        <v>0</v>
      </c>
      <c r="AQ1125">
        <v>0</v>
      </c>
      <c r="AS1125">
        <v>0</v>
      </c>
      <c r="AT1125">
        <v>0</v>
      </c>
      <c r="AV1125">
        <v>0</v>
      </c>
      <c r="AW1125">
        <v>0</v>
      </c>
      <c r="AY1125">
        <v>0</v>
      </c>
      <c r="AZ1125">
        <v>0</v>
      </c>
      <c r="BA1125">
        <v>49</v>
      </c>
      <c r="BE1125" t="str">
        <f>T("9791137014725")</f>
        <v>9791137014725</v>
      </c>
      <c r="BF1125" t="str">
        <f>T("k023236")</f>
        <v>k023236</v>
      </c>
      <c r="BG1125" t="str">
        <f>T("판타지 웹소설 &gt; 퓨전 판타지")</f>
        <v>판타지 웹소설 &gt; 퓨전 판타지</v>
      </c>
    </row>
    <row r="1126" spans="1:59">
      <c r="A1126" t="s">
        <v>60</v>
      </c>
      <c r="B1126" s="1">
        <v>46129</v>
      </c>
      <c r="C1126">
        <v>2378047879</v>
      </c>
      <c r="D1126">
        <v>2378047907</v>
      </c>
      <c r="E1126" t="str">
        <f>T("광명소야전 29화")</f>
        <v>광명소야전 29화</v>
      </c>
      <c r="F1126">
        <v>29</v>
      </c>
      <c r="G1126" t="str">
        <f>T("무언")</f>
        <v>무언</v>
      </c>
      <c r="J1126" t="str">
        <f>T("매드햇")</f>
        <v>매드햇</v>
      </c>
      <c r="K1126" t="str">
        <f>T("광명소야전")</f>
        <v>광명소야전</v>
      </c>
      <c r="L1126">
        <v>100</v>
      </c>
      <c r="M1126">
        <v>70</v>
      </c>
      <c r="N1126">
        <v>1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70</v>
      </c>
      <c r="AJ1126">
        <v>1</v>
      </c>
      <c r="AK1126">
        <v>0</v>
      </c>
      <c r="AL1126">
        <v>0</v>
      </c>
      <c r="AM1126">
        <v>70</v>
      </c>
      <c r="AN1126">
        <v>0</v>
      </c>
      <c r="AO1126">
        <v>0</v>
      </c>
      <c r="AP1126">
        <v>0</v>
      </c>
      <c r="AQ1126">
        <v>0</v>
      </c>
      <c r="AS1126">
        <v>0</v>
      </c>
      <c r="AT1126">
        <v>0</v>
      </c>
      <c r="AV1126">
        <v>0</v>
      </c>
      <c r="AW1126">
        <v>0</v>
      </c>
      <c r="AY1126">
        <v>0</v>
      </c>
      <c r="AZ1126">
        <v>0</v>
      </c>
      <c r="BA1126">
        <v>49</v>
      </c>
      <c r="BE1126" t="str">
        <f>T("9791137014725")</f>
        <v>9791137014725</v>
      </c>
      <c r="BF1126" t="str">
        <f>T("k023237")</f>
        <v>k023237</v>
      </c>
      <c r="BG1126" t="str">
        <f>T("판타지 웹소설 &gt; 퓨전 판타지")</f>
        <v>판타지 웹소설 &gt; 퓨전 판타지</v>
      </c>
    </row>
    <row r="1127" spans="1:59">
      <c r="A1127" t="s">
        <v>60</v>
      </c>
      <c r="B1127" s="1">
        <v>46129</v>
      </c>
      <c r="C1127">
        <v>2378047879</v>
      </c>
      <c r="D1127">
        <v>2378047908</v>
      </c>
      <c r="E1127" t="str">
        <f>T("광명소야전 30화")</f>
        <v>광명소야전 30화</v>
      </c>
      <c r="F1127">
        <v>30</v>
      </c>
      <c r="G1127" t="str">
        <f>T("무언")</f>
        <v>무언</v>
      </c>
      <c r="J1127" t="str">
        <f>T("매드햇")</f>
        <v>매드햇</v>
      </c>
      <c r="K1127" t="str">
        <f>T("광명소야전")</f>
        <v>광명소야전</v>
      </c>
      <c r="L1127">
        <v>100</v>
      </c>
      <c r="M1127">
        <v>70</v>
      </c>
      <c r="N1127">
        <v>1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70</v>
      </c>
      <c r="AJ1127">
        <v>1</v>
      </c>
      <c r="AK1127">
        <v>0</v>
      </c>
      <c r="AL1127">
        <v>0</v>
      </c>
      <c r="AM1127">
        <v>70</v>
      </c>
      <c r="AN1127">
        <v>0</v>
      </c>
      <c r="AO1127">
        <v>0</v>
      </c>
      <c r="AP1127">
        <v>0</v>
      </c>
      <c r="AQ1127">
        <v>0</v>
      </c>
      <c r="AS1127">
        <v>0</v>
      </c>
      <c r="AT1127">
        <v>0</v>
      </c>
      <c r="AV1127">
        <v>0</v>
      </c>
      <c r="AW1127">
        <v>0</v>
      </c>
      <c r="AY1127">
        <v>0</v>
      </c>
      <c r="AZ1127">
        <v>0</v>
      </c>
      <c r="BA1127">
        <v>49</v>
      </c>
      <c r="BE1127" t="str">
        <f>T("9791137014725")</f>
        <v>9791137014725</v>
      </c>
      <c r="BF1127" t="str">
        <f>T("k023238")</f>
        <v>k023238</v>
      </c>
      <c r="BG1127" t="str">
        <f>T("판타지 웹소설 &gt; 퓨전 판타지")</f>
        <v>판타지 웹소설 &gt; 퓨전 판타지</v>
      </c>
    </row>
    <row r="1128" spans="1:59">
      <c r="A1128" t="s">
        <v>60</v>
      </c>
      <c r="B1128" s="1">
        <v>46129</v>
      </c>
      <c r="C1128">
        <v>2378047879</v>
      </c>
      <c r="D1128">
        <v>2378047909</v>
      </c>
      <c r="E1128" t="str">
        <f>T("광명소야전 31화")</f>
        <v>광명소야전 31화</v>
      </c>
      <c r="F1128">
        <v>31</v>
      </c>
      <c r="G1128" t="str">
        <f>T("무언")</f>
        <v>무언</v>
      </c>
      <c r="J1128" t="str">
        <f>T("매드햇")</f>
        <v>매드햇</v>
      </c>
      <c r="K1128" t="str">
        <f>T("광명소야전")</f>
        <v>광명소야전</v>
      </c>
      <c r="L1128">
        <v>100</v>
      </c>
      <c r="M1128">
        <v>70</v>
      </c>
      <c r="N1128">
        <v>1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70</v>
      </c>
      <c r="AJ1128">
        <v>1</v>
      </c>
      <c r="AK1128">
        <v>0</v>
      </c>
      <c r="AL1128">
        <v>0</v>
      </c>
      <c r="AM1128">
        <v>70</v>
      </c>
      <c r="AN1128">
        <v>0</v>
      </c>
      <c r="AO1128">
        <v>0</v>
      </c>
      <c r="AP1128">
        <v>0</v>
      </c>
      <c r="AQ1128">
        <v>0</v>
      </c>
      <c r="AS1128">
        <v>0</v>
      </c>
      <c r="AT1128">
        <v>0</v>
      </c>
      <c r="AV1128">
        <v>0</v>
      </c>
      <c r="AW1128">
        <v>0</v>
      </c>
      <c r="AY1128">
        <v>0</v>
      </c>
      <c r="AZ1128">
        <v>0</v>
      </c>
      <c r="BA1128">
        <v>49</v>
      </c>
      <c r="BE1128" t="str">
        <f>T("9791137014725")</f>
        <v>9791137014725</v>
      </c>
      <c r="BF1128" t="str">
        <f>T("k023239")</f>
        <v>k023239</v>
      </c>
      <c r="BG1128" t="str">
        <f>T("판타지 웹소설 &gt; 퓨전 판타지")</f>
        <v>판타지 웹소설 &gt; 퓨전 판타지</v>
      </c>
    </row>
    <row r="1129" spans="1:59">
      <c r="A1129" t="s">
        <v>60</v>
      </c>
      <c r="B1129" s="1">
        <v>46129</v>
      </c>
      <c r="C1129">
        <v>2378047879</v>
      </c>
      <c r="D1129">
        <v>2378047910</v>
      </c>
      <c r="E1129" t="str">
        <f>T("광명소야전 32화")</f>
        <v>광명소야전 32화</v>
      </c>
      <c r="F1129">
        <v>32</v>
      </c>
      <c r="G1129" t="str">
        <f>T("무언")</f>
        <v>무언</v>
      </c>
      <c r="J1129" t="str">
        <f>T("매드햇")</f>
        <v>매드햇</v>
      </c>
      <c r="K1129" t="str">
        <f>T("광명소야전")</f>
        <v>광명소야전</v>
      </c>
      <c r="L1129">
        <v>100</v>
      </c>
      <c r="M1129">
        <v>70</v>
      </c>
      <c r="N1129">
        <v>1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0</v>
      </c>
      <c r="AI1129">
        <v>70</v>
      </c>
      <c r="AJ1129">
        <v>1</v>
      </c>
      <c r="AK1129">
        <v>0</v>
      </c>
      <c r="AL1129">
        <v>0</v>
      </c>
      <c r="AM1129">
        <v>70</v>
      </c>
      <c r="AN1129">
        <v>0</v>
      </c>
      <c r="AO1129">
        <v>0</v>
      </c>
      <c r="AP1129">
        <v>0</v>
      </c>
      <c r="AQ1129">
        <v>0</v>
      </c>
      <c r="AS1129">
        <v>0</v>
      </c>
      <c r="AT1129">
        <v>0</v>
      </c>
      <c r="AV1129">
        <v>0</v>
      </c>
      <c r="AW1129">
        <v>0</v>
      </c>
      <c r="AY1129">
        <v>0</v>
      </c>
      <c r="AZ1129">
        <v>0</v>
      </c>
      <c r="BA1129">
        <v>49</v>
      </c>
      <c r="BE1129" t="str">
        <f>T("9791137014725")</f>
        <v>9791137014725</v>
      </c>
      <c r="BF1129" t="str">
        <f>T("k023240")</f>
        <v>k023240</v>
      </c>
      <c r="BG1129" t="str">
        <f>T("판타지 웹소설 &gt; 퓨전 판타지")</f>
        <v>판타지 웹소설 &gt; 퓨전 판타지</v>
      </c>
    </row>
    <row r="1130" spans="1:59">
      <c r="A1130" t="s">
        <v>60</v>
      </c>
      <c r="B1130" s="1">
        <v>46129</v>
      </c>
      <c r="C1130">
        <v>2378047879</v>
      </c>
      <c r="D1130">
        <v>2378047911</v>
      </c>
      <c r="E1130" t="str">
        <f>T("광명소야전 33화")</f>
        <v>광명소야전 33화</v>
      </c>
      <c r="F1130">
        <v>33</v>
      </c>
      <c r="G1130" t="str">
        <f>T("무언")</f>
        <v>무언</v>
      </c>
      <c r="J1130" t="str">
        <f>T("매드햇")</f>
        <v>매드햇</v>
      </c>
      <c r="K1130" t="str">
        <f>T("광명소야전")</f>
        <v>광명소야전</v>
      </c>
      <c r="L1130">
        <v>100</v>
      </c>
      <c r="M1130">
        <v>70</v>
      </c>
      <c r="N1130">
        <v>1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70</v>
      </c>
      <c r="AJ1130">
        <v>1</v>
      </c>
      <c r="AK1130">
        <v>0</v>
      </c>
      <c r="AL1130">
        <v>0</v>
      </c>
      <c r="AM1130">
        <v>70</v>
      </c>
      <c r="AN1130">
        <v>0</v>
      </c>
      <c r="AO1130">
        <v>0</v>
      </c>
      <c r="AP1130">
        <v>0</v>
      </c>
      <c r="AQ1130">
        <v>0</v>
      </c>
      <c r="AS1130">
        <v>0</v>
      </c>
      <c r="AT1130">
        <v>0</v>
      </c>
      <c r="AV1130">
        <v>0</v>
      </c>
      <c r="AW1130">
        <v>0</v>
      </c>
      <c r="AY1130">
        <v>0</v>
      </c>
      <c r="AZ1130">
        <v>0</v>
      </c>
      <c r="BA1130">
        <v>49</v>
      </c>
      <c r="BE1130" t="str">
        <f>T("9791137014725")</f>
        <v>9791137014725</v>
      </c>
      <c r="BF1130" t="str">
        <f>T("k023241")</f>
        <v>k023241</v>
      </c>
      <c r="BG1130" t="str">
        <f>T("판타지 웹소설 &gt; 퓨전 판타지")</f>
        <v>판타지 웹소설 &gt; 퓨전 판타지</v>
      </c>
    </row>
    <row r="1131" spans="1:59">
      <c r="A1131" t="s">
        <v>60</v>
      </c>
      <c r="B1131" s="1">
        <v>46129</v>
      </c>
      <c r="C1131">
        <v>2378047879</v>
      </c>
      <c r="D1131">
        <v>2378047912</v>
      </c>
      <c r="E1131" t="str">
        <f>T("광명소야전 34화")</f>
        <v>광명소야전 34화</v>
      </c>
      <c r="F1131">
        <v>34</v>
      </c>
      <c r="G1131" t="str">
        <f>T("무언")</f>
        <v>무언</v>
      </c>
      <c r="J1131" t="str">
        <f>T("매드햇")</f>
        <v>매드햇</v>
      </c>
      <c r="K1131" t="str">
        <f>T("광명소야전")</f>
        <v>광명소야전</v>
      </c>
      <c r="L1131">
        <v>100</v>
      </c>
      <c r="M1131">
        <v>70</v>
      </c>
      <c r="N1131">
        <v>1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70</v>
      </c>
      <c r="AJ1131">
        <v>1</v>
      </c>
      <c r="AK1131">
        <v>0</v>
      </c>
      <c r="AL1131">
        <v>0</v>
      </c>
      <c r="AM1131">
        <v>70</v>
      </c>
      <c r="AN1131">
        <v>0</v>
      </c>
      <c r="AO1131">
        <v>0</v>
      </c>
      <c r="AP1131">
        <v>0</v>
      </c>
      <c r="AQ1131">
        <v>0</v>
      </c>
      <c r="AS1131">
        <v>0</v>
      </c>
      <c r="AT1131">
        <v>0</v>
      </c>
      <c r="AV1131">
        <v>0</v>
      </c>
      <c r="AW1131">
        <v>0</v>
      </c>
      <c r="AY1131">
        <v>0</v>
      </c>
      <c r="AZ1131">
        <v>0</v>
      </c>
      <c r="BA1131">
        <v>49</v>
      </c>
      <c r="BE1131" t="str">
        <f>T("9791137014725")</f>
        <v>9791137014725</v>
      </c>
      <c r="BF1131" t="str">
        <f>T("k023242")</f>
        <v>k023242</v>
      </c>
      <c r="BG1131" t="str">
        <f>T("판타지 웹소설 &gt; 퓨전 판타지")</f>
        <v>판타지 웹소설 &gt; 퓨전 판타지</v>
      </c>
    </row>
    <row r="1132" spans="1:59">
      <c r="A1132" t="s">
        <v>60</v>
      </c>
      <c r="B1132" s="1">
        <v>46129</v>
      </c>
      <c r="C1132">
        <v>2378047879</v>
      </c>
      <c r="D1132">
        <v>2378047913</v>
      </c>
      <c r="E1132" t="str">
        <f>T("광명소야전 35화")</f>
        <v>광명소야전 35화</v>
      </c>
      <c r="F1132">
        <v>35</v>
      </c>
      <c r="G1132" t="str">
        <f>T("무언")</f>
        <v>무언</v>
      </c>
      <c r="J1132" t="str">
        <f>T("매드햇")</f>
        <v>매드햇</v>
      </c>
      <c r="K1132" t="str">
        <f>T("광명소야전")</f>
        <v>광명소야전</v>
      </c>
      <c r="L1132">
        <v>100</v>
      </c>
      <c r="M1132">
        <v>70</v>
      </c>
      <c r="N1132">
        <v>1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70</v>
      </c>
      <c r="AJ1132">
        <v>1</v>
      </c>
      <c r="AK1132">
        <v>0</v>
      </c>
      <c r="AL1132">
        <v>0</v>
      </c>
      <c r="AM1132">
        <v>70</v>
      </c>
      <c r="AN1132">
        <v>0</v>
      </c>
      <c r="AO1132">
        <v>0</v>
      </c>
      <c r="AP1132">
        <v>0</v>
      </c>
      <c r="AQ1132">
        <v>0</v>
      </c>
      <c r="AS1132">
        <v>0</v>
      </c>
      <c r="AT1132">
        <v>0</v>
      </c>
      <c r="AV1132">
        <v>0</v>
      </c>
      <c r="AW1132">
        <v>0</v>
      </c>
      <c r="AY1132">
        <v>0</v>
      </c>
      <c r="AZ1132">
        <v>0</v>
      </c>
      <c r="BA1132">
        <v>49</v>
      </c>
      <c r="BE1132" t="str">
        <f>T("9791137014725")</f>
        <v>9791137014725</v>
      </c>
      <c r="BF1132" t="str">
        <f>T("k023243")</f>
        <v>k023243</v>
      </c>
      <c r="BG1132" t="str">
        <f>T("판타지 웹소설 &gt; 퓨전 판타지")</f>
        <v>판타지 웹소설 &gt; 퓨전 판타지</v>
      </c>
    </row>
    <row r="1133" spans="1:59">
      <c r="A1133" t="s">
        <v>60</v>
      </c>
      <c r="B1133" s="1">
        <v>46129</v>
      </c>
      <c r="C1133">
        <v>2378047879</v>
      </c>
      <c r="D1133">
        <v>2378047914</v>
      </c>
      <c r="E1133" t="str">
        <f>T("광명소야전 36화")</f>
        <v>광명소야전 36화</v>
      </c>
      <c r="F1133">
        <v>36</v>
      </c>
      <c r="G1133" t="str">
        <f>T("무언")</f>
        <v>무언</v>
      </c>
      <c r="J1133" t="str">
        <f>T("매드햇")</f>
        <v>매드햇</v>
      </c>
      <c r="K1133" t="str">
        <f>T("광명소야전")</f>
        <v>광명소야전</v>
      </c>
      <c r="L1133">
        <v>100</v>
      </c>
      <c r="M1133">
        <v>70</v>
      </c>
      <c r="N1133">
        <v>1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70</v>
      </c>
      <c r="AJ1133">
        <v>1</v>
      </c>
      <c r="AK1133">
        <v>0</v>
      </c>
      <c r="AL1133">
        <v>0</v>
      </c>
      <c r="AM1133">
        <v>70</v>
      </c>
      <c r="AN1133">
        <v>0</v>
      </c>
      <c r="AO1133">
        <v>0</v>
      </c>
      <c r="AP1133">
        <v>0</v>
      </c>
      <c r="AQ1133">
        <v>0</v>
      </c>
      <c r="AS1133">
        <v>0</v>
      </c>
      <c r="AT1133">
        <v>0</v>
      </c>
      <c r="AV1133">
        <v>0</v>
      </c>
      <c r="AW1133">
        <v>0</v>
      </c>
      <c r="AY1133">
        <v>0</v>
      </c>
      <c r="AZ1133">
        <v>0</v>
      </c>
      <c r="BA1133">
        <v>49</v>
      </c>
      <c r="BE1133" t="str">
        <f>T("9791137014725")</f>
        <v>9791137014725</v>
      </c>
      <c r="BF1133" t="str">
        <f>T("k023244")</f>
        <v>k023244</v>
      </c>
      <c r="BG1133" t="str">
        <f>T("판타지 웹소설 &gt; 퓨전 판타지")</f>
        <v>판타지 웹소설 &gt; 퓨전 판타지</v>
      </c>
    </row>
    <row r="1134" spans="1:59">
      <c r="A1134" t="s">
        <v>60</v>
      </c>
      <c r="B1134" s="1">
        <v>46129</v>
      </c>
      <c r="C1134">
        <v>2378047879</v>
      </c>
      <c r="D1134">
        <v>2378047915</v>
      </c>
      <c r="E1134" t="str">
        <f>T("광명소야전 37화")</f>
        <v>광명소야전 37화</v>
      </c>
      <c r="F1134">
        <v>37</v>
      </c>
      <c r="G1134" t="str">
        <f>T("무언")</f>
        <v>무언</v>
      </c>
      <c r="J1134" t="str">
        <f>T("매드햇")</f>
        <v>매드햇</v>
      </c>
      <c r="K1134" t="str">
        <f>T("광명소야전")</f>
        <v>광명소야전</v>
      </c>
      <c r="L1134">
        <v>100</v>
      </c>
      <c r="M1134">
        <v>70</v>
      </c>
      <c r="N1134">
        <v>1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70</v>
      </c>
      <c r="AJ1134">
        <v>1</v>
      </c>
      <c r="AK1134">
        <v>0</v>
      </c>
      <c r="AL1134">
        <v>0</v>
      </c>
      <c r="AM1134">
        <v>70</v>
      </c>
      <c r="AN1134">
        <v>0</v>
      </c>
      <c r="AO1134">
        <v>0</v>
      </c>
      <c r="AP1134">
        <v>0</v>
      </c>
      <c r="AQ1134">
        <v>0</v>
      </c>
      <c r="AS1134">
        <v>0</v>
      </c>
      <c r="AT1134">
        <v>0</v>
      </c>
      <c r="AV1134">
        <v>0</v>
      </c>
      <c r="AW1134">
        <v>0</v>
      </c>
      <c r="AY1134">
        <v>0</v>
      </c>
      <c r="AZ1134">
        <v>0</v>
      </c>
      <c r="BA1134">
        <v>49</v>
      </c>
      <c r="BE1134" t="str">
        <f>T("9791137014725")</f>
        <v>9791137014725</v>
      </c>
      <c r="BF1134" t="str">
        <f>T("k023245")</f>
        <v>k023245</v>
      </c>
      <c r="BG1134" t="str">
        <f>T("판타지 웹소설 &gt; 퓨전 판타지")</f>
        <v>판타지 웹소설 &gt; 퓨전 판타지</v>
      </c>
    </row>
    <row r="1135" spans="1:59">
      <c r="A1135" t="s">
        <v>60</v>
      </c>
      <c r="B1135" s="1">
        <v>46129</v>
      </c>
      <c r="C1135">
        <v>2378047879</v>
      </c>
      <c r="D1135">
        <v>2378047916</v>
      </c>
      <c r="E1135" t="str">
        <f>T("광명소야전 38화")</f>
        <v>광명소야전 38화</v>
      </c>
      <c r="F1135">
        <v>38</v>
      </c>
      <c r="G1135" t="str">
        <f>T("무언")</f>
        <v>무언</v>
      </c>
      <c r="J1135" t="str">
        <f>T("매드햇")</f>
        <v>매드햇</v>
      </c>
      <c r="K1135" t="str">
        <f>T("광명소야전")</f>
        <v>광명소야전</v>
      </c>
      <c r="L1135">
        <v>100</v>
      </c>
      <c r="M1135">
        <v>70</v>
      </c>
      <c r="N1135">
        <v>1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70</v>
      </c>
      <c r="AJ1135">
        <v>1</v>
      </c>
      <c r="AK1135">
        <v>0</v>
      </c>
      <c r="AL1135">
        <v>0</v>
      </c>
      <c r="AM1135">
        <v>70</v>
      </c>
      <c r="AN1135">
        <v>0</v>
      </c>
      <c r="AO1135">
        <v>0</v>
      </c>
      <c r="AP1135">
        <v>0</v>
      </c>
      <c r="AQ1135">
        <v>0</v>
      </c>
      <c r="AS1135">
        <v>0</v>
      </c>
      <c r="AT1135">
        <v>0</v>
      </c>
      <c r="AV1135">
        <v>0</v>
      </c>
      <c r="AW1135">
        <v>0</v>
      </c>
      <c r="AY1135">
        <v>0</v>
      </c>
      <c r="AZ1135">
        <v>0</v>
      </c>
      <c r="BA1135">
        <v>49</v>
      </c>
      <c r="BE1135" t="str">
        <f>T("9791137014725")</f>
        <v>9791137014725</v>
      </c>
      <c r="BF1135" t="str">
        <f>T("k023246")</f>
        <v>k023246</v>
      </c>
      <c r="BG1135" t="str">
        <f>T("판타지 웹소설 &gt; 퓨전 판타지")</f>
        <v>판타지 웹소설 &gt; 퓨전 판타지</v>
      </c>
    </row>
    <row r="1136" spans="1:59">
      <c r="A1136" t="s">
        <v>60</v>
      </c>
      <c r="B1136" s="1">
        <v>46129</v>
      </c>
      <c r="C1136">
        <v>2378047879</v>
      </c>
      <c r="D1136">
        <v>2378047917</v>
      </c>
      <c r="E1136" t="str">
        <f>T("광명소야전 39화")</f>
        <v>광명소야전 39화</v>
      </c>
      <c r="F1136">
        <v>39</v>
      </c>
      <c r="G1136" t="str">
        <f>T("무언")</f>
        <v>무언</v>
      </c>
      <c r="J1136" t="str">
        <f>T("매드햇")</f>
        <v>매드햇</v>
      </c>
      <c r="K1136" t="str">
        <f>T("광명소야전")</f>
        <v>광명소야전</v>
      </c>
      <c r="L1136">
        <v>100</v>
      </c>
      <c r="M1136">
        <v>70</v>
      </c>
      <c r="N1136">
        <v>1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70</v>
      </c>
      <c r="AJ1136">
        <v>1</v>
      </c>
      <c r="AK1136">
        <v>0</v>
      </c>
      <c r="AL1136">
        <v>0</v>
      </c>
      <c r="AM1136">
        <v>70</v>
      </c>
      <c r="AN1136">
        <v>0</v>
      </c>
      <c r="AO1136">
        <v>0</v>
      </c>
      <c r="AP1136">
        <v>0</v>
      </c>
      <c r="AQ1136">
        <v>0</v>
      </c>
      <c r="AS1136">
        <v>0</v>
      </c>
      <c r="AT1136">
        <v>0</v>
      </c>
      <c r="AV1136">
        <v>0</v>
      </c>
      <c r="AW1136">
        <v>0</v>
      </c>
      <c r="AY1136">
        <v>0</v>
      </c>
      <c r="AZ1136">
        <v>0</v>
      </c>
      <c r="BA1136">
        <v>49</v>
      </c>
      <c r="BE1136" t="str">
        <f>T("9791137014725")</f>
        <v>9791137014725</v>
      </c>
      <c r="BF1136" t="str">
        <f>T("k023247")</f>
        <v>k023247</v>
      </c>
      <c r="BG1136" t="str">
        <f>T("판타지 웹소설 &gt; 퓨전 판타지")</f>
        <v>판타지 웹소설 &gt; 퓨전 판타지</v>
      </c>
    </row>
    <row r="1137" spans="1:59">
      <c r="A1137" t="s">
        <v>60</v>
      </c>
      <c r="B1137" s="1">
        <v>46129</v>
      </c>
      <c r="C1137">
        <v>2378047879</v>
      </c>
      <c r="D1137">
        <v>2378047918</v>
      </c>
      <c r="E1137" t="str">
        <f>T("광명소야전 40화")</f>
        <v>광명소야전 40화</v>
      </c>
      <c r="F1137">
        <v>40</v>
      </c>
      <c r="G1137" t="str">
        <f>T("무언")</f>
        <v>무언</v>
      </c>
      <c r="J1137" t="str">
        <f>T("매드햇")</f>
        <v>매드햇</v>
      </c>
      <c r="K1137" t="str">
        <f>T("광명소야전")</f>
        <v>광명소야전</v>
      </c>
      <c r="L1137">
        <v>100</v>
      </c>
      <c r="M1137">
        <v>70</v>
      </c>
      <c r="N1137">
        <v>1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70</v>
      </c>
      <c r="AJ1137">
        <v>1</v>
      </c>
      <c r="AK1137">
        <v>0</v>
      </c>
      <c r="AL1137">
        <v>0</v>
      </c>
      <c r="AM1137">
        <v>70</v>
      </c>
      <c r="AN1137">
        <v>0</v>
      </c>
      <c r="AO1137">
        <v>0</v>
      </c>
      <c r="AP1137">
        <v>0</v>
      </c>
      <c r="AQ1137">
        <v>0</v>
      </c>
      <c r="AS1137">
        <v>0</v>
      </c>
      <c r="AT1137">
        <v>0</v>
      </c>
      <c r="AV1137">
        <v>0</v>
      </c>
      <c r="AW1137">
        <v>0</v>
      </c>
      <c r="AY1137">
        <v>0</v>
      </c>
      <c r="AZ1137">
        <v>0</v>
      </c>
      <c r="BA1137">
        <v>49</v>
      </c>
      <c r="BE1137" t="str">
        <f>T("9791137014725")</f>
        <v>9791137014725</v>
      </c>
      <c r="BF1137" t="str">
        <f>T("k023248")</f>
        <v>k023248</v>
      </c>
      <c r="BG1137" t="str">
        <f>T("판타지 웹소설 &gt; 퓨전 판타지")</f>
        <v>판타지 웹소설 &gt; 퓨전 판타지</v>
      </c>
    </row>
    <row r="1138" spans="1:59">
      <c r="A1138" t="s">
        <v>60</v>
      </c>
      <c r="B1138" s="1">
        <v>46129</v>
      </c>
      <c r="C1138">
        <v>2378047879</v>
      </c>
      <c r="D1138">
        <v>2378047919</v>
      </c>
      <c r="E1138" t="str">
        <f>T("광명소야전 41화")</f>
        <v>광명소야전 41화</v>
      </c>
      <c r="F1138">
        <v>41</v>
      </c>
      <c r="G1138" t="str">
        <f>T("무언")</f>
        <v>무언</v>
      </c>
      <c r="J1138" t="str">
        <f>T("매드햇")</f>
        <v>매드햇</v>
      </c>
      <c r="K1138" t="str">
        <f>T("광명소야전")</f>
        <v>광명소야전</v>
      </c>
      <c r="L1138">
        <v>100</v>
      </c>
      <c r="M1138">
        <v>70</v>
      </c>
      <c r="N1138">
        <v>1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70</v>
      </c>
      <c r="AJ1138">
        <v>1</v>
      </c>
      <c r="AK1138">
        <v>0</v>
      </c>
      <c r="AL1138">
        <v>0</v>
      </c>
      <c r="AM1138">
        <v>70</v>
      </c>
      <c r="AN1138">
        <v>0</v>
      </c>
      <c r="AO1138">
        <v>0</v>
      </c>
      <c r="AP1138">
        <v>0</v>
      </c>
      <c r="AQ1138">
        <v>0</v>
      </c>
      <c r="AS1138">
        <v>0</v>
      </c>
      <c r="AT1138">
        <v>0</v>
      </c>
      <c r="AV1138">
        <v>0</v>
      </c>
      <c r="AW1138">
        <v>0</v>
      </c>
      <c r="AY1138">
        <v>0</v>
      </c>
      <c r="AZ1138">
        <v>0</v>
      </c>
      <c r="BA1138">
        <v>49</v>
      </c>
      <c r="BE1138" t="str">
        <f>T("9791137014725")</f>
        <v>9791137014725</v>
      </c>
      <c r="BF1138" t="str">
        <f>T("k023249")</f>
        <v>k023249</v>
      </c>
      <c r="BG1138" t="str">
        <f>T("판타지 웹소설 &gt; 퓨전 판타지")</f>
        <v>판타지 웹소설 &gt; 퓨전 판타지</v>
      </c>
    </row>
    <row r="1139" spans="1:59">
      <c r="A1139" t="s">
        <v>60</v>
      </c>
      <c r="B1139" s="1">
        <v>46129</v>
      </c>
      <c r="C1139">
        <v>2378047879</v>
      </c>
      <c r="D1139">
        <v>2378047920</v>
      </c>
      <c r="E1139" t="str">
        <f>T("광명소야전 42화")</f>
        <v>광명소야전 42화</v>
      </c>
      <c r="F1139">
        <v>42</v>
      </c>
      <c r="G1139" t="str">
        <f>T("무언")</f>
        <v>무언</v>
      </c>
      <c r="J1139" t="str">
        <f>T("매드햇")</f>
        <v>매드햇</v>
      </c>
      <c r="K1139" t="str">
        <f>T("광명소야전")</f>
        <v>광명소야전</v>
      </c>
      <c r="L1139">
        <v>100</v>
      </c>
      <c r="M1139">
        <v>70</v>
      </c>
      <c r="N1139">
        <v>1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70</v>
      </c>
      <c r="AJ1139">
        <v>1</v>
      </c>
      <c r="AK1139">
        <v>0</v>
      </c>
      <c r="AL1139">
        <v>0</v>
      </c>
      <c r="AM1139">
        <v>70</v>
      </c>
      <c r="AN1139">
        <v>0</v>
      </c>
      <c r="AO1139">
        <v>0</v>
      </c>
      <c r="AP1139">
        <v>0</v>
      </c>
      <c r="AQ1139">
        <v>0</v>
      </c>
      <c r="AS1139">
        <v>0</v>
      </c>
      <c r="AT1139">
        <v>0</v>
      </c>
      <c r="AV1139">
        <v>0</v>
      </c>
      <c r="AW1139">
        <v>0</v>
      </c>
      <c r="AY1139">
        <v>0</v>
      </c>
      <c r="AZ1139">
        <v>0</v>
      </c>
      <c r="BA1139">
        <v>49</v>
      </c>
      <c r="BE1139" t="str">
        <f>T("9791137014725")</f>
        <v>9791137014725</v>
      </c>
      <c r="BF1139" t="str">
        <f>T("k023250")</f>
        <v>k023250</v>
      </c>
      <c r="BG1139" t="str">
        <f>T("판타지 웹소설 &gt; 퓨전 판타지")</f>
        <v>판타지 웹소설 &gt; 퓨전 판타지</v>
      </c>
    </row>
    <row r="1140" spans="1:59">
      <c r="A1140" t="s">
        <v>60</v>
      </c>
      <c r="B1140" s="1">
        <v>46129</v>
      </c>
      <c r="C1140">
        <v>2378047879</v>
      </c>
      <c r="D1140">
        <v>2378047921</v>
      </c>
      <c r="E1140" t="str">
        <f>T("광명소야전 43화")</f>
        <v>광명소야전 43화</v>
      </c>
      <c r="F1140">
        <v>43</v>
      </c>
      <c r="G1140" t="str">
        <f>T("무언")</f>
        <v>무언</v>
      </c>
      <c r="J1140" t="str">
        <f>T("매드햇")</f>
        <v>매드햇</v>
      </c>
      <c r="K1140" t="str">
        <f>T("광명소야전")</f>
        <v>광명소야전</v>
      </c>
      <c r="L1140">
        <v>100</v>
      </c>
      <c r="M1140">
        <v>70</v>
      </c>
      <c r="N1140">
        <v>1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70</v>
      </c>
      <c r="AJ1140">
        <v>1</v>
      </c>
      <c r="AK1140">
        <v>0</v>
      </c>
      <c r="AL1140">
        <v>0</v>
      </c>
      <c r="AM1140">
        <v>70</v>
      </c>
      <c r="AN1140">
        <v>0</v>
      </c>
      <c r="AO1140">
        <v>0</v>
      </c>
      <c r="AP1140">
        <v>0</v>
      </c>
      <c r="AQ1140">
        <v>0</v>
      </c>
      <c r="AS1140">
        <v>0</v>
      </c>
      <c r="AT1140">
        <v>0</v>
      </c>
      <c r="AV1140">
        <v>0</v>
      </c>
      <c r="AW1140">
        <v>0</v>
      </c>
      <c r="AY1140">
        <v>0</v>
      </c>
      <c r="AZ1140">
        <v>0</v>
      </c>
      <c r="BA1140">
        <v>49</v>
      </c>
      <c r="BE1140" t="str">
        <f>T("9791137014725")</f>
        <v>9791137014725</v>
      </c>
      <c r="BF1140" t="str">
        <f>T("k023251")</f>
        <v>k023251</v>
      </c>
      <c r="BG1140" t="str">
        <f>T("판타지 웹소설 &gt; 퓨전 판타지")</f>
        <v>판타지 웹소설 &gt; 퓨전 판타지</v>
      </c>
    </row>
    <row r="1141" spans="1:59">
      <c r="A1141" t="s">
        <v>60</v>
      </c>
      <c r="B1141" s="1">
        <v>46129</v>
      </c>
      <c r="C1141">
        <v>2378047879</v>
      </c>
      <c r="D1141">
        <v>2378047922</v>
      </c>
      <c r="E1141" t="str">
        <f>T("광명소야전 44화")</f>
        <v>광명소야전 44화</v>
      </c>
      <c r="F1141">
        <v>44</v>
      </c>
      <c r="G1141" t="str">
        <f>T("무언")</f>
        <v>무언</v>
      </c>
      <c r="J1141" t="str">
        <f>T("매드햇")</f>
        <v>매드햇</v>
      </c>
      <c r="K1141" t="str">
        <f>T("광명소야전")</f>
        <v>광명소야전</v>
      </c>
      <c r="L1141">
        <v>100</v>
      </c>
      <c r="M1141">
        <v>70</v>
      </c>
      <c r="N1141">
        <v>1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70</v>
      </c>
      <c r="AJ1141">
        <v>1</v>
      </c>
      <c r="AK1141">
        <v>0</v>
      </c>
      <c r="AL1141">
        <v>0</v>
      </c>
      <c r="AM1141">
        <v>70</v>
      </c>
      <c r="AN1141">
        <v>0</v>
      </c>
      <c r="AO1141">
        <v>0</v>
      </c>
      <c r="AP1141">
        <v>0</v>
      </c>
      <c r="AQ1141">
        <v>0</v>
      </c>
      <c r="AS1141">
        <v>0</v>
      </c>
      <c r="AT1141">
        <v>0</v>
      </c>
      <c r="AV1141">
        <v>0</v>
      </c>
      <c r="AW1141">
        <v>0</v>
      </c>
      <c r="AY1141">
        <v>0</v>
      </c>
      <c r="AZ1141">
        <v>0</v>
      </c>
      <c r="BA1141">
        <v>49</v>
      </c>
      <c r="BE1141" t="str">
        <f>T("9791137014725")</f>
        <v>9791137014725</v>
      </c>
      <c r="BF1141" t="str">
        <f>T("k023252")</f>
        <v>k023252</v>
      </c>
      <c r="BG1141" t="str">
        <f>T("판타지 웹소설 &gt; 퓨전 판타지")</f>
        <v>판타지 웹소설 &gt; 퓨전 판타지</v>
      </c>
    </row>
    <row r="1142" spans="1:59">
      <c r="A1142" t="s">
        <v>60</v>
      </c>
      <c r="B1142" s="1">
        <v>46129</v>
      </c>
      <c r="C1142">
        <v>2378047879</v>
      </c>
      <c r="D1142">
        <v>2378047923</v>
      </c>
      <c r="E1142" t="str">
        <f>T("광명소야전 45화")</f>
        <v>광명소야전 45화</v>
      </c>
      <c r="F1142">
        <v>45</v>
      </c>
      <c r="G1142" t="str">
        <f>T("무언")</f>
        <v>무언</v>
      </c>
      <c r="J1142" t="str">
        <f>T("매드햇")</f>
        <v>매드햇</v>
      </c>
      <c r="K1142" t="str">
        <f>T("광명소야전")</f>
        <v>광명소야전</v>
      </c>
      <c r="L1142">
        <v>100</v>
      </c>
      <c r="M1142">
        <v>70</v>
      </c>
      <c r="N1142">
        <v>1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70</v>
      </c>
      <c r="AJ1142">
        <v>1</v>
      </c>
      <c r="AK1142">
        <v>0</v>
      </c>
      <c r="AL1142">
        <v>0</v>
      </c>
      <c r="AM1142">
        <v>70</v>
      </c>
      <c r="AN1142">
        <v>0</v>
      </c>
      <c r="AO1142">
        <v>0</v>
      </c>
      <c r="AP1142">
        <v>0</v>
      </c>
      <c r="AQ1142">
        <v>0</v>
      </c>
      <c r="AS1142">
        <v>0</v>
      </c>
      <c r="AT1142">
        <v>0</v>
      </c>
      <c r="AV1142">
        <v>0</v>
      </c>
      <c r="AW1142">
        <v>0</v>
      </c>
      <c r="AY1142">
        <v>0</v>
      </c>
      <c r="AZ1142">
        <v>0</v>
      </c>
      <c r="BA1142">
        <v>49</v>
      </c>
      <c r="BE1142" t="str">
        <f>T("9791137014725")</f>
        <v>9791137014725</v>
      </c>
      <c r="BF1142" t="str">
        <f>T("k023253")</f>
        <v>k023253</v>
      </c>
      <c r="BG1142" t="str">
        <f>T("판타지 웹소설 &gt; 퓨전 판타지")</f>
        <v>판타지 웹소설 &gt; 퓨전 판타지</v>
      </c>
    </row>
    <row r="1143" spans="1:59">
      <c r="A1143" t="s">
        <v>60</v>
      </c>
      <c r="B1143" s="1">
        <v>46129</v>
      </c>
      <c r="C1143">
        <v>2378047879</v>
      </c>
      <c r="D1143">
        <v>2378047924</v>
      </c>
      <c r="E1143" t="str">
        <f>T("광명소야전 46화")</f>
        <v>광명소야전 46화</v>
      </c>
      <c r="F1143">
        <v>46</v>
      </c>
      <c r="G1143" t="str">
        <f>T("무언")</f>
        <v>무언</v>
      </c>
      <c r="J1143" t="str">
        <f>T("매드햇")</f>
        <v>매드햇</v>
      </c>
      <c r="K1143" t="str">
        <f>T("광명소야전")</f>
        <v>광명소야전</v>
      </c>
      <c r="L1143">
        <v>100</v>
      </c>
      <c r="M1143">
        <v>70</v>
      </c>
      <c r="N1143">
        <v>1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70</v>
      </c>
      <c r="AJ1143">
        <v>1</v>
      </c>
      <c r="AK1143">
        <v>0</v>
      </c>
      <c r="AL1143">
        <v>0</v>
      </c>
      <c r="AM1143">
        <v>70</v>
      </c>
      <c r="AN1143">
        <v>0</v>
      </c>
      <c r="AO1143">
        <v>0</v>
      </c>
      <c r="AP1143">
        <v>0</v>
      </c>
      <c r="AQ1143">
        <v>0</v>
      </c>
      <c r="AS1143">
        <v>0</v>
      </c>
      <c r="AT1143">
        <v>0</v>
      </c>
      <c r="AV1143">
        <v>0</v>
      </c>
      <c r="AW1143">
        <v>0</v>
      </c>
      <c r="AY1143">
        <v>0</v>
      </c>
      <c r="AZ1143">
        <v>0</v>
      </c>
      <c r="BA1143">
        <v>49</v>
      </c>
      <c r="BE1143" t="str">
        <f>T("9791137014725")</f>
        <v>9791137014725</v>
      </c>
      <c r="BF1143" t="str">
        <f>T("k023254")</f>
        <v>k023254</v>
      </c>
      <c r="BG1143" t="str">
        <f>T("판타지 웹소설 &gt; 퓨전 판타지")</f>
        <v>판타지 웹소설 &gt; 퓨전 판타지</v>
      </c>
    </row>
    <row r="1144" spans="1:59">
      <c r="A1144" t="s">
        <v>60</v>
      </c>
      <c r="B1144" s="1">
        <v>46129</v>
      </c>
      <c r="C1144">
        <v>2378047879</v>
      </c>
      <c r="D1144">
        <v>2378047925</v>
      </c>
      <c r="E1144" t="str">
        <f>T("광명소야전 47화")</f>
        <v>광명소야전 47화</v>
      </c>
      <c r="F1144">
        <v>47</v>
      </c>
      <c r="G1144" t="str">
        <f>T("무언")</f>
        <v>무언</v>
      </c>
      <c r="J1144" t="str">
        <f>T("매드햇")</f>
        <v>매드햇</v>
      </c>
      <c r="K1144" t="str">
        <f>T("광명소야전")</f>
        <v>광명소야전</v>
      </c>
      <c r="L1144">
        <v>100</v>
      </c>
      <c r="M1144">
        <v>70</v>
      </c>
      <c r="N1144">
        <v>1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70</v>
      </c>
      <c r="AJ1144">
        <v>1</v>
      </c>
      <c r="AK1144">
        <v>0</v>
      </c>
      <c r="AL1144">
        <v>0</v>
      </c>
      <c r="AM1144">
        <v>70</v>
      </c>
      <c r="AN1144">
        <v>0</v>
      </c>
      <c r="AO1144">
        <v>0</v>
      </c>
      <c r="AP1144">
        <v>0</v>
      </c>
      <c r="AQ1144">
        <v>0</v>
      </c>
      <c r="AS1144">
        <v>0</v>
      </c>
      <c r="AT1144">
        <v>0</v>
      </c>
      <c r="AV1144">
        <v>0</v>
      </c>
      <c r="AW1144">
        <v>0</v>
      </c>
      <c r="AY1144">
        <v>0</v>
      </c>
      <c r="AZ1144">
        <v>0</v>
      </c>
      <c r="BA1144">
        <v>49</v>
      </c>
      <c r="BE1144" t="str">
        <f>T("9791137014725")</f>
        <v>9791137014725</v>
      </c>
      <c r="BF1144" t="str">
        <f>T("k023255")</f>
        <v>k023255</v>
      </c>
      <c r="BG1144" t="str">
        <f>T("판타지 웹소설 &gt; 퓨전 판타지")</f>
        <v>판타지 웹소설 &gt; 퓨전 판타지</v>
      </c>
    </row>
    <row r="1145" spans="1:59">
      <c r="A1145" t="s">
        <v>60</v>
      </c>
      <c r="B1145" s="1">
        <v>46129</v>
      </c>
      <c r="C1145">
        <v>2378047879</v>
      </c>
      <c r="D1145">
        <v>2378047926</v>
      </c>
      <c r="E1145" t="str">
        <f>T("광명소야전 48화")</f>
        <v>광명소야전 48화</v>
      </c>
      <c r="F1145">
        <v>48</v>
      </c>
      <c r="G1145" t="str">
        <f>T("무언")</f>
        <v>무언</v>
      </c>
      <c r="J1145" t="str">
        <f>T("매드햇")</f>
        <v>매드햇</v>
      </c>
      <c r="K1145" t="str">
        <f>T("광명소야전")</f>
        <v>광명소야전</v>
      </c>
      <c r="L1145">
        <v>100</v>
      </c>
      <c r="M1145">
        <v>70</v>
      </c>
      <c r="N1145">
        <v>1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70</v>
      </c>
      <c r="AJ1145">
        <v>1</v>
      </c>
      <c r="AK1145">
        <v>0</v>
      </c>
      <c r="AL1145">
        <v>0</v>
      </c>
      <c r="AM1145">
        <v>70</v>
      </c>
      <c r="AN1145">
        <v>0</v>
      </c>
      <c r="AO1145">
        <v>0</v>
      </c>
      <c r="AP1145">
        <v>0</v>
      </c>
      <c r="AQ1145">
        <v>0</v>
      </c>
      <c r="AS1145">
        <v>0</v>
      </c>
      <c r="AT1145">
        <v>0</v>
      </c>
      <c r="AV1145">
        <v>0</v>
      </c>
      <c r="AW1145">
        <v>0</v>
      </c>
      <c r="AY1145">
        <v>0</v>
      </c>
      <c r="AZ1145">
        <v>0</v>
      </c>
      <c r="BA1145">
        <v>49</v>
      </c>
      <c r="BE1145" t="str">
        <f>T("9791137014725")</f>
        <v>9791137014725</v>
      </c>
      <c r="BF1145" t="str">
        <f>T("k023256")</f>
        <v>k023256</v>
      </c>
      <c r="BG1145" t="str">
        <f>T("판타지 웹소설 &gt; 퓨전 판타지")</f>
        <v>판타지 웹소설 &gt; 퓨전 판타지</v>
      </c>
    </row>
    <row r="1146" spans="1:59">
      <c r="A1146" t="s">
        <v>60</v>
      </c>
      <c r="B1146" s="1">
        <v>46129</v>
      </c>
      <c r="C1146">
        <v>2378047879</v>
      </c>
      <c r="D1146">
        <v>2378047927</v>
      </c>
      <c r="E1146" t="str">
        <f>T("광명소야전 49화")</f>
        <v>광명소야전 49화</v>
      </c>
      <c r="F1146">
        <v>49</v>
      </c>
      <c r="G1146" t="str">
        <f>T("무언")</f>
        <v>무언</v>
      </c>
      <c r="J1146" t="str">
        <f>T("매드햇")</f>
        <v>매드햇</v>
      </c>
      <c r="K1146" t="str">
        <f>T("광명소야전")</f>
        <v>광명소야전</v>
      </c>
      <c r="L1146">
        <v>100</v>
      </c>
      <c r="M1146">
        <v>70</v>
      </c>
      <c r="N1146">
        <v>1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70</v>
      </c>
      <c r="AJ1146">
        <v>1</v>
      </c>
      <c r="AK1146">
        <v>0</v>
      </c>
      <c r="AL1146">
        <v>0</v>
      </c>
      <c r="AM1146">
        <v>70</v>
      </c>
      <c r="AN1146">
        <v>0</v>
      </c>
      <c r="AO1146">
        <v>0</v>
      </c>
      <c r="AP1146">
        <v>0</v>
      </c>
      <c r="AQ1146">
        <v>0</v>
      </c>
      <c r="AS1146">
        <v>0</v>
      </c>
      <c r="AT1146">
        <v>0</v>
      </c>
      <c r="AV1146">
        <v>0</v>
      </c>
      <c r="AW1146">
        <v>0</v>
      </c>
      <c r="AY1146">
        <v>0</v>
      </c>
      <c r="AZ1146">
        <v>0</v>
      </c>
      <c r="BA1146">
        <v>49</v>
      </c>
      <c r="BE1146" t="str">
        <f>T("9791137014725")</f>
        <v>9791137014725</v>
      </c>
      <c r="BF1146" t="str">
        <f>T("k023257")</f>
        <v>k023257</v>
      </c>
      <c r="BG1146" t="str">
        <f>T("판타지 웹소설 &gt; 퓨전 판타지")</f>
        <v>판타지 웹소설 &gt; 퓨전 판타지</v>
      </c>
    </row>
    <row r="1147" spans="1:59">
      <c r="A1147" t="s">
        <v>60</v>
      </c>
      <c r="B1147" s="1">
        <v>46129</v>
      </c>
      <c r="C1147">
        <v>2378047879</v>
      </c>
      <c r="D1147">
        <v>2378047928</v>
      </c>
      <c r="E1147" t="str">
        <f>T("광명소야전 50화")</f>
        <v>광명소야전 50화</v>
      </c>
      <c r="F1147">
        <v>50</v>
      </c>
      <c r="G1147" t="str">
        <f>T("무언")</f>
        <v>무언</v>
      </c>
      <c r="J1147" t="str">
        <f>T("매드햇")</f>
        <v>매드햇</v>
      </c>
      <c r="K1147" t="str">
        <f>T("광명소야전")</f>
        <v>광명소야전</v>
      </c>
      <c r="L1147">
        <v>100</v>
      </c>
      <c r="M1147">
        <v>70</v>
      </c>
      <c r="N1147">
        <v>1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70</v>
      </c>
      <c r="AJ1147">
        <v>1</v>
      </c>
      <c r="AK1147">
        <v>0</v>
      </c>
      <c r="AL1147">
        <v>0</v>
      </c>
      <c r="AM1147">
        <v>70</v>
      </c>
      <c r="AN1147">
        <v>0</v>
      </c>
      <c r="AO1147">
        <v>0</v>
      </c>
      <c r="AP1147">
        <v>0</v>
      </c>
      <c r="AQ1147">
        <v>0</v>
      </c>
      <c r="AS1147">
        <v>0</v>
      </c>
      <c r="AT1147">
        <v>0</v>
      </c>
      <c r="AV1147">
        <v>0</v>
      </c>
      <c r="AW1147">
        <v>0</v>
      </c>
      <c r="AY1147">
        <v>0</v>
      </c>
      <c r="AZ1147">
        <v>0</v>
      </c>
      <c r="BA1147">
        <v>49</v>
      </c>
      <c r="BE1147" t="str">
        <f>T("9791137014725")</f>
        <v>9791137014725</v>
      </c>
      <c r="BF1147" t="str">
        <f>T("k023258")</f>
        <v>k023258</v>
      </c>
      <c r="BG1147" t="str">
        <f>T("판타지 웹소설 &gt; 퓨전 판타지")</f>
        <v>판타지 웹소설 &gt; 퓨전 판타지</v>
      </c>
    </row>
    <row r="1148" spans="1:59">
      <c r="A1148" t="s">
        <v>60</v>
      </c>
      <c r="B1148" s="1">
        <v>46129</v>
      </c>
      <c r="C1148">
        <v>2378047879</v>
      </c>
      <c r="D1148">
        <v>2378047929</v>
      </c>
      <c r="E1148" t="str">
        <f>T("광명소야전 51화")</f>
        <v>광명소야전 51화</v>
      </c>
      <c r="F1148">
        <v>51</v>
      </c>
      <c r="G1148" t="str">
        <f>T("무언")</f>
        <v>무언</v>
      </c>
      <c r="J1148" t="str">
        <f>T("매드햇")</f>
        <v>매드햇</v>
      </c>
      <c r="K1148" t="str">
        <f>T("광명소야전")</f>
        <v>광명소야전</v>
      </c>
      <c r="L1148">
        <v>100</v>
      </c>
      <c r="M1148">
        <v>70</v>
      </c>
      <c r="N1148">
        <v>1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70</v>
      </c>
      <c r="AJ1148">
        <v>1</v>
      </c>
      <c r="AK1148">
        <v>0</v>
      </c>
      <c r="AL1148">
        <v>0</v>
      </c>
      <c r="AM1148">
        <v>70</v>
      </c>
      <c r="AN1148">
        <v>0</v>
      </c>
      <c r="AO1148">
        <v>0</v>
      </c>
      <c r="AP1148">
        <v>0</v>
      </c>
      <c r="AQ1148">
        <v>0</v>
      </c>
      <c r="AS1148">
        <v>0</v>
      </c>
      <c r="AT1148">
        <v>0</v>
      </c>
      <c r="AV1148">
        <v>0</v>
      </c>
      <c r="AW1148">
        <v>0</v>
      </c>
      <c r="AY1148">
        <v>0</v>
      </c>
      <c r="AZ1148">
        <v>0</v>
      </c>
      <c r="BA1148">
        <v>49</v>
      </c>
      <c r="BE1148" t="str">
        <f>T("9791137014725")</f>
        <v>9791137014725</v>
      </c>
      <c r="BF1148" t="str">
        <f>T("k023259")</f>
        <v>k023259</v>
      </c>
      <c r="BG1148" t="str">
        <f>T("판타지 웹소설 &gt; 퓨전 판타지")</f>
        <v>판타지 웹소설 &gt; 퓨전 판타지</v>
      </c>
    </row>
    <row r="1149" spans="1:59">
      <c r="A1149" t="s">
        <v>60</v>
      </c>
      <c r="B1149" s="1">
        <v>46129</v>
      </c>
      <c r="C1149">
        <v>2378047879</v>
      </c>
      <c r="D1149">
        <v>2378047930</v>
      </c>
      <c r="E1149" t="str">
        <f>T("광명소야전 52화")</f>
        <v>광명소야전 52화</v>
      </c>
      <c r="F1149">
        <v>52</v>
      </c>
      <c r="G1149" t="str">
        <f>T("무언")</f>
        <v>무언</v>
      </c>
      <c r="J1149" t="str">
        <f>T("매드햇")</f>
        <v>매드햇</v>
      </c>
      <c r="K1149" t="str">
        <f>T("광명소야전")</f>
        <v>광명소야전</v>
      </c>
      <c r="L1149">
        <v>100</v>
      </c>
      <c r="M1149">
        <v>70</v>
      </c>
      <c r="N1149">
        <v>1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70</v>
      </c>
      <c r="AJ1149">
        <v>1</v>
      </c>
      <c r="AK1149">
        <v>0</v>
      </c>
      <c r="AL1149">
        <v>0</v>
      </c>
      <c r="AM1149">
        <v>70</v>
      </c>
      <c r="AN1149">
        <v>0</v>
      </c>
      <c r="AO1149">
        <v>0</v>
      </c>
      <c r="AP1149">
        <v>0</v>
      </c>
      <c r="AQ1149">
        <v>0</v>
      </c>
      <c r="AS1149">
        <v>0</v>
      </c>
      <c r="AT1149">
        <v>0</v>
      </c>
      <c r="AV1149">
        <v>0</v>
      </c>
      <c r="AW1149">
        <v>0</v>
      </c>
      <c r="AY1149">
        <v>0</v>
      </c>
      <c r="AZ1149">
        <v>0</v>
      </c>
      <c r="BA1149">
        <v>49</v>
      </c>
      <c r="BE1149" t="str">
        <f>T("9791137014725")</f>
        <v>9791137014725</v>
      </c>
      <c r="BF1149" t="str">
        <f>T("k023260")</f>
        <v>k023260</v>
      </c>
      <c r="BG1149" t="str">
        <f>T("판타지 웹소설 &gt; 퓨전 판타지")</f>
        <v>판타지 웹소설 &gt; 퓨전 판타지</v>
      </c>
    </row>
    <row r="1150" spans="1:59">
      <c r="A1150" t="s">
        <v>60</v>
      </c>
      <c r="B1150" s="1">
        <v>46129</v>
      </c>
      <c r="C1150">
        <v>2378047879</v>
      </c>
      <c r="D1150">
        <v>2378047931</v>
      </c>
      <c r="E1150" t="str">
        <f>T("광명소야전 53화")</f>
        <v>광명소야전 53화</v>
      </c>
      <c r="F1150">
        <v>53</v>
      </c>
      <c r="G1150" t="str">
        <f>T("무언")</f>
        <v>무언</v>
      </c>
      <c r="J1150" t="str">
        <f>T("매드햇")</f>
        <v>매드햇</v>
      </c>
      <c r="K1150" t="str">
        <f>T("광명소야전")</f>
        <v>광명소야전</v>
      </c>
      <c r="L1150">
        <v>100</v>
      </c>
      <c r="M1150">
        <v>70</v>
      </c>
      <c r="N1150">
        <v>1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70</v>
      </c>
      <c r="AJ1150">
        <v>1</v>
      </c>
      <c r="AK1150">
        <v>0</v>
      </c>
      <c r="AL1150">
        <v>0</v>
      </c>
      <c r="AM1150">
        <v>70</v>
      </c>
      <c r="AN1150">
        <v>0</v>
      </c>
      <c r="AO1150">
        <v>0</v>
      </c>
      <c r="AP1150">
        <v>0</v>
      </c>
      <c r="AQ1150">
        <v>0</v>
      </c>
      <c r="AS1150">
        <v>0</v>
      </c>
      <c r="AT1150">
        <v>0</v>
      </c>
      <c r="AV1150">
        <v>0</v>
      </c>
      <c r="AW1150">
        <v>0</v>
      </c>
      <c r="AY1150">
        <v>0</v>
      </c>
      <c r="AZ1150">
        <v>0</v>
      </c>
      <c r="BA1150">
        <v>49</v>
      </c>
      <c r="BE1150" t="str">
        <f>T("9791137014725")</f>
        <v>9791137014725</v>
      </c>
      <c r="BF1150" t="str">
        <f>T("k023261")</f>
        <v>k023261</v>
      </c>
      <c r="BG1150" t="str">
        <f>T("판타지 웹소설 &gt; 퓨전 판타지")</f>
        <v>판타지 웹소설 &gt; 퓨전 판타지</v>
      </c>
    </row>
    <row r="1151" spans="1:59">
      <c r="A1151" t="s">
        <v>60</v>
      </c>
      <c r="B1151" s="1">
        <v>46129</v>
      </c>
      <c r="C1151">
        <v>2378047879</v>
      </c>
      <c r="D1151">
        <v>2378047932</v>
      </c>
      <c r="E1151" t="str">
        <f>T("광명소야전 54화")</f>
        <v>광명소야전 54화</v>
      </c>
      <c r="F1151">
        <v>54</v>
      </c>
      <c r="G1151" t="str">
        <f>T("무언")</f>
        <v>무언</v>
      </c>
      <c r="J1151" t="str">
        <f>T("매드햇")</f>
        <v>매드햇</v>
      </c>
      <c r="K1151" t="str">
        <f>T("광명소야전")</f>
        <v>광명소야전</v>
      </c>
      <c r="L1151">
        <v>100</v>
      </c>
      <c r="M1151">
        <v>70</v>
      </c>
      <c r="N1151">
        <v>1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70</v>
      </c>
      <c r="AJ1151">
        <v>1</v>
      </c>
      <c r="AK1151">
        <v>0</v>
      </c>
      <c r="AL1151">
        <v>0</v>
      </c>
      <c r="AM1151">
        <v>70</v>
      </c>
      <c r="AN1151">
        <v>0</v>
      </c>
      <c r="AO1151">
        <v>0</v>
      </c>
      <c r="AP1151">
        <v>0</v>
      </c>
      <c r="AQ1151">
        <v>0</v>
      </c>
      <c r="AS1151">
        <v>0</v>
      </c>
      <c r="AT1151">
        <v>0</v>
      </c>
      <c r="AV1151">
        <v>0</v>
      </c>
      <c r="AW1151">
        <v>0</v>
      </c>
      <c r="AY1151">
        <v>0</v>
      </c>
      <c r="AZ1151">
        <v>0</v>
      </c>
      <c r="BA1151">
        <v>49</v>
      </c>
      <c r="BE1151" t="str">
        <f>T("9791137014725")</f>
        <v>9791137014725</v>
      </c>
      <c r="BF1151" t="str">
        <f>T("k023262")</f>
        <v>k023262</v>
      </c>
      <c r="BG1151" t="str">
        <f>T("판타지 웹소설 &gt; 퓨전 판타지")</f>
        <v>판타지 웹소설 &gt; 퓨전 판타지</v>
      </c>
    </row>
    <row r="1152" spans="1:59">
      <c r="A1152" t="s">
        <v>60</v>
      </c>
      <c r="B1152" s="1">
        <v>46129</v>
      </c>
      <c r="C1152">
        <v>2378047879</v>
      </c>
      <c r="D1152">
        <v>2378047933</v>
      </c>
      <c r="E1152" t="str">
        <f>T("광명소야전 55화")</f>
        <v>광명소야전 55화</v>
      </c>
      <c r="F1152">
        <v>55</v>
      </c>
      <c r="G1152" t="str">
        <f>T("무언")</f>
        <v>무언</v>
      </c>
      <c r="J1152" t="str">
        <f>T("매드햇")</f>
        <v>매드햇</v>
      </c>
      <c r="K1152" t="str">
        <f>T("광명소야전")</f>
        <v>광명소야전</v>
      </c>
      <c r="L1152">
        <v>100</v>
      </c>
      <c r="M1152">
        <v>70</v>
      </c>
      <c r="N1152">
        <v>1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70</v>
      </c>
      <c r="AJ1152">
        <v>1</v>
      </c>
      <c r="AK1152">
        <v>0</v>
      </c>
      <c r="AL1152">
        <v>0</v>
      </c>
      <c r="AM1152">
        <v>70</v>
      </c>
      <c r="AN1152">
        <v>0</v>
      </c>
      <c r="AO1152">
        <v>0</v>
      </c>
      <c r="AP1152">
        <v>0</v>
      </c>
      <c r="AQ1152">
        <v>0</v>
      </c>
      <c r="AS1152">
        <v>0</v>
      </c>
      <c r="AT1152">
        <v>0</v>
      </c>
      <c r="AV1152">
        <v>0</v>
      </c>
      <c r="AW1152">
        <v>0</v>
      </c>
      <c r="AY1152">
        <v>0</v>
      </c>
      <c r="AZ1152">
        <v>0</v>
      </c>
      <c r="BA1152">
        <v>49</v>
      </c>
      <c r="BE1152" t="str">
        <f>T("9791137014725")</f>
        <v>9791137014725</v>
      </c>
      <c r="BF1152" t="str">
        <f>T("k023263")</f>
        <v>k023263</v>
      </c>
      <c r="BG1152" t="str">
        <f>T("판타지 웹소설 &gt; 퓨전 판타지")</f>
        <v>판타지 웹소설 &gt; 퓨전 판타지</v>
      </c>
    </row>
    <row r="1153" spans="1:59">
      <c r="A1153" t="s">
        <v>60</v>
      </c>
      <c r="B1153" s="1">
        <v>46129</v>
      </c>
      <c r="C1153">
        <v>2378047879</v>
      </c>
      <c r="D1153">
        <v>2378047934</v>
      </c>
      <c r="E1153" t="str">
        <f>T("광명소야전 56화")</f>
        <v>광명소야전 56화</v>
      </c>
      <c r="F1153">
        <v>56</v>
      </c>
      <c r="G1153" t="str">
        <f>T("무언")</f>
        <v>무언</v>
      </c>
      <c r="J1153" t="str">
        <f>T("매드햇")</f>
        <v>매드햇</v>
      </c>
      <c r="K1153" t="str">
        <f>T("광명소야전")</f>
        <v>광명소야전</v>
      </c>
      <c r="L1153">
        <v>100</v>
      </c>
      <c r="M1153">
        <v>70</v>
      </c>
      <c r="N1153">
        <v>1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70</v>
      </c>
      <c r="AJ1153">
        <v>1</v>
      </c>
      <c r="AK1153">
        <v>0</v>
      </c>
      <c r="AL1153">
        <v>0</v>
      </c>
      <c r="AM1153">
        <v>70</v>
      </c>
      <c r="AN1153">
        <v>0</v>
      </c>
      <c r="AO1153">
        <v>0</v>
      </c>
      <c r="AP1153">
        <v>0</v>
      </c>
      <c r="AQ1153">
        <v>0</v>
      </c>
      <c r="AS1153">
        <v>0</v>
      </c>
      <c r="AT1153">
        <v>0</v>
      </c>
      <c r="AV1153">
        <v>0</v>
      </c>
      <c r="AW1153">
        <v>0</v>
      </c>
      <c r="AY1153">
        <v>0</v>
      </c>
      <c r="AZ1153">
        <v>0</v>
      </c>
      <c r="BA1153">
        <v>49</v>
      </c>
      <c r="BE1153" t="str">
        <f>T("9791137014725")</f>
        <v>9791137014725</v>
      </c>
      <c r="BF1153" t="str">
        <f>T("k023264")</f>
        <v>k023264</v>
      </c>
      <c r="BG1153" t="str">
        <f>T("판타지 웹소설 &gt; 퓨전 판타지")</f>
        <v>판타지 웹소설 &gt; 퓨전 판타지</v>
      </c>
    </row>
    <row r="1154" spans="1:59">
      <c r="A1154" t="s">
        <v>60</v>
      </c>
      <c r="B1154" s="1">
        <v>46129</v>
      </c>
      <c r="C1154">
        <v>2378047879</v>
      </c>
      <c r="D1154">
        <v>2378047935</v>
      </c>
      <c r="E1154" t="str">
        <f>T("광명소야전 57화")</f>
        <v>광명소야전 57화</v>
      </c>
      <c r="F1154">
        <v>57</v>
      </c>
      <c r="G1154" t="str">
        <f>T("무언")</f>
        <v>무언</v>
      </c>
      <c r="J1154" t="str">
        <f>T("매드햇")</f>
        <v>매드햇</v>
      </c>
      <c r="K1154" t="str">
        <f>T("광명소야전")</f>
        <v>광명소야전</v>
      </c>
      <c r="L1154">
        <v>100</v>
      </c>
      <c r="M1154">
        <v>70</v>
      </c>
      <c r="N1154">
        <v>1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70</v>
      </c>
      <c r="AJ1154">
        <v>1</v>
      </c>
      <c r="AK1154">
        <v>0</v>
      </c>
      <c r="AL1154">
        <v>0</v>
      </c>
      <c r="AM1154">
        <v>70</v>
      </c>
      <c r="AN1154">
        <v>0</v>
      </c>
      <c r="AO1154">
        <v>0</v>
      </c>
      <c r="AP1154">
        <v>0</v>
      </c>
      <c r="AQ1154">
        <v>0</v>
      </c>
      <c r="AS1154">
        <v>0</v>
      </c>
      <c r="AT1154">
        <v>0</v>
      </c>
      <c r="AV1154">
        <v>0</v>
      </c>
      <c r="AW1154">
        <v>0</v>
      </c>
      <c r="AY1154">
        <v>0</v>
      </c>
      <c r="AZ1154">
        <v>0</v>
      </c>
      <c r="BA1154">
        <v>49</v>
      </c>
      <c r="BE1154" t="str">
        <f>T("9791137014725")</f>
        <v>9791137014725</v>
      </c>
      <c r="BF1154" t="str">
        <f>T("k023265")</f>
        <v>k023265</v>
      </c>
      <c r="BG1154" t="str">
        <f>T("판타지 웹소설 &gt; 퓨전 판타지")</f>
        <v>판타지 웹소설 &gt; 퓨전 판타지</v>
      </c>
    </row>
    <row r="1155" spans="1:59">
      <c r="A1155" t="s">
        <v>60</v>
      </c>
      <c r="B1155" s="1">
        <v>46129</v>
      </c>
      <c r="C1155">
        <v>2378047879</v>
      </c>
      <c r="D1155">
        <v>2378047936</v>
      </c>
      <c r="E1155" t="str">
        <f>T("광명소야전 58화")</f>
        <v>광명소야전 58화</v>
      </c>
      <c r="F1155">
        <v>58</v>
      </c>
      <c r="G1155" t="str">
        <f>T("무언")</f>
        <v>무언</v>
      </c>
      <c r="J1155" t="str">
        <f>T("매드햇")</f>
        <v>매드햇</v>
      </c>
      <c r="K1155" t="str">
        <f>T("광명소야전")</f>
        <v>광명소야전</v>
      </c>
      <c r="L1155">
        <v>100</v>
      </c>
      <c r="M1155">
        <v>70</v>
      </c>
      <c r="N1155">
        <v>1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70</v>
      </c>
      <c r="AJ1155">
        <v>1</v>
      </c>
      <c r="AK1155">
        <v>0</v>
      </c>
      <c r="AL1155">
        <v>0</v>
      </c>
      <c r="AM1155">
        <v>70</v>
      </c>
      <c r="AN1155">
        <v>0</v>
      </c>
      <c r="AO1155">
        <v>0</v>
      </c>
      <c r="AP1155">
        <v>0</v>
      </c>
      <c r="AQ1155">
        <v>0</v>
      </c>
      <c r="AS1155">
        <v>0</v>
      </c>
      <c r="AT1155">
        <v>0</v>
      </c>
      <c r="AV1155">
        <v>0</v>
      </c>
      <c r="AW1155">
        <v>0</v>
      </c>
      <c r="AY1155">
        <v>0</v>
      </c>
      <c r="AZ1155">
        <v>0</v>
      </c>
      <c r="BA1155">
        <v>49</v>
      </c>
      <c r="BE1155" t="str">
        <f>T("9791137014725")</f>
        <v>9791137014725</v>
      </c>
      <c r="BF1155" t="str">
        <f>T("k023266")</f>
        <v>k023266</v>
      </c>
      <c r="BG1155" t="str">
        <f>T("판타지 웹소설 &gt; 퓨전 판타지")</f>
        <v>판타지 웹소설 &gt; 퓨전 판타지</v>
      </c>
    </row>
    <row r="1156" spans="1:59">
      <c r="A1156" t="s">
        <v>60</v>
      </c>
      <c r="B1156" s="1">
        <v>46129</v>
      </c>
      <c r="C1156">
        <v>2378047879</v>
      </c>
      <c r="D1156">
        <v>2378047937</v>
      </c>
      <c r="E1156" t="str">
        <f>T("광명소야전 59화")</f>
        <v>광명소야전 59화</v>
      </c>
      <c r="F1156">
        <v>59</v>
      </c>
      <c r="G1156" t="str">
        <f>T("무언")</f>
        <v>무언</v>
      </c>
      <c r="J1156" t="str">
        <f>T("매드햇")</f>
        <v>매드햇</v>
      </c>
      <c r="K1156" t="str">
        <f>T("광명소야전")</f>
        <v>광명소야전</v>
      </c>
      <c r="L1156">
        <v>100</v>
      </c>
      <c r="M1156">
        <v>70</v>
      </c>
      <c r="N1156">
        <v>1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70</v>
      </c>
      <c r="AJ1156">
        <v>1</v>
      </c>
      <c r="AK1156">
        <v>0</v>
      </c>
      <c r="AL1156">
        <v>0</v>
      </c>
      <c r="AM1156">
        <v>70</v>
      </c>
      <c r="AN1156">
        <v>0</v>
      </c>
      <c r="AO1156">
        <v>0</v>
      </c>
      <c r="AP1156">
        <v>0</v>
      </c>
      <c r="AQ1156">
        <v>0</v>
      </c>
      <c r="AS1156">
        <v>0</v>
      </c>
      <c r="AT1156">
        <v>0</v>
      </c>
      <c r="AV1156">
        <v>0</v>
      </c>
      <c r="AW1156">
        <v>0</v>
      </c>
      <c r="AY1156">
        <v>0</v>
      </c>
      <c r="AZ1156">
        <v>0</v>
      </c>
      <c r="BA1156">
        <v>49</v>
      </c>
      <c r="BE1156" t="str">
        <f>T("9791137014725")</f>
        <v>9791137014725</v>
      </c>
      <c r="BF1156" t="str">
        <f>T("k023267")</f>
        <v>k023267</v>
      </c>
      <c r="BG1156" t="str">
        <f>T("판타지 웹소설 &gt; 퓨전 판타지")</f>
        <v>판타지 웹소설 &gt; 퓨전 판타지</v>
      </c>
    </row>
    <row r="1157" spans="1:59">
      <c r="A1157" t="s">
        <v>60</v>
      </c>
      <c r="B1157" s="1">
        <v>46129</v>
      </c>
      <c r="C1157">
        <v>2378047879</v>
      </c>
      <c r="D1157">
        <v>2378047938</v>
      </c>
      <c r="E1157" t="str">
        <f>T("광명소야전 60화")</f>
        <v>광명소야전 60화</v>
      </c>
      <c r="F1157">
        <v>60</v>
      </c>
      <c r="G1157" t="str">
        <f>T("무언")</f>
        <v>무언</v>
      </c>
      <c r="J1157" t="str">
        <f>T("매드햇")</f>
        <v>매드햇</v>
      </c>
      <c r="K1157" t="str">
        <f>T("광명소야전")</f>
        <v>광명소야전</v>
      </c>
      <c r="L1157">
        <v>100</v>
      </c>
      <c r="M1157">
        <v>70</v>
      </c>
      <c r="N1157">
        <v>1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70</v>
      </c>
      <c r="AJ1157">
        <v>1</v>
      </c>
      <c r="AK1157">
        <v>0</v>
      </c>
      <c r="AL1157">
        <v>0</v>
      </c>
      <c r="AM1157">
        <v>70</v>
      </c>
      <c r="AN1157">
        <v>0</v>
      </c>
      <c r="AO1157">
        <v>0</v>
      </c>
      <c r="AP1157">
        <v>0</v>
      </c>
      <c r="AQ1157">
        <v>0</v>
      </c>
      <c r="AS1157">
        <v>0</v>
      </c>
      <c r="AT1157">
        <v>0</v>
      </c>
      <c r="AV1157">
        <v>0</v>
      </c>
      <c r="AW1157">
        <v>0</v>
      </c>
      <c r="AY1157">
        <v>0</v>
      </c>
      <c r="AZ1157">
        <v>0</v>
      </c>
      <c r="BA1157">
        <v>49</v>
      </c>
      <c r="BE1157" t="str">
        <f>T("9791137014725")</f>
        <v>9791137014725</v>
      </c>
      <c r="BF1157" t="str">
        <f>T("k023268")</f>
        <v>k023268</v>
      </c>
      <c r="BG1157" t="str">
        <f>T("판타지 웹소설 &gt; 퓨전 판타지")</f>
        <v>판타지 웹소설 &gt; 퓨전 판타지</v>
      </c>
    </row>
    <row r="1158" spans="1:59">
      <c r="A1158" t="s">
        <v>60</v>
      </c>
      <c r="B1158" s="1">
        <v>46129</v>
      </c>
      <c r="C1158">
        <v>2378047879</v>
      </c>
      <c r="D1158">
        <v>2378047939</v>
      </c>
      <c r="E1158" t="str">
        <f>T("광명소야전 61화")</f>
        <v>광명소야전 61화</v>
      </c>
      <c r="F1158">
        <v>61</v>
      </c>
      <c r="G1158" t="str">
        <f>T("무언")</f>
        <v>무언</v>
      </c>
      <c r="J1158" t="str">
        <f>T("매드햇")</f>
        <v>매드햇</v>
      </c>
      <c r="K1158" t="str">
        <f>T("광명소야전")</f>
        <v>광명소야전</v>
      </c>
      <c r="L1158">
        <v>100</v>
      </c>
      <c r="M1158">
        <v>70</v>
      </c>
      <c r="N1158">
        <v>1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70</v>
      </c>
      <c r="AJ1158">
        <v>1</v>
      </c>
      <c r="AK1158">
        <v>0</v>
      </c>
      <c r="AL1158">
        <v>0</v>
      </c>
      <c r="AM1158">
        <v>70</v>
      </c>
      <c r="AN1158">
        <v>0</v>
      </c>
      <c r="AO1158">
        <v>0</v>
      </c>
      <c r="AP1158">
        <v>0</v>
      </c>
      <c r="AQ1158">
        <v>0</v>
      </c>
      <c r="AS1158">
        <v>0</v>
      </c>
      <c r="AT1158">
        <v>0</v>
      </c>
      <c r="AV1158">
        <v>0</v>
      </c>
      <c r="AW1158">
        <v>0</v>
      </c>
      <c r="AY1158">
        <v>0</v>
      </c>
      <c r="AZ1158">
        <v>0</v>
      </c>
      <c r="BA1158">
        <v>49</v>
      </c>
      <c r="BE1158" t="str">
        <f>T("9791137014725")</f>
        <v>9791137014725</v>
      </c>
      <c r="BF1158" t="str">
        <f>T("k023269")</f>
        <v>k023269</v>
      </c>
      <c r="BG1158" t="str">
        <f>T("판타지 웹소설 &gt; 퓨전 판타지")</f>
        <v>판타지 웹소설 &gt; 퓨전 판타지</v>
      </c>
    </row>
    <row r="1159" spans="1:59">
      <c r="A1159" t="s">
        <v>60</v>
      </c>
      <c r="B1159" s="1">
        <v>46129</v>
      </c>
      <c r="C1159">
        <v>2378047879</v>
      </c>
      <c r="D1159">
        <v>2378047940</v>
      </c>
      <c r="E1159" t="str">
        <f>T("광명소야전 62화")</f>
        <v>광명소야전 62화</v>
      </c>
      <c r="F1159">
        <v>62</v>
      </c>
      <c r="G1159" t="str">
        <f>T("무언")</f>
        <v>무언</v>
      </c>
      <c r="J1159" t="str">
        <f>T("매드햇")</f>
        <v>매드햇</v>
      </c>
      <c r="K1159" t="str">
        <f>T("광명소야전")</f>
        <v>광명소야전</v>
      </c>
      <c r="L1159">
        <v>100</v>
      </c>
      <c r="M1159">
        <v>70</v>
      </c>
      <c r="N1159">
        <v>1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70</v>
      </c>
      <c r="AJ1159">
        <v>1</v>
      </c>
      <c r="AK1159">
        <v>0</v>
      </c>
      <c r="AL1159">
        <v>0</v>
      </c>
      <c r="AM1159">
        <v>70</v>
      </c>
      <c r="AN1159">
        <v>0</v>
      </c>
      <c r="AO1159">
        <v>0</v>
      </c>
      <c r="AP1159">
        <v>0</v>
      </c>
      <c r="AQ1159">
        <v>0</v>
      </c>
      <c r="AS1159">
        <v>0</v>
      </c>
      <c r="AT1159">
        <v>0</v>
      </c>
      <c r="AV1159">
        <v>0</v>
      </c>
      <c r="AW1159">
        <v>0</v>
      </c>
      <c r="AY1159">
        <v>0</v>
      </c>
      <c r="AZ1159">
        <v>0</v>
      </c>
      <c r="BA1159">
        <v>49</v>
      </c>
      <c r="BE1159" t="str">
        <f>T("9791137014725")</f>
        <v>9791137014725</v>
      </c>
      <c r="BF1159" t="str">
        <f>T("k023270")</f>
        <v>k023270</v>
      </c>
      <c r="BG1159" t="str">
        <f>T("판타지 웹소설 &gt; 퓨전 판타지")</f>
        <v>판타지 웹소설 &gt; 퓨전 판타지</v>
      </c>
    </row>
    <row r="1160" spans="1:59">
      <c r="A1160" t="s">
        <v>60</v>
      </c>
      <c r="B1160" s="1">
        <v>46129</v>
      </c>
      <c r="C1160">
        <v>2378047879</v>
      </c>
      <c r="D1160">
        <v>2378047941</v>
      </c>
      <c r="E1160" t="str">
        <f>T("광명소야전 63화")</f>
        <v>광명소야전 63화</v>
      </c>
      <c r="F1160">
        <v>63</v>
      </c>
      <c r="G1160" t="str">
        <f>T("무언")</f>
        <v>무언</v>
      </c>
      <c r="J1160" t="str">
        <f>T("매드햇")</f>
        <v>매드햇</v>
      </c>
      <c r="K1160" t="str">
        <f>T("광명소야전")</f>
        <v>광명소야전</v>
      </c>
      <c r="L1160">
        <v>100</v>
      </c>
      <c r="M1160">
        <v>70</v>
      </c>
      <c r="N1160">
        <v>1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70</v>
      </c>
      <c r="AJ1160">
        <v>1</v>
      </c>
      <c r="AK1160">
        <v>0</v>
      </c>
      <c r="AL1160">
        <v>0</v>
      </c>
      <c r="AM1160">
        <v>70</v>
      </c>
      <c r="AN1160">
        <v>0</v>
      </c>
      <c r="AO1160">
        <v>0</v>
      </c>
      <c r="AP1160">
        <v>0</v>
      </c>
      <c r="AQ1160">
        <v>0</v>
      </c>
      <c r="AS1160">
        <v>0</v>
      </c>
      <c r="AT1160">
        <v>0</v>
      </c>
      <c r="AV1160">
        <v>0</v>
      </c>
      <c r="AW1160">
        <v>0</v>
      </c>
      <c r="AY1160">
        <v>0</v>
      </c>
      <c r="AZ1160">
        <v>0</v>
      </c>
      <c r="BA1160">
        <v>49</v>
      </c>
      <c r="BE1160" t="str">
        <f>T("9791137014725")</f>
        <v>9791137014725</v>
      </c>
      <c r="BF1160" t="str">
        <f>T("k023271")</f>
        <v>k023271</v>
      </c>
      <c r="BG1160" t="str">
        <f>T("판타지 웹소설 &gt; 퓨전 판타지")</f>
        <v>판타지 웹소설 &gt; 퓨전 판타지</v>
      </c>
    </row>
    <row r="1161" spans="1:59">
      <c r="A1161" t="s">
        <v>60</v>
      </c>
      <c r="B1161" s="1">
        <v>46129</v>
      </c>
      <c r="C1161">
        <v>2378047879</v>
      </c>
      <c r="D1161">
        <v>2378047942</v>
      </c>
      <c r="E1161" t="str">
        <f>T("광명소야전 64화")</f>
        <v>광명소야전 64화</v>
      </c>
      <c r="F1161">
        <v>64</v>
      </c>
      <c r="G1161" t="str">
        <f>T("무언")</f>
        <v>무언</v>
      </c>
      <c r="J1161" t="str">
        <f>T("매드햇")</f>
        <v>매드햇</v>
      </c>
      <c r="K1161" t="str">
        <f>T("광명소야전")</f>
        <v>광명소야전</v>
      </c>
      <c r="L1161">
        <v>100</v>
      </c>
      <c r="M1161">
        <v>70</v>
      </c>
      <c r="N1161">
        <v>1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70</v>
      </c>
      <c r="AJ1161">
        <v>1</v>
      </c>
      <c r="AK1161">
        <v>0</v>
      </c>
      <c r="AL1161">
        <v>0</v>
      </c>
      <c r="AM1161">
        <v>70</v>
      </c>
      <c r="AN1161">
        <v>0</v>
      </c>
      <c r="AO1161">
        <v>0</v>
      </c>
      <c r="AP1161">
        <v>0</v>
      </c>
      <c r="AQ1161">
        <v>0</v>
      </c>
      <c r="AS1161">
        <v>0</v>
      </c>
      <c r="AT1161">
        <v>0</v>
      </c>
      <c r="AV1161">
        <v>0</v>
      </c>
      <c r="AW1161">
        <v>0</v>
      </c>
      <c r="AY1161">
        <v>0</v>
      </c>
      <c r="AZ1161">
        <v>0</v>
      </c>
      <c r="BA1161">
        <v>49</v>
      </c>
      <c r="BE1161" t="str">
        <f>T("9791137014725")</f>
        <v>9791137014725</v>
      </c>
      <c r="BF1161" t="str">
        <f>T("k023272")</f>
        <v>k023272</v>
      </c>
      <c r="BG1161" t="str">
        <f>T("판타지 웹소설 &gt; 퓨전 판타지")</f>
        <v>판타지 웹소설 &gt; 퓨전 판타지</v>
      </c>
    </row>
    <row r="1162" spans="1:59">
      <c r="A1162" t="s">
        <v>60</v>
      </c>
      <c r="B1162" s="1">
        <v>46129</v>
      </c>
      <c r="C1162">
        <v>2378047879</v>
      </c>
      <c r="D1162">
        <v>2378047943</v>
      </c>
      <c r="E1162" t="str">
        <f>T("광명소야전 65화")</f>
        <v>광명소야전 65화</v>
      </c>
      <c r="F1162">
        <v>65</v>
      </c>
      <c r="G1162" t="str">
        <f>T("무언")</f>
        <v>무언</v>
      </c>
      <c r="J1162" t="str">
        <f>T("매드햇")</f>
        <v>매드햇</v>
      </c>
      <c r="K1162" t="str">
        <f>T("광명소야전")</f>
        <v>광명소야전</v>
      </c>
      <c r="L1162">
        <v>100</v>
      </c>
      <c r="M1162">
        <v>70</v>
      </c>
      <c r="N1162">
        <v>1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70</v>
      </c>
      <c r="AJ1162">
        <v>1</v>
      </c>
      <c r="AK1162">
        <v>0</v>
      </c>
      <c r="AL1162">
        <v>0</v>
      </c>
      <c r="AM1162">
        <v>70</v>
      </c>
      <c r="AN1162">
        <v>0</v>
      </c>
      <c r="AO1162">
        <v>0</v>
      </c>
      <c r="AP1162">
        <v>0</v>
      </c>
      <c r="AQ1162">
        <v>0</v>
      </c>
      <c r="AS1162">
        <v>0</v>
      </c>
      <c r="AT1162">
        <v>0</v>
      </c>
      <c r="AV1162">
        <v>0</v>
      </c>
      <c r="AW1162">
        <v>0</v>
      </c>
      <c r="AY1162">
        <v>0</v>
      </c>
      <c r="AZ1162">
        <v>0</v>
      </c>
      <c r="BA1162">
        <v>49</v>
      </c>
      <c r="BE1162" t="str">
        <f>T("9791137014725")</f>
        <v>9791137014725</v>
      </c>
      <c r="BF1162" t="str">
        <f>T("k023273")</f>
        <v>k023273</v>
      </c>
      <c r="BG1162" t="str">
        <f>T("판타지 웹소설 &gt; 퓨전 판타지")</f>
        <v>판타지 웹소설 &gt; 퓨전 판타지</v>
      </c>
    </row>
    <row r="1163" spans="1:59">
      <c r="A1163" t="s">
        <v>60</v>
      </c>
      <c r="B1163" s="1">
        <v>46129</v>
      </c>
      <c r="C1163">
        <v>2378047879</v>
      </c>
      <c r="D1163">
        <v>2378047944</v>
      </c>
      <c r="E1163" t="str">
        <f>T("광명소야전 66화")</f>
        <v>광명소야전 66화</v>
      </c>
      <c r="F1163">
        <v>66</v>
      </c>
      <c r="G1163" t="str">
        <f>T("무언")</f>
        <v>무언</v>
      </c>
      <c r="J1163" t="str">
        <f>T("매드햇")</f>
        <v>매드햇</v>
      </c>
      <c r="K1163" t="str">
        <f>T("광명소야전")</f>
        <v>광명소야전</v>
      </c>
      <c r="L1163">
        <v>100</v>
      </c>
      <c r="M1163">
        <v>70</v>
      </c>
      <c r="N1163">
        <v>1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70</v>
      </c>
      <c r="AJ1163">
        <v>1</v>
      </c>
      <c r="AK1163">
        <v>0</v>
      </c>
      <c r="AL1163">
        <v>0</v>
      </c>
      <c r="AM1163">
        <v>70</v>
      </c>
      <c r="AN1163">
        <v>0</v>
      </c>
      <c r="AO1163">
        <v>0</v>
      </c>
      <c r="AP1163">
        <v>0</v>
      </c>
      <c r="AQ1163">
        <v>0</v>
      </c>
      <c r="AS1163">
        <v>0</v>
      </c>
      <c r="AT1163">
        <v>0</v>
      </c>
      <c r="AV1163">
        <v>0</v>
      </c>
      <c r="AW1163">
        <v>0</v>
      </c>
      <c r="AY1163">
        <v>0</v>
      </c>
      <c r="AZ1163">
        <v>0</v>
      </c>
      <c r="BA1163">
        <v>49</v>
      </c>
      <c r="BE1163" t="str">
        <f>T("9791137014725")</f>
        <v>9791137014725</v>
      </c>
      <c r="BF1163" t="str">
        <f>T("k023274")</f>
        <v>k023274</v>
      </c>
      <c r="BG1163" t="str">
        <f>T("판타지 웹소설 &gt; 퓨전 판타지")</f>
        <v>판타지 웹소설 &gt; 퓨전 판타지</v>
      </c>
    </row>
    <row r="1164" spans="1:59">
      <c r="A1164" t="s">
        <v>60</v>
      </c>
      <c r="B1164" s="1">
        <v>46129</v>
      </c>
      <c r="C1164">
        <v>2378047879</v>
      </c>
      <c r="D1164">
        <v>2378047945</v>
      </c>
      <c r="E1164" t="str">
        <f>T("광명소야전 67화")</f>
        <v>광명소야전 67화</v>
      </c>
      <c r="F1164">
        <v>67</v>
      </c>
      <c r="G1164" t="str">
        <f>T("무언")</f>
        <v>무언</v>
      </c>
      <c r="J1164" t="str">
        <f>T("매드햇")</f>
        <v>매드햇</v>
      </c>
      <c r="K1164" t="str">
        <f>T("광명소야전")</f>
        <v>광명소야전</v>
      </c>
      <c r="L1164">
        <v>100</v>
      </c>
      <c r="M1164">
        <v>70</v>
      </c>
      <c r="N1164">
        <v>1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70</v>
      </c>
      <c r="AJ1164">
        <v>1</v>
      </c>
      <c r="AK1164">
        <v>0</v>
      </c>
      <c r="AL1164">
        <v>0</v>
      </c>
      <c r="AM1164">
        <v>70</v>
      </c>
      <c r="AN1164">
        <v>0</v>
      </c>
      <c r="AO1164">
        <v>0</v>
      </c>
      <c r="AP1164">
        <v>0</v>
      </c>
      <c r="AQ1164">
        <v>0</v>
      </c>
      <c r="AS1164">
        <v>0</v>
      </c>
      <c r="AT1164">
        <v>0</v>
      </c>
      <c r="AV1164">
        <v>0</v>
      </c>
      <c r="AW1164">
        <v>0</v>
      </c>
      <c r="AY1164">
        <v>0</v>
      </c>
      <c r="AZ1164">
        <v>0</v>
      </c>
      <c r="BA1164">
        <v>49</v>
      </c>
      <c r="BE1164" t="str">
        <f>T("9791137014725")</f>
        <v>9791137014725</v>
      </c>
      <c r="BF1164" t="str">
        <f>T("k023275")</f>
        <v>k023275</v>
      </c>
      <c r="BG1164" t="str">
        <f>T("판타지 웹소설 &gt; 퓨전 판타지")</f>
        <v>판타지 웹소설 &gt; 퓨전 판타지</v>
      </c>
    </row>
    <row r="1165" spans="1:59">
      <c r="A1165" t="s">
        <v>60</v>
      </c>
      <c r="B1165" s="1">
        <v>46129</v>
      </c>
      <c r="C1165">
        <v>2378047879</v>
      </c>
      <c r="D1165">
        <v>2378047946</v>
      </c>
      <c r="E1165" t="str">
        <f>T("광명소야전 68화")</f>
        <v>광명소야전 68화</v>
      </c>
      <c r="F1165">
        <v>68</v>
      </c>
      <c r="G1165" t="str">
        <f>T("무언")</f>
        <v>무언</v>
      </c>
      <c r="J1165" t="str">
        <f>T("매드햇")</f>
        <v>매드햇</v>
      </c>
      <c r="K1165" t="str">
        <f>T("광명소야전")</f>
        <v>광명소야전</v>
      </c>
      <c r="L1165">
        <v>100</v>
      </c>
      <c r="M1165">
        <v>70</v>
      </c>
      <c r="N1165">
        <v>1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70</v>
      </c>
      <c r="AJ1165">
        <v>1</v>
      </c>
      <c r="AK1165">
        <v>0</v>
      </c>
      <c r="AL1165">
        <v>0</v>
      </c>
      <c r="AM1165">
        <v>70</v>
      </c>
      <c r="AN1165">
        <v>0</v>
      </c>
      <c r="AO1165">
        <v>0</v>
      </c>
      <c r="AP1165">
        <v>0</v>
      </c>
      <c r="AQ1165">
        <v>0</v>
      </c>
      <c r="AS1165">
        <v>0</v>
      </c>
      <c r="AT1165">
        <v>0</v>
      </c>
      <c r="AV1165">
        <v>0</v>
      </c>
      <c r="AW1165">
        <v>0</v>
      </c>
      <c r="AY1165">
        <v>0</v>
      </c>
      <c r="AZ1165">
        <v>0</v>
      </c>
      <c r="BA1165">
        <v>49</v>
      </c>
      <c r="BE1165" t="str">
        <f>T("9791137014725")</f>
        <v>9791137014725</v>
      </c>
      <c r="BF1165" t="str">
        <f>T("k023276")</f>
        <v>k023276</v>
      </c>
      <c r="BG1165" t="str">
        <f>T("판타지 웹소설 &gt; 퓨전 판타지")</f>
        <v>판타지 웹소설 &gt; 퓨전 판타지</v>
      </c>
    </row>
    <row r="1166" spans="1:59">
      <c r="A1166" t="s">
        <v>60</v>
      </c>
      <c r="B1166" s="1">
        <v>46129</v>
      </c>
      <c r="C1166">
        <v>2378047879</v>
      </c>
      <c r="D1166">
        <v>2378047947</v>
      </c>
      <c r="E1166" t="str">
        <f>T("광명소야전 69화")</f>
        <v>광명소야전 69화</v>
      </c>
      <c r="F1166">
        <v>69</v>
      </c>
      <c r="G1166" t="str">
        <f>T("무언")</f>
        <v>무언</v>
      </c>
      <c r="J1166" t="str">
        <f>T("매드햇")</f>
        <v>매드햇</v>
      </c>
      <c r="K1166" t="str">
        <f>T("광명소야전")</f>
        <v>광명소야전</v>
      </c>
      <c r="L1166">
        <v>100</v>
      </c>
      <c r="M1166">
        <v>70</v>
      </c>
      <c r="N1166">
        <v>1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70</v>
      </c>
      <c r="AJ1166">
        <v>1</v>
      </c>
      <c r="AK1166">
        <v>0</v>
      </c>
      <c r="AL1166">
        <v>0</v>
      </c>
      <c r="AM1166">
        <v>70</v>
      </c>
      <c r="AN1166">
        <v>0</v>
      </c>
      <c r="AO1166">
        <v>0</v>
      </c>
      <c r="AP1166">
        <v>0</v>
      </c>
      <c r="AQ1166">
        <v>0</v>
      </c>
      <c r="AS1166">
        <v>0</v>
      </c>
      <c r="AT1166">
        <v>0</v>
      </c>
      <c r="AV1166">
        <v>0</v>
      </c>
      <c r="AW1166">
        <v>0</v>
      </c>
      <c r="AY1166">
        <v>0</v>
      </c>
      <c r="AZ1166">
        <v>0</v>
      </c>
      <c r="BA1166">
        <v>49</v>
      </c>
      <c r="BE1166" t="str">
        <f>T("9791137014725")</f>
        <v>9791137014725</v>
      </c>
      <c r="BF1166" t="str">
        <f>T("k023277")</f>
        <v>k023277</v>
      </c>
      <c r="BG1166" t="str">
        <f>T("판타지 웹소설 &gt; 퓨전 판타지")</f>
        <v>판타지 웹소설 &gt; 퓨전 판타지</v>
      </c>
    </row>
    <row r="1167" spans="1:59">
      <c r="A1167" t="s">
        <v>60</v>
      </c>
      <c r="B1167" s="1">
        <v>46129</v>
      </c>
      <c r="C1167">
        <v>2378047879</v>
      </c>
      <c r="D1167">
        <v>2378047948</v>
      </c>
      <c r="E1167" t="str">
        <f>T("광명소야전 70화")</f>
        <v>광명소야전 70화</v>
      </c>
      <c r="F1167">
        <v>70</v>
      </c>
      <c r="G1167" t="str">
        <f>T("무언")</f>
        <v>무언</v>
      </c>
      <c r="J1167" t="str">
        <f>T("매드햇")</f>
        <v>매드햇</v>
      </c>
      <c r="K1167" t="str">
        <f>T("광명소야전")</f>
        <v>광명소야전</v>
      </c>
      <c r="L1167">
        <v>100</v>
      </c>
      <c r="M1167">
        <v>70</v>
      </c>
      <c r="N1167">
        <v>1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70</v>
      </c>
      <c r="AJ1167">
        <v>1</v>
      </c>
      <c r="AK1167">
        <v>0</v>
      </c>
      <c r="AL1167">
        <v>0</v>
      </c>
      <c r="AM1167">
        <v>70</v>
      </c>
      <c r="AN1167">
        <v>0</v>
      </c>
      <c r="AO1167">
        <v>0</v>
      </c>
      <c r="AP1167">
        <v>0</v>
      </c>
      <c r="AQ1167">
        <v>0</v>
      </c>
      <c r="AS1167">
        <v>0</v>
      </c>
      <c r="AT1167">
        <v>0</v>
      </c>
      <c r="AV1167">
        <v>0</v>
      </c>
      <c r="AW1167">
        <v>0</v>
      </c>
      <c r="AY1167">
        <v>0</v>
      </c>
      <c r="AZ1167">
        <v>0</v>
      </c>
      <c r="BA1167">
        <v>49</v>
      </c>
      <c r="BE1167" t="str">
        <f>T("9791137014725")</f>
        <v>9791137014725</v>
      </c>
      <c r="BF1167" t="str">
        <f>T("k023278")</f>
        <v>k023278</v>
      </c>
      <c r="BG1167" t="str">
        <f>T("판타지 웹소설 &gt; 퓨전 판타지")</f>
        <v>판타지 웹소설 &gt; 퓨전 판타지</v>
      </c>
    </row>
    <row r="1168" spans="1:59">
      <c r="A1168" t="s">
        <v>60</v>
      </c>
      <c r="B1168" s="1">
        <v>46129</v>
      </c>
      <c r="C1168">
        <v>2378047879</v>
      </c>
      <c r="D1168">
        <v>2378047949</v>
      </c>
      <c r="E1168" t="str">
        <f>T("광명소야전 71화")</f>
        <v>광명소야전 71화</v>
      </c>
      <c r="F1168">
        <v>71</v>
      </c>
      <c r="G1168" t="str">
        <f>T("무언")</f>
        <v>무언</v>
      </c>
      <c r="J1168" t="str">
        <f>T("매드햇")</f>
        <v>매드햇</v>
      </c>
      <c r="K1168" t="str">
        <f>T("광명소야전")</f>
        <v>광명소야전</v>
      </c>
      <c r="L1168">
        <v>100</v>
      </c>
      <c r="M1168">
        <v>70</v>
      </c>
      <c r="N1168">
        <v>1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70</v>
      </c>
      <c r="AJ1168">
        <v>1</v>
      </c>
      <c r="AK1168">
        <v>0</v>
      </c>
      <c r="AL1168">
        <v>0</v>
      </c>
      <c r="AM1168">
        <v>70</v>
      </c>
      <c r="AN1168">
        <v>0</v>
      </c>
      <c r="AO1168">
        <v>0</v>
      </c>
      <c r="AP1168">
        <v>0</v>
      </c>
      <c r="AQ1168">
        <v>0</v>
      </c>
      <c r="AS1168">
        <v>0</v>
      </c>
      <c r="AT1168">
        <v>0</v>
      </c>
      <c r="AV1168">
        <v>0</v>
      </c>
      <c r="AW1168">
        <v>0</v>
      </c>
      <c r="AY1168">
        <v>0</v>
      </c>
      <c r="AZ1168">
        <v>0</v>
      </c>
      <c r="BA1168">
        <v>49</v>
      </c>
      <c r="BE1168" t="str">
        <f>T("9791137014725")</f>
        <v>9791137014725</v>
      </c>
      <c r="BF1168" t="str">
        <f>T("k023279")</f>
        <v>k023279</v>
      </c>
      <c r="BG1168" t="str">
        <f>T("판타지 웹소설 &gt; 퓨전 판타지")</f>
        <v>판타지 웹소설 &gt; 퓨전 판타지</v>
      </c>
    </row>
    <row r="1169" spans="1:59">
      <c r="A1169" t="s">
        <v>60</v>
      </c>
      <c r="B1169" s="1">
        <v>46129</v>
      </c>
      <c r="C1169">
        <v>2378047879</v>
      </c>
      <c r="D1169">
        <v>2378047950</v>
      </c>
      <c r="E1169" t="str">
        <f>T("광명소야전 72화")</f>
        <v>광명소야전 72화</v>
      </c>
      <c r="F1169">
        <v>72</v>
      </c>
      <c r="G1169" t="str">
        <f>T("무언")</f>
        <v>무언</v>
      </c>
      <c r="J1169" t="str">
        <f>T("매드햇")</f>
        <v>매드햇</v>
      </c>
      <c r="K1169" t="str">
        <f>T("광명소야전")</f>
        <v>광명소야전</v>
      </c>
      <c r="L1169">
        <v>100</v>
      </c>
      <c r="M1169">
        <v>70</v>
      </c>
      <c r="N1169">
        <v>1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70</v>
      </c>
      <c r="AJ1169">
        <v>1</v>
      </c>
      <c r="AK1169">
        <v>0</v>
      </c>
      <c r="AL1169">
        <v>0</v>
      </c>
      <c r="AM1169">
        <v>70</v>
      </c>
      <c r="AN1169">
        <v>0</v>
      </c>
      <c r="AO1169">
        <v>0</v>
      </c>
      <c r="AP1169">
        <v>0</v>
      </c>
      <c r="AQ1169">
        <v>0</v>
      </c>
      <c r="AS1169">
        <v>0</v>
      </c>
      <c r="AT1169">
        <v>0</v>
      </c>
      <c r="AV1169">
        <v>0</v>
      </c>
      <c r="AW1169">
        <v>0</v>
      </c>
      <c r="AY1169">
        <v>0</v>
      </c>
      <c r="AZ1169">
        <v>0</v>
      </c>
      <c r="BA1169">
        <v>49</v>
      </c>
      <c r="BE1169" t="str">
        <f>T("9791137014725")</f>
        <v>9791137014725</v>
      </c>
      <c r="BF1169" t="str">
        <f>T("k023280")</f>
        <v>k023280</v>
      </c>
      <c r="BG1169" t="str">
        <f>T("판타지 웹소설 &gt; 퓨전 판타지")</f>
        <v>판타지 웹소설 &gt; 퓨전 판타지</v>
      </c>
    </row>
    <row r="1170" spans="1:59">
      <c r="A1170" t="s">
        <v>60</v>
      </c>
      <c r="B1170" s="1">
        <v>46129</v>
      </c>
      <c r="C1170">
        <v>2378047879</v>
      </c>
      <c r="D1170">
        <v>2378047951</v>
      </c>
      <c r="E1170" t="str">
        <f>T("광명소야전 73화")</f>
        <v>광명소야전 73화</v>
      </c>
      <c r="F1170">
        <v>73</v>
      </c>
      <c r="G1170" t="str">
        <f>T("무언")</f>
        <v>무언</v>
      </c>
      <c r="J1170" t="str">
        <f>T("매드햇")</f>
        <v>매드햇</v>
      </c>
      <c r="K1170" t="str">
        <f>T("광명소야전")</f>
        <v>광명소야전</v>
      </c>
      <c r="L1170">
        <v>100</v>
      </c>
      <c r="M1170">
        <v>70</v>
      </c>
      <c r="N1170">
        <v>1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70</v>
      </c>
      <c r="AJ1170">
        <v>1</v>
      </c>
      <c r="AK1170">
        <v>0</v>
      </c>
      <c r="AL1170">
        <v>0</v>
      </c>
      <c r="AM1170">
        <v>70</v>
      </c>
      <c r="AN1170">
        <v>0</v>
      </c>
      <c r="AO1170">
        <v>0</v>
      </c>
      <c r="AP1170">
        <v>0</v>
      </c>
      <c r="AQ1170">
        <v>0</v>
      </c>
      <c r="AS1170">
        <v>0</v>
      </c>
      <c r="AT1170">
        <v>0</v>
      </c>
      <c r="AV1170">
        <v>0</v>
      </c>
      <c r="AW1170">
        <v>0</v>
      </c>
      <c r="AY1170">
        <v>0</v>
      </c>
      <c r="AZ1170">
        <v>0</v>
      </c>
      <c r="BA1170">
        <v>49</v>
      </c>
      <c r="BE1170" t="str">
        <f>T("9791137014725")</f>
        <v>9791137014725</v>
      </c>
      <c r="BF1170" t="str">
        <f>T("k023281")</f>
        <v>k023281</v>
      </c>
      <c r="BG1170" t="str">
        <f>T("판타지 웹소설 &gt; 퓨전 판타지")</f>
        <v>판타지 웹소설 &gt; 퓨전 판타지</v>
      </c>
    </row>
    <row r="1171" spans="1:59">
      <c r="A1171" t="s">
        <v>60</v>
      </c>
      <c r="B1171" s="1">
        <v>46129</v>
      </c>
      <c r="C1171">
        <v>2378047879</v>
      </c>
      <c r="D1171">
        <v>2378047952</v>
      </c>
      <c r="E1171" t="str">
        <f>T("광명소야전 74화")</f>
        <v>광명소야전 74화</v>
      </c>
      <c r="F1171">
        <v>74</v>
      </c>
      <c r="G1171" t="str">
        <f>T("무언")</f>
        <v>무언</v>
      </c>
      <c r="J1171" t="str">
        <f>T("매드햇")</f>
        <v>매드햇</v>
      </c>
      <c r="K1171" t="str">
        <f>T("광명소야전")</f>
        <v>광명소야전</v>
      </c>
      <c r="L1171">
        <v>100</v>
      </c>
      <c r="M1171">
        <v>70</v>
      </c>
      <c r="N1171">
        <v>1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70</v>
      </c>
      <c r="AJ1171">
        <v>1</v>
      </c>
      <c r="AK1171">
        <v>0</v>
      </c>
      <c r="AL1171">
        <v>0</v>
      </c>
      <c r="AM1171">
        <v>70</v>
      </c>
      <c r="AN1171">
        <v>0</v>
      </c>
      <c r="AO1171">
        <v>0</v>
      </c>
      <c r="AP1171">
        <v>0</v>
      </c>
      <c r="AQ1171">
        <v>0</v>
      </c>
      <c r="AS1171">
        <v>0</v>
      </c>
      <c r="AT1171">
        <v>0</v>
      </c>
      <c r="AV1171">
        <v>0</v>
      </c>
      <c r="AW1171">
        <v>0</v>
      </c>
      <c r="AY1171">
        <v>0</v>
      </c>
      <c r="AZ1171">
        <v>0</v>
      </c>
      <c r="BA1171">
        <v>49</v>
      </c>
      <c r="BE1171" t="str">
        <f>T("9791137014725")</f>
        <v>9791137014725</v>
      </c>
      <c r="BF1171" t="str">
        <f>T("k023282")</f>
        <v>k023282</v>
      </c>
      <c r="BG1171" t="str">
        <f>T("판타지 웹소설 &gt; 퓨전 판타지")</f>
        <v>판타지 웹소설 &gt; 퓨전 판타지</v>
      </c>
    </row>
    <row r="1172" spans="1:59">
      <c r="A1172" t="s">
        <v>60</v>
      </c>
      <c r="B1172" s="1">
        <v>46129</v>
      </c>
      <c r="C1172">
        <v>2378047879</v>
      </c>
      <c r="D1172">
        <v>2378047953</v>
      </c>
      <c r="E1172" t="str">
        <f>T("광명소야전 75화")</f>
        <v>광명소야전 75화</v>
      </c>
      <c r="F1172">
        <v>75</v>
      </c>
      <c r="G1172" t="str">
        <f>T("무언")</f>
        <v>무언</v>
      </c>
      <c r="J1172" t="str">
        <f>T("매드햇")</f>
        <v>매드햇</v>
      </c>
      <c r="K1172" t="str">
        <f>T("광명소야전")</f>
        <v>광명소야전</v>
      </c>
      <c r="L1172">
        <v>100</v>
      </c>
      <c r="M1172">
        <v>70</v>
      </c>
      <c r="N1172">
        <v>1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70</v>
      </c>
      <c r="AJ1172">
        <v>1</v>
      </c>
      <c r="AK1172">
        <v>0</v>
      </c>
      <c r="AL1172">
        <v>0</v>
      </c>
      <c r="AM1172">
        <v>70</v>
      </c>
      <c r="AN1172">
        <v>0</v>
      </c>
      <c r="AO1172">
        <v>0</v>
      </c>
      <c r="AP1172">
        <v>0</v>
      </c>
      <c r="AQ1172">
        <v>0</v>
      </c>
      <c r="AS1172">
        <v>0</v>
      </c>
      <c r="AT1172">
        <v>0</v>
      </c>
      <c r="AV1172">
        <v>0</v>
      </c>
      <c r="AW1172">
        <v>0</v>
      </c>
      <c r="AY1172">
        <v>0</v>
      </c>
      <c r="AZ1172">
        <v>0</v>
      </c>
      <c r="BA1172">
        <v>49</v>
      </c>
      <c r="BE1172" t="str">
        <f>T("9791137014725")</f>
        <v>9791137014725</v>
      </c>
      <c r="BF1172" t="str">
        <f>T("k023283")</f>
        <v>k023283</v>
      </c>
      <c r="BG1172" t="str">
        <f>T("판타지 웹소설 &gt; 퓨전 판타지")</f>
        <v>판타지 웹소설 &gt; 퓨전 판타지</v>
      </c>
    </row>
    <row r="1173" spans="1:59">
      <c r="A1173" t="s">
        <v>60</v>
      </c>
      <c r="B1173" s="1">
        <v>46129</v>
      </c>
      <c r="C1173">
        <v>2378047879</v>
      </c>
      <c r="D1173">
        <v>2378047954</v>
      </c>
      <c r="E1173" t="str">
        <f>T("광명소야전 76화")</f>
        <v>광명소야전 76화</v>
      </c>
      <c r="F1173">
        <v>76</v>
      </c>
      <c r="G1173" t="str">
        <f>T("무언")</f>
        <v>무언</v>
      </c>
      <c r="J1173" t="str">
        <f>T("매드햇")</f>
        <v>매드햇</v>
      </c>
      <c r="K1173" t="str">
        <f>T("광명소야전")</f>
        <v>광명소야전</v>
      </c>
      <c r="L1173">
        <v>100</v>
      </c>
      <c r="M1173">
        <v>70</v>
      </c>
      <c r="N1173">
        <v>1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70</v>
      </c>
      <c r="AJ1173">
        <v>1</v>
      </c>
      <c r="AK1173">
        <v>0</v>
      </c>
      <c r="AL1173">
        <v>0</v>
      </c>
      <c r="AM1173">
        <v>70</v>
      </c>
      <c r="AN1173">
        <v>0</v>
      </c>
      <c r="AO1173">
        <v>0</v>
      </c>
      <c r="AP1173">
        <v>0</v>
      </c>
      <c r="AQ1173">
        <v>0</v>
      </c>
      <c r="AS1173">
        <v>0</v>
      </c>
      <c r="AT1173">
        <v>0</v>
      </c>
      <c r="AV1173">
        <v>0</v>
      </c>
      <c r="AW1173">
        <v>0</v>
      </c>
      <c r="AY1173">
        <v>0</v>
      </c>
      <c r="AZ1173">
        <v>0</v>
      </c>
      <c r="BA1173">
        <v>49</v>
      </c>
      <c r="BE1173" t="str">
        <f>T("9791137014725")</f>
        <v>9791137014725</v>
      </c>
      <c r="BF1173" t="str">
        <f>T("k023284")</f>
        <v>k023284</v>
      </c>
      <c r="BG1173" t="str">
        <f>T("판타지 웹소설 &gt; 퓨전 판타지")</f>
        <v>판타지 웹소설 &gt; 퓨전 판타지</v>
      </c>
    </row>
    <row r="1174" spans="1:59">
      <c r="A1174" t="s">
        <v>60</v>
      </c>
      <c r="B1174" s="1">
        <v>46129</v>
      </c>
      <c r="C1174">
        <v>2378047879</v>
      </c>
      <c r="D1174">
        <v>2378047955</v>
      </c>
      <c r="E1174" t="str">
        <f>T("광명소야전 77화")</f>
        <v>광명소야전 77화</v>
      </c>
      <c r="F1174">
        <v>77</v>
      </c>
      <c r="G1174" t="str">
        <f>T("무언")</f>
        <v>무언</v>
      </c>
      <c r="J1174" t="str">
        <f>T("매드햇")</f>
        <v>매드햇</v>
      </c>
      <c r="K1174" t="str">
        <f>T("광명소야전")</f>
        <v>광명소야전</v>
      </c>
      <c r="L1174">
        <v>100</v>
      </c>
      <c r="M1174">
        <v>70</v>
      </c>
      <c r="N1174">
        <v>1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70</v>
      </c>
      <c r="AJ1174">
        <v>1</v>
      </c>
      <c r="AK1174">
        <v>0</v>
      </c>
      <c r="AL1174">
        <v>0</v>
      </c>
      <c r="AM1174">
        <v>70</v>
      </c>
      <c r="AN1174">
        <v>0</v>
      </c>
      <c r="AO1174">
        <v>0</v>
      </c>
      <c r="AP1174">
        <v>0</v>
      </c>
      <c r="AQ1174">
        <v>0</v>
      </c>
      <c r="AS1174">
        <v>0</v>
      </c>
      <c r="AT1174">
        <v>0</v>
      </c>
      <c r="AV1174">
        <v>0</v>
      </c>
      <c r="AW1174">
        <v>0</v>
      </c>
      <c r="AY1174">
        <v>0</v>
      </c>
      <c r="AZ1174">
        <v>0</v>
      </c>
      <c r="BA1174">
        <v>49</v>
      </c>
      <c r="BE1174" t="str">
        <f>T("9791137014725")</f>
        <v>9791137014725</v>
      </c>
      <c r="BF1174" t="str">
        <f>T("k023285")</f>
        <v>k023285</v>
      </c>
      <c r="BG1174" t="str">
        <f>T("판타지 웹소설 &gt; 퓨전 판타지")</f>
        <v>판타지 웹소설 &gt; 퓨전 판타지</v>
      </c>
    </row>
    <row r="1175" spans="1:59">
      <c r="A1175" t="s">
        <v>60</v>
      </c>
      <c r="B1175" s="1">
        <v>46129</v>
      </c>
      <c r="C1175">
        <v>2378047879</v>
      </c>
      <c r="D1175">
        <v>2378047956</v>
      </c>
      <c r="E1175" t="str">
        <f>T("광명소야전 78화")</f>
        <v>광명소야전 78화</v>
      </c>
      <c r="F1175">
        <v>78</v>
      </c>
      <c r="G1175" t="str">
        <f>T("무언")</f>
        <v>무언</v>
      </c>
      <c r="J1175" t="str">
        <f>T("매드햇")</f>
        <v>매드햇</v>
      </c>
      <c r="K1175" t="str">
        <f>T("광명소야전")</f>
        <v>광명소야전</v>
      </c>
      <c r="L1175">
        <v>100</v>
      </c>
      <c r="M1175">
        <v>70</v>
      </c>
      <c r="N1175">
        <v>1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70</v>
      </c>
      <c r="AJ1175">
        <v>1</v>
      </c>
      <c r="AK1175">
        <v>0</v>
      </c>
      <c r="AL1175">
        <v>0</v>
      </c>
      <c r="AM1175">
        <v>70</v>
      </c>
      <c r="AN1175">
        <v>0</v>
      </c>
      <c r="AO1175">
        <v>0</v>
      </c>
      <c r="AP1175">
        <v>0</v>
      </c>
      <c r="AQ1175">
        <v>0</v>
      </c>
      <c r="AS1175">
        <v>0</v>
      </c>
      <c r="AT1175">
        <v>0</v>
      </c>
      <c r="AV1175">
        <v>0</v>
      </c>
      <c r="AW1175">
        <v>0</v>
      </c>
      <c r="AY1175">
        <v>0</v>
      </c>
      <c r="AZ1175">
        <v>0</v>
      </c>
      <c r="BA1175">
        <v>49</v>
      </c>
      <c r="BE1175" t="str">
        <f>T("9791137014725")</f>
        <v>9791137014725</v>
      </c>
      <c r="BF1175" t="str">
        <f>T("k023286")</f>
        <v>k023286</v>
      </c>
      <c r="BG1175" t="str">
        <f>T("판타지 웹소설 &gt; 퓨전 판타지")</f>
        <v>판타지 웹소설 &gt; 퓨전 판타지</v>
      </c>
    </row>
    <row r="1176" spans="1:59">
      <c r="A1176" t="s">
        <v>60</v>
      </c>
      <c r="B1176" s="1">
        <v>46129</v>
      </c>
      <c r="C1176">
        <v>2378047879</v>
      </c>
      <c r="D1176">
        <v>2378047957</v>
      </c>
      <c r="E1176" t="str">
        <f>T("광명소야전 79화")</f>
        <v>광명소야전 79화</v>
      </c>
      <c r="F1176">
        <v>79</v>
      </c>
      <c r="G1176" t="str">
        <f>T("무언")</f>
        <v>무언</v>
      </c>
      <c r="J1176" t="str">
        <f>T("매드햇")</f>
        <v>매드햇</v>
      </c>
      <c r="K1176" t="str">
        <f>T("광명소야전")</f>
        <v>광명소야전</v>
      </c>
      <c r="L1176">
        <v>100</v>
      </c>
      <c r="M1176">
        <v>70</v>
      </c>
      <c r="N1176">
        <v>1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70</v>
      </c>
      <c r="AJ1176">
        <v>1</v>
      </c>
      <c r="AK1176">
        <v>0</v>
      </c>
      <c r="AL1176">
        <v>0</v>
      </c>
      <c r="AM1176">
        <v>70</v>
      </c>
      <c r="AN1176">
        <v>0</v>
      </c>
      <c r="AO1176">
        <v>0</v>
      </c>
      <c r="AP1176">
        <v>0</v>
      </c>
      <c r="AQ1176">
        <v>0</v>
      </c>
      <c r="AS1176">
        <v>0</v>
      </c>
      <c r="AT1176">
        <v>0</v>
      </c>
      <c r="AV1176">
        <v>0</v>
      </c>
      <c r="AW1176">
        <v>0</v>
      </c>
      <c r="AY1176">
        <v>0</v>
      </c>
      <c r="AZ1176">
        <v>0</v>
      </c>
      <c r="BA1176">
        <v>49</v>
      </c>
      <c r="BE1176" t="str">
        <f>T("9791137014725")</f>
        <v>9791137014725</v>
      </c>
      <c r="BF1176" t="str">
        <f>T("k023287")</f>
        <v>k023287</v>
      </c>
      <c r="BG1176" t="str">
        <f>T("판타지 웹소설 &gt; 퓨전 판타지")</f>
        <v>판타지 웹소설 &gt; 퓨전 판타지</v>
      </c>
    </row>
    <row r="1177" spans="1:59">
      <c r="A1177" t="s">
        <v>60</v>
      </c>
      <c r="B1177" s="1">
        <v>46129</v>
      </c>
      <c r="C1177">
        <v>2378047879</v>
      </c>
      <c r="D1177">
        <v>2378047958</v>
      </c>
      <c r="E1177" t="str">
        <f>T("광명소야전 80화")</f>
        <v>광명소야전 80화</v>
      </c>
      <c r="F1177">
        <v>80</v>
      </c>
      <c r="G1177" t="str">
        <f>T("무언")</f>
        <v>무언</v>
      </c>
      <c r="J1177" t="str">
        <f>T("매드햇")</f>
        <v>매드햇</v>
      </c>
      <c r="K1177" t="str">
        <f>T("광명소야전")</f>
        <v>광명소야전</v>
      </c>
      <c r="L1177">
        <v>100</v>
      </c>
      <c r="M1177">
        <v>70</v>
      </c>
      <c r="N1177">
        <v>1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70</v>
      </c>
      <c r="AJ1177">
        <v>1</v>
      </c>
      <c r="AK1177">
        <v>0</v>
      </c>
      <c r="AL1177">
        <v>0</v>
      </c>
      <c r="AM1177">
        <v>70</v>
      </c>
      <c r="AN1177">
        <v>0</v>
      </c>
      <c r="AO1177">
        <v>0</v>
      </c>
      <c r="AP1177">
        <v>0</v>
      </c>
      <c r="AQ1177">
        <v>0</v>
      </c>
      <c r="AS1177">
        <v>0</v>
      </c>
      <c r="AT1177">
        <v>0</v>
      </c>
      <c r="AV1177">
        <v>0</v>
      </c>
      <c r="AW1177">
        <v>0</v>
      </c>
      <c r="AY1177">
        <v>0</v>
      </c>
      <c r="AZ1177">
        <v>0</v>
      </c>
      <c r="BA1177">
        <v>49</v>
      </c>
      <c r="BE1177" t="str">
        <f>T("9791137014725")</f>
        <v>9791137014725</v>
      </c>
      <c r="BF1177" t="str">
        <f>T("k023288")</f>
        <v>k023288</v>
      </c>
      <c r="BG1177" t="str">
        <f>T("판타지 웹소설 &gt; 퓨전 판타지")</f>
        <v>판타지 웹소설 &gt; 퓨전 판타지</v>
      </c>
    </row>
    <row r="1178" spans="1:59">
      <c r="A1178" t="s">
        <v>60</v>
      </c>
      <c r="B1178" s="1">
        <v>46129</v>
      </c>
      <c r="C1178">
        <v>2378047879</v>
      </c>
      <c r="D1178">
        <v>2378047959</v>
      </c>
      <c r="E1178" t="str">
        <f>T("광명소야전 81화")</f>
        <v>광명소야전 81화</v>
      </c>
      <c r="F1178">
        <v>81</v>
      </c>
      <c r="G1178" t="str">
        <f>T("무언")</f>
        <v>무언</v>
      </c>
      <c r="J1178" t="str">
        <f>T("매드햇")</f>
        <v>매드햇</v>
      </c>
      <c r="K1178" t="str">
        <f>T("광명소야전")</f>
        <v>광명소야전</v>
      </c>
      <c r="L1178">
        <v>100</v>
      </c>
      <c r="M1178">
        <v>70</v>
      </c>
      <c r="N1178">
        <v>1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70</v>
      </c>
      <c r="AJ1178">
        <v>1</v>
      </c>
      <c r="AK1178">
        <v>0</v>
      </c>
      <c r="AL1178">
        <v>0</v>
      </c>
      <c r="AM1178">
        <v>70</v>
      </c>
      <c r="AN1178">
        <v>0</v>
      </c>
      <c r="AO1178">
        <v>0</v>
      </c>
      <c r="AP1178">
        <v>0</v>
      </c>
      <c r="AQ1178">
        <v>0</v>
      </c>
      <c r="AS1178">
        <v>0</v>
      </c>
      <c r="AT1178">
        <v>0</v>
      </c>
      <c r="AV1178">
        <v>0</v>
      </c>
      <c r="AW1178">
        <v>0</v>
      </c>
      <c r="AY1178">
        <v>0</v>
      </c>
      <c r="AZ1178">
        <v>0</v>
      </c>
      <c r="BA1178">
        <v>49</v>
      </c>
      <c r="BE1178" t="str">
        <f>T("9791137014725")</f>
        <v>9791137014725</v>
      </c>
      <c r="BF1178" t="str">
        <f>T("k023289")</f>
        <v>k023289</v>
      </c>
      <c r="BG1178" t="str">
        <f>T("판타지 웹소설 &gt; 퓨전 판타지")</f>
        <v>판타지 웹소설 &gt; 퓨전 판타지</v>
      </c>
    </row>
    <row r="1179" spans="1:59">
      <c r="A1179" t="s">
        <v>60</v>
      </c>
      <c r="B1179" s="1">
        <v>46129</v>
      </c>
      <c r="C1179">
        <v>2378047879</v>
      </c>
      <c r="D1179">
        <v>2378047960</v>
      </c>
      <c r="E1179" t="str">
        <f>T("광명소야전 82화")</f>
        <v>광명소야전 82화</v>
      </c>
      <c r="F1179">
        <v>82</v>
      </c>
      <c r="G1179" t="str">
        <f>T("무언")</f>
        <v>무언</v>
      </c>
      <c r="J1179" t="str">
        <f>T("매드햇")</f>
        <v>매드햇</v>
      </c>
      <c r="K1179" t="str">
        <f>T("광명소야전")</f>
        <v>광명소야전</v>
      </c>
      <c r="L1179">
        <v>100</v>
      </c>
      <c r="M1179">
        <v>70</v>
      </c>
      <c r="N1179">
        <v>1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70</v>
      </c>
      <c r="AJ1179">
        <v>1</v>
      </c>
      <c r="AK1179">
        <v>0</v>
      </c>
      <c r="AL1179">
        <v>0</v>
      </c>
      <c r="AM1179">
        <v>70</v>
      </c>
      <c r="AN1179">
        <v>0</v>
      </c>
      <c r="AO1179">
        <v>0</v>
      </c>
      <c r="AP1179">
        <v>0</v>
      </c>
      <c r="AQ1179">
        <v>0</v>
      </c>
      <c r="AS1179">
        <v>0</v>
      </c>
      <c r="AT1179">
        <v>0</v>
      </c>
      <c r="AV1179">
        <v>0</v>
      </c>
      <c r="AW1179">
        <v>0</v>
      </c>
      <c r="AY1179">
        <v>0</v>
      </c>
      <c r="AZ1179">
        <v>0</v>
      </c>
      <c r="BA1179">
        <v>49</v>
      </c>
      <c r="BE1179" t="str">
        <f>T("9791137014725")</f>
        <v>9791137014725</v>
      </c>
      <c r="BF1179" t="str">
        <f>T("k023290")</f>
        <v>k023290</v>
      </c>
      <c r="BG1179" t="str">
        <f>T("판타지 웹소설 &gt; 퓨전 판타지")</f>
        <v>판타지 웹소설 &gt; 퓨전 판타지</v>
      </c>
    </row>
    <row r="1180" spans="1:59">
      <c r="A1180" t="s">
        <v>60</v>
      </c>
      <c r="B1180" s="1">
        <v>46129</v>
      </c>
      <c r="C1180">
        <v>2378047879</v>
      </c>
      <c r="D1180">
        <v>2378047961</v>
      </c>
      <c r="E1180" t="str">
        <f>T("광명소야전 83화")</f>
        <v>광명소야전 83화</v>
      </c>
      <c r="F1180">
        <v>83</v>
      </c>
      <c r="G1180" t="str">
        <f>T("무언")</f>
        <v>무언</v>
      </c>
      <c r="J1180" t="str">
        <f>T("매드햇")</f>
        <v>매드햇</v>
      </c>
      <c r="K1180" t="str">
        <f>T("광명소야전")</f>
        <v>광명소야전</v>
      </c>
      <c r="L1180">
        <v>100</v>
      </c>
      <c r="M1180">
        <v>70</v>
      </c>
      <c r="N1180">
        <v>1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70</v>
      </c>
      <c r="AJ1180">
        <v>1</v>
      </c>
      <c r="AK1180">
        <v>0</v>
      </c>
      <c r="AL1180">
        <v>0</v>
      </c>
      <c r="AM1180">
        <v>70</v>
      </c>
      <c r="AN1180">
        <v>0</v>
      </c>
      <c r="AO1180">
        <v>0</v>
      </c>
      <c r="AP1180">
        <v>0</v>
      </c>
      <c r="AQ1180">
        <v>0</v>
      </c>
      <c r="AS1180">
        <v>0</v>
      </c>
      <c r="AT1180">
        <v>0</v>
      </c>
      <c r="AV1180">
        <v>0</v>
      </c>
      <c r="AW1180">
        <v>0</v>
      </c>
      <c r="AY1180">
        <v>0</v>
      </c>
      <c r="AZ1180">
        <v>0</v>
      </c>
      <c r="BA1180">
        <v>49</v>
      </c>
      <c r="BE1180" t="str">
        <f>T("9791137014725")</f>
        <v>9791137014725</v>
      </c>
      <c r="BF1180" t="str">
        <f>T("k023291")</f>
        <v>k023291</v>
      </c>
      <c r="BG1180" t="str">
        <f>T("판타지 웹소설 &gt; 퓨전 판타지")</f>
        <v>판타지 웹소설 &gt; 퓨전 판타지</v>
      </c>
    </row>
    <row r="1181" spans="1:59">
      <c r="A1181" t="s">
        <v>60</v>
      </c>
      <c r="B1181" s="1">
        <v>46129</v>
      </c>
      <c r="C1181">
        <v>2378047879</v>
      </c>
      <c r="D1181">
        <v>2378047962</v>
      </c>
      <c r="E1181" t="str">
        <f>T("광명소야전 84화")</f>
        <v>광명소야전 84화</v>
      </c>
      <c r="F1181">
        <v>84</v>
      </c>
      <c r="G1181" t="str">
        <f>T("무언")</f>
        <v>무언</v>
      </c>
      <c r="J1181" t="str">
        <f>T("매드햇")</f>
        <v>매드햇</v>
      </c>
      <c r="K1181" t="str">
        <f>T("광명소야전")</f>
        <v>광명소야전</v>
      </c>
      <c r="L1181">
        <v>100</v>
      </c>
      <c r="M1181">
        <v>70</v>
      </c>
      <c r="N1181">
        <v>1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70</v>
      </c>
      <c r="AJ1181">
        <v>1</v>
      </c>
      <c r="AK1181">
        <v>0</v>
      </c>
      <c r="AL1181">
        <v>0</v>
      </c>
      <c r="AM1181">
        <v>70</v>
      </c>
      <c r="AN1181">
        <v>0</v>
      </c>
      <c r="AO1181">
        <v>0</v>
      </c>
      <c r="AP1181">
        <v>0</v>
      </c>
      <c r="AQ1181">
        <v>0</v>
      </c>
      <c r="AS1181">
        <v>0</v>
      </c>
      <c r="AT1181">
        <v>0</v>
      </c>
      <c r="AV1181">
        <v>0</v>
      </c>
      <c r="AW1181">
        <v>0</v>
      </c>
      <c r="AY1181">
        <v>0</v>
      </c>
      <c r="AZ1181">
        <v>0</v>
      </c>
      <c r="BA1181">
        <v>49</v>
      </c>
      <c r="BE1181" t="str">
        <f>T("9791137014725")</f>
        <v>9791137014725</v>
      </c>
      <c r="BF1181" t="str">
        <f>T("k023292")</f>
        <v>k023292</v>
      </c>
      <c r="BG1181" t="str">
        <f>T("판타지 웹소설 &gt; 퓨전 판타지")</f>
        <v>판타지 웹소설 &gt; 퓨전 판타지</v>
      </c>
    </row>
    <row r="1182" spans="1:59">
      <c r="A1182" t="s">
        <v>60</v>
      </c>
      <c r="B1182" s="1">
        <v>46129</v>
      </c>
      <c r="C1182">
        <v>2378047879</v>
      </c>
      <c r="D1182">
        <v>2378047963</v>
      </c>
      <c r="E1182" t="str">
        <f>T("광명소야전 85화")</f>
        <v>광명소야전 85화</v>
      </c>
      <c r="F1182">
        <v>85</v>
      </c>
      <c r="G1182" t="str">
        <f>T("무언")</f>
        <v>무언</v>
      </c>
      <c r="J1182" t="str">
        <f>T("매드햇")</f>
        <v>매드햇</v>
      </c>
      <c r="K1182" t="str">
        <f>T("광명소야전")</f>
        <v>광명소야전</v>
      </c>
      <c r="L1182">
        <v>100</v>
      </c>
      <c r="M1182">
        <v>70</v>
      </c>
      <c r="N1182">
        <v>1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70</v>
      </c>
      <c r="AJ1182">
        <v>1</v>
      </c>
      <c r="AK1182">
        <v>0</v>
      </c>
      <c r="AL1182">
        <v>0</v>
      </c>
      <c r="AM1182">
        <v>70</v>
      </c>
      <c r="AN1182">
        <v>0</v>
      </c>
      <c r="AO1182">
        <v>0</v>
      </c>
      <c r="AP1182">
        <v>0</v>
      </c>
      <c r="AQ1182">
        <v>0</v>
      </c>
      <c r="AS1182">
        <v>0</v>
      </c>
      <c r="AT1182">
        <v>0</v>
      </c>
      <c r="AV1182">
        <v>0</v>
      </c>
      <c r="AW1182">
        <v>0</v>
      </c>
      <c r="AY1182">
        <v>0</v>
      </c>
      <c r="AZ1182">
        <v>0</v>
      </c>
      <c r="BA1182">
        <v>49</v>
      </c>
      <c r="BE1182" t="str">
        <f>T("9791137014725")</f>
        <v>9791137014725</v>
      </c>
      <c r="BF1182" t="str">
        <f>T("k023293")</f>
        <v>k023293</v>
      </c>
      <c r="BG1182" t="str">
        <f>T("판타지 웹소설 &gt; 퓨전 판타지")</f>
        <v>판타지 웹소설 &gt; 퓨전 판타지</v>
      </c>
    </row>
    <row r="1183" spans="1:59">
      <c r="A1183" t="s">
        <v>60</v>
      </c>
      <c r="B1183" s="1">
        <v>46129</v>
      </c>
      <c r="C1183">
        <v>2378047879</v>
      </c>
      <c r="D1183">
        <v>2378047964</v>
      </c>
      <c r="E1183" t="str">
        <f>T("광명소야전 86화")</f>
        <v>광명소야전 86화</v>
      </c>
      <c r="F1183">
        <v>86</v>
      </c>
      <c r="G1183" t="str">
        <f>T("무언")</f>
        <v>무언</v>
      </c>
      <c r="J1183" t="str">
        <f>T("매드햇")</f>
        <v>매드햇</v>
      </c>
      <c r="K1183" t="str">
        <f>T("광명소야전")</f>
        <v>광명소야전</v>
      </c>
      <c r="L1183">
        <v>100</v>
      </c>
      <c r="M1183">
        <v>70</v>
      </c>
      <c r="N1183">
        <v>1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70</v>
      </c>
      <c r="AJ1183">
        <v>1</v>
      </c>
      <c r="AK1183">
        <v>0</v>
      </c>
      <c r="AL1183">
        <v>0</v>
      </c>
      <c r="AM1183">
        <v>70</v>
      </c>
      <c r="AN1183">
        <v>0</v>
      </c>
      <c r="AO1183">
        <v>0</v>
      </c>
      <c r="AP1183">
        <v>0</v>
      </c>
      <c r="AQ1183">
        <v>0</v>
      </c>
      <c r="AS1183">
        <v>0</v>
      </c>
      <c r="AT1183">
        <v>0</v>
      </c>
      <c r="AV1183">
        <v>0</v>
      </c>
      <c r="AW1183">
        <v>0</v>
      </c>
      <c r="AY1183">
        <v>0</v>
      </c>
      <c r="AZ1183">
        <v>0</v>
      </c>
      <c r="BA1183">
        <v>49</v>
      </c>
      <c r="BE1183" t="str">
        <f>T("9791137014725")</f>
        <v>9791137014725</v>
      </c>
      <c r="BF1183" t="str">
        <f>T("k023294")</f>
        <v>k023294</v>
      </c>
      <c r="BG1183" t="str">
        <f>T("판타지 웹소설 &gt; 퓨전 판타지")</f>
        <v>판타지 웹소설 &gt; 퓨전 판타지</v>
      </c>
    </row>
    <row r="1184" spans="1:59">
      <c r="A1184" t="s">
        <v>60</v>
      </c>
      <c r="B1184" s="1">
        <v>46129</v>
      </c>
      <c r="C1184">
        <v>2378047879</v>
      </c>
      <c r="D1184">
        <v>2378047965</v>
      </c>
      <c r="E1184" t="str">
        <f>T("광명소야전 87화")</f>
        <v>광명소야전 87화</v>
      </c>
      <c r="F1184">
        <v>87</v>
      </c>
      <c r="G1184" t="str">
        <f>T("무언")</f>
        <v>무언</v>
      </c>
      <c r="J1184" t="str">
        <f>T("매드햇")</f>
        <v>매드햇</v>
      </c>
      <c r="K1184" t="str">
        <f>T("광명소야전")</f>
        <v>광명소야전</v>
      </c>
      <c r="L1184">
        <v>100</v>
      </c>
      <c r="M1184">
        <v>70</v>
      </c>
      <c r="N1184">
        <v>1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70</v>
      </c>
      <c r="AJ1184">
        <v>1</v>
      </c>
      <c r="AK1184">
        <v>0</v>
      </c>
      <c r="AL1184">
        <v>0</v>
      </c>
      <c r="AM1184">
        <v>70</v>
      </c>
      <c r="AN1184">
        <v>0</v>
      </c>
      <c r="AO1184">
        <v>0</v>
      </c>
      <c r="AP1184">
        <v>0</v>
      </c>
      <c r="AQ1184">
        <v>0</v>
      </c>
      <c r="AS1184">
        <v>0</v>
      </c>
      <c r="AT1184">
        <v>0</v>
      </c>
      <c r="AV1184">
        <v>0</v>
      </c>
      <c r="AW1184">
        <v>0</v>
      </c>
      <c r="AY1184">
        <v>0</v>
      </c>
      <c r="AZ1184">
        <v>0</v>
      </c>
      <c r="BA1184">
        <v>49</v>
      </c>
      <c r="BE1184" t="str">
        <f>T("9791137014725")</f>
        <v>9791137014725</v>
      </c>
      <c r="BF1184" t="str">
        <f>T("k023295")</f>
        <v>k023295</v>
      </c>
      <c r="BG1184" t="str">
        <f>T("판타지 웹소설 &gt; 퓨전 판타지")</f>
        <v>판타지 웹소설 &gt; 퓨전 판타지</v>
      </c>
    </row>
    <row r="1185" spans="1:59">
      <c r="A1185" t="s">
        <v>60</v>
      </c>
      <c r="B1185" s="1">
        <v>46129</v>
      </c>
      <c r="C1185">
        <v>2378047879</v>
      </c>
      <c r="D1185">
        <v>2378047966</v>
      </c>
      <c r="E1185" t="str">
        <f>T("광명소야전 88화")</f>
        <v>광명소야전 88화</v>
      </c>
      <c r="F1185">
        <v>88</v>
      </c>
      <c r="G1185" t="str">
        <f>T("무언")</f>
        <v>무언</v>
      </c>
      <c r="J1185" t="str">
        <f>T("매드햇")</f>
        <v>매드햇</v>
      </c>
      <c r="K1185" t="str">
        <f>T("광명소야전")</f>
        <v>광명소야전</v>
      </c>
      <c r="L1185">
        <v>100</v>
      </c>
      <c r="M1185">
        <v>70</v>
      </c>
      <c r="N1185">
        <v>1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70</v>
      </c>
      <c r="AJ1185">
        <v>1</v>
      </c>
      <c r="AK1185">
        <v>0</v>
      </c>
      <c r="AL1185">
        <v>0</v>
      </c>
      <c r="AM1185">
        <v>70</v>
      </c>
      <c r="AN1185">
        <v>0</v>
      </c>
      <c r="AO1185">
        <v>0</v>
      </c>
      <c r="AP1185">
        <v>0</v>
      </c>
      <c r="AQ1185">
        <v>0</v>
      </c>
      <c r="AS1185">
        <v>0</v>
      </c>
      <c r="AT1185">
        <v>0</v>
      </c>
      <c r="AV1185">
        <v>0</v>
      </c>
      <c r="AW1185">
        <v>0</v>
      </c>
      <c r="AY1185">
        <v>0</v>
      </c>
      <c r="AZ1185">
        <v>0</v>
      </c>
      <c r="BA1185">
        <v>49</v>
      </c>
      <c r="BE1185" t="str">
        <f>T("9791137014725")</f>
        <v>9791137014725</v>
      </c>
      <c r="BF1185" t="str">
        <f>T("k023296")</f>
        <v>k023296</v>
      </c>
      <c r="BG1185" t="str">
        <f>T("판타지 웹소설 &gt; 퓨전 판타지")</f>
        <v>판타지 웹소설 &gt; 퓨전 판타지</v>
      </c>
    </row>
    <row r="1186" spans="1:59">
      <c r="A1186" t="s">
        <v>60</v>
      </c>
      <c r="B1186" s="1">
        <v>46129</v>
      </c>
      <c r="C1186">
        <v>2378047879</v>
      </c>
      <c r="D1186">
        <v>2378047967</v>
      </c>
      <c r="E1186" t="str">
        <f>T("광명소야전 89화")</f>
        <v>광명소야전 89화</v>
      </c>
      <c r="F1186">
        <v>89</v>
      </c>
      <c r="G1186" t="str">
        <f>T("무언")</f>
        <v>무언</v>
      </c>
      <c r="J1186" t="str">
        <f>T("매드햇")</f>
        <v>매드햇</v>
      </c>
      <c r="K1186" t="str">
        <f>T("광명소야전")</f>
        <v>광명소야전</v>
      </c>
      <c r="L1186">
        <v>100</v>
      </c>
      <c r="M1186">
        <v>70</v>
      </c>
      <c r="N1186">
        <v>1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70</v>
      </c>
      <c r="AJ1186">
        <v>1</v>
      </c>
      <c r="AK1186">
        <v>0</v>
      </c>
      <c r="AL1186">
        <v>0</v>
      </c>
      <c r="AM1186">
        <v>70</v>
      </c>
      <c r="AN1186">
        <v>0</v>
      </c>
      <c r="AO1186">
        <v>0</v>
      </c>
      <c r="AP1186">
        <v>0</v>
      </c>
      <c r="AQ1186">
        <v>0</v>
      </c>
      <c r="AS1186">
        <v>0</v>
      </c>
      <c r="AT1186">
        <v>0</v>
      </c>
      <c r="AV1186">
        <v>0</v>
      </c>
      <c r="AW1186">
        <v>0</v>
      </c>
      <c r="AY1186">
        <v>0</v>
      </c>
      <c r="AZ1186">
        <v>0</v>
      </c>
      <c r="BA1186">
        <v>49</v>
      </c>
      <c r="BE1186" t="str">
        <f>T("9791137014725")</f>
        <v>9791137014725</v>
      </c>
      <c r="BF1186" t="str">
        <f>T("k023297")</f>
        <v>k023297</v>
      </c>
      <c r="BG1186" t="str">
        <f>T("판타지 웹소설 &gt; 퓨전 판타지")</f>
        <v>판타지 웹소설 &gt; 퓨전 판타지</v>
      </c>
    </row>
    <row r="1187" spans="1:59">
      <c r="A1187" t="s">
        <v>60</v>
      </c>
      <c r="B1187" s="1">
        <v>46129</v>
      </c>
      <c r="C1187">
        <v>2378047879</v>
      </c>
      <c r="D1187">
        <v>2378047968</v>
      </c>
      <c r="E1187" t="str">
        <f>T("광명소야전 90화")</f>
        <v>광명소야전 90화</v>
      </c>
      <c r="F1187">
        <v>90</v>
      </c>
      <c r="G1187" t="str">
        <f>T("무언")</f>
        <v>무언</v>
      </c>
      <c r="J1187" t="str">
        <f>T("매드햇")</f>
        <v>매드햇</v>
      </c>
      <c r="K1187" t="str">
        <f>T("광명소야전")</f>
        <v>광명소야전</v>
      </c>
      <c r="L1187">
        <v>100</v>
      </c>
      <c r="M1187">
        <v>70</v>
      </c>
      <c r="N1187">
        <v>1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70</v>
      </c>
      <c r="AJ1187">
        <v>1</v>
      </c>
      <c r="AK1187">
        <v>0</v>
      </c>
      <c r="AL1187">
        <v>0</v>
      </c>
      <c r="AM1187">
        <v>70</v>
      </c>
      <c r="AN1187">
        <v>0</v>
      </c>
      <c r="AO1187">
        <v>0</v>
      </c>
      <c r="AP1187">
        <v>0</v>
      </c>
      <c r="AQ1187">
        <v>0</v>
      </c>
      <c r="AS1187">
        <v>0</v>
      </c>
      <c r="AT1187">
        <v>0</v>
      </c>
      <c r="AV1187">
        <v>0</v>
      </c>
      <c r="AW1187">
        <v>0</v>
      </c>
      <c r="AY1187">
        <v>0</v>
      </c>
      <c r="AZ1187">
        <v>0</v>
      </c>
      <c r="BA1187">
        <v>49</v>
      </c>
      <c r="BE1187" t="str">
        <f>T("9791137014725")</f>
        <v>9791137014725</v>
      </c>
      <c r="BF1187" t="str">
        <f>T("k023298")</f>
        <v>k023298</v>
      </c>
      <c r="BG1187" t="str">
        <f>T("판타지 웹소설 &gt; 퓨전 판타지")</f>
        <v>판타지 웹소설 &gt; 퓨전 판타지</v>
      </c>
    </row>
    <row r="1188" spans="1:59">
      <c r="A1188" t="s">
        <v>60</v>
      </c>
      <c r="B1188" s="1">
        <v>46129</v>
      </c>
      <c r="C1188">
        <v>2378047879</v>
      </c>
      <c r="D1188">
        <v>2378047969</v>
      </c>
      <c r="E1188" t="str">
        <f>T("광명소야전 91화")</f>
        <v>광명소야전 91화</v>
      </c>
      <c r="F1188">
        <v>91</v>
      </c>
      <c r="G1188" t="str">
        <f>T("무언")</f>
        <v>무언</v>
      </c>
      <c r="J1188" t="str">
        <f>T("매드햇")</f>
        <v>매드햇</v>
      </c>
      <c r="K1188" t="str">
        <f>T("광명소야전")</f>
        <v>광명소야전</v>
      </c>
      <c r="L1188">
        <v>100</v>
      </c>
      <c r="M1188">
        <v>70</v>
      </c>
      <c r="N1188">
        <v>1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70</v>
      </c>
      <c r="AJ1188">
        <v>1</v>
      </c>
      <c r="AK1188">
        <v>0</v>
      </c>
      <c r="AL1188">
        <v>0</v>
      </c>
      <c r="AM1188">
        <v>70</v>
      </c>
      <c r="AN1188">
        <v>0</v>
      </c>
      <c r="AO1188">
        <v>0</v>
      </c>
      <c r="AP1188">
        <v>0</v>
      </c>
      <c r="AQ1188">
        <v>0</v>
      </c>
      <c r="AS1188">
        <v>0</v>
      </c>
      <c r="AT1188">
        <v>0</v>
      </c>
      <c r="AV1188">
        <v>0</v>
      </c>
      <c r="AW1188">
        <v>0</v>
      </c>
      <c r="AY1188">
        <v>0</v>
      </c>
      <c r="AZ1188">
        <v>0</v>
      </c>
      <c r="BA1188">
        <v>49</v>
      </c>
      <c r="BE1188" t="str">
        <f>T("9791137014725")</f>
        <v>9791137014725</v>
      </c>
      <c r="BF1188" t="str">
        <f>T("k023299")</f>
        <v>k023299</v>
      </c>
      <c r="BG1188" t="str">
        <f>T("판타지 웹소설 &gt; 퓨전 판타지")</f>
        <v>판타지 웹소설 &gt; 퓨전 판타지</v>
      </c>
    </row>
    <row r="1189" spans="1:59">
      <c r="A1189" t="s">
        <v>60</v>
      </c>
      <c r="B1189" s="1">
        <v>46129</v>
      </c>
      <c r="C1189">
        <v>2378047879</v>
      </c>
      <c r="D1189">
        <v>2378047970</v>
      </c>
      <c r="E1189" t="str">
        <f>T("광명소야전 92화")</f>
        <v>광명소야전 92화</v>
      </c>
      <c r="F1189">
        <v>92</v>
      </c>
      <c r="G1189" t="str">
        <f>T("무언")</f>
        <v>무언</v>
      </c>
      <c r="J1189" t="str">
        <f>T("매드햇")</f>
        <v>매드햇</v>
      </c>
      <c r="K1189" t="str">
        <f>T("광명소야전")</f>
        <v>광명소야전</v>
      </c>
      <c r="L1189">
        <v>100</v>
      </c>
      <c r="M1189">
        <v>70</v>
      </c>
      <c r="N1189">
        <v>1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70</v>
      </c>
      <c r="AJ1189">
        <v>1</v>
      </c>
      <c r="AK1189">
        <v>0</v>
      </c>
      <c r="AL1189">
        <v>0</v>
      </c>
      <c r="AM1189">
        <v>70</v>
      </c>
      <c r="AN1189">
        <v>0</v>
      </c>
      <c r="AO1189">
        <v>0</v>
      </c>
      <c r="AP1189">
        <v>0</v>
      </c>
      <c r="AQ1189">
        <v>0</v>
      </c>
      <c r="AS1189">
        <v>0</v>
      </c>
      <c r="AT1189">
        <v>0</v>
      </c>
      <c r="AV1189">
        <v>0</v>
      </c>
      <c r="AW1189">
        <v>0</v>
      </c>
      <c r="AY1189">
        <v>0</v>
      </c>
      <c r="AZ1189">
        <v>0</v>
      </c>
      <c r="BA1189">
        <v>49</v>
      </c>
      <c r="BE1189" t="str">
        <f>T("9791137014725")</f>
        <v>9791137014725</v>
      </c>
      <c r="BF1189" t="str">
        <f>T("k023300")</f>
        <v>k023300</v>
      </c>
      <c r="BG1189" t="str">
        <f>T("판타지 웹소설 &gt; 퓨전 판타지")</f>
        <v>판타지 웹소설 &gt; 퓨전 판타지</v>
      </c>
    </row>
    <row r="1190" spans="1:59">
      <c r="A1190" t="s">
        <v>60</v>
      </c>
      <c r="B1190" s="1">
        <v>46129</v>
      </c>
      <c r="C1190">
        <v>2378047879</v>
      </c>
      <c r="D1190">
        <v>2378047971</v>
      </c>
      <c r="E1190" t="str">
        <f>T("광명소야전 93화")</f>
        <v>광명소야전 93화</v>
      </c>
      <c r="F1190">
        <v>93</v>
      </c>
      <c r="G1190" t="str">
        <f>T("무언")</f>
        <v>무언</v>
      </c>
      <c r="J1190" t="str">
        <f>T("매드햇")</f>
        <v>매드햇</v>
      </c>
      <c r="K1190" t="str">
        <f>T("광명소야전")</f>
        <v>광명소야전</v>
      </c>
      <c r="L1190">
        <v>100</v>
      </c>
      <c r="M1190">
        <v>70</v>
      </c>
      <c r="N1190">
        <v>1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70</v>
      </c>
      <c r="AJ1190">
        <v>1</v>
      </c>
      <c r="AK1190">
        <v>0</v>
      </c>
      <c r="AL1190">
        <v>0</v>
      </c>
      <c r="AM1190">
        <v>70</v>
      </c>
      <c r="AN1190">
        <v>0</v>
      </c>
      <c r="AO1190">
        <v>0</v>
      </c>
      <c r="AP1190">
        <v>0</v>
      </c>
      <c r="AQ1190">
        <v>0</v>
      </c>
      <c r="AS1190">
        <v>0</v>
      </c>
      <c r="AT1190">
        <v>0</v>
      </c>
      <c r="AV1190">
        <v>0</v>
      </c>
      <c r="AW1190">
        <v>0</v>
      </c>
      <c r="AY1190">
        <v>0</v>
      </c>
      <c r="AZ1190">
        <v>0</v>
      </c>
      <c r="BA1190">
        <v>49</v>
      </c>
      <c r="BE1190" t="str">
        <f>T("9791137014725")</f>
        <v>9791137014725</v>
      </c>
      <c r="BF1190" t="str">
        <f>T("k023301")</f>
        <v>k023301</v>
      </c>
      <c r="BG1190" t="str">
        <f>T("판타지 웹소설 &gt; 퓨전 판타지")</f>
        <v>판타지 웹소설 &gt; 퓨전 판타지</v>
      </c>
    </row>
    <row r="1191" spans="1:59">
      <c r="A1191" t="s">
        <v>60</v>
      </c>
      <c r="B1191" s="1">
        <v>46129</v>
      </c>
      <c r="C1191">
        <v>2378047879</v>
      </c>
      <c r="D1191">
        <v>2378047972</v>
      </c>
      <c r="E1191" t="str">
        <f>T("광명소야전 94화")</f>
        <v>광명소야전 94화</v>
      </c>
      <c r="F1191">
        <v>94</v>
      </c>
      <c r="G1191" t="str">
        <f>T("무언")</f>
        <v>무언</v>
      </c>
      <c r="J1191" t="str">
        <f>T("매드햇")</f>
        <v>매드햇</v>
      </c>
      <c r="K1191" t="str">
        <f>T("광명소야전")</f>
        <v>광명소야전</v>
      </c>
      <c r="L1191">
        <v>100</v>
      </c>
      <c r="M1191">
        <v>70</v>
      </c>
      <c r="N1191">
        <v>1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70</v>
      </c>
      <c r="AJ1191">
        <v>1</v>
      </c>
      <c r="AK1191">
        <v>0</v>
      </c>
      <c r="AL1191">
        <v>0</v>
      </c>
      <c r="AM1191">
        <v>70</v>
      </c>
      <c r="AN1191">
        <v>0</v>
      </c>
      <c r="AO1191">
        <v>0</v>
      </c>
      <c r="AP1191">
        <v>0</v>
      </c>
      <c r="AQ1191">
        <v>0</v>
      </c>
      <c r="AS1191">
        <v>0</v>
      </c>
      <c r="AT1191">
        <v>0</v>
      </c>
      <c r="AV1191">
        <v>0</v>
      </c>
      <c r="AW1191">
        <v>0</v>
      </c>
      <c r="AY1191">
        <v>0</v>
      </c>
      <c r="AZ1191">
        <v>0</v>
      </c>
      <c r="BA1191">
        <v>49</v>
      </c>
      <c r="BE1191" t="str">
        <f>T("9791137014725")</f>
        <v>9791137014725</v>
      </c>
      <c r="BF1191" t="str">
        <f>T("k023302")</f>
        <v>k023302</v>
      </c>
      <c r="BG1191" t="str">
        <f>T("판타지 웹소설 &gt; 퓨전 판타지")</f>
        <v>판타지 웹소설 &gt; 퓨전 판타지</v>
      </c>
    </row>
    <row r="1192" spans="1:59">
      <c r="A1192" t="s">
        <v>60</v>
      </c>
      <c r="B1192" s="1">
        <v>46129</v>
      </c>
      <c r="C1192">
        <v>2378047879</v>
      </c>
      <c r="D1192">
        <v>2378047973</v>
      </c>
      <c r="E1192" t="str">
        <f>T("광명소야전 95화")</f>
        <v>광명소야전 95화</v>
      </c>
      <c r="F1192">
        <v>95</v>
      </c>
      <c r="G1192" t="str">
        <f>T("무언")</f>
        <v>무언</v>
      </c>
      <c r="J1192" t="str">
        <f>T("매드햇")</f>
        <v>매드햇</v>
      </c>
      <c r="K1192" t="str">
        <f>T("광명소야전")</f>
        <v>광명소야전</v>
      </c>
      <c r="L1192">
        <v>100</v>
      </c>
      <c r="M1192">
        <v>70</v>
      </c>
      <c r="N1192">
        <v>1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70</v>
      </c>
      <c r="AJ1192">
        <v>1</v>
      </c>
      <c r="AK1192">
        <v>0</v>
      </c>
      <c r="AL1192">
        <v>0</v>
      </c>
      <c r="AM1192">
        <v>70</v>
      </c>
      <c r="AN1192">
        <v>0</v>
      </c>
      <c r="AO1192">
        <v>0</v>
      </c>
      <c r="AP1192">
        <v>0</v>
      </c>
      <c r="AQ1192">
        <v>0</v>
      </c>
      <c r="AS1192">
        <v>0</v>
      </c>
      <c r="AT1192">
        <v>0</v>
      </c>
      <c r="AV1192">
        <v>0</v>
      </c>
      <c r="AW1192">
        <v>0</v>
      </c>
      <c r="AY1192">
        <v>0</v>
      </c>
      <c r="AZ1192">
        <v>0</v>
      </c>
      <c r="BA1192">
        <v>49</v>
      </c>
      <c r="BE1192" t="str">
        <f>T("9791137014725")</f>
        <v>9791137014725</v>
      </c>
      <c r="BF1192" t="str">
        <f>T("k023303")</f>
        <v>k023303</v>
      </c>
      <c r="BG1192" t="str">
        <f>T("판타지 웹소설 &gt; 퓨전 판타지")</f>
        <v>판타지 웹소설 &gt; 퓨전 판타지</v>
      </c>
    </row>
    <row r="1193" spans="1:59">
      <c r="A1193" t="s">
        <v>60</v>
      </c>
      <c r="B1193" s="1">
        <v>46129</v>
      </c>
      <c r="C1193">
        <v>2378047879</v>
      </c>
      <c r="D1193">
        <v>2378047974</v>
      </c>
      <c r="E1193" t="str">
        <f>T("광명소야전 96화")</f>
        <v>광명소야전 96화</v>
      </c>
      <c r="F1193">
        <v>96</v>
      </c>
      <c r="G1193" t="str">
        <f>T("무언")</f>
        <v>무언</v>
      </c>
      <c r="J1193" t="str">
        <f>T("매드햇")</f>
        <v>매드햇</v>
      </c>
      <c r="K1193" t="str">
        <f>T("광명소야전")</f>
        <v>광명소야전</v>
      </c>
      <c r="L1193">
        <v>100</v>
      </c>
      <c r="M1193">
        <v>70</v>
      </c>
      <c r="N1193">
        <v>1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70</v>
      </c>
      <c r="AJ1193">
        <v>1</v>
      </c>
      <c r="AK1193">
        <v>0</v>
      </c>
      <c r="AL1193">
        <v>0</v>
      </c>
      <c r="AM1193">
        <v>70</v>
      </c>
      <c r="AN1193">
        <v>0</v>
      </c>
      <c r="AO1193">
        <v>0</v>
      </c>
      <c r="AP1193">
        <v>0</v>
      </c>
      <c r="AQ1193">
        <v>0</v>
      </c>
      <c r="AS1193">
        <v>0</v>
      </c>
      <c r="AT1193">
        <v>0</v>
      </c>
      <c r="AV1193">
        <v>0</v>
      </c>
      <c r="AW1193">
        <v>0</v>
      </c>
      <c r="AY1193">
        <v>0</v>
      </c>
      <c r="AZ1193">
        <v>0</v>
      </c>
      <c r="BA1193">
        <v>49</v>
      </c>
      <c r="BE1193" t="str">
        <f>T("9791137014725")</f>
        <v>9791137014725</v>
      </c>
      <c r="BF1193" t="str">
        <f>T("k023304")</f>
        <v>k023304</v>
      </c>
      <c r="BG1193" t="str">
        <f>T("판타지 웹소설 &gt; 퓨전 판타지")</f>
        <v>판타지 웹소설 &gt; 퓨전 판타지</v>
      </c>
    </row>
    <row r="1194" spans="1:59">
      <c r="A1194" t="s">
        <v>60</v>
      </c>
      <c r="B1194" s="1">
        <v>46129</v>
      </c>
      <c r="C1194">
        <v>2378047879</v>
      </c>
      <c r="D1194">
        <v>2378047975</v>
      </c>
      <c r="E1194" t="str">
        <f>T("광명소야전 97화")</f>
        <v>광명소야전 97화</v>
      </c>
      <c r="F1194">
        <v>97</v>
      </c>
      <c r="G1194" t="str">
        <f>T("무언")</f>
        <v>무언</v>
      </c>
      <c r="J1194" t="str">
        <f>T("매드햇")</f>
        <v>매드햇</v>
      </c>
      <c r="K1194" t="str">
        <f>T("광명소야전")</f>
        <v>광명소야전</v>
      </c>
      <c r="L1194">
        <v>100</v>
      </c>
      <c r="M1194">
        <v>70</v>
      </c>
      <c r="N1194">
        <v>1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70</v>
      </c>
      <c r="AJ1194">
        <v>1</v>
      </c>
      <c r="AK1194">
        <v>0</v>
      </c>
      <c r="AL1194">
        <v>0</v>
      </c>
      <c r="AM1194">
        <v>70</v>
      </c>
      <c r="AN1194">
        <v>0</v>
      </c>
      <c r="AO1194">
        <v>0</v>
      </c>
      <c r="AP1194">
        <v>0</v>
      </c>
      <c r="AQ1194">
        <v>0</v>
      </c>
      <c r="AS1194">
        <v>0</v>
      </c>
      <c r="AT1194">
        <v>0</v>
      </c>
      <c r="AV1194">
        <v>0</v>
      </c>
      <c r="AW1194">
        <v>0</v>
      </c>
      <c r="AY1194">
        <v>0</v>
      </c>
      <c r="AZ1194">
        <v>0</v>
      </c>
      <c r="BA1194">
        <v>49</v>
      </c>
      <c r="BE1194" t="str">
        <f>T("9791137014725")</f>
        <v>9791137014725</v>
      </c>
      <c r="BF1194" t="str">
        <f>T("k023305")</f>
        <v>k023305</v>
      </c>
      <c r="BG1194" t="str">
        <f>T("판타지 웹소설 &gt; 퓨전 판타지")</f>
        <v>판타지 웹소설 &gt; 퓨전 판타지</v>
      </c>
    </row>
    <row r="1195" spans="1:59">
      <c r="A1195" t="s">
        <v>60</v>
      </c>
      <c r="B1195" s="1">
        <v>46129</v>
      </c>
      <c r="C1195">
        <v>2378047879</v>
      </c>
      <c r="D1195">
        <v>2378047976</v>
      </c>
      <c r="E1195" t="str">
        <f>T("광명소야전 98화")</f>
        <v>광명소야전 98화</v>
      </c>
      <c r="F1195">
        <v>98</v>
      </c>
      <c r="G1195" t="str">
        <f>T("무언")</f>
        <v>무언</v>
      </c>
      <c r="J1195" t="str">
        <f>T("매드햇")</f>
        <v>매드햇</v>
      </c>
      <c r="K1195" t="str">
        <f>T("광명소야전")</f>
        <v>광명소야전</v>
      </c>
      <c r="L1195">
        <v>100</v>
      </c>
      <c r="M1195">
        <v>70</v>
      </c>
      <c r="N1195">
        <v>1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70</v>
      </c>
      <c r="AJ1195">
        <v>1</v>
      </c>
      <c r="AK1195">
        <v>0</v>
      </c>
      <c r="AL1195">
        <v>0</v>
      </c>
      <c r="AM1195">
        <v>70</v>
      </c>
      <c r="AN1195">
        <v>0</v>
      </c>
      <c r="AO1195">
        <v>0</v>
      </c>
      <c r="AP1195">
        <v>0</v>
      </c>
      <c r="AQ1195">
        <v>0</v>
      </c>
      <c r="AS1195">
        <v>0</v>
      </c>
      <c r="AT1195">
        <v>0</v>
      </c>
      <c r="AV1195">
        <v>0</v>
      </c>
      <c r="AW1195">
        <v>0</v>
      </c>
      <c r="AY1195">
        <v>0</v>
      </c>
      <c r="AZ1195">
        <v>0</v>
      </c>
      <c r="BA1195">
        <v>49</v>
      </c>
      <c r="BE1195" t="str">
        <f>T("9791137014725")</f>
        <v>9791137014725</v>
      </c>
      <c r="BF1195" t="str">
        <f>T("k023306")</f>
        <v>k023306</v>
      </c>
      <c r="BG1195" t="str">
        <f>T("판타지 웹소설 &gt; 퓨전 판타지")</f>
        <v>판타지 웹소설 &gt; 퓨전 판타지</v>
      </c>
    </row>
    <row r="1196" spans="1:59">
      <c r="A1196" t="s">
        <v>60</v>
      </c>
      <c r="B1196" s="1">
        <v>46129</v>
      </c>
      <c r="C1196">
        <v>2378047879</v>
      </c>
      <c r="D1196">
        <v>2378047977</v>
      </c>
      <c r="E1196" t="str">
        <f>T("광명소야전 99화")</f>
        <v>광명소야전 99화</v>
      </c>
      <c r="F1196">
        <v>99</v>
      </c>
      <c r="G1196" t="str">
        <f>T("무언")</f>
        <v>무언</v>
      </c>
      <c r="J1196" t="str">
        <f>T("매드햇")</f>
        <v>매드햇</v>
      </c>
      <c r="K1196" t="str">
        <f>T("광명소야전")</f>
        <v>광명소야전</v>
      </c>
      <c r="L1196">
        <v>100</v>
      </c>
      <c r="M1196">
        <v>70</v>
      </c>
      <c r="N1196">
        <v>1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70</v>
      </c>
      <c r="AJ1196">
        <v>1</v>
      </c>
      <c r="AK1196">
        <v>0</v>
      </c>
      <c r="AL1196">
        <v>0</v>
      </c>
      <c r="AM1196">
        <v>70</v>
      </c>
      <c r="AN1196">
        <v>0</v>
      </c>
      <c r="AO1196">
        <v>0</v>
      </c>
      <c r="AP1196">
        <v>0</v>
      </c>
      <c r="AQ1196">
        <v>0</v>
      </c>
      <c r="AS1196">
        <v>0</v>
      </c>
      <c r="AT1196">
        <v>0</v>
      </c>
      <c r="AV1196">
        <v>0</v>
      </c>
      <c r="AW1196">
        <v>0</v>
      </c>
      <c r="AY1196">
        <v>0</v>
      </c>
      <c r="AZ1196">
        <v>0</v>
      </c>
      <c r="BA1196">
        <v>49</v>
      </c>
      <c r="BE1196" t="str">
        <f>T("9791137014725")</f>
        <v>9791137014725</v>
      </c>
      <c r="BF1196" t="str">
        <f>T("k023307")</f>
        <v>k023307</v>
      </c>
      <c r="BG1196" t="str">
        <f>T("판타지 웹소설 &gt; 퓨전 판타지")</f>
        <v>판타지 웹소설 &gt; 퓨전 판타지</v>
      </c>
    </row>
    <row r="1197" spans="1:59">
      <c r="A1197" t="s">
        <v>60</v>
      </c>
      <c r="B1197" s="1">
        <v>46129</v>
      </c>
      <c r="C1197">
        <v>2378047879</v>
      </c>
      <c r="D1197">
        <v>2378047978</v>
      </c>
      <c r="E1197" t="str">
        <f>T("광명소야전 100화")</f>
        <v>광명소야전 100화</v>
      </c>
      <c r="F1197">
        <v>100</v>
      </c>
      <c r="G1197" t="str">
        <f>T("무언")</f>
        <v>무언</v>
      </c>
      <c r="J1197" t="str">
        <f>T("매드햇")</f>
        <v>매드햇</v>
      </c>
      <c r="K1197" t="str">
        <f>T("광명소야전")</f>
        <v>광명소야전</v>
      </c>
      <c r="L1197">
        <v>100</v>
      </c>
      <c r="M1197">
        <v>70</v>
      </c>
      <c r="N1197">
        <v>1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70</v>
      </c>
      <c r="AJ1197">
        <v>1</v>
      </c>
      <c r="AK1197">
        <v>0</v>
      </c>
      <c r="AL1197">
        <v>0</v>
      </c>
      <c r="AM1197">
        <v>70</v>
      </c>
      <c r="AN1197">
        <v>0</v>
      </c>
      <c r="AO1197">
        <v>0</v>
      </c>
      <c r="AP1197">
        <v>0</v>
      </c>
      <c r="AQ1197">
        <v>0</v>
      </c>
      <c r="AS1197">
        <v>0</v>
      </c>
      <c r="AT1197">
        <v>0</v>
      </c>
      <c r="AV1197">
        <v>0</v>
      </c>
      <c r="AW1197">
        <v>0</v>
      </c>
      <c r="AY1197">
        <v>0</v>
      </c>
      <c r="AZ1197">
        <v>0</v>
      </c>
      <c r="BA1197">
        <v>49</v>
      </c>
      <c r="BE1197" t="str">
        <f>T("9791137014725")</f>
        <v>9791137014725</v>
      </c>
      <c r="BF1197" t="str">
        <f>T("k023308")</f>
        <v>k023308</v>
      </c>
      <c r="BG1197" t="str">
        <f>T("판타지 웹소설 &gt; 퓨전 판타지")</f>
        <v>판타지 웹소설 &gt; 퓨전 판타지</v>
      </c>
    </row>
    <row r="1198" spans="1:59">
      <c r="A1198" t="s">
        <v>60</v>
      </c>
      <c r="B1198" s="1">
        <v>46129</v>
      </c>
      <c r="C1198">
        <v>2378047879</v>
      </c>
      <c r="D1198">
        <v>2378049659</v>
      </c>
      <c r="E1198" t="str">
        <f>T("광명소야전 101화")</f>
        <v>광명소야전 101화</v>
      </c>
      <c r="F1198">
        <v>101</v>
      </c>
      <c r="G1198" t="str">
        <f>T("무언")</f>
        <v>무언</v>
      </c>
      <c r="J1198" t="str">
        <f>T("매드햇")</f>
        <v>매드햇</v>
      </c>
      <c r="K1198" t="str">
        <f>T("광명소야전")</f>
        <v>광명소야전</v>
      </c>
      <c r="L1198">
        <v>100</v>
      </c>
      <c r="M1198">
        <v>70</v>
      </c>
      <c r="N1198">
        <v>1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70</v>
      </c>
      <c r="AJ1198">
        <v>1</v>
      </c>
      <c r="AK1198">
        <v>0</v>
      </c>
      <c r="AL1198">
        <v>0</v>
      </c>
      <c r="AM1198">
        <v>70</v>
      </c>
      <c r="AN1198">
        <v>0</v>
      </c>
      <c r="AO1198">
        <v>0</v>
      </c>
      <c r="AP1198">
        <v>0</v>
      </c>
      <c r="AQ1198">
        <v>0</v>
      </c>
      <c r="AS1198">
        <v>0</v>
      </c>
      <c r="AT1198">
        <v>0</v>
      </c>
      <c r="AV1198">
        <v>0</v>
      </c>
      <c r="AW1198">
        <v>0</v>
      </c>
      <c r="AY1198">
        <v>0</v>
      </c>
      <c r="AZ1198">
        <v>0</v>
      </c>
      <c r="BA1198">
        <v>49</v>
      </c>
      <c r="BE1198" t="str">
        <f>T("9791137014725")</f>
        <v>9791137014725</v>
      </c>
      <c r="BF1198" t="str">
        <f>T("k023309")</f>
        <v>k023309</v>
      </c>
      <c r="BG1198" t="str">
        <f>T("판타지 웹소설 &gt; 퓨전 판타지")</f>
        <v>판타지 웹소설 &gt; 퓨전 판타지</v>
      </c>
    </row>
    <row r="1199" spans="1:59">
      <c r="A1199" t="s">
        <v>60</v>
      </c>
      <c r="B1199" s="1">
        <v>46129</v>
      </c>
      <c r="C1199">
        <v>2378047879</v>
      </c>
      <c r="D1199">
        <v>2378049660</v>
      </c>
      <c r="E1199" t="str">
        <f>T("광명소야전 102화")</f>
        <v>광명소야전 102화</v>
      </c>
      <c r="F1199">
        <v>102</v>
      </c>
      <c r="G1199" t="str">
        <f>T("무언")</f>
        <v>무언</v>
      </c>
      <c r="J1199" t="str">
        <f>T("매드햇")</f>
        <v>매드햇</v>
      </c>
      <c r="K1199" t="str">
        <f>T("광명소야전")</f>
        <v>광명소야전</v>
      </c>
      <c r="L1199">
        <v>100</v>
      </c>
      <c r="M1199">
        <v>70</v>
      </c>
      <c r="N1199">
        <v>1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70</v>
      </c>
      <c r="AJ1199">
        <v>1</v>
      </c>
      <c r="AK1199">
        <v>0</v>
      </c>
      <c r="AL1199">
        <v>0</v>
      </c>
      <c r="AM1199">
        <v>70</v>
      </c>
      <c r="AN1199">
        <v>0</v>
      </c>
      <c r="AO1199">
        <v>0</v>
      </c>
      <c r="AP1199">
        <v>0</v>
      </c>
      <c r="AQ1199">
        <v>0</v>
      </c>
      <c r="AS1199">
        <v>0</v>
      </c>
      <c r="AT1199">
        <v>0</v>
      </c>
      <c r="AV1199">
        <v>0</v>
      </c>
      <c r="AW1199">
        <v>0</v>
      </c>
      <c r="AY1199">
        <v>0</v>
      </c>
      <c r="AZ1199">
        <v>0</v>
      </c>
      <c r="BA1199">
        <v>49</v>
      </c>
      <c r="BE1199" t="str">
        <f>T("9791137014725")</f>
        <v>9791137014725</v>
      </c>
      <c r="BF1199" t="str">
        <f>T("k023310")</f>
        <v>k023310</v>
      </c>
      <c r="BG1199" t="str">
        <f>T("판타지 웹소설 &gt; 퓨전 판타지")</f>
        <v>판타지 웹소설 &gt; 퓨전 판타지</v>
      </c>
    </row>
    <row r="1200" spans="1:59">
      <c r="A1200" t="s">
        <v>60</v>
      </c>
      <c r="B1200" s="1">
        <v>46129</v>
      </c>
      <c r="C1200">
        <v>2378047879</v>
      </c>
      <c r="D1200">
        <v>2378049661</v>
      </c>
      <c r="E1200" t="str">
        <f>T("광명소야전 103화")</f>
        <v>광명소야전 103화</v>
      </c>
      <c r="F1200">
        <v>103</v>
      </c>
      <c r="G1200" t="str">
        <f>T("무언")</f>
        <v>무언</v>
      </c>
      <c r="J1200" t="str">
        <f>T("매드햇")</f>
        <v>매드햇</v>
      </c>
      <c r="K1200" t="str">
        <f>T("광명소야전")</f>
        <v>광명소야전</v>
      </c>
      <c r="L1200">
        <v>100</v>
      </c>
      <c r="M1200">
        <v>70</v>
      </c>
      <c r="N1200">
        <v>1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70</v>
      </c>
      <c r="AJ1200">
        <v>1</v>
      </c>
      <c r="AK1200">
        <v>0</v>
      </c>
      <c r="AL1200">
        <v>0</v>
      </c>
      <c r="AM1200">
        <v>70</v>
      </c>
      <c r="AN1200">
        <v>0</v>
      </c>
      <c r="AO1200">
        <v>0</v>
      </c>
      <c r="AP1200">
        <v>0</v>
      </c>
      <c r="AQ1200">
        <v>0</v>
      </c>
      <c r="AS1200">
        <v>0</v>
      </c>
      <c r="AT1200">
        <v>0</v>
      </c>
      <c r="AV1200">
        <v>0</v>
      </c>
      <c r="AW1200">
        <v>0</v>
      </c>
      <c r="AY1200">
        <v>0</v>
      </c>
      <c r="AZ1200">
        <v>0</v>
      </c>
      <c r="BA1200">
        <v>49</v>
      </c>
      <c r="BE1200" t="str">
        <f>T("9791137014725")</f>
        <v>9791137014725</v>
      </c>
      <c r="BF1200" t="str">
        <f>T("k023311")</f>
        <v>k023311</v>
      </c>
      <c r="BG1200" t="str">
        <f>T("판타지 웹소설 &gt; 퓨전 판타지")</f>
        <v>판타지 웹소설 &gt; 퓨전 판타지</v>
      </c>
    </row>
    <row r="1201" spans="1:59">
      <c r="A1201" t="s">
        <v>60</v>
      </c>
      <c r="B1201" s="1">
        <v>46129</v>
      </c>
      <c r="C1201">
        <v>2378047879</v>
      </c>
      <c r="D1201">
        <v>2378049662</v>
      </c>
      <c r="E1201" t="str">
        <f>T("광명소야전 104화")</f>
        <v>광명소야전 104화</v>
      </c>
      <c r="F1201">
        <v>104</v>
      </c>
      <c r="G1201" t="str">
        <f>T("무언")</f>
        <v>무언</v>
      </c>
      <c r="J1201" t="str">
        <f>T("매드햇")</f>
        <v>매드햇</v>
      </c>
      <c r="K1201" t="str">
        <f>T("광명소야전")</f>
        <v>광명소야전</v>
      </c>
      <c r="L1201">
        <v>100</v>
      </c>
      <c r="M1201">
        <v>70</v>
      </c>
      <c r="N1201">
        <v>1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70</v>
      </c>
      <c r="AJ1201">
        <v>1</v>
      </c>
      <c r="AK1201">
        <v>0</v>
      </c>
      <c r="AL1201">
        <v>0</v>
      </c>
      <c r="AM1201">
        <v>70</v>
      </c>
      <c r="AN1201">
        <v>0</v>
      </c>
      <c r="AO1201">
        <v>0</v>
      </c>
      <c r="AP1201">
        <v>0</v>
      </c>
      <c r="AQ1201">
        <v>0</v>
      </c>
      <c r="AS1201">
        <v>0</v>
      </c>
      <c r="AT1201">
        <v>0</v>
      </c>
      <c r="AV1201">
        <v>0</v>
      </c>
      <c r="AW1201">
        <v>0</v>
      </c>
      <c r="AY1201">
        <v>0</v>
      </c>
      <c r="AZ1201">
        <v>0</v>
      </c>
      <c r="BA1201">
        <v>49</v>
      </c>
      <c r="BE1201" t="str">
        <f>T("9791137014725")</f>
        <v>9791137014725</v>
      </c>
      <c r="BF1201" t="str">
        <f>T("k023312")</f>
        <v>k023312</v>
      </c>
      <c r="BG1201" t="str">
        <f>T("판타지 웹소설 &gt; 퓨전 판타지")</f>
        <v>판타지 웹소설 &gt; 퓨전 판타지</v>
      </c>
    </row>
    <row r="1202" spans="1:59">
      <c r="A1202" t="s">
        <v>60</v>
      </c>
      <c r="B1202" s="1">
        <v>46129</v>
      </c>
      <c r="C1202">
        <v>2378047879</v>
      </c>
      <c r="D1202">
        <v>2378049663</v>
      </c>
      <c r="E1202" t="str">
        <f>T("광명소야전 105화")</f>
        <v>광명소야전 105화</v>
      </c>
      <c r="F1202">
        <v>105</v>
      </c>
      <c r="G1202" t="str">
        <f>T("무언")</f>
        <v>무언</v>
      </c>
      <c r="J1202" t="str">
        <f>T("매드햇")</f>
        <v>매드햇</v>
      </c>
      <c r="K1202" t="str">
        <f>T("광명소야전")</f>
        <v>광명소야전</v>
      </c>
      <c r="L1202">
        <v>100</v>
      </c>
      <c r="M1202">
        <v>70</v>
      </c>
      <c r="N1202">
        <v>1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70</v>
      </c>
      <c r="AJ1202">
        <v>1</v>
      </c>
      <c r="AK1202">
        <v>0</v>
      </c>
      <c r="AL1202">
        <v>0</v>
      </c>
      <c r="AM1202">
        <v>70</v>
      </c>
      <c r="AN1202">
        <v>0</v>
      </c>
      <c r="AO1202">
        <v>0</v>
      </c>
      <c r="AP1202">
        <v>0</v>
      </c>
      <c r="AQ1202">
        <v>0</v>
      </c>
      <c r="AS1202">
        <v>0</v>
      </c>
      <c r="AT1202">
        <v>0</v>
      </c>
      <c r="AV1202">
        <v>0</v>
      </c>
      <c r="AW1202">
        <v>0</v>
      </c>
      <c r="AY1202">
        <v>0</v>
      </c>
      <c r="AZ1202">
        <v>0</v>
      </c>
      <c r="BA1202">
        <v>49</v>
      </c>
      <c r="BE1202" t="str">
        <f>T("9791137014725")</f>
        <v>9791137014725</v>
      </c>
      <c r="BF1202" t="str">
        <f>T("k023313")</f>
        <v>k023313</v>
      </c>
      <c r="BG1202" t="str">
        <f>T("판타지 웹소설 &gt; 퓨전 판타지")</f>
        <v>판타지 웹소설 &gt; 퓨전 판타지</v>
      </c>
    </row>
    <row r="1203" spans="1:59">
      <c r="A1203" t="s">
        <v>60</v>
      </c>
      <c r="B1203" s="1">
        <v>46129</v>
      </c>
      <c r="C1203">
        <v>2378047879</v>
      </c>
      <c r="D1203">
        <v>2378049664</v>
      </c>
      <c r="E1203" t="str">
        <f>T("광명소야전 106화")</f>
        <v>광명소야전 106화</v>
      </c>
      <c r="F1203">
        <v>106</v>
      </c>
      <c r="G1203" t="str">
        <f>T("무언")</f>
        <v>무언</v>
      </c>
      <c r="J1203" t="str">
        <f>T("매드햇")</f>
        <v>매드햇</v>
      </c>
      <c r="K1203" t="str">
        <f>T("광명소야전")</f>
        <v>광명소야전</v>
      </c>
      <c r="L1203">
        <v>100</v>
      </c>
      <c r="M1203">
        <v>70</v>
      </c>
      <c r="N1203">
        <v>1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70</v>
      </c>
      <c r="AJ1203">
        <v>1</v>
      </c>
      <c r="AK1203">
        <v>0</v>
      </c>
      <c r="AL1203">
        <v>0</v>
      </c>
      <c r="AM1203">
        <v>70</v>
      </c>
      <c r="AN1203">
        <v>0</v>
      </c>
      <c r="AO1203">
        <v>0</v>
      </c>
      <c r="AP1203">
        <v>0</v>
      </c>
      <c r="AQ1203">
        <v>0</v>
      </c>
      <c r="AS1203">
        <v>0</v>
      </c>
      <c r="AT1203">
        <v>0</v>
      </c>
      <c r="AV1203">
        <v>0</v>
      </c>
      <c r="AW1203">
        <v>0</v>
      </c>
      <c r="AY1203">
        <v>0</v>
      </c>
      <c r="AZ1203">
        <v>0</v>
      </c>
      <c r="BA1203">
        <v>49</v>
      </c>
      <c r="BE1203" t="str">
        <f>T("9791137014725")</f>
        <v>9791137014725</v>
      </c>
      <c r="BF1203" t="str">
        <f>T("k023314")</f>
        <v>k023314</v>
      </c>
      <c r="BG1203" t="str">
        <f>T("판타지 웹소설 &gt; 퓨전 판타지")</f>
        <v>판타지 웹소설 &gt; 퓨전 판타지</v>
      </c>
    </row>
    <row r="1204" spans="1:59">
      <c r="A1204" t="s">
        <v>60</v>
      </c>
      <c r="B1204" s="1">
        <v>46129</v>
      </c>
      <c r="C1204">
        <v>2378047879</v>
      </c>
      <c r="D1204">
        <v>2378049665</v>
      </c>
      <c r="E1204" t="str">
        <f>T("광명소야전 107화")</f>
        <v>광명소야전 107화</v>
      </c>
      <c r="F1204">
        <v>107</v>
      </c>
      <c r="G1204" t="str">
        <f>T("무언")</f>
        <v>무언</v>
      </c>
      <c r="J1204" t="str">
        <f>T("매드햇")</f>
        <v>매드햇</v>
      </c>
      <c r="K1204" t="str">
        <f>T("광명소야전")</f>
        <v>광명소야전</v>
      </c>
      <c r="L1204">
        <v>100</v>
      </c>
      <c r="M1204">
        <v>70</v>
      </c>
      <c r="N1204">
        <v>1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70</v>
      </c>
      <c r="AJ1204">
        <v>1</v>
      </c>
      <c r="AK1204">
        <v>0</v>
      </c>
      <c r="AL1204">
        <v>0</v>
      </c>
      <c r="AM1204">
        <v>70</v>
      </c>
      <c r="AN1204">
        <v>0</v>
      </c>
      <c r="AO1204">
        <v>0</v>
      </c>
      <c r="AP1204">
        <v>0</v>
      </c>
      <c r="AQ1204">
        <v>0</v>
      </c>
      <c r="AS1204">
        <v>0</v>
      </c>
      <c r="AT1204">
        <v>0</v>
      </c>
      <c r="AV1204">
        <v>0</v>
      </c>
      <c r="AW1204">
        <v>0</v>
      </c>
      <c r="AY1204">
        <v>0</v>
      </c>
      <c r="AZ1204">
        <v>0</v>
      </c>
      <c r="BA1204">
        <v>49</v>
      </c>
      <c r="BE1204" t="str">
        <f>T("9791137014725")</f>
        <v>9791137014725</v>
      </c>
      <c r="BF1204" t="str">
        <f>T("k023315")</f>
        <v>k023315</v>
      </c>
      <c r="BG1204" t="str">
        <f>T("판타지 웹소설 &gt; 퓨전 판타지")</f>
        <v>판타지 웹소설 &gt; 퓨전 판타지</v>
      </c>
    </row>
    <row r="1205" spans="1:59">
      <c r="A1205" t="s">
        <v>60</v>
      </c>
      <c r="B1205" s="1">
        <v>46129</v>
      </c>
      <c r="C1205">
        <v>2378047879</v>
      </c>
      <c r="D1205">
        <v>2378049666</v>
      </c>
      <c r="E1205" t="str">
        <f>T("광명소야전 108화")</f>
        <v>광명소야전 108화</v>
      </c>
      <c r="F1205">
        <v>108</v>
      </c>
      <c r="G1205" t="str">
        <f>T("무언")</f>
        <v>무언</v>
      </c>
      <c r="J1205" t="str">
        <f>T("매드햇")</f>
        <v>매드햇</v>
      </c>
      <c r="K1205" t="str">
        <f>T("광명소야전")</f>
        <v>광명소야전</v>
      </c>
      <c r="L1205">
        <v>100</v>
      </c>
      <c r="M1205">
        <v>70</v>
      </c>
      <c r="N1205">
        <v>1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70</v>
      </c>
      <c r="AJ1205">
        <v>1</v>
      </c>
      <c r="AK1205">
        <v>0</v>
      </c>
      <c r="AL1205">
        <v>0</v>
      </c>
      <c r="AM1205">
        <v>70</v>
      </c>
      <c r="AN1205">
        <v>0</v>
      </c>
      <c r="AO1205">
        <v>0</v>
      </c>
      <c r="AP1205">
        <v>0</v>
      </c>
      <c r="AQ1205">
        <v>0</v>
      </c>
      <c r="AS1205">
        <v>0</v>
      </c>
      <c r="AT1205">
        <v>0</v>
      </c>
      <c r="AV1205">
        <v>0</v>
      </c>
      <c r="AW1205">
        <v>0</v>
      </c>
      <c r="AY1205">
        <v>0</v>
      </c>
      <c r="AZ1205">
        <v>0</v>
      </c>
      <c r="BA1205">
        <v>49</v>
      </c>
      <c r="BE1205" t="str">
        <f>T("9791137014725")</f>
        <v>9791137014725</v>
      </c>
      <c r="BF1205" t="str">
        <f>T("k023316")</f>
        <v>k023316</v>
      </c>
      <c r="BG1205" t="str">
        <f>T("판타지 웹소설 &gt; 퓨전 판타지")</f>
        <v>판타지 웹소설 &gt; 퓨전 판타지</v>
      </c>
    </row>
    <row r="1206" spans="1:59">
      <c r="A1206" t="s">
        <v>60</v>
      </c>
      <c r="B1206" s="1">
        <v>46131</v>
      </c>
      <c r="C1206">
        <v>2378047879</v>
      </c>
      <c r="D1206">
        <v>2378047937</v>
      </c>
      <c r="E1206" t="str">
        <f>T("광명소야전 59화")</f>
        <v>광명소야전 59화</v>
      </c>
      <c r="F1206">
        <v>59</v>
      </c>
      <c r="G1206" t="str">
        <f>T("무언")</f>
        <v>무언</v>
      </c>
      <c r="J1206" t="str">
        <f>T("매드햇")</f>
        <v>매드햇</v>
      </c>
      <c r="K1206" t="str">
        <f>T("광명소야전")</f>
        <v>광명소야전</v>
      </c>
      <c r="L1206">
        <v>100</v>
      </c>
      <c r="M1206">
        <v>100</v>
      </c>
      <c r="N1206">
        <v>1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100</v>
      </c>
      <c r="AJ1206">
        <v>1</v>
      </c>
      <c r="AK1206">
        <v>0</v>
      </c>
      <c r="AL1206">
        <v>0</v>
      </c>
      <c r="AM1206">
        <v>100</v>
      </c>
      <c r="AN1206">
        <v>0</v>
      </c>
      <c r="AO1206">
        <v>0</v>
      </c>
      <c r="AP1206">
        <v>0</v>
      </c>
      <c r="AQ1206">
        <v>0</v>
      </c>
      <c r="AS1206">
        <v>0</v>
      </c>
      <c r="AT1206">
        <v>0</v>
      </c>
      <c r="AV1206">
        <v>0</v>
      </c>
      <c r="AW1206">
        <v>0</v>
      </c>
      <c r="AY1206">
        <v>0</v>
      </c>
      <c r="AZ1206">
        <v>0</v>
      </c>
      <c r="BA1206">
        <v>70</v>
      </c>
      <c r="BE1206" t="str">
        <f>T("9791137014725")</f>
        <v>9791137014725</v>
      </c>
      <c r="BF1206" t="str">
        <f>T("k023267")</f>
        <v>k023267</v>
      </c>
      <c r="BG1206" t="str">
        <f>T("판타지 웹소설 &gt; 퓨전 판타지")</f>
        <v>판타지 웹소설 &gt; 퓨전 판타지</v>
      </c>
    </row>
    <row r="1207" spans="1:59">
      <c r="A1207" t="s">
        <v>60</v>
      </c>
      <c r="B1207" s="1">
        <v>46131</v>
      </c>
      <c r="C1207">
        <v>2378042485</v>
      </c>
      <c r="D1207">
        <v>2378042486</v>
      </c>
      <c r="E1207" t="str">
        <f>T("구원의 불꽃은 꺼지지 않는다 2화")</f>
        <v>구원의 불꽃은 꺼지지 않는다 2화</v>
      </c>
      <c r="F1207">
        <v>2</v>
      </c>
      <c r="G1207" t="str">
        <f>T("밤빛")</f>
        <v>밤빛</v>
      </c>
      <c r="J1207" t="str">
        <f>T("시계토끼")</f>
        <v>시계토끼</v>
      </c>
      <c r="K1207" t="str">
        <f>T("구원의 불꽃은 꺼지지 않는다")</f>
        <v>구원의 불꽃은 꺼지지 않는다</v>
      </c>
      <c r="L1207">
        <v>0</v>
      </c>
      <c r="M1207">
        <v>0</v>
      </c>
      <c r="N1207">
        <v>0</v>
      </c>
      <c r="O1207">
        <v>1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1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S1207">
        <v>0</v>
      </c>
      <c r="AT1207">
        <v>0</v>
      </c>
      <c r="AV1207">
        <v>0</v>
      </c>
      <c r="AW1207">
        <v>0</v>
      </c>
      <c r="AY1207">
        <v>0</v>
      </c>
      <c r="AZ1207">
        <v>0</v>
      </c>
      <c r="BA1207">
        <v>0</v>
      </c>
      <c r="BE1207" t="str">
        <f>T("9791164097654")</f>
        <v>9791164097654</v>
      </c>
      <c r="BF1207" t="str">
        <f>T("N195974")</f>
        <v>N195974</v>
      </c>
      <c r="BG1207" t="str">
        <f>T("로판 웹소설 &gt; 서양풍 로판")</f>
        <v>로판 웹소설 &gt; 서양풍 로판</v>
      </c>
    </row>
    <row r="1208" spans="1:59">
      <c r="A1208" t="s">
        <v>60</v>
      </c>
      <c r="B1208" s="1">
        <v>46131</v>
      </c>
      <c r="C1208">
        <v>2378042485</v>
      </c>
      <c r="D1208">
        <v>2378042487</v>
      </c>
      <c r="E1208" t="str">
        <f>T("구원의 불꽃은 꺼지지 않는다 3화")</f>
        <v>구원의 불꽃은 꺼지지 않는다 3화</v>
      </c>
      <c r="F1208">
        <v>3</v>
      </c>
      <c r="G1208" t="str">
        <f>T("밤빛")</f>
        <v>밤빛</v>
      </c>
      <c r="J1208" t="str">
        <f>T("시계토끼")</f>
        <v>시계토끼</v>
      </c>
      <c r="K1208" t="str">
        <f>T("구원의 불꽃은 꺼지지 않는다")</f>
        <v>구원의 불꽃은 꺼지지 않는다</v>
      </c>
      <c r="L1208">
        <v>0</v>
      </c>
      <c r="M1208">
        <v>0</v>
      </c>
      <c r="N1208">
        <v>0</v>
      </c>
      <c r="O1208">
        <v>1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1</v>
      </c>
      <c r="AK1208">
        <v>0</v>
      </c>
      <c r="AL1208">
        <v>0</v>
      </c>
      <c r="AM1208">
        <v>0</v>
      </c>
      <c r="AN1208">
        <v>0</v>
      </c>
      <c r="AO1208">
        <v>0</v>
      </c>
      <c r="AP1208">
        <v>0</v>
      </c>
      <c r="AQ1208">
        <v>0</v>
      </c>
      <c r="AS1208">
        <v>0</v>
      </c>
      <c r="AT1208">
        <v>0</v>
      </c>
      <c r="AV1208">
        <v>0</v>
      </c>
      <c r="AW1208">
        <v>0</v>
      </c>
      <c r="AY1208">
        <v>0</v>
      </c>
      <c r="AZ1208">
        <v>0</v>
      </c>
      <c r="BA1208">
        <v>0</v>
      </c>
      <c r="BE1208" t="str">
        <f>T("9791164097654")</f>
        <v>9791164097654</v>
      </c>
      <c r="BF1208" t="str">
        <f>T("N195975")</f>
        <v>N195975</v>
      </c>
      <c r="BG1208" t="str">
        <f>T("로판 웹소설 &gt; 서양풍 로판")</f>
        <v>로판 웹소설 &gt; 서양풍 로판</v>
      </c>
    </row>
    <row r="1209" spans="1:59">
      <c r="A1209" t="s">
        <v>60</v>
      </c>
      <c r="B1209" s="1">
        <v>46129</v>
      </c>
      <c r="C1209">
        <v>2378036275</v>
      </c>
      <c r="D1209">
        <v>2378036276</v>
      </c>
      <c r="E1209" t="str">
        <f>T("구원자가 도망친 밤 2화")</f>
        <v>구원자가 도망친 밤 2화</v>
      </c>
      <c r="F1209">
        <v>2</v>
      </c>
      <c r="G1209" t="str">
        <f>T("얼든트")</f>
        <v>얼든트</v>
      </c>
      <c r="J1209" t="str">
        <f>T("시계토끼")</f>
        <v>시계토끼</v>
      </c>
      <c r="K1209" t="str">
        <f>T("구원자가 도망친 밤")</f>
        <v>구원자가 도망친 밤</v>
      </c>
      <c r="L1209">
        <v>0</v>
      </c>
      <c r="M1209">
        <v>0</v>
      </c>
      <c r="N1209">
        <v>0</v>
      </c>
      <c r="O1209">
        <v>1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1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S1209">
        <v>0</v>
      </c>
      <c r="AT1209">
        <v>0</v>
      </c>
      <c r="AV1209">
        <v>0</v>
      </c>
      <c r="AW1209">
        <v>0</v>
      </c>
      <c r="AY1209">
        <v>0</v>
      </c>
      <c r="AZ1209">
        <v>0</v>
      </c>
      <c r="BA1209">
        <v>0</v>
      </c>
      <c r="BE1209" t="str">
        <f>T("9791164097173")</f>
        <v>9791164097173</v>
      </c>
      <c r="BF1209" t="str">
        <f>T("N105528")</f>
        <v>N105528</v>
      </c>
      <c r="BG1209" t="str">
        <f>T("로판 웹소설 &gt; 서양풍 로판")</f>
        <v>로판 웹소설 &gt; 서양풍 로판</v>
      </c>
    </row>
    <row r="1210" spans="1:59">
      <c r="A1210" t="s">
        <v>60</v>
      </c>
      <c r="B1210" s="1">
        <v>46129</v>
      </c>
      <c r="C1210">
        <v>2378036275</v>
      </c>
      <c r="D1210">
        <v>2378036277</v>
      </c>
      <c r="E1210" t="str">
        <f>T("구원자가 도망친 밤 3화")</f>
        <v>구원자가 도망친 밤 3화</v>
      </c>
      <c r="F1210">
        <v>3</v>
      </c>
      <c r="G1210" t="str">
        <f>T("얼든트")</f>
        <v>얼든트</v>
      </c>
      <c r="J1210" t="str">
        <f>T("시계토끼")</f>
        <v>시계토끼</v>
      </c>
      <c r="K1210" t="str">
        <f>T("구원자가 도망친 밤")</f>
        <v>구원자가 도망친 밤</v>
      </c>
      <c r="L1210">
        <v>0</v>
      </c>
      <c r="M1210">
        <v>0</v>
      </c>
      <c r="N1210">
        <v>0</v>
      </c>
      <c r="O1210">
        <v>1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0</v>
      </c>
      <c r="AJ1210">
        <v>1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0</v>
      </c>
      <c r="AS1210">
        <v>0</v>
      </c>
      <c r="AT1210">
        <v>0</v>
      </c>
      <c r="AV1210">
        <v>0</v>
      </c>
      <c r="AW1210">
        <v>0</v>
      </c>
      <c r="AY1210">
        <v>0</v>
      </c>
      <c r="AZ1210">
        <v>0</v>
      </c>
      <c r="BA1210">
        <v>0</v>
      </c>
      <c r="BE1210" t="str">
        <f>T("9791164097173")</f>
        <v>9791164097173</v>
      </c>
      <c r="BF1210" t="str">
        <f>T("N105529")</f>
        <v>N105529</v>
      </c>
      <c r="BG1210" t="str">
        <f>T("로판 웹소설 &gt; 서양풍 로판")</f>
        <v>로판 웹소설 &gt; 서양풍 로판</v>
      </c>
    </row>
    <row r="1211" spans="1:59">
      <c r="A1211" t="s">
        <v>60</v>
      </c>
      <c r="B1211" s="1">
        <v>46129</v>
      </c>
      <c r="C1211">
        <v>2378036275</v>
      </c>
      <c r="D1211">
        <v>2378036279</v>
      </c>
      <c r="E1211" t="str">
        <f>T("구원자가 도망친 밤 5화")</f>
        <v>구원자가 도망친 밤 5화</v>
      </c>
      <c r="F1211">
        <v>5</v>
      </c>
      <c r="G1211" t="str">
        <f>T("얼든트")</f>
        <v>얼든트</v>
      </c>
      <c r="J1211" t="str">
        <f>T("시계토끼")</f>
        <v>시계토끼</v>
      </c>
      <c r="K1211" t="str">
        <f>T("구원자가 도망친 밤")</f>
        <v>구원자가 도망친 밤</v>
      </c>
      <c r="L1211">
        <v>100</v>
      </c>
      <c r="M1211">
        <v>100</v>
      </c>
      <c r="N1211">
        <v>1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100</v>
      </c>
      <c r="AJ1211">
        <v>1</v>
      </c>
      <c r="AK1211">
        <v>0</v>
      </c>
      <c r="AL1211">
        <v>0</v>
      </c>
      <c r="AM1211">
        <v>100</v>
      </c>
      <c r="AN1211">
        <v>0</v>
      </c>
      <c r="AO1211">
        <v>0</v>
      </c>
      <c r="AP1211">
        <v>0</v>
      </c>
      <c r="AQ1211">
        <v>0</v>
      </c>
      <c r="AS1211">
        <v>0</v>
      </c>
      <c r="AT1211">
        <v>0</v>
      </c>
      <c r="AV1211">
        <v>0</v>
      </c>
      <c r="AW1211">
        <v>0</v>
      </c>
      <c r="AY1211">
        <v>0</v>
      </c>
      <c r="AZ1211">
        <v>0</v>
      </c>
      <c r="BA1211">
        <v>70</v>
      </c>
      <c r="BE1211" t="str">
        <f>T("9791164097173")</f>
        <v>9791164097173</v>
      </c>
      <c r="BF1211" t="str">
        <f>T("N105531")</f>
        <v>N105531</v>
      </c>
      <c r="BG1211" t="str">
        <f>T("로판 웹소설 &gt; 서양풍 로판")</f>
        <v>로판 웹소설 &gt; 서양풍 로판</v>
      </c>
    </row>
    <row r="1212" spans="1:59">
      <c r="A1212" t="s">
        <v>60</v>
      </c>
      <c r="B1212" s="1">
        <v>46129</v>
      </c>
      <c r="C1212">
        <v>2378036275</v>
      </c>
      <c r="D1212">
        <v>2378036280</v>
      </c>
      <c r="E1212" t="str">
        <f>T("구원자가 도망친 밤 6화")</f>
        <v>구원자가 도망친 밤 6화</v>
      </c>
      <c r="F1212">
        <v>6</v>
      </c>
      <c r="G1212" t="str">
        <f>T("얼든트")</f>
        <v>얼든트</v>
      </c>
      <c r="J1212" t="str">
        <f>T("시계토끼")</f>
        <v>시계토끼</v>
      </c>
      <c r="K1212" t="str">
        <f>T("구원자가 도망친 밤")</f>
        <v>구원자가 도망친 밤</v>
      </c>
      <c r="L1212">
        <v>100</v>
      </c>
      <c r="M1212">
        <v>100</v>
      </c>
      <c r="N1212">
        <v>1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100</v>
      </c>
      <c r="AJ1212">
        <v>1</v>
      </c>
      <c r="AK1212">
        <v>0</v>
      </c>
      <c r="AL1212">
        <v>0</v>
      </c>
      <c r="AM1212">
        <v>100</v>
      </c>
      <c r="AN1212">
        <v>0</v>
      </c>
      <c r="AO1212">
        <v>0</v>
      </c>
      <c r="AP1212">
        <v>0</v>
      </c>
      <c r="AQ1212">
        <v>0</v>
      </c>
      <c r="AS1212">
        <v>0</v>
      </c>
      <c r="AT1212">
        <v>0</v>
      </c>
      <c r="AV1212">
        <v>0</v>
      </c>
      <c r="AW1212">
        <v>0</v>
      </c>
      <c r="AY1212">
        <v>0</v>
      </c>
      <c r="AZ1212">
        <v>0</v>
      </c>
      <c r="BA1212">
        <v>70</v>
      </c>
      <c r="BE1212" t="str">
        <f>T("9791164097173")</f>
        <v>9791164097173</v>
      </c>
      <c r="BF1212" t="str">
        <f>T("N105532")</f>
        <v>N105532</v>
      </c>
      <c r="BG1212" t="str">
        <f>T("로판 웹소설 &gt; 서양풍 로판")</f>
        <v>로판 웹소설 &gt; 서양풍 로판</v>
      </c>
    </row>
    <row r="1213" spans="1:59">
      <c r="A1213" t="s">
        <v>60</v>
      </c>
      <c r="B1213" s="1">
        <v>46129</v>
      </c>
      <c r="C1213">
        <v>2378036275</v>
      </c>
      <c r="D1213">
        <v>2378036281</v>
      </c>
      <c r="E1213" t="str">
        <f>T("구원자가 도망친 밤 7화")</f>
        <v>구원자가 도망친 밤 7화</v>
      </c>
      <c r="F1213">
        <v>7</v>
      </c>
      <c r="G1213" t="str">
        <f>T("얼든트")</f>
        <v>얼든트</v>
      </c>
      <c r="J1213" t="str">
        <f>T("시계토끼")</f>
        <v>시계토끼</v>
      </c>
      <c r="K1213" t="str">
        <f>T("구원자가 도망친 밤")</f>
        <v>구원자가 도망친 밤</v>
      </c>
      <c r="L1213">
        <v>100</v>
      </c>
      <c r="M1213">
        <v>100</v>
      </c>
      <c r="N1213">
        <v>1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100</v>
      </c>
      <c r="AJ1213">
        <v>1</v>
      </c>
      <c r="AK1213">
        <v>0</v>
      </c>
      <c r="AL1213">
        <v>0</v>
      </c>
      <c r="AM1213">
        <v>100</v>
      </c>
      <c r="AN1213">
        <v>0</v>
      </c>
      <c r="AO1213">
        <v>0</v>
      </c>
      <c r="AP1213">
        <v>0</v>
      </c>
      <c r="AQ1213">
        <v>0</v>
      </c>
      <c r="AS1213">
        <v>0</v>
      </c>
      <c r="AT1213">
        <v>0</v>
      </c>
      <c r="AV1213">
        <v>0</v>
      </c>
      <c r="AW1213">
        <v>0</v>
      </c>
      <c r="AY1213">
        <v>0</v>
      </c>
      <c r="AZ1213">
        <v>0</v>
      </c>
      <c r="BA1213">
        <v>70</v>
      </c>
      <c r="BE1213" t="str">
        <f>T("9791164097173")</f>
        <v>9791164097173</v>
      </c>
      <c r="BF1213" t="str">
        <f>T("N105533")</f>
        <v>N105533</v>
      </c>
      <c r="BG1213" t="str">
        <f>T("로판 웹소설 &gt; 서양풍 로판")</f>
        <v>로판 웹소설 &gt; 서양풍 로판</v>
      </c>
    </row>
    <row r="1214" spans="1:59">
      <c r="A1214" t="s">
        <v>60</v>
      </c>
      <c r="B1214" s="1">
        <v>46129</v>
      </c>
      <c r="C1214">
        <v>2378036275</v>
      </c>
      <c r="D1214">
        <v>2378036282</v>
      </c>
      <c r="E1214" t="str">
        <f>T("구원자가 도망친 밤 8화")</f>
        <v>구원자가 도망친 밤 8화</v>
      </c>
      <c r="F1214">
        <v>8</v>
      </c>
      <c r="G1214" t="str">
        <f>T("얼든트")</f>
        <v>얼든트</v>
      </c>
      <c r="J1214" t="str">
        <f>T("시계토끼")</f>
        <v>시계토끼</v>
      </c>
      <c r="K1214" t="str">
        <f>T("구원자가 도망친 밤")</f>
        <v>구원자가 도망친 밤</v>
      </c>
      <c r="L1214">
        <v>100</v>
      </c>
      <c r="M1214">
        <v>100</v>
      </c>
      <c r="N1214">
        <v>1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100</v>
      </c>
      <c r="AJ1214">
        <v>1</v>
      </c>
      <c r="AK1214">
        <v>0</v>
      </c>
      <c r="AL1214">
        <v>0</v>
      </c>
      <c r="AM1214">
        <v>100</v>
      </c>
      <c r="AN1214">
        <v>0</v>
      </c>
      <c r="AO1214">
        <v>0</v>
      </c>
      <c r="AP1214">
        <v>0</v>
      </c>
      <c r="AQ1214">
        <v>0</v>
      </c>
      <c r="AS1214">
        <v>0</v>
      </c>
      <c r="AT1214">
        <v>0</v>
      </c>
      <c r="AV1214">
        <v>0</v>
      </c>
      <c r="AW1214">
        <v>0</v>
      </c>
      <c r="AY1214">
        <v>0</v>
      </c>
      <c r="AZ1214">
        <v>0</v>
      </c>
      <c r="BA1214">
        <v>70</v>
      </c>
      <c r="BE1214" t="str">
        <f>T("9791164097173")</f>
        <v>9791164097173</v>
      </c>
      <c r="BF1214" t="str">
        <f>T("N105534")</f>
        <v>N105534</v>
      </c>
      <c r="BG1214" t="str">
        <f>T("로판 웹소설 &gt; 서양풍 로판")</f>
        <v>로판 웹소설 &gt; 서양풍 로판</v>
      </c>
    </row>
    <row r="1215" spans="1:59">
      <c r="A1215" t="s">
        <v>60</v>
      </c>
      <c r="B1215" s="1">
        <v>46129</v>
      </c>
      <c r="C1215">
        <v>2378036275</v>
      </c>
      <c r="D1215">
        <v>2378036283</v>
      </c>
      <c r="E1215" t="str">
        <f>T("구원자가 도망친 밤 9화")</f>
        <v>구원자가 도망친 밤 9화</v>
      </c>
      <c r="F1215">
        <v>9</v>
      </c>
      <c r="G1215" t="str">
        <f>T("얼든트")</f>
        <v>얼든트</v>
      </c>
      <c r="J1215" t="str">
        <f>T("시계토끼")</f>
        <v>시계토끼</v>
      </c>
      <c r="K1215" t="str">
        <f>T("구원자가 도망친 밤")</f>
        <v>구원자가 도망친 밤</v>
      </c>
      <c r="L1215">
        <v>100</v>
      </c>
      <c r="M1215">
        <v>100</v>
      </c>
      <c r="N1215">
        <v>1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100</v>
      </c>
      <c r="AJ1215">
        <v>1</v>
      </c>
      <c r="AK1215">
        <v>0</v>
      </c>
      <c r="AL1215">
        <v>0</v>
      </c>
      <c r="AM1215">
        <v>100</v>
      </c>
      <c r="AN1215">
        <v>0</v>
      </c>
      <c r="AO1215">
        <v>0</v>
      </c>
      <c r="AP1215">
        <v>0</v>
      </c>
      <c r="AQ1215">
        <v>0</v>
      </c>
      <c r="AS1215">
        <v>0</v>
      </c>
      <c r="AT1215">
        <v>0</v>
      </c>
      <c r="AV1215">
        <v>0</v>
      </c>
      <c r="AW1215">
        <v>0</v>
      </c>
      <c r="AY1215">
        <v>0</v>
      </c>
      <c r="AZ1215">
        <v>0</v>
      </c>
      <c r="BA1215">
        <v>70</v>
      </c>
      <c r="BE1215" t="str">
        <f>T("9791164097173")</f>
        <v>9791164097173</v>
      </c>
      <c r="BF1215" t="str">
        <f>T("N105535")</f>
        <v>N105535</v>
      </c>
      <c r="BG1215" t="str">
        <f>T("로판 웹소설 &gt; 서양풍 로판")</f>
        <v>로판 웹소설 &gt; 서양풍 로판</v>
      </c>
    </row>
    <row r="1216" spans="1:59">
      <c r="A1216" t="s">
        <v>60</v>
      </c>
      <c r="B1216" s="1">
        <v>46129</v>
      </c>
      <c r="C1216">
        <v>2378036275</v>
      </c>
      <c r="D1216">
        <v>2378036284</v>
      </c>
      <c r="E1216" t="str">
        <f>T("구원자가 도망친 밤 10화")</f>
        <v>구원자가 도망친 밤 10화</v>
      </c>
      <c r="F1216">
        <v>10</v>
      </c>
      <c r="G1216" t="str">
        <f>T("얼든트")</f>
        <v>얼든트</v>
      </c>
      <c r="J1216" t="str">
        <f>T("시계토끼")</f>
        <v>시계토끼</v>
      </c>
      <c r="K1216" t="str">
        <f>T("구원자가 도망친 밤")</f>
        <v>구원자가 도망친 밤</v>
      </c>
      <c r="L1216">
        <v>100</v>
      </c>
      <c r="M1216">
        <v>100</v>
      </c>
      <c r="N1216">
        <v>1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100</v>
      </c>
      <c r="AJ1216">
        <v>1</v>
      </c>
      <c r="AK1216">
        <v>0</v>
      </c>
      <c r="AL1216">
        <v>0</v>
      </c>
      <c r="AM1216">
        <v>100</v>
      </c>
      <c r="AN1216">
        <v>0</v>
      </c>
      <c r="AO1216">
        <v>0</v>
      </c>
      <c r="AP1216">
        <v>0</v>
      </c>
      <c r="AQ1216">
        <v>0</v>
      </c>
      <c r="AS1216">
        <v>0</v>
      </c>
      <c r="AT1216">
        <v>0</v>
      </c>
      <c r="AV1216">
        <v>0</v>
      </c>
      <c r="AW1216">
        <v>0</v>
      </c>
      <c r="AY1216">
        <v>0</v>
      </c>
      <c r="AZ1216">
        <v>0</v>
      </c>
      <c r="BA1216">
        <v>70</v>
      </c>
      <c r="BE1216" t="str">
        <f>T("9791164097173")</f>
        <v>9791164097173</v>
      </c>
      <c r="BF1216" t="str">
        <f>T("N105536")</f>
        <v>N105536</v>
      </c>
      <c r="BG1216" t="str">
        <f>T("로판 웹소설 &gt; 서양풍 로판")</f>
        <v>로판 웹소설 &gt; 서양풍 로판</v>
      </c>
    </row>
    <row r="1217" spans="1:59">
      <c r="A1217" t="s">
        <v>60</v>
      </c>
      <c r="B1217" s="1">
        <v>46129</v>
      </c>
      <c r="C1217">
        <v>2378036275</v>
      </c>
      <c r="D1217">
        <v>2378036285</v>
      </c>
      <c r="E1217" t="str">
        <f>T("구원자가 도망친 밤 11화")</f>
        <v>구원자가 도망친 밤 11화</v>
      </c>
      <c r="F1217">
        <v>11</v>
      </c>
      <c r="G1217" t="str">
        <f>T("얼든트")</f>
        <v>얼든트</v>
      </c>
      <c r="J1217" t="str">
        <f>T("시계토끼")</f>
        <v>시계토끼</v>
      </c>
      <c r="K1217" t="str">
        <f>T("구원자가 도망친 밤")</f>
        <v>구원자가 도망친 밤</v>
      </c>
      <c r="L1217">
        <v>100</v>
      </c>
      <c r="M1217">
        <v>100</v>
      </c>
      <c r="N1217">
        <v>1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100</v>
      </c>
      <c r="AJ1217">
        <v>1</v>
      </c>
      <c r="AK1217">
        <v>0</v>
      </c>
      <c r="AL1217">
        <v>0</v>
      </c>
      <c r="AM1217">
        <v>100</v>
      </c>
      <c r="AN1217">
        <v>0</v>
      </c>
      <c r="AO1217">
        <v>0</v>
      </c>
      <c r="AP1217">
        <v>0</v>
      </c>
      <c r="AQ1217">
        <v>0</v>
      </c>
      <c r="AS1217">
        <v>0</v>
      </c>
      <c r="AT1217">
        <v>0</v>
      </c>
      <c r="AV1217">
        <v>0</v>
      </c>
      <c r="AW1217">
        <v>0</v>
      </c>
      <c r="AY1217">
        <v>0</v>
      </c>
      <c r="AZ1217">
        <v>0</v>
      </c>
      <c r="BA1217">
        <v>70</v>
      </c>
      <c r="BE1217" t="str">
        <f>T("9791164097173")</f>
        <v>9791164097173</v>
      </c>
      <c r="BF1217" t="str">
        <f>T("N105537")</f>
        <v>N105537</v>
      </c>
      <c r="BG1217" t="str">
        <f>T("로판 웹소설 &gt; 서양풍 로판")</f>
        <v>로판 웹소설 &gt; 서양풍 로판</v>
      </c>
    </row>
    <row r="1218" spans="1:59">
      <c r="A1218" t="s">
        <v>60</v>
      </c>
      <c r="B1218" s="1">
        <v>46129</v>
      </c>
      <c r="C1218">
        <v>2378036275</v>
      </c>
      <c r="D1218">
        <v>2378036286</v>
      </c>
      <c r="E1218" t="str">
        <f>T("구원자가 도망친 밤 12화")</f>
        <v>구원자가 도망친 밤 12화</v>
      </c>
      <c r="F1218">
        <v>12</v>
      </c>
      <c r="G1218" t="str">
        <f>T("얼든트")</f>
        <v>얼든트</v>
      </c>
      <c r="J1218" t="str">
        <f>T("시계토끼")</f>
        <v>시계토끼</v>
      </c>
      <c r="K1218" t="str">
        <f>T("구원자가 도망친 밤")</f>
        <v>구원자가 도망친 밤</v>
      </c>
      <c r="L1218">
        <v>100</v>
      </c>
      <c r="M1218">
        <v>100</v>
      </c>
      <c r="N1218">
        <v>1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100</v>
      </c>
      <c r="AJ1218">
        <v>1</v>
      </c>
      <c r="AK1218">
        <v>0</v>
      </c>
      <c r="AL1218">
        <v>0</v>
      </c>
      <c r="AM1218">
        <v>100</v>
      </c>
      <c r="AN1218">
        <v>0</v>
      </c>
      <c r="AO1218">
        <v>0</v>
      </c>
      <c r="AP1218">
        <v>0</v>
      </c>
      <c r="AQ1218">
        <v>0</v>
      </c>
      <c r="AS1218">
        <v>0</v>
      </c>
      <c r="AT1218">
        <v>0</v>
      </c>
      <c r="AV1218">
        <v>0</v>
      </c>
      <c r="AW1218">
        <v>0</v>
      </c>
      <c r="AY1218">
        <v>0</v>
      </c>
      <c r="AZ1218">
        <v>0</v>
      </c>
      <c r="BA1218">
        <v>70</v>
      </c>
      <c r="BE1218" t="str">
        <f>T("9791164097173")</f>
        <v>9791164097173</v>
      </c>
      <c r="BF1218" t="str">
        <f>T("N105538")</f>
        <v>N105538</v>
      </c>
      <c r="BG1218" t="str">
        <f>T("로판 웹소설 &gt; 서양풍 로판")</f>
        <v>로판 웹소설 &gt; 서양풍 로판</v>
      </c>
    </row>
    <row r="1219" spans="1:59">
      <c r="A1219" t="s">
        <v>60</v>
      </c>
      <c r="B1219" s="1">
        <v>46129</v>
      </c>
      <c r="C1219">
        <v>2378036275</v>
      </c>
      <c r="D1219">
        <v>2378036287</v>
      </c>
      <c r="E1219" t="str">
        <f>T("구원자가 도망친 밤 13화")</f>
        <v>구원자가 도망친 밤 13화</v>
      </c>
      <c r="F1219">
        <v>13</v>
      </c>
      <c r="G1219" t="str">
        <f>T("얼든트")</f>
        <v>얼든트</v>
      </c>
      <c r="J1219" t="str">
        <f>T("시계토끼")</f>
        <v>시계토끼</v>
      </c>
      <c r="K1219" t="str">
        <f>T("구원자가 도망친 밤")</f>
        <v>구원자가 도망친 밤</v>
      </c>
      <c r="L1219">
        <v>100</v>
      </c>
      <c r="M1219">
        <v>100</v>
      </c>
      <c r="N1219">
        <v>1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100</v>
      </c>
      <c r="AJ1219">
        <v>1</v>
      </c>
      <c r="AK1219">
        <v>0</v>
      </c>
      <c r="AL1219">
        <v>0</v>
      </c>
      <c r="AM1219">
        <v>100</v>
      </c>
      <c r="AN1219">
        <v>0</v>
      </c>
      <c r="AO1219">
        <v>0</v>
      </c>
      <c r="AP1219">
        <v>0</v>
      </c>
      <c r="AQ1219">
        <v>0</v>
      </c>
      <c r="AS1219">
        <v>0</v>
      </c>
      <c r="AT1219">
        <v>0</v>
      </c>
      <c r="AV1219">
        <v>0</v>
      </c>
      <c r="AW1219">
        <v>0</v>
      </c>
      <c r="AY1219">
        <v>0</v>
      </c>
      <c r="AZ1219">
        <v>0</v>
      </c>
      <c r="BA1219">
        <v>70</v>
      </c>
      <c r="BE1219" t="str">
        <f>T("9791164097173")</f>
        <v>9791164097173</v>
      </c>
      <c r="BF1219" t="str">
        <f>T("N105539")</f>
        <v>N105539</v>
      </c>
      <c r="BG1219" t="str">
        <f>T("로판 웹소설 &gt; 서양풍 로판")</f>
        <v>로판 웹소설 &gt; 서양풍 로판</v>
      </c>
    </row>
    <row r="1220" spans="1:59">
      <c r="A1220" t="s">
        <v>60</v>
      </c>
      <c r="B1220" s="1">
        <v>46129</v>
      </c>
      <c r="C1220">
        <v>2378036275</v>
      </c>
      <c r="D1220">
        <v>2378036288</v>
      </c>
      <c r="E1220" t="str">
        <f>T("구원자가 도망친 밤 14화")</f>
        <v>구원자가 도망친 밤 14화</v>
      </c>
      <c r="F1220">
        <v>14</v>
      </c>
      <c r="G1220" t="str">
        <f>T("얼든트")</f>
        <v>얼든트</v>
      </c>
      <c r="J1220" t="str">
        <f>T("시계토끼")</f>
        <v>시계토끼</v>
      </c>
      <c r="K1220" t="str">
        <f>T("구원자가 도망친 밤")</f>
        <v>구원자가 도망친 밤</v>
      </c>
      <c r="L1220">
        <v>100</v>
      </c>
      <c r="M1220">
        <v>100</v>
      </c>
      <c r="N1220">
        <v>1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100</v>
      </c>
      <c r="AJ1220">
        <v>1</v>
      </c>
      <c r="AK1220">
        <v>0</v>
      </c>
      <c r="AL1220">
        <v>0</v>
      </c>
      <c r="AM1220">
        <v>100</v>
      </c>
      <c r="AN1220">
        <v>0</v>
      </c>
      <c r="AO1220">
        <v>0</v>
      </c>
      <c r="AP1220">
        <v>0</v>
      </c>
      <c r="AQ1220">
        <v>0</v>
      </c>
      <c r="AS1220">
        <v>0</v>
      </c>
      <c r="AT1220">
        <v>0</v>
      </c>
      <c r="AV1220">
        <v>0</v>
      </c>
      <c r="AW1220">
        <v>0</v>
      </c>
      <c r="AY1220">
        <v>0</v>
      </c>
      <c r="AZ1220">
        <v>0</v>
      </c>
      <c r="BA1220">
        <v>70</v>
      </c>
      <c r="BE1220" t="str">
        <f>T("9791164097173")</f>
        <v>9791164097173</v>
      </c>
      <c r="BF1220" t="str">
        <f>T("N105540")</f>
        <v>N105540</v>
      </c>
      <c r="BG1220" t="str">
        <f>T("로판 웹소설 &gt; 서양풍 로판")</f>
        <v>로판 웹소설 &gt; 서양풍 로판</v>
      </c>
    </row>
    <row r="1221" spans="1:59">
      <c r="A1221" t="s">
        <v>60</v>
      </c>
      <c r="B1221" s="1">
        <v>46129</v>
      </c>
      <c r="C1221">
        <v>2378036275</v>
      </c>
      <c r="D1221">
        <v>2378036289</v>
      </c>
      <c r="E1221" t="str">
        <f>T("구원자가 도망친 밤 15화")</f>
        <v>구원자가 도망친 밤 15화</v>
      </c>
      <c r="F1221">
        <v>15</v>
      </c>
      <c r="G1221" t="str">
        <f>T("얼든트")</f>
        <v>얼든트</v>
      </c>
      <c r="J1221" t="str">
        <f>T("시계토끼")</f>
        <v>시계토끼</v>
      </c>
      <c r="K1221" t="str">
        <f>T("구원자가 도망친 밤")</f>
        <v>구원자가 도망친 밤</v>
      </c>
      <c r="L1221">
        <v>100</v>
      </c>
      <c r="M1221">
        <v>100</v>
      </c>
      <c r="N1221">
        <v>1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100</v>
      </c>
      <c r="AJ1221">
        <v>1</v>
      </c>
      <c r="AK1221">
        <v>0</v>
      </c>
      <c r="AL1221">
        <v>0</v>
      </c>
      <c r="AM1221">
        <v>100</v>
      </c>
      <c r="AN1221">
        <v>0</v>
      </c>
      <c r="AO1221">
        <v>0</v>
      </c>
      <c r="AP1221">
        <v>0</v>
      </c>
      <c r="AQ1221">
        <v>0</v>
      </c>
      <c r="AS1221">
        <v>0</v>
      </c>
      <c r="AT1221">
        <v>0</v>
      </c>
      <c r="AV1221">
        <v>0</v>
      </c>
      <c r="AW1221">
        <v>0</v>
      </c>
      <c r="AY1221">
        <v>0</v>
      </c>
      <c r="AZ1221">
        <v>0</v>
      </c>
      <c r="BA1221">
        <v>70</v>
      </c>
      <c r="BE1221" t="str">
        <f>T("9791164097173")</f>
        <v>9791164097173</v>
      </c>
      <c r="BF1221" t="str">
        <f>T("N105541")</f>
        <v>N105541</v>
      </c>
      <c r="BG1221" t="str">
        <f>T("로판 웹소설 &gt; 서양풍 로판")</f>
        <v>로판 웹소설 &gt; 서양풍 로판</v>
      </c>
    </row>
    <row r="1222" spans="1:59">
      <c r="A1222" t="s">
        <v>60</v>
      </c>
      <c r="B1222" s="1">
        <v>46129</v>
      </c>
      <c r="C1222">
        <v>2378036275</v>
      </c>
      <c r="D1222">
        <v>2378036290</v>
      </c>
      <c r="E1222" t="str">
        <f>T("구원자가 도망친 밤 16화")</f>
        <v>구원자가 도망친 밤 16화</v>
      </c>
      <c r="F1222">
        <v>16</v>
      </c>
      <c r="G1222" t="str">
        <f>T("얼든트")</f>
        <v>얼든트</v>
      </c>
      <c r="J1222" t="str">
        <f>T("시계토끼")</f>
        <v>시계토끼</v>
      </c>
      <c r="K1222" t="str">
        <f>T("구원자가 도망친 밤")</f>
        <v>구원자가 도망친 밤</v>
      </c>
      <c r="L1222">
        <v>100</v>
      </c>
      <c r="M1222">
        <v>100</v>
      </c>
      <c r="N1222">
        <v>1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100</v>
      </c>
      <c r="AJ1222">
        <v>1</v>
      </c>
      <c r="AK1222">
        <v>0</v>
      </c>
      <c r="AL1222">
        <v>0</v>
      </c>
      <c r="AM1222">
        <v>100</v>
      </c>
      <c r="AN1222">
        <v>0</v>
      </c>
      <c r="AO1222">
        <v>0</v>
      </c>
      <c r="AP1222">
        <v>0</v>
      </c>
      <c r="AQ1222">
        <v>0</v>
      </c>
      <c r="AS1222">
        <v>0</v>
      </c>
      <c r="AT1222">
        <v>0</v>
      </c>
      <c r="AV1222">
        <v>0</v>
      </c>
      <c r="AW1222">
        <v>0</v>
      </c>
      <c r="AY1222">
        <v>0</v>
      </c>
      <c r="AZ1222">
        <v>0</v>
      </c>
      <c r="BA1222">
        <v>70</v>
      </c>
      <c r="BE1222" t="str">
        <f>T("9791164097173")</f>
        <v>9791164097173</v>
      </c>
      <c r="BF1222" t="str">
        <f>T("N105542")</f>
        <v>N105542</v>
      </c>
      <c r="BG1222" t="str">
        <f>T("로판 웹소설 &gt; 서양풍 로판")</f>
        <v>로판 웹소설 &gt; 서양풍 로판</v>
      </c>
    </row>
    <row r="1223" spans="1:59">
      <c r="A1223" t="s">
        <v>60</v>
      </c>
      <c r="B1223" s="1">
        <v>46129</v>
      </c>
      <c r="C1223">
        <v>2378036275</v>
      </c>
      <c r="D1223">
        <v>2378036291</v>
      </c>
      <c r="E1223" t="str">
        <f>T("구원자가 도망친 밤 17화")</f>
        <v>구원자가 도망친 밤 17화</v>
      </c>
      <c r="F1223">
        <v>17</v>
      </c>
      <c r="G1223" t="str">
        <f>T("얼든트")</f>
        <v>얼든트</v>
      </c>
      <c r="J1223" t="str">
        <f>T("시계토끼")</f>
        <v>시계토끼</v>
      </c>
      <c r="K1223" t="str">
        <f>T("구원자가 도망친 밤")</f>
        <v>구원자가 도망친 밤</v>
      </c>
      <c r="L1223">
        <v>100</v>
      </c>
      <c r="M1223">
        <v>100</v>
      </c>
      <c r="N1223">
        <v>1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100</v>
      </c>
      <c r="AJ1223">
        <v>1</v>
      </c>
      <c r="AK1223">
        <v>0</v>
      </c>
      <c r="AL1223">
        <v>0</v>
      </c>
      <c r="AM1223">
        <v>100</v>
      </c>
      <c r="AN1223">
        <v>0</v>
      </c>
      <c r="AO1223">
        <v>0</v>
      </c>
      <c r="AP1223">
        <v>0</v>
      </c>
      <c r="AQ1223">
        <v>0</v>
      </c>
      <c r="AS1223">
        <v>0</v>
      </c>
      <c r="AT1223">
        <v>0</v>
      </c>
      <c r="AV1223">
        <v>0</v>
      </c>
      <c r="AW1223">
        <v>0</v>
      </c>
      <c r="AY1223">
        <v>0</v>
      </c>
      <c r="AZ1223">
        <v>0</v>
      </c>
      <c r="BA1223">
        <v>70</v>
      </c>
      <c r="BE1223" t="str">
        <f>T("9791164097173")</f>
        <v>9791164097173</v>
      </c>
      <c r="BF1223" t="str">
        <f>T("N105543")</f>
        <v>N105543</v>
      </c>
      <c r="BG1223" t="str">
        <f>T("로판 웹소설 &gt; 서양풍 로판")</f>
        <v>로판 웹소설 &gt; 서양풍 로판</v>
      </c>
    </row>
    <row r="1224" spans="1:59">
      <c r="A1224" t="s">
        <v>60</v>
      </c>
      <c r="B1224" s="1">
        <v>46129</v>
      </c>
      <c r="C1224">
        <v>2378036275</v>
      </c>
      <c r="D1224">
        <v>2378036292</v>
      </c>
      <c r="E1224" t="str">
        <f>T("구원자가 도망친 밤 18화")</f>
        <v>구원자가 도망친 밤 18화</v>
      </c>
      <c r="F1224">
        <v>18</v>
      </c>
      <c r="G1224" t="str">
        <f>T("얼든트")</f>
        <v>얼든트</v>
      </c>
      <c r="J1224" t="str">
        <f>T("시계토끼")</f>
        <v>시계토끼</v>
      </c>
      <c r="K1224" t="str">
        <f>T("구원자가 도망친 밤")</f>
        <v>구원자가 도망친 밤</v>
      </c>
      <c r="L1224">
        <v>100</v>
      </c>
      <c r="M1224">
        <v>100</v>
      </c>
      <c r="N1224">
        <v>1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100</v>
      </c>
      <c r="AJ1224">
        <v>1</v>
      </c>
      <c r="AK1224">
        <v>0</v>
      </c>
      <c r="AL1224">
        <v>0</v>
      </c>
      <c r="AM1224">
        <v>100</v>
      </c>
      <c r="AN1224">
        <v>0</v>
      </c>
      <c r="AO1224">
        <v>0</v>
      </c>
      <c r="AP1224">
        <v>0</v>
      </c>
      <c r="AQ1224">
        <v>0</v>
      </c>
      <c r="AS1224">
        <v>0</v>
      </c>
      <c r="AT1224">
        <v>0</v>
      </c>
      <c r="AV1224">
        <v>0</v>
      </c>
      <c r="AW1224">
        <v>0</v>
      </c>
      <c r="AY1224">
        <v>0</v>
      </c>
      <c r="AZ1224">
        <v>0</v>
      </c>
      <c r="BA1224">
        <v>70</v>
      </c>
      <c r="BE1224" t="str">
        <f>T("9791164097173")</f>
        <v>9791164097173</v>
      </c>
      <c r="BF1224" t="str">
        <f>T("N105544")</f>
        <v>N105544</v>
      </c>
      <c r="BG1224" t="str">
        <f>T("로판 웹소설 &gt; 서양풍 로판")</f>
        <v>로판 웹소설 &gt; 서양풍 로판</v>
      </c>
    </row>
    <row r="1225" spans="1:59">
      <c r="A1225" t="s">
        <v>60</v>
      </c>
      <c r="B1225" s="1">
        <v>46129</v>
      </c>
      <c r="C1225">
        <v>2378036275</v>
      </c>
      <c r="D1225">
        <v>2378037017</v>
      </c>
      <c r="E1225" t="str">
        <f>T("구원자가 도망친 밤 78화")</f>
        <v>구원자가 도망친 밤 78화</v>
      </c>
      <c r="F1225">
        <v>78</v>
      </c>
      <c r="G1225" t="str">
        <f>T("얼든트")</f>
        <v>얼든트</v>
      </c>
      <c r="J1225" t="str">
        <f>T("시계토끼")</f>
        <v>시계토끼</v>
      </c>
      <c r="K1225" t="str">
        <f>T("구원자가 도망친 밤")</f>
        <v>구원자가 도망친 밤</v>
      </c>
      <c r="L1225">
        <v>100</v>
      </c>
      <c r="M1225">
        <v>100</v>
      </c>
      <c r="N1225">
        <v>1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100</v>
      </c>
      <c r="AJ1225">
        <v>1</v>
      </c>
      <c r="AK1225">
        <v>0</v>
      </c>
      <c r="AL1225">
        <v>0</v>
      </c>
      <c r="AM1225">
        <v>100</v>
      </c>
      <c r="AN1225">
        <v>0</v>
      </c>
      <c r="AO1225">
        <v>0</v>
      </c>
      <c r="AP1225">
        <v>0</v>
      </c>
      <c r="AQ1225">
        <v>0</v>
      </c>
      <c r="AS1225">
        <v>0</v>
      </c>
      <c r="AT1225">
        <v>0</v>
      </c>
      <c r="AV1225">
        <v>0</v>
      </c>
      <c r="AW1225">
        <v>0</v>
      </c>
      <c r="AY1225">
        <v>0</v>
      </c>
      <c r="AZ1225">
        <v>0</v>
      </c>
      <c r="BA1225">
        <v>70</v>
      </c>
      <c r="BE1225" t="str">
        <f>T("9791164097173")</f>
        <v>9791164097173</v>
      </c>
      <c r="BF1225" t="str">
        <f>T("N117584")</f>
        <v>N117584</v>
      </c>
      <c r="BG1225" t="str">
        <f>T("로판 웹소설 &gt; 서양풍 로판")</f>
        <v>로판 웹소설 &gt; 서양풍 로판</v>
      </c>
    </row>
    <row r="1226" spans="1:59">
      <c r="A1226" t="s">
        <v>60</v>
      </c>
      <c r="B1226" s="1">
        <v>46129</v>
      </c>
      <c r="C1226">
        <v>2378036275</v>
      </c>
      <c r="D1226">
        <v>2378038329</v>
      </c>
      <c r="E1226" t="str">
        <f>T("구원자가 도망친 밤 111화")</f>
        <v>구원자가 도망친 밤 111화</v>
      </c>
      <c r="F1226">
        <v>111</v>
      </c>
      <c r="G1226" t="str">
        <f>T("얼든트")</f>
        <v>얼든트</v>
      </c>
      <c r="J1226" t="str">
        <f>T("시계토끼")</f>
        <v>시계토끼</v>
      </c>
      <c r="K1226" t="str">
        <f>T("구원자가 도망친 밤")</f>
        <v>구원자가 도망친 밤</v>
      </c>
      <c r="L1226">
        <v>100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1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0</v>
      </c>
      <c r="AJ1226">
        <v>1</v>
      </c>
      <c r="AK1226">
        <v>0</v>
      </c>
      <c r="AL1226">
        <v>0</v>
      </c>
      <c r="AM1226">
        <v>0</v>
      </c>
      <c r="AN1226">
        <v>0</v>
      </c>
      <c r="AO1226">
        <v>0</v>
      </c>
      <c r="AP1226">
        <v>0</v>
      </c>
      <c r="AQ1226">
        <v>0</v>
      </c>
      <c r="AS1226">
        <v>0</v>
      </c>
      <c r="AT1226">
        <v>0</v>
      </c>
      <c r="AV1226">
        <v>0</v>
      </c>
      <c r="AW1226">
        <v>0</v>
      </c>
      <c r="AY1226">
        <v>0</v>
      </c>
      <c r="AZ1226">
        <v>0</v>
      </c>
      <c r="BA1226">
        <v>0</v>
      </c>
      <c r="BE1226" t="str">
        <f>T("9791164097173")</f>
        <v>9791164097173</v>
      </c>
      <c r="BF1226" t="str">
        <f>T("N143124")</f>
        <v>N143124</v>
      </c>
      <c r="BG1226" t="str">
        <f>T("로판 웹소설 &gt; 서양풍 로판")</f>
        <v>로판 웹소설 &gt; 서양풍 로판</v>
      </c>
    </row>
    <row r="1227" spans="1:59">
      <c r="A1227" t="s">
        <v>60</v>
      </c>
      <c r="B1227" s="1">
        <v>46129</v>
      </c>
      <c r="C1227">
        <v>2378036275</v>
      </c>
      <c r="D1227">
        <v>2378038339</v>
      </c>
      <c r="E1227" t="str">
        <f>T("구원자가 도망친 밤 112화")</f>
        <v>구원자가 도망친 밤 112화</v>
      </c>
      <c r="F1227">
        <v>112</v>
      </c>
      <c r="G1227" t="str">
        <f>T("얼든트")</f>
        <v>얼든트</v>
      </c>
      <c r="J1227" t="str">
        <f>T("시계토끼")</f>
        <v>시계토끼</v>
      </c>
      <c r="K1227" t="str">
        <f>T("구원자가 도망친 밤")</f>
        <v>구원자가 도망친 밤</v>
      </c>
      <c r="L1227">
        <v>100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1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1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S1227">
        <v>0</v>
      </c>
      <c r="AT1227">
        <v>0</v>
      </c>
      <c r="AV1227">
        <v>0</v>
      </c>
      <c r="AW1227">
        <v>0</v>
      </c>
      <c r="AY1227">
        <v>0</v>
      </c>
      <c r="AZ1227">
        <v>0</v>
      </c>
      <c r="BA1227">
        <v>0</v>
      </c>
      <c r="BE1227" t="str">
        <f>T("9791164097173")</f>
        <v>9791164097173</v>
      </c>
      <c r="BF1227" t="str">
        <f>T("N146388")</f>
        <v>N146388</v>
      </c>
      <c r="BG1227" t="str">
        <f>T("로판 웹소설 &gt; 서양풍 로판")</f>
        <v>로판 웹소설 &gt; 서양풍 로판</v>
      </c>
    </row>
    <row r="1228" spans="1:59">
      <c r="A1228" t="s">
        <v>60</v>
      </c>
      <c r="B1228" s="1">
        <v>46129</v>
      </c>
      <c r="C1228">
        <v>2378036275</v>
      </c>
      <c r="D1228">
        <v>2378039154</v>
      </c>
      <c r="E1228" t="str">
        <f>T("구원자가 도망친 밤 127화")</f>
        <v>구원자가 도망친 밤 127화</v>
      </c>
      <c r="F1228">
        <v>127</v>
      </c>
      <c r="G1228" t="str">
        <f>T("얼든트")</f>
        <v>얼든트</v>
      </c>
      <c r="J1228" t="str">
        <f>T("시계토끼")</f>
        <v>시계토끼</v>
      </c>
      <c r="K1228" t="str">
        <f>T("구원자가 도망친 밤")</f>
        <v>구원자가 도망친 밤</v>
      </c>
      <c r="L1228">
        <v>100</v>
      </c>
      <c r="M1228">
        <v>100</v>
      </c>
      <c r="N1228">
        <v>1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100</v>
      </c>
      <c r="AJ1228">
        <v>1</v>
      </c>
      <c r="AK1228">
        <v>0</v>
      </c>
      <c r="AL1228">
        <v>0</v>
      </c>
      <c r="AM1228">
        <v>100</v>
      </c>
      <c r="AN1228">
        <v>0</v>
      </c>
      <c r="AO1228">
        <v>0</v>
      </c>
      <c r="AP1228">
        <v>0</v>
      </c>
      <c r="AQ1228">
        <v>0</v>
      </c>
      <c r="AS1228">
        <v>0</v>
      </c>
      <c r="AT1228">
        <v>0</v>
      </c>
      <c r="AV1228">
        <v>0</v>
      </c>
      <c r="AW1228">
        <v>0</v>
      </c>
      <c r="AY1228">
        <v>0</v>
      </c>
      <c r="AZ1228">
        <v>0</v>
      </c>
      <c r="BA1228">
        <v>70</v>
      </c>
      <c r="BE1228" t="str">
        <f>T("9791164097173")</f>
        <v>9791164097173</v>
      </c>
      <c r="BF1228" t="str">
        <f>T("N179511")</f>
        <v>N179511</v>
      </c>
      <c r="BG1228" t="str">
        <f>T("로판 웹소설 &gt; 서양풍 로판")</f>
        <v>로판 웹소설 &gt; 서양풍 로판</v>
      </c>
    </row>
    <row r="1229" spans="1:59">
      <c r="A1229" t="s">
        <v>60</v>
      </c>
      <c r="B1229" s="1">
        <v>46129</v>
      </c>
      <c r="C1229">
        <v>2378036275</v>
      </c>
      <c r="D1229">
        <v>2378040479</v>
      </c>
      <c r="E1229" t="str">
        <f>T("구원자가 도망친 밤 135화")</f>
        <v>구원자가 도망친 밤 135화</v>
      </c>
      <c r="F1229">
        <v>135</v>
      </c>
      <c r="G1229" t="str">
        <f>T("얼든트")</f>
        <v>얼든트</v>
      </c>
      <c r="J1229" t="str">
        <f>T("시계토끼")</f>
        <v>시계토끼</v>
      </c>
      <c r="K1229" t="str">
        <f>T("구원자가 도망친 밤")</f>
        <v>구원자가 도망친 밤</v>
      </c>
      <c r="L1229">
        <v>100</v>
      </c>
      <c r="M1229">
        <v>100</v>
      </c>
      <c r="N1229">
        <v>1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100</v>
      </c>
      <c r="AJ1229">
        <v>1</v>
      </c>
      <c r="AK1229">
        <v>0</v>
      </c>
      <c r="AL1229">
        <v>0</v>
      </c>
      <c r="AM1229">
        <v>100</v>
      </c>
      <c r="AN1229">
        <v>0</v>
      </c>
      <c r="AO1229">
        <v>0</v>
      </c>
      <c r="AP1229">
        <v>0</v>
      </c>
      <c r="AQ1229">
        <v>0</v>
      </c>
      <c r="AS1229">
        <v>0</v>
      </c>
      <c r="AT1229">
        <v>0</v>
      </c>
      <c r="AV1229">
        <v>0</v>
      </c>
      <c r="AW1229">
        <v>0</v>
      </c>
      <c r="AY1229">
        <v>0</v>
      </c>
      <c r="AZ1229">
        <v>0</v>
      </c>
      <c r="BA1229">
        <v>70</v>
      </c>
      <c r="BE1229" t="str">
        <f>T("9791164097173")</f>
        <v>9791164097173</v>
      </c>
      <c r="BF1229" t="str">
        <f>T("N182016")</f>
        <v>N182016</v>
      </c>
      <c r="BG1229" t="str">
        <f>T("로판 웹소설 &gt; 서양풍 로판")</f>
        <v>로판 웹소설 &gt; 서양풍 로판</v>
      </c>
    </row>
    <row r="1230" spans="1:59">
      <c r="A1230" t="s">
        <v>60</v>
      </c>
      <c r="B1230" s="1">
        <v>46129</v>
      </c>
      <c r="C1230">
        <v>2378036275</v>
      </c>
      <c r="D1230">
        <v>2378044273</v>
      </c>
      <c r="E1230" t="str">
        <f>T("구원자가 도망친 밤 203화 (완결)")</f>
        <v>구원자가 도망친 밤 203화 (완결)</v>
      </c>
      <c r="F1230">
        <v>203</v>
      </c>
      <c r="G1230" t="str">
        <f>T("얼든트")</f>
        <v>얼든트</v>
      </c>
      <c r="J1230" t="str">
        <f>T("시계토끼")</f>
        <v>시계토끼</v>
      </c>
      <c r="K1230" t="str">
        <f>T("구원자가 도망친 밤")</f>
        <v>구원자가 도망친 밤</v>
      </c>
      <c r="L1230">
        <v>100</v>
      </c>
      <c r="M1230">
        <v>100</v>
      </c>
      <c r="N1230">
        <v>1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0</v>
      </c>
      <c r="AH1230">
        <v>0</v>
      </c>
      <c r="AI1230">
        <v>100</v>
      </c>
      <c r="AJ1230">
        <v>1</v>
      </c>
      <c r="AK1230">
        <v>0</v>
      </c>
      <c r="AL1230">
        <v>0</v>
      </c>
      <c r="AM1230">
        <v>100</v>
      </c>
      <c r="AN1230">
        <v>0</v>
      </c>
      <c r="AO1230">
        <v>0</v>
      </c>
      <c r="AP1230">
        <v>0</v>
      </c>
      <c r="AQ1230">
        <v>0</v>
      </c>
      <c r="AS1230">
        <v>0</v>
      </c>
      <c r="AT1230">
        <v>0</v>
      </c>
      <c r="AV1230">
        <v>0</v>
      </c>
      <c r="AW1230">
        <v>0</v>
      </c>
      <c r="AY1230">
        <v>0</v>
      </c>
      <c r="AZ1230">
        <v>0</v>
      </c>
      <c r="BA1230">
        <v>70</v>
      </c>
      <c r="BE1230" t="str">
        <f>T("9791164097173")</f>
        <v>9791164097173</v>
      </c>
      <c r="BF1230" t="str">
        <f>T("N224052")</f>
        <v>N224052</v>
      </c>
      <c r="BG1230" t="str">
        <f>T("로판 웹소설 &gt; 서양풍 로판")</f>
        <v>로판 웹소설 &gt; 서양풍 로판</v>
      </c>
    </row>
    <row r="1231" spans="1:59">
      <c r="A1231" t="s">
        <v>60</v>
      </c>
      <c r="B1231" s="1">
        <v>46130</v>
      </c>
      <c r="C1231">
        <v>2378036275</v>
      </c>
      <c r="D1231">
        <v>2378039179</v>
      </c>
      <c r="E1231" t="str">
        <f>T("구원자가 도망친 밤 128화")</f>
        <v>구원자가 도망친 밤 128화</v>
      </c>
      <c r="F1231">
        <v>128</v>
      </c>
      <c r="G1231" t="str">
        <f>T("얼든트")</f>
        <v>얼든트</v>
      </c>
      <c r="J1231" t="str">
        <f>T("시계토끼")</f>
        <v>시계토끼</v>
      </c>
      <c r="K1231" t="str">
        <f>T("구원자가 도망친 밤")</f>
        <v>구원자가 도망친 밤</v>
      </c>
      <c r="L1231">
        <v>100</v>
      </c>
      <c r="M1231">
        <v>100</v>
      </c>
      <c r="N1231">
        <v>1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100</v>
      </c>
      <c r="AJ1231">
        <v>1</v>
      </c>
      <c r="AK1231">
        <v>0</v>
      </c>
      <c r="AL1231">
        <v>0</v>
      </c>
      <c r="AM1231">
        <v>100</v>
      </c>
      <c r="AN1231">
        <v>0</v>
      </c>
      <c r="AO1231">
        <v>0</v>
      </c>
      <c r="AP1231">
        <v>0</v>
      </c>
      <c r="AQ1231">
        <v>0</v>
      </c>
      <c r="AS1231">
        <v>0</v>
      </c>
      <c r="AT1231">
        <v>0</v>
      </c>
      <c r="AV1231">
        <v>0</v>
      </c>
      <c r="AW1231">
        <v>0</v>
      </c>
      <c r="AY1231">
        <v>0</v>
      </c>
      <c r="AZ1231">
        <v>0</v>
      </c>
      <c r="BA1231">
        <v>70</v>
      </c>
      <c r="BE1231" t="str">
        <f>T("9791164097173")</f>
        <v>9791164097173</v>
      </c>
      <c r="BF1231" t="str">
        <f>T("N179512")</f>
        <v>N179512</v>
      </c>
      <c r="BG1231" t="str">
        <f>T("로판 웹소설 &gt; 서양풍 로판")</f>
        <v>로판 웹소설 &gt; 서양풍 로판</v>
      </c>
    </row>
    <row r="1232" spans="1:59">
      <c r="A1232" t="s">
        <v>60</v>
      </c>
      <c r="B1232" s="1">
        <v>46130</v>
      </c>
      <c r="C1232">
        <v>2378036275</v>
      </c>
      <c r="D1232">
        <v>2378049725</v>
      </c>
      <c r="E1232" t="str">
        <f>T("구원자가 도망친 밤 외전 7화")</f>
        <v>구원자가 도망친 밤 외전 7화</v>
      </c>
      <c r="F1232">
        <v>213</v>
      </c>
      <c r="G1232" t="str">
        <f>T("얼든트")</f>
        <v>얼든트</v>
      </c>
      <c r="J1232" t="str">
        <f>T("시계토끼")</f>
        <v>시계토끼</v>
      </c>
      <c r="K1232" t="str">
        <f>T("구원자가 도망친 밤")</f>
        <v>구원자가 도망친 밤</v>
      </c>
      <c r="L1232">
        <v>100</v>
      </c>
      <c r="M1232">
        <v>100</v>
      </c>
      <c r="N1232">
        <v>1</v>
      </c>
      <c r="O1232">
        <v>0</v>
      </c>
      <c r="P1232">
        <v>0</v>
      </c>
      <c r="Q1232">
        <v>0</v>
      </c>
      <c r="R1232">
        <v>1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100</v>
      </c>
      <c r="AJ1232">
        <v>2</v>
      </c>
      <c r="AK1232">
        <v>0</v>
      </c>
      <c r="AL1232">
        <v>0</v>
      </c>
      <c r="AM1232">
        <v>100</v>
      </c>
      <c r="AN1232">
        <v>0</v>
      </c>
      <c r="AO1232">
        <v>0</v>
      </c>
      <c r="AP1232">
        <v>0</v>
      </c>
      <c r="AQ1232">
        <v>0</v>
      </c>
      <c r="AS1232">
        <v>0</v>
      </c>
      <c r="AT1232">
        <v>0</v>
      </c>
      <c r="AV1232">
        <v>0</v>
      </c>
      <c r="AW1232">
        <v>0</v>
      </c>
      <c r="AY1232">
        <v>0</v>
      </c>
      <c r="AZ1232">
        <v>0</v>
      </c>
      <c r="BA1232">
        <v>70</v>
      </c>
      <c r="BE1232" t="str">
        <f>T("9791164097173")</f>
        <v>9791164097173</v>
      </c>
      <c r="BF1232" t="str">
        <f>T("k027564")</f>
        <v>k027564</v>
      </c>
      <c r="BG1232" t="str">
        <f>T("로판 웹소설 &gt; 서양풍 로판")</f>
        <v>로판 웹소설 &gt; 서양풍 로판</v>
      </c>
    </row>
    <row r="1233" spans="1:59">
      <c r="A1233" t="s">
        <v>60</v>
      </c>
      <c r="B1233" s="1">
        <v>46130</v>
      </c>
      <c r="C1233">
        <v>2378036275</v>
      </c>
      <c r="D1233">
        <v>2378040480</v>
      </c>
      <c r="E1233" t="str">
        <f>T("구원자가 도망친 밤 136화")</f>
        <v>구원자가 도망친 밤 136화</v>
      </c>
      <c r="F1233">
        <v>136</v>
      </c>
      <c r="G1233" t="str">
        <f>T("얼든트")</f>
        <v>얼든트</v>
      </c>
      <c r="J1233" t="str">
        <f>T("시계토끼")</f>
        <v>시계토끼</v>
      </c>
      <c r="K1233" t="str">
        <f>T("구원자가 도망친 밤")</f>
        <v>구원자가 도망친 밤</v>
      </c>
      <c r="L1233">
        <v>100</v>
      </c>
      <c r="M1233">
        <v>100</v>
      </c>
      <c r="N1233">
        <v>1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100</v>
      </c>
      <c r="AJ1233">
        <v>1</v>
      </c>
      <c r="AK1233">
        <v>0</v>
      </c>
      <c r="AL1233">
        <v>0</v>
      </c>
      <c r="AM1233">
        <v>100</v>
      </c>
      <c r="AN1233">
        <v>0</v>
      </c>
      <c r="AO1233">
        <v>0</v>
      </c>
      <c r="AP1233">
        <v>0</v>
      </c>
      <c r="AQ1233">
        <v>0</v>
      </c>
      <c r="AS1233">
        <v>0</v>
      </c>
      <c r="AT1233">
        <v>0</v>
      </c>
      <c r="AV1233">
        <v>0</v>
      </c>
      <c r="AW1233">
        <v>0</v>
      </c>
      <c r="AY1233">
        <v>0</v>
      </c>
      <c r="AZ1233">
        <v>0</v>
      </c>
      <c r="BA1233">
        <v>70</v>
      </c>
      <c r="BE1233" t="str">
        <f>T("9791164097173")</f>
        <v>9791164097173</v>
      </c>
      <c r="BF1233" t="str">
        <f>T("N182017")</f>
        <v>N182017</v>
      </c>
      <c r="BG1233" t="str">
        <f>T("로판 웹소설 &gt; 서양풍 로판")</f>
        <v>로판 웹소설 &gt; 서양풍 로판</v>
      </c>
    </row>
    <row r="1234" spans="1:59">
      <c r="A1234" t="s">
        <v>60</v>
      </c>
      <c r="B1234" s="1">
        <v>46130</v>
      </c>
      <c r="C1234">
        <v>2378036275</v>
      </c>
      <c r="D1234">
        <v>2378036275</v>
      </c>
      <c r="E1234" t="str">
        <f>T("구원자가 도망친 밤 1화")</f>
        <v>구원자가 도망친 밤 1화</v>
      </c>
      <c r="F1234">
        <v>1</v>
      </c>
      <c r="G1234" t="str">
        <f>T("얼든트")</f>
        <v>얼든트</v>
      </c>
      <c r="J1234" t="str">
        <f>T("시계토끼")</f>
        <v>시계토끼</v>
      </c>
      <c r="K1234" t="str">
        <f>T("구원자가 도망친 밤")</f>
        <v>구원자가 도망친 밤</v>
      </c>
      <c r="L1234">
        <v>0</v>
      </c>
      <c r="M1234">
        <v>0</v>
      </c>
      <c r="N1234">
        <v>0</v>
      </c>
      <c r="O1234">
        <v>2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2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S1234">
        <v>0</v>
      </c>
      <c r="AT1234">
        <v>0</v>
      </c>
      <c r="AV1234">
        <v>0</v>
      </c>
      <c r="AW1234">
        <v>0</v>
      </c>
      <c r="AY1234">
        <v>0</v>
      </c>
      <c r="AZ1234">
        <v>0</v>
      </c>
      <c r="BA1234">
        <v>0</v>
      </c>
      <c r="BE1234" t="str">
        <f>T("9791164097173")</f>
        <v>9791164097173</v>
      </c>
      <c r="BF1234" t="str">
        <f>T("N105527")</f>
        <v>N105527</v>
      </c>
      <c r="BG1234" t="str">
        <f>T("로판 웹소설 &gt; 서양풍 로판")</f>
        <v>로판 웹소설 &gt; 서양풍 로판</v>
      </c>
    </row>
    <row r="1235" spans="1:59">
      <c r="A1235" t="s">
        <v>60</v>
      </c>
      <c r="B1235" s="1">
        <v>46130</v>
      </c>
      <c r="C1235">
        <v>2378036275</v>
      </c>
      <c r="D1235">
        <v>2378036276</v>
      </c>
      <c r="E1235" t="str">
        <f>T("구원자가 도망친 밤 2화")</f>
        <v>구원자가 도망친 밤 2화</v>
      </c>
      <c r="F1235">
        <v>2</v>
      </c>
      <c r="G1235" t="str">
        <f>T("얼든트")</f>
        <v>얼든트</v>
      </c>
      <c r="J1235" t="str">
        <f>T("시계토끼")</f>
        <v>시계토끼</v>
      </c>
      <c r="K1235" t="str">
        <f>T("구원자가 도망친 밤")</f>
        <v>구원자가 도망친 밤</v>
      </c>
      <c r="L1235">
        <v>0</v>
      </c>
      <c r="M1235">
        <v>0</v>
      </c>
      <c r="N1235">
        <v>0</v>
      </c>
      <c r="O1235">
        <v>2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2</v>
      </c>
      <c r="AK1235">
        <v>0</v>
      </c>
      <c r="AL1235">
        <v>0</v>
      </c>
      <c r="AM1235">
        <v>0</v>
      </c>
      <c r="AN1235">
        <v>0</v>
      </c>
      <c r="AO1235">
        <v>0</v>
      </c>
      <c r="AP1235">
        <v>0</v>
      </c>
      <c r="AQ1235">
        <v>0</v>
      </c>
      <c r="AS1235">
        <v>0</v>
      </c>
      <c r="AT1235">
        <v>0</v>
      </c>
      <c r="AV1235">
        <v>0</v>
      </c>
      <c r="AW1235">
        <v>0</v>
      </c>
      <c r="AY1235">
        <v>0</v>
      </c>
      <c r="AZ1235">
        <v>0</v>
      </c>
      <c r="BA1235">
        <v>0</v>
      </c>
      <c r="BE1235" t="str">
        <f>T("9791164097173")</f>
        <v>9791164097173</v>
      </c>
      <c r="BF1235" t="str">
        <f>T("N105528")</f>
        <v>N105528</v>
      </c>
      <c r="BG1235" t="str">
        <f>T("로판 웹소설 &gt; 서양풍 로판")</f>
        <v>로판 웹소설 &gt; 서양풍 로판</v>
      </c>
    </row>
    <row r="1236" spans="1:59">
      <c r="A1236" t="s">
        <v>60</v>
      </c>
      <c r="B1236" s="1">
        <v>46130</v>
      </c>
      <c r="C1236">
        <v>2378036275</v>
      </c>
      <c r="D1236">
        <v>2378036277</v>
      </c>
      <c r="E1236" t="str">
        <f>T("구원자가 도망친 밤 3화")</f>
        <v>구원자가 도망친 밤 3화</v>
      </c>
      <c r="F1236">
        <v>3</v>
      </c>
      <c r="G1236" t="str">
        <f>T("얼든트")</f>
        <v>얼든트</v>
      </c>
      <c r="J1236" t="str">
        <f>T("시계토끼")</f>
        <v>시계토끼</v>
      </c>
      <c r="K1236" t="str">
        <f>T("구원자가 도망친 밤")</f>
        <v>구원자가 도망친 밤</v>
      </c>
      <c r="L1236">
        <v>0</v>
      </c>
      <c r="M1236">
        <v>0</v>
      </c>
      <c r="N1236">
        <v>0</v>
      </c>
      <c r="O1236">
        <v>2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2</v>
      </c>
      <c r="AK1236">
        <v>0</v>
      </c>
      <c r="AL1236">
        <v>0</v>
      </c>
      <c r="AM1236">
        <v>0</v>
      </c>
      <c r="AN1236">
        <v>0</v>
      </c>
      <c r="AO1236">
        <v>0</v>
      </c>
      <c r="AP1236">
        <v>0</v>
      </c>
      <c r="AQ1236">
        <v>0</v>
      </c>
      <c r="AS1236">
        <v>0</v>
      </c>
      <c r="AT1236">
        <v>0</v>
      </c>
      <c r="AV1236">
        <v>0</v>
      </c>
      <c r="AW1236">
        <v>0</v>
      </c>
      <c r="AY1236">
        <v>0</v>
      </c>
      <c r="AZ1236">
        <v>0</v>
      </c>
      <c r="BA1236">
        <v>0</v>
      </c>
      <c r="BE1236" t="str">
        <f>T("9791164097173")</f>
        <v>9791164097173</v>
      </c>
      <c r="BF1236" t="str">
        <f>T("N105529")</f>
        <v>N105529</v>
      </c>
      <c r="BG1236" t="str">
        <f>T("로판 웹소설 &gt; 서양풍 로판")</f>
        <v>로판 웹소설 &gt; 서양풍 로판</v>
      </c>
    </row>
    <row r="1237" spans="1:59">
      <c r="A1237" t="s">
        <v>60</v>
      </c>
      <c r="B1237" s="1">
        <v>46130</v>
      </c>
      <c r="C1237">
        <v>2378036275</v>
      </c>
      <c r="D1237">
        <v>2378036279</v>
      </c>
      <c r="E1237" t="str">
        <f>T("구원자가 도망친 밤 5화")</f>
        <v>구원자가 도망친 밤 5화</v>
      </c>
      <c r="F1237">
        <v>5</v>
      </c>
      <c r="G1237" t="str">
        <f>T("얼든트")</f>
        <v>얼든트</v>
      </c>
      <c r="J1237" t="str">
        <f>T("시계토끼")</f>
        <v>시계토끼</v>
      </c>
      <c r="K1237" t="str">
        <f>T("구원자가 도망친 밤")</f>
        <v>구원자가 도망친 밤</v>
      </c>
      <c r="L1237">
        <v>100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1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1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0</v>
      </c>
      <c r="AS1237">
        <v>0</v>
      </c>
      <c r="AT1237">
        <v>0</v>
      </c>
      <c r="AV1237">
        <v>0</v>
      </c>
      <c r="AW1237">
        <v>0</v>
      </c>
      <c r="AY1237">
        <v>0</v>
      </c>
      <c r="AZ1237">
        <v>0</v>
      </c>
      <c r="BA1237">
        <v>0</v>
      </c>
      <c r="BE1237" t="str">
        <f>T("9791164097173")</f>
        <v>9791164097173</v>
      </c>
      <c r="BF1237" t="str">
        <f>T("N105531")</f>
        <v>N105531</v>
      </c>
      <c r="BG1237" t="str">
        <f>T("로판 웹소설 &gt; 서양풍 로판")</f>
        <v>로판 웹소설 &gt; 서양풍 로판</v>
      </c>
    </row>
    <row r="1238" spans="1:59">
      <c r="A1238" t="s">
        <v>60</v>
      </c>
      <c r="B1238" s="1">
        <v>46130</v>
      </c>
      <c r="C1238">
        <v>2378036275</v>
      </c>
      <c r="D1238">
        <v>2378036280</v>
      </c>
      <c r="E1238" t="str">
        <f>T("구원자가 도망친 밤 6화")</f>
        <v>구원자가 도망친 밤 6화</v>
      </c>
      <c r="F1238">
        <v>6</v>
      </c>
      <c r="G1238" t="str">
        <f>T("얼든트")</f>
        <v>얼든트</v>
      </c>
      <c r="J1238" t="str">
        <f>T("시계토끼")</f>
        <v>시계토끼</v>
      </c>
      <c r="K1238" t="str">
        <f>T("구원자가 도망친 밤")</f>
        <v>구원자가 도망친 밤</v>
      </c>
      <c r="L1238">
        <v>100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1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0</v>
      </c>
      <c r="AJ1238">
        <v>1</v>
      </c>
      <c r="AK1238">
        <v>0</v>
      </c>
      <c r="AL1238">
        <v>0</v>
      </c>
      <c r="AM1238">
        <v>0</v>
      </c>
      <c r="AN1238">
        <v>0</v>
      </c>
      <c r="AO1238">
        <v>0</v>
      </c>
      <c r="AP1238">
        <v>0</v>
      </c>
      <c r="AQ1238">
        <v>0</v>
      </c>
      <c r="AS1238">
        <v>0</v>
      </c>
      <c r="AT1238">
        <v>0</v>
      </c>
      <c r="AV1238">
        <v>0</v>
      </c>
      <c r="AW1238">
        <v>0</v>
      </c>
      <c r="AY1238">
        <v>0</v>
      </c>
      <c r="AZ1238">
        <v>0</v>
      </c>
      <c r="BA1238">
        <v>0</v>
      </c>
      <c r="BE1238" t="str">
        <f>T("9791164097173")</f>
        <v>9791164097173</v>
      </c>
      <c r="BF1238" t="str">
        <f>T("N105532")</f>
        <v>N105532</v>
      </c>
      <c r="BG1238" t="str">
        <f>T("로판 웹소설 &gt; 서양풍 로판")</f>
        <v>로판 웹소설 &gt; 서양풍 로판</v>
      </c>
    </row>
    <row r="1239" spans="1:59">
      <c r="A1239" t="s">
        <v>60</v>
      </c>
      <c r="B1239" s="1">
        <v>46130</v>
      </c>
      <c r="C1239">
        <v>2378036275</v>
      </c>
      <c r="D1239">
        <v>2378036281</v>
      </c>
      <c r="E1239" t="str">
        <f>T("구원자가 도망친 밤 7화")</f>
        <v>구원자가 도망친 밤 7화</v>
      </c>
      <c r="F1239">
        <v>7</v>
      </c>
      <c r="G1239" t="str">
        <f>T("얼든트")</f>
        <v>얼든트</v>
      </c>
      <c r="J1239" t="str">
        <f>T("시계토끼")</f>
        <v>시계토끼</v>
      </c>
      <c r="K1239" t="str">
        <f>T("구원자가 도망친 밤")</f>
        <v>구원자가 도망친 밤</v>
      </c>
      <c r="L1239">
        <v>100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1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1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S1239">
        <v>0</v>
      </c>
      <c r="AT1239">
        <v>0</v>
      </c>
      <c r="AV1239">
        <v>0</v>
      </c>
      <c r="AW1239">
        <v>0</v>
      </c>
      <c r="AY1239">
        <v>0</v>
      </c>
      <c r="AZ1239">
        <v>0</v>
      </c>
      <c r="BA1239">
        <v>0</v>
      </c>
      <c r="BE1239" t="str">
        <f>T("9791164097173")</f>
        <v>9791164097173</v>
      </c>
      <c r="BF1239" t="str">
        <f>T("N105533")</f>
        <v>N105533</v>
      </c>
      <c r="BG1239" t="str">
        <f>T("로판 웹소설 &gt; 서양풍 로판")</f>
        <v>로판 웹소설 &gt; 서양풍 로판</v>
      </c>
    </row>
    <row r="1240" spans="1:59">
      <c r="A1240" t="s">
        <v>60</v>
      </c>
      <c r="B1240" s="1">
        <v>46130</v>
      </c>
      <c r="C1240">
        <v>2378036275</v>
      </c>
      <c r="D1240">
        <v>2378049730</v>
      </c>
      <c r="E1240" t="str">
        <f>T("구원자가 도망친 밤 외전 11화")</f>
        <v>구원자가 도망친 밤 외전 11화</v>
      </c>
      <c r="F1240">
        <v>217</v>
      </c>
      <c r="G1240" t="str">
        <f>T("얼든트")</f>
        <v>얼든트</v>
      </c>
      <c r="J1240" t="str">
        <f>T("시계토끼")</f>
        <v>시계토끼</v>
      </c>
      <c r="K1240" t="str">
        <f>T("구원자가 도망친 밤")</f>
        <v>구원자가 도망친 밤</v>
      </c>
      <c r="L1240">
        <v>100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1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0</v>
      </c>
      <c r="AJ1240">
        <v>1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S1240">
        <v>0</v>
      </c>
      <c r="AT1240">
        <v>0</v>
      </c>
      <c r="AV1240">
        <v>0</v>
      </c>
      <c r="AW1240">
        <v>0</v>
      </c>
      <c r="AY1240">
        <v>0</v>
      </c>
      <c r="AZ1240">
        <v>0</v>
      </c>
      <c r="BA1240">
        <v>0</v>
      </c>
      <c r="BE1240" t="str">
        <f>T("9791164097173")</f>
        <v>9791164097173</v>
      </c>
      <c r="BF1240" t="str">
        <f>T("k027568")</f>
        <v>k027568</v>
      </c>
      <c r="BG1240" t="str">
        <f>T("로판 웹소설 &gt; 서양풍 로판")</f>
        <v>로판 웹소설 &gt; 서양풍 로판</v>
      </c>
    </row>
    <row r="1241" spans="1:59">
      <c r="A1241" t="s">
        <v>60</v>
      </c>
      <c r="B1241" s="1">
        <v>46130</v>
      </c>
      <c r="C1241">
        <v>2378036275</v>
      </c>
      <c r="D1241">
        <v>2378049737</v>
      </c>
      <c r="E1241" t="str">
        <f>T("구원자가 도망친 밤 외전 15화 (완결)")</f>
        <v>구원자가 도망친 밤 외전 15화 (완결)</v>
      </c>
      <c r="F1241">
        <v>221</v>
      </c>
      <c r="G1241" t="str">
        <f>T("얼든트")</f>
        <v>얼든트</v>
      </c>
      <c r="J1241" t="str">
        <f>T("시계토끼")</f>
        <v>시계토끼</v>
      </c>
      <c r="K1241" t="str">
        <f>T("구원자가 도망친 밤")</f>
        <v>구원자가 도망친 밤</v>
      </c>
      <c r="L1241">
        <v>100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1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0</v>
      </c>
      <c r="AJ1241">
        <v>1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S1241">
        <v>0</v>
      </c>
      <c r="AT1241">
        <v>0</v>
      </c>
      <c r="AV1241">
        <v>0</v>
      </c>
      <c r="AW1241">
        <v>0</v>
      </c>
      <c r="AY1241">
        <v>0</v>
      </c>
      <c r="AZ1241">
        <v>0</v>
      </c>
      <c r="BA1241">
        <v>0</v>
      </c>
      <c r="BE1241" t="str">
        <f>T("9791164097173")</f>
        <v>9791164097173</v>
      </c>
      <c r="BF1241" t="str">
        <f>T("k027969")</f>
        <v>k027969</v>
      </c>
      <c r="BG1241" t="str">
        <f>T("로판 웹소설 &gt; 서양풍 로판")</f>
        <v>로판 웹소설 &gt; 서양풍 로판</v>
      </c>
    </row>
    <row r="1242" spans="1:59">
      <c r="A1242" t="s">
        <v>60</v>
      </c>
      <c r="B1242" s="1">
        <v>46131</v>
      </c>
      <c r="C1242">
        <v>2378036275</v>
      </c>
      <c r="D1242">
        <v>2378039187</v>
      </c>
      <c r="E1242" t="str">
        <f>T("구원자가 도망친 밤 129화")</f>
        <v>구원자가 도망친 밤 129화</v>
      </c>
      <c r="F1242">
        <v>129</v>
      </c>
      <c r="G1242" t="str">
        <f>T("얼든트")</f>
        <v>얼든트</v>
      </c>
      <c r="J1242" t="str">
        <f>T("시계토끼")</f>
        <v>시계토끼</v>
      </c>
      <c r="K1242" t="str">
        <f>T("구원자가 도망친 밤")</f>
        <v>구원자가 도망친 밤</v>
      </c>
      <c r="L1242">
        <v>100</v>
      </c>
      <c r="M1242">
        <v>200</v>
      </c>
      <c r="N1242">
        <v>2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200</v>
      </c>
      <c r="AJ1242">
        <v>2</v>
      </c>
      <c r="AK1242">
        <v>0</v>
      </c>
      <c r="AL1242">
        <v>0</v>
      </c>
      <c r="AM1242">
        <v>200</v>
      </c>
      <c r="AN1242">
        <v>0</v>
      </c>
      <c r="AO1242">
        <v>0</v>
      </c>
      <c r="AP1242">
        <v>0</v>
      </c>
      <c r="AQ1242">
        <v>0</v>
      </c>
      <c r="AS1242">
        <v>0</v>
      </c>
      <c r="AT1242">
        <v>0</v>
      </c>
      <c r="AV1242">
        <v>0</v>
      </c>
      <c r="AW1242">
        <v>0</v>
      </c>
      <c r="AY1242">
        <v>0</v>
      </c>
      <c r="AZ1242">
        <v>0</v>
      </c>
      <c r="BA1242">
        <v>140</v>
      </c>
      <c r="BE1242" t="str">
        <f>T("9791164097173")</f>
        <v>9791164097173</v>
      </c>
      <c r="BF1242" t="str">
        <f>T("N179513")</f>
        <v>N179513</v>
      </c>
      <c r="BG1242" t="str">
        <f>T("로판 웹소설 &gt; 서양풍 로판")</f>
        <v>로판 웹소설 &gt; 서양풍 로판</v>
      </c>
    </row>
    <row r="1243" spans="1:59">
      <c r="A1243" t="s">
        <v>60</v>
      </c>
      <c r="B1243" s="1">
        <v>46131</v>
      </c>
      <c r="C1243">
        <v>2378036275</v>
      </c>
      <c r="D1243">
        <v>2378036275</v>
      </c>
      <c r="E1243" t="str">
        <f>T("구원자가 도망친 밤 1화")</f>
        <v>구원자가 도망친 밤 1화</v>
      </c>
      <c r="F1243">
        <v>1</v>
      </c>
      <c r="G1243" t="str">
        <f>T("얼든트")</f>
        <v>얼든트</v>
      </c>
      <c r="J1243" t="str">
        <f>T("시계토끼")</f>
        <v>시계토끼</v>
      </c>
      <c r="K1243" t="str">
        <f>T("구원자가 도망친 밤")</f>
        <v>구원자가 도망친 밤</v>
      </c>
      <c r="L1243">
        <v>0</v>
      </c>
      <c r="M1243">
        <v>0</v>
      </c>
      <c r="N1243">
        <v>0</v>
      </c>
      <c r="O1243">
        <v>4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4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S1243">
        <v>0</v>
      </c>
      <c r="AT1243">
        <v>0</v>
      </c>
      <c r="AV1243">
        <v>0</v>
      </c>
      <c r="AW1243">
        <v>0</v>
      </c>
      <c r="AY1243">
        <v>0</v>
      </c>
      <c r="AZ1243">
        <v>0</v>
      </c>
      <c r="BA1243">
        <v>0</v>
      </c>
      <c r="BE1243" t="str">
        <f>T("9791164097173")</f>
        <v>9791164097173</v>
      </c>
      <c r="BF1243" t="str">
        <f>T("N105527")</f>
        <v>N105527</v>
      </c>
      <c r="BG1243" t="str">
        <f>T("로판 웹소설 &gt; 서양풍 로판")</f>
        <v>로판 웹소설 &gt; 서양풍 로판</v>
      </c>
    </row>
    <row r="1244" spans="1:59">
      <c r="A1244" t="s">
        <v>60</v>
      </c>
      <c r="B1244" s="1">
        <v>46131</v>
      </c>
      <c r="C1244">
        <v>2378036275</v>
      </c>
      <c r="D1244">
        <v>2378036279</v>
      </c>
      <c r="E1244" t="str">
        <f>T("구원자가 도망친 밤 5화")</f>
        <v>구원자가 도망친 밤 5화</v>
      </c>
      <c r="F1244">
        <v>5</v>
      </c>
      <c r="G1244" t="str">
        <f>T("얼든트")</f>
        <v>얼든트</v>
      </c>
      <c r="J1244" t="str">
        <f>T("시계토끼")</f>
        <v>시계토끼</v>
      </c>
      <c r="K1244" t="str">
        <f>T("구원자가 도망친 밤")</f>
        <v>구원자가 도망친 밤</v>
      </c>
      <c r="L1244">
        <v>100</v>
      </c>
      <c r="M1244">
        <v>200</v>
      </c>
      <c r="N1244">
        <v>2</v>
      </c>
      <c r="O1244">
        <v>0</v>
      </c>
      <c r="P1244">
        <v>0</v>
      </c>
      <c r="Q1244">
        <v>0</v>
      </c>
      <c r="R1244">
        <v>1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200</v>
      </c>
      <c r="AJ1244">
        <v>3</v>
      </c>
      <c r="AK1244">
        <v>0</v>
      </c>
      <c r="AL1244">
        <v>0</v>
      </c>
      <c r="AM1244">
        <v>100</v>
      </c>
      <c r="AN1244">
        <v>0</v>
      </c>
      <c r="AO1244">
        <v>120</v>
      </c>
      <c r="AP1244">
        <v>-12</v>
      </c>
      <c r="AQ1244">
        <v>0</v>
      </c>
      <c r="AS1244">
        <v>0</v>
      </c>
      <c r="AT1244">
        <v>0</v>
      </c>
      <c r="AU1244">
        <v>120</v>
      </c>
      <c r="AV1244">
        <v>-12</v>
      </c>
      <c r="AW1244">
        <v>0</v>
      </c>
      <c r="AY1244">
        <v>0</v>
      </c>
      <c r="AZ1244">
        <v>0</v>
      </c>
      <c r="BA1244">
        <v>145.6</v>
      </c>
      <c r="BE1244" t="str">
        <f>T("9791164097173")</f>
        <v>9791164097173</v>
      </c>
      <c r="BF1244" t="str">
        <f>T("N105531")</f>
        <v>N105531</v>
      </c>
      <c r="BG1244" t="str">
        <f>T("로판 웹소설 &gt; 서양풍 로판")</f>
        <v>로판 웹소설 &gt; 서양풍 로판</v>
      </c>
    </row>
    <row r="1245" spans="1:59">
      <c r="A1245" t="s">
        <v>60</v>
      </c>
      <c r="B1245" s="1">
        <v>46131</v>
      </c>
      <c r="C1245">
        <v>2378036275</v>
      </c>
      <c r="D1245">
        <v>2378036280</v>
      </c>
      <c r="E1245" t="str">
        <f>T("구원자가 도망친 밤 6화")</f>
        <v>구원자가 도망친 밤 6화</v>
      </c>
      <c r="F1245">
        <v>6</v>
      </c>
      <c r="G1245" t="str">
        <f>T("얼든트")</f>
        <v>얼든트</v>
      </c>
      <c r="J1245" t="str">
        <f>T("시계토끼")</f>
        <v>시계토끼</v>
      </c>
      <c r="K1245" t="str">
        <f>T("구원자가 도망친 밤")</f>
        <v>구원자가 도망친 밤</v>
      </c>
      <c r="L1245">
        <v>100</v>
      </c>
      <c r="M1245">
        <v>200</v>
      </c>
      <c r="N1245">
        <v>2</v>
      </c>
      <c r="O1245">
        <v>0</v>
      </c>
      <c r="P1245">
        <v>0</v>
      </c>
      <c r="Q1245">
        <v>0</v>
      </c>
      <c r="R1245">
        <v>1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200</v>
      </c>
      <c r="AJ1245">
        <v>3</v>
      </c>
      <c r="AK1245">
        <v>0</v>
      </c>
      <c r="AL1245">
        <v>0</v>
      </c>
      <c r="AM1245">
        <v>100</v>
      </c>
      <c r="AN1245">
        <v>0</v>
      </c>
      <c r="AO1245">
        <v>120</v>
      </c>
      <c r="AP1245">
        <v>-12</v>
      </c>
      <c r="AQ1245">
        <v>0</v>
      </c>
      <c r="AS1245">
        <v>0</v>
      </c>
      <c r="AT1245">
        <v>0</v>
      </c>
      <c r="AU1245">
        <v>120</v>
      </c>
      <c r="AV1245">
        <v>-12</v>
      </c>
      <c r="AW1245">
        <v>0</v>
      </c>
      <c r="AY1245">
        <v>0</v>
      </c>
      <c r="AZ1245">
        <v>0</v>
      </c>
      <c r="BA1245">
        <v>145.6</v>
      </c>
      <c r="BE1245" t="str">
        <f>T("9791164097173")</f>
        <v>9791164097173</v>
      </c>
      <c r="BF1245" t="str">
        <f>T("N105532")</f>
        <v>N105532</v>
      </c>
      <c r="BG1245" t="str">
        <f>T("로판 웹소설 &gt; 서양풍 로판")</f>
        <v>로판 웹소설 &gt; 서양풍 로판</v>
      </c>
    </row>
    <row r="1246" spans="1:59">
      <c r="A1246" t="s">
        <v>60</v>
      </c>
      <c r="B1246" s="1">
        <v>46131</v>
      </c>
      <c r="C1246">
        <v>2378036275</v>
      </c>
      <c r="D1246">
        <v>2378036276</v>
      </c>
      <c r="E1246" t="str">
        <f>T("구원자가 도망친 밤 2화")</f>
        <v>구원자가 도망친 밤 2화</v>
      </c>
      <c r="F1246">
        <v>2</v>
      </c>
      <c r="G1246" t="str">
        <f>T("얼든트")</f>
        <v>얼든트</v>
      </c>
      <c r="J1246" t="str">
        <f>T("시계토끼")</f>
        <v>시계토끼</v>
      </c>
      <c r="K1246" t="str">
        <f>T("구원자가 도망친 밤")</f>
        <v>구원자가 도망친 밤</v>
      </c>
      <c r="L1246">
        <v>0</v>
      </c>
      <c r="M1246">
        <v>0</v>
      </c>
      <c r="N1246">
        <v>0</v>
      </c>
      <c r="O1246">
        <v>3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3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S1246">
        <v>0</v>
      </c>
      <c r="AT1246">
        <v>0</v>
      </c>
      <c r="AV1246">
        <v>0</v>
      </c>
      <c r="AW1246">
        <v>0</v>
      </c>
      <c r="AY1246">
        <v>0</v>
      </c>
      <c r="AZ1246">
        <v>0</v>
      </c>
      <c r="BA1246">
        <v>0</v>
      </c>
      <c r="BE1246" t="str">
        <f>T("9791164097173")</f>
        <v>9791164097173</v>
      </c>
      <c r="BF1246" t="str">
        <f>T("N105528")</f>
        <v>N105528</v>
      </c>
      <c r="BG1246" t="str">
        <f>T("로판 웹소설 &gt; 서양풍 로판")</f>
        <v>로판 웹소설 &gt; 서양풍 로판</v>
      </c>
    </row>
    <row r="1247" spans="1:59">
      <c r="A1247" t="s">
        <v>60</v>
      </c>
      <c r="B1247" s="1">
        <v>46131</v>
      </c>
      <c r="C1247">
        <v>2378036275</v>
      </c>
      <c r="D1247">
        <v>2378036277</v>
      </c>
      <c r="E1247" t="str">
        <f>T("구원자가 도망친 밤 3화")</f>
        <v>구원자가 도망친 밤 3화</v>
      </c>
      <c r="F1247">
        <v>3</v>
      </c>
      <c r="G1247" t="str">
        <f>T("얼든트")</f>
        <v>얼든트</v>
      </c>
      <c r="J1247" t="str">
        <f>T("시계토끼")</f>
        <v>시계토끼</v>
      </c>
      <c r="K1247" t="str">
        <f>T("구원자가 도망친 밤")</f>
        <v>구원자가 도망친 밤</v>
      </c>
      <c r="L1247">
        <v>0</v>
      </c>
      <c r="M1247">
        <v>0</v>
      </c>
      <c r="N1247">
        <v>0</v>
      </c>
      <c r="O1247">
        <v>3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0</v>
      </c>
      <c r="AJ1247">
        <v>3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S1247">
        <v>0</v>
      </c>
      <c r="AT1247">
        <v>0</v>
      </c>
      <c r="AV1247">
        <v>0</v>
      </c>
      <c r="AW1247">
        <v>0</v>
      </c>
      <c r="AY1247">
        <v>0</v>
      </c>
      <c r="AZ1247">
        <v>0</v>
      </c>
      <c r="BA1247">
        <v>0</v>
      </c>
      <c r="BE1247" t="str">
        <f>T("9791164097173")</f>
        <v>9791164097173</v>
      </c>
      <c r="BF1247" t="str">
        <f>T("N105529")</f>
        <v>N105529</v>
      </c>
      <c r="BG1247" t="str">
        <f>T("로판 웹소설 &gt; 서양풍 로판")</f>
        <v>로판 웹소설 &gt; 서양풍 로판</v>
      </c>
    </row>
    <row r="1248" spans="1:59">
      <c r="A1248" t="s">
        <v>60</v>
      </c>
      <c r="B1248" s="1">
        <v>46131</v>
      </c>
      <c r="C1248">
        <v>2378036275</v>
      </c>
      <c r="D1248">
        <v>2378040518</v>
      </c>
      <c r="E1248" t="str">
        <f>T("구원자가 도망친 밤 137화")</f>
        <v>구원자가 도망친 밤 137화</v>
      </c>
      <c r="F1248">
        <v>137</v>
      </c>
      <c r="G1248" t="str">
        <f>T("얼든트")</f>
        <v>얼든트</v>
      </c>
      <c r="J1248" t="str">
        <f>T("시계토끼")</f>
        <v>시계토끼</v>
      </c>
      <c r="K1248" t="str">
        <f>T("구원자가 도망친 밤")</f>
        <v>구원자가 도망친 밤</v>
      </c>
      <c r="L1248">
        <v>100</v>
      </c>
      <c r="M1248">
        <v>200</v>
      </c>
      <c r="N1248">
        <v>2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200</v>
      </c>
      <c r="AJ1248">
        <v>2</v>
      </c>
      <c r="AK1248">
        <v>0</v>
      </c>
      <c r="AL1248">
        <v>0</v>
      </c>
      <c r="AM1248">
        <v>200</v>
      </c>
      <c r="AN1248">
        <v>0</v>
      </c>
      <c r="AO1248">
        <v>0</v>
      </c>
      <c r="AP1248">
        <v>0</v>
      </c>
      <c r="AQ1248">
        <v>0</v>
      </c>
      <c r="AS1248">
        <v>0</v>
      </c>
      <c r="AT1248">
        <v>0</v>
      </c>
      <c r="AV1248">
        <v>0</v>
      </c>
      <c r="AW1248">
        <v>0</v>
      </c>
      <c r="AY1248">
        <v>0</v>
      </c>
      <c r="AZ1248">
        <v>0</v>
      </c>
      <c r="BA1248">
        <v>140</v>
      </c>
      <c r="BE1248" t="str">
        <f>T("9791164097173")</f>
        <v>9791164097173</v>
      </c>
      <c r="BF1248" t="str">
        <f>T("N182018")</f>
        <v>N182018</v>
      </c>
      <c r="BG1248" t="str">
        <f>T("로판 웹소설 &gt; 서양풍 로판")</f>
        <v>로판 웹소설 &gt; 서양풍 로판</v>
      </c>
    </row>
    <row r="1249" spans="1:59">
      <c r="A1249" t="s">
        <v>60</v>
      </c>
      <c r="B1249" s="1">
        <v>46131</v>
      </c>
      <c r="C1249">
        <v>2378036275</v>
      </c>
      <c r="D1249">
        <v>2378036281</v>
      </c>
      <c r="E1249" t="str">
        <f>T("구원자가 도망친 밤 7화")</f>
        <v>구원자가 도망친 밤 7화</v>
      </c>
      <c r="F1249">
        <v>7</v>
      </c>
      <c r="G1249" t="str">
        <f>T("얼든트")</f>
        <v>얼든트</v>
      </c>
      <c r="J1249" t="str">
        <f>T("시계토끼")</f>
        <v>시계토끼</v>
      </c>
      <c r="K1249" t="str">
        <f>T("구원자가 도망친 밤")</f>
        <v>구원자가 도망친 밤</v>
      </c>
      <c r="L1249">
        <v>100</v>
      </c>
      <c r="M1249">
        <v>200</v>
      </c>
      <c r="N1249">
        <v>2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200</v>
      </c>
      <c r="AJ1249">
        <v>2</v>
      </c>
      <c r="AK1249">
        <v>0</v>
      </c>
      <c r="AL1249">
        <v>0</v>
      </c>
      <c r="AM1249">
        <v>100</v>
      </c>
      <c r="AN1249">
        <v>0</v>
      </c>
      <c r="AO1249">
        <v>120</v>
      </c>
      <c r="AP1249">
        <v>-12</v>
      </c>
      <c r="AQ1249">
        <v>0</v>
      </c>
      <c r="AS1249">
        <v>0</v>
      </c>
      <c r="AT1249">
        <v>0</v>
      </c>
      <c r="AU1249">
        <v>120</v>
      </c>
      <c r="AV1249">
        <v>-12</v>
      </c>
      <c r="AW1249">
        <v>0</v>
      </c>
      <c r="AY1249">
        <v>0</v>
      </c>
      <c r="AZ1249">
        <v>0</v>
      </c>
      <c r="BA1249">
        <v>145.6</v>
      </c>
      <c r="BE1249" t="str">
        <f>T("9791164097173")</f>
        <v>9791164097173</v>
      </c>
      <c r="BF1249" t="str">
        <f>T("N105533")</f>
        <v>N105533</v>
      </c>
      <c r="BG1249" t="str">
        <f>T("로판 웹소설 &gt; 서양풍 로판")</f>
        <v>로판 웹소설 &gt; 서양풍 로판</v>
      </c>
    </row>
    <row r="1250" spans="1:59">
      <c r="A1250" t="s">
        <v>60</v>
      </c>
      <c r="B1250" s="1">
        <v>46131</v>
      </c>
      <c r="C1250">
        <v>2378036275</v>
      </c>
      <c r="D1250">
        <v>2378036282</v>
      </c>
      <c r="E1250" t="str">
        <f>T("구원자가 도망친 밤 8화")</f>
        <v>구원자가 도망친 밤 8화</v>
      </c>
      <c r="F1250">
        <v>8</v>
      </c>
      <c r="G1250" t="str">
        <f>T("얼든트")</f>
        <v>얼든트</v>
      </c>
      <c r="J1250" t="str">
        <f>T("시계토끼")</f>
        <v>시계토끼</v>
      </c>
      <c r="K1250" t="str">
        <f>T("구원자가 도망친 밤")</f>
        <v>구원자가 도망친 밤</v>
      </c>
      <c r="L1250">
        <v>100</v>
      </c>
      <c r="M1250">
        <v>200</v>
      </c>
      <c r="N1250">
        <v>2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200</v>
      </c>
      <c r="AJ1250">
        <v>2</v>
      </c>
      <c r="AK1250">
        <v>0</v>
      </c>
      <c r="AL1250">
        <v>0</v>
      </c>
      <c r="AM1250">
        <v>100</v>
      </c>
      <c r="AN1250">
        <v>0</v>
      </c>
      <c r="AO1250">
        <v>120</v>
      </c>
      <c r="AP1250">
        <v>-12</v>
      </c>
      <c r="AQ1250">
        <v>0</v>
      </c>
      <c r="AS1250">
        <v>0</v>
      </c>
      <c r="AT1250">
        <v>0</v>
      </c>
      <c r="AU1250">
        <v>120</v>
      </c>
      <c r="AV1250">
        <v>-12</v>
      </c>
      <c r="AW1250">
        <v>0</v>
      </c>
      <c r="AY1250">
        <v>0</v>
      </c>
      <c r="AZ1250">
        <v>0</v>
      </c>
      <c r="BA1250">
        <v>145.6</v>
      </c>
      <c r="BE1250" t="str">
        <f>T("9791164097173")</f>
        <v>9791164097173</v>
      </c>
      <c r="BF1250" t="str">
        <f>T("N105534")</f>
        <v>N105534</v>
      </c>
      <c r="BG1250" t="str">
        <f>T("로판 웹소설 &gt; 서양풍 로판")</f>
        <v>로판 웹소설 &gt; 서양풍 로판</v>
      </c>
    </row>
    <row r="1251" spans="1:59">
      <c r="A1251" t="s">
        <v>60</v>
      </c>
      <c r="B1251" s="1">
        <v>46131</v>
      </c>
      <c r="C1251">
        <v>2378036275</v>
      </c>
      <c r="D1251">
        <v>2378036283</v>
      </c>
      <c r="E1251" t="str">
        <f>T("구원자가 도망친 밤 9화")</f>
        <v>구원자가 도망친 밤 9화</v>
      </c>
      <c r="F1251">
        <v>9</v>
      </c>
      <c r="G1251" t="str">
        <f>T("얼든트")</f>
        <v>얼든트</v>
      </c>
      <c r="J1251" t="str">
        <f>T("시계토끼")</f>
        <v>시계토끼</v>
      </c>
      <c r="K1251" t="str">
        <f>T("구원자가 도망친 밤")</f>
        <v>구원자가 도망친 밤</v>
      </c>
      <c r="L1251">
        <v>100</v>
      </c>
      <c r="M1251">
        <v>200</v>
      </c>
      <c r="N1251">
        <v>2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200</v>
      </c>
      <c r="AJ1251">
        <v>2</v>
      </c>
      <c r="AK1251">
        <v>0</v>
      </c>
      <c r="AL1251">
        <v>0</v>
      </c>
      <c r="AM1251">
        <v>100</v>
      </c>
      <c r="AN1251">
        <v>0</v>
      </c>
      <c r="AO1251">
        <v>120</v>
      </c>
      <c r="AP1251">
        <v>-12</v>
      </c>
      <c r="AQ1251">
        <v>0</v>
      </c>
      <c r="AS1251">
        <v>0</v>
      </c>
      <c r="AT1251">
        <v>0</v>
      </c>
      <c r="AU1251">
        <v>120</v>
      </c>
      <c r="AV1251">
        <v>-12</v>
      </c>
      <c r="AW1251">
        <v>0</v>
      </c>
      <c r="AY1251">
        <v>0</v>
      </c>
      <c r="AZ1251">
        <v>0</v>
      </c>
      <c r="BA1251">
        <v>145.6</v>
      </c>
      <c r="BE1251" t="str">
        <f>T("9791164097173")</f>
        <v>9791164097173</v>
      </c>
      <c r="BF1251" t="str">
        <f>T("N105535")</f>
        <v>N105535</v>
      </c>
      <c r="BG1251" t="str">
        <f>T("로판 웹소설 &gt; 서양풍 로판")</f>
        <v>로판 웹소설 &gt; 서양풍 로판</v>
      </c>
    </row>
    <row r="1252" spans="1:59">
      <c r="A1252" t="s">
        <v>60</v>
      </c>
      <c r="B1252" s="1">
        <v>46131</v>
      </c>
      <c r="C1252">
        <v>2378036275</v>
      </c>
      <c r="D1252">
        <v>2378036284</v>
      </c>
      <c r="E1252" t="str">
        <f>T("구원자가 도망친 밤 10화")</f>
        <v>구원자가 도망친 밤 10화</v>
      </c>
      <c r="F1252">
        <v>10</v>
      </c>
      <c r="G1252" t="str">
        <f>T("얼든트")</f>
        <v>얼든트</v>
      </c>
      <c r="J1252" t="str">
        <f>T("시계토끼")</f>
        <v>시계토끼</v>
      </c>
      <c r="K1252" t="str">
        <f>T("구원자가 도망친 밤")</f>
        <v>구원자가 도망친 밤</v>
      </c>
      <c r="L1252">
        <v>100</v>
      </c>
      <c r="M1252">
        <v>200</v>
      </c>
      <c r="N1252">
        <v>2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200</v>
      </c>
      <c r="AJ1252">
        <v>2</v>
      </c>
      <c r="AK1252">
        <v>0</v>
      </c>
      <c r="AL1252">
        <v>0</v>
      </c>
      <c r="AM1252">
        <v>100</v>
      </c>
      <c r="AN1252">
        <v>0</v>
      </c>
      <c r="AO1252">
        <v>120</v>
      </c>
      <c r="AP1252">
        <v>-12</v>
      </c>
      <c r="AQ1252">
        <v>0</v>
      </c>
      <c r="AS1252">
        <v>0</v>
      </c>
      <c r="AT1252">
        <v>0</v>
      </c>
      <c r="AU1252">
        <v>120</v>
      </c>
      <c r="AV1252">
        <v>-12</v>
      </c>
      <c r="AW1252">
        <v>0</v>
      </c>
      <c r="AY1252">
        <v>0</v>
      </c>
      <c r="AZ1252">
        <v>0</v>
      </c>
      <c r="BA1252">
        <v>145.6</v>
      </c>
      <c r="BE1252" t="str">
        <f>T("9791164097173")</f>
        <v>9791164097173</v>
      </c>
      <c r="BF1252" t="str">
        <f>T("N105536")</f>
        <v>N105536</v>
      </c>
      <c r="BG1252" t="str">
        <f>T("로판 웹소설 &gt; 서양풍 로판")</f>
        <v>로판 웹소설 &gt; 서양풍 로판</v>
      </c>
    </row>
    <row r="1253" spans="1:59">
      <c r="A1253" t="s">
        <v>60</v>
      </c>
      <c r="B1253" s="1">
        <v>46131</v>
      </c>
      <c r="C1253">
        <v>2378036275</v>
      </c>
      <c r="D1253">
        <v>2378036285</v>
      </c>
      <c r="E1253" t="str">
        <f>T("구원자가 도망친 밤 11화")</f>
        <v>구원자가 도망친 밤 11화</v>
      </c>
      <c r="F1253">
        <v>11</v>
      </c>
      <c r="G1253" t="str">
        <f>T("얼든트")</f>
        <v>얼든트</v>
      </c>
      <c r="J1253" t="str">
        <f>T("시계토끼")</f>
        <v>시계토끼</v>
      </c>
      <c r="K1253" t="str">
        <f>T("구원자가 도망친 밤")</f>
        <v>구원자가 도망친 밤</v>
      </c>
      <c r="L1253">
        <v>100</v>
      </c>
      <c r="M1253">
        <v>200</v>
      </c>
      <c r="N1253">
        <v>2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200</v>
      </c>
      <c r="AJ1253">
        <v>2</v>
      </c>
      <c r="AK1253">
        <v>0</v>
      </c>
      <c r="AL1253">
        <v>0</v>
      </c>
      <c r="AM1253">
        <v>100</v>
      </c>
      <c r="AN1253">
        <v>0</v>
      </c>
      <c r="AO1253">
        <v>120</v>
      </c>
      <c r="AP1253">
        <v>-12</v>
      </c>
      <c r="AQ1253">
        <v>0</v>
      </c>
      <c r="AS1253">
        <v>0</v>
      </c>
      <c r="AT1253">
        <v>0</v>
      </c>
      <c r="AU1253">
        <v>120</v>
      </c>
      <c r="AV1253">
        <v>-12</v>
      </c>
      <c r="AW1253">
        <v>0</v>
      </c>
      <c r="AY1253">
        <v>0</v>
      </c>
      <c r="AZ1253">
        <v>0</v>
      </c>
      <c r="BA1253">
        <v>145.6</v>
      </c>
      <c r="BE1253" t="str">
        <f>T("9791164097173")</f>
        <v>9791164097173</v>
      </c>
      <c r="BF1253" t="str">
        <f>T("N105537")</f>
        <v>N105537</v>
      </c>
      <c r="BG1253" t="str">
        <f>T("로판 웹소설 &gt; 서양풍 로판")</f>
        <v>로판 웹소설 &gt; 서양풍 로판</v>
      </c>
    </row>
    <row r="1254" spans="1:59">
      <c r="A1254" t="s">
        <v>60</v>
      </c>
      <c r="B1254" s="1">
        <v>46131</v>
      </c>
      <c r="C1254">
        <v>2378036275</v>
      </c>
      <c r="D1254">
        <v>2378036286</v>
      </c>
      <c r="E1254" t="str">
        <f>T("구원자가 도망친 밤 12화")</f>
        <v>구원자가 도망친 밤 12화</v>
      </c>
      <c r="F1254">
        <v>12</v>
      </c>
      <c r="G1254" t="str">
        <f>T("얼든트")</f>
        <v>얼든트</v>
      </c>
      <c r="J1254" t="str">
        <f>T("시계토끼")</f>
        <v>시계토끼</v>
      </c>
      <c r="K1254" t="str">
        <f>T("구원자가 도망친 밤")</f>
        <v>구원자가 도망친 밤</v>
      </c>
      <c r="L1254">
        <v>100</v>
      </c>
      <c r="M1254">
        <v>200</v>
      </c>
      <c r="N1254">
        <v>2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200</v>
      </c>
      <c r="AJ1254">
        <v>2</v>
      </c>
      <c r="AK1254">
        <v>0</v>
      </c>
      <c r="AL1254">
        <v>0</v>
      </c>
      <c r="AM1254">
        <v>100</v>
      </c>
      <c r="AN1254">
        <v>0</v>
      </c>
      <c r="AO1254">
        <v>120</v>
      </c>
      <c r="AP1254">
        <v>-12</v>
      </c>
      <c r="AQ1254">
        <v>0</v>
      </c>
      <c r="AS1254">
        <v>0</v>
      </c>
      <c r="AT1254">
        <v>0</v>
      </c>
      <c r="AU1254">
        <v>120</v>
      </c>
      <c r="AV1254">
        <v>-12</v>
      </c>
      <c r="AW1254">
        <v>0</v>
      </c>
      <c r="AY1254">
        <v>0</v>
      </c>
      <c r="AZ1254">
        <v>0</v>
      </c>
      <c r="BA1254">
        <v>145.6</v>
      </c>
      <c r="BE1254" t="str">
        <f>T("9791164097173")</f>
        <v>9791164097173</v>
      </c>
      <c r="BF1254" t="str">
        <f>T("N105538")</f>
        <v>N105538</v>
      </c>
      <c r="BG1254" t="str">
        <f>T("로판 웹소설 &gt; 서양풍 로판")</f>
        <v>로판 웹소설 &gt; 서양풍 로판</v>
      </c>
    </row>
    <row r="1255" spans="1:59">
      <c r="A1255" t="s">
        <v>60</v>
      </c>
      <c r="B1255" s="1">
        <v>46131</v>
      </c>
      <c r="C1255">
        <v>2378036275</v>
      </c>
      <c r="D1255">
        <v>2378036287</v>
      </c>
      <c r="E1255" t="str">
        <f>T("구원자가 도망친 밤 13화")</f>
        <v>구원자가 도망친 밤 13화</v>
      </c>
      <c r="F1255">
        <v>13</v>
      </c>
      <c r="G1255" t="str">
        <f>T("얼든트")</f>
        <v>얼든트</v>
      </c>
      <c r="J1255" t="str">
        <f>T("시계토끼")</f>
        <v>시계토끼</v>
      </c>
      <c r="K1255" t="str">
        <f>T("구원자가 도망친 밤")</f>
        <v>구원자가 도망친 밤</v>
      </c>
      <c r="L1255">
        <v>100</v>
      </c>
      <c r="M1255">
        <v>200</v>
      </c>
      <c r="N1255">
        <v>2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200</v>
      </c>
      <c r="AJ1255">
        <v>2</v>
      </c>
      <c r="AK1255">
        <v>0</v>
      </c>
      <c r="AL1255">
        <v>0</v>
      </c>
      <c r="AM1255">
        <v>100</v>
      </c>
      <c r="AN1255">
        <v>0</v>
      </c>
      <c r="AO1255">
        <v>120</v>
      </c>
      <c r="AP1255">
        <v>-12</v>
      </c>
      <c r="AQ1255">
        <v>0</v>
      </c>
      <c r="AS1255">
        <v>0</v>
      </c>
      <c r="AT1255">
        <v>0</v>
      </c>
      <c r="AU1255">
        <v>120</v>
      </c>
      <c r="AV1255">
        <v>-12</v>
      </c>
      <c r="AW1255">
        <v>0</v>
      </c>
      <c r="AY1255">
        <v>0</v>
      </c>
      <c r="AZ1255">
        <v>0</v>
      </c>
      <c r="BA1255">
        <v>145.6</v>
      </c>
      <c r="BE1255" t="str">
        <f>T("9791164097173")</f>
        <v>9791164097173</v>
      </c>
      <c r="BF1255" t="str">
        <f>T("N105539")</f>
        <v>N105539</v>
      </c>
      <c r="BG1255" t="str">
        <f>T("로판 웹소설 &gt; 서양풍 로판")</f>
        <v>로판 웹소설 &gt; 서양풍 로판</v>
      </c>
    </row>
    <row r="1256" spans="1:59">
      <c r="A1256" t="s">
        <v>60</v>
      </c>
      <c r="B1256" s="1">
        <v>46131</v>
      </c>
      <c r="C1256">
        <v>2378036275</v>
      </c>
      <c r="D1256">
        <v>2378036288</v>
      </c>
      <c r="E1256" t="str">
        <f>T("구원자가 도망친 밤 14화")</f>
        <v>구원자가 도망친 밤 14화</v>
      </c>
      <c r="F1256">
        <v>14</v>
      </c>
      <c r="G1256" t="str">
        <f>T("얼든트")</f>
        <v>얼든트</v>
      </c>
      <c r="J1256" t="str">
        <f>T("시계토끼")</f>
        <v>시계토끼</v>
      </c>
      <c r="K1256" t="str">
        <f>T("구원자가 도망친 밤")</f>
        <v>구원자가 도망친 밤</v>
      </c>
      <c r="L1256">
        <v>100</v>
      </c>
      <c r="M1256">
        <v>200</v>
      </c>
      <c r="N1256">
        <v>2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200</v>
      </c>
      <c r="AJ1256">
        <v>2</v>
      </c>
      <c r="AK1256">
        <v>0</v>
      </c>
      <c r="AL1256">
        <v>0</v>
      </c>
      <c r="AM1256">
        <v>100</v>
      </c>
      <c r="AN1256">
        <v>0</v>
      </c>
      <c r="AO1256">
        <v>120</v>
      </c>
      <c r="AP1256">
        <v>-12</v>
      </c>
      <c r="AQ1256">
        <v>0</v>
      </c>
      <c r="AS1256">
        <v>0</v>
      </c>
      <c r="AT1256">
        <v>0</v>
      </c>
      <c r="AU1256">
        <v>120</v>
      </c>
      <c r="AV1256">
        <v>-12</v>
      </c>
      <c r="AW1256">
        <v>0</v>
      </c>
      <c r="AY1256">
        <v>0</v>
      </c>
      <c r="AZ1256">
        <v>0</v>
      </c>
      <c r="BA1256">
        <v>145.6</v>
      </c>
      <c r="BE1256" t="str">
        <f>T("9791164097173")</f>
        <v>9791164097173</v>
      </c>
      <c r="BF1256" t="str">
        <f>T("N105540")</f>
        <v>N105540</v>
      </c>
      <c r="BG1256" t="str">
        <f>T("로판 웹소설 &gt; 서양풍 로판")</f>
        <v>로판 웹소설 &gt; 서양풍 로판</v>
      </c>
    </row>
    <row r="1257" spans="1:59">
      <c r="A1257" t="s">
        <v>60</v>
      </c>
      <c r="B1257" s="1">
        <v>46131</v>
      </c>
      <c r="C1257">
        <v>2378036275</v>
      </c>
      <c r="D1257">
        <v>2378036289</v>
      </c>
      <c r="E1257" t="str">
        <f>T("구원자가 도망친 밤 15화")</f>
        <v>구원자가 도망친 밤 15화</v>
      </c>
      <c r="F1257">
        <v>15</v>
      </c>
      <c r="G1257" t="str">
        <f>T("얼든트")</f>
        <v>얼든트</v>
      </c>
      <c r="J1257" t="str">
        <f>T("시계토끼")</f>
        <v>시계토끼</v>
      </c>
      <c r="K1257" t="str">
        <f>T("구원자가 도망친 밤")</f>
        <v>구원자가 도망친 밤</v>
      </c>
      <c r="L1257">
        <v>100</v>
      </c>
      <c r="M1257">
        <v>200</v>
      </c>
      <c r="N1257">
        <v>2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200</v>
      </c>
      <c r="AJ1257">
        <v>2</v>
      </c>
      <c r="AK1257">
        <v>0</v>
      </c>
      <c r="AL1257">
        <v>0</v>
      </c>
      <c r="AM1257">
        <v>100</v>
      </c>
      <c r="AN1257">
        <v>0</v>
      </c>
      <c r="AO1257">
        <v>120</v>
      </c>
      <c r="AP1257">
        <v>-12</v>
      </c>
      <c r="AQ1257">
        <v>0</v>
      </c>
      <c r="AS1257">
        <v>0</v>
      </c>
      <c r="AT1257">
        <v>0</v>
      </c>
      <c r="AU1257">
        <v>120</v>
      </c>
      <c r="AV1257">
        <v>-12</v>
      </c>
      <c r="AW1257">
        <v>0</v>
      </c>
      <c r="AY1257">
        <v>0</v>
      </c>
      <c r="AZ1257">
        <v>0</v>
      </c>
      <c r="BA1257">
        <v>145.6</v>
      </c>
      <c r="BE1257" t="str">
        <f>T("9791164097173")</f>
        <v>9791164097173</v>
      </c>
      <c r="BF1257" t="str">
        <f>T("N105541")</f>
        <v>N105541</v>
      </c>
      <c r="BG1257" t="str">
        <f>T("로판 웹소설 &gt; 서양풍 로판")</f>
        <v>로판 웹소설 &gt; 서양풍 로판</v>
      </c>
    </row>
    <row r="1258" spans="1:59">
      <c r="A1258" t="s">
        <v>60</v>
      </c>
      <c r="B1258" s="1">
        <v>46131</v>
      </c>
      <c r="C1258">
        <v>2378036275</v>
      </c>
      <c r="D1258">
        <v>2378036290</v>
      </c>
      <c r="E1258" t="str">
        <f>T("구원자가 도망친 밤 16화")</f>
        <v>구원자가 도망친 밤 16화</v>
      </c>
      <c r="F1258">
        <v>16</v>
      </c>
      <c r="G1258" t="str">
        <f>T("얼든트")</f>
        <v>얼든트</v>
      </c>
      <c r="J1258" t="str">
        <f>T("시계토끼")</f>
        <v>시계토끼</v>
      </c>
      <c r="K1258" t="str">
        <f>T("구원자가 도망친 밤")</f>
        <v>구원자가 도망친 밤</v>
      </c>
      <c r="L1258">
        <v>100</v>
      </c>
      <c r="M1258">
        <v>200</v>
      </c>
      <c r="N1258">
        <v>2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200</v>
      </c>
      <c r="AJ1258">
        <v>2</v>
      </c>
      <c r="AK1258">
        <v>0</v>
      </c>
      <c r="AL1258">
        <v>0</v>
      </c>
      <c r="AM1258">
        <v>100</v>
      </c>
      <c r="AN1258">
        <v>0</v>
      </c>
      <c r="AO1258">
        <v>120</v>
      </c>
      <c r="AP1258">
        <v>-12</v>
      </c>
      <c r="AQ1258">
        <v>0</v>
      </c>
      <c r="AS1258">
        <v>0</v>
      </c>
      <c r="AT1258">
        <v>0</v>
      </c>
      <c r="AU1258">
        <v>120</v>
      </c>
      <c r="AV1258">
        <v>-12</v>
      </c>
      <c r="AW1258">
        <v>0</v>
      </c>
      <c r="AY1258">
        <v>0</v>
      </c>
      <c r="AZ1258">
        <v>0</v>
      </c>
      <c r="BA1258">
        <v>145.6</v>
      </c>
      <c r="BE1258" t="str">
        <f>T("9791164097173")</f>
        <v>9791164097173</v>
      </c>
      <c r="BF1258" t="str">
        <f>T("N105542")</f>
        <v>N105542</v>
      </c>
      <c r="BG1258" t="str">
        <f>T("로판 웹소설 &gt; 서양풍 로판")</f>
        <v>로판 웹소설 &gt; 서양풍 로판</v>
      </c>
    </row>
    <row r="1259" spans="1:59">
      <c r="A1259" t="s">
        <v>60</v>
      </c>
      <c r="B1259" s="1">
        <v>46131</v>
      </c>
      <c r="C1259">
        <v>2378036275</v>
      </c>
      <c r="D1259">
        <v>2378036291</v>
      </c>
      <c r="E1259" t="str">
        <f>T("구원자가 도망친 밤 17화")</f>
        <v>구원자가 도망친 밤 17화</v>
      </c>
      <c r="F1259">
        <v>17</v>
      </c>
      <c r="G1259" t="str">
        <f>T("얼든트")</f>
        <v>얼든트</v>
      </c>
      <c r="J1259" t="str">
        <f>T("시계토끼")</f>
        <v>시계토끼</v>
      </c>
      <c r="K1259" t="str">
        <f>T("구원자가 도망친 밤")</f>
        <v>구원자가 도망친 밤</v>
      </c>
      <c r="L1259">
        <v>100</v>
      </c>
      <c r="M1259">
        <v>200</v>
      </c>
      <c r="N1259">
        <v>2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200</v>
      </c>
      <c r="AJ1259">
        <v>2</v>
      </c>
      <c r="AK1259">
        <v>0</v>
      </c>
      <c r="AL1259">
        <v>0</v>
      </c>
      <c r="AM1259">
        <v>100</v>
      </c>
      <c r="AN1259">
        <v>0</v>
      </c>
      <c r="AO1259">
        <v>120</v>
      </c>
      <c r="AP1259">
        <v>-12</v>
      </c>
      <c r="AQ1259">
        <v>0</v>
      </c>
      <c r="AS1259">
        <v>0</v>
      </c>
      <c r="AT1259">
        <v>0</v>
      </c>
      <c r="AU1259">
        <v>120</v>
      </c>
      <c r="AV1259">
        <v>-12</v>
      </c>
      <c r="AW1259">
        <v>0</v>
      </c>
      <c r="AY1259">
        <v>0</v>
      </c>
      <c r="AZ1259">
        <v>0</v>
      </c>
      <c r="BA1259">
        <v>145.6</v>
      </c>
      <c r="BE1259" t="str">
        <f>T("9791164097173")</f>
        <v>9791164097173</v>
      </c>
      <c r="BF1259" t="str">
        <f>T("N105543")</f>
        <v>N105543</v>
      </c>
      <c r="BG1259" t="str">
        <f>T("로판 웹소설 &gt; 서양풍 로판")</f>
        <v>로판 웹소설 &gt; 서양풍 로판</v>
      </c>
    </row>
    <row r="1260" spans="1:59">
      <c r="A1260" t="s">
        <v>60</v>
      </c>
      <c r="B1260" s="1">
        <v>46131</v>
      </c>
      <c r="C1260">
        <v>2378036275</v>
      </c>
      <c r="D1260">
        <v>2378036292</v>
      </c>
      <c r="E1260" t="str">
        <f>T("구원자가 도망친 밤 18화")</f>
        <v>구원자가 도망친 밤 18화</v>
      </c>
      <c r="F1260">
        <v>18</v>
      </c>
      <c r="G1260" t="str">
        <f>T("얼든트")</f>
        <v>얼든트</v>
      </c>
      <c r="J1260" t="str">
        <f>T("시계토끼")</f>
        <v>시계토끼</v>
      </c>
      <c r="K1260" t="str">
        <f>T("구원자가 도망친 밤")</f>
        <v>구원자가 도망친 밤</v>
      </c>
      <c r="L1260">
        <v>100</v>
      </c>
      <c r="M1260">
        <v>200</v>
      </c>
      <c r="N1260">
        <v>2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200</v>
      </c>
      <c r="AJ1260">
        <v>2</v>
      </c>
      <c r="AK1260">
        <v>0</v>
      </c>
      <c r="AL1260">
        <v>0</v>
      </c>
      <c r="AM1260">
        <v>100</v>
      </c>
      <c r="AN1260">
        <v>0</v>
      </c>
      <c r="AO1260">
        <v>120</v>
      </c>
      <c r="AP1260">
        <v>-12</v>
      </c>
      <c r="AQ1260">
        <v>0</v>
      </c>
      <c r="AS1260">
        <v>0</v>
      </c>
      <c r="AT1260">
        <v>0</v>
      </c>
      <c r="AU1260">
        <v>120</v>
      </c>
      <c r="AV1260">
        <v>-12</v>
      </c>
      <c r="AW1260">
        <v>0</v>
      </c>
      <c r="AY1260">
        <v>0</v>
      </c>
      <c r="AZ1260">
        <v>0</v>
      </c>
      <c r="BA1260">
        <v>145.6</v>
      </c>
      <c r="BE1260" t="str">
        <f>T("9791164097173")</f>
        <v>9791164097173</v>
      </c>
      <c r="BF1260" t="str">
        <f>T("N105544")</f>
        <v>N105544</v>
      </c>
      <c r="BG1260" t="str">
        <f>T("로판 웹소설 &gt; 서양풍 로판")</f>
        <v>로판 웹소설 &gt; 서양풍 로판</v>
      </c>
    </row>
    <row r="1261" spans="1:59">
      <c r="A1261" t="s">
        <v>60</v>
      </c>
      <c r="B1261" s="1">
        <v>46131</v>
      </c>
      <c r="C1261">
        <v>2378036275</v>
      </c>
      <c r="D1261">
        <v>2378036293</v>
      </c>
      <c r="E1261" t="str">
        <f>T("구원자가 도망친 밤 19화")</f>
        <v>구원자가 도망친 밤 19화</v>
      </c>
      <c r="F1261">
        <v>19</v>
      </c>
      <c r="G1261" t="str">
        <f>T("얼든트")</f>
        <v>얼든트</v>
      </c>
      <c r="J1261" t="str">
        <f>T("시계토끼")</f>
        <v>시계토끼</v>
      </c>
      <c r="K1261" t="str">
        <f>T("구원자가 도망친 밤")</f>
        <v>구원자가 도망친 밤</v>
      </c>
      <c r="L1261">
        <v>100</v>
      </c>
      <c r="M1261">
        <v>100</v>
      </c>
      <c r="N1261">
        <v>1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0</v>
      </c>
      <c r="AH1261">
        <v>0</v>
      </c>
      <c r="AI1261">
        <v>100</v>
      </c>
      <c r="AJ1261">
        <v>1</v>
      </c>
      <c r="AK1261">
        <v>0</v>
      </c>
      <c r="AL1261">
        <v>0</v>
      </c>
      <c r="AM1261">
        <v>100</v>
      </c>
      <c r="AN1261">
        <v>0</v>
      </c>
      <c r="AO1261">
        <v>0</v>
      </c>
      <c r="AP1261">
        <v>0</v>
      </c>
      <c r="AQ1261">
        <v>0</v>
      </c>
      <c r="AS1261">
        <v>0</v>
      </c>
      <c r="AT1261">
        <v>0</v>
      </c>
      <c r="AV1261">
        <v>0</v>
      </c>
      <c r="AW1261">
        <v>0</v>
      </c>
      <c r="AY1261">
        <v>0</v>
      </c>
      <c r="AZ1261">
        <v>0</v>
      </c>
      <c r="BA1261">
        <v>70</v>
      </c>
      <c r="BE1261" t="str">
        <f>T("9791164097173")</f>
        <v>9791164097173</v>
      </c>
      <c r="BF1261" t="str">
        <f>T("N105545")</f>
        <v>N105545</v>
      </c>
      <c r="BG1261" t="str">
        <f>T("로판 웹소설 &gt; 서양풍 로판")</f>
        <v>로판 웹소설 &gt; 서양풍 로판</v>
      </c>
    </row>
    <row r="1262" spans="1:59">
      <c r="A1262" t="s">
        <v>60</v>
      </c>
      <c r="B1262" s="1">
        <v>46131</v>
      </c>
      <c r="C1262">
        <v>2378036275</v>
      </c>
      <c r="D1262">
        <v>2378036294</v>
      </c>
      <c r="E1262" t="str">
        <f>T("구원자가 도망친 밤 20화")</f>
        <v>구원자가 도망친 밤 20화</v>
      </c>
      <c r="F1262">
        <v>20</v>
      </c>
      <c r="G1262" t="str">
        <f>T("얼든트")</f>
        <v>얼든트</v>
      </c>
      <c r="J1262" t="str">
        <f>T("시계토끼")</f>
        <v>시계토끼</v>
      </c>
      <c r="K1262" t="str">
        <f>T("구원자가 도망친 밤")</f>
        <v>구원자가 도망친 밤</v>
      </c>
      <c r="L1262">
        <v>100</v>
      </c>
      <c r="M1262">
        <v>100</v>
      </c>
      <c r="N1262">
        <v>1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100</v>
      </c>
      <c r="AJ1262">
        <v>1</v>
      </c>
      <c r="AK1262">
        <v>0</v>
      </c>
      <c r="AL1262">
        <v>0</v>
      </c>
      <c r="AM1262">
        <v>100</v>
      </c>
      <c r="AN1262">
        <v>0</v>
      </c>
      <c r="AO1262">
        <v>0</v>
      </c>
      <c r="AP1262">
        <v>0</v>
      </c>
      <c r="AQ1262">
        <v>0</v>
      </c>
      <c r="AS1262">
        <v>0</v>
      </c>
      <c r="AT1262">
        <v>0</v>
      </c>
      <c r="AV1262">
        <v>0</v>
      </c>
      <c r="AW1262">
        <v>0</v>
      </c>
      <c r="AY1262">
        <v>0</v>
      </c>
      <c r="AZ1262">
        <v>0</v>
      </c>
      <c r="BA1262">
        <v>70</v>
      </c>
      <c r="BE1262" t="str">
        <f>T("9791164097173")</f>
        <v>9791164097173</v>
      </c>
      <c r="BF1262" t="str">
        <f>T("N105546")</f>
        <v>N105546</v>
      </c>
      <c r="BG1262" t="str">
        <f>T("로판 웹소설 &gt; 서양풍 로판")</f>
        <v>로판 웹소설 &gt; 서양풍 로판</v>
      </c>
    </row>
    <row r="1263" spans="1:59">
      <c r="A1263" t="s">
        <v>60</v>
      </c>
      <c r="B1263" s="1">
        <v>46131</v>
      </c>
      <c r="C1263">
        <v>2378036275</v>
      </c>
      <c r="D1263">
        <v>2378036295</v>
      </c>
      <c r="E1263" t="str">
        <f>T("구원자가 도망친 밤 21화")</f>
        <v>구원자가 도망친 밤 21화</v>
      </c>
      <c r="F1263">
        <v>21</v>
      </c>
      <c r="G1263" t="str">
        <f>T("얼든트")</f>
        <v>얼든트</v>
      </c>
      <c r="J1263" t="str">
        <f>T("시계토끼")</f>
        <v>시계토끼</v>
      </c>
      <c r="K1263" t="str">
        <f>T("구원자가 도망친 밤")</f>
        <v>구원자가 도망친 밤</v>
      </c>
      <c r="L1263">
        <v>100</v>
      </c>
      <c r="M1263">
        <v>100</v>
      </c>
      <c r="N1263">
        <v>1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100</v>
      </c>
      <c r="AJ1263">
        <v>1</v>
      </c>
      <c r="AK1263">
        <v>0</v>
      </c>
      <c r="AL1263">
        <v>0</v>
      </c>
      <c r="AM1263">
        <v>100</v>
      </c>
      <c r="AN1263">
        <v>0</v>
      </c>
      <c r="AO1263">
        <v>0</v>
      </c>
      <c r="AP1263">
        <v>0</v>
      </c>
      <c r="AQ1263">
        <v>0</v>
      </c>
      <c r="AS1263">
        <v>0</v>
      </c>
      <c r="AT1263">
        <v>0</v>
      </c>
      <c r="AV1263">
        <v>0</v>
      </c>
      <c r="AW1263">
        <v>0</v>
      </c>
      <c r="AY1263">
        <v>0</v>
      </c>
      <c r="AZ1263">
        <v>0</v>
      </c>
      <c r="BA1263">
        <v>70</v>
      </c>
      <c r="BE1263" t="str">
        <f>T("9791164097173")</f>
        <v>9791164097173</v>
      </c>
      <c r="BF1263" t="str">
        <f>T("N105547")</f>
        <v>N105547</v>
      </c>
      <c r="BG1263" t="str">
        <f>T("로판 웹소설 &gt; 서양풍 로판")</f>
        <v>로판 웹소설 &gt; 서양풍 로판</v>
      </c>
    </row>
    <row r="1264" spans="1:59">
      <c r="A1264" t="s">
        <v>60</v>
      </c>
      <c r="B1264" s="1">
        <v>46131</v>
      </c>
      <c r="C1264">
        <v>2378036275</v>
      </c>
      <c r="D1264">
        <v>2378036296</v>
      </c>
      <c r="E1264" t="str">
        <f>T("구원자가 도망친 밤 22화")</f>
        <v>구원자가 도망친 밤 22화</v>
      </c>
      <c r="F1264">
        <v>22</v>
      </c>
      <c r="G1264" t="str">
        <f>T("얼든트")</f>
        <v>얼든트</v>
      </c>
      <c r="J1264" t="str">
        <f>T("시계토끼")</f>
        <v>시계토끼</v>
      </c>
      <c r="K1264" t="str">
        <f>T("구원자가 도망친 밤")</f>
        <v>구원자가 도망친 밤</v>
      </c>
      <c r="L1264">
        <v>100</v>
      </c>
      <c r="M1264">
        <v>100</v>
      </c>
      <c r="N1264">
        <v>1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100</v>
      </c>
      <c r="AJ1264">
        <v>1</v>
      </c>
      <c r="AK1264">
        <v>0</v>
      </c>
      <c r="AL1264">
        <v>0</v>
      </c>
      <c r="AM1264">
        <v>100</v>
      </c>
      <c r="AN1264">
        <v>0</v>
      </c>
      <c r="AO1264">
        <v>0</v>
      </c>
      <c r="AP1264">
        <v>0</v>
      </c>
      <c r="AQ1264">
        <v>0</v>
      </c>
      <c r="AS1264">
        <v>0</v>
      </c>
      <c r="AT1264">
        <v>0</v>
      </c>
      <c r="AV1264">
        <v>0</v>
      </c>
      <c r="AW1264">
        <v>0</v>
      </c>
      <c r="AY1264">
        <v>0</v>
      </c>
      <c r="AZ1264">
        <v>0</v>
      </c>
      <c r="BA1264">
        <v>70</v>
      </c>
      <c r="BE1264" t="str">
        <f>T("9791164097173")</f>
        <v>9791164097173</v>
      </c>
      <c r="BF1264" t="str">
        <f>T("N105548")</f>
        <v>N105548</v>
      </c>
      <c r="BG1264" t="str">
        <f>T("로판 웹소설 &gt; 서양풍 로판")</f>
        <v>로판 웹소설 &gt; 서양풍 로판</v>
      </c>
    </row>
    <row r="1265" spans="1:59">
      <c r="A1265" t="s">
        <v>60</v>
      </c>
      <c r="B1265" s="1">
        <v>46131</v>
      </c>
      <c r="C1265">
        <v>2378036275</v>
      </c>
      <c r="D1265">
        <v>2378036297</v>
      </c>
      <c r="E1265" t="str">
        <f>T("구원자가 도망친 밤 23화")</f>
        <v>구원자가 도망친 밤 23화</v>
      </c>
      <c r="F1265">
        <v>23</v>
      </c>
      <c r="G1265" t="str">
        <f>T("얼든트")</f>
        <v>얼든트</v>
      </c>
      <c r="J1265" t="str">
        <f>T("시계토끼")</f>
        <v>시계토끼</v>
      </c>
      <c r="K1265" t="str">
        <f>T("구원자가 도망친 밤")</f>
        <v>구원자가 도망친 밤</v>
      </c>
      <c r="L1265">
        <v>100</v>
      </c>
      <c r="M1265">
        <v>100</v>
      </c>
      <c r="N1265">
        <v>1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100</v>
      </c>
      <c r="AJ1265">
        <v>1</v>
      </c>
      <c r="AK1265">
        <v>0</v>
      </c>
      <c r="AL1265">
        <v>0</v>
      </c>
      <c r="AM1265">
        <v>100</v>
      </c>
      <c r="AN1265">
        <v>0</v>
      </c>
      <c r="AO1265">
        <v>0</v>
      </c>
      <c r="AP1265">
        <v>0</v>
      </c>
      <c r="AQ1265">
        <v>0</v>
      </c>
      <c r="AS1265">
        <v>0</v>
      </c>
      <c r="AT1265">
        <v>0</v>
      </c>
      <c r="AV1265">
        <v>0</v>
      </c>
      <c r="AW1265">
        <v>0</v>
      </c>
      <c r="AY1265">
        <v>0</v>
      </c>
      <c r="AZ1265">
        <v>0</v>
      </c>
      <c r="BA1265">
        <v>70</v>
      </c>
      <c r="BE1265" t="str">
        <f>T("9791164097173")</f>
        <v>9791164097173</v>
      </c>
      <c r="BF1265" t="str">
        <f>T("N105549")</f>
        <v>N105549</v>
      </c>
      <c r="BG1265" t="str">
        <f>T("로판 웹소설 &gt; 서양풍 로판")</f>
        <v>로판 웹소설 &gt; 서양풍 로판</v>
      </c>
    </row>
    <row r="1266" spans="1:59">
      <c r="A1266" t="s">
        <v>60</v>
      </c>
      <c r="B1266" s="1">
        <v>46131</v>
      </c>
      <c r="C1266">
        <v>2378036275</v>
      </c>
      <c r="D1266">
        <v>2378036298</v>
      </c>
      <c r="E1266" t="str">
        <f>T("구원자가 도망친 밤 24화")</f>
        <v>구원자가 도망친 밤 24화</v>
      </c>
      <c r="F1266">
        <v>24</v>
      </c>
      <c r="G1266" t="str">
        <f>T("얼든트")</f>
        <v>얼든트</v>
      </c>
      <c r="J1266" t="str">
        <f>T("시계토끼")</f>
        <v>시계토끼</v>
      </c>
      <c r="K1266" t="str">
        <f>T("구원자가 도망친 밤")</f>
        <v>구원자가 도망친 밤</v>
      </c>
      <c r="L1266">
        <v>100</v>
      </c>
      <c r="M1266">
        <v>100</v>
      </c>
      <c r="N1266">
        <v>1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100</v>
      </c>
      <c r="AJ1266">
        <v>1</v>
      </c>
      <c r="AK1266">
        <v>0</v>
      </c>
      <c r="AL1266">
        <v>0</v>
      </c>
      <c r="AM1266">
        <v>100</v>
      </c>
      <c r="AN1266">
        <v>0</v>
      </c>
      <c r="AO1266">
        <v>0</v>
      </c>
      <c r="AP1266">
        <v>0</v>
      </c>
      <c r="AQ1266">
        <v>0</v>
      </c>
      <c r="AS1266">
        <v>0</v>
      </c>
      <c r="AT1266">
        <v>0</v>
      </c>
      <c r="AV1266">
        <v>0</v>
      </c>
      <c r="AW1266">
        <v>0</v>
      </c>
      <c r="AY1266">
        <v>0</v>
      </c>
      <c r="AZ1266">
        <v>0</v>
      </c>
      <c r="BA1266">
        <v>70</v>
      </c>
      <c r="BE1266" t="str">
        <f>T("9791164097173")</f>
        <v>9791164097173</v>
      </c>
      <c r="BF1266" t="str">
        <f>T("N105550")</f>
        <v>N105550</v>
      </c>
      <c r="BG1266" t="str">
        <f>T("로판 웹소설 &gt; 서양풍 로판")</f>
        <v>로판 웹소설 &gt; 서양풍 로판</v>
      </c>
    </row>
    <row r="1267" spans="1:59">
      <c r="A1267" t="s">
        <v>60</v>
      </c>
      <c r="B1267" s="1">
        <v>46131</v>
      </c>
      <c r="C1267">
        <v>2378036275</v>
      </c>
      <c r="D1267">
        <v>2378036299</v>
      </c>
      <c r="E1267" t="str">
        <f>T("구원자가 도망친 밤 25화")</f>
        <v>구원자가 도망친 밤 25화</v>
      </c>
      <c r="F1267">
        <v>25</v>
      </c>
      <c r="G1267" t="str">
        <f>T("얼든트")</f>
        <v>얼든트</v>
      </c>
      <c r="J1267" t="str">
        <f>T("시계토끼")</f>
        <v>시계토끼</v>
      </c>
      <c r="K1267" t="str">
        <f>T("구원자가 도망친 밤")</f>
        <v>구원자가 도망친 밤</v>
      </c>
      <c r="L1267">
        <v>100</v>
      </c>
      <c r="M1267">
        <v>100</v>
      </c>
      <c r="N1267">
        <v>1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100</v>
      </c>
      <c r="AJ1267">
        <v>1</v>
      </c>
      <c r="AK1267">
        <v>0</v>
      </c>
      <c r="AL1267">
        <v>0</v>
      </c>
      <c r="AM1267">
        <v>100</v>
      </c>
      <c r="AN1267">
        <v>0</v>
      </c>
      <c r="AO1267">
        <v>0</v>
      </c>
      <c r="AP1267">
        <v>0</v>
      </c>
      <c r="AQ1267">
        <v>0</v>
      </c>
      <c r="AS1267">
        <v>0</v>
      </c>
      <c r="AT1267">
        <v>0</v>
      </c>
      <c r="AV1267">
        <v>0</v>
      </c>
      <c r="AW1267">
        <v>0</v>
      </c>
      <c r="AY1267">
        <v>0</v>
      </c>
      <c r="AZ1267">
        <v>0</v>
      </c>
      <c r="BA1267">
        <v>70</v>
      </c>
      <c r="BE1267" t="str">
        <f>T("9791164097173")</f>
        <v>9791164097173</v>
      </c>
      <c r="BF1267" t="str">
        <f>T("N105551")</f>
        <v>N105551</v>
      </c>
      <c r="BG1267" t="str">
        <f>T("로판 웹소설 &gt; 서양풍 로판")</f>
        <v>로판 웹소설 &gt; 서양풍 로판</v>
      </c>
    </row>
    <row r="1268" spans="1:59">
      <c r="A1268" t="s">
        <v>60</v>
      </c>
      <c r="B1268" s="1">
        <v>46131</v>
      </c>
      <c r="C1268">
        <v>2378036275</v>
      </c>
      <c r="D1268">
        <v>2378036300</v>
      </c>
      <c r="E1268" t="str">
        <f>T("구원자가 도망친 밤 26화")</f>
        <v>구원자가 도망친 밤 26화</v>
      </c>
      <c r="F1268">
        <v>26</v>
      </c>
      <c r="G1268" t="str">
        <f>T("얼든트")</f>
        <v>얼든트</v>
      </c>
      <c r="J1268" t="str">
        <f>T("시계토끼")</f>
        <v>시계토끼</v>
      </c>
      <c r="K1268" t="str">
        <f>T("구원자가 도망친 밤")</f>
        <v>구원자가 도망친 밤</v>
      </c>
      <c r="L1268">
        <v>100</v>
      </c>
      <c r="M1268">
        <v>100</v>
      </c>
      <c r="N1268">
        <v>1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100</v>
      </c>
      <c r="AJ1268">
        <v>1</v>
      </c>
      <c r="AK1268">
        <v>0</v>
      </c>
      <c r="AL1268">
        <v>0</v>
      </c>
      <c r="AM1268">
        <v>100</v>
      </c>
      <c r="AN1268">
        <v>0</v>
      </c>
      <c r="AO1268">
        <v>0</v>
      </c>
      <c r="AP1268">
        <v>0</v>
      </c>
      <c r="AQ1268">
        <v>0</v>
      </c>
      <c r="AS1268">
        <v>0</v>
      </c>
      <c r="AT1268">
        <v>0</v>
      </c>
      <c r="AV1268">
        <v>0</v>
      </c>
      <c r="AW1268">
        <v>0</v>
      </c>
      <c r="AY1268">
        <v>0</v>
      </c>
      <c r="AZ1268">
        <v>0</v>
      </c>
      <c r="BA1268">
        <v>70</v>
      </c>
      <c r="BE1268" t="str">
        <f>T("9791164097173")</f>
        <v>9791164097173</v>
      </c>
      <c r="BF1268" t="str">
        <f>T("N105552")</f>
        <v>N105552</v>
      </c>
      <c r="BG1268" t="str">
        <f>T("로판 웹소설 &gt; 서양풍 로판")</f>
        <v>로판 웹소설 &gt; 서양풍 로판</v>
      </c>
    </row>
    <row r="1269" spans="1:59">
      <c r="A1269" t="s">
        <v>60</v>
      </c>
      <c r="B1269" s="1">
        <v>46131</v>
      </c>
      <c r="C1269">
        <v>2378036275</v>
      </c>
      <c r="D1269">
        <v>2378036301</v>
      </c>
      <c r="E1269" t="str">
        <f>T("구원자가 도망친 밤 27화")</f>
        <v>구원자가 도망친 밤 27화</v>
      </c>
      <c r="F1269">
        <v>27</v>
      </c>
      <c r="G1269" t="str">
        <f>T("얼든트")</f>
        <v>얼든트</v>
      </c>
      <c r="J1269" t="str">
        <f>T("시계토끼")</f>
        <v>시계토끼</v>
      </c>
      <c r="K1269" t="str">
        <f>T("구원자가 도망친 밤")</f>
        <v>구원자가 도망친 밤</v>
      </c>
      <c r="L1269">
        <v>100</v>
      </c>
      <c r="M1269">
        <v>100</v>
      </c>
      <c r="N1269">
        <v>1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100</v>
      </c>
      <c r="AJ1269">
        <v>1</v>
      </c>
      <c r="AK1269">
        <v>0</v>
      </c>
      <c r="AL1269">
        <v>0</v>
      </c>
      <c r="AM1269">
        <v>100</v>
      </c>
      <c r="AN1269">
        <v>0</v>
      </c>
      <c r="AO1269">
        <v>0</v>
      </c>
      <c r="AP1269">
        <v>0</v>
      </c>
      <c r="AQ1269">
        <v>0</v>
      </c>
      <c r="AS1269">
        <v>0</v>
      </c>
      <c r="AT1269">
        <v>0</v>
      </c>
      <c r="AV1269">
        <v>0</v>
      </c>
      <c r="AW1269">
        <v>0</v>
      </c>
      <c r="AY1269">
        <v>0</v>
      </c>
      <c r="AZ1269">
        <v>0</v>
      </c>
      <c r="BA1269">
        <v>70</v>
      </c>
      <c r="BE1269" t="str">
        <f>T("9791164097173")</f>
        <v>9791164097173</v>
      </c>
      <c r="BF1269" t="str">
        <f>T("N105553")</f>
        <v>N105553</v>
      </c>
      <c r="BG1269" t="str">
        <f>T("로판 웹소설 &gt; 서양풍 로판")</f>
        <v>로판 웹소설 &gt; 서양풍 로판</v>
      </c>
    </row>
    <row r="1270" spans="1:59">
      <c r="A1270" t="s">
        <v>60</v>
      </c>
      <c r="B1270" s="1">
        <v>46131</v>
      </c>
      <c r="C1270">
        <v>2378036275</v>
      </c>
      <c r="D1270">
        <v>2378036302</v>
      </c>
      <c r="E1270" t="str">
        <f>T("구원자가 도망친 밤 28화")</f>
        <v>구원자가 도망친 밤 28화</v>
      </c>
      <c r="F1270">
        <v>28</v>
      </c>
      <c r="G1270" t="str">
        <f>T("얼든트")</f>
        <v>얼든트</v>
      </c>
      <c r="J1270" t="str">
        <f>T("시계토끼")</f>
        <v>시계토끼</v>
      </c>
      <c r="K1270" t="str">
        <f>T("구원자가 도망친 밤")</f>
        <v>구원자가 도망친 밤</v>
      </c>
      <c r="L1270">
        <v>100</v>
      </c>
      <c r="M1270">
        <v>100</v>
      </c>
      <c r="N1270">
        <v>1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>
        <v>0</v>
      </c>
      <c r="AG1270">
        <v>0</v>
      </c>
      <c r="AH1270">
        <v>0</v>
      </c>
      <c r="AI1270">
        <v>100</v>
      </c>
      <c r="AJ1270">
        <v>1</v>
      </c>
      <c r="AK1270">
        <v>0</v>
      </c>
      <c r="AL1270">
        <v>0</v>
      </c>
      <c r="AM1270">
        <v>100</v>
      </c>
      <c r="AN1270">
        <v>0</v>
      </c>
      <c r="AO1270">
        <v>0</v>
      </c>
      <c r="AP1270">
        <v>0</v>
      </c>
      <c r="AQ1270">
        <v>0</v>
      </c>
      <c r="AS1270">
        <v>0</v>
      </c>
      <c r="AT1270">
        <v>0</v>
      </c>
      <c r="AV1270">
        <v>0</v>
      </c>
      <c r="AW1270">
        <v>0</v>
      </c>
      <c r="AY1270">
        <v>0</v>
      </c>
      <c r="AZ1270">
        <v>0</v>
      </c>
      <c r="BA1270">
        <v>70</v>
      </c>
      <c r="BE1270" t="str">
        <f>T("9791164097173")</f>
        <v>9791164097173</v>
      </c>
      <c r="BF1270" t="str">
        <f>T("N105554")</f>
        <v>N105554</v>
      </c>
      <c r="BG1270" t="str">
        <f>T("로판 웹소설 &gt; 서양풍 로판")</f>
        <v>로판 웹소설 &gt; 서양풍 로판</v>
      </c>
    </row>
    <row r="1271" spans="1:59">
      <c r="A1271" t="s">
        <v>60</v>
      </c>
      <c r="B1271" s="1">
        <v>46131</v>
      </c>
      <c r="C1271">
        <v>2378036275</v>
      </c>
      <c r="D1271">
        <v>2378036303</v>
      </c>
      <c r="E1271" t="str">
        <f>T("구원자가 도망친 밤 29화")</f>
        <v>구원자가 도망친 밤 29화</v>
      </c>
      <c r="F1271">
        <v>29</v>
      </c>
      <c r="G1271" t="str">
        <f>T("얼든트")</f>
        <v>얼든트</v>
      </c>
      <c r="J1271" t="str">
        <f>T("시계토끼")</f>
        <v>시계토끼</v>
      </c>
      <c r="K1271" t="str">
        <f>T("구원자가 도망친 밤")</f>
        <v>구원자가 도망친 밤</v>
      </c>
      <c r="L1271">
        <v>100</v>
      </c>
      <c r="M1271">
        <v>100</v>
      </c>
      <c r="N1271">
        <v>1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100</v>
      </c>
      <c r="AJ1271">
        <v>1</v>
      </c>
      <c r="AK1271">
        <v>0</v>
      </c>
      <c r="AL1271">
        <v>0</v>
      </c>
      <c r="AM1271">
        <v>100</v>
      </c>
      <c r="AN1271">
        <v>0</v>
      </c>
      <c r="AO1271">
        <v>0</v>
      </c>
      <c r="AP1271">
        <v>0</v>
      </c>
      <c r="AQ1271">
        <v>0</v>
      </c>
      <c r="AS1271">
        <v>0</v>
      </c>
      <c r="AT1271">
        <v>0</v>
      </c>
      <c r="AV1271">
        <v>0</v>
      </c>
      <c r="AW1271">
        <v>0</v>
      </c>
      <c r="AY1271">
        <v>0</v>
      </c>
      <c r="AZ1271">
        <v>0</v>
      </c>
      <c r="BA1271">
        <v>70</v>
      </c>
      <c r="BE1271" t="str">
        <f>T("9791164097173")</f>
        <v>9791164097173</v>
      </c>
      <c r="BF1271" t="str">
        <f>T("N105555")</f>
        <v>N105555</v>
      </c>
      <c r="BG1271" t="str">
        <f>T("로판 웹소설 &gt; 서양풍 로판")</f>
        <v>로판 웹소설 &gt; 서양풍 로판</v>
      </c>
    </row>
    <row r="1272" spans="1:59">
      <c r="A1272" t="s">
        <v>60</v>
      </c>
      <c r="B1272" s="1">
        <v>46131</v>
      </c>
      <c r="C1272">
        <v>2378036275</v>
      </c>
      <c r="D1272">
        <v>2378036304</v>
      </c>
      <c r="E1272" t="str">
        <f>T("구원자가 도망친 밤 30화")</f>
        <v>구원자가 도망친 밤 30화</v>
      </c>
      <c r="F1272">
        <v>30</v>
      </c>
      <c r="G1272" t="str">
        <f>T("얼든트")</f>
        <v>얼든트</v>
      </c>
      <c r="J1272" t="str">
        <f>T("시계토끼")</f>
        <v>시계토끼</v>
      </c>
      <c r="K1272" t="str">
        <f>T("구원자가 도망친 밤")</f>
        <v>구원자가 도망친 밤</v>
      </c>
      <c r="L1272">
        <v>100</v>
      </c>
      <c r="M1272">
        <v>100</v>
      </c>
      <c r="N1272">
        <v>1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100</v>
      </c>
      <c r="AJ1272">
        <v>1</v>
      </c>
      <c r="AK1272">
        <v>0</v>
      </c>
      <c r="AL1272">
        <v>0</v>
      </c>
      <c r="AM1272">
        <v>100</v>
      </c>
      <c r="AN1272">
        <v>0</v>
      </c>
      <c r="AO1272">
        <v>0</v>
      </c>
      <c r="AP1272">
        <v>0</v>
      </c>
      <c r="AQ1272">
        <v>0</v>
      </c>
      <c r="AS1272">
        <v>0</v>
      </c>
      <c r="AT1272">
        <v>0</v>
      </c>
      <c r="AV1272">
        <v>0</v>
      </c>
      <c r="AW1272">
        <v>0</v>
      </c>
      <c r="AY1272">
        <v>0</v>
      </c>
      <c r="AZ1272">
        <v>0</v>
      </c>
      <c r="BA1272">
        <v>70</v>
      </c>
      <c r="BE1272" t="str">
        <f>T("9791164097173")</f>
        <v>9791164097173</v>
      </c>
      <c r="BF1272" t="str">
        <f>T("N105556")</f>
        <v>N105556</v>
      </c>
      <c r="BG1272" t="str">
        <f>T("로판 웹소설 &gt; 서양풍 로판")</f>
        <v>로판 웹소설 &gt; 서양풍 로판</v>
      </c>
    </row>
    <row r="1273" spans="1:59">
      <c r="A1273" t="s">
        <v>60</v>
      </c>
      <c r="B1273" s="1">
        <v>46131</v>
      </c>
      <c r="C1273">
        <v>2378036275</v>
      </c>
      <c r="D1273">
        <v>2378036305</v>
      </c>
      <c r="E1273" t="str">
        <f>T("구원자가 도망친 밤 31화")</f>
        <v>구원자가 도망친 밤 31화</v>
      </c>
      <c r="F1273">
        <v>31</v>
      </c>
      <c r="G1273" t="str">
        <f>T("얼든트")</f>
        <v>얼든트</v>
      </c>
      <c r="J1273" t="str">
        <f>T("시계토끼")</f>
        <v>시계토끼</v>
      </c>
      <c r="K1273" t="str">
        <f>T("구원자가 도망친 밤")</f>
        <v>구원자가 도망친 밤</v>
      </c>
      <c r="L1273">
        <v>100</v>
      </c>
      <c r="M1273">
        <v>100</v>
      </c>
      <c r="N1273">
        <v>1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100</v>
      </c>
      <c r="AJ1273">
        <v>1</v>
      </c>
      <c r="AK1273">
        <v>0</v>
      </c>
      <c r="AL1273">
        <v>0</v>
      </c>
      <c r="AM1273">
        <v>100</v>
      </c>
      <c r="AN1273">
        <v>0</v>
      </c>
      <c r="AO1273">
        <v>0</v>
      </c>
      <c r="AP1273">
        <v>0</v>
      </c>
      <c r="AQ1273">
        <v>0</v>
      </c>
      <c r="AS1273">
        <v>0</v>
      </c>
      <c r="AT1273">
        <v>0</v>
      </c>
      <c r="AV1273">
        <v>0</v>
      </c>
      <c r="AW1273">
        <v>0</v>
      </c>
      <c r="AY1273">
        <v>0</v>
      </c>
      <c r="AZ1273">
        <v>0</v>
      </c>
      <c r="BA1273">
        <v>70</v>
      </c>
      <c r="BE1273" t="str">
        <f>T("9791164097173")</f>
        <v>9791164097173</v>
      </c>
      <c r="BF1273" t="str">
        <f>T("N105557")</f>
        <v>N105557</v>
      </c>
      <c r="BG1273" t="str">
        <f>T("로판 웹소설 &gt; 서양풍 로판")</f>
        <v>로판 웹소설 &gt; 서양풍 로판</v>
      </c>
    </row>
    <row r="1274" spans="1:59">
      <c r="A1274" t="s">
        <v>60</v>
      </c>
      <c r="B1274" s="1">
        <v>46131</v>
      </c>
      <c r="C1274">
        <v>2378036275</v>
      </c>
      <c r="D1274">
        <v>2378036306</v>
      </c>
      <c r="E1274" t="str">
        <f>T("구원자가 도망친 밤 32화")</f>
        <v>구원자가 도망친 밤 32화</v>
      </c>
      <c r="F1274">
        <v>32</v>
      </c>
      <c r="G1274" t="str">
        <f>T("얼든트")</f>
        <v>얼든트</v>
      </c>
      <c r="J1274" t="str">
        <f>T("시계토끼")</f>
        <v>시계토끼</v>
      </c>
      <c r="K1274" t="str">
        <f>T("구원자가 도망친 밤")</f>
        <v>구원자가 도망친 밤</v>
      </c>
      <c r="L1274">
        <v>100</v>
      </c>
      <c r="M1274">
        <v>100</v>
      </c>
      <c r="N1274">
        <v>1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100</v>
      </c>
      <c r="AJ1274">
        <v>1</v>
      </c>
      <c r="AK1274">
        <v>0</v>
      </c>
      <c r="AL1274">
        <v>0</v>
      </c>
      <c r="AM1274">
        <v>100</v>
      </c>
      <c r="AN1274">
        <v>0</v>
      </c>
      <c r="AO1274">
        <v>0</v>
      </c>
      <c r="AP1274">
        <v>0</v>
      </c>
      <c r="AQ1274">
        <v>0</v>
      </c>
      <c r="AS1274">
        <v>0</v>
      </c>
      <c r="AT1274">
        <v>0</v>
      </c>
      <c r="AV1274">
        <v>0</v>
      </c>
      <c r="AW1274">
        <v>0</v>
      </c>
      <c r="AY1274">
        <v>0</v>
      </c>
      <c r="AZ1274">
        <v>0</v>
      </c>
      <c r="BA1274">
        <v>70</v>
      </c>
      <c r="BE1274" t="str">
        <f>T("9791164097173")</f>
        <v>9791164097173</v>
      </c>
      <c r="BF1274" t="str">
        <f>T("N105558")</f>
        <v>N105558</v>
      </c>
      <c r="BG1274" t="str">
        <f>T("로판 웹소설 &gt; 서양풍 로판")</f>
        <v>로판 웹소설 &gt; 서양풍 로판</v>
      </c>
    </row>
    <row r="1275" spans="1:59">
      <c r="A1275" t="s">
        <v>60</v>
      </c>
      <c r="B1275" s="1">
        <v>46131</v>
      </c>
      <c r="C1275">
        <v>2378036275</v>
      </c>
      <c r="D1275">
        <v>2378036307</v>
      </c>
      <c r="E1275" t="str">
        <f>T("구원자가 도망친 밤 33화")</f>
        <v>구원자가 도망친 밤 33화</v>
      </c>
      <c r="F1275">
        <v>33</v>
      </c>
      <c r="G1275" t="str">
        <f>T("얼든트")</f>
        <v>얼든트</v>
      </c>
      <c r="J1275" t="str">
        <f>T("시계토끼")</f>
        <v>시계토끼</v>
      </c>
      <c r="K1275" t="str">
        <f>T("구원자가 도망친 밤")</f>
        <v>구원자가 도망친 밤</v>
      </c>
      <c r="L1275">
        <v>100</v>
      </c>
      <c r="M1275">
        <v>100</v>
      </c>
      <c r="N1275">
        <v>1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100</v>
      </c>
      <c r="AJ1275">
        <v>1</v>
      </c>
      <c r="AK1275">
        <v>0</v>
      </c>
      <c r="AL1275">
        <v>0</v>
      </c>
      <c r="AM1275">
        <v>100</v>
      </c>
      <c r="AN1275">
        <v>0</v>
      </c>
      <c r="AO1275">
        <v>0</v>
      </c>
      <c r="AP1275">
        <v>0</v>
      </c>
      <c r="AQ1275">
        <v>0</v>
      </c>
      <c r="AS1275">
        <v>0</v>
      </c>
      <c r="AT1275">
        <v>0</v>
      </c>
      <c r="AV1275">
        <v>0</v>
      </c>
      <c r="AW1275">
        <v>0</v>
      </c>
      <c r="AY1275">
        <v>0</v>
      </c>
      <c r="AZ1275">
        <v>0</v>
      </c>
      <c r="BA1275">
        <v>70</v>
      </c>
      <c r="BE1275" t="str">
        <f>T("9791164097173")</f>
        <v>9791164097173</v>
      </c>
      <c r="BF1275" t="str">
        <f>T("N105559")</f>
        <v>N105559</v>
      </c>
      <c r="BG1275" t="str">
        <f>T("로판 웹소설 &gt; 서양풍 로판")</f>
        <v>로판 웹소설 &gt; 서양풍 로판</v>
      </c>
    </row>
    <row r="1276" spans="1:59">
      <c r="A1276" t="s">
        <v>60</v>
      </c>
      <c r="B1276" s="1">
        <v>46131</v>
      </c>
      <c r="C1276">
        <v>2378036275</v>
      </c>
      <c r="D1276">
        <v>2378036308</v>
      </c>
      <c r="E1276" t="str">
        <f>T("구원자가 도망친 밤 34화")</f>
        <v>구원자가 도망친 밤 34화</v>
      </c>
      <c r="F1276">
        <v>34</v>
      </c>
      <c r="G1276" t="str">
        <f>T("얼든트")</f>
        <v>얼든트</v>
      </c>
      <c r="J1276" t="str">
        <f>T("시계토끼")</f>
        <v>시계토끼</v>
      </c>
      <c r="K1276" t="str">
        <f>T("구원자가 도망친 밤")</f>
        <v>구원자가 도망친 밤</v>
      </c>
      <c r="L1276">
        <v>100</v>
      </c>
      <c r="M1276">
        <v>100</v>
      </c>
      <c r="N1276">
        <v>1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100</v>
      </c>
      <c r="AJ1276">
        <v>1</v>
      </c>
      <c r="AK1276">
        <v>0</v>
      </c>
      <c r="AL1276">
        <v>0</v>
      </c>
      <c r="AM1276">
        <v>100</v>
      </c>
      <c r="AN1276">
        <v>0</v>
      </c>
      <c r="AO1276">
        <v>0</v>
      </c>
      <c r="AP1276">
        <v>0</v>
      </c>
      <c r="AQ1276">
        <v>0</v>
      </c>
      <c r="AS1276">
        <v>0</v>
      </c>
      <c r="AT1276">
        <v>0</v>
      </c>
      <c r="AV1276">
        <v>0</v>
      </c>
      <c r="AW1276">
        <v>0</v>
      </c>
      <c r="AY1276">
        <v>0</v>
      </c>
      <c r="AZ1276">
        <v>0</v>
      </c>
      <c r="BA1276">
        <v>70</v>
      </c>
      <c r="BE1276" t="str">
        <f>T("9791164097173")</f>
        <v>9791164097173</v>
      </c>
      <c r="BF1276" t="str">
        <f>T("N105560")</f>
        <v>N105560</v>
      </c>
      <c r="BG1276" t="str">
        <f>T("로판 웹소설 &gt; 서양풍 로판")</f>
        <v>로판 웹소설 &gt; 서양풍 로판</v>
      </c>
    </row>
    <row r="1277" spans="1:59">
      <c r="A1277" t="s">
        <v>60</v>
      </c>
      <c r="B1277" s="1">
        <v>46131</v>
      </c>
      <c r="C1277">
        <v>2378036275</v>
      </c>
      <c r="D1277">
        <v>2378036309</v>
      </c>
      <c r="E1277" t="str">
        <f>T("구원자가 도망친 밤 35화")</f>
        <v>구원자가 도망친 밤 35화</v>
      </c>
      <c r="F1277">
        <v>35</v>
      </c>
      <c r="G1277" t="str">
        <f>T("얼든트")</f>
        <v>얼든트</v>
      </c>
      <c r="J1277" t="str">
        <f>T("시계토끼")</f>
        <v>시계토끼</v>
      </c>
      <c r="K1277" t="str">
        <f>T("구원자가 도망친 밤")</f>
        <v>구원자가 도망친 밤</v>
      </c>
      <c r="L1277">
        <v>100</v>
      </c>
      <c r="M1277">
        <v>100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0</v>
      </c>
      <c r="AG1277">
        <v>0</v>
      </c>
      <c r="AH1277">
        <v>0</v>
      </c>
      <c r="AI1277">
        <v>100</v>
      </c>
      <c r="AJ1277">
        <v>1</v>
      </c>
      <c r="AK1277">
        <v>0</v>
      </c>
      <c r="AL1277">
        <v>0</v>
      </c>
      <c r="AM1277">
        <v>100</v>
      </c>
      <c r="AN1277">
        <v>0</v>
      </c>
      <c r="AO1277">
        <v>0</v>
      </c>
      <c r="AP1277">
        <v>0</v>
      </c>
      <c r="AQ1277">
        <v>0</v>
      </c>
      <c r="AS1277">
        <v>0</v>
      </c>
      <c r="AT1277">
        <v>0</v>
      </c>
      <c r="AV1277">
        <v>0</v>
      </c>
      <c r="AW1277">
        <v>0</v>
      </c>
      <c r="AY1277">
        <v>0</v>
      </c>
      <c r="AZ1277">
        <v>0</v>
      </c>
      <c r="BA1277">
        <v>70</v>
      </c>
      <c r="BE1277" t="str">
        <f>T("9791164097173")</f>
        <v>9791164097173</v>
      </c>
      <c r="BF1277" t="str">
        <f>T("N105561")</f>
        <v>N105561</v>
      </c>
      <c r="BG1277" t="str">
        <f>T("로판 웹소설 &gt; 서양풍 로판")</f>
        <v>로판 웹소설 &gt; 서양풍 로판</v>
      </c>
    </row>
    <row r="1278" spans="1:59">
      <c r="A1278" t="s">
        <v>60</v>
      </c>
      <c r="B1278" s="1">
        <v>46131</v>
      </c>
      <c r="C1278">
        <v>2378036275</v>
      </c>
      <c r="D1278">
        <v>2378036310</v>
      </c>
      <c r="E1278" t="str">
        <f>T("구원자가 도망친 밤 36화")</f>
        <v>구원자가 도망친 밤 36화</v>
      </c>
      <c r="F1278">
        <v>36</v>
      </c>
      <c r="G1278" t="str">
        <f>T("얼든트")</f>
        <v>얼든트</v>
      </c>
      <c r="J1278" t="str">
        <f>T("시계토끼")</f>
        <v>시계토끼</v>
      </c>
      <c r="K1278" t="str">
        <f>T("구원자가 도망친 밤")</f>
        <v>구원자가 도망친 밤</v>
      </c>
      <c r="L1278">
        <v>100</v>
      </c>
      <c r="M1278">
        <v>100</v>
      </c>
      <c r="N1278">
        <v>1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100</v>
      </c>
      <c r="AJ1278">
        <v>1</v>
      </c>
      <c r="AK1278">
        <v>0</v>
      </c>
      <c r="AL1278">
        <v>0</v>
      </c>
      <c r="AM1278">
        <v>100</v>
      </c>
      <c r="AN1278">
        <v>0</v>
      </c>
      <c r="AO1278">
        <v>0</v>
      </c>
      <c r="AP1278">
        <v>0</v>
      </c>
      <c r="AQ1278">
        <v>0</v>
      </c>
      <c r="AS1278">
        <v>0</v>
      </c>
      <c r="AT1278">
        <v>0</v>
      </c>
      <c r="AV1278">
        <v>0</v>
      </c>
      <c r="AW1278">
        <v>0</v>
      </c>
      <c r="AY1278">
        <v>0</v>
      </c>
      <c r="AZ1278">
        <v>0</v>
      </c>
      <c r="BA1278">
        <v>70</v>
      </c>
      <c r="BE1278" t="str">
        <f>T("9791164097173")</f>
        <v>9791164097173</v>
      </c>
      <c r="BF1278" t="str">
        <f>T("N105562")</f>
        <v>N105562</v>
      </c>
      <c r="BG1278" t="str">
        <f>T("로판 웹소설 &gt; 서양풍 로판")</f>
        <v>로판 웹소설 &gt; 서양풍 로판</v>
      </c>
    </row>
    <row r="1279" spans="1:59">
      <c r="A1279" t="s">
        <v>60</v>
      </c>
      <c r="B1279" s="1">
        <v>46131</v>
      </c>
      <c r="C1279">
        <v>2378036275</v>
      </c>
      <c r="D1279">
        <v>2378036311</v>
      </c>
      <c r="E1279" t="str">
        <f>T("구원자가 도망친 밤 37화")</f>
        <v>구원자가 도망친 밤 37화</v>
      </c>
      <c r="F1279">
        <v>37</v>
      </c>
      <c r="G1279" t="str">
        <f>T("얼든트")</f>
        <v>얼든트</v>
      </c>
      <c r="J1279" t="str">
        <f>T("시계토끼")</f>
        <v>시계토끼</v>
      </c>
      <c r="K1279" t="str">
        <f>T("구원자가 도망친 밤")</f>
        <v>구원자가 도망친 밤</v>
      </c>
      <c r="L1279">
        <v>100</v>
      </c>
      <c r="M1279">
        <v>100</v>
      </c>
      <c r="N1279">
        <v>1</v>
      </c>
      <c r="O1279">
        <v>0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100</v>
      </c>
      <c r="AJ1279">
        <v>1</v>
      </c>
      <c r="AK1279">
        <v>0</v>
      </c>
      <c r="AL1279">
        <v>0</v>
      </c>
      <c r="AM1279">
        <v>100</v>
      </c>
      <c r="AN1279">
        <v>0</v>
      </c>
      <c r="AO1279">
        <v>0</v>
      </c>
      <c r="AP1279">
        <v>0</v>
      </c>
      <c r="AQ1279">
        <v>0</v>
      </c>
      <c r="AS1279">
        <v>0</v>
      </c>
      <c r="AT1279">
        <v>0</v>
      </c>
      <c r="AV1279">
        <v>0</v>
      </c>
      <c r="AW1279">
        <v>0</v>
      </c>
      <c r="AY1279">
        <v>0</v>
      </c>
      <c r="AZ1279">
        <v>0</v>
      </c>
      <c r="BA1279">
        <v>70</v>
      </c>
      <c r="BE1279" t="str">
        <f>T("9791164097173")</f>
        <v>9791164097173</v>
      </c>
      <c r="BF1279" t="str">
        <f>T("N105563")</f>
        <v>N105563</v>
      </c>
      <c r="BG1279" t="str">
        <f>T("로판 웹소설 &gt; 서양풍 로판")</f>
        <v>로판 웹소설 &gt; 서양풍 로판</v>
      </c>
    </row>
    <row r="1280" spans="1:59">
      <c r="A1280" t="s">
        <v>60</v>
      </c>
      <c r="B1280" s="1">
        <v>46131</v>
      </c>
      <c r="C1280">
        <v>2378036275</v>
      </c>
      <c r="D1280">
        <v>2378036312</v>
      </c>
      <c r="E1280" t="str">
        <f>T("구원자가 도망친 밤 38화")</f>
        <v>구원자가 도망친 밤 38화</v>
      </c>
      <c r="F1280">
        <v>38</v>
      </c>
      <c r="G1280" t="str">
        <f>T("얼든트")</f>
        <v>얼든트</v>
      </c>
      <c r="J1280" t="str">
        <f>T("시계토끼")</f>
        <v>시계토끼</v>
      </c>
      <c r="K1280" t="str">
        <f>T("구원자가 도망친 밤")</f>
        <v>구원자가 도망친 밤</v>
      </c>
      <c r="L1280">
        <v>100</v>
      </c>
      <c r="M1280">
        <v>100</v>
      </c>
      <c r="N1280">
        <v>1</v>
      </c>
      <c r="O1280">
        <v>0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100</v>
      </c>
      <c r="AJ1280">
        <v>1</v>
      </c>
      <c r="AK1280">
        <v>0</v>
      </c>
      <c r="AL1280">
        <v>0</v>
      </c>
      <c r="AM1280">
        <v>100</v>
      </c>
      <c r="AN1280">
        <v>0</v>
      </c>
      <c r="AO1280">
        <v>0</v>
      </c>
      <c r="AP1280">
        <v>0</v>
      </c>
      <c r="AQ1280">
        <v>0</v>
      </c>
      <c r="AS1280">
        <v>0</v>
      </c>
      <c r="AT1280">
        <v>0</v>
      </c>
      <c r="AV1280">
        <v>0</v>
      </c>
      <c r="AW1280">
        <v>0</v>
      </c>
      <c r="AY1280">
        <v>0</v>
      </c>
      <c r="AZ1280">
        <v>0</v>
      </c>
      <c r="BA1280">
        <v>70</v>
      </c>
      <c r="BE1280" t="str">
        <f>T("9791164097173")</f>
        <v>9791164097173</v>
      </c>
      <c r="BF1280" t="str">
        <f>T("N105564")</f>
        <v>N105564</v>
      </c>
      <c r="BG1280" t="str">
        <f>T("로판 웹소설 &gt; 서양풍 로판")</f>
        <v>로판 웹소설 &gt; 서양풍 로판</v>
      </c>
    </row>
    <row r="1281" spans="1:59">
      <c r="A1281" t="s">
        <v>60</v>
      </c>
      <c r="B1281" s="1">
        <v>46131</v>
      </c>
      <c r="C1281">
        <v>2378036275</v>
      </c>
      <c r="D1281">
        <v>2378036313</v>
      </c>
      <c r="E1281" t="str">
        <f>T("구원자가 도망친 밤 39화")</f>
        <v>구원자가 도망친 밤 39화</v>
      </c>
      <c r="F1281">
        <v>39</v>
      </c>
      <c r="G1281" t="str">
        <f>T("얼든트")</f>
        <v>얼든트</v>
      </c>
      <c r="J1281" t="str">
        <f>T("시계토끼")</f>
        <v>시계토끼</v>
      </c>
      <c r="K1281" t="str">
        <f>T("구원자가 도망친 밤")</f>
        <v>구원자가 도망친 밤</v>
      </c>
      <c r="L1281">
        <v>100</v>
      </c>
      <c r="M1281">
        <v>100</v>
      </c>
      <c r="N1281">
        <v>1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100</v>
      </c>
      <c r="AJ1281">
        <v>1</v>
      </c>
      <c r="AK1281">
        <v>0</v>
      </c>
      <c r="AL1281">
        <v>0</v>
      </c>
      <c r="AM1281">
        <v>100</v>
      </c>
      <c r="AN1281">
        <v>0</v>
      </c>
      <c r="AO1281">
        <v>0</v>
      </c>
      <c r="AP1281">
        <v>0</v>
      </c>
      <c r="AQ1281">
        <v>0</v>
      </c>
      <c r="AS1281">
        <v>0</v>
      </c>
      <c r="AT1281">
        <v>0</v>
      </c>
      <c r="AV1281">
        <v>0</v>
      </c>
      <c r="AW1281">
        <v>0</v>
      </c>
      <c r="AY1281">
        <v>0</v>
      </c>
      <c r="AZ1281">
        <v>0</v>
      </c>
      <c r="BA1281">
        <v>70</v>
      </c>
      <c r="BE1281" t="str">
        <f>T("9791164097173")</f>
        <v>9791164097173</v>
      </c>
      <c r="BF1281" t="str">
        <f>T("N105565")</f>
        <v>N105565</v>
      </c>
      <c r="BG1281" t="str">
        <f>T("로판 웹소설 &gt; 서양풍 로판")</f>
        <v>로판 웹소설 &gt; 서양풍 로판</v>
      </c>
    </row>
    <row r="1282" spans="1:59">
      <c r="A1282" t="s">
        <v>60</v>
      </c>
      <c r="B1282" s="1">
        <v>46131</v>
      </c>
      <c r="C1282">
        <v>2378036275</v>
      </c>
      <c r="D1282">
        <v>2378036314</v>
      </c>
      <c r="E1282" t="str">
        <f>T("구원자가 도망친 밤 40화")</f>
        <v>구원자가 도망친 밤 40화</v>
      </c>
      <c r="F1282">
        <v>40</v>
      </c>
      <c r="G1282" t="str">
        <f>T("얼든트")</f>
        <v>얼든트</v>
      </c>
      <c r="J1282" t="str">
        <f>T("시계토끼")</f>
        <v>시계토끼</v>
      </c>
      <c r="K1282" t="str">
        <f>T("구원자가 도망친 밤")</f>
        <v>구원자가 도망친 밤</v>
      </c>
      <c r="L1282">
        <v>100</v>
      </c>
      <c r="M1282">
        <v>100</v>
      </c>
      <c r="N1282">
        <v>1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100</v>
      </c>
      <c r="AJ1282">
        <v>1</v>
      </c>
      <c r="AK1282">
        <v>0</v>
      </c>
      <c r="AL1282">
        <v>0</v>
      </c>
      <c r="AM1282">
        <v>100</v>
      </c>
      <c r="AN1282">
        <v>0</v>
      </c>
      <c r="AO1282">
        <v>0</v>
      </c>
      <c r="AP1282">
        <v>0</v>
      </c>
      <c r="AQ1282">
        <v>0</v>
      </c>
      <c r="AS1282">
        <v>0</v>
      </c>
      <c r="AT1282">
        <v>0</v>
      </c>
      <c r="AV1282">
        <v>0</v>
      </c>
      <c r="AW1282">
        <v>0</v>
      </c>
      <c r="AY1282">
        <v>0</v>
      </c>
      <c r="AZ1282">
        <v>0</v>
      </c>
      <c r="BA1282">
        <v>70</v>
      </c>
      <c r="BE1282" t="str">
        <f>T("9791164097173")</f>
        <v>9791164097173</v>
      </c>
      <c r="BF1282" t="str">
        <f>T("N105566")</f>
        <v>N105566</v>
      </c>
      <c r="BG1282" t="str">
        <f>T("로판 웹소설 &gt; 서양풍 로판")</f>
        <v>로판 웹소설 &gt; 서양풍 로판</v>
      </c>
    </row>
    <row r="1283" spans="1:59">
      <c r="A1283" t="s">
        <v>60</v>
      </c>
      <c r="B1283" s="1">
        <v>46131</v>
      </c>
      <c r="C1283">
        <v>2378036275</v>
      </c>
      <c r="D1283">
        <v>2378036315</v>
      </c>
      <c r="E1283" t="str">
        <f>T("구원자가 도망친 밤 41화")</f>
        <v>구원자가 도망친 밤 41화</v>
      </c>
      <c r="F1283">
        <v>41</v>
      </c>
      <c r="G1283" t="str">
        <f>T("얼든트")</f>
        <v>얼든트</v>
      </c>
      <c r="J1283" t="str">
        <f>T("시계토끼")</f>
        <v>시계토끼</v>
      </c>
      <c r="K1283" t="str">
        <f>T("구원자가 도망친 밤")</f>
        <v>구원자가 도망친 밤</v>
      </c>
      <c r="L1283">
        <v>100</v>
      </c>
      <c r="M1283">
        <v>100</v>
      </c>
      <c r="N1283">
        <v>1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100</v>
      </c>
      <c r="AJ1283">
        <v>1</v>
      </c>
      <c r="AK1283">
        <v>0</v>
      </c>
      <c r="AL1283">
        <v>0</v>
      </c>
      <c r="AM1283">
        <v>100</v>
      </c>
      <c r="AN1283">
        <v>0</v>
      </c>
      <c r="AO1283">
        <v>0</v>
      </c>
      <c r="AP1283">
        <v>0</v>
      </c>
      <c r="AQ1283">
        <v>0</v>
      </c>
      <c r="AS1283">
        <v>0</v>
      </c>
      <c r="AT1283">
        <v>0</v>
      </c>
      <c r="AV1283">
        <v>0</v>
      </c>
      <c r="AW1283">
        <v>0</v>
      </c>
      <c r="AY1283">
        <v>0</v>
      </c>
      <c r="AZ1283">
        <v>0</v>
      </c>
      <c r="BA1283">
        <v>70</v>
      </c>
      <c r="BE1283" t="str">
        <f>T("9791164097173")</f>
        <v>9791164097173</v>
      </c>
      <c r="BF1283" t="str">
        <f>T("N105567")</f>
        <v>N105567</v>
      </c>
      <c r="BG1283" t="str">
        <f>T("로판 웹소설 &gt; 서양풍 로판")</f>
        <v>로판 웹소설 &gt; 서양풍 로판</v>
      </c>
    </row>
    <row r="1284" spans="1:59">
      <c r="A1284" t="s">
        <v>60</v>
      </c>
      <c r="B1284" s="1">
        <v>46131</v>
      </c>
      <c r="C1284">
        <v>2378036275</v>
      </c>
      <c r="D1284">
        <v>2378036316</v>
      </c>
      <c r="E1284" t="str">
        <f>T("구원자가 도망친 밤 42화")</f>
        <v>구원자가 도망친 밤 42화</v>
      </c>
      <c r="F1284">
        <v>42</v>
      </c>
      <c r="G1284" t="str">
        <f>T("얼든트")</f>
        <v>얼든트</v>
      </c>
      <c r="J1284" t="str">
        <f>T("시계토끼")</f>
        <v>시계토끼</v>
      </c>
      <c r="K1284" t="str">
        <f>T("구원자가 도망친 밤")</f>
        <v>구원자가 도망친 밤</v>
      </c>
      <c r="L1284">
        <v>100</v>
      </c>
      <c r="M1284">
        <v>100</v>
      </c>
      <c r="N1284">
        <v>1</v>
      </c>
      <c r="O1284">
        <v>0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100</v>
      </c>
      <c r="AJ1284">
        <v>1</v>
      </c>
      <c r="AK1284">
        <v>0</v>
      </c>
      <c r="AL1284">
        <v>0</v>
      </c>
      <c r="AM1284">
        <v>100</v>
      </c>
      <c r="AN1284">
        <v>0</v>
      </c>
      <c r="AO1284">
        <v>0</v>
      </c>
      <c r="AP1284">
        <v>0</v>
      </c>
      <c r="AQ1284">
        <v>0</v>
      </c>
      <c r="AS1284">
        <v>0</v>
      </c>
      <c r="AT1284">
        <v>0</v>
      </c>
      <c r="AV1284">
        <v>0</v>
      </c>
      <c r="AW1284">
        <v>0</v>
      </c>
      <c r="AY1284">
        <v>0</v>
      </c>
      <c r="AZ1284">
        <v>0</v>
      </c>
      <c r="BA1284">
        <v>70</v>
      </c>
      <c r="BE1284" t="str">
        <f>T("9791164097173")</f>
        <v>9791164097173</v>
      </c>
      <c r="BF1284" t="str">
        <f>T("N105568")</f>
        <v>N105568</v>
      </c>
      <c r="BG1284" t="str">
        <f>T("로판 웹소설 &gt; 서양풍 로판")</f>
        <v>로판 웹소설 &gt; 서양풍 로판</v>
      </c>
    </row>
    <row r="1285" spans="1:59">
      <c r="A1285" t="s">
        <v>60</v>
      </c>
      <c r="B1285" s="1">
        <v>46131</v>
      </c>
      <c r="C1285">
        <v>2378036275</v>
      </c>
      <c r="D1285">
        <v>2378036317</v>
      </c>
      <c r="E1285" t="str">
        <f>T("구원자가 도망친 밤 43화")</f>
        <v>구원자가 도망친 밤 43화</v>
      </c>
      <c r="F1285">
        <v>43</v>
      </c>
      <c r="G1285" t="str">
        <f>T("얼든트")</f>
        <v>얼든트</v>
      </c>
      <c r="J1285" t="str">
        <f>T("시계토끼")</f>
        <v>시계토끼</v>
      </c>
      <c r="K1285" t="str">
        <f>T("구원자가 도망친 밤")</f>
        <v>구원자가 도망친 밤</v>
      </c>
      <c r="L1285">
        <v>100</v>
      </c>
      <c r="M1285">
        <v>100</v>
      </c>
      <c r="N1285">
        <v>1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100</v>
      </c>
      <c r="AJ1285">
        <v>1</v>
      </c>
      <c r="AK1285">
        <v>0</v>
      </c>
      <c r="AL1285">
        <v>0</v>
      </c>
      <c r="AM1285">
        <v>100</v>
      </c>
      <c r="AN1285">
        <v>0</v>
      </c>
      <c r="AO1285">
        <v>0</v>
      </c>
      <c r="AP1285">
        <v>0</v>
      </c>
      <c r="AQ1285">
        <v>0</v>
      </c>
      <c r="AS1285">
        <v>0</v>
      </c>
      <c r="AT1285">
        <v>0</v>
      </c>
      <c r="AV1285">
        <v>0</v>
      </c>
      <c r="AW1285">
        <v>0</v>
      </c>
      <c r="AY1285">
        <v>0</v>
      </c>
      <c r="AZ1285">
        <v>0</v>
      </c>
      <c r="BA1285">
        <v>70</v>
      </c>
      <c r="BE1285" t="str">
        <f>T("9791164097173")</f>
        <v>9791164097173</v>
      </c>
      <c r="BF1285" t="str">
        <f>T("N105569")</f>
        <v>N105569</v>
      </c>
      <c r="BG1285" t="str">
        <f>T("로판 웹소설 &gt; 서양풍 로판")</f>
        <v>로판 웹소설 &gt; 서양풍 로판</v>
      </c>
    </row>
    <row r="1286" spans="1:59">
      <c r="A1286" t="s">
        <v>60</v>
      </c>
      <c r="B1286" s="1">
        <v>46131</v>
      </c>
      <c r="C1286">
        <v>2378036275</v>
      </c>
      <c r="D1286">
        <v>2378036318</v>
      </c>
      <c r="E1286" t="str">
        <f>T("구원자가 도망친 밤 44화")</f>
        <v>구원자가 도망친 밤 44화</v>
      </c>
      <c r="F1286">
        <v>44</v>
      </c>
      <c r="G1286" t="str">
        <f>T("얼든트")</f>
        <v>얼든트</v>
      </c>
      <c r="J1286" t="str">
        <f>T("시계토끼")</f>
        <v>시계토끼</v>
      </c>
      <c r="K1286" t="str">
        <f>T("구원자가 도망친 밤")</f>
        <v>구원자가 도망친 밤</v>
      </c>
      <c r="L1286">
        <v>100</v>
      </c>
      <c r="M1286">
        <v>100</v>
      </c>
      <c r="N1286">
        <v>1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100</v>
      </c>
      <c r="AJ1286">
        <v>1</v>
      </c>
      <c r="AK1286">
        <v>0</v>
      </c>
      <c r="AL1286">
        <v>0</v>
      </c>
      <c r="AM1286">
        <v>100</v>
      </c>
      <c r="AN1286">
        <v>0</v>
      </c>
      <c r="AO1286">
        <v>0</v>
      </c>
      <c r="AP1286">
        <v>0</v>
      </c>
      <c r="AQ1286">
        <v>0</v>
      </c>
      <c r="AS1286">
        <v>0</v>
      </c>
      <c r="AT1286">
        <v>0</v>
      </c>
      <c r="AV1286">
        <v>0</v>
      </c>
      <c r="AW1286">
        <v>0</v>
      </c>
      <c r="AY1286">
        <v>0</v>
      </c>
      <c r="AZ1286">
        <v>0</v>
      </c>
      <c r="BA1286">
        <v>70</v>
      </c>
      <c r="BE1286" t="str">
        <f>T("9791164097173")</f>
        <v>9791164097173</v>
      </c>
      <c r="BF1286" t="str">
        <f>T("N105570")</f>
        <v>N105570</v>
      </c>
      <c r="BG1286" t="str">
        <f>T("로판 웹소설 &gt; 서양풍 로판")</f>
        <v>로판 웹소설 &gt; 서양풍 로판</v>
      </c>
    </row>
    <row r="1287" spans="1:59">
      <c r="A1287" t="s">
        <v>60</v>
      </c>
      <c r="B1287" s="1">
        <v>46131</v>
      </c>
      <c r="C1287">
        <v>2378036275</v>
      </c>
      <c r="D1287">
        <v>2378036319</v>
      </c>
      <c r="E1287" t="str">
        <f>T("구원자가 도망친 밤 45화")</f>
        <v>구원자가 도망친 밤 45화</v>
      </c>
      <c r="F1287">
        <v>45</v>
      </c>
      <c r="G1287" t="str">
        <f>T("얼든트")</f>
        <v>얼든트</v>
      </c>
      <c r="J1287" t="str">
        <f>T("시계토끼")</f>
        <v>시계토끼</v>
      </c>
      <c r="K1287" t="str">
        <f>T("구원자가 도망친 밤")</f>
        <v>구원자가 도망친 밤</v>
      </c>
      <c r="L1287">
        <v>100</v>
      </c>
      <c r="M1287">
        <v>100</v>
      </c>
      <c r="N1287">
        <v>1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100</v>
      </c>
      <c r="AJ1287">
        <v>1</v>
      </c>
      <c r="AK1287">
        <v>0</v>
      </c>
      <c r="AL1287">
        <v>0</v>
      </c>
      <c r="AM1287">
        <v>100</v>
      </c>
      <c r="AN1287">
        <v>0</v>
      </c>
      <c r="AO1287">
        <v>0</v>
      </c>
      <c r="AP1287">
        <v>0</v>
      </c>
      <c r="AQ1287">
        <v>0</v>
      </c>
      <c r="AS1287">
        <v>0</v>
      </c>
      <c r="AT1287">
        <v>0</v>
      </c>
      <c r="AV1287">
        <v>0</v>
      </c>
      <c r="AW1287">
        <v>0</v>
      </c>
      <c r="AY1287">
        <v>0</v>
      </c>
      <c r="AZ1287">
        <v>0</v>
      </c>
      <c r="BA1287">
        <v>70</v>
      </c>
      <c r="BE1287" t="str">
        <f>T("9791164097173")</f>
        <v>9791164097173</v>
      </c>
      <c r="BF1287" t="str">
        <f>T("N105571")</f>
        <v>N105571</v>
      </c>
      <c r="BG1287" t="str">
        <f>T("로판 웹소설 &gt; 서양풍 로판")</f>
        <v>로판 웹소설 &gt; 서양풍 로판</v>
      </c>
    </row>
    <row r="1288" spans="1:59">
      <c r="A1288" t="s">
        <v>60</v>
      </c>
      <c r="B1288" s="1">
        <v>46131</v>
      </c>
      <c r="C1288">
        <v>2378036275</v>
      </c>
      <c r="D1288">
        <v>2378036320</v>
      </c>
      <c r="E1288" t="str">
        <f>T("구원자가 도망친 밤 46화")</f>
        <v>구원자가 도망친 밤 46화</v>
      </c>
      <c r="F1288">
        <v>46</v>
      </c>
      <c r="G1288" t="str">
        <f>T("얼든트")</f>
        <v>얼든트</v>
      </c>
      <c r="J1288" t="str">
        <f>T("시계토끼")</f>
        <v>시계토끼</v>
      </c>
      <c r="K1288" t="str">
        <f>T("구원자가 도망친 밤")</f>
        <v>구원자가 도망친 밤</v>
      </c>
      <c r="L1288">
        <v>100</v>
      </c>
      <c r="M1288">
        <v>100</v>
      </c>
      <c r="N1288">
        <v>1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100</v>
      </c>
      <c r="AJ1288">
        <v>1</v>
      </c>
      <c r="AK1288">
        <v>0</v>
      </c>
      <c r="AL1288">
        <v>0</v>
      </c>
      <c r="AM1288">
        <v>100</v>
      </c>
      <c r="AN1288">
        <v>0</v>
      </c>
      <c r="AO1288">
        <v>0</v>
      </c>
      <c r="AP1288">
        <v>0</v>
      </c>
      <c r="AQ1288">
        <v>0</v>
      </c>
      <c r="AS1288">
        <v>0</v>
      </c>
      <c r="AT1288">
        <v>0</v>
      </c>
      <c r="AV1288">
        <v>0</v>
      </c>
      <c r="AW1288">
        <v>0</v>
      </c>
      <c r="AY1288">
        <v>0</v>
      </c>
      <c r="AZ1288">
        <v>0</v>
      </c>
      <c r="BA1288">
        <v>70</v>
      </c>
      <c r="BE1288" t="str">
        <f>T("9791164097173")</f>
        <v>9791164097173</v>
      </c>
      <c r="BF1288" t="str">
        <f>T("N105572")</f>
        <v>N105572</v>
      </c>
      <c r="BG1288" t="str">
        <f>T("로판 웹소설 &gt; 서양풍 로판")</f>
        <v>로판 웹소설 &gt; 서양풍 로판</v>
      </c>
    </row>
    <row r="1289" spans="1:59">
      <c r="A1289" t="s">
        <v>60</v>
      </c>
      <c r="B1289" s="1">
        <v>46131</v>
      </c>
      <c r="C1289">
        <v>2378036275</v>
      </c>
      <c r="D1289">
        <v>2378036321</v>
      </c>
      <c r="E1289" t="str">
        <f>T("구원자가 도망친 밤 47화")</f>
        <v>구원자가 도망친 밤 47화</v>
      </c>
      <c r="F1289">
        <v>47</v>
      </c>
      <c r="G1289" t="str">
        <f>T("얼든트")</f>
        <v>얼든트</v>
      </c>
      <c r="J1289" t="str">
        <f>T("시계토끼")</f>
        <v>시계토끼</v>
      </c>
      <c r="K1289" t="str">
        <f>T("구원자가 도망친 밤")</f>
        <v>구원자가 도망친 밤</v>
      </c>
      <c r="L1289">
        <v>100</v>
      </c>
      <c r="M1289">
        <v>100</v>
      </c>
      <c r="N1289">
        <v>1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100</v>
      </c>
      <c r="AJ1289">
        <v>1</v>
      </c>
      <c r="AK1289">
        <v>0</v>
      </c>
      <c r="AL1289">
        <v>0</v>
      </c>
      <c r="AM1289">
        <v>100</v>
      </c>
      <c r="AN1289">
        <v>0</v>
      </c>
      <c r="AO1289">
        <v>0</v>
      </c>
      <c r="AP1289">
        <v>0</v>
      </c>
      <c r="AQ1289">
        <v>0</v>
      </c>
      <c r="AS1289">
        <v>0</v>
      </c>
      <c r="AT1289">
        <v>0</v>
      </c>
      <c r="AV1289">
        <v>0</v>
      </c>
      <c r="AW1289">
        <v>0</v>
      </c>
      <c r="AY1289">
        <v>0</v>
      </c>
      <c r="AZ1289">
        <v>0</v>
      </c>
      <c r="BA1289">
        <v>70</v>
      </c>
      <c r="BE1289" t="str">
        <f>T("9791164097173")</f>
        <v>9791164097173</v>
      </c>
      <c r="BF1289" t="str">
        <f>T("N105573")</f>
        <v>N105573</v>
      </c>
      <c r="BG1289" t="str">
        <f>T("로판 웹소설 &gt; 서양풍 로판")</f>
        <v>로판 웹소설 &gt; 서양풍 로판</v>
      </c>
    </row>
    <row r="1290" spans="1:59">
      <c r="A1290" t="s">
        <v>60</v>
      </c>
      <c r="B1290" s="1">
        <v>46131</v>
      </c>
      <c r="C1290">
        <v>2378036275</v>
      </c>
      <c r="D1290">
        <v>2378036322</v>
      </c>
      <c r="E1290" t="str">
        <f>T("구원자가 도망친 밤 48화")</f>
        <v>구원자가 도망친 밤 48화</v>
      </c>
      <c r="F1290">
        <v>48</v>
      </c>
      <c r="G1290" t="str">
        <f>T("얼든트")</f>
        <v>얼든트</v>
      </c>
      <c r="J1290" t="str">
        <f>T("시계토끼")</f>
        <v>시계토끼</v>
      </c>
      <c r="K1290" t="str">
        <f>T("구원자가 도망친 밤")</f>
        <v>구원자가 도망친 밤</v>
      </c>
      <c r="L1290">
        <v>100</v>
      </c>
      <c r="M1290">
        <v>100</v>
      </c>
      <c r="N1290">
        <v>1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100</v>
      </c>
      <c r="AJ1290">
        <v>1</v>
      </c>
      <c r="AK1290">
        <v>0</v>
      </c>
      <c r="AL1290">
        <v>0</v>
      </c>
      <c r="AM1290">
        <v>100</v>
      </c>
      <c r="AN1290">
        <v>0</v>
      </c>
      <c r="AO1290">
        <v>0</v>
      </c>
      <c r="AP1290">
        <v>0</v>
      </c>
      <c r="AQ1290">
        <v>0</v>
      </c>
      <c r="AS1290">
        <v>0</v>
      </c>
      <c r="AT1290">
        <v>0</v>
      </c>
      <c r="AV1290">
        <v>0</v>
      </c>
      <c r="AW1290">
        <v>0</v>
      </c>
      <c r="AY1290">
        <v>0</v>
      </c>
      <c r="AZ1290">
        <v>0</v>
      </c>
      <c r="BA1290">
        <v>70</v>
      </c>
      <c r="BE1290" t="str">
        <f>T("9791164097173")</f>
        <v>9791164097173</v>
      </c>
      <c r="BF1290" t="str">
        <f>T("N105574")</f>
        <v>N105574</v>
      </c>
      <c r="BG1290" t="str">
        <f>T("로판 웹소설 &gt; 서양풍 로판")</f>
        <v>로판 웹소설 &gt; 서양풍 로판</v>
      </c>
    </row>
    <row r="1291" spans="1:59">
      <c r="A1291" t="s">
        <v>60</v>
      </c>
      <c r="B1291" s="1">
        <v>46131</v>
      </c>
      <c r="C1291">
        <v>2378036275</v>
      </c>
      <c r="D1291">
        <v>2378036323</v>
      </c>
      <c r="E1291" t="str">
        <f>T("구원자가 도망친 밤 49화")</f>
        <v>구원자가 도망친 밤 49화</v>
      </c>
      <c r="F1291">
        <v>49</v>
      </c>
      <c r="G1291" t="str">
        <f>T("얼든트")</f>
        <v>얼든트</v>
      </c>
      <c r="J1291" t="str">
        <f>T("시계토끼")</f>
        <v>시계토끼</v>
      </c>
      <c r="K1291" t="str">
        <f>T("구원자가 도망친 밤")</f>
        <v>구원자가 도망친 밤</v>
      </c>
      <c r="L1291">
        <v>100</v>
      </c>
      <c r="M1291">
        <v>100</v>
      </c>
      <c r="N1291">
        <v>1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100</v>
      </c>
      <c r="AJ1291">
        <v>1</v>
      </c>
      <c r="AK1291">
        <v>0</v>
      </c>
      <c r="AL1291">
        <v>0</v>
      </c>
      <c r="AM1291">
        <v>100</v>
      </c>
      <c r="AN1291">
        <v>0</v>
      </c>
      <c r="AO1291">
        <v>0</v>
      </c>
      <c r="AP1291">
        <v>0</v>
      </c>
      <c r="AQ1291">
        <v>0</v>
      </c>
      <c r="AS1291">
        <v>0</v>
      </c>
      <c r="AT1291">
        <v>0</v>
      </c>
      <c r="AV1291">
        <v>0</v>
      </c>
      <c r="AW1291">
        <v>0</v>
      </c>
      <c r="AY1291">
        <v>0</v>
      </c>
      <c r="AZ1291">
        <v>0</v>
      </c>
      <c r="BA1291">
        <v>70</v>
      </c>
      <c r="BE1291" t="str">
        <f>T("9791164097173")</f>
        <v>9791164097173</v>
      </c>
      <c r="BF1291" t="str">
        <f>T("N105575")</f>
        <v>N105575</v>
      </c>
      <c r="BG1291" t="str">
        <f>T("로판 웹소설 &gt; 서양풍 로판")</f>
        <v>로판 웹소설 &gt; 서양풍 로판</v>
      </c>
    </row>
    <row r="1292" spans="1:59">
      <c r="A1292" t="s">
        <v>60</v>
      </c>
      <c r="B1292" s="1">
        <v>46131</v>
      </c>
      <c r="C1292">
        <v>2378036275</v>
      </c>
      <c r="D1292">
        <v>2378036324</v>
      </c>
      <c r="E1292" t="str">
        <f>T("구원자가 도망친 밤 50화")</f>
        <v>구원자가 도망친 밤 50화</v>
      </c>
      <c r="F1292">
        <v>50</v>
      </c>
      <c r="G1292" t="str">
        <f>T("얼든트")</f>
        <v>얼든트</v>
      </c>
      <c r="J1292" t="str">
        <f>T("시계토끼")</f>
        <v>시계토끼</v>
      </c>
      <c r="K1292" t="str">
        <f>T("구원자가 도망친 밤")</f>
        <v>구원자가 도망친 밤</v>
      </c>
      <c r="L1292">
        <v>100</v>
      </c>
      <c r="M1292">
        <v>100</v>
      </c>
      <c r="N1292">
        <v>1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100</v>
      </c>
      <c r="AJ1292">
        <v>1</v>
      </c>
      <c r="AK1292">
        <v>0</v>
      </c>
      <c r="AL1292">
        <v>0</v>
      </c>
      <c r="AM1292">
        <v>100</v>
      </c>
      <c r="AN1292">
        <v>0</v>
      </c>
      <c r="AO1292">
        <v>0</v>
      </c>
      <c r="AP1292">
        <v>0</v>
      </c>
      <c r="AQ1292">
        <v>0</v>
      </c>
      <c r="AS1292">
        <v>0</v>
      </c>
      <c r="AT1292">
        <v>0</v>
      </c>
      <c r="AV1292">
        <v>0</v>
      </c>
      <c r="AW1292">
        <v>0</v>
      </c>
      <c r="AY1292">
        <v>0</v>
      </c>
      <c r="AZ1292">
        <v>0</v>
      </c>
      <c r="BA1292">
        <v>70</v>
      </c>
      <c r="BE1292" t="str">
        <f>T("9791164097173")</f>
        <v>9791164097173</v>
      </c>
      <c r="BF1292" t="str">
        <f>T("N105576")</f>
        <v>N105576</v>
      </c>
      <c r="BG1292" t="str">
        <f>T("로판 웹소설 &gt; 서양풍 로판")</f>
        <v>로판 웹소설 &gt; 서양풍 로판</v>
      </c>
    </row>
    <row r="1293" spans="1:59">
      <c r="A1293" t="s">
        <v>60</v>
      </c>
      <c r="B1293" s="1">
        <v>46131</v>
      </c>
      <c r="C1293">
        <v>2378036275</v>
      </c>
      <c r="D1293">
        <v>2378036325</v>
      </c>
      <c r="E1293" t="str">
        <f>T("구원자가 도망친 밤 51화")</f>
        <v>구원자가 도망친 밤 51화</v>
      </c>
      <c r="F1293">
        <v>51</v>
      </c>
      <c r="G1293" t="str">
        <f>T("얼든트")</f>
        <v>얼든트</v>
      </c>
      <c r="J1293" t="str">
        <f>T("시계토끼")</f>
        <v>시계토끼</v>
      </c>
      <c r="K1293" t="str">
        <f>T("구원자가 도망친 밤")</f>
        <v>구원자가 도망친 밤</v>
      </c>
      <c r="L1293">
        <v>100</v>
      </c>
      <c r="M1293">
        <v>100</v>
      </c>
      <c r="N1293">
        <v>1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100</v>
      </c>
      <c r="AJ1293">
        <v>1</v>
      </c>
      <c r="AK1293">
        <v>0</v>
      </c>
      <c r="AL1293">
        <v>0</v>
      </c>
      <c r="AM1293">
        <v>100</v>
      </c>
      <c r="AN1293">
        <v>0</v>
      </c>
      <c r="AO1293">
        <v>0</v>
      </c>
      <c r="AP1293">
        <v>0</v>
      </c>
      <c r="AQ1293">
        <v>0</v>
      </c>
      <c r="AS1293">
        <v>0</v>
      </c>
      <c r="AT1293">
        <v>0</v>
      </c>
      <c r="AV1293">
        <v>0</v>
      </c>
      <c r="AW1293">
        <v>0</v>
      </c>
      <c r="AY1293">
        <v>0</v>
      </c>
      <c r="AZ1293">
        <v>0</v>
      </c>
      <c r="BA1293">
        <v>70</v>
      </c>
      <c r="BE1293" t="str">
        <f>T("9791164097173")</f>
        <v>9791164097173</v>
      </c>
      <c r="BF1293" t="str">
        <f>T("N105577")</f>
        <v>N105577</v>
      </c>
      <c r="BG1293" t="str">
        <f>T("로판 웹소설 &gt; 서양풍 로판")</f>
        <v>로판 웹소설 &gt; 서양풍 로판</v>
      </c>
    </row>
    <row r="1294" spans="1:59">
      <c r="A1294" t="s">
        <v>60</v>
      </c>
      <c r="B1294" s="1">
        <v>46131</v>
      </c>
      <c r="C1294">
        <v>2378036275</v>
      </c>
      <c r="D1294">
        <v>2378036326</v>
      </c>
      <c r="E1294" t="str">
        <f>T("구원자가 도망친 밤 52화")</f>
        <v>구원자가 도망친 밤 52화</v>
      </c>
      <c r="F1294">
        <v>52</v>
      </c>
      <c r="G1294" t="str">
        <f>T("얼든트")</f>
        <v>얼든트</v>
      </c>
      <c r="J1294" t="str">
        <f>T("시계토끼")</f>
        <v>시계토끼</v>
      </c>
      <c r="K1294" t="str">
        <f>T("구원자가 도망친 밤")</f>
        <v>구원자가 도망친 밤</v>
      </c>
      <c r="L1294">
        <v>100</v>
      </c>
      <c r="M1294">
        <v>100</v>
      </c>
      <c r="N1294">
        <v>1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100</v>
      </c>
      <c r="AJ1294">
        <v>1</v>
      </c>
      <c r="AK1294">
        <v>0</v>
      </c>
      <c r="AL1294">
        <v>0</v>
      </c>
      <c r="AM1294">
        <v>100</v>
      </c>
      <c r="AN1294">
        <v>0</v>
      </c>
      <c r="AO1294">
        <v>0</v>
      </c>
      <c r="AP1294">
        <v>0</v>
      </c>
      <c r="AQ1294">
        <v>0</v>
      </c>
      <c r="AS1294">
        <v>0</v>
      </c>
      <c r="AT1294">
        <v>0</v>
      </c>
      <c r="AV1294">
        <v>0</v>
      </c>
      <c r="AW1294">
        <v>0</v>
      </c>
      <c r="AY1294">
        <v>0</v>
      </c>
      <c r="AZ1294">
        <v>0</v>
      </c>
      <c r="BA1294">
        <v>70</v>
      </c>
      <c r="BE1294" t="str">
        <f>T("9791164097173")</f>
        <v>9791164097173</v>
      </c>
      <c r="BF1294" t="str">
        <f>T("N105578")</f>
        <v>N105578</v>
      </c>
      <c r="BG1294" t="str">
        <f>T("로판 웹소설 &gt; 서양풍 로판")</f>
        <v>로판 웹소설 &gt; 서양풍 로판</v>
      </c>
    </row>
    <row r="1295" spans="1:59">
      <c r="A1295" t="s">
        <v>60</v>
      </c>
      <c r="B1295" s="1">
        <v>46131</v>
      </c>
      <c r="C1295">
        <v>2378036275</v>
      </c>
      <c r="D1295">
        <v>2378036327</v>
      </c>
      <c r="E1295" t="str">
        <f>T("구원자가 도망친 밤 53화")</f>
        <v>구원자가 도망친 밤 53화</v>
      </c>
      <c r="F1295">
        <v>53</v>
      </c>
      <c r="G1295" t="str">
        <f>T("얼든트")</f>
        <v>얼든트</v>
      </c>
      <c r="J1295" t="str">
        <f>T("시계토끼")</f>
        <v>시계토끼</v>
      </c>
      <c r="K1295" t="str">
        <f>T("구원자가 도망친 밤")</f>
        <v>구원자가 도망친 밤</v>
      </c>
      <c r="L1295">
        <v>100</v>
      </c>
      <c r="M1295">
        <v>100</v>
      </c>
      <c r="N1295">
        <v>1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100</v>
      </c>
      <c r="AJ1295">
        <v>1</v>
      </c>
      <c r="AK1295">
        <v>0</v>
      </c>
      <c r="AL1295">
        <v>0</v>
      </c>
      <c r="AM1295">
        <v>100</v>
      </c>
      <c r="AN1295">
        <v>0</v>
      </c>
      <c r="AO1295">
        <v>0</v>
      </c>
      <c r="AP1295">
        <v>0</v>
      </c>
      <c r="AQ1295">
        <v>0</v>
      </c>
      <c r="AS1295">
        <v>0</v>
      </c>
      <c r="AT1295">
        <v>0</v>
      </c>
      <c r="AV1295">
        <v>0</v>
      </c>
      <c r="AW1295">
        <v>0</v>
      </c>
      <c r="AY1295">
        <v>0</v>
      </c>
      <c r="AZ1295">
        <v>0</v>
      </c>
      <c r="BA1295">
        <v>70</v>
      </c>
      <c r="BE1295" t="str">
        <f>T("9791164097173")</f>
        <v>9791164097173</v>
      </c>
      <c r="BF1295" t="str">
        <f>T("N105579")</f>
        <v>N105579</v>
      </c>
      <c r="BG1295" t="str">
        <f>T("로판 웹소설 &gt; 서양풍 로판")</f>
        <v>로판 웹소설 &gt; 서양풍 로판</v>
      </c>
    </row>
    <row r="1296" spans="1:59">
      <c r="A1296" t="s">
        <v>60</v>
      </c>
      <c r="B1296" s="1">
        <v>46131</v>
      </c>
      <c r="C1296">
        <v>2378036275</v>
      </c>
      <c r="D1296">
        <v>2378036328</v>
      </c>
      <c r="E1296" t="str">
        <f>T("구원자가 도망친 밤 54화")</f>
        <v>구원자가 도망친 밤 54화</v>
      </c>
      <c r="F1296">
        <v>54</v>
      </c>
      <c r="G1296" t="str">
        <f>T("얼든트")</f>
        <v>얼든트</v>
      </c>
      <c r="J1296" t="str">
        <f>T("시계토끼")</f>
        <v>시계토끼</v>
      </c>
      <c r="K1296" t="str">
        <f>T("구원자가 도망친 밤")</f>
        <v>구원자가 도망친 밤</v>
      </c>
      <c r="L1296">
        <v>100</v>
      </c>
      <c r="M1296">
        <v>100</v>
      </c>
      <c r="N1296">
        <v>1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100</v>
      </c>
      <c r="AJ1296">
        <v>1</v>
      </c>
      <c r="AK1296">
        <v>0</v>
      </c>
      <c r="AL1296">
        <v>0</v>
      </c>
      <c r="AM1296">
        <v>100</v>
      </c>
      <c r="AN1296">
        <v>0</v>
      </c>
      <c r="AO1296">
        <v>0</v>
      </c>
      <c r="AP1296">
        <v>0</v>
      </c>
      <c r="AQ1296">
        <v>0</v>
      </c>
      <c r="AS1296">
        <v>0</v>
      </c>
      <c r="AT1296">
        <v>0</v>
      </c>
      <c r="AV1296">
        <v>0</v>
      </c>
      <c r="AW1296">
        <v>0</v>
      </c>
      <c r="AY1296">
        <v>0</v>
      </c>
      <c r="AZ1296">
        <v>0</v>
      </c>
      <c r="BA1296">
        <v>70</v>
      </c>
      <c r="BE1296" t="str">
        <f>T("9791164097173")</f>
        <v>9791164097173</v>
      </c>
      <c r="BF1296" t="str">
        <f>T("N105580")</f>
        <v>N105580</v>
      </c>
      <c r="BG1296" t="str">
        <f>T("로판 웹소설 &gt; 서양풍 로판")</f>
        <v>로판 웹소설 &gt; 서양풍 로판</v>
      </c>
    </row>
    <row r="1297" spans="1:59">
      <c r="A1297" t="s">
        <v>60</v>
      </c>
      <c r="B1297" s="1">
        <v>46131</v>
      </c>
      <c r="C1297">
        <v>2378036275</v>
      </c>
      <c r="D1297">
        <v>2378036329</v>
      </c>
      <c r="E1297" t="str">
        <f>T("구원자가 도망친 밤 55화")</f>
        <v>구원자가 도망친 밤 55화</v>
      </c>
      <c r="F1297">
        <v>55</v>
      </c>
      <c r="G1297" t="str">
        <f>T("얼든트")</f>
        <v>얼든트</v>
      </c>
      <c r="J1297" t="str">
        <f>T("시계토끼")</f>
        <v>시계토끼</v>
      </c>
      <c r="K1297" t="str">
        <f>T("구원자가 도망친 밤")</f>
        <v>구원자가 도망친 밤</v>
      </c>
      <c r="L1297">
        <v>100</v>
      </c>
      <c r="M1297">
        <v>100</v>
      </c>
      <c r="N1297">
        <v>1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0</v>
      </c>
      <c r="AH1297">
        <v>0</v>
      </c>
      <c r="AI1297">
        <v>100</v>
      </c>
      <c r="AJ1297">
        <v>1</v>
      </c>
      <c r="AK1297">
        <v>0</v>
      </c>
      <c r="AL1297">
        <v>0</v>
      </c>
      <c r="AM1297">
        <v>100</v>
      </c>
      <c r="AN1297">
        <v>0</v>
      </c>
      <c r="AO1297">
        <v>0</v>
      </c>
      <c r="AP1297">
        <v>0</v>
      </c>
      <c r="AQ1297">
        <v>0</v>
      </c>
      <c r="AS1297">
        <v>0</v>
      </c>
      <c r="AT1297">
        <v>0</v>
      </c>
      <c r="AV1297">
        <v>0</v>
      </c>
      <c r="AW1297">
        <v>0</v>
      </c>
      <c r="AY1297">
        <v>0</v>
      </c>
      <c r="AZ1297">
        <v>0</v>
      </c>
      <c r="BA1297">
        <v>70</v>
      </c>
      <c r="BE1297" t="str">
        <f>T("9791164097173")</f>
        <v>9791164097173</v>
      </c>
      <c r="BF1297" t="str">
        <f>T("N105581")</f>
        <v>N105581</v>
      </c>
      <c r="BG1297" t="str">
        <f>T("로판 웹소설 &gt; 서양풍 로판")</f>
        <v>로판 웹소설 &gt; 서양풍 로판</v>
      </c>
    </row>
    <row r="1298" spans="1:59">
      <c r="A1298" t="s">
        <v>60</v>
      </c>
      <c r="B1298" s="1">
        <v>46131</v>
      </c>
      <c r="C1298">
        <v>2378036275</v>
      </c>
      <c r="D1298">
        <v>2378036330</v>
      </c>
      <c r="E1298" t="str">
        <f>T("구원자가 도망친 밤 56화")</f>
        <v>구원자가 도망친 밤 56화</v>
      </c>
      <c r="F1298">
        <v>56</v>
      </c>
      <c r="G1298" t="str">
        <f>T("얼든트")</f>
        <v>얼든트</v>
      </c>
      <c r="J1298" t="str">
        <f>T("시계토끼")</f>
        <v>시계토끼</v>
      </c>
      <c r="K1298" t="str">
        <f>T("구원자가 도망친 밤")</f>
        <v>구원자가 도망친 밤</v>
      </c>
      <c r="L1298">
        <v>100</v>
      </c>
      <c r="M1298">
        <v>100</v>
      </c>
      <c r="N1298">
        <v>1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100</v>
      </c>
      <c r="AJ1298">
        <v>1</v>
      </c>
      <c r="AK1298">
        <v>0</v>
      </c>
      <c r="AL1298">
        <v>0</v>
      </c>
      <c r="AM1298">
        <v>100</v>
      </c>
      <c r="AN1298">
        <v>0</v>
      </c>
      <c r="AO1298">
        <v>0</v>
      </c>
      <c r="AP1298">
        <v>0</v>
      </c>
      <c r="AQ1298">
        <v>0</v>
      </c>
      <c r="AS1298">
        <v>0</v>
      </c>
      <c r="AT1298">
        <v>0</v>
      </c>
      <c r="AV1298">
        <v>0</v>
      </c>
      <c r="AW1298">
        <v>0</v>
      </c>
      <c r="AY1298">
        <v>0</v>
      </c>
      <c r="AZ1298">
        <v>0</v>
      </c>
      <c r="BA1298">
        <v>70</v>
      </c>
      <c r="BE1298" t="str">
        <f>T("9791164097173")</f>
        <v>9791164097173</v>
      </c>
      <c r="BF1298" t="str">
        <f>T("N105582")</f>
        <v>N105582</v>
      </c>
      <c r="BG1298" t="str">
        <f>T("로판 웹소설 &gt; 서양풍 로판")</f>
        <v>로판 웹소설 &gt; 서양풍 로판</v>
      </c>
    </row>
    <row r="1299" spans="1:59">
      <c r="A1299" t="s">
        <v>60</v>
      </c>
      <c r="B1299" s="1">
        <v>46131</v>
      </c>
      <c r="C1299">
        <v>2378036275</v>
      </c>
      <c r="D1299">
        <v>2378036331</v>
      </c>
      <c r="E1299" t="str">
        <f>T("구원자가 도망친 밤 57화")</f>
        <v>구원자가 도망친 밤 57화</v>
      </c>
      <c r="F1299">
        <v>57</v>
      </c>
      <c r="G1299" t="str">
        <f>T("얼든트")</f>
        <v>얼든트</v>
      </c>
      <c r="J1299" t="str">
        <f>T("시계토끼")</f>
        <v>시계토끼</v>
      </c>
      <c r="K1299" t="str">
        <f>T("구원자가 도망친 밤")</f>
        <v>구원자가 도망친 밤</v>
      </c>
      <c r="L1299">
        <v>100</v>
      </c>
      <c r="M1299">
        <v>100</v>
      </c>
      <c r="N1299">
        <v>1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100</v>
      </c>
      <c r="AJ1299">
        <v>1</v>
      </c>
      <c r="AK1299">
        <v>0</v>
      </c>
      <c r="AL1299">
        <v>0</v>
      </c>
      <c r="AM1299">
        <v>100</v>
      </c>
      <c r="AN1299">
        <v>0</v>
      </c>
      <c r="AO1299">
        <v>0</v>
      </c>
      <c r="AP1299">
        <v>0</v>
      </c>
      <c r="AQ1299">
        <v>0</v>
      </c>
      <c r="AS1299">
        <v>0</v>
      </c>
      <c r="AT1299">
        <v>0</v>
      </c>
      <c r="AV1299">
        <v>0</v>
      </c>
      <c r="AW1299">
        <v>0</v>
      </c>
      <c r="AY1299">
        <v>0</v>
      </c>
      <c r="AZ1299">
        <v>0</v>
      </c>
      <c r="BA1299">
        <v>70</v>
      </c>
      <c r="BE1299" t="str">
        <f>T("9791164097173")</f>
        <v>9791164097173</v>
      </c>
      <c r="BF1299" t="str">
        <f>T("N105583")</f>
        <v>N105583</v>
      </c>
      <c r="BG1299" t="str">
        <f>T("로판 웹소설 &gt; 서양풍 로판")</f>
        <v>로판 웹소설 &gt; 서양풍 로판</v>
      </c>
    </row>
    <row r="1300" spans="1:59">
      <c r="A1300" t="s">
        <v>60</v>
      </c>
      <c r="B1300" s="1">
        <v>46131</v>
      </c>
      <c r="C1300">
        <v>2378036275</v>
      </c>
      <c r="D1300">
        <v>2378036332</v>
      </c>
      <c r="E1300" t="str">
        <f>T("구원자가 도망친 밤 58화")</f>
        <v>구원자가 도망친 밤 58화</v>
      </c>
      <c r="F1300">
        <v>58</v>
      </c>
      <c r="G1300" t="str">
        <f>T("얼든트")</f>
        <v>얼든트</v>
      </c>
      <c r="J1300" t="str">
        <f>T("시계토끼")</f>
        <v>시계토끼</v>
      </c>
      <c r="K1300" t="str">
        <f>T("구원자가 도망친 밤")</f>
        <v>구원자가 도망친 밤</v>
      </c>
      <c r="L1300">
        <v>100</v>
      </c>
      <c r="M1300">
        <v>100</v>
      </c>
      <c r="N1300">
        <v>1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100</v>
      </c>
      <c r="AJ1300">
        <v>1</v>
      </c>
      <c r="AK1300">
        <v>0</v>
      </c>
      <c r="AL1300">
        <v>0</v>
      </c>
      <c r="AM1300">
        <v>100</v>
      </c>
      <c r="AN1300">
        <v>0</v>
      </c>
      <c r="AO1300">
        <v>0</v>
      </c>
      <c r="AP1300">
        <v>0</v>
      </c>
      <c r="AQ1300">
        <v>0</v>
      </c>
      <c r="AS1300">
        <v>0</v>
      </c>
      <c r="AT1300">
        <v>0</v>
      </c>
      <c r="AV1300">
        <v>0</v>
      </c>
      <c r="AW1300">
        <v>0</v>
      </c>
      <c r="AY1300">
        <v>0</v>
      </c>
      <c r="AZ1300">
        <v>0</v>
      </c>
      <c r="BA1300">
        <v>70</v>
      </c>
      <c r="BE1300" t="str">
        <f>T("9791164097173")</f>
        <v>9791164097173</v>
      </c>
      <c r="BF1300" t="str">
        <f>T("N105584")</f>
        <v>N105584</v>
      </c>
      <c r="BG1300" t="str">
        <f>T("로판 웹소설 &gt; 서양풍 로판")</f>
        <v>로판 웹소설 &gt; 서양풍 로판</v>
      </c>
    </row>
    <row r="1301" spans="1:59">
      <c r="A1301" t="s">
        <v>60</v>
      </c>
      <c r="B1301" s="1">
        <v>46131</v>
      </c>
      <c r="C1301">
        <v>2378036275</v>
      </c>
      <c r="D1301">
        <v>2378036333</v>
      </c>
      <c r="E1301" t="str">
        <f>T("구원자가 도망친 밤 59화")</f>
        <v>구원자가 도망친 밤 59화</v>
      </c>
      <c r="F1301">
        <v>59</v>
      </c>
      <c r="G1301" t="str">
        <f>T("얼든트")</f>
        <v>얼든트</v>
      </c>
      <c r="J1301" t="str">
        <f>T("시계토끼")</f>
        <v>시계토끼</v>
      </c>
      <c r="K1301" t="str">
        <f>T("구원자가 도망친 밤")</f>
        <v>구원자가 도망친 밤</v>
      </c>
      <c r="L1301">
        <v>100</v>
      </c>
      <c r="M1301">
        <v>100</v>
      </c>
      <c r="N1301">
        <v>1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100</v>
      </c>
      <c r="AJ1301">
        <v>1</v>
      </c>
      <c r="AK1301">
        <v>0</v>
      </c>
      <c r="AL1301">
        <v>0</v>
      </c>
      <c r="AM1301">
        <v>100</v>
      </c>
      <c r="AN1301">
        <v>0</v>
      </c>
      <c r="AO1301">
        <v>0</v>
      </c>
      <c r="AP1301">
        <v>0</v>
      </c>
      <c r="AQ1301">
        <v>0</v>
      </c>
      <c r="AS1301">
        <v>0</v>
      </c>
      <c r="AT1301">
        <v>0</v>
      </c>
      <c r="AV1301">
        <v>0</v>
      </c>
      <c r="AW1301">
        <v>0</v>
      </c>
      <c r="AY1301">
        <v>0</v>
      </c>
      <c r="AZ1301">
        <v>0</v>
      </c>
      <c r="BA1301">
        <v>70</v>
      </c>
      <c r="BE1301" t="str">
        <f>T("9791164097173")</f>
        <v>9791164097173</v>
      </c>
      <c r="BF1301" t="str">
        <f>T("N105585")</f>
        <v>N105585</v>
      </c>
      <c r="BG1301" t="str">
        <f>T("로판 웹소설 &gt; 서양풍 로판")</f>
        <v>로판 웹소설 &gt; 서양풍 로판</v>
      </c>
    </row>
    <row r="1302" spans="1:59">
      <c r="A1302" t="s">
        <v>60</v>
      </c>
      <c r="B1302" s="1">
        <v>46131</v>
      </c>
      <c r="C1302">
        <v>2378036275</v>
      </c>
      <c r="D1302">
        <v>2378036334</v>
      </c>
      <c r="E1302" t="str">
        <f>T("구원자가 도망친 밤 60화")</f>
        <v>구원자가 도망친 밤 60화</v>
      </c>
      <c r="F1302">
        <v>60</v>
      </c>
      <c r="G1302" t="str">
        <f>T("얼든트")</f>
        <v>얼든트</v>
      </c>
      <c r="J1302" t="str">
        <f>T("시계토끼")</f>
        <v>시계토끼</v>
      </c>
      <c r="K1302" t="str">
        <f>T("구원자가 도망친 밤")</f>
        <v>구원자가 도망친 밤</v>
      </c>
      <c r="L1302">
        <v>100</v>
      </c>
      <c r="M1302">
        <v>100</v>
      </c>
      <c r="N1302">
        <v>1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100</v>
      </c>
      <c r="AJ1302">
        <v>1</v>
      </c>
      <c r="AK1302">
        <v>0</v>
      </c>
      <c r="AL1302">
        <v>0</v>
      </c>
      <c r="AM1302">
        <v>100</v>
      </c>
      <c r="AN1302">
        <v>0</v>
      </c>
      <c r="AO1302">
        <v>0</v>
      </c>
      <c r="AP1302">
        <v>0</v>
      </c>
      <c r="AQ1302">
        <v>0</v>
      </c>
      <c r="AS1302">
        <v>0</v>
      </c>
      <c r="AT1302">
        <v>0</v>
      </c>
      <c r="AV1302">
        <v>0</v>
      </c>
      <c r="AW1302">
        <v>0</v>
      </c>
      <c r="AY1302">
        <v>0</v>
      </c>
      <c r="AZ1302">
        <v>0</v>
      </c>
      <c r="BA1302">
        <v>70</v>
      </c>
      <c r="BE1302" t="str">
        <f>T("9791164097173")</f>
        <v>9791164097173</v>
      </c>
      <c r="BF1302" t="str">
        <f>T("N105586")</f>
        <v>N105586</v>
      </c>
      <c r="BG1302" t="str">
        <f>T("로판 웹소설 &gt; 서양풍 로판")</f>
        <v>로판 웹소설 &gt; 서양풍 로판</v>
      </c>
    </row>
    <row r="1303" spans="1:59">
      <c r="A1303" t="s">
        <v>60</v>
      </c>
      <c r="B1303" s="1">
        <v>46131</v>
      </c>
      <c r="C1303">
        <v>2378036275</v>
      </c>
      <c r="D1303">
        <v>2378036335</v>
      </c>
      <c r="E1303" t="str">
        <f>T("구원자가 도망친 밤 61화")</f>
        <v>구원자가 도망친 밤 61화</v>
      </c>
      <c r="F1303">
        <v>61</v>
      </c>
      <c r="G1303" t="str">
        <f>T("얼든트")</f>
        <v>얼든트</v>
      </c>
      <c r="J1303" t="str">
        <f>T("시계토끼")</f>
        <v>시계토끼</v>
      </c>
      <c r="K1303" t="str">
        <f>T("구원자가 도망친 밤")</f>
        <v>구원자가 도망친 밤</v>
      </c>
      <c r="L1303">
        <v>100</v>
      </c>
      <c r="M1303">
        <v>100</v>
      </c>
      <c r="N1303">
        <v>1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100</v>
      </c>
      <c r="AJ1303">
        <v>1</v>
      </c>
      <c r="AK1303">
        <v>0</v>
      </c>
      <c r="AL1303">
        <v>0</v>
      </c>
      <c r="AM1303">
        <v>100</v>
      </c>
      <c r="AN1303">
        <v>0</v>
      </c>
      <c r="AO1303">
        <v>0</v>
      </c>
      <c r="AP1303">
        <v>0</v>
      </c>
      <c r="AQ1303">
        <v>0</v>
      </c>
      <c r="AS1303">
        <v>0</v>
      </c>
      <c r="AT1303">
        <v>0</v>
      </c>
      <c r="AV1303">
        <v>0</v>
      </c>
      <c r="AW1303">
        <v>0</v>
      </c>
      <c r="AY1303">
        <v>0</v>
      </c>
      <c r="AZ1303">
        <v>0</v>
      </c>
      <c r="BA1303">
        <v>70</v>
      </c>
      <c r="BE1303" t="str">
        <f>T("9791164097173")</f>
        <v>9791164097173</v>
      </c>
      <c r="BF1303" t="str">
        <f>T("N105587")</f>
        <v>N105587</v>
      </c>
      <c r="BG1303" t="str">
        <f>T("로판 웹소설 &gt; 서양풍 로판")</f>
        <v>로판 웹소설 &gt; 서양풍 로판</v>
      </c>
    </row>
    <row r="1304" spans="1:59">
      <c r="A1304" t="s">
        <v>60</v>
      </c>
      <c r="B1304" s="1">
        <v>46131</v>
      </c>
      <c r="C1304">
        <v>2378036275</v>
      </c>
      <c r="D1304">
        <v>2378036336</v>
      </c>
      <c r="E1304" t="str">
        <f>T("구원자가 도망친 밤 62화")</f>
        <v>구원자가 도망친 밤 62화</v>
      </c>
      <c r="F1304">
        <v>62</v>
      </c>
      <c r="G1304" t="str">
        <f>T("얼든트")</f>
        <v>얼든트</v>
      </c>
      <c r="J1304" t="str">
        <f>T("시계토끼")</f>
        <v>시계토끼</v>
      </c>
      <c r="K1304" t="str">
        <f>T("구원자가 도망친 밤")</f>
        <v>구원자가 도망친 밤</v>
      </c>
      <c r="L1304">
        <v>100</v>
      </c>
      <c r="M1304">
        <v>100</v>
      </c>
      <c r="N1304">
        <v>1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100</v>
      </c>
      <c r="AJ1304">
        <v>1</v>
      </c>
      <c r="AK1304">
        <v>0</v>
      </c>
      <c r="AL1304">
        <v>0</v>
      </c>
      <c r="AM1304">
        <v>100</v>
      </c>
      <c r="AN1304">
        <v>0</v>
      </c>
      <c r="AO1304">
        <v>0</v>
      </c>
      <c r="AP1304">
        <v>0</v>
      </c>
      <c r="AQ1304">
        <v>0</v>
      </c>
      <c r="AS1304">
        <v>0</v>
      </c>
      <c r="AT1304">
        <v>0</v>
      </c>
      <c r="AV1304">
        <v>0</v>
      </c>
      <c r="AW1304">
        <v>0</v>
      </c>
      <c r="AY1304">
        <v>0</v>
      </c>
      <c r="AZ1304">
        <v>0</v>
      </c>
      <c r="BA1304">
        <v>70</v>
      </c>
      <c r="BE1304" t="str">
        <f>T("9791164097173")</f>
        <v>9791164097173</v>
      </c>
      <c r="BF1304" t="str">
        <f>T("N105588")</f>
        <v>N105588</v>
      </c>
      <c r="BG1304" t="str">
        <f>T("로판 웹소설 &gt; 서양풍 로판")</f>
        <v>로판 웹소설 &gt; 서양풍 로판</v>
      </c>
    </row>
    <row r="1305" spans="1:59">
      <c r="A1305" t="s">
        <v>60</v>
      </c>
      <c r="B1305" s="1">
        <v>46131</v>
      </c>
      <c r="C1305">
        <v>2378036275</v>
      </c>
      <c r="D1305">
        <v>2378036337</v>
      </c>
      <c r="E1305" t="str">
        <f>T("구원자가 도망친 밤 63화")</f>
        <v>구원자가 도망친 밤 63화</v>
      </c>
      <c r="F1305">
        <v>63</v>
      </c>
      <c r="G1305" t="str">
        <f>T("얼든트")</f>
        <v>얼든트</v>
      </c>
      <c r="J1305" t="str">
        <f>T("시계토끼")</f>
        <v>시계토끼</v>
      </c>
      <c r="K1305" t="str">
        <f>T("구원자가 도망친 밤")</f>
        <v>구원자가 도망친 밤</v>
      </c>
      <c r="L1305">
        <v>100</v>
      </c>
      <c r="M1305">
        <v>100</v>
      </c>
      <c r="N1305">
        <v>1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100</v>
      </c>
      <c r="AJ1305">
        <v>1</v>
      </c>
      <c r="AK1305">
        <v>0</v>
      </c>
      <c r="AL1305">
        <v>0</v>
      </c>
      <c r="AM1305">
        <v>100</v>
      </c>
      <c r="AN1305">
        <v>0</v>
      </c>
      <c r="AO1305">
        <v>0</v>
      </c>
      <c r="AP1305">
        <v>0</v>
      </c>
      <c r="AQ1305">
        <v>0</v>
      </c>
      <c r="AS1305">
        <v>0</v>
      </c>
      <c r="AT1305">
        <v>0</v>
      </c>
      <c r="AV1305">
        <v>0</v>
      </c>
      <c r="AW1305">
        <v>0</v>
      </c>
      <c r="AY1305">
        <v>0</v>
      </c>
      <c r="AZ1305">
        <v>0</v>
      </c>
      <c r="BA1305">
        <v>70</v>
      </c>
      <c r="BE1305" t="str">
        <f>T("9791164097173")</f>
        <v>9791164097173</v>
      </c>
      <c r="BF1305" t="str">
        <f>T("N105589")</f>
        <v>N105589</v>
      </c>
      <c r="BG1305" t="str">
        <f>T("로판 웹소설 &gt; 서양풍 로판")</f>
        <v>로판 웹소설 &gt; 서양풍 로판</v>
      </c>
    </row>
    <row r="1306" spans="1:59">
      <c r="A1306" t="s">
        <v>60</v>
      </c>
      <c r="B1306" s="1">
        <v>46131</v>
      </c>
      <c r="C1306">
        <v>2378036275</v>
      </c>
      <c r="D1306">
        <v>2378036338</v>
      </c>
      <c r="E1306" t="str">
        <f>T("구원자가 도망친 밤 64화")</f>
        <v>구원자가 도망친 밤 64화</v>
      </c>
      <c r="F1306">
        <v>64</v>
      </c>
      <c r="G1306" t="str">
        <f>T("얼든트")</f>
        <v>얼든트</v>
      </c>
      <c r="J1306" t="str">
        <f>T("시계토끼")</f>
        <v>시계토끼</v>
      </c>
      <c r="K1306" t="str">
        <f>T("구원자가 도망친 밤")</f>
        <v>구원자가 도망친 밤</v>
      </c>
      <c r="L1306">
        <v>100</v>
      </c>
      <c r="M1306">
        <v>100</v>
      </c>
      <c r="N1306">
        <v>1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100</v>
      </c>
      <c r="AJ1306">
        <v>1</v>
      </c>
      <c r="AK1306">
        <v>0</v>
      </c>
      <c r="AL1306">
        <v>0</v>
      </c>
      <c r="AM1306">
        <v>100</v>
      </c>
      <c r="AN1306">
        <v>0</v>
      </c>
      <c r="AO1306">
        <v>0</v>
      </c>
      <c r="AP1306">
        <v>0</v>
      </c>
      <c r="AQ1306">
        <v>0</v>
      </c>
      <c r="AS1306">
        <v>0</v>
      </c>
      <c r="AT1306">
        <v>0</v>
      </c>
      <c r="AV1306">
        <v>0</v>
      </c>
      <c r="AW1306">
        <v>0</v>
      </c>
      <c r="AY1306">
        <v>0</v>
      </c>
      <c r="AZ1306">
        <v>0</v>
      </c>
      <c r="BA1306">
        <v>70</v>
      </c>
      <c r="BE1306" t="str">
        <f>T("9791164097173")</f>
        <v>9791164097173</v>
      </c>
      <c r="BF1306" t="str">
        <f>T("N105590")</f>
        <v>N105590</v>
      </c>
      <c r="BG1306" t="str">
        <f>T("로판 웹소설 &gt; 서양풍 로판")</f>
        <v>로판 웹소설 &gt; 서양풍 로판</v>
      </c>
    </row>
    <row r="1307" spans="1:59">
      <c r="A1307" t="s">
        <v>60</v>
      </c>
      <c r="B1307" s="1">
        <v>46131</v>
      </c>
      <c r="C1307">
        <v>2378036275</v>
      </c>
      <c r="D1307">
        <v>2378036339</v>
      </c>
      <c r="E1307" t="str">
        <f>T("구원자가 도망친 밤 65화")</f>
        <v>구원자가 도망친 밤 65화</v>
      </c>
      <c r="F1307">
        <v>65</v>
      </c>
      <c r="G1307" t="str">
        <f>T("얼든트")</f>
        <v>얼든트</v>
      </c>
      <c r="J1307" t="str">
        <f>T("시계토끼")</f>
        <v>시계토끼</v>
      </c>
      <c r="K1307" t="str">
        <f>T("구원자가 도망친 밤")</f>
        <v>구원자가 도망친 밤</v>
      </c>
      <c r="L1307">
        <v>100</v>
      </c>
      <c r="M1307">
        <v>100</v>
      </c>
      <c r="N1307">
        <v>1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100</v>
      </c>
      <c r="AJ1307">
        <v>1</v>
      </c>
      <c r="AK1307">
        <v>0</v>
      </c>
      <c r="AL1307">
        <v>0</v>
      </c>
      <c r="AM1307">
        <v>100</v>
      </c>
      <c r="AN1307">
        <v>0</v>
      </c>
      <c r="AO1307">
        <v>0</v>
      </c>
      <c r="AP1307">
        <v>0</v>
      </c>
      <c r="AQ1307">
        <v>0</v>
      </c>
      <c r="AS1307">
        <v>0</v>
      </c>
      <c r="AT1307">
        <v>0</v>
      </c>
      <c r="AV1307">
        <v>0</v>
      </c>
      <c r="AW1307">
        <v>0</v>
      </c>
      <c r="AY1307">
        <v>0</v>
      </c>
      <c r="AZ1307">
        <v>0</v>
      </c>
      <c r="BA1307">
        <v>70</v>
      </c>
      <c r="BE1307" t="str">
        <f>T("9791164097173")</f>
        <v>9791164097173</v>
      </c>
      <c r="BF1307" t="str">
        <f>T("N105591")</f>
        <v>N105591</v>
      </c>
      <c r="BG1307" t="str">
        <f>T("로판 웹소설 &gt; 서양풍 로판")</f>
        <v>로판 웹소설 &gt; 서양풍 로판</v>
      </c>
    </row>
    <row r="1308" spans="1:59">
      <c r="A1308" t="s">
        <v>60</v>
      </c>
      <c r="B1308" s="1">
        <v>46131</v>
      </c>
      <c r="C1308">
        <v>2378036275</v>
      </c>
      <c r="D1308">
        <v>2378036340</v>
      </c>
      <c r="E1308" t="str">
        <f>T("구원자가 도망친 밤 66화")</f>
        <v>구원자가 도망친 밤 66화</v>
      </c>
      <c r="F1308">
        <v>66</v>
      </c>
      <c r="G1308" t="str">
        <f>T("얼든트")</f>
        <v>얼든트</v>
      </c>
      <c r="J1308" t="str">
        <f>T("시계토끼")</f>
        <v>시계토끼</v>
      </c>
      <c r="K1308" t="str">
        <f>T("구원자가 도망친 밤")</f>
        <v>구원자가 도망친 밤</v>
      </c>
      <c r="L1308">
        <v>100</v>
      </c>
      <c r="M1308">
        <v>100</v>
      </c>
      <c r="N1308">
        <v>1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100</v>
      </c>
      <c r="AJ1308">
        <v>1</v>
      </c>
      <c r="AK1308">
        <v>0</v>
      </c>
      <c r="AL1308">
        <v>0</v>
      </c>
      <c r="AM1308">
        <v>100</v>
      </c>
      <c r="AN1308">
        <v>0</v>
      </c>
      <c r="AO1308">
        <v>0</v>
      </c>
      <c r="AP1308">
        <v>0</v>
      </c>
      <c r="AQ1308">
        <v>0</v>
      </c>
      <c r="AS1308">
        <v>0</v>
      </c>
      <c r="AT1308">
        <v>0</v>
      </c>
      <c r="AV1308">
        <v>0</v>
      </c>
      <c r="AW1308">
        <v>0</v>
      </c>
      <c r="AY1308">
        <v>0</v>
      </c>
      <c r="AZ1308">
        <v>0</v>
      </c>
      <c r="BA1308">
        <v>70</v>
      </c>
      <c r="BE1308" t="str">
        <f>T("9791164097173")</f>
        <v>9791164097173</v>
      </c>
      <c r="BF1308" t="str">
        <f>T("N105592")</f>
        <v>N105592</v>
      </c>
      <c r="BG1308" t="str">
        <f>T("로판 웹소설 &gt; 서양풍 로판")</f>
        <v>로판 웹소설 &gt; 서양풍 로판</v>
      </c>
    </row>
    <row r="1309" spans="1:59">
      <c r="A1309" t="s">
        <v>60</v>
      </c>
      <c r="B1309" s="1">
        <v>46131</v>
      </c>
      <c r="C1309">
        <v>2378036275</v>
      </c>
      <c r="D1309">
        <v>2378036341</v>
      </c>
      <c r="E1309" t="str">
        <f>T("구원자가 도망친 밤 67화")</f>
        <v>구원자가 도망친 밤 67화</v>
      </c>
      <c r="F1309">
        <v>67</v>
      </c>
      <c r="G1309" t="str">
        <f>T("얼든트")</f>
        <v>얼든트</v>
      </c>
      <c r="J1309" t="str">
        <f>T("시계토끼")</f>
        <v>시계토끼</v>
      </c>
      <c r="K1309" t="str">
        <f>T("구원자가 도망친 밤")</f>
        <v>구원자가 도망친 밤</v>
      </c>
      <c r="L1309">
        <v>100</v>
      </c>
      <c r="M1309">
        <v>100</v>
      </c>
      <c r="N1309">
        <v>1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100</v>
      </c>
      <c r="AJ1309">
        <v>1</v>
      </c>
      <c r="AK1309">
        <v>0</v>
      </c>
      <c r="AL1309">
        <v>0</v>
      </c>
      <c r="AM1309">
        <v>100</v>
      </c>
      <c r="AN1309">
        <v>0</v>
      </c>
      <c r="AO1309">
        <v>0</v>
      </c>
      <c r="AP1309">
        <v>0</v>
      </c>
      <c r="AQ1309">
        <v>0</v>
      </c>
      <c r="AS1309">
        <v>0</v>
      </c>
      <c r="AT1309">
        <v>0</v>
      </c>
      <c r="AV1309">
        <v>0</v>
      </c>
      <c r="AW1309">
        <v>0</v>
      </c>
      <c r="AY1309">
        <v>0</v>
      </c>
      <c r="AZ1309">
        <v>0</v>
      </c>
      <c r="BA1309">
        <v>70</v>
      </c>
      <c r="BE1309" t="str">
        <f>T("9791164097173")</f>
        <v>9791164097173</v>
      </c>
      <c r="BF1309" t="str">
        <f>T("N105593")</f>
        <v>N105593</v>
      </c>
      <c r="BG1309" t="str">
        <f>T("로판 웹소설 &gt; 서양풍 로판")</f>
        <v>로판 웹소설 &gt; 서양풍 로판</v>
      </c>
    </row>
    <row r="1310" spans="1:59">
      <c r="A1310" t="s">
        <v>60</v>
      </c>
      <c r="B1310" s="1">
        <v>46131</v>
      </c>
      <c r="C1310">
        <v>2378036275</v>
      </c>
      <c r="D1310">
        <v>2378036342</v>
      </c>
      <c r="E1310" t="str">
        <f>T("구원자가 도망친 밤 68화")</f>
        <v>구원자가 도망친 밤 68화</v>
      </c>
      <c r="F1310">
        <v>68</v>
      </c>
      <c r="G1310" t="str">
        <f>T("얼든트")</f>
        <v>얼든트</v>
      </c>
      <c r="J1310" t="str">
        <f>T("시계토끼")</f>
        <v>시계토끼</v>
      </c>
      <c r="K1310" t="str">
        <f>T("구원자가 도망친 밤")</f>
        <v>구원자가 도망친 밤</v>
      </c>
      <c r="L1310">
        <v>100</v>
      </c>
      <c r="M1310">
        <v>100</v>
      </c>
      <c r="N1310">
        <v>1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100</v>
      </c>
      <c r="AJ1310">
        <v>1</v>
      </c>
      <c r="AK1310">
        <v>0</v>
      </c>
      <c r="AL1310">
        <v>0</v>
      </c>
      <c r="AM1310">
        <v>100</v>
      </c>
      <c r="AN1310">
        <v>0</v>
      </c>
      <c r="AO1310">
        <v>0</v>
      </c>
      <c r="AP1310">
        <v>0</v>
      </c>
      <c r="AQ1310">
        <v>0</v>
      </c>
      <c r="AS1310">
        <v>0</v>
      </c>
      <c r="AT1310">
        <v>0</v>
      </c>
      <c r="AV1310">
        <v>0</v>
      </c>
      <c r="AW1310">
        <v>0</v>
      </c>
      <c r="AY1310">
        <v>0</v>
      </c>
      <c r="AZ1310">
        <v>0</v>
      </c>
      <c r="BA1310">
        <v>70</v>
      </c>
      <c r="BE1310" t="str">
        <f>T("9791164097173")</f>
        <v>9791164097173</v>
      </c>
      <c r="BF1310" t="str">
        <f>T("N105594")</f>
        <v>N105594</v>
      </c>
      <c r="BG1310" t="str">
        <f>T("로판 웹소설 &gt; 서양풍 로판")</f>
        <v>로판 웹소설 &gt; 서양풍 로판</v>
      </c>
    </row>
    <row r="1311" spans="1:59">
      <c r="A1311" t="s">
        <v>60</v>
      </c>
      <c r="B1311" s="1">
        <v>46131</v>
      </c>
      <c r="C1311">
        <v>2378036275</v>
      </c>
      <c r="D1311">
        <v>2378036343</v>
      </c>
      <c r="E1311" t="str">
        <f>T("구원자가 도망친 밤 69화")</f>
        <v>구원자가 도망친 밤 69화</v>
      </c>
      <c r="F1311">
        <v>69</v>
      </c>
      <c r="G1311" t="str">
        <f>T("얼든트")</f>
        <v>얼든트</v>
      </c>
      <c r="J1311" t="str">
        <f>T("시계토끼")</f>
        <v>시계토끼</v>
      </c>
      <c r="K1311" t="str">
        <f>T("구원자가 도망친 밤")</f>
        <v>구원자가 도망친 밤</v>
      </c>
      <c r="L1311">
        <v>100</v>
      </c>
      <c r="M1311">
        <v>100</v>
      </c>
      <c r="N1311">
        <v>1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100</v>
      </c>
      <c r="AJ1311">
        <v>1</v>
      </c>
      <c r="AK1311">
        <v>0</v>
      </c>
      <c r="AL1311">
        <v>0</v>
      </c>
      <c r="AM1311">
        <v>100</v>
      </c>
      <c r="AN1311">
        <v>0</v>
      </c>
      <c r="AO1311">
        <v>0</v>
      </c>
      <c r="AP1311">
        <v>0</v>
      </c>
      <c r="AQ1311">
        <v>0</v>
      </c>
      <c r="AS1311">
        <v>0</v>
      </c>
      <c r="AT1311">
        <v>0</v>
      </c>
      <c r="AV1311">
        <v>0</v>
      </c>
      <c r="AW1311">
        <v>0</v>
      </c>
      <c r="AY1311">
        <v>0</v>
      </c>
      <c r="AZ1311">
        <v>0</v>
      </c>
      <c r="BA1311">
        <v>70</v>
      </c>
      <c r="BE1311" t="str">
        <f>T("9791164097173")</f>
        <v>9791164097173</v>
      </c>
      <c r="BF1311" t="str">
        <f>T("N105595")</f>
        <v>N105595</v>
      </c>
      <c r="BG1311" t="str">
        <f>T("로판 웹소설 &gt; 서양풍 로판")</f>
        <v>로판 웹소설 &gt; 서양풍 로판</v>
      </c>
    </row>
    <row r="1312" spans="1:59">
      <c r="A1312" t="s">
        <v>60</v>
      </c>
      <c r="B1312" s="1">
        <v>46131</v>
      </c>
      <c r="C1312">
        <v>2378036275</v>
      </c>
      <c r="D1312">
        <v>2378036344</v>
      </c>
      <c r="E1312" t="str">
        <f>T("구원자가 도망친 밤 70화")</f>
        <v>구원자가 도망친 밤 70화</v>
      </c>
      <c r="F1312">
        <v>70</v>
      </c>
      <c r="G1312" t="str">
        <f>T("얼든트")</f>
        <v>얼든트</v>
      </c>
      <c r="J1312" t="str">
        <f>T("시계토끼")</f>
        <v>시계토끼</v>
      </c>
      <c r="K1312" t="str">
        <f>T("구원자가 도망친 밤")</f>
        <v>구원자가 도망친 밤</v>
      </c>
      <c r="L1312">
        <v>100</v>
      </c>
      <c r="M1312">
        <v>100</v>
      </c>
      <c r="N1312">
        <v>1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100</v>
      </c>
      <c r="AJ1312">
        <v>1</v>
      </c>
      <c r="AK1312">
        <v>0</v>
      </c>
      <c r="AL1312">
        <v>0</v>
      </c>
      <c r="AM1312">
        <v>100</v>
      </c>
      <c r="AN1312">
        <v>0</v>
      </c>
      <c r="AO1312">
        <v>0</v>
      </c>
      <c r="AP1312">
        <v>0</v>
      </c>
      <c r="AQ1312">
        <v>0</v>
      </c>
      <c r="AS1312">
        <v>0</v>
      </c>
      <c r="AT1312">
        <v>0</v>
      </c>
      <c r="AV1312">
        <v>0</v>
      </c>
      <c r="AW1312">
        <v>0</v>
      </c>
      <c r="AY1312">
        <v>0</v>
      </c>
      <c r="AZ1312">
        <v>0</v>
      </c>
      <c r="BA1312">
        <v>70</v>
      </c>
      <c r="BE1312" t="str">
        <f>T("9791164097173")</f>
        <v>9791164097173</v>
      </c>
      <c r="BF1312" t="str">
        <f>T("N105596")</f>
        <v>N105596</v>
      </c>
      <c r="BG1312" t="str">
        <f>T("로판 웹소설 &gt; 서양풍 로판")</f>
        <v>로판 웹소설 &gt; 서양풍 로판</v>
      </c>
    </row>
    <row r="1313" spans="1:59">
      <c r="A1313" t="s">
        <v>60</v>
      </c>
      <c r="B1313" s="1">
        <v>46131</v>
      </c>
      <c r="C1313">
        <v>2378036275</v>
      </c>
      <c r="D1313">
        <v>2378036665</v>
      </c>
      <c r="E1313" t="str">
        <f>T("구원자가 도망친 밤 71화")</f>
        <v>구원자가 도망친 밤 71화</v>
      </c>
      <c r="F1313">
        <v>71</v>
      </c>
      <c r="G1313" t="str">
        <f>T("얼든트")</f>
        <v>얼든트</v>
      </c>
      <c r="J1313" t="str">
        <f>T("시계토끼")</f>
        <v>시계토끼</v>
      </c>
      <c r="K1313" t="str">
        <f>T("구원자가 도망친 밤")</f>
        <v>구원자가 도망친 밤</v>
      </c>
      <c r="L1313">
        <v>100</v>
      </c>
      <c r="M1313">
        <v>100</v>
      </c>
      <c r="N1313">
        <v>1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100</v>
      </c>
      <c r="AJ1313">
        <v>1</v>
      </c>
      <c r="AK1313">
        <v>0</v>
      </c>
      <c r="AL1313">
        <v>0</v>
      </c>
      <c r="AM1313">
        <v>100</v>
      </c>
      <c r="AN1313">
        <v>0</v>
      </c>
      <c r="AO1313">
        <v>0</v>
      </c>
      <c r="AP1313">
        <v>0</v>
      </c>
      <c r="AQ1313">
        <v>0</v>
      </c>
      <c r="AS1313">
        <v>0</v>
      </c>
      <c r="AT1313">
        <v>0</v>
      </c>
      <c r="AV1313">
        <v>0</v>
      </c>
      <c r="AW1313">
        <v>0</v>
      </c>
      <c r="AY1313">
        <v>0</v>
      </c>
      <c r="AZ1313">
        <v>0</v>
      </c>
      <c r="BA1313">
        <v>70</v>
      </c>
      <c r="BE1313" t="str">
        <f>T("9791164097173")</f>
        <v>9791164097173</v>
      </c>
      <c r="BF1313" t="str">
        <f>T("N117345")</f>
        <v>N117345</v>
      </c>
      <c r="BG1313" t="str">
        <f>T("로판 웹소설 &gt; 서양풍 로판")</f>
        <v>로판 웹소설 &gt; 서양풍 로판</v>
      </c>
    </row>
    <row r="1314" spans="1:59">
      <c r="A1314" t="s">
        <v>60</v>
      </c>
      <c r="B1314" s="1">
        <v>46131</v>
      </c>
      <c r="C1314">
        <v>2378036275</v>
      </c>
      <c r="D1314">
        <v>2378036666</v>
      </c>
      <c r="E1314" t="str">
        <f>T("구원자가 도망친 밤 72화")</f>
        <v>구원자가 도망친 밤 72화</v>
      </c>
      <c r="F1314">
        <v>72</v>
      </c>
      <c r="G1314" t="str">
        <f>T("얼든트")</f>
        <v>얼든트</v>
      </c>
      <c r="J1314" t="str">
        <f>T("시계토끼")</f>
        <v>시계토끼</v>
      </c>
      <c r="K1314" t="str">
        <f>T("구원자가 도망친 밤")</f>
        <v>구원자가 도망친 밤</v>
      </c>
      <c r="L1314">
        <v>100</v>
      </c>
      <c r="M1314">
        <v>100</v>
      </c>
      <c r="N1314">
        <v>1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100</v>
      </c>
      <c r="AJ1314">
        <v>1</v>
      </c>
      <c r="AK1314">
        <v>0</v>
      </c>
      <c r="AL1314">
        <v>0</v>
      </c>
      <c r="AM1314">
        <v>100</v>
      </c>
      <c r="AN1314">
        <v>0</v>
      </c>
      <c r="AO1314">
        <v>0</v>
      </c>
      <c r="AP1314">
        <v>0</v>
      </c>
      <c r="AQ1314">
        <v>0</v>
      </c>
      <c r="AS1314">
        <v>0</v>
      </c>
      <c r="AT1314">
        <v>0</v>
      </c>
      <c r="AV1314">
        <v>0</v>
      </c>
      <c r="AW1314">
        <v>0</v>
      </c>
      <c r="AY1314">
        <v>0</v>
      </c>
      <c r="AZ1314">
        <v>0</v>
      </c>
      <c r="BA1314">
        <v>70</v>
      </c>
      <c r="BE1314" t="str">
        <f>T("9791164097173")</f>
        <v>9791164097173</v>
      </c>
      <c r="BF1314" t="str">
        <f>T("N117346")</f>
        <v>N117346</v>
      </c>
      <c r="BG1314" t="str">
        <f>T("로판 웹소설 &gt; 서양풍 로판")</f>
        <v>로판 웹소설 &gt; 서양풍 로판</v>
      </c>
    </row>
    <row r="1315" spans="1:59">
      <c r="A1315" t="s">
        <v>60</v>
      </c>
      <c r="B1315" s="1">
        <v>46131</v>
      </c>
      <c r="C1315">
        <v>2378036275</v>
      </c>
      <c r="D1315">
        <v>2378036667</v>
      </c>
      <c r="E1315" t="str">
        <f>T("구원자가 도망친 밤 73화")</f>
        <v>구원자가 도망친 밤 73화</v>
      </c>
      <c r="F1315">
        <v>73</v>
      </c>
      <c r="G1315" t="str">
        <f>T("얼든트")</f>
        <v>얼든트</v>
      </c>
      <c r="J1315" t="str">
        <f>T("시계토끼")</f>
        <v>시계토끼</v>
      </c>
      <c r="K1315" t="str">
        <f>T("구원자가 도망친 밤")</f>
        <v>구원자가 도망친 밤</v>
      </c>
      <c r="L1315">
        <v>100</v>
      </c>
      <c r="M1315">
        <v>100</v>
      </c>
      <c r="N1315">
        <v>1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100</v>
      </c>
      <c r="AJ1315">
        <v>1</v>
      </c>
      <c r="AK1315">
        <v>0</v>
      </c>
      <c r="AL1315">
        <v>0</v>
      </c>
      <c r="AM1315">
        <v>100</v>
      </c>
      <c r="AN1315">
        <v>0</v>
      </c>
      <c r="AO1315">
        <v>0</v>
      </c>
      <c r="AP1315">
        <v>0</v>
      </c>
      <c r="AQ1315">
        <v>0</v>
      </c>
      <c r="AS1315">
        <v>0</v>
      </c>
      <c r="AT1315">
        <v>0</v>
      </c>
      <c r="AV1315">
        <v>0</v>
      </c>
      <c r="AW1315">
        <v>0</v>
      </c>
      <c r="AY1315">
        <v>0</v>
      </c>
      <c r="AZ1315">
        <v>0</v>
      </c>
      <c r="BA1315">
        <v>70</v>
      </c>
      <c r="BE1315" t="str">
        <f>T("9791164097173")</f>
        <v>9791164097173</v>
      </c>
      <c r="BF1315" t="str">
        <f>T("N117347")</f>
        <v>N117347</v>
      </c>
      <c r="BG1315" t="str">
        <f>T("로판 웹소설 &gt; 서양풍 로판")</f>
        <v>로판 웹소설 &gt; 서양풍 로판</v>
      </c>
    </row>
    <row r="1316" spans="1:59">
      <c r="A1316" t="s">
        <v>60</v>
      </c>
      <c r="B1316" s="1">
        <v>46131</v>
      </c>
      <c r="C1316">
        <v>2378036275</v>
      </c>
      <c r="D1316">
        <v>2378036821</v>
      </c>
      <c r="E1316" t="str">
        <f>T("구원자가 도망친 밤 74화")</f>
        <v>구원자가 도망친 밤 74화</v>
      </c>
      <c r="F1316">
        <v>74</v>
      </c>
      <c r="G1316" t="str">
        <f>T("얼든트")</f>
        <v>얼든트</v>
      </c>
      <c r="J1316" t="str">
        <f>T("시계토끼")</f>
        <v>시계토끼</v>
      </c>
      <c r="K1316" t="str">
        <f>T("구원자가 도망친 밤")</f>
        <v>구원자가 도망친 밤</v>
      </c>
      <c r="L1316">
        <v>100</v>
      </c>
      <c r="M1316">
        <v>100</v>
      </c>
      <c r="N1316">
        <v>1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100</v>
      </c>
      <c r="AJ1316">
        <v>1</v>
      </c>
      <c r="AK1316">
        <v>0</v>
      </c>
      <c r="AL1316">
        <v>0</v>
      </c>
      <c r="AM1316">
        <v>100</v>
      </c>
      <c r="AN1316">
        <v>0</v>
      </c>
      <c r="AO1316">
        <v>0</v>
      </c>
      <c r="AP1316">
        <v>0</v>
      </c>
      <c r="AQ1316">
        <v>0</v>
      </c>
      <c r="AS1316">
        <v>0</v>
      </c>
      <c r="AT1316">
        <v>0</v>
      </c>
      <c r="AV1316">
        <v>0</v>
      </c>
      <c r="AW1316">
        <v>0</v>
      </c>
      <c r="AY1316">
        <v>0</v>
      </c>
      <c r="AZ1316">
        <v>0</v>
      </c>
      <c r="BA1316">
        <v>70</v>
      </c>
      <c r="BE1316" t="str">
        <f>T("9791164097173")</f>
        <v>9791164097173</v>
      </c>
      <c r="BF1316" t="str">
        <f>T("N117348")</f>
        <v>N117348</v>
      </c>
      <c r="BG1316" t="str">
        <f>T("로판 웹소설 &gt; 서양풍 로판")</f>
        <v>로판 웹소설 &gt; 서양풍 로판</v>
      </c>
    </row>
    <row r="1317" spans="1:59">
      <c r="A1317" t="s">
        <v>60</v>
      </c>
      <c r="B1317" s="1">
        <v>46131</v>
      </c>
      <c r="C1317">
        <v>2378036275</v>
      </c>
      <c r="D1317">
        <v>2378036822</v>
      </c>
      <c r="E1317" t="str">
        <f>T("구원자가 도망친 밤 75화")</f>
        <v>구원자가 도망친 밤 75화</v>
      </c>
      <c r="F1317">
        <v>75</v>
      </c>
      <c r="G1317" t="str">
        <f>T("얼든트")</f>
        <v>얼든트</v>
      </c>
      <c r="J1317" t="str">
        <f>T("시계토끼")</f>
        <v>시계토끼</v>
      </c>
      <c r="K1317" t="str">
        <f>T("구원자가 도망친 밤")</f>
        <v>구원자가 도망친 밤</v>
      </c>
      <c r="L1317">
        <v>100</v>
      </c>
      <c r="M1317">
        <v>100</v>
      </c>
      <c r="N1317">
        <v>1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100</v>
      </c>
      <c r="AJ1317">
        <v>1</v>
      </c>
      <c r="AK1317">
        <v>0</v>
      </c>
      <c r="AL1317">
        <v>0</v>
      </c>
      <c r="AM1317">
        <v>100</v>
      </c>
      <c r="AN1317">
        <v>0</v>
      </c>
      <c r="AO1317">
        <v>0</v>
      </c>
      <c r="AP1317">
        <v>0</v>
      </c>
      <c r="AQ1317">
        <v>0</v>
      </c>
      <c r="AS1317">
        <v>0</v>
      </c>
      <c r="AT1317">
        <v>0</v>
      </c>
      <c r="AV1317">
        <v>0</v>
      </c>
      <c r="AW1317">
        <v>0</v>
      </c>
      <c r="AY1317">
        <v>0</v>
      </c>
      <c r="AZ1317">
        <v>0</v>
      </c>
      <c r="BA1317">
        <v>70</v>
      </c>
      <c r="BE1317" t="str">
        <f>T("9791164097173")</f>
        <v>9791164097173</v>
      </c>
      <c r="BF1317" t="str">
        <f>T("N117349")</f>
        <v>N117349</v>
      </c>
      <c r="BG1317" t="str">
        <f>T("로판 웹소설 &gt; 서양풍 로판")</f>
        <v>로판 웹소설 &gt; 서양풍 로판</v>
      </c>
    </row>
    <row r="1318" spans="1:59">
      <c r="A1318" t="s">
        <v>60</v>
      </c>
      <c r="B1318" s="1">
        <v>46131</v>
      </c>
      <c r="C1318">
        <v>2378036275</v>
      </c>
      <c r="D1318">
        <v>2378037006</v>
      </c>
      <c r="E1318" t="str">
        <f>T("구원자가 도망친 밤 76화")</f>
        <v>구원자가 도망친 밤 76화</v>
      </c>
      <c r="F1318">
        <v>76</v>
      </c>
      <c r="G1318" t="str">
        <f>T("얼든트")</f>
        <v>얼든트</v>
      </c>
      <c r="J1318" t="str">
        <f>T("시계토끼")</f>
        <v>시계토끼</v>
      </c>
      <c r="K1318" t="str">
        <f>T("구원자가 도망친 밤")</f>
        <v>구원자가 도망친 밤</v>
      </c>
      <c r="L1318">
        <v>100</v>
      </c>
      <c r="M1318">
        <v>100</v>
      </c>
      <c r="N1318">
        <v>1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100</v>
      </c>
      <c r="AJ1318">
        <v>1</v>
      </c>
      <c r="AK1318">
        <v>0</v>
      </c>
      <c r="AL1318">
        <v>0</v>
      </c>
      <c r="AM1318">
        <v>100</v>
      </c>
      <c r="AN1318">
        <v>0</v>
      </c>
      <c r="AO1318">
        <v>0</v>
      </c>
      <c r="AP1318">
        <v>0</v>
      </c>
      <c r="AQ1318">
        <v>0</v>
      </c>
      <c r="AS1318">
        <v>0</v>
      </c>
      <c r="AT1318">
        <v>0</v>
      </c>
      <c r="AV1318">
        <v>0</v>
      </c>
      <c r="AW1318">
        <v>0</v>
      </c>
      <c r="AY1318">
        <v>0</v>
      </c>
      <c r="AZ1318">
        <v>0</v>
      </c>
      <c r="BA1318">
        <v>70</v>
      </c>
      <c r="BE1318" t="str">
        <f>T("9791164097173")</f>
        <v>9791164097173</v>
      </c>
      <c r="BF1318" t="str">
        <f>T("N117582")</f>
        <v>N117582</v>
      </c>
      <c r="BG1318" t="str">
        <f>T("로판 웹소설 &gt; 서양풍 로판")</f>
        <v>로판 웹소설 &gt; 서양풍 로판</v>
      </c>
    </row>
    <row r="1319" spans="1:59">
      <c r="A1319" t="s">
        <v>60</v>
      </c>
      <c r="B1319" s="1">
        <v>46131</v>
      </c>
      <c r="C1319">
        <v>2378036275</v>
      </c>
      <c r="D1319">
        <v>2378037007</v>
      </c>
      <c r="E1319" t="str">
        <f>T("구원자가 도망친 밤 77화")</f>
        <v>구원자가 도망친 밤 77화</v>
      </c>
      <c r="F1319">
        <v>77</v>
      </c>
      <c r="G1319" t="str">
        <f>T("얼든트")</f>
        <v>얼든트</v>
      </c>
      <c r="J1319" t="str">
        <f>T("시계토끼")</f>
        <v>시계토끼</v>
      </c>
      <c r="K1319" t="str">
        <f>T("구원자가 도망친 밤")</f>
        <v>구원자가 도망친 밤</v>
      </c>
      <c r="L1319">
        <v>100</v>
      </c>
      <c r="M1319">
        <v>100</v>
      </c>
      <c r="N1319">
        <v>1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100</v>
      </c>
      <c r="AJ1319">
        <v>1</v>
      </c>
      <c r="AK1319">
        <v>0</v>
      </c>
      <c r="AL1319">
        <v>0</v>
      </c>
      <c r="AM1319">
        <v>100</v>
      </c>
      <c r="AN1319">
        <v>0</v>
      </c>
      <c r="AO1319">
        <v>0</v>
      </c>
      <c r="AP1319">
        <v>0</v>
      </c>
      <c r="AQ1319">
        <v>0</v>
      </c>
      <c r="AS1319">
        <v>0</v>
      </c>
      <c r="AT1319">
        <v>0</v>
      </c>
      <c r="AV1319">
        <v>0</v>
      </c>
      <c r="AW1319">
        <v>0</v>
      </c>
      <c r="AY1319">
        <v>0</v>
      </c>
      <c r="AZ1319">
        <v>0</v>
      </c>
      <c r="BA1319">
        <v>70</v>
      </c>
      <c r="BE1319" t="str">
        <f>T("9791164097173")</f>
        <v>9791164097173</v>
      </c>
      <c r="BF1319" t="str">
        <f>T("N117583")</f>
        <v>N117583</v>
      </c>
      <c r="BG1319" t="str">
        <f>T("로판 웹소설 &gt; 서양풍 로판")</f>
        <v>로판 웹소설 &gt; 서양풍 로판</v>
      </c>
    </row>
    <row r="1320" spans="1:59">
      <c r="A1320" t="s">
        <v>60</v>
      </c>
      <c r="B1320" s="1">
        <v>46131</v>
      </c>
      <c r="C1320">
        <v>2378036275</v>
      </c>
      <c r="D1320">
        <v>2378037017</v>
      </c>
      <c r="E1320" t="str">
        <f>T("구원자가 도망친 밤 78화")</f>
        <v>구원자가 도망친 밤 78화</v>
      </c>
      <c r="F1320">
        <v>78</v>
      </c>
      <c r="G1320" t="str">
        <f>T("얼든트")</f>
        <v>얼든트</v>
      </c>
      <c r="J1320" t="str">
        <f>T("시계토끼")</f>
        <v>시계토끼</v>
      </c>
      <c r="K1320" t="str">
        <f>T("구원자가 도망친 밤")</f>
        <v>구원자가 도망친 밤</v>
      </c>
      <c r="L1320">
        <v>100</v>
      </c>
      <c r="M1320">
        <v>100</v>
      </c>
      <c r="N1320">
        <v>1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100</v>
      </c>
      <c r="AJ1320">
        <v>1</v>
      </c>
      <c r="AK1320">
        <v>0</v>
      </c>
      <c r="AL1320">
        <v>0</v>
      </c>
      <c r="AM1320">
        <v>100</v>
      </c>
      <c r="AN1320">
        <v>0</v>
      </c>
      <c r="AO1320">
        <v>0</v>
      </c>
      <c r="AP1320">
        <v>0</v>
      </c>
      <c r="AQ1320">
        <v>0</v>
      </c>
      <c r="AS1320">
        <v>0</v>
      </c>
      <c r="AT1320">
        <v>0</v>
      </c>
      <c r="AV1320">
        <v>0</v>
      </c>
      <c r="AW1320">
        <v>0</v>
      </c>
      <c r="AY1320">
        <v>0</v>
      </c>
      <c r="AZ1320">
        <v>0</v>
      </c>
      <c r="BA1320">
        <v>70</v>
      </c>
      <c r="BE1320" t="str">
        <f>T("9791164097173")</f>
        <v>9791164097173</v>
      </c>
      <c r="BF1320" t="str">
        <f>T("N117584")</f>
        <v>N117584</v>
      </c>
      <c r="BG1320" t="str">
        <f>T("로판 웹소설 &gt; 서양풍 로판")</f>
        <v>로판 웹소설 &gt; 서양풍 로판</v>
      </c>
    </row>
    <row r="1321" spans="1:59">
      <c r="A1321" t="s">
        <v>60</v>
      </c>
      <c r="B1321" s="1">
        <v>46131</v>
      </c>
      <c r="C1321">
        <v>2378036275</v>
      </c>
      <c r="D1321">
        <v>2378037018</v>
      </c>
      <c r="E1321" t="str">
        <f>T("구원자가 도망친 밤 79화")</f>
        <v>구원자가 도망친 밤 79화</v>
      </c>
      <c r="F1321">
        <v>79</v>
      </c>
      <c r="G1321" t="str">
        <f>T("얼든트")</f>
        <v>얼든트</v>
      </c>
      <c r="J1321" t="str">
        <f>T("시계토끼")</f>
        <v>시계토끼</v>
      </c>
      <c r="K1321" t="str">
        <f>T("구원자가 도망친 밤")</f>
        <v>구원자가 도망친 밤</v>
      </c>
      <c r="L1321">
        <v>100</v>
      </c>
      <c r="M1321">
        <v>100</v>
      </c>
      <c r="N1321">
        <v>1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100</v>
      </c>
      <c r="AJ1321">
        <v>1</v>
      </c>
      <c r="AK1321">
        <v>0</v>
      </c>
      <c r="AL1321">
        <v>0</v>
      </c>
      <c r="AM1321">
        <v>100</v>
      </c>
      <c r="AN1321">
        <v>0</v>
      </c>
      <c r="AO1321">
        <v>0</v>
      </c>
      <c r="AP1321">
        <v>0</v>
      </c>
      <c r="AQ1321">
        <v>0</v>
      </c>
      <c r="AS1321">
        <v>0</v>
      </c>
      <c r="AT1321">
        <v>0</v>
      </c>
      <c r="AV1321">
        <v>0</v>
      </c>
      <c r="AW1321">
        <v>0</v>
      </c>
      <c r="AY1321">
        <v>0</v>
      </c>
      <c r="AZ1321">
        <v>0</v>
      </c>
      <c r="BA1321">
        <v>70</v>
      </c>
      <c r="BE1321" t="str">
        <f>T("9791164097173")</f>
        <v>9791164097173</v>
      </c>
      <c r="BF1321" t="str">
        <f>T("N117585")</f>
        <v>N117585</v>
      </c>
      <c r="BG1321" t="str">
        <f>T("로판 웹소설 &gt; 서양풍 로판")</f>
        <v>로판 웹소설 &gt; 서양풍 로판</v>
      </c>
    </row>
    <row r="1322" spans="1:59">
      <c r="A1322" t="s">
        <v>60</v>
      </c>
      <c r="B1322" s="1">
        <v>46131</v>
      </c>
      <c r="C1322">
        <v>2378036275</v>
      </c>
      <c r="D1322">
        <v>2378037019</v>
      </c>
      <c r="E1322" t="str">
        <f>T("구원자가 도망친 밤 80화")</f>
        <v>구원자가 도망친 밤 80화</v>
      </c>
      <c r="F1322">
        <v>80</v>
      </c>
      <c r="G1322" t="str">
        <f>T("얼든트")</f>
        <v>얼든트</v>
      </c>
      <c r="J1322" t="str">
        <f>T("시계토끼")</f>
        <v>시계토끼</v>
      </c>
      <c r="K1322" t="str">
        <f>T("구원자가 도망친 밤")</f>
        <v>구원자가 도망친 밤</v>
      </c>
      <c r="L1322">
        <v>100</v>
      </c>
      <c r="M1322">
        <v>100</v>
      </c>
      <c r="N1322">
        <v>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100</v>
      </c>
      <c r="AJ1322">
        <v>1</v>
      </c>
      <c r="AK1322">
        <v>0</v>
      </c>
      <c r="AL1322">
        <v>0</v>
      </c>
      <c r="AM1322">
        <v>100</v>
      </c>
      <c r="AN1322">
        <v>0</v>
      </c>
      <c r="AO1322">
        <v>0</v>
      </c>
      <c r="AP1322">
        <v>0</v>
      </c>
      <c r="AQ1322">
        <v>0</v>
      </c>
      <c r="AS1322">
        <v>0</v>
      </c>
      <c r="AT1322">
        <v>0</v>
      </c>
      <c r="AV1322">
        <v>0</v>
      </c>
      <c r="AW1322">
        <v>0</v>
      </c>
      <c r="AY1322">
        <v>0</v>
      </c>
      <c r="AZ1322">
        <v>0</v>
      </c>
      <c r="BA1322">
        <v>70</v>
      </c>
      <c r="BE1322" t="str">
        <f>T("9791164097173")</f>
        <v>9791164097173</v>
      </c>
      <c r="BF1322" t="str">
        <f>T("N117586")</f>
        <v>N117586</v>
      </c>
      <c r="BG1322" t="str">
        <f>T("로판 웹소설 &gt; 서양풍 로판")</f>
        <v>로판 웹소설 &gt; 서양풍 로판</v>
      </c>
    </row>
    <row r="1323" spans="1:59">
      <c r="A1323" t="s">
        <v>60</v>
      </c>
      <c r="B1323" s="1">
        <v>46131</v>
      </c>
      <c r="C1323">
        <v>2378036275</v>
      </c>
      <c r="D1323">
        <v>2378037069</v>
      </c>
      <c r="E1323" t="str">
        <f>T("구원자가 도망친 밤 81화")</f>
        <v>구원자가 도망친 밤 81화</v>
      </c>
      <c r="F1323">
        <v>81</v>
      </c>
      <c r="G1323" t="str">
        <f>T("얼든트")</f>
        <v>얼든트</v>
      </c>
      <c r="J1323" t="str">
        <f>T("시계토끼")</f>
        <v>시계토끼</v>
      </c>
      <c r="K1323" t="str">
        <f>T("구원자가 도망친 밤")</f>
        <v>구원자가 도망친 밤</v>
      </c>
      <c r="L1323">
        <v>100</v>
      </c>
      <c r="M1323">
        <v>100</v>
      </c>
      <c r="N1323">
        <v>1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100</v>
      </c>
      <c r="AJ1323">
        <v>1</v>
      </c>
      <c r="AK1323">
        <v>0</v>
      </c>
      <c r="AL1323">
        <v>0</v>
      </c>
      <c r="AM1323">
        <v>100</v>
      </c>
      <c r="AN1323">
        <v>0</v>
      </c>
      <c r="AO1323">
        <v>0</v>
      </c>
      <c r="AP1323">
        <v>0</v>
      </c>
      <c r="AQ1323">
        <v>0</v>
      </c>
      <c r="AS1323">
        <v>0</v>
      </c>
      <c r="AT1323">
        <v>0</v>
      </c>
      <c r="AV1323">
        <v>0</v>
      </c>
      <c r="AW1323">
        <v>0</v>
      </c>
      <c r="AY1323">
        <v>0</v>
      </c>
      <c r="AZ1323">
        <v>0</v>
      </c>
      <c r="BA1323">
        <v>70</v>
      </c>
      <c r="BE1323" t="str">
        <f>T("9791164097173")</f>
        <v>9791164097173</v>
      </c>
      <c r="BF1323" t="str">
        <f>T("N121069")</f>
        <v>N121069</v>
      </c>
      <c r="BG1323" t="str">
        <f>T("로판 웹소설 &gt; 서양풍 로판")</f>
        <v>로판 웹소설 &gt; 서양풍 로판</v>
      </c>
    </row>
    <row r="1324" spans="1:59">
      <c r="A1324" t="s">
        <v>60</v>
      </c>
      <c r="B1324" s="1">
        <v>46131</v>
      </c>
      <c r="C1324">
        <v>2378036275</v>
      </c>
      <c r="D1324">
        <v>2378037070</v>
      </c>
      <c r="E1324" t="str">
        <f>T("구원자가 도망친 밤 82화")</f>
        <v>구원자가 도망친 밤 82화</v>
      </c>
      <c r="F1324">
        <v>82</v>
      </c>
      <c r="G1324" t="str">
        <f>T("얼든트")</f>
        <v>얼든트</v>
      </c>
      <c r="J1324" t="str">
        <f>T("시계토끼")</f>
        <v>시계토끼</v>
      </c>
      <c r="K1324" t="str">
        <f>T("구원자가 도망친 밤")</f>
        <v>구원자가 도망친 밤</v>
      </c>
      <c r="L1324">
        <v>100</v>
      </c>
      <c r="M1324">
        <v>100</v>
      </c>
      <c r="N1324">
        <v>1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100</v>
      </c>
      <c r="AJ1324">
        <v>1</v>
      </c>
      <c r="AK1324">
        <v>0</v>
      </c>
      <c r="AL1324">
        <v>0</v>
      </c>
      <c r="AM1324">
        <v>100</v>
      </c>
      <c r="AN1324">
        <v>0</v>
      </c>
      <c r="AO1324">
        <v>0</v>
      </c>
      <c r="AP1324">
        <v>0</v>
      </c>
      <c r="AQ1324">
        <v>0</v>
      </c>
      <c r="AS1324">
        <v>0</v>
      </c>
      <c r="AT1324">
        <v>0</v>
      </c>
      <c r="AV1324">
        <v>0</v>
      </c>
      <c r="AW1324">
        <v>0</v>
      </c>
      <c r="AY1324">
        <v>0</v>
      </c>
      <c r="AZ1324">
        <v>0</v>
      </c>
      <c r="BA1324">
        <v>70</v>
      </c>
      <c r="BE1324" t="str">
        <f>T("9791164097173")</f>
        <v>9791164097173</v>
      </c>
      <c r="BF1324" t="str">
        <f>T("N121070")</f>
        <v>N121070</v>
      </c>
      <c r="BG1324" t="str">
        <f>T("로판 웹소설 &gt; 서양풍 로판")</f>
        <v>로판 웹소설 &gt; 서양풍 로판</v>
      </c>
    </row>
    <row r="1325" spans="1:59">
      <c r="A1325" t="s">
        <v>60</v>
      </c>
      <c r="B1325" s="1">
        <v>46131</v>
      </c>
      <c r="C1325">
        <v>2378036275</v>
      </c>
      <c r="D1325">
        <v>2378037071</v>
      </c>
      <c r="E1325" t="str">
        <f>T("구원자가 도망친 밤 83화")</f>
        <v>구원자가 도망친 밤 83화</v>
      </c>
      <c r="F1325">
        <v>83</v>
      </c>
      <c r="G1325" t="str">
        <f>T("얼든트")</f>
        <v>얼든트</v>
      </c>
      <c r="J1325" t="str">
        <f>T("시계토끼")</f>
        <v>시계토끼</v>
      </c>
      <c r="K1325" t="str">
        <f>T("구원자가 도망친 밤")</f>
        <v>구원자가 도망친 밤</v>
      </c>
      <c r="L1325">
        <v>100</v>
      </c>
      <c r="M1325">
        <v>100</v>
      </c>
      <c r="N1325">
        <v>1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100</v>
      </c>
      <c r="AJ1325">
        <v>1</v>
      </c>
      <c r="AK1325">
        <v>0</v>
      </c>
      <c r="AL1325">
        <v>0</v>
      </c>
      <c r="AM1325">
        <v>100</v>
      </c>
      <c r="AN1325">
        <v>0</v>
      </c>
      <c r="AO1325">
        <v>0</v>
      </c>
      <c r="AP1325">
        <v>0</v>
      </c>
      <c r="AQ1325">
        <v>0</v>
      </c>
      <c r="AS1325">
        <v>0</v>
      </c>
      <c r="AT1325">
        <v>0</v>
      </c>
      <c r="AV1325">
        <v>0</v>
      </c>
      <c r="AW1325">
        <v>0</v>
      </c>
      <c r="AY1325">
        <v>0</v>
      </c>
      <c r="AZ1325">
        <v>0</v>
      </c>
      <c r="BA1325">
        <v>70</v>
      </c>
      <c r="BE1325" t="str">
        <f>T("9791164097173")</f>
        <v>9791164097173</v>
      </c>
      <c r="BF1325" t="str">
        <f>T("N121071")</f>
        <v>N121071</v>
      </c>
      <c r="BG1325" t="str">
        <f>T("로판 웹소설 &gt; 서양풍 로판")</f>
        <v>로판 웹소설 &gt; 서양풍 로판</v>
      </c>
    </row>
    <row r="1326" spans="1:59">
      <c r="A1326" t="s">
        <v>60</v>
      </c>
      <c r="B1326" s="1">
        <v>46131</v>
      </c>
      <c r="C1326">
        <v>2378036275</v>
      </c>
      <c r="D1326">
        <v>2378037072</v>
      </c>
      <c r="E1326" t="str">
        <f>T("구원자가 도망친 밤 84화")</f>
        <v>구원자가 도망친 밤 84화</v>
      </c>
      <c r="F1326">
        <v>84</v>
      </c>
      <c r="G1326" t="str">
        <f>T("얼든트")</f>
        <v>얼든트</v>
      </c>
      <c r="J1326" t="str">
        <f>T("시계토끼")</f>
        <v>시계토끼</v>
      </c>
      <c r="K1326" t="str">
        <f>T("구원자가 도망친 밤")</f>
        <v>구원자가 도망친 밤</v>
      </c>
      <c r="L1326">
        <v>100</v>
      </c>
      <c r="M1326">
        <v>100</v>
      </c>
      <c r="N1326">
        <v>1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100</v>
      </c>
      <c r="AJ1326">
        <v>1</v>
      </c>
      <c r="AK1326">
        <v>0</v>
      </c>
      <c r="AL1326">
        <v>0</v>
      </c>
      <c r="AM1326">
        <v>100</v>
      </c>
      <c r="AN1326">
        <v>0</v>
      </c>
      <c r="AO1326">
        <v>0</v>
      </c>
      <c r="AP1326">
        <v>0</v>
      </c>
      <c r="AQ1326">
        <v>0</v>
      </c>
      <c r="AS1326">
        <v>0</v>
      </c>
      <c r="AT1326">
        <v>0</v>
      </c>
      <c r="AV1326">
        <v>0</v>
      </c>
      <c r="AW1326">
        <v>0</v>
      </c>
      <c r="AY1326">
        <v>0</v>
      </c>
      <c r="AZ1326">
        <v>0</v>
      </c>
      <c r="BA1326">
        <v>70</v>
      </c>
      <c r="BE1326" t="str">
        <f>T("9791164097173")</f>
        <v>9791164097173</v>
      </c>
      <c r="BF1326" t="str">
        <f>T("N121072")</f>
        <v>N121072</v>
      </c>
      <c r="BG1326" t="str">
        <f>T("로판 웹소설 &gt; 서양풍 로판")</f>
        <v>로판 웹소설 &gt; 서양풍 로판</v>
      </c>
    </row>
    <row r="1327" spans="1:59">
      <c r="A1327" t="s">
        <v>60</v>
      </c>
      <c r="B1327" s="1">
        <v>46131</v>
      </c>
      <c r="C1327">
        <v>2378036275</v>
      </c>
      <c r="D1327">
        <v>2378037073</v>
      </c>
      <c r="E1327" t="str">
        <f>T("구원자가 도망친 밤 85화")</f>
        <v>구원자가 도망친 밤 85화</v>
      </c>
      <c r="F1327">
        <v>85</v>
      </c>
      <c r="G1327" t="str">
        <f>T("얼든트")</f>
        <v>얼든트</v>
      </c>
      <c r="J1327" t="str">
        <f>T("시계토끼")</f>
        <v>시계토끼</v>
      </c>
      <c r="K1327" t="str">
        <f>T("구원자가 도망친 밤")</f>
        <v>구원자가 도망친 밤</v>
      </c>
      <c r="L1327">
        <v>100</v>
      </c>
      <c r="M1327">
        <v>100</v>
      </c>
      <c r="N1327">
        <v>1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100</v>
      </c>
      <c r="AJ1327">
        <v>1</v>
      </c>
      <c r="AK1327">
        <v>0</v>
      </c>
      <c r="AL1327">
        <v>0</v>
      </c>
      <c r="AM1327">
        <v>100</v>
      </c>
      <c r="AN1327">
        <v>0</v>
      </c>
      <c r="AO1327">
        <v>0</v>
      </c>
      <c r="AP1327">
        <v>0</v>
      </c>
      <c r="AQ1327">
        <v>0</v>
      </c>
      <c r="AS1327">
        <v>0</v>
      </c>
      <c r="AT1327">
        <v>0</v>
      </c>
      <c r="AV1327">
        <v>0</v>
      </c>
      <c r="AW1327">
        <v>0</v>
      </c>
      <c r="AY1327">
        <v>0</v>
      </c>
      <c r="AZ1327">
        <v>0</v>
      </c>
      <c r="BA1327">
        <v>70</v>
      </c>
      <c r="BE1327" t="str">
        <f>T("9791164097173")</f>
        <v>9791164097173</v>
      </c>
      <c r="BF1327" t="str">
        <f>T("N121073")</f>
        <v>N121073</v>
      </c>
      <c r="BG1327" t="str">
        <f>T("로판 웹소설 &gt; 서양풍 로판")</f>
        <v>로판 웹소설 &gt; 서양풍 로판</v>
      </c>
    </row>
    <row r="1328" spans="1:59">
      <c r="A1328" t="s">
        <v>60</v>
      </c>
      <c r="B1328" s="1">
        <v>46131</v>
      </c>
      <c r="C1328">
        <v>2378036275</v>
      </c>
      <c r="D1328">
        <v>2378037109</v>
      </c>
      <c r="E1328" t="str">
        <f>T("구원자가 도망친 밤 86화")</f>
        <v>구원자가 도망친 밤 86화</v>
      </c>
      <c r="F1328">
        <v>86</v>
      </c>
      <c r="G1328" t="str">
        <f>T("얼든트")</f>
        <v>얼든트</v>
      </c>
      <c r="J1328" t="str">
        <f>T("시계토끼")</f>
        <v>시계토끼</v>
      </c>
      <c r="K1328" t="str">
        <f>T("구원자가 도망친 밤")</f>
        <v>구원자가 도망친 밤</v>
      </c>
      <c r="L1328">
        <v>100</v>
      </c>
      <c r="M1328">
        <v>100</v>
      </c>
      <c r="N1328">
        <v>1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100</v>
      </c>
      <c r="AJ1328">
        <v>1</v>
      </c>
      <c r="AK1328">
        <v>0</v>
      </c>
      <c r="AL1328">
        <v>0</v>
      </c>
      <c r="AM1328">
        <v>100</v>
      </c>
      <c r="AN1328">
        <v>0</v>
      </c>
      <c r="AO1328">
        <v>0</v>
      </c>
      <c r="AP1328">
        <v>0</v>
      </c>
      <c r="AQ1328">
        <v>0</v>
      </c>
      <c r="AS1328">
        <v>0</v>
      </c>
      <c r="AT1328">
        <v>0</v>
      </c>
      <c r="AV1328">
        <v>0</v>
      </c>
      <c r="AW1328">
        <v>0</v>
      </c>
      <c r="AY1328">
        <v>0</v>
      </c>
      <c r="AZ1328">
        <v>0</v>
      </c>
      <c r="BA1328">
        <v>70</v>
      </c>
      <c r="BE1328" t="str">
        <f>T("9791164097173")</f>
        <v>9791164097173</v>
      </c>
      <c r="BF1328" t="str">
        <f>T("N121074")</f>
        <v>N121074</v>
      </c>
      <c r="BG1328" t="str">
        <f>T("로판 웹소설 &gt; 서양풍 로판")</f>
        <v>로판 웹소설 &gt; 서양풍 로판</v>
      </c>
    </row>
    <row r="1329" spans="1:59">
      <c r="A1329" t="s">
        <v>60</v>
      </c>
      <c r="B1329" s="1">
        <v>46131</v>
      </c>
      <c r="C1329">
        <v>2378036275</v>
      </c>
      <c r="D1329">
        <v>2378037110</v>
      </c>
      <c r="E1329" t="str">
        <f>T("구원자가 도망친 밤 87화")</f>
        <v>구원자가 도망친 밤 87화</v>
      </c>
      <c r="F1329">
        <v>87</v>
      </c>
      <c r="G1329" t="str">
        <f>T("얼든트")</f>
        <v>얼든트</v>
      </c>
      <c r="J1329" t="str">
        <f>T("시계토끼")</f>
        <v>시계토끼</v>
      </c>
      <c r="K1329" t="str">
        <f>T("구원자가 도망친 밤")</f>
        <v>구원자가 도망친 밤</v>
      </c>
      <c r="L1329">
        <v>100</v>
      </c>
      <c r="M1329">
        <v>100</v>
      </c>
      <c r="N1329">
        <v>1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100</v>
      </c>
      <c r="AJ1329">
        <v>1</v>
      </c>
      <c r="AK1329">
        <v>0</v>
      </c>
      <c r="AL1329">
        <v>0</v>
      </c>
      <c r="AM1329">
        <v>100</v>
      </c>
      <c r="AN1329">
        <v>0</v>
      </c>
      <c r="AO1329">
        <v>0</v>
      </c>
      <c r="AP1329">
        <v>0</v>
      </c>
      <c r="AQ1329">
        <v>0</v>
      </c>
      <c r="AS1329">
        <v>0</v>
      </c>
      <c r="AT1329">
        <v>0</v>
      </c>
      <c r="AV1329">
        <v>0</v>
      </c>
      <c r="AW1329">
        <v>0</v>
      </c>
      <c r="AY1329">
        <v>0</v>
      </c>
      <c r="AZ1329">
        <v>0</v>
      </c>
      <c r="BA1329">
        <v>70</v>
      </c>
      <c r="BE1329" t="str">
        <f>T("9791164097173")</f>
        <v>9791164097173</v>
      </c>
      <c r="BF1329" t="str">
        <f>T("N121075")</f>
        <v>N121075</v>
      </c>
      <c r="BG1329" t="str">
        <f>T("로판 웹소설 &gt; 서양풍 로판")</f>
        <v>로판 웹소설 &gt; 서양풍 로판</v>
      </c>
    </row>
    <row r="1330" spans="1:59">
      <c r="A1330" t="s">
        <v>60</v>
      </c>
      <c r="B1330" s="1">
        <v>46131</v>
      </c>
      <c r="C1330">
        <v>2378036275</v>
      </c>
      <c r="D1330">
        <v>2378037111</v>
      </c>
      <c r="E1330" t="str">
        <f>T("구원자가 도망친 밤 88화")</f>
        <v>구원자가 도망친 밤 88화</v>
      </c>
      <c r="F1330">
        <v>88</v>
      </c>
      <c r="G1330" t="str">
        <f>T("얼든트")</f>
        <v>얼든트</v>
      </c>
      <c r="J1330" t="str">
        <f>T("시계토끼")</f>
        <v>시계토끼</v>
      </c>
      <c r="K1330" t="str">
        <f>T("구원자가 도망친 밤")</f>
        <v>구원자가 도망친 밤</v>
      </c>
      <c r="L1330">
        <v>100</v>
      </c>
      <c r="M1330">
        <v>100</v>
      </c>
      <c r="N1330">
        <v>1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100</v>
      </c>
      <c r="AJ1330">
        <v>1</v>
      </c>
      <c r="AK1330">
        <v>0</v>
      </c>
      <c r="AL1330">
        <v>0</v>
      </c>
      <c r="AM1330">
        <v>100</v>
      </c>
      <c r="AN1330">
        <v>0</v>
      </c>
      <c r="AO1330">
        <v>0</v>
      </c>
      <c r="AP1330">
        <v>0</v>
      </c>
      <c r="AQ1330">
        <v>0</v>
      </c>
      <c r="AS1330">
        <v>0</v>
      </c>
      <c r="AT1330">
        <v>0</v>
      </c>
      <c r="AV1330">
        <v>0</v>
      </c>
      <c r="AW1330">
        <v>0</v>
      </c>
      <c r="AY1330">
        <v>0</v>
      </c>
      <c r="AZ1330">
        <v>0</v>
      </c>
      <c r="BA1330">
        <v>70</v>
      </c>
      <c r="BE1330" t="str">
        <f>T("9791164097173")</f>
        <v>9791164097173</v>
      </c>
      <c r="BF1330" t="str">
        <f>T("N121076")</f>
        <v>N121076</v>
      </c>
      <c r="BG1330" t="str">
        <f>T("로판 웹소설 &gt; 서양풍 로판")</f>
        <v>로판 웹소설 &gt; 서양풍 로판</v>
      </c>
    </row>
    <row r="1331" spans="1:59">
      <c r="A1331" t="s">
        <v>60</v>
      </c>
      <c r="B1331" s="1">
        <v>46131</v>
      </c>
      <c r="C1331">
        <v>2378036275</v>
      </c>
      <c r="D1331">
        <v>2378037156</v>
      </c>
      <c r="E1331" t="str">
        <f>T("구원자가 도망친 밤 89화")</f>
        <v>구원자가 도망친 밤 89화</v>
      </c>
      <c r="F1331">
        <v>89</v>
      </c>
      <c r="G1331" t="str">
        <f>T("얼든트")</f>
        <v>얼든트</v>
      </c>
      <c r="J1331" t="str">
        <f>T("시계토끼")</f>
        <v>시계토끼</v>
      </c>
      <c r="K1331" t="str">
        <f>T("구원자가 도망친 밤")</f>
        <v>구원자가 도망친 밤</v>
      </c>
      <c r="L1331">
        <v>100</v>
      </c>
      <c r="M1331">
        <v>100</v>
      </c>
      <c r="N1331">
        <v>1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100</v>
      </c>
      <c r="AJ1331">
        <v>1</v>
      </c>
      <c r="AK1331">
        <v>0</v>
      </c>
      <c r="AL1331">
        <v>0</v>
      </c>
      <c r="AM1331">
        <v>100</v>
      </c>
      <c r="AN1331">
        <v>0</v>
      </c>
      <c r="AO1331">
        <v>0</v>
      </c>
      <c r="AP1331">
        <v>0</v>
      </c>
      <c r="AQ1331">
        <v>0</v>
      </c>
      <c r="AS1331">
        <v>0</v>
      </c>
      <c r="AT1331">
        <v>0</v>
      </c>
      <c r="AV1331">
        <v>0</v>
      </c>
      <c r="AW1331">
        <v>0</v>
      </c>
      <c r="AY1331">
        <v>0</v>
      </c>
      <c r="AZ1331">
        <v>0</v>
      </c>
      <c r="BA1331">
        <v>70</v>
      </c>
      <c r="BE1331" t="str">
        <f>T("9791164097173")</f>
        <v>9791164097173</v>
      </c>
      <c r="BF1331" t="str">
        <f>T("N127037")</f>
        <v>N127037</v>
      </c>
      <c r="BG1331" t="str">
        <f>T("로판 웹소설 &gt; 서양풍 로판")</f>
        <v>로판 웹소설 &gt; 서양풍 로판</v>
      </c>
    </row>
    <row r="1332" spans="1:59">
      <c r="A1332" t="s">
        <v>60</v>
      </c>
      <c r="B1332" s="1">
        <v>46131</v>
      </c>
      <c r="C1332">
        <v>2378036275</v>
      </c>
      <c r="D1332">
        <v>2378037157</v>
      </c>
      <c r="E1332" t="str">
        <f>T("구원자가 도망친 밤 90화")</f>
        <v>구원자가 도망친 밤 90화</v>
      </c>
      <c r="F1332">
        <v>90</v>
      </c>
      <c r="G1332" t="str">
        <f>T("얼든트")</f>
        <v>얼든트</v>
      </c>
      <c r="J1332" t="str">
        <f>T("시계토끼")</f>
        <v>시계토끼</v>
      </c>
      <c r="K1332" t="str">
        <f>T("구원자가 도망친 밤")</f>
        <v>구원자가 도망친 밤</v>
      </c>
      <c r="L1332">
        <v>100</v>
      </c>
      <c r="M1332">
        <v>100</v>
      </c>
      <c r="N1332">
        <v>1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100</v>
      </c>
      <c r="AJ1332">
        <v>1</v>
      </c>
      <c r="AK1332">
        <v>0</v>
      </c>
      <c r="AL1332">
        <v>0</v>
      </c>
      <c r="AM1332">
        <v>100</v>
      </c>
      <c r="AN1332">
        <v>0</v>
      </c>
      <c r="AO1332">
        <v>0</v>
      </c>
      <c r="AP1332">
        <v>0</v>
      </c>
      <c r="AQ1332">
        <v>0</v>
      </c>
      <c r="AS1332">
        <v>0</v>
      </c>
      <c r="AT1332">
        <v>0</v>
      </c>
      <c r="AV1332">
        <v>0</v>
      </c>
      <c r="AW1332">
        <v>0</v>
      </c>
      <c r="AY1332">
        <v>0</v>
      </c>
      <c r="AZ1332">
        <v>0</v>
      </c>
      <c r="BA1332">
        <v>70</v>
      </c>
      <c r="BE1332" t="str">
        <f>T("9791164097173")</f>
        <v>9791164097173</v>
      </c>
      <c r="BF1332" t="str">
        <f>T("N127038")</f>
        <v>N127038</v>
      </c>
      <c r="BG1332" t="str">
        <f>T("로판 웹소설 &gt; 서양풍 로판")</f>
        <v>로판 웹소설 &gt; 서양풍 로판</v>
      </c>
    </row>
    <row r="1333" spans="1:59">
      <c r="A1333" t="s">
        <v>60</v>
      </c>
      <c r="B1333" s="1">
        <v>46131</v>
      </c>
      <c r="C1333">
        <v>2378036275</v>
      </c>
      <c r="D1333">
        <v>2378037455</v>
      </c>
      <c r="E1333" t="str">
        <f>T("구원자가 도망친 밤 91화")</f>
        <v>구원자가 도망친 밤 91화</v>
      </c>
      <c r="F1333">
        <v>91</v>
      </c>
      <c r="G1333" t="str">
        <f>T("얼든트")</f>
        <v>얼든트</v>
      </c>
      <c r="J1333" t="str">
        <f>T("시계토끼")</f>
        <v>시계토끼</v>
      </c>
      <c r="K1333" t="str">
        <f>T("구원자가 도망친 밤")</f>
        <v>구원자가 도망친 밤</v>
      </c>
      <c r="L1333">
        <v>100</v>
      </c>
      <c r="M1333">
        <v>100</v>
      </c>
      <c r="N1333">
        <v>1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100</v>
      </c>
      <c r="AJ1333">
        <v>1</v>
      </c>
      <c r="AK1333">
        <v>0</v>
      </c>
      <c r="AL1333">
        <v>0</v>
      </c>
      <c r="AM1333">
        <v>100</v>
      </c>
      <c r="AN1333">
        <v>0</v>
      </c>
      <c r="AO1333">
        <v>0</v>
      </c>
      <c r="AP1333">
        <v>0</v>
      </c>
      <c r="AQ1333">
        <v>0</v>
      </c>
      <c r="AS1333">
        <v>0</v>
      </c>
      <c r="AT1333">
        <v>0</v>
      </c>
      <c r="AV1333">
        <v>0</v>
      </c>
      <c r="AW1333">
        <v>0</v>
      </c>
      <c r="AY1333">
        <v>0</v>
      </c>
      <c r="AZ1333">
        <v>0</v>
      </c>
      <c r="BA1333">
        <v>70</v>
      </c>
      <c r="BE1333" t="str">
        <f>T("9791164097173")</f>
        <v>9791164097173</v>
      </c>
      <c r="BF1333" t="str">
        <f>T("N127039")</f>
        <v>N127039</v>
      </c>
      <c r="BG1333" t="str">
        <f>T("로판 웹소설 &gt; 서양풍 로판")</f>
        <v>로판 웹소설 &gt; 서양풍 로판</v>
      </c>
    </row>
    <row r="1334" spans="1:59">
      <c r="A1334" t="s">
        <v>60</v>
      </c>
      <c r="B1334" s="1">
        <v>46131</v>
      </c>
      <c r="C1334">
        <v>2378036275</v>
      </c>
      <c r="D1334">
        <v>2378037456</v>
      </c>
      <c r="E1334" t="str">
        <f>T("구원자가 도망친 밤 92화")</f>
        <v>구원자가 도망친 밤 92화</v>
      </c>
      <c r="F1334">
        <v>92</v>
      </c>
      <c r="G1334" t="str">
        <f>T("얼든트")</f>
        <v>얼든트</v>
      </c>
      <c r="J1334" t="str">
        <f>T("시계토끼")</f>
        <v>시계토끼</v>
      </c>
      <c r="K1334" t="str">
        <f>T("구원자가 도망친 밤")</f>
        <v>구원자가 도망친 밤</v>
      </c>
      <c r="L1334">
        <v>100</v>
      </c>
      <c r="M1334">
        <v>100</v>
      </c>
      <c r="N1334">
        <v>1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100</v>
      </c>
      <c r="AJ1334">
        <v>1</v>
      </c>
      <c r="AK1334">
        <v>0</v>
      </c>
      <c r="AL1334">
        <v>0</v>
      </c>
      <c r="AM1334">
        <v>100</v>
      </c>
      <c r="AN1334">
        <v>0</v>
      </c>
      <c r="AO1334">
        <v>0</v>
      </c>
      <c r="AP1334">
        <v>0</v>
      </c>
      <c r="AQ1334">
        <v>0</v>
      </c>
      <c r="AS1334">
        <v>0</v>
      </c>
      <c r="AT1334">
        <v>0</v>
      </c>
      <c r="AV1334">
        <v>0</v>
      </c>
      <c r="AW1334">
        <v>0</v>
      </c>
      <c r="AY1334">
        <v>0</v>
      </c>
      <c r="AZ1334">
        <v>0</v>
      </c>
      <c r="BA1334">
        <v>70</v>
      </c>
      <c r="BE1334" t="str">
        <f>T("9791164097173")</f>
        <v>9791164097173</v>
      </c>
      <c r="BF1334" t="str">
        <f>T("N127040")</f>
        <v>N127040</v>
      </c>
      <c r="BG1334" t="str">
        <f>T("로판 웹소설 &gt; 서양풍 로판")</f>
        <v>로판 웹소설 &gt; 서양풍 로판</v>
      </c>
    </row>
    <row r="1335" spans="1:59">
      <c r="A1335" t="s">
        <v>60</v>
      </c>
      <c r="B1335" s="1">
        <v>46131</v>
      </c>
      <c r="C1335">
        <v>2378036275</v>
      </c>
      <c r="D1335">
        <v>2378037457</v>
      </c>
      <c r="E1335" t="str">
        <f>T("구원자가 도망친 밤 93화")</f>
        <v>구원자가 도망친 밤 93화</v>
      </c>
      <c r="F1335">
        <v>93</v>
      </c>
      <c r="G1335" t="str">
        <f>T("얼든트")</f>
        <v>얼든트</v>
      </c>
      <c r="J1335" t="str">
        <f>T("시계토끼")</f>
        <v>시계토끼</v>
      </c>
      <c r="K1335" t="str">
        <f>T("구원자가 도망친 밤")</f>
        <v>구원자가 도망친 밤</v>
      </c>
      <c r="L1335">
        <v>100</v>
      </c>
      <c r="M1335">
        <v>100</v>
      </c>
      <c r="N1335">
        <v>1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100</v>
      </c>
      <c r="AJ1335">
        <v>1</v>
      </c>
      <c r="AK1335">
        <v>0</v>
      </c>
      <c r="AL1335">
        <v>0</v>
      </c>
      <c r="AM1335">
        <v>100</v>
      </c>
      <c r="AN1335">
        <v>0</v>
      </c>
      <c r="AO1335">
        <v>0</v>
      </c>
      <c r="AP1335">
        <v>0</v>
      </c>
      <c r="AQ1335">
        <v>0</v>
      </c>
      <c r="AS1335">
        <v>0</v>
      </c>
      <c r="AT1335">
        <v>0</v>
      </c>
      <c r="AV1335">
        <v>0</v>
      </c>
      <c r="AW1335">
        <v>0</v>
      </c>
      <c r="AY1335">
        <v>0</v>
      </c>
      <c r="AZ1335">
        <v>0</v>
      </c>
      <c r="BA1335">
        <v>70</v>
      </c>
      <c r="BE1335" t="str">
        <f>T("9791164097173")</f>
        <v>9791164097173</v>
      </c>
      <c r="BF1335" t="str">
        <f>T("N127041")</f>
        <v>N127041</v>
      </c>
      <c r="BG1335" t="str">
        <f>T("로판 웹소설 &gt; 서양풍 로판")</f>
        <v>로판 웹소설 &gt; 서양풍 로판</v>
      </c>
    </row>
    <row r="1336" spans="1:59">
      <c r="A1336" t="s">
        <v>60</v>
      </c>
      <c r="B1336" s="1">
        <v>46131</v>
      </c>
      <c r="C1336">
        <v>2378036275</v>
      </c>
      <c r="D1336">
        <v>2378037458</v>
      </c>
      <c r="E1336" t="str">
        <f>T("구원자가 도망친 밤 94화")</f>
        <v>구원자가 도망친 밤 94화</v>
      </c>
      <c r="F1336">
        <v>94</v>
      </c>
      <c r="G1336" t="str">
        <f>T("얼든트")</f>
        <v>얼든트</v>
      </c>
      <c r="J1336" t="str">
        <f>T("시계토끼")</f>
        <v>시계토끼</v>
      </c>
      <c r="K1336" t="str">
        <f>T("구원자가 도망친 밤")</f>
        <v>구원자가 도망친 밤</v>
      </c>
      <c r="L1336">
        <v>100</v>
      </c>
      <c r="M1336">
        <v>100</v>
      </c>
      <c r="N1336">
        <v>1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100</v>
      </c>
      <c r="AJ1336">
        <v>1</v>
      </c>
      <c r="AK1336">
        <v>0</v>
      </c>
      <c r="AL1336">
        <v>0</v>
      </c>
      <c r="AM1336">
        <v>100</v>
      </c>
      <c r="AN1336">
        <v>0</v>
      </c>
      <c r="AO1336">
        <v>0</v>
      </c>
      <c r="AP1336">
        <v>0</v>
      </c>
      <c r="AQ1336">
        <v>0</v>
      </c>
      <c r="AS1336">
        <v>0</v>
      </c>
      <c r="AT1336">
        <v>0</v>
      </c>
      <c r="AV1336">
        <v>0</v>
      </c>
      <c r="AW1336">
        <v>0</v>
      </c>
      <c r="AY1336">
        <v>0</v>
      </c>
      <c r="AZ1336">
        <v>0</v>
      </c>
      <c r="BA1336">
        <v>70</v>
      </c>
      <c r="BE1336" t="str">
        <f>T("9791164097173")</f>
        <v>9791164097173</v>
      </c>
      <c r="BF1336" t="str">
        <f>T("N127042")</f>
        <v>N127042</v>
      </c>
      <c r="BG1336" t="str">
        <f>T("로판 웹소설 &gt; 서양풍 로판")</f>
        <v>로판 웹소설 &gt; 서양풍 로판</v>
      </c>
    </row>
    <row r="1337" spans="1:59">
      <c r="A1337" t="s">
        <v>60</v>
      </c>
      <c r="B1337" s="1">
        <v>46131</v>
      </c>
      <c r="C1337">
        <v>2378036275</v>
      </c>
      <c r="D1337">
        <v>2378037459</v>
      </c>
      <c r="E1337" t="str">
        <f>T("구원자가 도망친 밤 95화")</f>
        <v>구원자가 도망친 밤 95화</v>
      </c>
      <c r="F1337">
        <v>95</v>
      </c>
      <c r="G1337" t="str">
        <f>T("얼든트")</f>
        <v>얼든트</v>
      </c>
      <c r="J1337" t="str">
        <f>T("시계토끼")</f>
        <v>시계토끼</v>
      </c>
      <c r="K1337" t="str">
        <f>T("구원자가 도망친 밤")</f>
        <v>구원자가 도망친 밤</v>
      </c>
      <c r="L1337">
        <v>100</v>
      </c>
      <c r="M1337">
        <v>100</v>
      </c>
      <c r="N1337">
        <v>1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100</v>
      </c>
      <c r="AJ1337">
        <v>1</v>
      </c>
      <c r="AK1337">
        <v>0</v>
      </c>
      <c r="AL1337">
        <v>0</v>
      </c>
      <c r="AM1337">
        <v>100</v>
      </c>
      <c r="AN1337">
        <v>0</v>
      </c>
      <c r="AO1337">
        <v>0</v>
      </c>
      <c r="AP1337">
        <v>0</v>
      </c>
      <c r="AQ1337">
        <v>0</v>
      </c>
      <c r="AS1337">
        <v>0</v>
      </c>
      <c r="AT1337">
        <v>0</v>
      </c>
      <c r="AV1337">
        <v>0</v>
      </c>
      <c r="AW1337">
        <v>0</v>
      </c>
      <c r="AY1337">
        <v>0</v>
      </c>
      <c r="AZ1337">
        <v>0</v>
      </c>
      <c r="BA1337">
        <v>70</v>
      </c>
      <c r="BE1337" t="str">
        <f>T("9791164097173")</f>
        <v>9791164097173</v>
      </c>
      <c r="BF1337" t="str">
        <f>T("N127043")</f>
        <v>N127043</v>
      </c>
      <c r="BG1337" t="str">
        <f>T("로판 웹소설 &gt; 서양풍 로판")</f>
        <v>로판 웹소설 &gt; 서양풍 로판</v>
      </c>
    </row>
    <row r="1338" spans="1:59">
      <c r="A1338" t="s">
        <v>60</v>
      </c>
      <c r="B1338" s="1">
        <v>46131</v>
      </c>
      <c r="C1338">
        <v>2378036275</v>
      </c>
      <c r="D1338">
        <v>2378037592</v>
      </c>
      <c r="E1338" t="str">
        <f>T("구원자가 도망친 밤 96화")</f>
        <v>구원자가 도망친 밤 96화</v>
      </c>
      <c r="F1338">
        <v>96</v>
      </c>
      <c r="G1338" t="str">
        <f>T("얼든트")</f>
        <v>얼든트</v>
      </c>
      <c r="J1338" t="str">
        <f>T("시계토끼")</f>
        <v>시계토끼</v>
      </c>
      <c r="K1338" t="str">
        <f>T("구원자가 도망친 밤")</f>
        <v>구원자가 도망친 밤</v>
      </c>
      <c r="L1338">
        <v>100</v>
      </c>
      <c r="M1338">
        <v>100</v>
      </c>
      <c r="N1338">
        <v>1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100</v>
      </c>
      <c r="AJ1338">
        <v>1</v>
      </c>
      <c r="AK1338">
        <v>0</v>
      </c>
      <c r="AL1338">
        <v>0</v>
      </c>
      <c r="AM1338">
        <v>100</v>
      </c>
      <c r="AN1338">
        <v>0</v>
      </c>
      <c r="AO1338">
        <v>0</v>
      </c>
      <c r="AP1338">
        <v>0</v>
      </c>
      <c r="AQ1338">
        <v>0</v>
      </c>
      <c r="AS1338">
        <v>0</v>
      </c>
      <c r="AT1338">
        <v>0</v>
      </c>
      <c r="AV1338">
        <v>0</v>
      </c>
      <c r="AW1338">
        <v>0</v>
      </c>
      <c r="AY1338">
        <v>0</v>
      </c>
      <c r="AZ1338">
        <v>0</v>
      </c>
      <c r="BA1338">
        <v>70</v>
      </c>
      <c r="BE1338" t="str">
        <f>T("9791164097173")</f>
        <v>9791164097173</v>
      </c>
      <c r="BF1338" t="str">
        <f>T("N130355")</f>
        <v>N130355</v>
      </c>
      <c r="BG1338" t="str">
        <f>T("로판 웹소설 &gt; 서양풍 로판")</f>
        <v>로판 웹소설 &gt; 서양풍 로판</v>
      </c>
    </row>
    <row r="1339" spans="1:59">
      <c r="A1339" t="s">
        <v>60</v>
      </c>
      <c r="B1339" s="1">
        <v>46131</v>
      </c>
      <c r="C1339">
        <v>2378036275</v>
      </c>
      <c r="D1339">
        <v>2378037679</v>
      </c>
      <c r="E1339" t="str">
        <f>T("구원자가 도망친 밤 97화")</f>
        <v>구원자가 도망친 밤 97화</v>
      </c>
      <c r="F1339">
        <v>97</v>
      </c>
      <c r="G1339" t="str">
        <f>T("얼든트")</f>
        <v>얼든트</v>
      </c>
      <c r="J1339" t="str">
        <f>T("시계토끼")</f>
        <v>시계토끼</v>
      </c>
      <c r="K1339" t="str">
        <f>T("구원자가 도망친 밤")</f>
        <v>구원자가 도망친 밤</v>
      </c>
      <c r="L1339">
        <v>100</v>
      </c>
      <c r="M1339">
        <v>100</v>
      </c>
      <c r="N1339">
        <v>1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100</v>
      </c>
      <c r="AJ1339">
        <v>1</v>
      </c>
      <c r="AK1339">
        <v>0</v>
      </c>
      <c r="AL1339">
        <v>0</v>
      </c>
      <c r="AM1339">
        <v>100</v>
      </c>
      <c r="AN1339">
        <v>0</v>
      </c>
      <c r="AO1339">
        <v>0</v>
      </c>
      <c r="AP1339">
        <v>0</v>
      </c>
      <c r="AQ1339">
        <v>0</v>
      </c>
      <c r="AS1339">
        <v>0</v>
      </c>
      <c r="AT1339">
        <v>0</v>
      </c>
      <c r="AV1339">
        <v>0</v>
      </c>
      <c r="AW1339">
        <v>0</v>
      </c>
      <c r="AY1339">
        <v>0</v>
      </c>
      <c r="AZ1339">
        <v>0</v>
      </c>
      <c r="BA1339">
        <v>70</v>
      </c>
      <c r="BE1339" t="str">
        <f>T("9791164097173")</f>
        <v>9791164097173</v>
      </c>
      <c r="BF1339" t="str">
        <f>T("N135357")</f>
        <v>N135357</v>
      </c>
      <c r="BG1339" t="str">
        <f>T("로판 웹소설 &gt; 서양풍 로판")</f>
        <v>로판 웹소설 &gt; 서양풍 로판</v>
      </c>
    </row>
    <row r="1340" spans="1:59">
      <c r="A1340" t="s">
        <v>60</v>
      </c>
      <c r="B1340" s="1">
        <v>46131</v>
      </c>
      <c r="C1340">
        <v>2378036275</v>
      </c>
      <c r="D1340">
        <v>2378037708</v>
      </c>
      <c r="E1340" t="str">
        <f>T("구원자가 도망친 밤 98화")</f>
        <v>구원자가 도망친 밤 98화</v>
      </c>
      <c r="F1340">
        <v>98</v>
      </c>
      <c r="G1340" t="str">
        <f>T("얼든트")</f>
        <v>얼든트</v>
      </c>
      <c r="J1340" t="str">
        <f>T("시계토끼")</f>
        <v>시계토끼</v>
      </c>
      <c r="K1340" t="str">
        <f>T("구원자가 도망친 밤")</f>
        <v>구원자가 도망친 밤</v>
      </c>
      <c r="L1340">
        <v>100</v>
      </c>
      <c r="M1340">
        <v>100</v>
      </c>
      <c r="N1340">
        <v>1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100</v>
      </c>
      <c r="AJ1340">
        <v>1</v>
      </c>
      <c r="AK1340">
        <v>0</v>
      </c>
      <c r="AL1340">
        <v>0</v>
      </c>
      <c r="AM1340">
        <v>100</v>
      </c>
      <c r="AN1340">
        <v>0</v>
      </c>
      <c r="AO1340">
        <v>0</v>
      </c>
      <c r="AP1340">
        <v>0</v>
      </c>
      <c r="AQ1340">
        <v>0</v>
      </c>
      <c r="AS1340">
        <v>0</v>
      </c>
      <c r="AT1340">
        <v>0</v>
      </c>
      <c r="AV1340">
        <v>0</v>
      </c>
      <c r="AW1340">
        <v>0</v>
      </c>
      <c r="AY1340">
        <v>0</v>
      </c>
      <c r="AZ1340">
        <v>0</v>
      </c>
      <c r="BA1340">
        <v>70</v>
      </c>
      <c r="BE1340" t="str">
        <f>T("9791164097173")</f>
        <v>9791164097173</v>
      </c>
      <c r="BF1340" t="str">
        <f>T("N135358")</f>
        <v>N135358</v>
      </c>
      <c r="BG1340" t="str">
        <f>T("로판 웹소설 &gt; 서양풍 로판")</f>
        <v>로판 웹소설 &gt; 서양풍 로판</v>
      </c>
    </row>
    <row r="1341" spans="1:59">
      <c r="A1341" t="s">
        <v>60</v>
      </c>
      <c r="B1341" s="1">
        <v>46131</v>
      </c>
      <c r="C1341">
        <v>2378036275</v>
      </c>
      <c r="D1341">
        <v>2378037709</v>
      </c>
      <c r="E1341" t="str">
        <f>T("구원자가 도망친 밤 99화")</f>
        <v>구원자가 도망친 밤 99화</v>
      </c>
      <c r="F1341">
        <v>99</v>
      </c>
      <c r="G1341" t="str">
        <f>T("얼든트")</f>
        <v>얼든트</v>
      </c>
      <c r="J1341" t="str">
        <f>T("시계토끼")</f>
        <v>시계토끼</v>
      </c>
      <c r="K1341" t="str">
        <f>T("구원자가 도망친 밤")</f>
        <v>구원자가 도망친 밤</v>
      </c>
      <c r="L1341">
        <v>100</v>
      </c>
      <c r="M1341">
        <v>100</v>
      </c>
      <c r="N1341">
        <v>1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100</v>
      </c>
      <c r="AJ1341">
        <v>1</v>
      </c>
      <c r="AK1341">
        <v>0</v>
      </c>
      <c r="AL1341">
        <v>0</v>
      </c>
      <c r="AM1341">
        <v>100</v>
      </c>
      <c r="AN1341">
        <v>0</v>
      </c>
      <c r="AO1341">
        <v>0</v>
      </c>
      <c r="AP1341">
        <v>0</v>
      </c>
      <c r="AQ1341">
        <v>0</v>
      </c>
      <c r="AS1341">
        <v>0</v>
      </c>
      <c r="AT1341">
        <v>0</v>
      </c>
      <c r="AV1341">
        <v>0</v>
      </c>
      <c r="AW1341">
        <v>0</v>
      </c>
      <c r="AY1341">
        <v>0</v>
      </c>
      <c r="AZ1341">
        <v>0</v>
      </c>
      <c r="BA1341">
        <v>70</v>
      </c>
      <c r="BE1341" t="str">
        <f>T("9791164097173")</f>
        <v>9791164097173</v>
      </c>
      <c r="BF1341" t="str">
        <f>T("N135359")</f>
        <v>N135359</v>
      </c>
      <c r="BG1341" t="str">
        <f>T("로판 웹소설 &gt; 서양풍 로판")</f>
        <v>로판 웹소설 &gt; 서양풍 로판</v>
      </c>
    </row>
    <row r="1342" spans="1:59">
      <c r="A1342" t="s">
        <v>60</v>
      </c>
      <c r="B1342" s="1">
        <v>46131</v>
      </c>
      <c r="C1342">
        <v>2378036275</v>
      </c>
      <c r="D1342">
        <v>2378037710</v>
      </c>
      <c r="E1342" t="str">
        <f>T("구원자가 도망친 밤 100화")</f>
        <v>구원자가 도망친 밤 100화</v>
      </c>
      <c r="F1342">
        <v>100</v>
      </c>
      <c r="G1342" t="str">
        <f>T("얼든트")</f>
        <v>얼든트</v>
      </c>
      <c r="J1342" t="str">
        <f>T("시계토끼")</f>
        <v>시계토끼</v>
      </c>
      <c r="K1342" t="str">
        <f>T("구원자가 도망친 밤")</f>
        <v>구원자가 도망친 밤</v>
      </c>
      <c r="L1342">
        <v>100</v>
      </c>
      <c r="M1342">
        <v>100</v>
      </c>
      <c r="N1342">
        <v>1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100</v>
      </c>
      <c r="AJ1342">
        <v>1</v>
      </c>
      <c r="AK1342">
        <v>0</v>
      </c>
      <c r="AL1342">
        <v>0</v>
      </c>
      <c r="AM1342">
        <v>100</v>
      </c>
      <c r="AN1342">
        <v>0</v>
      </c>
      <c r="AO1342">
        <v>0</v>
      </c>
      <c r="AP1342">
        <v>0</v>
      </c>
      <c r="AQ1342">
        <v>0</v>
      </c>
      <c r="AS1342">
        <v>0</v>
      </c>
      <c r="AT1342">
        <v>0</v>
      </c>
      <c r="AV1342">
        <v>0</v>
      </c>
      <c r="AW1342">
        <v>0</v>
      </c>
      <c r="AY1342">
        <v>0</v>
      </c>
      <c r="AZ1342">
        <v>0</v>
      </c>
      <c r="BA1342">
        <v>70</v>
      </c>
      <c r="BE1342" t="str">
        <f>T("9791164097173")</f>
        <v>9791164097173</v>
      </c>
      <c r="BF1342" t="str">
        <f>T("N135360")</f>
        <v>N135360</v>
      </c>
      <c r="BG1342" t="str">
        <f>T("로판 웹소설 &gt; 서양풍 로판")</f>
        <v>로판 웹소설 &gt; 서양풍 로판</v>
      </c>
    </row>
    <row r="1343" spans="1:59">
      <c r="A1343" t="s">
        <v>60</v>
      </c>
      <c r="B1343" s="1">
        <v>46131</v>
      </c>
      <c r="C1343">
        <v>2378036275</v>
      </c>
      <c r="D1343">
        <v>2378037736</v>
      </c>
      <c r="E1343" t="str">
        <f>T("구원자가 도망친 밤 101화")</f>
        <v>구원자가 도망친 밤 101화</v>
      </c>
      <c r="F1343">
        <v>101</v>
      </c>
      <c r="G1343" t="str">
        <f>T("얼든트")</f>
        <v>얼든트</v>
      </c>
      <c r="J1343" t="str">
        <f>T("시계토끼")</f>
        <v>시계토끼</v>
      </c>
      <c r="K1343" t="str">
        <f>T("구원자가 도망친 밤")</f>
        <v>구원자가 도망친 밤</v>
      </c>
      <c r="L1343">
        <v>100</v>
      </c>
      <c r="M1343">
        <v>100</v>
      </c>
      <c r="N1343">
        <v>1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100</v>
      </c>
      <c r="AJ1343">
        <v>1</v>
      </c>
      <c r="AK1343">
        <v>0</v>
      </c>
      <c r="AL1343">
        <v>0</v>
      </c>
      <c r="AM1343">
        <v>100</v>
      </c>
      <c r="AN1343">
        <v>0</v>
      </c>
      <c r="AO1343">
        <v>0</v>
      </c>
      <c r="AP1343">
        <v>0</v>
      </c>
      <c r="AQ1343">
        <v>0</v>
      </c>
      <c r="AS1343">
        <v>0</v>
      </c>
      <c r="AT1343">
        <v>0</v>
      </c>
      <c r="AV1343">
        <v>0</v>
      </c>
      <c r="AW1343">
        <v>0</v>
      </c>
      <c r="AY1343">
        <v>0</v>
      </c>
      <c r="AZ1343">
        <v>0</v>
      </c>
      <c r="BA1343">
        <v>70</v>
      </c>
      <c r="BE1343" t="str">
        <f>T("9791164097173")</f>
        <v>9791164097173</v>
      </c>
      <c r="BF1343" t="str">
        <f>T("N135361")</f>
        <v>N135361</v>
      </c>
      <c r="BG1343" t="str">
        <f>T("로판 웹소설 &gt; 서양풍 로판")</f>
        <v>로판 웹소설 &gt; 서양풍 로판</v>
      </c>
    </row>
    <row r="1344" spans="1:59">
      <c r="A1344" t="s">
        <v>60</v>
      </c>
      <c r="B1344" s="1">
        <v>46131</v>
      </c>
      <c r="C1344">
        <v>2378036275</v>
      </c>
      <c r="D1344">
        <v>2378037738</v>
      </c>
      <c r="E1344" t="str">
        <f>T("구원자가 도망친 밤 102화")</f>
        <v>구원자가 도망친 밤 102화</v>
      </c>
      <c r="F1344">
        <v>102</v>
      </c>
      <c r="G1344" t="str">
        <f>T("얼든트")</f>
        <v>얼든트</v>
      </c>
      <c r="J1344" t="str">
        <f>T("시계토끼")</f>
        <v>시계토끼</v>
      </c>
      <c r="K1344" t="str">
        <f>T("구원자가 도망친 밤")</f>
        <v>구원자가 도망친 밤</v>
      </c>
      <c r="L1344">
        <v>100</v>
      </c>
      <c r="M1344">
        <v>100</v>
      </c>
      <c r="N1344">
        <v>1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100</v>
      </c>
      <c r="AJ1344">
        <v>1</v>
      </c>
      <c r="AK1344">
        <v>0</v>
      </c>
      <c r="AL1344">
        <v>0</v>
      </c>
      <c r="AM1344">
        <v>100</v>
      </c>
      <c r="AN1344">
        <v>0</v>
      </c>
      <c r="AO1344">
        <v>0</v>
      </c>
      <c r="AP1344">
        <v>0</v>
      </c>
      <c r="AQ1344">
        <v>0</v>
      </c>
      <c r="AS1344">
        <v>0</v>
      </c>
      <c r="AT1344">
        <v>0</v>
      </c>
      <c r="AV1344">
        <v>0</v>
      </c>
      <c r="AW1344">
        <v>0</v>
      </c>
      <c r="AY1344">
        <v>0</v>
      </c>
      <c r="AZ1344">
        <v>0</v>
      </c>
      <c r="BA1344">
        <v>70</v>
      </c>
      <c r="BE1344" t="str">
        <f>T("9791164097173")</f>
        <v>9791164097173</v>
      </c>
      <c r="BF1344" t="str">
        <f>T("N140397")</f>
        <v>N140397</v>
      </c>
      <c r="BG1344" t="str">
        <f>T("로판 웹소설 &gt; 서양풍 로판")</f>
        <v>로판 웹소설 &gt; 서양풍 로판</v>
      </c>
    </row>
    <row r="1345" spans="1:59">
      <c r="A1345" t="s">
        <v>60</v>
      </c>
      <c r="B1345" s="1">
        <v>46131</v>
      </c>
      <c r="C1345">
        <v>2378036275</v>
      </c>
      <c r="D1345">
        <v>2378037994</v>
      </c>
      <c r="E1345" t="str">
        <f>T("구원자가 도망친 밤 103화")</f>
        <v>구원자가 도망친 밤 103화</v>
      </c>
      <c r="F1345">
        <v>103</v>
      </c>
      <c r="G1345" t="str">
        <f>T("얼든트")</f>
        <v>얼든트</v>
      </c>
      <c r="J1345" t="str">
        <f>T("시계토끼")</f>
        <v>시계토끼</v>
      </c>
      <c r="K1345" t="str">
        <f>T("구원자가 도망친 밤")</f>
        <v>구원자가 도망친 밤</v>
      </c>
      <c r="L1345">
        <v>100</v>
      </c>
      <c r="M1345">
        <v>100</v>
      </c>
      <c r="N1345">
        <v>1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100</v>
      </c>
      <c r="AJ1345">
        <v>1</v>
      </c>
      <c r="AK1345">
        <v>0</v>
      </c>
      <c r="AL1345">
        <v>0</v>
      </c>
      <c r="AM1345">
        <v>100</v>
      </c>
      <c r="AN1345">
        <v>0</v>
      </c>
      <c r="AO1345">
        <v>0</v>
      </c>
      <c r="AP1345">
        <v>0</v>
      </c>
      <c r="AQ1345">
        <v>0</v>
      </c>
      <c r="AS1345">
        <v>0</v>
      </c>
      <c r="AT1345">
        <v>0</v>
      </c>
      <c r="AV1345">
        <v>0</v>
      </c>
      <c r="AW1345">
        <v>0</v>
      </c>
      <c r="AY1345">
        <v>0</v>
      </c>
      <c r="AZ1345">
        <v>0</v>
      </c>
      <c r="BA1345">
        <v>70</v>
      </c>
      <c r="BE1345" t="str">
        <f>T("9791164097173")</f>
        <v>9791164097173</v>
      </c>
      <c r="BF1345" t="str">
        <f>T("N141224")</f>
        <v>N141224</v>
      </c>
      <c r="BG1345" t="str">
        <f>T("로판 웹소설 &gt; 서양풍 로판")</f>
        <v>로판 웹소설 &gt; 서양풍 로판</v>
      </c>
    </row>
    <row r="1346" spans="1:59">
      <c r="A1346" t="s">
        <v>60</v>
      </c>
      <c r="B1346" s="1">
        <v>46131</v>
      </c>
      <c r="C1346">
        <v>2378036275</v>
      </c>
      <c r="D1346">
        <v>2378038004</v>
      </c>
      <c r="E1346" t="str">
        <f>T("구원자가 도망친 밤 104화")</f>
        <v>구원자가 도망친 밤 104화</v>
      </c>
      <c r="F1346">
        <v>104</v>
      </c>
      <c r="G1346" t="str">
        <f>T("얼든트")</f>
        <v>얼든트</v>
      </c>
      <c r="J1346" t="str">
        <f>T("시계토끼")</f>
        <v>시계토끼</v>
      </c>
      <c r="K1346" t="str">
        <f>T("구원자가 도망친 밤")</f>
        <v>구원자가 도망친 밤</v>
      </c>
      <c r="L1346">
        <v>100</v>
      </c>
      <c r="M1346">
        <v>100</v>
      </c>
      <c r="N1346">
        <v>1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100</v>
      </c>
      <c r="AJ1346">
        <v>1</v>
      </c>
      <c r="AK1346">
        <v>0</v>
      </c>
      <c r="AL1346">
        <v>0</v>
      </c>
      <c r="AM1346">
        <v>100</v>
      </c>
      <c r="AN1346">
        <v>0</v>
      </c>
      <c r="AO1346">
        <v>0</v>
      </c>
      <c r="AP1346">
        <v>0</v>
      </c>
      <c r="AQ1346">
        <v>0</v>
      </c>
      <c r="AS1346">
        <v>0</v>
      </c>
      <c r="AT1346">
        <v>0</v>
      </c>
      <c r="AV1346">
        <v>0</v>
      </c>
      <c r="AW1346">
        <v>0</v>
      </c>
      <c r="AY1346">
        <v>0</v>
      </c>
      <c r="AZ1346">
        <v>0</v>
      </c>
      <c r="BA1346">
        <v>70</v>
      </c>
      <c r="BE1346" t="str">
        <f>T("9791164097173")</f>
        <v>9791164097173</v>
      </c>
      <c r="BF1346" t="str">
        <f>T("N141225")</f>
        <v>N141225</v>
      </c>
      <c r="BG1346" t="str">
        <f>T("로판 웹소설 &gt; 서양풍 로판")</f>
        <v>로판 웹소설 &gt; 서양풍 로판</v>
      </c>
    </row>
    <row r="1347" spans="1:59">
      <c r="A1347" t="s">
        <v>60</v>
      </c>
      <c r="B1347" s="1">
        <v>46131</v>
      </c>
      <c r="C1347">
        <v>2378036275</v>
      </c>
      <c r="D1347">
        <v>2378038132</v>
      </c>
      <c r="E1347" t="str">
        <f>T("구원자가 도망친 밤 105화")</f>
        <v>구원자가 도망친 밤 105화</v>
      </c>
      <c r="F1347">
        <v>105</v>
      </c>
      <c r="G1347" t="str">
        <f>T("얼든트")</f>
        <v>얼든트</v>
      </c>
      <c r="J1347" t="str">
        <f>T("시계토끼")</f>
        <v>시계토끼</v>
      </c>
      <c r="K1347" t="str">
        <f>T("구원자가 도망친 밤")</f>
        <v>구원자가 도망친 밤</v>
      </c>
      <c r="L1347">
        <v>100</v>
      </c>
      <c r="M1347">
        <v>100</v>
      </c>
      <c r="N1347">
        <v>1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100</v>
      </c>
      <c r="AJ1347">
        <v>1</v>
      </c>
      <c r="AK1347">
        <v>0</v>
      </c>
      <c r="AL1347">
        <v>0</v>
      </c>
      <c r="AM1347">
        <v>100</v>
      </c>
      <c r="AN1347">
        <v>0</v>
      </c>
      <c r="AO1347">
        <v>0</v>
      </c>
      <c r="AP1347">
        <v>0</v>
      </c>
      <c r="AQ1347">
        <v>0</v>
      </c>
      <c r="AS1347">
        <v>0</v>
      </c>
      <c r="AT1347">
        <v>0</v>
      </c>
      <c r="AV1347">
        <v>0</v>
      </c>
      <c r="AW1347">
        <v>0</v>
      </c>
      <c r="AY1347">
        <v>0</v>
      </c>
      <c r="AZ1347">
        <v>0</v>
      </c>
      <c r="BA1347">
        <v>70</v>
      </c>
      <c r="BE1347" t="str">
        <f>T("9791164097173")</f>
        <v>9791164097173</v>
      </c>
      <c r="BF1347" t="str">
        <f>T("N141226")</f>
        <v>N141226</v>
      </c>
      <c r="BG1347" t="str">
        <f>T("로판 웹소설 &gt; 서양풍 로판")</f>
        <v>로판 웹소설 &gt; 서양풍 로판</v>
      </c>
    </row>
    <row r="1348" spans="1:59">
      <c r="A1348" t="s">
        <v>60</v>
      </c>
      <c r="B1348" s="1">
        <v>46131</v>
      </c>
      <c r="C1348">
        <v>2378036275</v>
      </c>
      <c r="D1348">
        <v>2378038135</v>
      </c>
      <c r="E1348" t="str">
        <f>T("구원자가 도망친 밤 106화")</f>
        <v>구원자가 도망친 밤 106화</v>
      </c>
      <c r="F1348">
        <v>106</v>
      </c>
      <c r="G1348" t="str">
        <f>T("얼든트")</f>
        <v>얼든트</v>
      </c>
      <c r="J1348" t="str">
        <f>T("시계토끼")</f>
        <v>시계토끼</v>
      </c>
      <c r="K1348" t="str">
        <f>T("구원자가 도망친 밤")</f>
        <v>구원자가 도망친 밤</v>
      </c>
      <c r="L1348">
        <v>100</v>
      </c>
      <c r="M1348">
        <v>100</v>
      </c>
      <c r="N1348">
        <v>1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100</v>
      </c>
      <c r="AJ1348">
        <v>1</v>
      </c>
      <c r="AK1348">
        <v>0</v>
      </c>
      <c r="AL1348">
        <v>0</v>
      </c>
      <c r="AM1348">
        <v>100</v>
      </c>
      <c r="AN1348">
        <v>0</v>
      </c>
      <c r="AO1348">
        <v>0</v>
      </c>
      <c r="AP1348">
        <v>0</v>
      </c>
      <c r="AQ1348">
        <v>0</v>
      </c>
      <c r="AS1348">
        <v>0</v>
      </c>
      <c r="AT1348">
        <v>0</v>
      </c>
      <c r="AV1348">
        <v>0</v>
      </c>
      <c r="AW1348">
        <v>0</v>
      </c>
      <c r="AY1348">
        <v>0</v>
      </c>
      <c r="AZ1348">
        <v>0</v>
      </c>
      <c r="BA1348">
        <v>70</v>
      </c>
      <c r="BE1348" t="str">
        <f>T("9791164097173")</f>
        <v>9791164097173</v>
      </c>
      <c r="BF1348" t="str">
        <f>T("N141227")</f>
        <v>N141227</v>
      </c>
      <c r="BG1348" t="str">
        <f>T("로판 웹소설 &gt; 서양풍 로판")</f>
        <v>로판 웹소설 &gt; 서양풍 로판</v>
      </c>
    </row>
    <row r="1349" spans="1:59">
      <c r="A1349" t="s">
        <v>60</v>
      </c>
      <c r="B1349" s="1">
        <v>46131</v>
      </c>
      <c r="C1349">
        <v>2378036275</v>
      </c>
      <c r="D1349">
        <v>2378038147</v>
      </c>
      <c r="E1349" t="str">
        <f>T("구원자가 도망친 밤 107화")</f>
        <v>구원자가 도망친 밤 107화</v>
      </c>
      <c r="F1349">
        <v>107</v>
      </c>
      <c r="G1349" t="str">
        <f>T("얼든트")</f>
        <v>얼든트</v>
      </c>
      <c r="J1349" t="str">
        <f>T("시계토끼")</f>
        <v>시계토끼</v>
      </c>
      <c r="K1349" t="str">
        <f>T("구원자가 도망친 밤")</f>
        <v>구원자가 도망친 밤</v>
      </c>
      <c r="L1349">
        <v>100</v>
      </c>
      <c r="M1349">
        <v>100</v>
      </c>
      <c r="N1349">
        <v>1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100</v>
      </c>
      <c r="AJ1349">
        <v>1</v>
      </c>
      <c r="AK1349">
        <v>0</v>
      </c>
      <c r="AL1349">
        <v>0</v>
      </c>
      <c r="AM1349">
        <v>100</v>
      </c>
      <c r="AN1349">
        <v>0</v>
      </c>
      <c r="AO1349">
        <v>0</v>
      </c>
      <c r="AP1349">
        <v>0</v>
      </c>
      <c r="AQ1349">
        <v>0</v>
      </c>
      <c r="AS1349">
        <v>0</v>
      </c>
      <c r="AT1349">
        <v>0</v>
      </c>
      <c r="AV1349">
        <v>0</v>
      </c>
      <c r="AW1349">
        <v>0</v>
      </c>
      <c r="AY1349">
        <v>0</v>
      </c>
      <c r="AZ1349">
        <v>0</v>
      </c>
      <c r="BA1349">
        <v>70</v>
      </c>
      <c r="BE1349" t="str">
        <f>T("9791164097173")</f>
        <v>9791164097173</v>
      </c>
      <c r="BF1349" t="str">
        <f>T("N143120")</f>
        <v>N143120</v>
      </c>
      <c r="BG1349" t="str">
        <f>T("로판 웹소설 &gt; 서양풍 로판")</f>
        <v>로판 웹소설 &gt; 서양풍 로판</v>
      </c>
    </row>
    <row r="1350" spans="1:59">
      <c r="A1350" t="s">
        <v>60</v>
      </c>
      <c r="B1350" s="1">
        <v>46131</v>
      </c>
      <c r="C1350">
        <v>2378036275</v>
      </c>
      <c r="D1350">
        <v>2378038301</v>
      </c>
      <c r="E1350" t="str">
        <f>T("구원자가 도망친 밤 108화")</f>
        <v>구원자가 도망친 밤 108화</v>
      </c>
      <c r="F1350">
        <v>108</v>
      </c>
      <c r="G1350" t="str">
        <f>T("얼든트")</f>
        <v>얼든트</v>
      </c>
      <c r="J1350" t="str">
        <f>T("시계토끼")</f>
        <v>시계토끼</v>
      </c>
      <c r="K1350" t="str">
        <f>T("구원자가 도망친 밤")</f>
        <v>구원자가 도망친 밤</v>
      </c>
      <c r="L1350">
        <v>100</v>
      </c>
      <c r="M1350">
        <v>100</v>
      </c>
      <c r="N1350">
        <v>1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100</v>
      </c>
      <c r="AJ1350">
        <v>1</v>
      </c>
      <c r="AK1350">
        <v>0</v>
      </c>
      <c r="AL1350">
        <v>0</v>
      </c>
      <c r="AM1350">
        <v>100</v>
      </c>
      <c r="AN1350">
        <v>0</v>
      </c>
      <c r="AO1350">
        <v>0</v>
      </c>
      <c r="AP1350">
        <v>0</v>
      </c>
      <c r="AQ1350">
        <v>0</v>
      </c>
      <c r="AS1350">
        <v>0</v>
      </c>
      <c r="AT1350">
        <v>0</v>
      </c>
      <c r="AV1350">
        <v>0</v>
      </c>
      <c r="AW1350">
        <v>0</v>
      </c>
      <c r="AY1350">
        <v>0</v>
      </c>
      <c r="AZ1350">
        <v>0</v>
      </c>
      <c r="BA1350">
        <v>70</v>
      </c>
      <c r="BE1350" t="str">
        <f>T("9791164097173")</f>
        <v>9791164097173</v>
      </c>
      <c r="BF1350" t="str">
        <f>T("N143121")</f>
        <v>N143121</v>
      </c>
      <c r="BG1350" t="str">
        <f>T("로판 웹소설 &gt; 서양풍 로판")</f>
        <v>로판 웹소설 &gt; 서양풍 로판</v>
      </c>
    </row>
    <row r="1351" spans="1:59">
      <c r="A1351" t="s">
        <v>60</v>
      </c>
      <c r="B1351" s="1">
        <v>46131</v>
      </c>
      <c r="C1351">
        <v>2378036275</v>
      </c>
      <c r="D1351">
        <v>2378038315</v>
      </c>
      <c r="E1351" t="str">
        <f>T("구원자가 도망친 밤 109화")</f>
        <v>구원자가 도망친 밤 109화</v>
      </c>
      <c r="F1351">
        <v>109</v>
      </c>
      <c r="G1351" t="str">
        <f>T("얼든트")</f>
        <v>얼든트</v>
      </c>
      <c r="J1351" t="str">
        <f>T("시계토끼")</f>
        <v>시계토끼</v>
      </c>
      <c r="K1351" t="str">
        <f>T("구원자가 도망친 밤")</f>
        <v>구원자가 도망친 밤</v>
      </c>
      <c r="L1351">
        <v>100</v>
      </c>
      <c r="M1351">
        <v>100</v>
      </c>
      <c r="N1351">
        <v>1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100</v>
      </c>
      <c r="AJ1351">
        <v>1</v>
      </c>
      <c r="AK1351">
        <v>0</v>
      </c>
      <c r="AL1351">
        <v>0</v>
      </c>
      <c r="AM1351">
        <v>100</v>
      </c>
      <c r="AN1351">
        <v>0</v>
      </c>
      <c r="AO1351">
        <v>0</v>
      </c>
      <c r="AP1351">
        <v>0</v>
      </c>
      <c r="AQ1351">
        <v>0</v>
      </c>
      <c r="AS1351">
        <v>0</v>
      </c>
      <c r="AT1351">
        <v>0</v>
      </c>
      <c r="AV1351">
        <v>0</v>
      </c>
      <c r="AW1351">
        <v>0</v>
      </c>
      <c r="AY1351">
        <v>0</v>
      </c>
      <c r="AZ1351">
        <v>0</v>
      </c>
      <c r="BA1351">
        <v>70</v>
      </c>
      <c r="BE1351" t="str">
        <f>T("9791164097173")</f>
        <v>9791164097173</v>
      </c>
      <c r="BF1351" t="str">
        <f>T("N143122")</f>
        <v>N143122</v>
      </c>
      <c r="BG1351" t="str">
        <f>T("로판 웹소설 &gt; 서양풍 로판")</f>
        <v>로판 웹소설 &gt; 서양풍 로판</v>
      </c>
    </row>
    <row r="1352" spans="1:59">
      <c r="A1352" t="s">
        <v>60</v>
      </c>
      <c r="B1352" s="1">
        <v>46131</v>
      </c>
      <c r="C1352">
        <v>2378036275</v>
      </c>
      <c r="D1352">
        <v>2378038316</v>
      </c>
      <c r="E1352" t="str">
        <f>T("구원자가 도망친 밤 110화")</f>
        <v>구원자가 도망친 밤 110화</v>
      </c>
      <c r="F1352">
        <v>110</v>
      </c>
      <c r="G1352" t="str">
        <f>T("얼든트")</f>
        <v>얼든트</v>
      </c>
      <c r="J1352" t="str">
        <f>T("시계토끼")</f>
        <v>시계토끼</v>
      </c>
      <c r="K1352" t="str">
        <f>T("구원자가 도망친 밤")</f>
        <v>구원자가 도망친 밤</v>
      </c>
      <c r="L1352">
        <v>100</v>
      </c>
      <c r="M1352">
        <v>100</v>
      </c>
      <c r="N1352">
        <v>1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100</v>
      </c>
      <c r="AJ1352">
        <v>1</v>
      </c>
      <c r="AK1352">
        <v>0</v>
      </c>
      <c r="AL1352">
        <v>0</v>
      </c>
      <c r="AM1352">
        <v>100</v>
      </c>
      <c r="AN1352">
        <v>0</v>
      </c>
      <c r="AO1352">
        <v>0</v>
      </c>
      <c r="AP1352">
        <v>0</v>
      </c>
      <c r="AQ1352">
        <v>0</v>
      </c>
      <c r="AS1352">
        <v>0</v>
      </c>
      <c r="AT1352">
        <v>0</v>
      </c>
      <c r="AV1352">
        <v>0</v>
      </c>
      <c r="AW1352">
        <v>0</v>
      </c>
      <c r="AY1352">
        <v>0</v>
      </c>
      <c r="AZ1352">
        <v>0</v>
      </c>
      <c r="BA1352">
        <v>70</v>
      </c>
      <c r="BE1352" t="str">
        <f>T("9791164097173")</f>
        <v>9791164097173</v>
      </c>
      <c r="BF1352" t="str">
        <f>T("N143123")</f>
        <v>N143123</v>
      </c>
      <c r="BG1352" t="str">
        <f>T("로판 웹소설 &gt; 서양풍 로판")</f>
        <v>로판 웹소설 &gt; 서양풍 로판</v>
      </c>
    </row>
    <row r="1353" spans="1:59">
      <c r="A1353" t="s">
        <v>60</v>
      </c>
      <c r="B1353" s="1">
        <v>46131</v>
      </c>
      <c r="C1353">
        <v>2378036275</v>
      </c>
      <c r="D1353">
        <v>2378038329</v>
      </c>
      <c r="E1353" t="str">
        <f>T("구원자가 도망친 밤 111화")</f>
        <v>구원자가 도망친 밤 111화</v>
      </c>
      <c r="F1353">
        <v>111</v>
      </c>
      <c r="G1353" t="str">
        <f>T("얼든트")</f>
        <v>얼든트</v>
      </c>
      <c r="J1353" t="str">
        <f>T("시계토끼")</f>
        <v>시계토끼</v>
      </c>
      <c r="K1353" t="str">
        <f>T("구원자가 도망친 밤")</f>
        <v>구원자가 도망친 밤</v>
      </c>
      <c r="L1353">
        <v>100</v>
      </c>
      <c r="M1353">
        <v>100</v>
      </c>
      <c r="N1353">
        <v>1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100</v>
      </c>
      <c r="AJ1353">
        <v>1</v>
      </c>
      <c r="AK1353">
        <v>0</v>
      </c>
      <c r="AL1353">
        <v>0</v>
      </c>
      <c r="AM1353">
        <v>100</v>
      </c>
      <c r="AN1353">
        <v>0</v>
      </c>
      <c r="AO1353">
        <v>0</v>
      </c>
      <c r="AP1353">
        <v>0</v>
      </c>
      <c r="AQ1353">
        <v>0</v>
      </c>
      <c r="AS1353">
        <v>0</v>
      </c>
      <c r="AT1353">
        <v>0</v>
      </c>
      <c r="AV1353">
        <v>0</v>
      </c>
      <c r="AW1353">
        <v>0</v>
      </c>
      <c r="AY1353">
        <v>0</v>
      </c>
      <c r="AZ1353">
        <v>0</v>
      </c>
      <c r="BA1353">
        <v>70</v>
      </c>
      <c r="BE1353" t="str">
        <f>T("9791164097173")</f>
        <v>9791164097173</v>
      </c>
      <c r="BF1353" t="str">
        <f>T("N143124")</f>
        <v>N143124</v>
      </c>
      <c r="BG1353" t="str">
        <f>T("로판 웹소설 &gt; 서양풍 로판")</f>
        <v>로판 웹소설 &gt; 서양풍 로판</v>
      </c>
    </row>
    <row r="1354" spans="1:59">
      <c r="A1354" t="s">
        <v>60</v>
      </c>
      <c r="B1354" s="1">
        <v>46131</v>
      </c>
      <c r="C1354">
        <v>2378036275</v>
      </c>
      <c r="D1354">
        <v>2378038339</v>
      </c>
      <c r="E1354" t="str">
        <f>T("구원자가 도망친 밤 112화")</f>
        <v>구원자가 도망친 밤 112화</v>
      </c>
      <c r="F1354">
        <v>112</v>
      </c>
      <c r="G1354" t="str">
        <f>T("얼든트")</f>
        <v>얼든트</v>
      </c>
      <c r="J1354" t="str">
        <f>T("시계토끼")</f>
        <v>시계토끼</v>
      </c>
      <c r="K1354" t="str">
        <f>T("구원자가 도망친 밤")</f>
        <v>구원자가 도망친 밤</v>
      </c>
      <c r="L1354">
        <v>100</v>
      </c>
      <c r="M1354">
        <v>100</v>
      </c>
      <c r="N1354">
        <v>1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100</v>
      </c>
      <c r="AJ1354">
        <v>1</v>
      </c>
      <c r="AK1354">
        <v>0</v>
      </c>
      <c r="AL1354">
        <v>0</v>
      </c>
      <c r="AM1354">
        <v>100</v>
      </c>
      <c r="AN1354">
        <v>0</v>
      </c>
      <c r="AO1354">
        <v>0</v>
      </c>
      <c r="AP1354">
        <v>0</v>
      </c>
      <c r="AQ1354">
        <v>0</v>
      </c>
      <c r="AS1354">
        <v>0</v>
      </c>
      <c r="AT1354">
        <v>0</v>
      </c>
      <c r="AV1354">
        <v>0</v>
      </c>
      <c r="AW1354">
        <v>0</v>
      </c>
      <c r="AY1354">
        <v>0</v>
      </c>
      <c r="AZ1354">
        <v>0</v>
      </c>
      <c r="BA1354">
        <v>70</v>
      </c>
      <c r="BE1354" t="str">
        <f>T("9791164097173")</f>
        <v>9791164097173</v>
      </c>
      <c r="BF1354" t="str">
        <f>T("N146388")</f>
        <v>N146388</v>
      </c>
      <c r="BG1354" t="str">
        <f>T("로판 웹소설 &gt; 서양풍 로판")</f>
        <v>로판 웹소설 &gt; 서양풍 로판</v>
      </c>
    </row>
    <row r="1355" spans="1:59">
      <c r="A1355" t="s">
        <v>60</v>
      </c>
      <c r="B1355" s="1">
        <v>46131</v>
      </c>
      <c r="C1355">
        <v>2378036275</v>
      </c>
      <c r="D1355">
        <v>2378038424</v>
      </c>
      <c r="E1355" t="str">
        <f>T("구원자가 도망친 밤 113화")</f>
        <v>구원자가 도망친 밤 113화</v>
      </c>
      <c r="F1355">
        <v>113</v>
      </c>
      <c r="G1355" t="str">
        <f>T("얼든트")</f>
        <v>얼든트</v>
      </c>
      <c r="J1355" t="str">
        <f>T("시계토끼")</f>
        <v>시계토끼</v>
      </c>
      <c r="K1355" t="str">
        <f>T("구원자가 도망친 밤")</f>
        <v>구원자가 도망친 밤</v>
      </c>
      <c r="L1355">
        <v>100</v>
      </c>
      <c r="M1355">
        <v>100</v>
      </c>
      <c r="N1355">
        <v>1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100</v>
      </c>
      <c r="AJ1355">
        <v>1</v>
      </c>
      <c r="AK1355">
        <v>0</v>
      </c>
      <c r="AL1355">
        <v>0</v>
      </c>
      <c r="AM1355">
        <v>100</v>
      </c>
      <c r="AN1355">
        <v>0</v>
      </c>
      <c r="AO1355">
        <v>0</v>
      </c>
      <c r="AP1355">
        <v>0</v>
      </c>
      <c r="AQ1355">
        <v>0</v>
      </c>
      <c r="AS1355">
        <v>0</v>
      </c>
      <c r="AT1355">
        <v>0</v>
      </c>
      <c r="AV1355">
        <v>0</v>
      </c>
      <c r="AW1355">
        <v>0</v>
      </c>
      <c r="AY1355">
        <v>0</v>
      </c>
      <c r="AZ1355">
        <v>0</v>
      </c>
      <c r="BA1355">
        <v>70</v>
      </c>
      <c r="BE1355" t="str">
        <f>T("9791164097173")</f>
        <v>9791164097173</v>
      </c>
      <c r="BF1355" t="str">
        <f>T("N146389")</f>
        <v>N146389</v>
      </c>
      <c r="BG1355" t="str">
        <f>T("로판 웹소설 &gt; 서양풍 로판")</f>
        <v>로판 웹소설 &gt; 서양풍 로판</v>
      </c>
    </row>
    <row r="1356" spans="1:59">
      <c r="A1356" t="s">
        <v>60</v>
      </c>
      <c r="B1356" s="1">
        <v>46131</v>
      </c>
      <c r="C1356">
        <v>2378036275</v>
      </c>
      <c r="D1356">
        <v>2378038442</v>
      </c>
      <c r="E1356" t="str">
        <f>T("구원자가 도망친 밤 114화")</f>
        <v>구원자가 도망친 밤 114화</v>
      </c>
      <c r="F1356">
        <v>114</v>
      </c>
      <c r="G1356" t="str">
        <f>T("얼든트")</f>
        <v>얼든트</v>
      </c>
      <c r="J1356" t="str">
        <f>T("시계토끼")</f>
        <v>시계토끼</v>
      </c>
      <c r="K1356" t="str">
        <f>T("구원자가 도망친 밤")</f>
        <v>구원자가 도망친 밤</v>
      </c>
      <c r="L1356">
        <v>100</v>
      </c>
      <c r="M1356">
        <v>100</v>
      </c>
      <c r="N1356">
        <v>1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100</v>
      </c>
      <c r="AJ1356">
        <v>1</v>
      </c>
      <c r="AK1356">
        <v>0</v>
      </c>
      <c r="AL1356">
        <v>0</v>
      </c>
      <c r="AM1356">
        <v>100</v>
      </c>
      <c r="AN1356">
        <v>0</v>
      </c>
      <c r="AO1356">
        <v>0</v>
      </c>
      <c r="AP1356">
        <v>0</v>
      </c>
      <c r="AQ1356">
        <v>0</v>
      </c>
      <c r="AS1356">
        <v>0</v>
      </c>
      <c r="AT1356">
        <v>0</v>
      </c>
      <c r="AV1356">
        <v>0</v>
      </c>
      <c r="AW1356">
        <v>0</v>
      </c>
      <c r="AY1356">
        <v>0</v>
      </c>
      <c r="AZ1356">
        <v>0</v>
      </c>
      <c r="BA1356">
        <v>70</v>
      </c>
      <c r="BE1356" t="str">
        <f>T("9791164097173")</f>
        <v>9791164097173</v>
      </c>
      <c r="BF1356" t="str">
        <f>T("N146390")</f>
        <v>N146390</v>
      </c>
      <c r="BG1356" t="str">
        <f>T("로판 웹소설 &gt; 서양풍 로판")</f>
        <v>로판 웹소설 &gt; 서양풍 로판</v>
      </c>
    </row>
    <row r="1357" spans="1:59">
      <c r="A1357" t="s">
        <v>60</v>
      </c>
      <c r="B1357" s="1">
        <v>46131</v>
      </c>
      <c r="C1357">
        <v>2378036275</v>
      </c>
      <c r="D1357">
        <v>2378038457</v>
      </c>
      <c r="E1357" t="str">
        <f>T("구원자가 도망친 밤 115화")</f>
        <v>구원자가 도망친 밤 115화</v>
      </c>
      <c r="F1357">
        <v>115</v>
      </c>
      <c r="G1357" t="str">
        <f>T("얼든트")</f>
        <v>얼든트</v>
      </c>
      <c r="J1357" t="str">
        <f>T("시계토끼")</f>
        <v>시계토끼</v>
      </c>
      <c r="K1357" t="str">
        <f>T("구원자가 도망친 밤")</f>
        <v>구원자가 도망친 밤</v>
      </c>
      <c r="L1357">
        <v>100</v>
      </c>
      <c r="M1357">
        <v>100</v>
      </c>
      <c r="N1357">
        <v>1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100</v>
      </c>
      <c r="AJ1357">
        <v>1</v>
      </c>
      <c r="AK1357">
        <v>0</v>
      </c>
      <c r="AL1357">
        <v>0</v>
      </c>
      <c r="AM1357">
        <v>100</v>
      </c>
      <c r="AN1357">
        <v>0</v>
      </c>
      <c r="AO1357">
        <v>0</v>
      </c>
      <c r="AP1357">
        <v>0</v>
      </c>
      <c r="AQ1357">
        <v>0</v>
      </c>
      <c r="AS1357">
        <v>0</v>
      </c>
      <c r="AT1357">
        <v>0</v>
      </c>
      <c r="AV1357">
        <v>0</v>
      </c>
      <c r="AW1357">
        <v>0</v>
      </c>
      <c r="AY1357">
        <v>0</v>
      </c>
      <c r="AZ1357">
        <v>0</v>
      </c>
      <c r="BA1357">
        <v>70</v>
      </c>
      <c r="BE1357" t="str">
        <f>T("9791164097173")</f>
        <v>9791164097173</v>
      </c>
      <c r="BF1357" t="str">
        <f>T("N146391")</f>
        <v>N146391</v>
      </c>
      <c r="BG1357" t="str">
        <f>T("로판 웹소설 &gt; 서양풍 로판")</f>
        <v>로판 웹소설 &gt; 서양풍 로판</v>
      </c>
    </row>
    <row r="1358" spans="1:59">
      <c r="A1358" t="s">
        <v>60</v>
      </c>
      <c r="B1358" s="1">
        <v>46131</v>
      </c>
      <c r="C1358">
        <v>2378036275</v>
      </c>
      <c r="D1358">
        <v>2378038469</v>
      </c>
      <c r="E1358" t="str">
        <f>T("구원자가 도망친 밤 116화")</f>
        <v>구원자가 도망친 밤 116화</v>
      </c>
      <c r="F1358">
        <v>116</v>
      </c>
      <c r="G1358" t="str">
        <f>T("얼든트")</f>
        <v>얼든트</v>
      </c>
      <c r="J1358" t="str">
        <f>T("시계토끼")</f>
        <v>시계토끼</v>
      </c>
      <c r="K1358" t="str">
        <f>T("구원자가 도망친 밤")</f>
        <v>구원자가 도망친 밤</v>
      </c>
      <c r="L1358">
        <v>100</v>
      </c>
      <c r="M1358">
        <v>100</v>
      </c>
      <c r="N1358">
        <v>1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100</v>
      </c>
      <c r="AJ1358">
        <v>1</v>
      </c>
      <c r="AK1358">
        <v>0</v>
      </c>
      <c r="AL1358">
        <v>0</v>
      </c>
      <c r="AM1358">
        <v>100</v>
      </c>
      <c r="AN1358">
        <v>0</v>
      </c>
      <c r="AO1358">
        <v>0</v>
      </c>
      <c r="AP1358">
        <v>0</v>
      </c>
      <c r="AQ1358">
        <v>0</v>
      </c>
      <c r="AS1358">
        <v>0</v>
      </c>
      <c r="AT1358">
        <v>0</v>
      </c>
      <c r="AV1358">
        <v>0</v>
      </c>
      <c r="AW1358">
        <v>0</v>
      </c>
      <c r="AY1358">
        <v>0</v>
      </c>
      <c r="AZ1358">
        <v>0</v>
      </c>
      <c r="BA1358">
        <v>70</v>
      </c>
      <c r="BE1358" t="str">
        <f>T("9791164097173")</f>
        <v>9791164097173</v>
      </c>
      <c r="BF1358" t="str">
        <f>T("N146392")</f>
        <v>N146392</v>
      </c>
      <c r="BG1358" t="str">
        <f>T("로판 웹소설 &gt; 서양풍 로판")</f>
        <v>로판 웹소설 &gt; 서양풍 로판</v>
      </c>
    </row>
    <row r="1359" spans="1:59">
      <c r="A1359" t="s">
        <v>60</v>
      </c>
      <c r="B1359" s="1">
        <v>46131</v>
      </c>
      <c r="C1359">
        <v>2378036275</v>
      </c>
      <c r="D1359">
        <v>2378038476</v>
      </c>
      <c r="E1359" t="str">
        <f>T("구원자가 도망친 밤 117화")</f>
        <v>구원자가 도망친 밤 117화</v>
      </c>
      <c r="F1359">
        <v>117</v>
      </c>
      <c r="G1359" t="str">
        <f>T("얼든트")</f>
        <v>얼든트</v>
      </c>
      <c r="J1359" t="str">
        <f>T("시계토끼")</f>
        <v>시계토끼</v>
      </c>
      <c r="K1359" t="str">
        <f>T("구원자가 도망친 밤")</f>
        <v>구원자가 도망친 밤</v>
      </c>
      <c r="L1359">
        <v>100</v>
      </c>
      <c r="M1359">
        <v>100</v>
      </c>
      <c r="N1359">
        <v>1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100</v>
      </c>
      <c r="AJ1359">
        <v>1</v>
      </c>
      <c r="AK1359">
        <v>0</v>
      </c>
      <c r="AL1359">
        <v>0</v>
      </c>
      <c r="AM1359">
        <v>100</v>
      </c>
      <c r="AN1359">
        <v>0</v>
      </c>
      <c r="AO1359">
        <v>0</v>
      </c>
      <c r="AP1359">
        <v>0</v>
      </c>
      <c r="AQ1359">
        <v>0</v>
      </c>
      <c r="AS1359">
        <v>0</v>
      </c>
      <c r="AT1359">
        <v>0</v>
      </c>
      <c r="AV1359">
        <v>0</v>
      </c>
      <c r="AW1359">
        <v>0</v>
      </c>
      <c r="AY1359">
        <v>0</v>
      </c>
      <c r="AZ1359">
        <v>0</v>
      </c>
      <c r="BA1359">
        <v>70</v>
      </c>
      <c r="BE1359" t="str">
        <f>T("9791164097173")</f>
        <v>9791164097173</v>
      </c>
      <c r="BF1359" t="str">
        <f>T("N159468")</f>
        <v>N159468</v>
      </c>
      <c r="BG1359" t="str">
        <f>T("로판 웹소설 &gt; 서양풍 로판")</f>
        <v>로판 웹소설 &gt; 서양풍 로판</v>
      </c>
    </row>
    <row r="1360" spans="1:59">
      <c r="A1360" t="s">
        <v>60</v>
      </c>
      <c r="B1360" s="1">
        <v>46131</v>
      </c>
      <c r="C1360">
        <v>2378036275</v>
      </c>
      <c r="D1360">
        <v>2378038580</v>
      </c>
      <c r="E1360" t="str">
        <f>T("구원자가 도망친 밤 118화")</f>
        <v>구원자가 도망친 밤 118화</v>
      </c>
      <c r="F1360">
        <v>118</v>
      </c>
      <c r="G1360" t="str">
        <f>T("얼든트")</f>
        <v>얼든트</v>
      </c>
      <c r="J1360" t="str">
        <f>T("시계토끼")</f>
        <v>시계토끼</v>
      </c>
      <c r="K1360" t="str">
        <f>T("구원자가 도망친 밤")</f>
        <v>구원자가 도망친 밤</v>
      </c>
      <c r="L1360">
        <v>100</v>
      </c>
      <c r="M1360">
        <v>100</v>
      </c>
      <c r="N1360">
        <v>1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100</v>
      </c>
      <c r="AJ1360">
        <v>1</v>
      </c>
      <c r="AK1360">
        <v>0</v>
      </c>
      <c r="AL1360">
        <v>0</v>
      </c>
      <c r="AM1360">
        <v>100</v>
      </c>
      <c r="AN1360">
        <v>0</v>
      </c>
      <c r="AO1360">
        <v>0</v>
      </c>
      <c r="AP1360">
        <v>0</v>
      </c>
      <c r="AQ1360">
        <v>0</v>
      </c>
      <c r="AS1360">
        <v>0</v>
      </c>
      <c r="AT1360">
        <v>0</v>
      </c>
      <c r="AV1360">
        <v>0</v>
      </c>
      <c r="AW1360">
        <v>0</v>
      </c>
      <c r="AY1360">
        <v>0</v>
      </c>
      <c r="AZ1360">
        <v>0</v>
      </c>
      <c r="BA1360">
        <v>70</v>
      </c>
      <c r="BE1360" t="str">
        <f>T("9791164097173")</f>
        <v>9791164097173</v>
      </c>
      <c r="BF1360" t="str">
        <f>T("N159469")</f>
        <v>N159469</v>
      </c>
      <c r="BG1360" t="str">
        <f>T("로판 웹소설 &gt; 서양풍 로판")</f>
        <v>로판 웹소설 &gt; 서양풍 로판</v>
      </c>
    </row>
    <row r="1361" spans="1:59">
      <c r="A1361" t="s">
        <v>60</v>
      </c>
      <c r="B1361" s="1">
        <v>46131</v>
      </c>
      <c r="C1361">
        <v>2378036275</v>
      </c>
      <c r="D1361">
        <v>2378038594</v>
      </c>
      <c r="E1361" t="str">
        <f>T("구원자가 도망친 밤 119화")</f>
        <v>구원자가 도망친 밤 119화</v>
      </c>
      <c r="F1361">
        <v>119</v>
      </c>
      <c r="G1361" t="str">
        <f>T("얼든트")</f>
        <v>얼든트</v>
      </c>
      <c r="J1361" t="str">
        <f>T("시계토끼")</f>
        <v>시계토끼</v>
      </c>
      <c r="K1361" t="str">
        <f>T("구원자가 도망친 밤")</f>
        <v>구원자가 도망친 밤</v>
      </c>
      <c r="L1361">
        <v>100</v>
      </c>
      <c r="M1361">
        <v>100</v>
      </c>
      <c r="N1361">
        <v>1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100</v>
      </c>
      <c r="AJ1361">
        <v>1</v>
      </c>
      <c r="AK1361">
        <v>0</v>
      </c>
      <c r="AL1361">
        <v>0</v>
      </c>
      <c r="AM1361">
        <v>100</v>
      </c>
      <c r="AN1361">
        <v>0</v>
      </c>
      <c r="AO1361">
        <v>0</v>
      </c>
      <c r="AP1361">
        <v>0</v>
      </c>
      <c r="AQ1361">
        <v>0</v>
      </c>
      <c r="AS1361">
        <v>0</v>
      </c>
      <c r="AT1361">
        <v>0</v>
      </c>
      <c r="AV1361">
        <v>0</v>
      </c>
      <c r="AW1361">
        <v>0</v>
      </c>
      <c r="AY1361">
        <v>0</v>
      </c>
      <c r="AZ1361">
        <v>0</v>
      </c>
      <c r="BA1361">
        <v>70</v>
      </c>
      <c r="BE1361" t="str">
        <f>T("9791164097173")</f>
        <v>9791164097173</v>
      </c>
      <c r="BF1361" t="str">
        <f>T("N159470")</f>
        <v>N159470</v>
      </c>
      <c r="BG1361" t="str">
        <f>T("로판 웹소설 &gt; 서양풍 로판")</f>
        <v>로판 웹소설 &gt; 서양풍 로판</v>
      </c>
    </row>
    <row r="1362" spans="1:59">
      <c r="A1362" t="s">
        <v>60</v>
      </c>
      <c r="B1362" s="1">
        <v>46131</v>
      </c>
      <c r="C1362">
        <v>2378036275</v>
      </c>
      <c r="D1362">
        <v>2378038819</v>
      </c>
      <c r="E1362" t="str">
        <f>T("구원자가 도망친 밤 120화")</f>
        <v>구원자가 도망친 밤 120화</v>
      </c>
      <c r="F1362">
        <v>120</v>
      </c>
      <c r="G1362" t="str">
        <f>T("얼든트")</f>
        <v>얼든트</v>
      </c>
      <c r="J1362" t="str">
        <f>T("시계토끼")</f>
        <v>시계토끼</v>
      </c>
      <c r="K1362" t="str">
        <f>T("구원자가 도망친 밤")</f>
        <v>구원자가 도망친 밤</v>
      </c>
      <c r="L1362">
        <v>100</v>
      </c>
      <c r="M1362">
        <v>100</v>
      </c>
      <c r="N1362">
        <v>1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100</v>
      </c>
      <c r="AJ1362">
        <v>1</v>
      </c>
      <c r="AK1362">
        <v>0</v>
      </c>
      <c r="AL1362">
        <v>0</v>
      </c>
      <c r="AM1362">
        <v>100</v>
      </c>
      <c r="AN1362">
        <v>0</v>
      </c>
      <c r="AO1362">
        <v>0</v>
      </c>
      <c r="AP1362">
        <v>0</v>
      </c>
      <c r="AQ1362">
        <v>0</v>
      </c>
      <c r="AS1362">
        <v>0</v>
      </c>
      <c r="AT1362">
        <v>0</v>
      </c>
      <c r="AV1362">
        <v>0</v>
      </c>
      <c r="AW1362">
        <v>0</v>
      </c>
      <c r="AY1362">
        <v>0</v>
      </c>
      <c r="AZ1362">
        <v>0</v>
      </c>
      <c r="BA1362">
        <v>70</v>
      </c>
      <c r="BE1362" t="str">
        <f>T("9791164097173")</f>
        <v>9791164097173</v>
      </c>
      <c r="BF1362" t="str">
        <f>T("N159471")</f>
        <v>N159471</v>
      </c>
      <c r="BG1362" t="str">
        <f>T("로판 웹소설 &gt; 서양풍 로판")</f>
        <v>로판 웹소설 &gt; 서양풍 로판</v>
      </c>
    </row>
    <row r="1363" spans="1:59">
      <c r="A1363" t="s">
        <v>60</v>
      </c>
      <c r="B1363" s="1">
        <v>46131</v>
      </c>
      <c r="C1363">
        <v>2378036275</v>
      </c>
      <c r="D1363">
        <v>2378038829</v>
      </c>
      <c r="E1363" t="str">
        <f>T("구원자가 도망친 밤 121화")</f>
        <v>구원자가 도망친 밤 121화</v>
      </c>
      <c r="F1363">
        <v>121</v>
      </c>
      <c r="G1363" t="str">
        <f>T("얼든트")</f>
        <v>얼든트</v>
      </c>
      <c r="J1363" t="str">
        <f>T("시계토끼")</f>
        <v>시계토끼</v>
      </c>
      <c r="K1363" t="str">
        <f>T("구원자가 도망친 밤")</f>
        <v>구원자가 도망친 밤</v>
      </c>
      <c r="L1363">
        <v>100</v>
      </c>
      <c r="M1363">
        <v>100</v>
      </c>
      <c r="N1363">
        <v>1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100</v>
      </c>
      <c r="AJ1363">
        <v>1</v>
      </c>
      <c r="AK1363">
        <v>0</v>
      </c>
      <c r="AL1363">
        <v>0</v>
      </c>
      <c r="AM1363">
        <v>100</v>
      </c>
      <c r="AN1363">
        <v>0</v>
      </c>
      <c r="AO1363">
        <v>0</v>
      </c>
      <c r="AP1363">
        <v>0</v>
      </c>
      <c r="AQ1363">
        <v>0</v>
      </c>
      <c r="AS1363">
        <v>0</v>
      </c>
      <c r="AT1363">
        <v>0</v>
      </c>
      <c r="AV1363">
        <v>0</v>
      </c>
      <c r="AW1363">
        <v>0</v>
      </c>
      <c r="AY1363">
        <v>0</v>
      </c>
      <c r="AZ1363">
        <v>0</v>
      </c>
      <c r="BA1363">
        <v>70</v>
      </c>
      <c r="BE1363" t="str">
        <f>T("9791164097173")</f>
        <v>9791164097173</v>
      </c>
      <c r="BF1363" t="str">
        <f>T("N169476")</f>
        <v>N169476</v>
      </c>
      <c r="BG1363" t="str">
        <f>T("로판 웹소설 &gt; 서양풍 로판")</f>
        <v>로판 웹소설 &gt; 서양풍 로판</v>
      </c>
    </row>
    <row r="1364" spans="1:59">
      <c r="A1364" t="s">
        <v>60</v>
      </c>
      <c r="B1364" s="1">
        <v>46131</v>
      </c>
      <c r="C1364">
        <v>2378036275</v>
      </c>
      <c r="D1364">
        <v>2378038851</v>
      </c>
      <c r="E1364" t="str">
        <f>T("구원자가 도망친 밤 122화")</f>
        <v>구원자가 도망친 밤 122화</v>
      </c>
      <c r="F1364">
        <v>122</v>
      </c>
      <c r="G1364" t="str">
        <f>T("얼든트")</f>
        <v>얼든트</v>
      </c>
      <c r="J1364" t="str">
        <f>T("시계토끼")</f>
        <v>시계토끼</v>
      </c>
      <c r="K1364" t="str">
        <f>T("구원자가 도망친 밤")</f>
        <v>구원자가 도망친 밤</v>
      </c>
      <c r="L1364">
        <v>100</v>
      </c>
      <c r="M1364">
        <v>100</v>
      </c>
      <c r="N1364">
        <v>1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100</v>
      </c>
      <c r="AJ1364">
        <v>1</v>
      </c>
      <c r="AK1364">
        <v>0</v>
      </c>
      <c r="AL1364">
        <v>0</v>
      </c>
      <c r="AM1364">
        <v>100</v>
      </c>
      <c r="AN1364">
        <v>0</v>
      </c>
      <c r="AO1364">
        <v>0</v>
      </c>
      <c r="AP1364">
        <v>0</v>
      </c>
      <c r="AQ1364">
        <v>0</v>
      </c>
      <c r="AS1364">
        <v>0</v>
      </c>
      <c r="AT1364">
        <v>0</v>
      </c>
      <c r="AV1364">
        <v>0</v>
      </c>
      <c r="AW1364">
        <v>0</v>
      </c>
      <c r="AY1364">
        <v>0</v>
      </c>
      <c r="AZ1364">
        <v>0</v>
      </c>
      <c r="BA1364">
        <v>70</v>
      </c>
      <c r="BE1364" t="str">
        <f>T("9791164097173")</f>
        <v>9791164097173</v>
      </c>
      <c r="BF1364" t="str">
        <f>T("N169477")</f>
        <v>N169477</v>
      </c>
      <c r="BG1364" t="str">
        <f>T("로판 웹소설 &gt; 서양풍 로판")</f>
        <v>로판 웹소설 &gt; 서양풍 로판</v>
      </c>
    </row>
    <row r="1365" spans="1:59">
      <c r="A1365" t="s">
        <v>60</v>
      </c>
      <c r="B1365" s="1">
        <v>46131</v>
      </c>
      <c r="C1365">
        <v>2378036275</v>
      </c>
      <c r="D1365">
        <v>2378038860</v>
      </c>
      <c r="E1365" t="str">
        <f>T("구원자가 도망친 밤 123화")</f>
        <v>구원자가 도망친 밤 123화</v>
      </c>
      <c r="F1365">
        <v>123</v>
      </c>
      <c r="G1365" t="str">
        <f>T("얼든트")</f>
        <v>얼든트</v>
      </c>
      <c r="J1365" t="str">
        <f>T("시계토끼")</f>
        <v>시계토끼</v>
      </c>
      <c r="K1365" t="str">
        <f>T("구원자가 도망친 밤")</f>
        <v>구원자가 도망친 밤</v>
      </c>
      <c r="L1365">
        <v>100</v>
      </c>
      <c r="M1365">
        <v>100</v>
      </c>
      <c r="N1365">
        <v>1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100</v>
      </c>
      <c r="AJ1365">
        <v>1</v>
      </c>
      <c r="AK1365">
        <v>0</v>
      </c>
      <c r="AL1365">
        <v>0</v>
      </c>
      <c r="AM1365">
        <v>100</v>
      </c>
      <c r="AN1365">
        <v>0</v>
      </c>
      <c r="AO1365">
        <v>0</v>
      </c>
      <c r="AP1365">
        <v>0</v>
      </c>
      <c r="AQ1365">
        <v>0</v>
      </c>
      <c r="AS1365">
        <v>0</v>
      </c>
      <c r="AT1365">
        <v>0</v>
      </c>
      <c r="AV1365">
        <v>0</v>
      </c>
      <c r="AW1365">
        <v>0</v>
      </c>
      <c r="AY1365">
        <v>0</v>
      </c>
      <c r="AZ1365">
        <v>0</v>
      </c>
      <c r="BA1365">
        <v>70</v>
      </c>
      <c r="BE1365" t="str">
        <f>T("9791164097173")</f>
        <v>9791164097173</v>
      </c>
      <c r="BF1365" t="str">
        <f>T("N169478")</f>
        <v>N169478</v>
      </c>
      <c r="BG1365" t="str">
        <f>T("로판 웹소설 &gt; 서양풍 로판")</f>
        <v>로판 웹소설 &gt; 서양풍 로판</v>
      </c>
    </row>
    <row r="1366" spans="1:59">
      <c r="A1366" t="s">
        <v>60</v>
      </c>
      <c r="B1366" s="1">
        <v>46131</v>
      </c>
      <c r="C1366">
        <v>2378036275</v>
      </c>
      <c r="D1366">
        <v>2378039084</v>
      </c>
      <c r="E1366" t="str">
        <f>T("구원자가 도망친 밤 124화")</f>
        <v>구원자가 도망친 밤 124화</v>
      </c>
      <c r="F1366">
        <v>124</v>
      </c>
      <c r="G1366" t="str">
        <f>T("얼든트")</f>
        <v>얼든트</v>
      </c>
      <c r="J1366" t="str">
        <f>T("시계토끼")</f>
        <v>시계토끼</v>
      </c>
      <c r="K1366" t="str">
        <f>T("구원자가 도망친 밤")</f>
        <v>구원자가 도망친 밤</v>
      </c>
      <c r="L1366">
        <v>100</v>
      </c>
      <c r="M1366">
        <v>100</v>
      </c>
      <c r="N1366">
        <v>1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100</v>
      </c>
      <c r="AJ1366">
        <v>1</v>
      </c>
      <c r="AK1366">
        <v>0</v>
      </c>
      <c r="AL1366">
        <v>0</v>
      </c>
      <c r="AM1366">
        <v>100</v>
      </c>
      <c r="AN1366">
        <v>0</v>
      </c>
      <c r="AO1366">
        <v>0</v>
      </c>
      <c r="AP1366">
        <v>0</v>
      </c>
      <c r="AQ1366">
        <v>0</v>
      </c>
      <c r="AS1366">
        <v>0</v>
      </c>
      <c r="AT1366">
        <v>0</v>
      </c>
      <c r="AV1366">
        <v>0</v>
      </c>
      <c r="AW1366">
        <v>0</v>
      </c>
      <c r="AY1366">
        <v>0</v>
      </c>
      <c r="AZ1366">
        <v>0</v>
      </c>
      <c r="BA1366">
        <v>70</v>
      </c>
      <c r="BE1366" t="str">
        <f>T("9791164097173")</f>
        <v>9791164097173</v>
      </c>
      <c r="BF1366" t="str">
        <f>T("N169479")</f>
        <v>N169479</v>
      </c>
      <c r="BG1366" t="str">
        <f>T("로판 웹소설 &gt; 서양풍 로판")</f>
        <v>로판 웹소설 &gt; 서양풍 로판</v>
      </c>
    </row>
    <row r="1367" spans="1:59">
      <c r="A1367" t="s">
        <v>60</v>
      </c>
      <c r="B1367" s="1">
        <v>46131</v>
      </c>
      <c r="C1367">
        <v>2378036275</v>
      </c>
      <c r="D1367">
        <v>2378039099</v>
      </c>
      <c r="E1367" t="str">
        <f>T("구원자가 도망친 밤 125화")</f>
        <v>구원자가 도망친 밤 125화</v>
      </c>
      <c r="F1367">
        <v>125</v>
      </c>
      <c r="G1367" t="str">
        <f>T("얼든트")</f>
        <v>얼든트</v>
      </c>
      <c r="J1367" t="str">
        <f>T("시계토끼")</f>
        <v>시계토끼</v>
      </c>
      <c r="K1367" t="str">
        <f>T("구원자가 도망친 밤")</f>
        <v>구원자가 도망친 밤</v>
      </c>
      <c r="L1367">
        <v>100</v>
      </c>
      <c r="M1367">
        <v>100</v>
      </c>
      <c r="N1367">
        <v>1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100</v>
      </c>
      <c r="AJ1367">
        <v>1</v>
      </c>
      <c r="AK1367">
        <v>0</v>
      </c>
      <c r="AL1367">
        <v>0</v>
      </c>
      <c r="AM1367">
        <v>100</v>
      </c>
      <c r="AN1367">
        <v>0</v>
      </c>
      <c r="AO1367">
        <v>0</v>
      </c>
      <c r="AP1367">
        <v>0</v>
      </c>
      <c r="AQ1367">
        <v>0</v>
      </c>
      <c r="AS1367">
        <v>0</v>
      </c>
      <c r="AT1367">
        <v>0</v>
      </c>
      <c r="AV1367">
        <v>0</v>
      </c>
      <c r="AW1367">
        <v>0</v>
      </c>
      <c r="AY1367">
        <v>0</v>
      </c>
      <c r="AZ1367">
        <v>0</v>
      </c>
      <c r="BA1367">
        <v>70</v>
      </c>
      <c r="BE1367" t="str">
        <f>T("9791164097173")</f>
        <v>9791164097173</v>
      </c>
      <c r="BF1367" t="str">
        <f>T("N169480")</f>
        <v>N169480</v>
      </c>
      <c r="BG1367" t="str">
        <f>T("로판 웹소설 &gt; 서양풍 로판")</f>
        <v>로판 웹소설 &gt; 서양풍 로판</v>
      </c>
    </row>
    <row r="1368" spans="1:59">
      <c r="A1368" t="s">
        <v>60</v>
      </c>
      <c r="B1368" s="1">
        <v>46131</v>
      </c>
      <c r="C1368">
        <v>2378036275</v>
      </c>
      <c r="D1368">
        <v>2378039131</v>
      </c>
      <c r="E1368" t="str">
        <f>T("구원자가 도망친 밤 126화")</f>
        <v>구원자가 도망친 밤 126화</v>
      </c>
      <c r="F1368">
        <v>126</v>
      </c>
      <c r="G1368" t="str">
        <f>T("얼든트")</f>
        <v>얼든트</v>
      </c>
      <c r="J1368" t="str">
        <f>T("시계토끼")</f>
        <v>시계토끼</v>
      </c>
      <c r="K1368" t="str">
        <f>T("구원자가 도망친 밤")</f>
        <v>구원자가 도망친 밤</v>
      </c>
      <c r="L1368">
        <v>100</v>
      </c>
      <c r="M1368">
        <v>100</v>
      </c>
      <c r="N1368">
        <v>1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100</v>
      </c>
      <c r="AJ1368">
        <v>1</v>
      </c>
      <c r="AK1368">
        <v>0</v>
      </c>
      <c r="AL1368">
        <v>0</v>
      </c>
      <c r="AM1368">
        <v>100</v>
      </c>
      <c r="AN1368">
        <v>0</v>
      </c>
      <c r="AO1368">
        <v>0</v>
      </c>
      <c r="AP1368">
        <v>0</v>
      </c>
      <c r="AQ1368">
        <v>0</v>
      </c>
      <c r="AS1368">
        <v>0</v>
      </c>
      <c r="AT1368">
        <v>0</v>
      </c>
      <c r="AV1368">
        <v>0</v>
      </c>
      <c r="AW1368">
        <v>0</v>
      </c>
      <c r="AY1368">
        <v>0</v>
      </c>
      <c r="AZ1368">
        <v>0</v>
      </c>
      <c r="BA1368">
        <v>70</v>
      </c>
      <c r="BE1368" t="str">
        <f>T("9791164097173")</f>
        <v>9791164097173</v>
      </c>
      <c r="BF1368" t="str">
        <f>T("N179510")</f>
        <v>N179510</v>
      </c>
      <c r="BG1368" t="str">
        <f>T("로판 웹소설 &gt; 서양풍 로판")</f>
        <v>로판 웹소설 &gt; 서양풍 로판</v>
      </c>
    </row>
    <row r="1369" spans="1:59">
      <c r="A1369" t="s">
        <v>60</v>
      </c>
      <c r="B1369" s="1">
        <v>46131</v>
      </c>
      <c r="C1369">
        <v>2378036275</v>
      </c>
      <c r="D1369">
        <v>2378039154</v>
      </c>
      <c r="E1369" t="str">
        <f>T("구원자가 도망친 밤 127화")</f>
        <v>구원자가 도망친 밤 127화</v>
      </c>
      <c r="F1369">
        <v>127</v>
      </c>
      <c r="G1369" t="str">
        <f>T("얼든트")</f>
        <v>얼든트</v>
      </c>
      <c r="J1369" t="str">
        <f>T("시계토끼")</f>
        <v>시계토끼</v>
      </c>
      <c r="K1369" t="str">
        <f>T("구원자가 도망친 밤")</f>
        <v>구원자가 도망친 밤</v>
      </c>
      <c r="L1369">
        <v>100</v>
      </c>
      <c r="M1369">
        <v>100</v>
      </c>
      <c r="N1369">
        <v>1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100</v>
      </c>
      <c r="AJ1369">
        <v>1</v>
      </c>
      <c r="AK1369">
        <v>0</v>
      </c>
      <c r="AL1369">
        <v>0</v>
      </c>
      <c r="AM1369">
        <v>100</v>
      </c>
      <c r="AN1369">
        <v>0</v>
      </c>
      <c r="AO1369">
        <v>0</v>
      </c>
      <c r="AP1369">
        <v>0</v>
      </c>
      <c r="AQ1369">
        <v>0</v>
      </c>
      <c r="AS1369">
        <v>0</v>
      </c>
      <c r="AT1369">
        <v>0</v>
      </c>
      <c r="AV1369">
        <v>0</v>
      </c>
      <c r="AW1369">
        <v>0</v>
      </c>
      <c r="AY1369">
        <v>0</v>
      </c>
      <c r="AZ1369">
        <v>0</v>
      </c>
      <c r="BA1369">
        <v>70</v>
      </c>
      <c r="BE1369" t="str">
        <f>T("9791164097173")</f>
        <v>9791164097173</v>
      </c>
      <c r="BF1369" t="str">
        <f>T("N179511")</f>
        <v>N179511</v>
      </c>
      <c r="BG1369" t="str">
        <f>T("로판 웹소설 &gt; 서양풍 로판")</f>
        <v>로판 웹소설 &gt; 서양풍 로판</v>
      </c>
    </row>
    <row r="1370" spans="1:59">
      <c r="A1370" t="s">
        <v>60</v>
      </c>
      <c r="B1370" s="1">
        <v>46131</v>
      </c>
      <c r="C1370">
        <v>2378036275</v>
      </c>
      <c r="D1370">
        <v>2378039179</v>
      </c>
      <c r="E1370" t="str">
        <f>T("구원자가 도망친 밤 128화")</f>
        <v>구원자가 도망친 밤 128화</v>
      </c>
      <c r="F1370">
        <v>128</v>
      </c>
      <c r="G1370" t="str">
        <f>T("얼든트")</f>
        <v>얼든트</v>
      </c>
      <c r="J1370" t="str">
        <f>T("시계토끼")</f>
        <v>시계토끼</v>
      </c>
      <c r="K1370" t="str">
        <f>T("구원자가 도망친 밤")</f>
        <v>구원자가 도망친 밤</v>
      </c>
      <c r="L1370">
        <v>100</v>
      </c>
      <c r="M1370">
        <v>100</v>
      </c>
      <c r="N1370">
        <v>1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100</v>
      </c>
      <c r="AJ1370">
        <v>1</v>
      </c>
      <c r="AK1370">
        <v>0</v>
      </c>
      <c r="AL1370">
        <v>0</v>
      </c>
      <c r="AM1370">
        <v>100</v>
      </c>
      <c r="AN1370">
        <v>0</v>
      </c>
      <c r="AO1370">
        <v>0</v>
      </c>
      <c r="AP1370">
        <v>0</v>
      </c>
      <c r="AQ1370">
        <v>0</v>
      </c>
      <c r="AS1370">
        <v>0</v>
      </c>
      <c r="AT1370">
        <v>0</v>
      </c>
      <c r="AV1370">
        <v>0</v>
      </c>
      <c r="AW1370">
        <v>0</v>
      </c>
      <c r="AY1370">
        <v>0</v>
      </c>
      <c r="AZ1370">
        <v>0</v>
      </c>
      <c r="BA1370">
        <v>70</v>
      </c>
      <c r="BE1370" t="str">
        <f>T("9791164097173")</f>
        <v>9791164097173</v>
      </c>
      <c r="BF1370" t="str">
        <f>T("N179512")</f>
        <v>N179512</v>
      </c>
      <c r="BG1370" t="str">
        <f>T("로판 웹소설 &gt; 서양풍 로판")</f>
        <v>로판 웹소설 &gt; 서양풍 로판</v>
      </c>
    </row>
    <row r="1371" spans="1:59">
      <c r="A1371" t="s">
        <v>60</v>
      </c>
      <c r="B1371" s="1">
        <v>46131</v>
      </c>
      <c r="C1371">
        <v>2378036275</v>
      </c>
      <c r="D1371">
        <v>2378039195</v>
      </c>
      <c r="E1371" t="str">
        <f>T("구원자가 도망친 밤 130화")</f>
        <v>구원자가 도망친 밤 130화</v>
      </c>
      <c r="F1371">
        <v>130</v>
      </c>
      <c r="G1371" t="str">
        <f>T("얼든트")</f>
        <v>얼든트</v>
      </c>
      <c r="J1371" t="str">
        <f>T("시계토끼")</f>
        <v>시계토끼</v>
      </c>
      <c r="K1371" t="str">
        <f>T("구원자가 도망친 밤")</f>
        <v>구원자가 도망친 밤</v>
      </c>
      <c r="L1371">
        <v>100</v>
      </c>
      <c r="M1371">
        <v>100</v>
      </c>
      <c r="N1371">
        <v>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100</v>
      </c>
      <c r="AJ1371">
        <v>1</v>
      </c>
      <c r="AK1371">
        <v>0</v>
      </c>
      <c r="AL1371">
        <v>0</v>
      </c>
      <c r="AM1371">
        <v>100</v>
      </c>
      <c r="AN1371">
        <v>0</v>
      </c>
      <c r="AO1371">
        <v>0</v>
      </c>
      <c r="AP1371">
        <v>0</v>
      </c>
      <c r="AQ1371">
        <v>0</v>
      </c>
      <c r="AS1371">
        <v>0</v>
      </c>
      <c r="AT1371">
        <v>0</v>
      </c>
      <c r="AV1371">
        <v>0</v>
      </c>
      <c r="AW1371">
        <v>0</v>
      </c>
      <c r="AY1371">
        <v>0</v>
      </c>
      <c r="AZ1371">
        <v>0</v>
      </c>
      <c r="BA1371">
        <v>70</v>
      </c>
      <c r="BE1371" t="str">
        <f>T("9791164097173")</f>
        <v>9791164097173</v>
      </c>
      <c r="BF1371" t="str">
        <f>T("N179514")</f>
        <v>N179514</v>
      </c>
      <c r="BG1371" t="str">
        <f>T("로판 웹소설 &gt; 서양풍 로판")</f>
        <v>로판 웹소설 &gt; 서양풍 로판</v>
      </c>
    </row>
    <row r="1372" spans="1:59">
      <c r="A1372" t="s">
        <v>60</v>
      </c>
      <c r="B1372" s="1">
        <v>46131</v>
      </c>
      <c r="C1372">
        <v>2378036275</v>
      </c>
      <c r="D1372">
        <v>2378040424</v>
      </c>
      <c r="E1372" t="str">
        <f>T("구원자가 도망친 밤 131화")</f>
        <v>구원자가 도망친 밤 131화</v>
      </c>
      <c r="F1372">
        <v>131</v>
      </c>
      <c r="G1372" t="str">
        <f>T("얼든트")</f>
        <v>얼든트</v>
      </c>
      <c r="J1372" t="str">
        <f>T("시계토끼")</f>
        <v>시계토끼</v>
      </c>
      <c r="K1372" t="str">
        <f>T("구원자가 도망친 밤")</f>
        <v>구원자가 도망친 밤</v>
      </c>
      <c r="L1372">
        <v>100</v>
      </c>
      <c r="M1372">
        <v>100</v>
      </c>
      <c r="N1372">
        <v>1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100</v>
      </c>
      <c r="AJ1372">
        <v>1</v>
      </c>
      <c r="AK1372">
        <v>0</v>
      </c>
      <c r="AL1372">
        <v>0</v>
      </c>
      <c r="AM1372">
        <v>100</v>
      </c>
      <c r="AN1372">
        <v>0</v>
      </c>
      <c r="AO1372">
        <v>0</v>
      </c>
      <c r="AP1372">
        <v>0</v>
      </c>
      <c r="AQ1372">
        <v>0</v>
      </c>
      <c r="AS1372">
        <v>0</v>
      </c>
      <c r="AT1372">
        <v>0</v>
      </c>
      <c r="AV1372">
        <v>0</v>
      </c>
      <c r="AW1372">
        <v>0</v>
      </c>
      <c r="AY1372">
        <v>0</v>
      </c>
      <c r="AZ1372">
        <v>0</v>
      </c>
      <c r="BA1372">
        <v>70</v>
      </c>
      <c r="BE1372" t="str">
        <f>T("9791164097173")</f>
        <v>9791164097173</v>
      </c>
      <c r="BF1372" t="str">
        <f>T("N182012")</f>
        <v>N182012</v>
      </c>
      <c r="BG1372" t="str">
        <f>T("로판 웹소설 &gt; 서양풍 로판")</f>
        <v>로판 웹소설 &gt; 서양풍 로판</v>
      </c>
    </row>
    <row r="1373" spans="1:59">
      <c r="A1373" t="s">
        <v>60</v>
      </c>
      <c r="B1373" s="1">
        <v>46131</v>
      </c>
      <c r="C1373">
        <v>2378036275</v>
      </c>
      <c r="D1373">
        <v>2378040449</v>
      </c>
      <c r="E1373" t="str">
        <f>T("구원자가 도망친 밤 132화")</f>
        <v>구원자가 도망친 밤 132화</v>
      </c>
      <c r="F1373">
        <v>132</v>
      </c>
      <c r="G1373" t="str">
        <f>T("얼든트")</f>
        <v>얼든트</v>
      </c>
      <c r="J1373" t="str">
        <f>T("시계토끼")</f>
        <v>시계토끼</v>
      </c>
      <c r="K1373" t="str">
        <f>T("구원자가 도망친 밤")</f>
        <v>구원자가 도망친 밤</v>
      </c>
      <c r="L1373">
        <v>100</v>
      </c>
      <c r="M1373">
        <v>100</v>
      </c>
      <c r="N1373">
        <v>1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100</v>
      </c>
      <c r="AJ1373">
        <v>1</v>
      </c>
      <c r="AK1373">
        <v>0</v>
      </c>
      <c r="AL1373">
        <v>0</v>
      </c>
      <c r="AM1373">
        <v>100</v>
      </c>
      <c r="AN1373">
        <v>0</v>
      </c>
      <c r="AO1373">
        <v>0</v>
      </c>
      <c r="AP1373">
        <v>0</v>
      </c>
      <c r="AQ1373">
        <v>0</v>
      </c>
      <c r="AS1373">
        <v>0</v>
      </c>
      <c r="AT1373">
        <v>0</v>
      </c>
      <c r="AV1373">
        <v>0</v>
      </c>
      <c r="AW1373">
        <v>0</v>
      </c>
      <c r="AY1373">
        <v>0</v>
      </c>
      <c r="AZ1373">
        <v>0</v>
      </c>
      <c r="BA1373">
        <v>70</v>
      </c>
      <c r="BE1373" t="str">
        <f>T("9791164097173")</f>
        <v>9791164097173</v>
      </c>
      <c r="BF1373" t="str">
        <f>T("N182013")</f>
        <v>N182013</v>
      </c>
      <c r="BG1373" t="str">
        <f>T("로판 웹소설 &gt; 서양풍 로판")</f>
        <v>로판 웹소설 &gt; 서양풍 로판</v>
      </c>
    </row>
    <row r="1374" spans="1:59">
      <c r="A1374" t="s">
        <v>60</v>
      </c>
      <c r="B1374" s="1">
        <v>46131</v>
      </c>
      <c r="C1374">
        <v>2378036275</v>
      </c>
      <c r="D1374">
        <v>2378040468</v>
      </c>
      <c r="E1374" t="str">
        <f>T("구원자가 도망친 밤 133화")</f>
        <v>구원자가 도망친 밤 133화</v>
      </c>
      <c r="F1374">
        <v>133</v>
      </c>
      <c r="G1374" t="str">
        <f>T("얼든트")</f>
        <v>얼든트</v>
      </c>
      <c r="J1374" t="str">
        <f>T("시계토끼")</f>
        <v>시계토끼</v>
      </c>
      <c r="K1374" t="str">
        <f>T("구원자가 도망친 밤")</f>
        <v>구원자가 도망친 밤</v>
      </c>
      <c r="L1374">
        <v>100</v>
      </c>
      <c r="M1374">
        <v>100</v>
      </c>
      <c r="N1374">
        <v>1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100</v>
      </c>
      <c r="AJ1374">
        <v>1</v>
      </c>
      <c r="AK1374">
        <v>0</v>
      </c>
      <c r="AL1374">
        <v>0</v>
      </c>
      <c r="AM1374">
        <v>100</v>
      </c>
      <c r="AN1374">
        <v>0</v>
      </c>
      <c r="AO1374">
        <v>0</v>
      </c>
      <c r="AP1374">
        <v>0</v>
      </c>
      <c r="AQ1374">
        <v>0</v>
      </c>
      <c r="AS1374">
        <v>0</v>
      </c>
      <c r="AT1374">
        <v>0</v>
      </c>
      <c r="AV1374">
        <v>0</v>
      </c>
      <c r="AW1374">
        <v>0</v>
      </c>
      <c r="AY1374">
        <v>0</v>
      </c>
      <c r="AZ1374">
        <v>0</v>
      </c>
      <c r="BA1374">
        <v>70</v>
      </c>
      <c r="BE1374" t="str">
        <f>T("9791164097173")</f>
        <v>9791164097173</v>
      </c>
      <c r="BF1374" t="str">
        <f>T("N182014")</f>
        <v>N182014</v>
      </c>
      <c r="BG1374" t="str">
        <f>T("로판 웹소설 &gt; 서양풍 로판")</f>
        <v>로판 웹소설 &gt; 서양풍 로판</v>
      </c>
    </row>
    <row r="1375" spans="1:59">
      <c r="A1375" t="s">
        <v>60</v>
      </c>
      <c r="B1375" s="1">
        <v>46131</v>
      </c>
      <c r="C1375">
        <v>2378036275</v>
      </c>
      <c r="D1375">
        <v>2378040478</v>
      </c>
      <c r="E1375" t="str">
        <f>T("구원자가 도망친 밤 134화")</f>
        <v>구원자가 도망친 밤 134화</v>
      </c>
      <c r="F1375">
        <v>134</v>
      </c>
      <c r="G1375" t="str">
        <f>T("얼든트")</f>
        <v>얼든트</v>
      </c>
      <c r="J1375" t="str">
        <f>T("시계토끼")</f>
        <v>시계토끼</v>
      </c>
      <c r="K1375" t="str">
        <f>T("구원자가 도망친 밤")</f>
        <v>구원자가 도망친 밤</v>
      </c>
      <c r="L1375">
        <v>100</v>
      </c>
      <c r="M1375">
        <v>100</v>
      </c>
      <c r="N1375">
        <v>1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100</v>
      </c>
      <c r="AJ1375">
        <v>1</v>
      </c>
      <c r="AK1375">
        <v>0</v>
      </c>
      <c r="AL1375">
        <v>0</v>
      </c>
      <c r="AM1375">
        <v>100</v>
      </c>
      <c r="AN1375">
        <v>0</v>
      </c>
      <c r="AO1375">
        <v>0</v>
      </c>
      <c r="AP1375">
        <v>0</v>
      </c>
      <c r="AQ1375">
        <v>0</v>
      </c>
      <c r="AS1375">
        <v>0</v>
      </c>
      <c r="AT1375">
        <v>0</v>
      </c>
      <c r="AV1375">
        <v>0</v>
      </c>
      <c r="AW1375">
        <v>0</v>
      </c>
      <c r="AY1375">
        <v>0</v>
      </c>
      <c r="AZ1375">
        <v>0</v>
      </c>
      <c r="BA1375">
        <v>70</v>
      </c>
      <c r="BE1375" t="str">
        <f>T("9791164097173")</f>
        <v>9791164097173</v>
      </c>
      <c r="BF1375" t="str">
        <f>T("N182015")</f>
        <v>N182015</v>
      </c>
      <c r="BG1375" t="str">
        <f>T("로판 웹소설 &gt; 서양풍 로판")</f>
        <v>로판 웹소설 &gt; 서양풍 로판</v>
      </c>
    </row>
    <row r="1376" spans="1:59">
      <c r="A1376" t="s">
        <v>60</v>
      </c>
      <c r="B1376" s="1">
        <v>46131</v>
      </c>
      <c r="C1376">
        <v>2378036275</v>
      </c>
      <c r="D1376">
        <v>2378040479</v>
      </c>
      <c r="E1376" t="str">
        <f>T("구원자가 도망친 밤 135화")</f>
        <v>구원자가 도망친 밤 135화</v>
      </c>
      <c r="F1376">
        <v>135</v>
      </c>
      <c r="G1376" t="str">
        <f>T("얼든트")</f>
        <v>얼든트</v>
      </c>
      <c r="J1376" t="str">
        <f>T("시계토끼")</f>
        <v>시계토끼</v>
      </c>
      <c r="K1376" t="str">
        <f>T("구원자가 도망친 밤")</f>
        <v>구원자가 도망친 밤</v>
      </c>
      <c r="L1376">
        <v>100</v>
      </c>
      <c r="M1376">
        <v>100</v>
      </c>
      <c r="N1376">
        <v>1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100</v>
      </c>
      <c r="AJ1376">
        <v>1</v>
      </c>
      <c r="AK1376">
        <v>0</v>
      </c>
      <c r="AL1376">
        <v>0</v>
      </c>
      <c r="AM1376">
        <v>100</v>
      </c>
      <c r="AN1376">
        <v>0</v>
      </c>
      <c r="AO1376">
        <v>0</v>
      </c>
      <c r="AP1376">
        <v>0</v>
      </c>
      <c r="AQ1376">
        <v>0</v>
      </c>
      <c r="AS1376">
        <v>0</v>
      </c>
      <c r="AT1376">
        <v>0</v>
      </c>
      <c r="AV1376">
        <v>0</v>
      </c>
      <c r="AW1376">
        <v>0</v>
      </c>
      <c r="AY1376">
        <v>0</v>
      </c>
      <c r="AZ1376">
        <v>0</v>
      </c>
      <c r="BA1376">
        <v>70</v>
      </c>
      <c r="BE1376" t="str">
        <f>T("9791164097173")</f>
        <v>9791164097173</v>
      </c>
      <c r="BF1376" t="str">
        <f>T("N182016")</f>
        <v>N182016</v>
      </c>
      <c r="BG1376" t="str">
        <f>T("로판 웹소설 &gt; 서양풍 로판")</f>
        <v>로판 웹소설 &gt; 서양풍 로판</v>
      </c>
    </row>
    <row r="1377" spans="1:59">
      <c r="A1377" t="s">
        <v>60</v>
      </c>
      <c r="B1377" s="1">
        <v>46131</v>
      </c>
      <c r="C1377">
        <v>2378036275</v>
      </c>
      <c r="D1377">
        <v>2378040480</v>
      </c>
      <c r="E1377" t="str">
        <f>T("구원자가 도망친 밤 136화")</f>
        <v>구원자가 도망친 밤 136화</v>
      </c>
      <c r="F1377">
        <v>136</v>
      </c>
      <c r="G1377" t="str">
        <f>T("얼든트")</f>
        <v>얼든트</v>
      </c>
      <c r="J1377" t="str">
        <f>T("시계토끼")</f>
        <v>시계토끼</v>
      </c>
      <c r="K1377" t="str">
        <f>T("구원자가 도망친 밤")</f>
        <v>구원자가 도망친 밤</v>
      </c>
      <c r="L1377">
        <v>100</v>
      </c>
      <c r="M1377">
        <v>100</v>
      </c>
      <c r="N1377">
        <v>1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100</v>
      </c>
      <c r="AJ1377">
        <v>1</v>
      </c>
      <c r="AK1377">
        <v>0</v>
      </c>
      <c r="AL1377">
        <v>0</v>
      </c>
      <c r="AM1377">
        <v>100</v>
      </c>
      <c r="AN1377">
        <v>0</v>
      </c>
      <c r="AO1377">
        <v>0</v>
      </c>
      <c r="AP1377">
        <v>0</v>
      </c>
      <c r="AQ1377">
        <v>0</v>
      </c>
      <c r="AS1377">
        <v>0</v>
      </c>
      <c r="AT1377">
        <v>0</v>
      </c>
      <c r="AV1377">
        <v>0</v>
      </c>
      <c r="AW1377">
        <v>0</v>
      </c>
      <c r="AY1377">
        <v>0</v>
      </c>
      <c r="AZ1377">
        <v>0</v>
      </c>
      <c r="BA1377">
        <v>70</v>
      </c>
      <c r="BE1377" t="str">
        <f>T("9791164097173")</f>
        <v>9791164097173</v>
      </c>
      <c r="BF1377" t="str">
        <f>T("N182017")</f>
        <v>N182017</v>
      </c>
      <c r="BG1377" t="str">
        <f>T("로판 웹소설 &gt; 서양풍 로판")</f>
        <v>로판 웹소설 &gt; 서양풍 로판</v>
      </c>
    </row>
    <row r="1378" spans="1:59">
      <c r="A1378" t="s">
        <v>60</v>
      </c>
      <c r="B1378" s="1">
        <v>46131</v>
      </c>
      <c r="C1378">
        <v>2378036275</v>
      </c>
      <c r="D1378">
        <v>2378040539</v>
      </c>
      <c r="E1378" t="str">
        <f>T("구원자가 도망친 밤 138화")</f>
        <v>구원자가 도망친 밤 138화</v>
      </c>
      <c r="F1378">
        <v>138</v>
      </c>
      <c r="G1378" t="str">
        <f>T("얼든트")</f>
        <v>얼든트</v>
      </c>
      <c r="J1378" t="str">
        <f>T("시계토끼")</f>
        <v>시계토끼</v>
      </c>
      <c r="K1378" t="str">
        <f>T("구원자가 도망친 밤")</f>
        <v>구원자가 도망친 밤</v>
      </c>
      <c r="L1378">
        <v>100</v>
      </c>
      <c r="M1378">
        <v>100</v>
      </c>
      <c r="N1378">
        <v>1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100</v>
      </c>
      <c r="AJ1378">
        <v>1</v>
      </c>
      <c r="AK1378">
        <v>0</v>
      </c>
      <c r="AL1378">
        <v>0</v>
      </c>
      <c r="AM1378">
        <v>100</v>
      </c>
      <c r="AN1378">
        <v>0</v>
      </c>
      <c r="AO1378">
        <v>0</v>
      </c>
      <c r="AP1378">
        <v>0</v>
      </c>
      <c r="AQ1378">
        <v>0</v>
      </c>
      <c r="AS1378">
        <v>0</v>
      </c>
      <c r="AT1378">
        <v>0</v>
      </c>
      <c r="AV1378">
        <v>0</v>
      </c>
      <c r="AW1378">
        <v>0</v>
      </c>
      <c r="AY1378">
        <v>0</v>
      </c>
      <c r="AZ1378">
        <v>0</v>
      </c>
      <c r="BA1378">
        <v>70</v>
      </c>
      <c r="BE1378" t="str">
        <f>T("9791164097173")</f>
        <v>9791164097173</v>
      </c>
      <c r="BF1378" t="str">
        <f>T("N182019")</f>
        <v>N182019</v>
      </c>
      <c r="BG1378" t="str">
        <f>T("로판 웹소설 &gt; 서양풍 로판")</f>
        <v>로판 웹소설 &gt; 서양풍 로판</v>
      </c>
    </row>
    <row r="1379" spans="1:59">
      <c r="A1379" t="s">
        <v>60</v>
      </c>
      <c r="B1379" s="1">
        <v>46131</v>
      </c>
      <c r="C1379">
        <v>2378036275</v>
      </c>
      <c r="D1379">
        <v>2378040547</v>
      </c>
      <c r="E1379" t="str">
        <f>T("구원자가 도망친 밤 139화")</f>
        <v>구원자가 도망친 밤 139화</v>
      </c>
      <c r="F1379">
        <v>139</v>
      </c>
      <c r="G1379" t="str">
        <f>T("얼든트")</f>
        <v>얼든트</v>
      </c>
      <c r="J1379" t="str">
        <f>T("시계토끼")</f>
        <v>시계토끼</v>
      </c>
      <c r="K1379" t="str">
        <f>T("구원자가 도망친 밤")</f>
        <v>구원자가 도망친 밤</v>
      </c>
      <c r="L1379">
        <v>100</v>
      </c>
      <c r="M1379">
        <v>100</v>
      </c>
      <c r="N1379">
        <v>1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100</v>
      </c>
      <c r="AJ1379">
        <v>1</v>
      </c>
      <c r="AK1379">
        <v>0</v>
      </c>
      <c r="AL1379">
        <v>0</v>
      </c>
      <c r="AM1379">
        <v>100</v>
      </c>
      <c r="AN1379">
        <v>0</v>
      </c>
      <c r="AO1379">
        <v>0</v>
      </c>
      <c r="AP1379">
        <v>0</v>
      </c>
      <c r="AQ1379">
        <v>0</v>
      </c>
      <c r="AS1379">
        <v>0</v>
      </c>
      <c r="AT1379">
        <v>0</v>
      </c>
      <c r="AV1379">
        <v>0</v>
      </c>
      <c r="AW1379">
        <v>0</v>
      </c>
      <c r="AY1379">
        <v>0</v>
      </c>
      <c r="AZ1379">
        <v>0</v>
      </c>
      <c r="BA1379">
        <v>70</v>
      </c>
      <c r="BE1379" t="str">
        <f>T("9791164097173")</f>
        <v>9791164097173</v>
      </c>
      <c r="BF1379" t="str">
        <f>T("N182020")</f>
        <v>N182020</v>
      </c>
      <c r="BG1379" t="str">
        <f>T("로판 웹소설 &gt; 서양풍 로판")</f>
        <v>로판 웹소설 &gt; 서양풍 로판</v>
      </c>
    </row>
    <row r="1380" spans="1:59">
      <c r="A1380" t="s">
        <v>60</v>
      </c>
      <c r="B1380" s="1">
        <v>46131</v>
      </c>
      <c r="C1380">
        <v>2378036275</v>
      </c>
      <c r="D1380">
        <v>2378040555</v>
      </c>
      <c r="E1380" t="str">
        <f>T("구원자가 도망친 밤 140화")</f>
        <v>구원자가 도망친 밤 140화</v>
      </c>
      <c r="F1380">
        <v>140</v>
      </c>
      <c r="G1380" t="str">
        <f>T("얼든트")</f>
        <v>얼든트</v>
      </c>
      <c r="J1380" t="str">
        <f>T("시계토끼")</f>
        <v>시계토끼</v>
      </c>
      <c r="K1380" t="str">
        <f>T("구원자가 도망친 밤")</f>
        <v>구원자가 도망친 밤</v>
      </c>
      <c r="L1380">
        <v>100</v>
      </c>
      <c r="M1380">
        <v>100</v>
      </c>
      <c r="N1380">
        <v>1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100</v>
      </c>
      <c r="AJ1380">
        <v>1</v>
      </c>
      <c r="AK1380">
        <v>0</v>
      </c>
      <c r="AL1380">
        <v>0</v>
      </c>
      <c r="AM1380">
        <v>100</v>
      </c>
      <c r="AN1380">
        <v>0</v>
      </c>
      <c r="AO1380">
        <v>0</v>
      </c>
      <c r="AP1380">
        <v>0</v>
      </c>
      <c r="AQ1380">
        <v>0</v>
      </c>
      <c r="AS1380">
        <v>0</v>
      </c>
      <c r="AT1380">
        <v>0</v>
      </c>
      <c r="AV1380">
        <v>0</v>
      </c>
      <c r="AW1380">
        <v>0</v>
      </c>
      <c r="AY1380">
        <v>0</v>
      </c>
      <c r="AZ1380">
        <v>0</v>
      </c>
      <c r="BA1380">
        <v>70</v>
      </c>
      <c r="BE1380" t="str">
        <f>T("9791164097173")</f>
        <v>9791164097173</v>
      </c>
      <c r="BF1380" t="str">
        <f>T("N182021")</f>
        <v>N182021</v>
      </c>
      <c r="BG1380" t="str">
        <f>T("로판 웹소설 &gt; 서양풍 로판")</f>
        <v>로판 웹소설 &gt; 서양풍 로판</v>
      </c>
    </row>
    <row r="1381" spans="1:59">
      <c r="A1381" t="s">
        <v>60</v>
      </c>
      <c r="B1381" s="1">
        <v>46131</v>
      </c>
      <c r="C1381">
        <v>2378036275</v>
      </c>
      <c r="D1381">
        <v>2378041081</v>
      </c>
      <c r="E1381" t="str">
        <f>T("구원자가 도망친 밤 141화")</f>
        <v>구원자가 도망친 밤 141화</v>
      </c>
      <c r="F1381">
        <v>141</v>
      </c>
      <c r="G1381" t="str">
        <f>T("얼든트")</f>
        <v>얼든트</v>
      </c>
      <c r="J1381" t="str">
        <f>T("시계토끼")</f>
        <v>시계토끼</v>
      </c>
      <c r="K1381" t="str">
        <f>T("구원자가 도망친 밤")</f>
        <v>구원자가 도망친 밤</v>
      </c>
      <c r="L1381">
        <v>100</v>
      </c>
      <c r="M1381">
        <v>100</v>
      </c>
      <c r="N1381">
        <v>1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100</v>
      </c>
      <c r="AJ1381">
        <v>1</v>
      </c>
      <c r="AK1381">
        <v>0</v>
      </c>
      <c r="AL1381">
        <v>0</v>
      </c>
      <c r="AM1381">
        <v>100</v>
      </c>
      <c r="AN1381">
        <v>0</v>
      </c>
      <c r="AO1381">
        <v>0</v>
      </c>
      <c r="AP1381">
        <v>0</v>
      </c>
      <c r="AQ1381">
        <v>0</v>
      </c>
      <c r="AS1381">
        <v>0</v>
      </c>
      <c r="AT1381">
        <v>0</v>
      </c>
      <c r="AV1381">
        <v>0</v>
      </c>
      <c r="AW1381">
        <v>0</v>
      </c>
      <c r="AY1381">
        <v>0</v>
      </c>
      <c r="AZ1381">
        <v>0</v>
      </c>
      <c r="BA1381">
        <v>70</v>
      </c>
      <c r="BE1381" t="str">
        <f>T("9791164097173")</f>
        <v>9791164097173</v>
      </c>
      <c r="BF1381" t="str">
        <f>T("N191686")</f>
        <v>N191686</v>
      </c>
      <c r="BG1381" t="str">
        <f>T("로판 웹소설 &gt; 서양풍 로판")</f>
        <v>로판 웹소설 &gt; 서양풍 로판</v>
      </c>
    </row>
    <row r="1382" spans="1:59">
      <c r="A1382" t="s">
        <v>60</v>
      </c>
      <c r="B1382" s="1">
        <v>46131</v>
      </c>
      <c r="C1382">
        <v>2378036275</v>
      </c>
      <c r="D1382">
        <v>2378041099</v>
      </c>
      <c r="E1382" t="str">
        <f>T("구원자가 도망친 밤 142화")</f>
        <v>구원자가 도망친 밤 142화</v>
      </c>
      <c r="F1382">
        <v>142</v>
      </c>
      <c r="G1382" t="str">
        <f>T("얼든트")</f>
        <v>얼든트</v>
      </c>
      <c r="J1382" t="str">
        <f>T("시계토끼")</f>
        <v>시계토끼</v>
      </c>
      <c r="K1382" t="str">
        <f>T("구원자가 도망친 밤")</f>
        <v>구원자가 도망친 밤</v>
      </c>
      <c r="L1382">
        <v>100</v>
      </c>
      <c r="M1382">
        <v>100</v>
      </c>
      <c r="N1382">
        <v>1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100</v>
      </c>
      <c r="AJ1382">
        <v>1</v>
      </c>
      <c r="AK1382">
        <v>0</v>
      </c>
      <c r="AL1382">
        <v>0</v>
      </c>
      <c r="AM1382">
        <v>100</v>
      </c>
      <c r="AN1382">
        <v>0</v>
      </c>
      <c r="AO1382">
        <v>0</v>
      </c>
      <c r="AP1382">
        <v>0</v>
      </c>
      <c r="AQ1382">
        <v>0</v>
      </c>
      <c r="AS1382">
        <v>0</v>
      </c>
      <c r="AT1382">
        <v>0</v>
      </c>
      <c r="AV1382">
        <v>0</v>
      </c>
      <c r="AW1382">
        <v>0</v>
      </c>
      <c r="AY1382">
        <v>0</v>
      </c>
      <c r="AZ1382">
        <v>0</v>
      </c>
      <c r="BA1382">
        <v>70</v>
      </c>
      <c r="BE1382" t="str">
        <f>T("9791164097173")</f>
        <v>9791164097173</v>
      </c>
      <c r="BF1382" t="str">
        <f>T("N191687")</f>
        <v>N191687</v>
      </c>
      <c r="BG1382" t="str">
        <f>T("로판 웹소설 &gt; 서양풍 로판")</f>
        <v>로판 웹소설 &gt; 서양풍 로판</v>
      </c>
    </row>
    <row r="1383" spans="1:59">
      <c r="A1383" t="s">
        <v>60</v>
      </c>
      <c r="B1383" s="1">
        <v>46131</v>
      </c>
      <c r="C1383">
        <v>2378036275</v>
      </c>
      <c r="D1383">
        <v>2378041107</v>
      </c>
      <c r="E1383" t="str">
        <f>T("구원자가 도망친 밤 143화")</f>
        <v>구원자가 도망친 밤 143화</v>
      </c>
      <c r="F1383">
        <v>143</v>
      </c>
      <c r="G1383" t="str">
        <f>T("얼든트")</f>
        <v>얼든트</v>
      </c>
      <c r="J1383" t="str">
        <f>T("시계토끼")</f>
        <v>시계토끼</v>
      </c>
      <c r="K1383" t="str">
        <f>T("구원자가 도망친 밤")</f>
        <v>구원자가 도망친 밤</v>
      </c>
      <c r="L1383">
        <v>100</v>
      </c>
      <c r="M1383">
        <v>100</v>
      </c>
      <c r="N1383">
        <v>1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100</v>
      </c>
      <c r="AJ1383">
        <v>1</v>
      </c>
      <c r="AK1383">
        <v>0</v>
      </c>
      <c r="AL1383">
        <v>0</v>
      </c>
      <c r="AM1383">
        <v>100</v>
      </c>
      <c r="AN1383">
        <v>0</v>
      </c>
      <c r="AO1383">
        <v>0</v>
      </c>
      <c r="AP1383">
        <v>0</v>
      </c>
      <c r="AQ1383">
        <v>0</v>
      </c>
      <c r="AS1383">
        <v>0</v>
      </c>
      <c r="AT1383">
        <v>0</v>
      </c>
      <c r="AV1383">
        <v>0</v>
      </c>
      <c r="AW1383">
        <v>0</v>
      </c>
      <c r="AY1383">
        <v>0</v>
      </c>
      <c r="AZ1383">
        <v>0</v>
      </c>
      <c r="BA1383">
        <v>70</v>
      </c>
      <c r="BE1383" t="str">
        <f>T("9791164097173")</f>
        <v>9791164097173</v>
      </c>
      <c r="BF1383" t="str">
        <f>T("N191688")</f>
        <v>N191688</v>
      </c>
      <c r="BG1383" t="str">
        <f>T("로판 웹소설 &gt; 서양풍 로판")</f>
        <v>로판 웹소설 &gt; 서양풍 로판</v>
      </c>
    </row>
    <row r="1384" spans="1:59">
      <c r="A1384" t="s">
        <v>60</v>
      </c>
      <c r="B1384" s="1">
        <v>46131</v>
      </c>
      <c r="C1384">
        <v>2378036275</v>
      </c>
      <c r="D1384">
        <v>2378041117</v>
      </c>
      <c r="E1384" t="str">
        <f>T("구원자가 도망친 밤 144화")</f>
        <v>구원자가 도망친 밤 144화</v>
      </c>
      <c r="F1384">
        <v>144</v>
      </c>
      <c r="G1384" t="str">
        <f>T("얼든트")</f>
        <v>얼든트</v>
      </c>
      <c r="J1384" t="str">
        <f>T("시계토끼")</f>
        <v>시계토끼</v>
      </c>
      <c r="K1384" t="str">
        <f>T("구원자가 도망친 밤")</f>
        <v>구원자가 도망친 밤</v>
      </c>
      <c r="L1384">
        <v>100</v>
      </c>
      <c r="M1384">
        <v>100</v>
      </c>
      <c r="N1384">
        <v>1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100</v>
      </c>
      <c r="AJ1384">
        <v>1</v>
      </c>
      <c r="AK1384">
        <v>0</v>
      </c>
      <c r="AL1384">
        <v>0</v>
      </c>
      <c r="AM1384">
        <v>100</v>
      </c>
      <c r="AN1384">
        <v>0</v>
      </c>
      <c r="AO1384">
        <v>0</v>
      </c>
      <c r="AP1384">
        <v>0</v>
      </c>
      <c r="AQ1384">
        <v>0</v>
      </c>
      <c r="AS1384">
        <v>0</v>
      </c>
      <c r="AT1384">
        <v>0</v>
      </c>
      <c r="AV1384">
        <v>0</v>
      </c>
      <c r="AW1384">
        <v>0</v>
      </c>
      <c r="AY1384">
        <v>0</v>
      </c>
      <c r="AZ1384">
        <v>0</v>
      </c>
      <c r="BA1384">
        <v>70</v>
      </c>
      <c r="BE1384" t="str">
        <f>T("9791164097173")</f>
        <v>9791164097173</v>
      </c>
      <c r="BF1384" t="str">
        <f>T("N191689")</f>
        <v>N191689</v>
      </c>
      <c r="BG1384" t="str">
        <f>T("로판 웹소설 &gt; 서양풍 로판")</f>
        <v>로판 웹소설 &gt; 서양풍 로판</v>
      </c>
    </row>
    <row r="1385" spans="1:59">
      <c r="A1385" t="s">
        <v>60</v>
      </c>
      <c r="B1385" s="1">
        <v>46131</v>
      </c>
      <c r="C1385">
        <v>2378036275</v>
      </c>
      <c r="D1385">
        <v>2378042282</v>
      </c>
      <c r="E1385" t="str">
        <f>T("구원자가 도망친 밤 145화")</f>
        <v>구원자가 도망친 밤 145화</v>
      </c>
      <c r="F1385">
        <v>145</v>
      </c>
      <c r="G1385" t="str">
        <f>T("얼든트")</f>
        <v>얼든트</v>
      </c>
      <c r="J1385" t="str">
        <f>T("시계토끼")</f>
        <v>시계토끼</v>
      </c>
      <c r="K1385" t="str">
        <f>T("구원자가 도망친 밤")</f>
        <v>구원자가 도망친 밤</v>
      </c>
      <c r="L1385">
        <v>100</v>
      </c>
      <c r="M1385">
        <v>100</v>
      </c>
      <c r="N1385">
        <v>1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100</v>
      </c>
      <c r="AJ1385">
        <v>1</v>
      </c>
      <c r="AK1385">
        <v>0</v>
      </c>
      <c r="AL1385">
        <v>0</v>
      </c>
      <c r="AM1385">
        <v>100</v>
      </c>
      <c r="AN1385">
        <v>0</v>
      </c>
      <c r="AO1385">
        <v>0</v>
      </c>
      <c r="AP1385">
        <v>0</v>
      </c>
      <c r="AQ1385">
        <v>0</v>
      </c>
      <c r="AS1385">
        <v>0</v>
      </c>
      <c r="AT1385">
        <v>0</v>
      </c>
      <c r="AV1385">
        <v>0</v>
      </c>
      <c r="AW1385">
        <v>0</v>
      </c>
      <c r="AY1385">
        <v>0</v>
      </c>
      <c r="AZ1385">
        <v>0</v>
      </c>
      <c r="BA1385">
        <v>70</v>
      </c>
      <c r="BE1385" t="str">
        <f>T("9791164097173")</f>
        <v>9791164097173</v>
      </c>
      <c r="BF1385" t="str">
        <f>T("N191690")</f>
        <v>N191690</v>
      </c>
      <c r="BG1385" t="str">
        <f>T("로판 웹소설 &gt; 서양풍 로판")</f>
        <v>로판 웹소설 &gt; 서양풍 로판</v>
      </c>
    </row>
    <row r="1386" spans="1:59">
      <c r="A1386" t="s">
        <v>60</v>
      </c>
      <c r="B1386" s="1">
        <v>46131</v>
      </c>
      <c r="C1386">
        <v>2378036275</v>
      </c>
      <c r="D1386">
        <v>2378042307</v>
      </c>
      <c r="E1386" t="str">
        <f>T("구원자가 도망친 밤 146화")</f>
        <v>구원자가 도망친 밤 146화</v>
      </c>
      <c r="F1386">
        <v>146</v>
      </c>
      <c r="G1386" t="str">
        <f>T("얼든트")</f>
        <v>얼든트</v>
      </c>
      <c r="J1386" t="str">
        <f>T("시계토끼")</f>
        <v>시계토끼</v>
      </c>
      <c r="K1386" t="str">
        <f>T("구원자가 도망친 밤")</f>
        <v>구원자가 도망친 밤</v>
      </c>
      <c r="L1386">
        <v>100</v>
      </c>
      <c r="M1386">
        <v>100</v>
      </c>
      <c r="N1386">
        <v>1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100</v>
      </c>
      <c r="AJ1386">
        <v>1</v>
      </c>
      <c r="AK1386">
        <v>0</v>
      </c>
      <c r="AL1386">
        <v>0</v>
      </c>
      <c r="AM1386">
        <v>100</v>
      </c>
      <c r="AN1386">
        <v>0</v>
      </c>
      <c r="AO1386">
        <v>0</v>
      </c>
      <c r="AP1386">
        <v>0</v>
      </c>
      <c r="AQ1386">
        <v>0</v>
      </c>
      <c r="AS1386">
        <v>0</v>
      </c>
      <c r="AT1386">
        <v>0</v>
      </c>
      <c r="AV1386">
        <v>0</v>
      </c>
      <c r="AW1386">
        <v>0</v>
      </c>
      <c r="AY1386">
        <v>0</v>
      </c>
      <c r="AZ1386">
        <v>0</v>
      </c>
      <c r="BA1386">
        <v>70</v>
      </c>
      <c r="BE1386" t="str">
        <f>T("9791164097173")</f>
        <v>9791164097173</v>
      </c>
      <c r="BF1386" t="str">
        <f>T("N195281")</f>
        <v>N195281</v>
      </c>
      <c r="BG1386" t="str">
        <f>T("로판 웹소설 &gt; 서양풍 로판")</f>
        <v>로판 웹소설 &gt; 서양풍 로판</v>
      </c>
    </row>
    <row r="1387" spans="1:59">
      <c r="A1387" t="s">
        <v>60</v>
      </c>
      <c r="B1387" s="1">
        <v>46131</v>
      </c>
      <c r="C1387">
        <v>2378036275</v>
      </c>
      <c r="D1387">
        <v>2378042319</v>
      </c>
      <c r="E1387" t="str">
        <f>T("구원자가 도망친 밤 147화")</f>
        <v>구원자가 도망친 밤 147화</v>
      </c>
      <c r="F1387">
        <v>147</v>
      </c>
      <c r="G1387" t="str">
        <f>T("얼든트")</f>
        <v>얼든트</v>
      </c>
      <c r="J1387" t="str">
        <f>T("시계토끼")</f>
        <v>시계토끼</v>
      </c>
      <c r="K1387" t="str">
        <f>T("구원자가 도망친 밤")</f>
        <v>구원자가 도망친 밤</v>
      </c>
      <c r="L1387">
        <v>100</v>
      </c>
      <c r="M1387">
        <v>100</v>
      </c>
      <c r="N1387">
        <v>1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100</v>
      </c>
      <c r="AJ1387">
        <v>1</v>
      </c>
      <c r="AK1387">
        <v>0</v>
      </c>
      <c r="AL1387">
        <v>0</v>
      </c>
      <c r="AM1387">
        <v>100</v>
      </c>
      <c r="AN1387">
        <v>0</v>
      </c>
      <c r="AO1387">
        <v>0</v>
      </c>
      <c r="AP1387">
        <v>0</v>
      </c>
      <c r="AQ1387">
        <v>0</v>
      </c>
      <c r="AS1387">
        <v>0</v>
      </c>
      <c r="AT1387">
        <v>0</v>
      </c>
      <c r="AV1387">
        <v>0</v>
      </c>
      <c r="AW1387">
        <v>0</v>
      </c>
      <c r="AY1387">
        <v>0</v>
      </c>
      <c r="AZ1387">
        <v>0</v>
      </c>
      <c r="BA1387">
        <v>70</v>
      </c>
      <c r="BE1387" t="str">
        <f>T("9791164097173")</f>
        <v>9791164097173</v>
      </c>
      <c r="BF1387" t="str">
        <f>T("N195282")</f>
        <v>N195282</v>
      </c>
      <c r="BG1387" t="str">
        <f>T("로판 웹소설 &gt; 서양풍 로판")</f>
        <v>로판 웹소설 &gt; 서양풍 로판</v>
      </c>
    </row>
    <row r="1388" spans="1:59">
      <c r="A1388" t="s">
        <v>60</v>
      </c>
      <c r="B1388" s="1">
        <v>46131</v>
      </c>
      <c r="C1388">
        <v>2378036275</v>
      </c>
      <c r="D1388">
        <v>2378042328</v>
      </c>
      <c r="E1388" t="str">
        <f>T("구원자가 도망친 밤 148화")</f>
        <v>구원자가 도망친 밤 148화</v>
      </c>
      <c r="F1388">
        <v>148</v>
      </c>
      <c r="G1388" t="str">
        <f>T("얼든트")</f>
        <v>얼든트</v>
      </c>
      <c r="J1388" t="str">
        <f>T("시계토끼")</f>
        <v>시계토끼</v>
      </c>
      <c r="K1388" t="str">
        <f>T("구원자가 도망친 밤")</f>
        <v>구원자가 도망친 밤</v>
      </c>
      <c r="L1388">
        <v>100</v>
      </c>
      <c r="M1388">
        <v>100</v>
      </c>
      <c r="N1388">
        <v>1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100</v>
      </c>
      <c r="AJ1388">
        <v>1</v>
      </c>
      <c r="AK1388">
        <v>0</v>
      </c>
      <c r="AL1388">
        <v>0</v>
      </c>
      <c r="AM1388">
        <v>100</v>
      </c>
      <c r="AN1388">
        <v>0</v>
      </c>
      <c r="AO1388">
        <v>0</v>
      </c>
      <c r="AP1388">
        <v>0</v>
      </c>
      <c r="AQ1388">
        <v>0</v>
      </c>
      <c r="AS1388">
        <v>0</v>
      </c>
      <c r="AT1388">
        <v>0</v>
      </c>
      <c r="AV1388">
        <v>0</v>
      </c>
      <c r="AW1388">
        <v>0</v>
      </c>
      <c r="AY1388">
        <v>0</v>
      </c>
      <c r="AZ1388">
        <v>0</v>
      </c>
      <c r="BA1388">
        <v>70</v>
      </c>
      <c r="BE1388" t="str">
        <f>T("9791164097173")</f>
        <v>9791164097173</v>
      </c>
      <c r="BF1388" t="str">
        <f>T("N195283")</f>
        <v>N195283</v>
      </c>
      <c r="BG1388" t="str">
        <f>T("로판 웹소설 &gt; 서양풍 로판")</f>
        <v>로판 웹소설 &gt; 서양풍 로판</v>
      </c>
    </row>
    <row r="1389" spans="1:59">
      <c r="A1389" t="s">
        <v>60</v>
      </c>
      <c r="B1389" s="1">
        <v>46131</v>
      </c>
      <c r="C1389">
        <v>2378036275</v>
      </c>
      <c r="D1389">
        <v>2378042329</v>
      </c>
      <c r="E1389" t="str">
        <f>T("구원자가 도망친 밤 149화")</f>
        <v>구원자가 도망친 밤 149화</v>
      </c>
      <c r="F1389">
        <v>149</v>
      </c>
      <c r="G1389" t="str">
        <f>T("얼든트")</f>
        <v>얼든트</v>
      </c>
      <c r="J1389" t="str">
        <f>T("시계토끼")</f>
        <v>시계토끼</v>
      </c>
      <c r="K1389" t="str">
        <f>T("구원자가 도망친 밤")</f>
        <v>구원자가 도망친 밤</v>
      </c>
      <c r="L1389">
        <v>100</v>
      </c>
      <c r="M1389">
        <v>100</v>
      </c>
      <c r="N1389">
        <v>1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100</v>
      </c>
      <c r="AJ1389">
        <v>1</v>
      </c>
      <c r="AK1389">
        <v>0</v>
      </c>
      <c r="AL1389">
        <v>0</v>
      </c>
      <c r="AM1389">
        <v>100</v>
      </c>
      <c r="AN1389">
        <v>0</v>
      </c>
      <c r="AO1389">
        <v>0</v>
      </c>
      <c r="AP1389">
        <v>0</v>
      </c>
      <c r="AQ1389">
        <v>0</v>
      </c>
      <c r="AS1389">
        <v>0</v>
      </c>
      <c r="AT1389">
        <v>0</v>
      </c>
      <c r="AV1389">
        <v>0</v>
      </c>
      <c r="AW1389">
        <v>0</v>
      </c>
      <c r="AY1389">
        <v>0</v>
      </c>
      <c r="AZ1389">
        <v>0</v>
      </c>
      <c r="BA1389">
        <v>70</v>
      </c>
      <c r="BE1389" t="str">
        <f>T("9791164097173")</f>
        <v>9791164097173</v>
      </c>
      <c r="BF1389" t="str">
        <f>T("N195284")</f>
        <v>N195284</v>
      </c>
      <c r="BG1389" t="str">
        <f>T("로판 웹소설 &gt; 서양풍 로판")</f>
        <v>로판 웹소설 &gt; 서양풍 로판</v>
      </c>
    </row>
    <row r="1390" spans="1:59">
      <c r="A1390" t="s">
        <v>60</v>
      </c>
      <c r="B1390" s="1">
        <v>46131</v>
      </c>
      <c r="C1390">
        <v>2378036275</v>
      </c>
      <c r="D1390">
        <v>2378042469</v>
      </c>
      <c r="E1390" t="str">
        <f>T("구원자가 도망친 밤 150화")</f>
        <v>구원자가 도망친 밤 150화</v>
      </c>
      <c r="F1390">
        <v>150</v>
      </c>
      <c r="G1390" t="str">
        <f>T("얼든트")</f>
        <v>얼든트</v>
      </c>
      <c r="J1390" t="str">
        <f>T("시계토끼")</f>
        <v>시계토끼</v>
      </c>
      <c r="K1390" t="str">
        <f>T("구원자가 도망친 밤")</f>
        <v>구원자가 도망친 밤</v>
      </c>
      <c r="L1390">
        <v>100</v>
      </c>
      <c r="M1390">
        <v>100</v>
      </c>
      <c r="N1390">
        <v>1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100</v>
      </c>
      <c r="AJ1390">
        <v>1</v>
      </c>
      <c r="AK1390">
        <v>0</v>
      </c>
      <c r="AL1390">
        <v>0</v>
      </c>
      <c r="AM1390">
        <v>100</v>
      </c>
      <c r="AN1390">
        <v>0</v>
      </c>
      <c r="AO1390">
        <v>0</v>
      </c>
      <c r="AP1390">
        <v>0</v>
      </c>
      <c r="AQ1390">
        <v>0</v>
      </c>
      <c r="AS1390">
        <v>0</v>
      </c>
      <c r="AT1390">
        <v>0</v>
      </c>
      <c r="AV1390">
        <v>0</v>
      </c>
      <c r="AW1390">
        <v>0</v>
      </c>
      <c r="AY1390">
        <v>0</v>
      </c>
      <c r="AZ1390">
        <v>0</v>
      </c>
      <c r="BA1390">
        <v>70</v>
      </c>
      <c r="BE1390" t="str">
        <f>T("9791164097173")</f>
        <v>9791164097173</v>
      </c>
      <c r="BF1390" t="str">
        <f>T("N195850")</f>
        <v>N195850</v>
      </c>
      <c r="BG1390" t="str">
        <f>T("로판 웹소설 &gt; 서양풍 로판")</f>
        <v>로판 웹소설 &gt; 서양풍 로판</v>
      </c>
    </row>
    <row r="1391" spans="1:59">
      <c r="A1391" t="s">
        <v>60</v>
      </c>
      <c r="B1391" s="1">
        <v>46131</v>
      </c>
      <c r="C1391">
        <v>2378036275</v>
      </c>
      <c r="D1391">
        <v>2378042534</v>
      </c>
      <c r="E1391" t="str">
        <f>T("구원자가 도망친 밤 151화")</f>
        <v>구원자가 도망친 밤 151화</v>
      </c>
      <c r="F1391">
        <v>151</v>
      </c>
      <c r="G1391" t="str">
        <f>T("얼든트")</f>
        <v>얼든트</v>
      </c>
      <c r="J1391" t="str">
        <f>T("시계토끼")</f>
        <v>시계토끼</v>
      </c>
      <c r="K1391" t="str">
        <f>T("구원자가 도망친 밤")</f>
        <v>구원자가 도망친 밤</v>
      </c>
      <c r="L1391">
        <v>100</v>
      </c>
      <c r="M1391">
        <v>100</v>
      </c>
      <c r="N1391">
        <v>1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100</v>
      </c>
      <c r="AJ1391">
        <v>1</v>
      </c>
      <c r="AK1391">
        <v>0</v>
      </c>
      <c r="AL1391">
        <v>0</v>
      </c>
      <c r="AM1391">
        <v>100</v>
      </c>
      <c r="AN1391">
        <v>0</v>
      </c>
      <c r="AO1391">
        <v>0</v>
      </c>
      <c r="AP1391">
        <v>0</v>
      </c>
      <c r="AQ1391">
        <v>0</v>
      </c>
      <c r="AS1391">
        <v>0</v>
      </c>
      <c r="AT1391">
        <v>0</v>
      </c>
      <c r="AV1391">
        <v>0</v>
      </c>
      <c r="AW1391">
        <v>0</v>
      </c>
      <c r="AY1391">
        <v>0</v>
      </c>
      <c r="AZ1391">
        <v>0</v>
      </c>
      <c r="BA1391">
        <v>70</v>
      </c>
      <c r="BE1391" t="str">
        <f>T("9791164097173")</f>
        <v>9791164097173</v>
      </c>
      <c r="BF1391" t="str">
        <f>T("N195851")</f>
        <v>N195851</v>
      </c>
      <c r="BG1391" t="str">
        <f>T("로판 웹소설 &gt; 서양풍 로판")</f>
        <v>로판 웹소설 &gt; 서양풍 로판</v>
      </c>
    </row>
    <row r="1392" spans="1:59">
      <c r="A1392" t="s">
        <v>60</v>
      </c>
      <c r="B1392" s="1">
        <v>46131</v>
      </c>
      <c r="C1392">
        <v>2378036275</v>
      </c>
      <c r="D1392">
        <v>2378042558</v>
      </c>
      <c r="E1392" t="str">
        <f>T("구원자가 도망친 밤 152화")</f>
        <v>구원자가 도망친 밤 152화</v>
      </c>
      <c r="F1392">
        <v>152</v>
      </c>
      <c r="G1392" t="str">
        <f>T("얼든트")</f>
        <v>얼든트</v>
      </c>
      <c r="J1392" t="str">
        <f>T("시계토끼")</f>
        <v>시계토끼</v>
      </c>
      <c r="K1392" t="str">
        <f>T("구원자가 도망친 밤")</f>
        <v>구원자가 도망친 밤</v>
      </c>
      <c r="L1392">
        <v>100</v>
      </c>
      <c r="M1392">
        <v>100</v>
      </c>
      <c r="N1392">
        <v>1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100</v>
      </c>
      <c r="AJ1392">
        <v>1</v>
      </c>
      <c r="AK1392">
        <v>0</v>
      </c>
      <c r="AL1392">
        <v>0</v>
      </c>
      <c r="AM1392">
        <v>100</v>
      </c>
      <c r="AN1392">
        <v>0</v>
      </c>
      <c r="AO1392">
        <v>0</v>
      </c>
      <c r="AP1392">
        <v>0</v>
      </c>
      <c r="AQ1392">
        <v>0</v>
      </c>
      <c r="AS1392">
        <v>0</v>
      </c>
      <c r="AT1392">
        <v>0</v>
      </c>
      <c r="AV1392">
        <v>0</v>
      </c>
      <c r="AW1392">
        <v>0</v>
      </c>
      <c r="AY1392">
        <v>0</v>
      </c>
      <c r="AZ1392">
        <v>0</v>
      </c>
      <c r="BA1392">
        <v>70</v>
      </c>
      <c r="BE1392" t="str">
        <f>T("9791164097173")</f>
        <v>9791164097173</v>
      </c>
      <c r="BF1392" t="str">
        <f>T("N195852")</f>
        <v>N195852</v>
      </c>
      <c r="BG1392" t="str">
        <f>T("로판 웹소설 &gt; 서양풍 로판")</f>
        <v>로판 웹소설 &gt; 서양풍 로판</v>
      </c>
    </row>
    <row r="1393" spans="1:59">
      <c r="A1393" t="s">
        <v>60</v>
      </c>
      <c r="B1393" s="1">
        <v>46131</v>
      </c>
      <c r="C1393">
        <v>2378036275</v>
      </c>
      <c r="D1393">
        <v>2378042567</v>
      </c>
      <c r="E1393" t="str">
        <f>T("구원자가 도망친 밤 153화")</f>
        <v>구원자가 도망친 밤 153화</v>
      </c>
      <c r="F1393">
        <v>153</v>
      </c>
      <c r="G1393" t="str">
        <f>T("얼든트")</f>
        <v>얼든트</v>
      </c>
      <c r="J1393" t="str">
        <f>T("시계토끼")</f>
        <v>시계토끼</v>
      </c>
      <c r="K1393" t="str">
        <f>T("구원자가 도망친 밤")</f>
        <v>구원자가 도망친 밤</v>
      </c>
      <c r="L1393">
        <v>100</v>
      </c>
      <c r="M1393">
        <v>100</v>
      </c>
      <c r="N1393">
        <v>1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100</v>
      </c>
      <c r="AJ1393">
        <v>1</v>
      </c>
      <c r="AK1393">
        <v>0</v>
      </c>
      <c r="AL1393">
        <v>0</v>
      </c>
      <c r="AM1393">
        <v>100</v>
      </c>
      <c r="AN1393">
        <v>0</v>
      </c>
      <c r="AO1393">
        <v>0</v>
      </c>
      <c r="AP1393">
        <v>0</v>
      </c>
      <c r="AQ1393">
        <v>0</v>
      </c>
      <c r="AS1393">
        <v>0</v>
      </c>
      <c r="AT1393">
        <v>0</v>
      </c>
      <c r="AV1393">
        <v>0</v>
      </c>
      <c r="AW1393">
        <v>0</v>
      </c>
      <c r="AY1393">
        <v>0</v>
      </c>
      <c r="AZ1393">
        <v>0</v>
      </c>
      <c r="BA1393">
        <v>70</v>
      </c>
      <c r="BE1393" t="str">
        <f>T("9791164097173")</f>
        <v>9791164097173</v>
      </c>
      <c r="BF1393" t="str">
        <f>T("N195853")</f>
        <v>N195853</v>
      </c>
      <c r="BG1393" t="str">
        <f>T("로판 웹소설 &gt; 서양풍 로판")</f>
        <v>로판 웹소설 &gt; 서양풍 로판</v>
      </c>
    </row>
    <row r="1394" spans="1:59">
      <c r="A1394" t="s">
        <v>60</v>
      </c>
      <c r="B1394" s="1">
        <v>46131</v>
      </c>
      <c r="C1394">
        <v>2378036275</v>
      </c>
      <c r="D1394">
        <v>2378042579</v>
      </c>
      <c r="E1394" t="str">
        <f>T("구원자가 도망친 밤 154화")</f>
        <v>구원자가 도망친 밤 154화</v>
      </c>
      <c r="F1394">
        <v>154</v>
      </c>
      <c r="G1394" t="str">
        <f>T("얼든트")</f>
        <v>얼든트</v>
      </c>
      <c r="J1394" t="str">
        <f>T("시계토끼")</f>
        <v>시계토끼</v>
      </c>
      <c r="K1394" t="str">
        <f>T("구원자가 도망친 밤")</f>
        <v>구원자가 도망친 밤</v>
      </c>
      <c r="L1394">
        <v>100</v>
      </c>
      <c r="M1394">
        <v>100</v>
      </c>
      <c r="N1394">
        <v>1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100</v>
      </c>
      <c r="AJ1394">
        <v>1</v>
      </c>
      <c r="AK1394">
        <v>0</v>
      </c>
      <c r="AL1394">
        <v>0</v>
      </c>
      <c r="AM1394">
        <v>100</v>
      </c>
      <c r="AN1394">
        <v>0</v>
      </c>
      <c r="AO1394">
        <v>0</v>
      </c>
      <c r="AP1394">
        <v>0</v>
      </c>
      <c r="AQ1394">
        <v>0</v>
      </c>
      <c r="AS1394">
        <v>0</v>
      </c>
      <c r="AT1394">
        <v>0</v>
      </c>
      <c r="AV1394">
        <v>0</v>
      </c>
      <c r="AW1394">
        <v>0</v>
      </c>
      <c r="AY1394">
        <v>0</v>
      </c>
      <c r="AZ1394">
        <v>0</v>
      </c>
      <c r="BA1394">
        <v>70</v>
      </c>
      <c r="BE1394" t="str">
        <f>T("9791164097173")</f>
        <v>9791164097173</v>
      </c>
      <c r="BF1394" t="str">
        <f>T("N197521")</f>
        <v>N197521</v>
      </c>
      <c r="BG1394" t="str">
        <f>T("로판 웹소설 &gt; 서양풍 로판")</f>
        <v>로판 웹소설 &gt; 서양풍 로판</v>
      </c>
    </row>
    <row r="1395" spans="1:59">
      <c r="A1395" t="s">
        <v>60</v>
      </c>
      <c r="B1395" s="1">
        <v>46131</v>
      </c>
      <c r="C1395">
        <v>2378036275</v>
      </c>
      <c r="D1395">
        <v>2378042592</v>
      </c>
      <c r="E1395" t="str">
        <f>T("구원자가 도망친 밤 155화")</f>
        <v>구원자가 도망친 밤 155화</v>
      </c>
      <c r="F1395">
        <v>155</v>
      </c>
      <c r="G1395" t="str">
        <f>T("얼든트")</f>
        <v>얼든트</v>
      </c>
      <c r="J1395" t="str">
        <f>T("시계토끼")</f>
        <v>시계토끼</v>
      </c>
      <c r="K1395" t="str">
        <f>T("구원자가 도망친 밤")</f>
        <v>구원자가 도망친 밤</v>
      </c>
      <c r="L1395">
        <v>100</v>
      </c>
      <c r="M1395">
        <v>100</v>
      </c>
      <c r="N1395">
        <v>1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100</v>
      </c>
      <c r="AJ1395">
        <v>1</v>
      </c>
      <c r="AK1395">
        <v>0</v>
      </c>
      <c r="AL1395">
        <v>0</v>
      </c>
      <c r="AM1395">
        <v>100</v>
      </c>
      <c r="AN1395">
        <v>0</v>
      </c>
      <c r="AO1395">
        <v>0</v>
      </c>
      <c r="AP1395">
        <v>0</v>
      </c>
      <c r="AQ1395">
        <v>0</v>
      </c>
      <c r="AS1395">
        <v>0</v>
      </c>
      <c r="AT1395">
        <v>0</v>
      </c>
      <c r="AV1395">
        <v>0</v>
      </c>
      <c r="AW1395">
        <v>0</v>
      </c>
      <c r="AY1395">
        <v>0</v>
      </c>
      <c r="AZ1395">
        <v>0</v>
      </c>
      <c r="BA1395">
        <v>70</v>
      </c>
      <c r="BE1395" t="str">
        <f>T("9791164097173")</f>
        <v>9791164097173</v>
      </c>
      <c r="BF1395" t="str">
        <f>T("N197522")</f>
        <v>N197522</v>
      </c>
      <c r="BG1395" t="str">
        <f>T("로판 웹소설 &gt; 서양풍 로판")</f>
        <v>로판 웹소설 &gt; 서양풍 로판</v>
      </c>
    </row>
    <row r="1396" spans="1:59">
      <c r="A1396" t="s">
        <v>60</v>
      </c>
      <c r="B1396" s="1">
        <v>46131</v>
      </c>
      <c r="C1396">
        <v>2378036275</v>
      </c>
      <c r="D1396">
        <v>2378042610</v>
      </c>
      <c r="E1396" t="str">
        <f>T("구원자가 도망친 밤 156화")</f>
        <v>구원자가 도망친 밤 156화</v>
      </c>
      <c r="F1396">
        <v>156</v>
      </c>
      <c r="G1396" t="str">
        <f>T("얼든트")</f>
        <v>얼든트</v>
      </c>
      <c r="J1396" t="str">
        <f>T("시계토끼")</f>
        <v>시계토끼</v>
      </c>
      <c r="K1396" t="str">
        <f>T("구원자가 도망친 밤")</f>
        <v>구원자가 도망친 밤</v>
      </c>
      <c r="L1396">
        <v>100</v>
      </c>
      <c r="M1396">
        <v>100</v>
      </c>
      <c r="N1396">
        <v>1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100</v>
      </c>
      <c r="AJ1396">
        <v>1</v>
      </c>
      <c r="AK1396">
        <v>0</v>
      </c>
      <c r="AL1396">
        <v>0</v>
      </c>
      <c r="AM1396">
        <v>100</v>
      </c>
      <c r="AN1396">
        <v>0</v>
      </c>
      <c r="AO1396">
        <v>0</v>
      </c>
      <c r="AP1396">
        <v>0</v>
      </c>
      <c r="AQ1396">
        <v>0</v>
      </c>
      <c r="AS1396">
        <v>0</v>
      </c>
      <c r="AT1396">
        <v>0</v>
      </c>
      <c r="AV1396">
        <v>0</v>
      </c>
      <c r="AW1396">
        <v>0</v>
      </c>
      <c r="AY1396">
        <v>0</v>
      </c>
      <c r="AZ1396">
        <v>0</v>
      </c>
      <c r="BA1396">
        <v>70</v>
      </c>
      <c r="BE1396" t="str">
        <f>T("9791164097173")</f>
        <v>9791164097173</v>
      </c>
      <c r="BF1396" t="str">
        <f>T("N197523")</f>
        <v>N197523</v>
      </c>
      <c r="BG1396" t="str">
        <f>T("로판 웹소설 &gt; 서양풍 로판")</f>
        <v>로판 웹소설 &gt; 서양풍 로판</v>
      </c>
    </row>
    <row r="1397" spans="1:59">
      <c r="A1397" t="s">
        <v>60</v>
      </c>
      <c r="B1397" s="1">
        <v>46131</v>
      </c>
      <c r="C1397">
        <v>2378036275</v>
      </c>
      <c r="D1397">
        <v>2378042623</v>
      </c>
      <c r="E1397" t="str">
        <f>T("구원자가 도망친 밤 157화")</f>
        <v>구원자가 도망친 밤 157화</v>
      </c>
      <c r="F1397">
        <v>157</v>
      </c>
      <c r="G1397" t="str">
        <f>T("얼든트")</f>
        <v>얼든트</v>
      </c>
      <c r="J1397" t="str">
        <f>T("시계토끼")</f>
        <v>시계토끼</v>
      </c>
      <c r="K1397" t="str">
        <f>T("구원자가 도망친 밤")</f>
        <v>구원자가 도망친 밤</v>
      </c>
      <c r="L1397">
        <v>100</v>
      </c>
      <c r="M1397">
        <v>100</v>
      </c>
      <c r="N1397">
        <v>1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100</v>
      </c>
      <c r="AJ1397">
        <v>1</v>
      </c>
      <c r="AK1397">
        <v>0</v>
      </c>
      <c r="AL1397">
        <v>0</v>
      </c>
      <c r="AM1397">
        <v>100</v>
      </c>
      <c r="AN1397">
        <v>0</v>
      </c>
      <c r="AO1397">
        <v>0</v>
      </c>
      <c r="AP1397">
        <v>0</v>
      </c>
      <c r="AQ1397">
        <v>0</v>
      </c>
      <c r="AS1397">
        <v>0</v>
      </c>
      <c r="AT1397">
        <v>0</v>
      </c>
      <c r="AV1397">
        <v>0</v>
      </c>
      <c r="AW1397">
        <v>0</v>
      </c>
      <c r="AY1397">
        <v>0</v>
      </c>
      <c r="AZ1397">
        <v>0</v>
      </c>
      <c r="BA1397">
        <v>70</v>
      </c>
      <c r="BE1397" t="str">
        <f>T("9791164097173")</f>
        <v>9791164097173</v>
      </c>
      <c r="BF1397" t="str">
        <f>T("N197524")</f>
        <v>N197524</v>
      </c>
      <c r="BG1397" t="str">
        <f>T("로판 웹소설 &gt; 서양풍 로판")</f>
        <v>로판 웹소설 &gt; 서양풍 로판</v>
      </c>
    </row>
    <row r="1398" spans="1:59">
      <c r="A1398" t="s">
        <v>60</v>
      </c>
      <c r="B1398" s="1">
        <v>46131</v>
      </c>
      <c r="C1398">
        <v>2378036275</v>
      </c>
      <c r="D1398">
        <v>2378042648</v>
      </c>
      <c r="E1398" t="str">
        <f>T("구원자가 도망친 밤 158화")</f>
        <v>구원자가 도망친 밤 158화</v>
      </c>
      <c r="F1398">
        <v>158</v>
      </c>
      <c r="G1398" t="str">
        <f>T("얼든트")</f>
        <v>얼든트</v>
      </c>
      <c r="J1398" t="str">
        <f>T("시계토끼")</f>
        <v>시계토끼</v>
      </c>
      <c r="K1398" t="str">
        <f>T("구원자가 도망친 밤")</f>
        <v>구원자가 도망친 밤</v>
      </c>
      <c r="L1398">
        <v>100</v>
      </c>
      <c r="M1398">
        <v>100</v>
      </c>
      <c r="N1398">
        <v>1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100</v>
      </c>
      <c r="AJ1398">
        <v>1</v>
      </c>
      <c r="AK1398">
        <v>0</v>
      </c>
      <c r="AL1398">
        <v>0</v>
      </c>
      <c r="AM1398">
        <v>100</v>
      </c>
      <c r="AN1398">
        <v>0</v>
      </c>
      <c r="AO1398">
        <v>0</v>
      </c>
      <c r="AP1398">
        <v>0</v>
      </c>
      <c r="AQ1398">
        <v>0</v>
      </c>
      <c r="AS1398">
        <v>0</v>
      </c>
      <c r="AT1398">
        <v>0</v>
      </c>
      <c r="AV1398">
        <v>0</v>
      </c>
      <c r="AW1398">
        <v>0</v>
      </c>
      <c r="AY1398">
        <v>0</v>
      </c>
      <c r="AZ1398">
        <v>0</v>
      </c>
      <c r="BA1398">
        <v>70</v>
      </c>
      <c r="BE1398" t="str">
        <f>T("9791164097173")</f>
        <v>9791164097173</v>
      </c>
      <c r="BF1398" t="str">
        <f>T("N197525")</f>
        <v>N197525</v>
      </c>
      <c r="BG1398" t="str">
        <f>T("로판 웹소설 &gt; 서양풍 로판")</f>
        <v>로판 웹소설 &gt; 서양풍 로판</v>
      </c>
    </row>
    <row r="1399" spans="1:59">
      <c r="A1399" t="s">
        <v>60</v>
      </c>
      <c r="B1399" s="1">
        <v>46131</v>
      </c>
      <c r="C1399">
        <v>2378036275</v>
      </c>
      <c r="D1399">
        <v>2378042661</v>
      </c>
      <c r="E1399" t="str">
        <f>T("구원자가 도망친 밤 159화")</f>
        <v>구원자가 도망친 밤 159화</v>
      </c>
      <c r="F1399">
        <v>159</v>
      </c>
      <c r="G1399" t="str">
        <f>T("얼든트")</f>
        <v>얼든트</v>
      </c>
      <c r="J1399" t="str">
        <f>T("시계토끼")</f>
        <v>시계토끼</v>
      </c>
      <c r="K1399" t="str">
        <f>T("구원자가 도망친 밤")</f>
        <v>구원자가 도망친 밤</v>
      </c>
      <c r="L1399">
        <v>100</v>
      </c>
      <c r="M1399">
        <v>100</v>
      </c>
      <c r="N1399">
        <v>1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100</v>
      </c>
      <c r="AJ1399">
        <v>1</v>
      </c>
      <c r="AK1399">
        <v>0</v>
      </c>
      <c r="AL1399">
        <v>0</v>
      </c>
      <c r="AM1399">
        <v>100</v>
      </c>
      <c r="AN1399">
        <v>0</v>
      </c>
      <c r="AO1399">
        <v>0</v>
      </c>
      <c r="AP1399">
        <v>0</v>
      </c>
      <c r="AQ1399">
        <v>0</v>
      </c>
      <c r="AS1399">
        <v>0</v>
      </c>
      <c r="AT1399">
        <v>0</v>
      </c>
      <c r="AV1399">
        <v>0</v>
      </c>
      <c r="AW1399">
        <v>0</v>
      </c>
      <c r="AY1399">
        <v>0</v>
      </c>
      <c r="AZ1399">
        <v>0</v>
      </c>
      <c r="BA1399">
        <v>70</v>
      </c>
      <c r="BE1399" t="str">
        <f>T("9791164097173")</f>
        <v>9791164097173</v>
      </c>
      <c r="BF1399" t="str">
        <f>T("N202602")</f>
        <v>N202602</v>
      </c>
      <c r="BG1399" t="str">
        <f>T("로판 웹소설 &gt; 서양풍 로판")</f>
        <v>로판 웹소설 &gt; 서양풍 로판</v>
      </c>
    </row>
    <row r="1400" spans="1:59">
      <c r="A1400" t="s">
        <v>60</v>
      </c>
      <c r="B1400" s="1">
        <v>46131</v>
      </c>
      <c r="C1400">
        <v>2378036275</v>
      </c>
      <c r="D1400">
        <v>2378042677</v>
      </c>
      <c r="E1400" t="str">
        <f>T("구원자가 도망친 밤 160화")</f>
        <v>구원자가 도망친 밤 160화</v>
      </c>
      <c r="F1400">
        <v>160</v>
      </c>
      <c r="G1400" t="str">
        <f>T("얼든트")</f>
        <v>얼든트</v>
      </c>
      <c r="J1400" t="str">
        <f>T("시계토끼")</f>
        <v>시계토끼</v>
      </c>
      <c r="K1400" t="str">
        <f>T("구원자가 도망친 밤")</f>
        <v>구원자가 도망친 밤</v>
      </c>
      <c r="L1400">
        <v>100</v>
      </c>
      <c r="M1400">
        <v>100</v>
      </c>
      <c r="N1400">
        <v>1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100</v>
      </c>
      <c r="AJ1400">
        <v>1</v>
      </c>
      <c r="AK1400">
        <v>0</v>
      </c>
      <c r="AL1400">
        <v>0</v>
      </c>
      <c r="AM1400">
        <v>100</v>
      </c>
      <c r="AN1400">
        <v>0</v>
      </c>
      <c r="AO1400">
        <v>0</v>
      </c>
      <c r="AP1400">
        <v>0</v>
      </c>
      <c r="AQ1400">
        <v>0</v>
      </c>
      <c r="AS1400">
        <v>0</v>
      </c>
      <c r="AT1400">
        <v>0</v>
      </c>
      <c r="AV1400">
        <v>0</v>
      </c>
      <c r="AW1400">
        <v>0</v>
      </c>
      <c r="AY1400">
        <v>0</v>
      </c>
      <c r="AZ1400">
        <v>0</v>
      </c>
      <c r="BA1400">
        <v>70</v>
      </c>
      <c r="BE1400" t="str">
        <f>T("9791164097173")</f>
        <v>9791164097173</v>
      </c>
      <c r="BF1400" t="str">
        <f>T("N202603")</f>
        <v>N202603</v>
      </c>
      <c r="BG1400" t="str">
        <f>T("로판 웹소설 &gt; 서양풍 로판")</f>
        <v>로판 웹소설 &gt; 서양풍 로판</v>
      </c>
    </row>
    <row r="1401" spans="1:59">
      <c r="A1401" t="s">
        <v>60</v>
      </c>
      <c r="B1401" s="1">
        <v>46131</v>
      </c>
      <c r="C1401">
        <v>2378036275</v>
      </c>
      <c r="D1401">
        <v>2378042685</v>
      </c>
      <c r="E1401" t="str">
        <f>T("구원자가 도망친 밤 161화")</f>
        <v>구원자가 도망친 밤 161화</v>
      </c>
      <c r="F1401">
        <v>161</v>
      </c>
      <c r="G1401" t="str">
        <f>T("얼든트")</f>
        <v>얼든트</v>
      </c>
      <c r="J1401" t="str">
        <f>T("시계토끼")</f>
        <v>시계토끼</v>
      </c>
      <c r="K1401" t="str">
        <f>T("구원자가 도망친 밤")</f>
        <v>구원자가 도망친 밤</v>
      </c>
      <c r="L1401">
        <v>100</v>
      </c>
      <c r="M1401">
        <v>100</v>
      </c>
      <c r="N1401">
        <v>1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100</v>
      </c>
      <c r="AJ1401">
        <v>1</v>
      </c>
      <c r="AK1401">
        <v>0</v>
      </c>
      <c r="AL1401">
        <v>0</v>
      </c>
      <c r="AM1401">
        <v>100</v>
      </c>
      <c r="AN1401">
        <v>0</v>
      </c>
      <c r="AO1401">
        <v>0</v>
      </c>
      <c r="AP1401">
        <v>0</v>
      </c>
      <c r="AQ1401">
        <v>0</v>
      </c>
      <c r="AS1401">
        <v>0</v>
      </c>
      <c r="AT1401">
        <v>0</v>
      </c>
      <c r="AV1401">
        <v>0</v>
      </c>
      <c r="AW1401">
        <v>0</v>
      </c>
      <c r="AY1401">
        <v>0</v>
      </c>
      <c r="AZ1401">
        <v>0</v>
      </c>
      <c r="BA1401">
        <v>70</v>
      </c>
      <c r="BE1401" t="str">
        <f>T("9791164097173")</f>
        <v>9791164097173</v>
      </c>
      <c r="BF1401" t="str">
        <f>T("N202604")</f>
        <v>N202604</v>
      </c>
      <c r="BG1401" t="str">
        <f>T("로판 웹소설 &gt; 서양풍 로판")</f>
        <v>로판 웹소설 &gt; 서양풍 로판</v>
      </c>
    </row>
    <row r="1402" spans="1:59">
      <c r="A1402" t="s">
        <v>60</v>
      </c>
      <c r="B1402" s="1">
        <v>46131</v>
      </c>
      <c r="C1402">
        <v>2378036275</v>
      </c>
      <c r="D1402">
        <v>2378042897</v>
      </c>
      <c r="E1402" t="str">
        <f>T("구원자가 도망친 밤 162화")</f>
        <v>구원자가 도망친 밤 162화</v>
      </c>
      <c r="F1402">
        <v>162</v>
      </c>
      <c r="G1402" t="str">
        <f>T("얼든트")</f>
        <v>얼든트</v>
      </c>
      <c r="J1402" t="str">
        <f>T("시계토끼")</f>
        <v>시계토끼</v>
      </c>
      <c r="K1402" t="str">
        <f>T("구원자가 도망친 밤")</f>
        <v>구원자가 도망친 밤</v>
      </c>
      <c r="L1402">
        <v>100</v>
      </c>
      <c r="M1402">
        <v>100</v>
      </c>
      <c r="N1402">
        <v>1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100</v>
      </c>
      <c r="AJ1402">
        <v>1</v>
      </c>
      <c r="AK1402">
        <v>0</v>
      </c>
      <c r="AL1402">
        <v>0</v>
      </c>
      <c r="AM1402">
        <v>100</v>
      </c>
      <c r="AN1402">
        <v>0</v>
      </c>
      <c r="AO1402">
        <v>0</v>
      </c>
      <c r="AP1402">
        <v>0</v>
      </c>
      <c r="AQ1402">
        <v>0</v>
      </c>
      <c r="AS1402">
        <v>0</v>
      </c>
      <c r="AT1402">
        <v>0</v>
      </c>
      <c r="AV1402">
        <v>0</v>
      </c>
      <c r="AW1402">
        <v>0</v>
      </c>
      <c r="AY1402">
        <v>0</v>
      </c>
      <c r="AZ1402">
        <v>0</v>
      </c>
      <c r="BA1402">
        <v>70</v>
      </c>
      <c r="BE1402" t="str">
        <f>T("9791164097173")</f>
        <v>9791164097173</v>
      </c>
      <c r="BF1402" t="str">
        <f>T("N202605")</f>
        <v>N202605</v>
      </c>
      <c r="BG1402" t="str">
        <f>T("로판 웹소설 &gt; 서양풍 로판")</f>
        <v>로판 웹소설 &gt; 서양풍 로판</v>
      </c>
    </row>
    <row r="1403" spans="1:59">
      <c r="A1403" t="s">
        <v>60</v>
      </c>
      <c r="B1403" s="1">
        <v>46131</v>
      </c>
      <c r="C1403">
        <v>2378036275</v>
      </c>
      <c r="D1403">
        <v>2378042906</v>
      </c>
      <c r="E1403" t="str">
        <f>T("구원자가 도망친 밤 163화")</f>
        <v>구원자가 도망친 밤 163화</v>
      </c>
      <c r="F1403">
        <v>163</v>
      </c>
      <c r="G1403" t="str">
        <f>T("얼든트")</f>
        <v>얼든트</v>
      </c>
      <c r="J1403" t="str">
        <f>T("시계토끼")</f>
        <v>시계토끼</v>
      </c>
      <c r="K1403" t="str">
        <f>T("구원자가 도망친 밤")</f>
        <v>구원자가 도망친 밤</v>
      </c>
      <c r="L1403">
        <v>100</v>
      </c>
      <c r="M1403">
        <v>100</v>
      </c>
      <c r="N1403">
        <v>1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100</v>
      </c>
      <c r="AJ1403">
        <v>1</v>
      </c>
      <c r="AK1403">
        <v>0</v>
      </c>
      <c r="AL1403">
        <v>0</v>
      </c>
      <c r="AM1403">
        <v>100</v>
      </c>
      <c r="AN1403">
        <v>0</v>
      </c>
      <c r="AO1403">
        <v>0</v>
      </c>
      <c r="AP1403">
        <v>0</v>
      </c>
      <c r="AQ1403">
        <v>0</v>
      </c>
      <c r="AS1403">
        <v>0</v>
      </c>
      <c r="AT1403">
        <v>0</v>
      </c>
      <c r="AV1403">
        <v>0</v>
      </c>
      <c r="AW1403">
        <v>0</v>
      </c>
      <c r="AY1403">
        <v>0</v>
      </c>
      <c r="AZ1403">
        <v>0</v>
      </c>
      <c r="BA1403">
        <v>70</v>
      </c>
      <c r="BE1403" t="str">
        <f>T("9791164097173")</f>
        <v>9791164097173</v>
      </c>
      <c r="BF1403" t="str">
        <f>T("N202606")</f>
        <v>N202606</v>
      </c>
      <c r="BG1403" t="str">
        <f>T("로판 웹소설 &gt; 서양풍 로판")</f>
        <v>로판 웹소설 &gt; 서양풍 로판</v>
      </c>
    </row>
    <row r="1404" spans="1:59">
      <c r="A1404" t="s">
        <v>60</v>
      </c>
      <c r="B1404" s="1">
        <v>46131</v>
      </c>
      <c r="C1404">
        <v>2378036275</v>
      </c>
      <c r="D1404">
        <v>2378042931</v>
      </c>
      <c r="E1404" t="str">
        <f>T("구원자가 도망친 밤 164화")</f>
        <v>구원자가 도망친 밤 164화</v>
      </c>
      <c r="F1404">
        <v>164</v>
      </c>
      <c r="G1404" t="str">
        <f>T("얼든트")</f>
        <v>얼든트</v>
      </c>
      <c r="J1404" t="str">
        <f>T("시계토끼")</f>
        <v>시계토끼</v>
      </c>
      <c r="K1404" t="str">
        <f>T("구원자가 도망친 밤")</f>
        <v>구원자가 도망친 밤</v>
      </c>
      <c r="L1404">
        <v>100</v>
      </c>
      <c r="M1404">
        <v>100</v>
      </c>
      <c r="N1404">
        <v>1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100</v>
      </c>
      <c r="AJ1404">
        <v>1</v>
      </c>
      <c r="AK1404">
        <v>0</v>
      </c>
      <c r="AL1404">
        <v>0</v>
      </c>
      <c r="AM1404">
        <v>100</v>
      </c>
      <c r="AN1404">
        <v>0</v>
      </c>
      <c r="AO1404">
        <v>0</v>
      </c>
      <c r="AP1404">
        <v>0</v>
      </c>
      <c r="AQ1404">
        <v>0</v>
      </c>
      <c r="AS1404">
        <v>0</v>
      </c>
      <c r="AT1404">
        <v>0</v>
      </c>
      <c r="AV1404">
        <v>0</v>
      </c>
      <c r="AW1404">
        <v>0</v>
      </c>
      <c r="AY1404">
        <v>0</v>
      </c>
      <c r="AZ1404">
        <v>0</v>
      </c>
      <c r="BA1404">
        <v>70</v>
      </c>
      <c r="BE1404" t="str">
        <f>T("9791164097173")</f>
        <v>9791164097173</v>
      </c>
      <c r="BF1404" t="str">
        <f>T("N206917")</f>
        <v>N206917</v>
      </c>
      <c r="BG1404" t="str">
        <f>T("로판 웹소설 &gt; 서양풍 로판")</f>
        <v>로판 웹소설 &gt; 서양풍 로판</v>
      </c>
    </row>
    <row r="1405" spans="1:59">
      <c r="A1405" t="s">
        <v>60</v>
      </c>
      <c r="B1405" s="1">
        <v>46131</v>
      </c>
      <c r="C1405">
        <v>2378036275</v>
      </c>
      <c r="D1405">
        <v>2378042935</v>
      </c>
      <c r="E1405" t="str">
        <f>T("구원자가 도망친 밤 165화")</f>
        <v>구원자가 도망친 밤 165화</v>
      </c>
      <c r="F1405">
        <v>165</v>
      </c>
      <c r="G1405" t="str">
        <f>T("얼든트")</f>
        <v>얼든트</v>
      </c>
      <c r="J1405" t="str">
        <f>T("시계토끼")</f>
        <v>시계토끼</v>
      </c>
      <c r="K1405" t="str">
        <f>T("구원자가 도망친 밤")</f>
        <v>구원자가 도망친 밤</v>
      </c>
      <c r="L1405">
        <v>100</v>
      </c>
      <c r="M1405">
        <v>100</v>
      </c>
      <c r="N1405">
        <v>1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100</v>
      </c>
      <c r="AJ1405">
        <v>1</v>
      </c>
      <c r="AK1405">
        <v>0</v>
      </c>
      <c r="AL1405">
        <v>0</v>
      </c>
      <c r="AM1405">
        <v>100</v>
      </c>
      <c r="AN1405">
        <v>0</v>
      </c>
      <c r="AO1405">
        <v>0</v>
      </c>
      <c r="AP1405">
        <v>0</v>
      </c>
      <c r="AQ1405">
        <v>0</v>
      </c>
      <c r="AS1405">
        <v>0</v>
      </c>
      <c r="AT1405">
        <v>0</v>
      </c>
      <c r="AV1405">
        <v>0</v>
      </c>
      <c r="AW1405">
        <v>0</v>
      </c>
      <c r="AY1405">
        <v>0</v>
      </c>
      <c r="AZ1405">
        <v>0</v>
      </c>
      <c r="BA1405">
        <v>70</v>
      </c>
      <c r="BE1405" t="str">
        <f>T("9791164097173")</f>
        <v>9791164097173</v>
      </c>
      <c r="BF1405" t="str">
        <f>T("N206918")</f>
        <v>N206918</v>
      </c>
      <c r="BG1405" t="str">
        <f>T("로판 웹소설 &gt; 서양풍 로판")</f>
        <v>로판 웹소설 &gt; 서양풍 로판</v>
      </c>
    </row>
    <row r="1406" spans="1:59">
      <c r="A1406" t="s">
        <v>60</v>
      </c>
      <c r="B1406" s="1">
        <v>46131</v>
      </c>
      <c r="C1406">
        <v>2378036275</v>
      </c>
      <c r="D1406">
        <v>2378042953</v>
      </c>
      <c r="E1406" t="str">
        <f>T("구원자가 도망친 밤 166화")</f>
        <v>구원자가 도망친 밤 166화</v>
      </c>
      <c r="F1406">
        <v>166</v>
      </c>
      <c r="G1406" t="str">
        <f>T("얼든트")</f>
        <v>얼든트</v>
      </c>
      <c r="J1406" t="str">
        <f>T("시계토끼")</f>
        <v>시계토끼</v>
      </c>
      <c r="K1406" t="str">
        <f>T("구원자가 도망친 밤")</f>
        <v>구원자가 도망친 밤</v>
      </c>
      <c r="L1406">
        <v>100</v>
      </c>
      <c r="M1406">
        <v>100</v>
      </c>
      <c r="N1406">
        <v>1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100</v>
      </c>
      <c r="AJ1406">
        <v>1</v>
      </c>
      <c r="AK1406">
        <v>0</v>
      </c>
      <c r="AL1406">
        <v>0</v>
      </c>
      <c r="AM1406">
        <v>100</v>
      </c>
      <c r="AN1406">
        <v>0</v>
      </c>
      <c r="AO1406">
        <v>0</v>
      </c>
      <c r="AP1406">
        <v>0</v>
      </c>
      <c r="AQ1406">
        <v>0</v>
      </c>
      <c r="AS1406">
        <v>0</v>
      </c>
      <c r="AT1406">
        <v>0</v>
      </c>
      <c r="AV1406">
        <v>0</v>
      </c>
      <c r="AW1406">
        <v>0</v>
      </c>
      <c r="AY1406">
        <v>0</v>
      </c>
      <c r="AZ1406">
        <v>0</v>
      </c>
      <c r="BA1406">
        <v>70</v>
      </c>
      <c r="BE1406" t="str">
        <f>T("9791164097173")</f>
        <v>9791164097173</v>
      </c>
      <c r="BF1406" t="str">
        <f>T("N206919")</f>
        <v>N206919</v>
      </c>
      <c r="BG1406" t="str">
        <f>T("로판 웹소설 &gt; 서양풍 로판")</f>
        <v>로판 웹소설 &gt; 서양풍 로판</v>
      </c>
    </row>
    <row r="1407" spans="1:59">
      <c r="A1407" t="s">
        <v>60</v>
      </c>
      <c r="B1407" s="1">
        <v>46131</v>
      </c>
      <c r="C1407">
        <v>2378036275</v>
      </c>
      <c r="D1407">
        <v>2378042981</v>
      </c>
      <c r="E1407" t="str">
        <f>T("구원자가 도망친 밤 167화")</f>
        <v>구원자가 도망친 밤 167화</v>
      </c>
      <c r="F1407">
        <v>167</v>
      </c>
      <c r="G1407" t="str">
        <f>T("얼든트")</f>
        <v>얼든트</v>
      </c>
      <c r="J1407" t="str">
        <f>T("시계토끼")</f>
        <v>시계토끼</v>
      </c>
      <c r="K1407" t="str">
        <f>T("구원자가 도망친 밤")</f>
        <v>구원자가 도망친 밤</v>
      </c>
      <c r="L1407">
        <v>100</v>
      </c>
      <c r="M1407">
        <v>100</v>
      </c>
      <c r="N1407">
        <v>1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100</v>
      </c>
      <c r="AJ1407">
        <v>1</v>
      </c>
      <c r="AK1407">
        <v>0</v>
      </c>
      <c r="AL1407">
        <v>0</v>
      </c>
      <c r="AM1407">
        <v>100</v>
      </c>
      <c r="AN1407">
        <v>0</v>
      </c>
      <c r="AO1407">
        <v>0</v>
      </c>
      <c r="AP1407">
        <v>0</v>
      </c>
      <c r="AQ1407">
        <v>0</v>
      </c>
      <c r="AS1407">
        <v>0</v>
      </c>
      <c r="AT1407">
        <v>0</v>
      </c>
      <c r="AV1407">
        <v>0</v>
      </c>
      <c r="AW1407">
        <v>0</v>
      </c>
      <c r="AY1407">
        <v>0</v>
      </c>
      <c r="AZ1407">
        <v>0</v>
      </c>
      <c r="BA1407">
        <v>70</v>
      </c>
      <c r="BE1407" t="str">
        <f>T("9791164097173")</f>
        <v>9791164097173</v>
      </c>
      <c r="BF1407" t="str">
        <f>T("N206920")</f>
        <v>N206920</v>
      </c>
      <c r="BG1407" t="str">
        <f>T("로판 웹소설 &gt; 서양풍 로판")</f>
        <v>로판 웹소설 &gt; 서양풍 로판</v>
      </c>
    </row>
    <row r="1408" spans="1:59">
      <c r="A1408" t="s">
        <v>60</v>
      </c>
      <c r="B1408" s="1">
        <v>46131</v>
      </c>
      <c r="C1408">
        <v>2378036275</v>
      </c>
      <c r="D1408">
        <v>2378042982</v>
      </c>
      <c r="E1408" t="str">
        <f>T("구원자가 도망친 밤 168화")</f>
        <v>구원자가 도망친 밤 168화</v>
      </c>
      <c r="F1408">
        <v>168</v>
      </c>
      <c r="G1408" t="str">
        <f>T("얼든트")</f>
        <v>얼든트</v>
      </c>
      <c r="J1408" t="str">
        <f>T("시계토끼")</f>
        <v>시계토끼</v>
      </c>
      <c r="K1408" t="str">
        <f>T("구원자가 도망친 밤")</f>
        <v>구원자가 도망친 밤</v>
      </c>
      <c r="L1408">
        <v>100</v>
      </c>
      <c r="M1408">
        <v>100</v>
      </c>
      <c r="N1408">
        <v>1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100</v>
      </c>
      <c r="AJ1408">
        <v>1</v>
      </c>
      <c r="AK1408">
        <v>0</v>
      </c>
      <c r="AL1408">
        <v>0</v>
      </c>
      <c r="AM1408">
        <v>100</v>
      </c>
      <c r="AN1408">
        <v>0</v>
      </c>
      <c r="AO1408">
        <v>0</v>
      </c>
      <c r="AP1408">
        <v>0</v>
      </c>
      <c r="AQ1408">
        <v>0</v>
      </c>
      <c r="AS1408">
        <v>0</v>
      </c>
      <c r="AT1408">
        <v>0</v>
      </c>
      <c r="AV1408">
        <v>0</v>
      </c>
      <c r="AW1408">
        <v>0</v>
      </c>
      <c r="AY1408">
        <v>0</v>
      </c>
      <c r="AZ1408">
        <v>0</v>
      </c>
      <c r="BA1408">
        <v>70</v>
      </c>
      <c r="BE1408" t="str">
        <f>T("9791164097173")</f>
        <v>9791164097173</v>
      </c>
      <c r="BF1408" t="str">
        <f>T("N206921")</f>
        <v>N206921</v>
      </c>
      <c r="BG1408" t="str">
        <f>T("로판 웹소설 &gt; 서양풍 로판")</f>
        <v>로판 웹소설 &gt; 서양풍 로판</v>
      </c>
    </row>
    <row r="1409" spans="1:59">
      <c r="A1409" t="s">
        <v>60</v>
      </c>
      <c r="B1409" s="1">
        <v>46131</v>
      </c>
      <c r="C1409">
        <v>2378036275</v>
      </c>
      <c r="D1409">
        <v>2378043008</v>
      </c>
      <c r="E1409" t="str">
        <f>T("구원자가 도망친 밤 169화")</f>
        <v>구원자가 도망친 밤 169화</v>
      </c>
      <c r="F1409">
        <v>169</v>
      </c>
      <c r="G1409" t="str">
        <f>T("얼든트")</f>
        <v>얼든트</v>
      </c>
      <c r="J1409" t="str">
        <f>T("시계토끼")</f>
        <v>시계토끼</v>
      </c>
      <c r="K1409" t="str">
        <f>T("구원자가 도망친 밤")</f>
        <v>구원자가 도망친 밤</v>
      </c>
      <c r="L1409">
        <v>100</v>
      </c>
      <c r="M1409">
        <v>100</v>
      </c>
      <c r="N1409">
        <v>1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100</v>
      </c>
      <c r="AJ1409">
        <v>1</v>
      </c>
      <c r="AK1409">
        <v>0</v>
      </c>
      <c r="AL1409">
        <v>0</v>
      </c>
      <c r="AM1409">
        <v>100</v>
      </c>
      <c r="AN1409">
        <v>0</v>
      </c>
      <c r="AO1409">
        <v>0</v>
      </c>
      <c r="AP1409">
        <v>0</v>
      </c>
      <c r="AQ1409">
        <v>0</v>
      </c>
      <c r="AS1409">
        <v>0</v>
      </c>
      <c r="AT1409">
        <v>0</v>
      </c>
      <c r="AV1409">
        <v>0</v>
      </c>
      <c r="AW1409">
        <v>0</v>
      </c>
      <c r="AY1409">
        <v>0</v>
      </c>
      <c r="AZ1409">
        <v>0</v>
      </c>
      <c r="BA1409">
        <v>70</v>
      </c>
      <c r="BE1409" t="str">
        <f>T("9791164097173")</f>
        <v>9791164097173</v>
      </c>
      <c r="BF1409" t="str">
        <f>T("N207689")</f>
        <v>N207689</v>
      </c>
      <c r="BG1409" t="str">
        <f>T("로판 웹소설 &gt; 서양풍 로판")</f>
        <v>로판 웹소설 &gt; 서양풍 로판</v>
      </c>
    </row>
    <row r="1410" spans="1:59">
      <c r="A1410" t="s">
        <v>60</v>
      </c>
      <c r="B1410" s="1">
        <v>46131</v>
      </c>
      <c r="C1410">
        <v>2378036275</v>
      </c>
      <c r="D1410">
        <v>2378043023</v>
      </c>
      <c r="E1410" t="str">
        <f>T("구원자가 도망친 밤 170화")</f>
        <v>구원자가 도망친 밤 170화</v>
      </c>
      <c r="F1410">
        <v>170</v>
      </c>
      <c r="G1410" t="str">
        <f>T("얼든트")</f>
        <v>얼든트</v>
      </c>
      <c r="J1410" t="str">
        <f>T("시계토끼")</f>
        <v>시계토끼</v>
      </c>
      <c r="K1410" t="str">
        <f>T("구원자가 도망친 밤")</f>
        <v>구원자가 도망친 밤</v>
      </c>
      <c r="L1410">
        <v>100</v>
      </c>
      <c r="M1410">
        <v>100</v>
      </c>
      <c r="N1410">
        <v>1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100</v>
      </c>
      <c r="AJ1410">
        <v>1</v>
      </c>
      <c r="AK1410">
        <v>0</v>
      </c>
      <c r="AL1410">
        <v>0</v>
      </c>
      <c r="AM1410">
        <v>100</v>
      </c>
      <c r="AN1410">
        <v>0</v>
      </c>
      <c r="AO1410">
        <v>0</v>
      </c>
      <c r="AP1410">
        <v>0</v>
      </c>
      <c r="AQ1410">
        <v>0</v>
      </c>
      <c r="AS1410">
        <v>0</v>
      </c>
      <c r="AT1410">
        <v>0</v>
      </c>
      <c r="AV1410">
        <v>0</v>
      </c>
      <c r="AW1410">
        <v>0</v>
      </c>
      <c r="AY1410">
        <v>0</v>
      </c>
      <c r="AZ1410">
        <v>0</v>
      </c>
      <c r="BA1410">
        <v>70</v>
      </c>
      <c r="BE1410" t="str">
        <f>T("9791164097173")</f>
        <v>9791164097173</v>
      </c>
      <c r="BF1410" t="str">
        <f>T("N207690")</f>
        <v>N207690</v>
      </c>
      <c r="BG1410" t="str">
        <f>T("로판 웹소설 &gt; 서양풍 로판")</f>
        <v>로판 웹소설 &gt; 서양풍 로판</v>
      </c>
    </row>
    <row r="1411" spans="1:59">
      <c r="A1411" t="s">
        <v>60</v>
      </c>
      <c r="B1411" s="1">
        <v>46131</v>
      </c>
      <c r="C1411">
        <v>2378036275</v>
      </c>
      <c r="D1411">
        <v>2378043054</v>
      </c>
      <c r="E1411" t="str">
        <f>T("구원자가 도망친 밤 171화")</f>
        <v>구원자가 도망친 밤 171화</v>
      </c>
      <c r="F1411">
        <v>171</v>
      </c>
      <c r="G1411" t="str">
        <f>T("얼든트")</f>
        <v>얼든트</v>
      </c>
      <c r="J1411" t="str">
        <f>T("시계토끼")</f>
        <v>시계토끼</v>
      </c>
      <c r="K1411" t="str">
        <f>T("구원자가 도망친 밤")</f>
        <v>구원자가 도망친 밤</v>
      </c>
      <c r="L1411">
        <v>100</v>
      </c>
      <c r="M1411">
        <v>100</v>
      </c>
      <c r="N1411">
        <v>1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100</v>
      </c>
      <c r="AJ1411">
        <v>1</v>
      </c>
      <c r="AK1411">
        <v>0</v>
      </c>
      <c r="AL1411">
        <v>0</v>
      </c>
      <c r="AM1411">
        <v>100</v>
      </c>
      <c r="AN1411">
        <v>0</v>
      </c>
      <c r="AO1411">
        <v>0</v>
      </c>
      <c r="AP1411">
        <v>0</v>
      </c>
      <c r="AQ1411">
        <v>0</v>
      </c>
      <c r="AS1411">
        <v>0</v>
      </c>
      <c r="AT1411">
        <v>0</v>
      </c>
      <c r="AV1411">
        <v>0</v>
      </c>
      <c r="AW1411">
        <v>0</v>
      </c>
      <c r="AY1411">
        <v>0</v>
      </c>
      <c r="AZ1411">
        <v>0</v>
      </c>
      <c r="BA1411">
        <v>70</v>
      </c>
      <c r="BE1411" t="str">
        <f>T("9791164097173")</f>
        <v>9791164097173</v>
      </c>
      <c r="BF1411" t="str">
        <f>T("N207691")</f>
        <v>N207691</v>
      </c>
      <c r="BG1411" t="str">
        <f>T("로판 웹소설 &gt; 서양풍 로판")</f>
        <v>로판 웹소설 &gt; 서양풍 로판</v>
      </c>
    </row>
    <row r="1412" spans="1:59">
      <c r="A1412" t="s">
        <v>60</v>
      </c>
      <c r="B1412" s="1">
        <v>46131</v>
      </c>
      <c r="C1412">
        <v>2378036275</v>
      </c>
      <c r="D1412">
        <v>2378043071</v>
      </c>
      <c r="E1412" t="str">
        <f>T("구원자가 도망친 밤 172화")</f>
        <v>구원자가 도망친 밤 172화</v>
      </c>
      <c r="F1412">
        <v>172</v>
      </c>
      <c r="G1412" t="str">
        <f>T("얼든트")</f>
        <v>얼든트</v>
      </c>
      <c r="J1412" t="str">
        <f>T("시계토끼")</f>
        <v>시계토끼</v>
      </c>
      <c r="K1412" t="str">
        <f>T("구원자가 도망친 밤")</f>
        <v>구원자가 도망친 밤</v>
      </c>
      <c r="L1412">
        <v>100</v>
      </c>
      <c r="M1412">
        <v>100</v>
      </c>
      <c r="N1412">
        <v>1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100</v>
      </c>
      <c r="AJ1412">
        <v>1</v>
      </c>
      <c r="AK1412">
        <v>0</v>
      </c>
      <c r="AL1412">
        <v>0</v>
      </c>
      <c r="AM1412">
        <v>100</v>
      </c>
      <c r="AN1412">
        <v>0</v>
      </c>
      <c r="AO1412">
        <v>0</v>
      </c>
      <c r="AP1412">
        <v>0</v>
      </c>
      <c r="AQ1412">
        <v>0</v>
      </c>
      <c r="AS1412">
        <v>0</v>
      </c>
      <c r="AT1412">
        <v>0</v>
      </c>
      <c r="AV1412">
        <v>0</v>
      </c>
      <c r="AW1412">
        <v>0</v>
      </c>
      <c r="AY1412">
        <v>0</v>
      </c>
      <c r="AZ1412">
        <v>0</v>
      </c>
      <c r="BA1412">
        <v>70</v>
      </c>
      <c r="BE1412" t="str">
        <f>T("9791164097173")</f>
        <v>9791164097173</v>
      </c>
      <c r="BF1412" t="str">
        <f>T("N207692")</f>
        <v>N207692</v>
      </c>
      <c r="BG1412" t="str">
        <f>T("로판 웹소설 &gt; 서양풍 로판")</f>
        <v>로판 웹소설 &gt; 서양풍 로판</v>
      </c>
    </row>
    <row r="1413" spans="1:59">
      <c r="A1413" t="s">
        <v>60</v>
      </c>
      <c r="B1413" s="1">
        <v>46131</v>
      </c>
      <c r="C1413">
        <v>2378036275</v>
      </c>
      <c r="D1413">
        <v>2378043087</v>
      </c>
      <c r="E1413" t="str">
        <f>T("구원자가 도망친 밤 173화")</f>
        <v>구원자가 도망친 밤 173화</v>
      </c>
      <c r="F1413">
        <v>173</v>
      </c>
      <c r="G1413" t="str">
        <f>T("얼든트")</f>
        <v>얼든트</v>
      </c>
      <c r="J1413" t="str">
        <f>T("시계토끼")</f>
        <v>시계토끼</v>
      </c>
      <c r="K1413" t="str">
        <f>T("구원자가 도망친 밤")</f>
        <v>구원자가 도망친 밤</v>
      </c>
      <c r="L1413">
        <v>100</v>
      </c>
      <c r="M1413">
        <v>100</v>
      </c>
      <c r="N1413">
        <v>1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100</v>
      </c>
      <c r="AJ1413">
        <v>1</v>
      </c>
      <c r="AK1413">
        <v>0</v>
      </c>
      <c r="AL1413">
        <v>0</v>
      </c>
      <c r="AM1413">
        <v>100</v>
      </c>
      <c r="AN1413">
        <v>0</v>
      </c>
      <c r="AO1413">
        <v>0</v>
      </c>
      <c r="AP1413">
        <v>0</v>
      </c>
      <c r="AQ1413">
        <v>0</v>
      </c>
      <c r="AS1413">
        <v>0</v>
      </c>
      <c r="AT1413">
        <v>0</v>
      </c>
      <c r="AV1413">
        <v>0</v>
      </c>
      <c r="AW1413">
        <v>0</v>
      </c>
      <c r="AY1413">
        <v>0</v>
      </c>
      <c r="AZ1413">
        <v>0</v>
      </c>
      <c r="BA1413">
        <v>70</v>
      </c>
      <c r="BE1413" t="str">
        <f>T("9791164097173")</f>
        <v>9791164097173</v>
      </c>
      <c r="BF1413" t="str">
        <f>T("N207693")</f>
        <v>N207693</v>
      </c>
      <c r="BG1413" t="str">
        <f>T("로판 웹소설 &gt; 서양풍 로판")</f>
        <v>로판 웹소설 &gt; 서양풍 로판</v>
      </c>
    </row>
    <row r="1414" spans="1:59">
      <c r="A1414" t="s">
        <v>60</v>
      </c>
      <c r="B1414" s="1">
        <v>46131</v>
      </c>
      <c r="C1414">
        <v>2378036275</v>
      </c>
      <c r="D1414">
        <v>2378043094</v>
      </c>
      <c r="E1414" t="str">
        <f>T("구원자가 도망친 밤 174화")</f>
        <v>구원자가 도망친 밤 174화</v>
      </c>
      <c r="F1414">
        <v>174</v>
      </c>
      <c r="G1414" t="str">
        <f>T("얼든트")</f>
        <v>얼든트</v>
      </c>
      <c r="J1414" t="str">
        <f>T("시계토끼")</f>
        <v>시계토끼</v>
      </c>
      <c r="K1414" t="str">
        <f>T("구원자가 도망친 밤")</f>
        <v>구원자가 도망친 밤</v>
      </c>
      <c r="L1414">
        <v>100</v>
      </c>
      <c r="M1414">
        <v>100</v>
      </c>
      <c r="N1414">
        <v>1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100</v>
      </c>
      <c r="AJ1414">
        <v>1</v>
      </c>
      <c r="AK1414">
        <v>0</v>
      </c>
      <c r="AL1414">
        <v>0</v>
      </c>
      <c r="AM1414">
        <v>100</v>
      </c>
      <c r="AN1414">
        <v>0</v>
      </c>
      <c r="AO1414">
        <v>0</v>
      </c>
      <c r="AP1414">
        <v>0</v>
      </c>
      <c r="AQ1414">
        <v>0</v>
      </c>
      <c r="AS1414">
        <v>0</v>
      </c>
      <c r="AT1414">
        <v>0</v>
      </c>
      <c r="AV1414">
        <v>0</v>
      </c>
      <c r="AW1414">
        <v>0</v>
      </c>
      <c r="AY1414">
        <v>0</v>
      </c>
      <c r="AZ1414">
        <v>0</v>
      </c>
      <c r="BA1414">
        <v>70</v>
      </c>
      <c r="BE1414" t="str">
        <f>T("9791164097173")</f>
        <v>9791164097173</v>
      </c>
      <c r="BF1414" t="str">
        <f>T("N210975")</f>
        <v>N210975</v>
      </c>
      <c r="BG1414" t="str">
        <f>T("로판 웹소설 &gt; 서양풍 로판")</f>
        <v>로판 웹소설 &gt; 서양풍 로판</v>
      </c>
    </row>
    <row r="1415" spans="1:59">
      <c r="A1415" t="s">
        <v>60</v>
      </c>
      <c r="B1415" s="1">
        <v>46131</v>
      </c>
      <c r="C1415">
        <v>2378036275</v>
      </c>
      <c r="D1415">
        <v>2378043104</v>
      </c>
      <c r="E1415" t="str">
        <f>T("구원자가 도망친 밤 175화")</f>
        <v>구원자가 도망친 밤 175화</v>
      </c>
      <c r="F1415">
        <v>175</v>
      </c>
      <c r="G1415" t="str">
        <f>T("얼든트")</f>
        <v>얼든트</v>
      </c>
      <c r="J1415" t="str">
        <f>T("시계토끼")</f>
        <v>시계토끼</v>
      </c>
      <c r="K1415" t="str">
        <f>T("구원자가 도망친 밤")</f>
        <v>구원자가 도망친 밤</v>
      </c>
      <c r="L1415">
        <v>100</v>
      </c>
      <c r="M1415">
        <v>100</v>
      </c>
      <c r="N1415">
        <v>1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100</v>
      </c>
      <c r="AJ1415">
        <v>1</v>
      </c>
      <c r="AK1415">
        <v>0</v>
      </c>
      <c r="AL1415">
        <v>0</v>
      </c>
      <c r="AM1415">
        <v>100</v>
      </c>
      <c r="AN1415">
        <v>0</v>
      </c>
      <c r="AO1415">
        <v>0</v>
      </c>
      <c r="AP1415">
        <v>0</v>
      </c>
      <c r="AQ1415">
        <v>0</v>
      </c>
      <c r="AS1415">
        <v>0</v>
      </c>
      <c r="AT1415">
        <v>0</v>
      </c>
      <c r="AV1415">
        <v>0</v>
      </c>
      <c r="AW1415">
        <v>0</v>
      </c>
      <c r="AY1415">
        <v>0</v>
      </c>
      <c r="AZ1415">
        <v>0</v>
      </c>
      <c r="BA1415">
        <v>70</v>
      </c>
      <c r="BE1415" t="str">
        <f>T("9791164097173")</f>
        <v>9791164097173</v>
      </c>
      <c r="BF1415" t="str">
        <f>T("N210976")</f>
        <v>N210976</v>
      </c>
      <c r="BG1415" t="str">
        <f>T("로판 웹소설 &gt; 서양풍 로판")</f>
        <v>로판 웹소설 &gt; 서양풍 로판</v>
      </c>
    </row>
    <row r="1416" spans="1:59">
      <c r="A1416" t="s">
        <v>60</v>
      </c>
      <c r="B1416" s="1">
        <v>46131</v>
      </c>
      <c r="C1416">
        <v>2378036275</v>
      </c>
      <c r="D1416">
        <v>2378043120</v>
      </c>
      <c r="E1416" t="str">
        <f>T("구원자가 도망친 밤 176화")</f>
        <v>구원자가 도망친 밤 176화</v>
      </c>
      <c r="F1416">
        <v>176</v>
      </c>
      <c r="G1416" t="str">
        <f>T("얼든트")</f>
        <v>얼든트</v>
      </c>
      <c r="J1416" t="str">
        <f>T("시계토끼")</f>
        <v>시계토끼</v>
      </c>
      <c r="K1416" t="str">
        <f>T("구원자가 도망친 밤")</f>
        <v>구원자가 도망친 밤</v>
      </c>
      <c r="L1416">
        <v>100</v>
      </c>
      <c r="M1416">
        <v>100</v>
      </c>
      <c r="N1416">
        <v>1</v>
      </c>
      <c r="O1416">
        <v>0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100</v>
      </c>
      <c r="AJ1416">
        <v>1</v>
      </c>
      <c r="AK1416">
        <v>0</v>
      </c>
      <c r="AL1416">
        <v>0</v>
      </c>
      <c r="AM1416">
        <v>100</v>
      </c>
      <c r="AN1416">
        <v>0</v>
      </c>
      <c r="AO1416">
        <v>0</v>
      </c>
      <c r="AP1416">
        <v>0</v>
      </c>
      <c r="AQ1416">
        <v>0</v>
      </c>
      <c r="AS1416">
        <v>0</v>
      </c>
      <c r="AT1416">
        <v>0</v>
      </c>
      <c r="AV1416">
        <v>0</v>
      </c>
      <c r="AW1416">
        <v>0</v>
      </c>
      <c r="AY1416">
        <v>0</v>
      </c>
      <c r="AZ1416">
        <v>0</v>
      </c>
      <c r="BA1416">
        <v>70</v>
      </c>
      <c r="BE1416" t="str">
        <f>T("9791164097173")</f>
        <v>9791164097173</v>
      </c>
      <c r="BF1416" t="str">
        <f>T("N210977")</f>
        <v>N210977</v>
      </c>
      <c r="BG1416" t="str">
        <f>T("로판 웹소설 &gt; 서양풍 로판")</f>
        <v>로판 웹소설 &gt; 서양풍 로판</v>
      </c>
    </row>
    <row r="1417" spans="1:59">
      <c r="A1417" t="s">
        <v>60</v>
      </c>
      <c r="B1417" s="1">
        <v>46131</v>
      </c>
      <c r="C1417">
        <v>2378036275</v>
      </c>
      <c r="D1417">
        <v>2378043127</v>
      </c>
      <c r="E1417" t="str">
        <f>T("구원자가 도망친 밤 177화")</f>
        <v>구원자가 도망친 밤 177화</v>
      </c>
      <c r="F1417">
        <v>177</v>
      </c>
      <c r="G1417" t="str">
        <f>T("얼든트")</f>
        <v>얼든트</v>
      </c>
      <c r="J1417" t="str">
        <f>T("시계토끼")</f>
        <v>시계토끼</v>
      </c>
      <c r="K1417" t="str">
        <f>T("구원자가 도망친 밤")</f>
        <v>구원자가 도망친 밤</v>
      </c>
      <c r="L1417">
        <v>100</v>
      </c>
      <c r="M1417">
        <v>100</v>
      </c>
      <c r="N1417">
        <v>1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100</v>
      </c>
      <c r="AJ1417">
        <v>1</v>
      </c>
      <c r="AK1417">
        <v>0</v>
      </c>
      <c r="AL1417">
        <v>0</v>
      </c>
      <c r="AM1417">
        <v>100</v>
      </c>
      <c r="AN1417">
        <v>0</v>
      </c>
      <c r="AO1417">
        <v>0</v>
      </c>
      <c r="AP1417">
        <v>0</v>
      </c>
      <c r="AQ1417">
        <v>0</v>
      </c>
      <c r="AS1417">
        <v>0</v>
      </c>
      <c r="AT1417">
        <v>0</v>
      </c>
      <c r="AV1417">
        <v>0</v>
      </c>
      <c r="AW1417">
        <v>0</v>
      </c>
      <c r="AY1417">
        <v>0</v>
      </c>
      <c r="AZ1417">
        <v>0</v>
      </c>
      <c r="BA1417">
        <v>70</v>
      </c>
      <c r="BE1417" t="str">
        <f>T("9791164097173")</f>
        <v>9791164097173</v>
      </c>
      <c r="BF1417" t="str">
        <f>T("N210978")</f>
        <v>N210978</v>
      </c>
      <c r="BG1417" t="str">
        <f>T("로판 웹소설 &gt; 서양풍 로판")</f>
        <v>로판 웹소설 &gt; 서양풍 로판</v>
      </c>
    </row>
    <row r="1418" spans="1:59">
      <c r="A1418" t="s">
        <v>60</v>
      </c>
      <c r="B1418" s="1">
        <v>46131</v>
      </c>
      <c r="C1418">
        <v>2378036275</v>
      </c>
      <c r="D1418">
        <v>2378043237</v>
      </c>
      <c r="E1418" t="str">
        <f>T("구원자가 도망친 밤 178화")</f>
        <v>구원자가 도망친 밤 178화</v>
      </c>
      <c r="F1418">
        <v>178</v>
      </c>
      <c r="G1418" t="str">
        <f>T("얼든트")</f>
        <v>얼든트</v>
      </c>
      <c r="J1418" t="str">
        <f>T("시계토끼")</f>
        <v>시계토끼</v>
      </c>
      <c r="K1418" t="str">
        <f>T("구원자가 도망친 밤")</f>
        <v>구원자가 도망친 밤</v>
      </c>
      <c r="L1418">
        <v>100</v>
      </c>
      <c r="M1418">
        <v>100</v>
      </c>
      <c r="N1418">
        <v>1</v>
      </c>
      <c r="O1418">
        <v>0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100</v>
      </c>
      <c r="AJ1418">
        <v>1</v>
      </c>
      <c r="AK1418">
        <v>0</v>
      </c>
      <c r="AL1418">
        <v>0</v>
      </c>
      <c r="AM1418">
        <v>100</v>
      </c>
      <c r="AN1418">
        <v>0</v>
      </c>
      <c r="AO1418">
        <v>0</v>
      </c>
      <c r="AP1418">
        <v>0</v>
      </c>
      <c r="AQ1418">
        <v>0</v>
      </c>
      <c r="AS1418">
        <v>0</v>
      </c>
      <c r="AT1418">
        <v>0</v>
      </c>
      <c r="AV1418">
        <v>0</v>
      </c>
      <c r="AW1418">
        <v>0</v>
      </c>
      <c r="AY1418">
        <v>0</v>
      </c>
      <c r="AZ1418">
        <v>0</v>
      </c>
      <c r="BA1418">
        <v>70</v>
      </c>
      <c r="BE1418" t="str">
        <f>T("9791164097173")</f>
        <v>9791164097173</v>
      </c>
      <c r="BF1418" t="str">
        <f>T("N210979")</f>
        <v>N210979</v>
      </c>
      <c r="BG1418" t="str">
        <f>T("로판 웹소설 &gt; 서양풍 로판")</f>
        <v>로판 웹소설 &gt; 서양풍 로판</v>
      </c>
    </row>
    <row r="1419" spans="1:59">
      <c r="A1419" t="s">
        <v>60</v>
      </c>
      <c r="B1419" s="1">
        <v>46131</v>
      </c>
      <c r="C1419">
        <v>2378036275</v>
      </c>
      <c r="D1419">
        <v>2378043255</v>
      </c>
      <c r="E1419" t="str">
        <f>T("구원자가 도망친 밤 179화")</f>
        <v>구원자가 도망친 밤 179화</v>
      </c>
      <c r="F1419">
        <v>179</v>
      </c>
      <c r="G1419" t="str">
        <f>T("얼든트")</f>
        <v>얼든트</v>
      </c>
      <c r="J1419" t="str">
        <f>T("시계토끼")</f>
        <v>시계토끼</v>
      </c>
      <c r="K1419" t="str">
        <f>T("구원자가 도망친 밤")</f>
        <v>구원자가 도망친 밤</v>
      </c>
      <c r="L1419">
        <v>100</v>
      </c>
      <c r="M1419">
        <v>100</v>
      </c>
      <c r="N1419">
        <v>1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100</v>
      </c>
      <c r="AJ1419">
        <v>1</v>
      </c>
      <c r="AK1419">
        <v>0</v>
      </c>
      <c r="AL1419">
        <v>0</v>
      </c>
      <c r="AM1419">
        <v>100</v>
      </c>
      <c r="AN1419">
        <v>0</v>
      </c>
      <c r="AO1419">
        <v>0</v>
      </c>
      <c r="AP1419">
        <v>0</v>
      </c>
      <c r="AQ1419">
        <v>0</v>
      </c>
      <c r="AS1419">
        <v>0</v>
      </c>
      <c r="AT1419">
        <v>0</v>
      </c>
      <c r="AV1419">
        <v>0</v>
      </c>
      <c r="AW1419">
        <v>0</v>
      </c>
      <c r="AY1419">
        <v>0</v>
      </c>
      <c r="AZ1419">
        <v>0</v>
      </c>
      <c r="BA1419">
        <v>70</v>
      </c>
      <c r="BE1419" t="str">
        <f>T("9791164097173")</f>
        <v>9791164097173</v>
      </c>
      <c r="BF1419" t="str">
        <f>T("N214983")</f>
        <v>N214983</v>
      </c>
      <c r="BG1419" t="str">
        <f>T("로판 웹소설 &gt; 서양풍 로판")</f>
        <v>로판 웹소설 &gt; 서양풍 로판</v>
      </c>
    </row>
    <row r="1420" spans="1:59">
      <c r="A1420" t="s">
        <v>60</v>
      </c>
      <c r="B1420" s="1">
        <v>46131</v>
      </c>
      <c r="C1420">
        <v>2378036275</v>
      </c>
      <c r="D1420">
        <v>2378043261</v>
      </c>
      <c r="E1420" t="str">
        <f>T("구원자가 도망친 밤 180화")</f>
        <v>구원자가 도망친 밤 180화</v>
      </c>
      <c r="F1420">
        <v>180</v>
      </c>
      <c r="G1420" t="str">
        <f>T("얼든트")</f>
        <v>얼든트</v>
      </c>
      <c r="J1420" t="str">
        <f>T("시계토끼")</f>
        <v>시계토끼</v>
      </c>
      <c r="K1420" t="str">
        <f>T("구원자가 도망친 밤")</f>
        <v>구원자가 도망친 밤</v>
      </c>
      <c r="L1420">
        <v>100</v>
      </c>
      <c r="M1420">
        <v>100</v>
      </c>
      <c r="N1420">
        <v>1</v>
      </c>
      <c r="O1420">
        <v>0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100</v>
      </c>
      <c r="AJ1420">
        <v>1</v>
      </c>
      <c r="AK1420">
        <v>0</v>
      </c>
      <c r="AL1420">
        <v>0</v>
      </c>
      <c r="AM1420">
        <v>100</v>
      </c>
      <c r="AN1420">
        <v>0</v>
      </c>
      <c r="AO1420">
        <v>0</v>
      </c>
      <c r="AP1420">
        <v>0</v>
      </c>
      <c r="AQ1420">
        <v>0</v>
      </c>
      <c r="AS1420">
        <v>0</v>
      </c>
      <c r="AT1420">
        <v>0</v>
      </c>
      <c r="AV1420">
        <v>0</v>
      </c>
      <c r="AW1420">
        <v>0</v>
      </c>
      <c r="AY1420">
        <v>0</v>
      </c>
      <c r="AZ1420">
        <v>0</v>
      </c>
      <c r="BA1420">
        <v>70</v>
      </c>
      <c r="BE1420" t="str">
        <f>T("9791164097173")</f>
        <v>9791164097173</v>
      </c>
      <c r="BF1420" t="str">
        <f>T("N214984")</f>
        <v>N214984</v>
      </c>
      <c r="BG1420" t="str">
        <f>T("로판 웹소설 &gt; 서양풍 로판")</f>
        <v>로판 웹소설 &gt; 서양풍 로판</v>
      </c>
    </row>
    <row r="1421" spans="1:59">
      <c r="A1421" t="s">
        <v>60</v>
      </c>
      <c r="B1421" s="1">
        <v>46131</v>
      </c>
      <c r="C1421">
        <v>2378036275</v>
      </c>
      <c r="D1421">
        <v>2378043286</v>
      </c>
      <c r="E1421" t="str">
        <f>T("구원자가 도망친 밤 181화")</f>
        <v>구원자가 도망친 밤 181화</v>
      </c>
      <c r="F1421">
        <v>181</v>
      </c>
      <c r="G1421" t="str">
        <f>T("얼든트")</f>
        <v>얼든트</v>
      </c>
      <c r="J1421" t="str">
        <f>T("시계토끼")</f>
        <v>시계토끼</v>
      </c>
      <c r="K1421" t="str">
        <f>T("구원자가 도망친 밤")</f>
        <v>구원자가 도망친 밤</v>
      </c>
      <c r="L1421">
        <v>100</v>
      </c>
      <c r="M1421">
        <v>100</v>
      </c>
      <c r="N1421">
        <v>1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100</v>
      </c>
      <c r="AJ1421">
        <v>1</v>
      </c>
      <c r="AK1421">
        <v>0</v>
      </c>
      <c r="AL1421">
        <v>0</v>
      </c>
      <c r="AM1421">
        <v>100</v>
      </c>
      <c r="AN1421">
        <v>0</v>
      </c>
      <c r="AO1421">
        <v>0</v>
      </c>
      <c r="AP1421">
        <v>0</v>
      </c>
      <c r="AQ1421">
        <v>0</v>
      </c>
      <c r="AS1421">
        <v>0</v>
      </c>
      <c r="AT1421">
        <v>0</v>
      </c>
      <c r="AV1421">
        <v>0</v>
      </c>
      <c r="AW1421">
        <v>0</v>
      </c>
      <c r="AY1421">
        <v>0</v>
      </c>
      <c r="AZ1421">
        <v>0</v>
      </c>
      <c r="BA1421">
        <v>70</v>
      </c>
      <c r="BE1421" t="str">
        <f>T("9791164097173")</f>
        <v>9791164097173</v>
      </c>
      <c r="BF1421" t="str">
        <f>T("N214985")</f>
        <v>N214985</v>
      </c>
      <c r="BG1421" t="str">
        <f>T("로판 웹소설 &gt; 서양풍 로판")</f>
        <v>로판 웹소설 &gt; 서양풍 로판</v>
      </c>
    </row>
    <row r="1422" spans="1:59">
      <c r="A1422" t="s">
        <v>60</v>
      </c>
      <c r="B1422" s="1">
        <v>46131</v>
      </c>
      <c r="C1422">
        <v>2378036275</v>
      </c>
      <c r="D1422">
        <v>2378043293</v>
      </c>
      <c r="E1422" t="str">
        <f>T("구원자가 도망친 밤 182화")</f>
        <v>구원자가 도망친 밤 182화</v>
      </c>
      <c r="F1422">
        <v>182</v>
      </c>
      <c r="G1422" t="str">
        <f>T("얼든트")</f>
        <v>얼든트</v>
      </c>
      <c r="J1422" t="str">
        <f>T("시계토끼")</f>
        <v>시계토끼</v>
      </c>
      <c r="K1422" t="str">
        <f>T("구원자가 도망친 밤")</f>
        <v>구원자가 도망친 밤</v>
      </c>
      <c r="L1422">
        <v>100</v>
      </c>
      <c r="M1422">
        <v>100</v>
      </c>
      <c r="N1422">
        <v>1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100</v>
      </c>
      <c r="AJ1422">
        <v>1</v>
      </c>
      <c r="AK1422">
        <v>0</v>
      </c>
      <c r="AL1422">
        <v>0</v>
      </c>
      <c r="AM1422">
        <v>100</v>
      </c>
      <c r="AN1422">
        <v>0</v>
      </c>
      <c r="AO1422">
        <v>0</v>
      </c>
      <c r="AP1422">
        <v>0</v>
      </c>
      <c r="AQ1422">
        <v>0</v>
      </c>
      <c r="AS1422">
        <v>0</v>
      </c>
      <c r="AT1422">
        <v>0</v>
      </c>
      <c r="AV1422">
        <v>0</v>
      </c>
      <c r="AW1422">
        <v>0</v>
      </c>
      <c r="AY1422">
        <v>0</v>
      </c>
      <c r="AZ1422">
        <v>0</v>
      </c>
      <c r="BA1422">
        <v>70</v>
      </c>
      <c r="BE1422" t="str">
        <f>T("9791164097173")</f>
        <v>9791164097173</v>
      </c>
      <c r="BF1422" t="str">
        <f>T("N214986")</f>
        <v>N214986</v>
      </c>
      <c r="BG1422" t="str">
        <f>T("로판 웹소설 &gt; 서양풍 로판")</f>
        <v>로판 웹소설 &gt; 서양풍 로판</v>
      </c>
    </row>
    <row r="1423" spans="1:59">
      <c r="A1423" t="s">
        <v>60</v>
      </c>
      <c r="B1423" s="1">
        <v>46131</v>
      </c>
      <c r="C1423">
        <v>2378036275</v>
      </c>
      <c r="D1423">
        <v>2378043307</v>
      </c>
      <c r="E1423" t="str">
        <f>T("구원자가 도망친 밤 183화")</f>
        <v>구원자가 도망친 밤 183화</v>
      </c>
      <c r="F1423">
        <v>183</v>
      </c>
      <c r="G1423" t="str">
        <f>T("얼든트")</f>
        <v>얼든트</v>
      </c>
      <c r="J1423" t="str">
        <f>T("시계토끼")</f>
        <v>시계토끼</v>
      </c>
      <c r="K1423" t="str">
        <f>T("구원자가 도망친 밤")</f>
        <v>구원자가 도망친 밤</v>
      </c>
      <c r="L1423">
        <v>100</v>
      </c>
      <c r="M1423">
        <v>100</v>
      </c>
      <c r="N1423">
        <v>1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100</v>
      </c>
      <c r="AJ1423">
        <v>1</v>
      </c>
      <c r="AK1423">
        <v>0</v>
      </c>
      <c r="AL1423">
        <v>0</v>
      </c>
      <c r="AM1423">
        <v>100</v>
      </c>
      <c r="AN1423">
        <v>0</v>
      </c>
      <c r="AO1423">
        <v>0</v>
      </c>
      <c r="AP1423">
        <v>0</v>
      </c>
      <c r="AQ1423">
        <v>0</v>
      </c>
      <c r="AS1423">
        <v>0</v>
      </c>
      <c r="AT1423">
        <v>0</v>
      </c>
      <c r="AV1423">
        <v>0</v>
      </c>
      <c r="AW1423">
        <v>0</v>
      </c>
      <c r="AY1423">
        <v>0</v>
      </c>
      <c r="AZ1423">
        <v>0</v>
      </c>
      <c r="BA1423">
        <v>70</v>
      </c>
      <c r="BE1423" t="str">
        <f>T("9791164097173")</f>
        <v>9791164097173</v>
      </c>
      <c r="BF1423" t="str">
        <f>T("N214987")</f>
        <v>N214987</v>
      </c>
      <c r="BG1423" t="str">
        <f>T("로판 웹소설 &gt; 서양풍 로판")</f>
        <v>로판 웹소설 &gt; 서양풍 로판</v>
      </c>
    </row>
    <row r="1424" spans="1:59">
      <c r="A1424" t="s">
        <v>60</v>
      </c>
      <c r="B1424" s="1">
        <v>46131</v>
      </c>
      <c r="C1424">
        <v>2378036275</v>
      </c>
      <c r="D1424">
        <v>2378043343</v>
      </c>
      <c r="E1424" t="str">
        <f>T("구원자가 도망친 밤 184화")</f>
        <v>구원자가 도망친 밤 184화</v>
      </c>
      <c r="F1424">
        <v>184</v>
      </c>
      <c r="G1424" t="str">
        <f>T("얼든트")</f>
        <v>얼든트</v>
      </c>
      <c r="J1424" t="str">
        <f>T("시계토끼")</f>
        <v>시계토끼</v>
      </c>
      <c r="K1424" t="str">
        <f>T("구원자가 도망친 밤")</f>
        <v>구원자가 도망친 밤</v>
      </c>
      <c r="L1424">
        <v>100</v>
      </c>
      <c r="M1424">
        <v>100</v>
      </c>
      <c r="N1424">
        <v>1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100</v>
      </c>
      <c r="AJ1424">
        <v>1</v>
      </c>
      <c r="AK1424">
        <v>0</v>
      </c>
      <c r="AL1424">
        <v>0</v>
      </c>
      <c r="AM1424">
        <v>100</v>
      </c>
      <c r="AN1424">
        <v>0</v>
      </c>
      <c r="AO1424">
        <v>0</v>
      </c>
      <c r="AP1424">
        <v>0</v>
      </c>
      <c r="AQ1424">
        <v>0</v>
      </c>
      <c r="AS1424">
        <v>0</v>
      </c>
      <c r="AT1424">
        <v>0</v>
      </c>
      <c r="AV1424">
        <v>0</v>
      </c>
      <c r="AW1424">
        <v>0</v>
      </c>
      <c r="AY1424">
        <v>0</v>
      </c>
      <c r="AZ1424">
        <v>0</v>
      </c>
      <c r="BA1424">
        <v>70</v>
      </c>
      <c r="BE1424" t="str">
        <f>T("9791164097173")</f>
        <v>9791164097173</v>
      </c>
      <c r="BF1424" t="str">
        <f>T("N216751")</f>
        <v>N216751</v>
      </c>
      <c r="BG1424" t="str">
        <f>T("로판 웹소설 &gt; 서양풍 로판")</f>
        <v>로판 웹소설 &gt; 서양풍 로판</v>
      </c>
    </row>
    <row r="1425" spans="1:59">
      <c r="A1425" t="s">
        <v>60</v>
      </c>
      <c r="B1425" s="1">
        <v>46131</v>
      </c>
      <c r="C1425">
        <v>2378036275</v>
      </c>
      <c r="D1425">
        <v>2378043351</v>
      </c>
      <c r="E1425" t="str">
        <f>T("구원자가 도망친 밤 185화")</f>
        <v>구원자가 도망친 밤 185화</v>
      </c>
      <c r="F1425">
        <v>185</v>
      </c>
      <c r="G1425" t="str">
        <f>T("얼든트")</f>
        <v>얼든트</v>
      </c>
      <c r="J1425" t="str">
        <f>T("시계토끼")</f>
        <v>시계토끼</v>
      </c>
      <c r="K1425" t="str">
        <f>T("구원자가 도망친 밤")</f>
        <v>구원자가 도망친 밤</v>
      </c>
      <c r="L1425">
        <v>100</v>
      </c>
      <c r="M1425">
        <v>100</v>
      </c>
      <c r="N1425">
        <v>1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100</v>
      </c>
      <c r="AJ1425">
        <v>1</v>
      </c>
      <c r="AK1425">
        <v>0</v>
      </c>
      <c r="AL1425">
        <v>0</v>
      </c>
      <c r="AM1425">
        <v>100</v>
      </c>
      <c r="AN1425">
        <v>0</v>
      </c>
      <c r="AO1425">
        <v>0</v>
      </c>
      <c r="AP1425">
        <v>0</v>
      </c>
      <c r="AQ1425">
        <v>0</v>
      </c>
      <c r="AS1425">
        <v>0</v>
      </c>
      <c r="AT1425">
        <v>0</v>
      </c>
      <c r="AV1425">
        <v>0</v>
      </c>
      <c r="AW1425">
        <v>0</v>
      </c>
      <c r="AY1425">
        <v>0</v>
      </c>
      <c r="AZ1425">
        <v>0</v>
      </c>
      <c r="BA1425">
        <v>70</v>
      </c>
      <c r="BE1425" t="str">
        <f>T("9791164097173")</f>
        <v>9791164097173</v>
      </c>
      <c r="BF1425" t="str">
        <f>T("N216752")</f>
        <v>N216752</v>
      </c>
      <c r="BG1425" t="str">
        <f>T("로판 웹소설 &gt; 서양풍 로판")</f>
        <v>로판 웹소설 &gt; 서양풍 로판</v>
      </c>
    </row>
    <row r="1426" spans="1:59">
      <c r="A1426" t="s">
        <v>60</v>
      </c>
      <c r="B1426" s="1">
        <v>46131</v>
      </c>
      <c r="C1426">
        <v>2378036275</v>
      </c>
      <c r="D1426">
        <v>2378043358</v>
      </c>
      <c r="E1426" t="str">
        <f>T("구원자가 도망친 밤 186화")</f>
        <v>구원자가 도망친 밤 186화</v>
      </c>
      <c r="F1426">
        <v>186</v>
      </c>
      <c r="G1426" t="str">
        <f>T("얼든트")</f>
        <v>얼든트</v>
      </c>
      <c r="J1426" t="str">
        <f>T("시계토끼")</f>
        <v>시계토끼</v>
      </c>
      <c r="K1426" t="str">
        <f>T("구원자가 도망친 밤")</f>
        <v>구원자가 도망친 밤</v>
      </c>
      <c r="L1426">
        <v>100</v>
      </c>
      <c r="M1426">
        <v>100</v>
      </c>
      <c r="N1426">
        <v>1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100</v>
      </c>
      <c r="AJ1426">
        <v>1</v>
      </c>
      <c r="AK1426">
        <v>0</v>
      </c>
      <c r="AL1426">
        <v>0</v>
      </c>
      <c r="AM1426">
        <v>100</v>
      </c>
      <c r="AN1426">
        <v>0</v>
      </c>
      <c r="AO1426">
        <v>0</v>
      </c>
      <c r="AP1426">
        <v>0</v>
      </c>
      <c r="AQ1426">
        <v>0</v>
      </c>
      <c r="AS1426">
        <v>0</v>
      </c>
      <c r="AT1426">
        <v>0</v>
      </c>
      <c r="AV1426">
        <v>0</v>
      </c>
      <c r="AW1426">
        <v>0</v>
      </c>
      <c r="AY1426">
        <v>0</v>
      </c>
      <c r="AZ1426">
        <v>0</v>
      </c>
      <c r="BA1426">
        <v>70</v>
      </c>
      <c r="BE1426" t="str">
        <f>T("9791164097173")</f>
        <v>9791164097173</v>
      </c>
      <c r="BF1426" t="str">
        <f>T("N216753")</f>
        <v>N216753</v>
      </c>
      <c r="BG1426" t="str">
        <f>T("로판 웹소설 &gt; 서양풍 로판")</f>
        <v>로판 웹소설 &gt; 서양풍 로판</v>
      </c>
    </row>
    <row r="1427" spans="1:59">
      <c r="A1427" t="s">
        <v>60</v>
      </c>
      <c r="B1427" s="1">
        <v>46131</v>
      </c>
      <c r="C1427">
        <v>2378036275</v>
      </c>
      <c r="D1427">
        <v>2378043368</v>
      </c>
      <c r="E1427" t="str">
        <f>T("구원자가 도망친 밤 187화")</f>
        <v>구원자가 도망친 밤 187화</v>
      </c>
      <c r="F1427">
        <v>187</v>
      </c>
      <c r="G1427" t="str">
        <f>T("얼든트")</f>
        <v>얼든트</v>
      </c>
      <c r="J1427" t="str">
        <f>T("시계토끼")</f>
        <v>시계토끼</v>
      </c>
      <c r="K1427" t="str">
        <f>T("구원자가 도망친 밤")</f>
        <v>구원자가 도망친 밤</v>
      </c>
      <c r="L1427">
        <v>100</v>
      </c>
      <c r="M1427">
        <v>100</v>
      </c>
      <c r="N1427">
        <v>1</v>
      </c>
      <c r="O1427">
        <v>0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100</v>
      </c>
      <c r="AJ1427">
        <v>1</v>
      </c>
      <c r="AK1427">
        <v>0</v>
      </c>
      <c r="AL1427">
        <v>0</v>
      </c>
      <c r="AM1427">
        <v>100</v>
      </c>
      <c r="AN1427">
        <v>0</v>
      </c>
      <c r="AO1427">
        <v>0</v>
      </c>
      <c r="AP1427">
        <v>0</v>
      </c>
      <c r="AQ1427">
        <v>0</v>
      </c>
      <c r="AS1427">
        <v>0</v>
      </c>
      <c r="AT1427">
        <v>0</v>
      </c>
      <c r="AV1427">
        <v>0</v>
      </c>
      <c r="AW1427">
        <v>0</v>
      </c>
      <c r="AY1427">
        <v>0</v>
      </c>
      <c r="AZ1427">
        <v>0</v>
      </c>
      <c r="BA1427">
        <v>70</v>
      </c>
      <c r="BE1427" t="str">
        <f>T("9791164097173")</f>
        <v>9791164097173</v>
      </c>
      <c r="BF1427" t="str">
        <f>T("N216754")</f>
        <v>N216754</v>
      </c>
      <c r="BG1427" t="str">
        <f>T("로판 웹소설 &gt; 서양풍 로판")</f>
        <v>로판 웹소설 &gt; 서양풍 로판</v>
      </c>
    </row>
    <row r="1428" spans="1:59">
      <c r="A1428" t="s">
        <v>60</v>
      </c>
      <c r="B1428" s="1">
        <v>46131</v>
      </c>
      <c r="C1428">
        <v>2378036275</v>
      </c>
      <c r="D1428">
        <v>2378043381</v>
      </c>
      <c r="E1428" t="str">
        <f>T("구원자가 도망친 밤 188화")</f>
        <v>구원자가 도망친 밤 188화</v>
      </c>
      <c r="F1428">
        <v>188</v>
      </c>
      <c r="G1428" t="str">
        <f>T("얼든트")</f>
        <v>얼든트</v>
      </c>
      <c r="J1428" t="str">
        <f>T("시계토끼")</f>
        <v>시계토끼</v>
      </c>
      <c r="K1428" t="str">
        <f>T("구원자가 도망친 밤")</f>
        <v>구원자가 도망친 밤</v>
      </c>
      <c r="L1428">
        <v>100</v>
      </c>
      <c r="M1428">
        <v>100</v>
      </c>
      <c r="N1428">
        <v>1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100</v>
      </c>
      <c r="AJ1428">
        <v>1</v>
      </c>
      <c r="AK1428">
        <v>0</v>
      </c>
      <c r="AL1428">
        <v>0</v>
      </c>
      <c r="AM1428">
        <v>100</v>
      </c>
      <c r="AN1428">
        <v>0</v>
      </c>
      <c r="AO1428">
        <v>0</v>
      </c>
      <c r="AP1428">
        <v>0</v>
      </c>
      <c r="AQ1428">
        <v>0</v>
      </c>
      <c r="AS1428">
        <v>0</v>
      </c>
      <c r="AT1428">
        <v>0</v>
      </c>
      <c r="AV1428">
        <v>0</v>
      </c>
      <c r="AW1428">
        <v>0</v>
      </c>
      <c r="AY1428">
        <v>0</v>
      </c>
      <c r="AZ1428">
        <v>0</v>
      </c>
      <c r="BA1428">
        <v>70</v>
      </c>
      <c r="BE1428" t="str">
        <f>T("9791164097173")</f>
        <v>9791164097173</v>
      </c>
      <c r="BF1428" t="str">
        <f>T("N216755")</f>
        <v>N216755</v>
      </c>
      <c r="BG1428" t="str">
        <f>T("로판 웹소설 &gt; 서양풍 로판")</f>
        <v>로판 웹소설 &gt; 서양풍 로판</v>
      </c>
    </row>
    <row r="1429" spans="1:59">
      <c r="A1429" t="s">
        <v>60</v>
      </c>
      <c r="B1429" s="1">
        <v>46131</v>
      </c>
      <c r="C1429">
        <v>2378036275</v>
      </c>
      <c r="D1429">
        <v>2378043693</v>
      </c>
      <c r="E1429" t="str">
        <f>T("구원자가 도망친 밤 189화")</f>
        <v>구원자가 도망친 밤 189화</v>
      </c>
      <c r="F1429">
        <v>189</v>
      </c>
      <c r="G1429" t="str">
        <f>T("얼든트")</f>
        <v>얼든트</v>
      </c>
      <c r="J1429" t="str">
        <f>T("시계토끼")</f>
        <v>시계토끼</v>
      </c>
      <c r="K1429" t="str">
        <f>T("구원자가 도망친 밤")</f>
        <v>구원자가 도망친 밤</v>
      </c>
      <c r="L1429">
        <v>100</v>
      </c>
      <c r="M1429">
        <v>100</v>
      </c>
      <c r="N1429">
        <v>1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100</v>
      </c>
      <c r="AJ1429">
        <v>1</v>
      </c>
      <c r="AK1429">
        <v>0</v>
      </c>
      <c r="AL1429">
        <v>0</v>
      </c>
      <c r="AM1429">
        <v>100</v>
      </c>
      <c r="AN1429">
        <v>0</v>
      </c>
      <c r="AO1429">
        <v>0</v>
      </c>
      <c r="AP1429">
        <v>0</v>
      </c>
      <c r="AQ1429">
        <v>0</v>
      </c>
      <c r="AS1429">
        <v>0</v>
      </c>
      <c r="AT1429">
        <v>0</v>
      </c>
      <c r="AV1429">
        <v>0</v>
      </c>
      <c r="AW1429">
        <v>0</v>
      </c>
      <c r="AY1429">
        <v>0</v>
      </c>
      <c r="AZ1429">
        <v>0</v>
      </c>
      <c r="BA1429">
        <v>70</v>
      </c>
      <c r="BE1429" t="str">
        <f>T("9791164097173")</f>
        <v>9791164097173</v>
      </c>
      <c r="BF1429" t="str">
        <f>T("N218701")</f>
        <v>N218701</v>
      </c>
      <c r="BG1429" t="str">
        <f>T("로판 웹소설 &gt; 서양풍 로판")</f>
        <v>로판 웹소설 &gt; 서양풍 로판</v>
      </c>
    </row>
    <row r="1430" spans="1:59">
      <c r="A1430" t="s">
        <v>60</v>
      </c>
      <c r="B1430" s="1">
        <v>46131</v>
      </c>
      <c r="C1430">
        <v>2378036275</v>
      </c>
      <c r="D1430">
        <v>2378044050</v>
      </c>
      <c r="E1430" t="str">
        <f>T("구원자가 도망친 밤 190화")</f>
        <v>구원자가 도망친 밤 190화</v>
      </c>
      <c r="F1430">
        <v>190</v>
      </c>
      <c r="G1430" t="str">
        <f>T("얼든트")</f>
        <v>얼든트</v>
      </c>
      <c r="J1430" t="str">
        <f>T("시계토끼")</f>
        <v>시계토끼</v>
      </c>
      <c r="K1430" t="str">
        <f>T("구원자가 도망친 밤")</f>
        <v>구원자가 도망친 밤</v>
      </c>
      <c r="L1430">
        <v>100</v>
      </c>
      <c r="M1430">
        <v>100</v>
      </c>
      <c r="N1430">
        <v>1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100</v>
      </c>
      <c r="AJ1430">
        <v>1</v>
      </c>
      <c r="AK1430">
        <v>0</v>
      </c>
      <c r="AL1430">
        <v>0</v>
      </c>
      <c r="AM1430">
        <v>100</v>
      </c>
      <c r="AN1430">
        <v>0</v>
      </c>
      <c r="AO1430">
        <v>0</v>
      </c>
      <c r="AP1430">
        <v>0</v>
      </c>
      <c r="AQ1430">
        <v>0</v>
      </c>
      <c r="AS1430">
        <v>0</v>
      </c>
      <c r="AT1430">
        <v>0</v>
      </c>
      <c r="AV1430">
        <v>0</v>
      </c>
      <c r="AW1430">
        <v>0</v>
      </c>
      <c r="AY1430">
        <v>0</v>
      </c>
      <c r="AZ1430">
        <v>0</v>
      </c>
      <c r="BA1430">
        <v>70</v>
      </c>
      <c r="BE1430" t="str">
        <f>T("9791164097173")</f>
        <v>9791164097173</v>
      </c>
      <c r="BF1430" t="str">
        <f>T("N218702")</f>
        <v>N218702</v>
      </c>
      <c r="BG1430" t="str">
        <f>T("로판 웹소설 &gt; 서양풍 로판")</f>
        <v>로판 웹소설 &gt; 서양풍 로판</v>
      </c>
    </row>
    <row r="1431" spans="1:59">
      <c r="A1431" t="s">
        <v>60</v>
      </c>
      <c r="B1431" s="1">
        <v>46131</v>
      </c>
      <c r="C1431">
        <v>2378036275</v>
      </c>
      <c r="D1431">
        <v>2378044057</v>
      </c>
      <c r="E1431" t="str">
        <f>T("구원자가 도망친 밤 191화")</f>
        <v>구원자가 도망친 밤 191화</v>
      </c>
      <c r="F1431">
        <v>191</v>
      </c>
      <c r="G1431" t="str">
        <f>T("얼든트")</f>
        <v>얼든트</v>
      </c>
      <c r="J1431" t="str">
        <f>T("시계토끼")</f>
        <v>시계토끼</v>
      </c>
      <c r="K1431" t="str">
        <f>T("구원자가 도망친 밤")</f>
        <v>구원자가 도망친 밤</v>
      </c>
      <c r="L1431">
        <v>100</v>
      </c>
      <c r="M1431">
        <v>100</v>
      </c>
      <c r="N1431">
        <v>1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100</v>
      </c>
      <c r="AJ1431">
        <v>1</v>
      </c>
      <c r="AK1431">
        <v>0</v>
      </c>
      <c r="AL1431">
        <v>0</v>
      </c>
      <c r="AM1431">
        <v>100</v>
      </c>
      <c r="AN1431">
        <v>0</v>
      </c>
      <c r="AO1431">
        <v>0</v>
      </c>
      <c r="AP1431">
        <v>0</v>
      </c>
      <c r="AQ1431">
        <v>0</v>
      </c>
      <c r="AS1431">
        <v>0</v>
      </c>
      <c r="AT1431">
        <v>0</v>
      </c>
      <c r="AV1431">
        <v>0</v>
      </c>
      <c r="AW1431">
        <v>0</v>
      </c>
      <c r="AY1431">
        <v>0</v>
      </c>
      <c r="AZ1431">
        <v>0</v>
      </c>
      <c r="BA1431">
        <v>70</v>
      </c>
      <c r="BE1431" t="str">
        <f>T("9791164097173")</f>
        <v>9791164097173</v>
      </c>
      <c r="BF1431" t="str">
        <f>T("N218703")</f>
        <v>N218703</v>
      </c>
      <c r="BG1431" t="str">
        <f>T("로판 웹소설 &gt; 서양풍 로판")</f>
        <v>로판 웹소설 &gt; 서양풍 로판</v>
      </c>
    </row>
    <row r="1432" spans="1:59">
      <c r="A1432" t="s">
        <v>60</v>
      </c>
      <c r="B1432" s="1">
        <v>46131</v>
      </c>
      <c r="C1432">
        <v>2378036275</v>
      </c>
      <c r="D1432">
        <v>2378044165</v>
      </c>
      <c r="E1432" t="str">
        <f>T("구원자가 도망친 밤 192화")</f>
        <v>구원자가 도망친 밤 192화</v>
      </c>
      <c r="F1432">
        <v>192</v>
      </c>
      <c r="G1432" t="str">
        <f>T("얼든트")</f>
        <v>얼든트</v>
      </c>
      <c r="J1432" t="str">
        <f>T("시계토끼")</f>
        <v>시계토끼</v>
      </c>
      <c r="K1432" t="str">
        <f>T("구원자가 도망친 밤")</f>
        <v>구원자가 도망친 밤</v>
      </c>
      <c r="L1432">
        <v>100</v>
      </c>
      <c r="M1432">
        <v>100</v>
      </c>
      <c r="N1432">
        <v>1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100</v>
      </c>
      <c r="AJ1432">
        <v>1</v>
      </c>
      <c r="AK1432">
        <v>0</v>
      </c>
      <c r="AL1432">
        <v>0</v>
      </c>
      <c r="AM1432">
        <v>100</v>
      </c>
      <c r="AN1432">
        <v>0</v>
      </c>
      <c r="AO1432">
        <v>0</v>
      </c>
      <c r="AP1432">
        <v>0</v>
      </c>
      <c r="AQ1432">
        <v>0</v>
      </c>
      <c r="AS1432">
        <v>0</v>
      </c>
      <c r="AT1432">
        <v>0</v>
      </c>
      <c r="AV1432">
        <v>0</v>
      </c>
      <c r="AW1432">
        <v>0</v>
      </c>
      <c r="AY1432">
        <v>0</v>
      </c>
      <c r="AZ1432">
        <v>0</v>
      </c>
      <c r="BA1432">
        <v>70</v>
      </c>
      <c r="BE1432" t="str">
        <f>T("9791164097173")</f>
        <v>9791164097173</v>
      </c>
      <c r="BF1432" t="str">
        <f>T("N218704")</f>
        <v>N218704</v>
      </c>
      <c r="BG1432" t="str">
        <f>T("로판 웹소설 &gt; 서양풍 로판")</f>
        <v>로판 웹소설 &gt; 서양풍 로판</v>
      </c>
    </row>
    <row r="1433" spans="1:59">
      <c r="A1433" t="s">
        <v>60</v>
      </c>
      <c r="B1433" s="1">
        <v>46131</v>
      </c>
      <c r="C1433">
        <v>2378036275</v>
      </c>
      <c r="D1433">
        <v>2378044166</v>
      </c>
      <c r="E1433" t="str">
        <f>T("구원자가 도망친 밤 193화")</f>
        <v>구원자가 도망친 밤 193화</v>
      </c>
      <c r="F1433">
        <v>193</v>
      </c>
      <c r="G1433" t="str">
        <f>T("얼든트")</f>
        <v>얼든트</v>
      </c>
      <c r="J1433" t="str">
        <f>T("시계토끼")</f>
        <v>시계토끼</v>
      </c>
      <c r="K1433" t="str">
        <f>T("구원자가 도망친 밤")</f>
        <v>구원자가 도망친 밤</v>
      </c>
      <c r="L1433">
        <v>100</v>
      </c>
      <c r="M1433">
        <v>100</v>
      </c>
      <c r="N1433">
        <v>1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100</v>
      </c>
      <c r="AJ1433">
        <v>1</v>
      </c>
      <c r="AK1433">
        <v>0</v>
      </c>
      <c r="AL1433">
        <v>0</v>
      </c>
      <c r="AM1433">
        <v>100</v>
      </c>
      <c r="AN1433">
        <v>0</v>
      </c>
      <c r="AO1433">
        <v>0</v>
      </c>
      <c r="AP1433">
        <v>0</v>
      </c>
      <c r="AQ1433">
        <v>0</v>
      </c>
      <c r="AS1433">
        <v>0</v>
      </c>
      <c r="AT1433">
        <v>0</v>
      </c>
      <c r="AV1433">
        <v>0</v>
      </c>
      <c r="AW1433">
        <v>0</v>
      </c>
      <c r="AY1433">
        <v>0</v>
      </c>
      <c r="AZ1433">
        <v>0</v>
      </c>
      <c r="BA1433">
        <v>70</v>
      </c>
      <c r="BE1433" t="str">
        <f>T("9791164097173")</f>
        <v>9791164097173</v>
      </c>
      <c r="BF1433" t="str">
        <f>T("N218705")</f>
        <v>N218705</v>
      </c>
      <c r="BG1433" t="str">
        <f>T("로판 웹소설 &gt; 서양풍 로판")</f>
        <v>로판 웹소설 &gt; 서양풍 로판</v>
      </c>
    </row>
    <row r="1434" spans="1:59">
      <c r="A1434" t="s">
        <v>60</v>
      </c>
      <c r="B1434" s="1">
        <v>46131</v>
      </c>
      <c r="C1434">
        <v>2378036275</v>
      </c>
      <c r="D1434">
        <v>2378044191</v>
      </c>
      <c r="E1434" t="str">
        <f>T("구원자가 도망친 밤 194화")</f>
        <v>구원자가 도망친 밤 194화</v>
      </c>
      <c r="F1434">
        <v>194</v>
      </c>
      <c r="G1434" t="str">
        <f>T("얼든트")</f>
        <v>얼든트</v>
      </c>
      <c r="J1434" t="str">
        <f>T("시계토끼")</f>
        <v>시계토끼</v>
      </c>
      <c r="K1434" t="str">
        <f>T("구원자가 도망친 밤")</f>
        <v>구원자가 도망친 밤</v>
      </c>
      <c r="L1434">
        <v>100</v>
      </c>
      <c r="M1434">
        <v>100</v>
      </c>
      <c r="N1434">
        <v>1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100</v>
      </c>
      <c r="AJ1434">
        <v>1</v>
      </c>
      <c r="AK1434">
        <v>0</v>
      </c>
      <c r="AL1434">
        <v>0</v>
      </c>
      <c r="AM1434">
        <v>100</v>
      </c>
      <c r="AN1434">
        <v>0</v>
      </c>
      <c r="AO1434">
        <v>0</v>
      </c>
      <c r="AP1434">
        <v>0</v>
      </c>
      <c r="AQ1434">
        <v>0</v>
      </c>
      <c r="AS1434">
        <v>0</v>
      </c>
      <c r="AT1434">
        <v>0</v>
      </c>
      <c r="AV1434">
        <v>0</v>
      </c>
      <c r="AW1434">
        <v>0</v>
      </c>
      <c r="AY1434">
        <v>0</v>
      </c>
      <c r="AZ1434">
        <v>0</v>
      </c>
      <c r="BA1434">
        <v>70</v>
      </c>
      <c r="BE1434" t="str">
        <f>T("9791164097173")</f>
        <v>9791164097173</v>
      </c>
      <c r="BF1434" t="str">
        <f>T("N222471")</f>
        <v>N222471</v>
      </c>
      <c r="BG1434" t="str">
        <f>T("로판 웹소설 &gt; 서양풍 로판")</f>
        <v>로판 웹소설 &gt; 서양풍 로판</v>
      </c>
    </row>
    <row r="1435" spans="1:59">
      <c r="A1435" t="s">
        <v>60</v>
      </c>
      <c r="B1435" s="1">
        <v>46131</v>
      </c>
      <c r="C1435">
        <v>2378036275</v>
      </c>
      <c r="D1435">
        <v>2378044198</v>
      </c>
      <c r="E1435" t="str">
        <f>T("구원자가 도망친 밤 195화")</f>
        <v>구원자가 도망친 밤 195화</v>
      </c>
      <c r="F1435">
        <v>195</v>
      </c>
      <c r="G1435" t="str">
        <f>T("얼든트")</f>
        <v>얼든트</v>
      </c>
      <c r="J1435" t="str">
        <f>T("시계토끼")</f>
        <v>시계토끼</v>
      </c>
      <c r="K1435" t="str">
        <f>T("구원자가 도망친 밤")</f>
        <v>구원자가 도망친 밤</v>
      </c>
      <c r="L1435">
        <v>100</v>
      </c>
      <c r="M1435">
        <v>100</v>
      </c>
      <c r="N1435">
        <v>1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100</v>
      </c>
      <c r="AJ1435">
        <v>1</v>
      </c>
      <c r="AK1435">
        <v>0</v>
      </c>
      <c r="AL1435">
        <v>0</v>
      </c>
      <c r="AM1435">
        <v>100</v>
      </c>
      <c r="AN1435">
        <v>0</v>
      </c>
      <c r="AO1435">
        <v>0</v>
      </c>
      <c r="AP1435">
        <v>0</v>
      </c>
      <c r="AQ1435">
        <v>0</v>
      </c>
      <c r="AS1435">
        <v>0</v>
      </c>
      <c r="AT1435">
        <v>0</v>
      </c>
      <c r="AV1435">
        <v>0</v>
      </c>
      <c r="AW1435">
        <v>0</v>
      </c>
      <c r="AY1435">
        <v>0</v>
      </c>
      <c r="AZ1435">
        <v>0</v>
      </c>
      <c r="BA1435">
        <v>70</v>
      </c>
      <c r="BE1435" t="str">
        <f>T("9791164097173")</f>
        <v>9791164097173</v>
      </c>
      <c r="BF1435" t="str">
        <f>T("N222472")</f>
        <v>N222472</v>
      </c>
      <c r="BG1435" t="str">
        <f>T("로판 웹소설 &gt; 서양풍 로판")</f>
        <v>로판 웹소설 &gt; 서양풍 로판</v>
      </c>
    </row>
    <row r="1436" spans="1:59">
      <c r="A1436" t="s">
        <v>60</v>
      </c>
      <c r="B1436" s="1">
        <v>46131</v>
      </c>
      <c r="C1436">
        <v>2378036275</v>
      </c>
      <c r="D1436">
        <v>2378044199</v>
      </c>
      <c r="E1436" t="str">
        <f>T("구원자가 도망친 밤 196화")</f>
        <v>구원자가 도망친 밤 196화</v>
      </c>
      <c r="F1436">
        <v>196</v>
      </c>
      <c r="G1436" t="str">
        <f>T("얼든트")</f>
        <v>얼든트</v>
      </c>
      <c r="J1436" t="str">
        <f>T("시계토끼")</f>
        <v>시계토끼</v>
      </c>
      <c r="K1436" t="str">
        <f>T("구원자가 도망친 밤")</f>
        <v>구원자가 도망친 밤</v>
      </c>
      <c r="L1436">
        <v>100</v>
      </c>
      <c r="M1436">
        <v>100</v>
      </c>
      <c r="N1436">
        <v>1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100</v>
      </c>
      <c r="AJ1436">
        <v>1</v>
      </c>
      <c r="AK1436">
        <v>0</v>
      </c>
      <c r="AL1436">
        <v>0</v>
      </c>
      <c r="AM1436">
        <v>100</v>
      </c>
      <c r="AN1436">
        <v>0</v>
      </c>
      <c r="AO1436">
        <v>0</v>
      </c>
      <c r="AP1436">
        <v>0</v>
      </c>
      <c r="AQ1436">
        <v>0</v>
      </c>
      <c r="AS1436">
        <v>0</v>
      </c>
      <c r="AT1436">
        <v>0</v>
      </c>
      <c r="AV1436">
        <v>0</v>
      </c>
      <c r="AW1436">
        <v>0</v>
      </c>
      <c r="AY1436">
        <v>0</v>
      </c>
      <c r="AZ1436">
        <v>0</v>
      </c>
      <c r="BA1436">
        <v>70</v>
      </c>
      <c r="BE1436" t="str">
        <f>T("9791164097173")</f>
        <v>9791164097173</v>
      </c>
      <c r="BF1436" t="str">
        <f>T("N222473")</f>
        <v>N222473</v>
      </c>
      <c r="BG1436" t="str">
        <f>T("로판 웹소설 &gt; 서양풍 로판")</f>
        <v>로판 웹소설 &gt; 서양풍 로판</v>
      </c>
    </row>
    <row r="1437" spans="1:59">
      <c r="A1437" t="s">
        <v>60</v>
      </c>
      <c r="B1437" s="1">
        <v>46131</v>
      </c>
      <c r="C1437">
        <v>2378036275</v>
      </c>
      <c r="D1437">
        <v>2378044205</v>
      </c>
      <c r="E1437" t="str">
        <f>T("구원자가 도망친 밤 197화")</f>
        <v>구원자가 도망친 밤 197화</v>
      </c>
      <c r="F1437">
        <v>197</v>
      </c>
      <c r="G1437" t="str">
        <f>T("얼든트")</f>
        <v>얼든트</v>
      </c>
      <c r="J1437" t="str">
        <f>T("시계토끼")</f>
        <v>시계토끼</v>
      </c>
      <c r="K1437" t="str">
        <f>T("구원자가 도망친 밤")</f>
        <v>구원자가 도망친 밤</v>
      </c>
      <c r="L1437">
        <v>100</v>
      </c>
      <c r="M1437">
        <v>100</v>
      </c>
      <c r="N1437">
        <v>1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100</v>
      </c>
      <c r="AJ1437">
        <v>1</v>
      </c>
      <c r="AK1437">
        <v>0</v>
      </c>
      <c r="AL1437">
        <v>0</v>
      </c>
      <c r="AM1437">
        <v>100</v>
      </c>
      <c r="AN1437">
        <v>0</v>
      </c>
      <c r="AO1437">
        <v>0</v>
      </c>
      <c r="AP1437">
        <v>0</v>
      </c>
      <c r="AQ1437">
        <v>0</v>
      </c>
      <c r="AS1437">
        <v>0</v>
      </c>
      <c r="AT1437">
        <v>0</v>
      </c>
      <c r="AV1437">
        <v>0</v>
      </c>
      <c r="AW1437">
        <v>0</v>
      </c>
      <c r="AY1437">
        <v>0</v>
      </c>
      <c r="AZ1437">
        <v>0</v>
      </c>
      <c r="BA1437">
        <v>70</v>
      </c>
      <c r="BE1437" t="str">
        <f>T("9791164097173")</f>
        <v>9791164097173</v>
      </c>
      <c r="BF1437" t="str">
        <f>T("N222474")</f>
        <v>N222474</v>
      </c>
      <c r="BG1437" t="str">
        <f>T("로판 웹소설 &gt; 서양풍 로판")</f>
        <v>로판 웹소설 &gt; 서양풍 로판</v>
      </c>
    </row>
    <row r="1438" spans="1:59">
      <c r="A1438" t="s">
        <v>60</v>
      </c>
      <c r="B1438" s="1">
        <v>46131</v>
      </c>
      <c r="C1438">
        <v>2378036275</v>
      </c>
      <c r="D1438">
        <v>2378044217</v>
      </c>
      <c r="E1438" t="str">
        <f>T("구원자가 도망친 밤 198화")</f>
        <v>구원자가 도망친 밤 198화</v>
      </c>
      <c r="F1438">
        <v>198</v>
      </c>
      <c r="G1438" t="str">
        <f>T("얼든트")</f>
        <v>얼든트</v>
      </c>
      <c r="J1438" t="str">
        <f>T("시계토끼")</f>
        <v>시계토끼</v>
      </c>
      <c r="K1438" t="str">
        <f>T("구원자가 도망친 밤")</f>
        <v>구원자가 도망친 밤</v>
      </c>
      <c r="L1438">
        <v>100</v>
      </c>
      <c r="M1438">
        <v>100</v>
      </c>
      <c r="N1438">
        <v>1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100</v>
      </c>
      <c r="AJ1438">
        <v>1</v>
      </c>
      <c r="AK1438">
        <v>0</v>
      </c>
      <c r="AL1438">
        <v>0</v>
      </c>
      <c r="AM1438">
        <v>100</v>
      </c>
      <c r="AN1438">
        <v>0</v>
      </c>
      <c r="AO1438">
        <v>0</v>
      </c>
      <c r="AP1438">
        <v>0</v>
      </c>
      <c r="AQ1438">
        <v>0</v>
      </c>
      <c r="AS1438">
        <v>0</v>
      </c>
      <c r="AT1438">
        <v>0</v>
      </c>
      <c r="AV1438">
        <v>0</v>
      </c>
      <c r="AW1438">
        <v>0</v>
      </c>
      <c r="AY1438">
        <v>0</v>
      </c>
      <c r="AZ1438">
        <v>0</v>
      </c>
      <c r="BA1438">
        <v>70</v>
      </c>
      <c r="BE1438" t="str">
        <f>T("9791164097173")</f>
        <v>9791164097173</v>
      </c>
      <c r="BF1438" t="str">
        <f>T("N222475")</f>
        <v>N222475</v>
      </c>
      <c r="BG1438" t="str">
        <f>T("로판 웹소설 &gt; 서양풍 로판")</f>
        <v>로판 웹소설 &gt; 서양풍 로판</v>
      </c>
    </row>
    <row r="1439" spans="1:59">
      <c r="A1439" t="s">
        <v>60</v>
      </c>
      <c r="B1439" s="1">
        <v>46131</v>
      </c>
      <c r="C1439">
        <v>2378036275</v>
      </c>
      <c r="D1439">
        <v>2378044238</v>
      </c>
      <c r="E1439" t="str">
        <f>T("구원자가 도망친 밤 199화")</f>
        <v>구원자가 도망친 밤 199화</v>
      </c>
      <c r="F1439">
        <v>199</v>
      </c>
      <c r="G1439" t="str">
        <f>T("얼든트")</f>
        <v>얼든트</v>
      </c>
      <c r="J1439" t="str">
        <f>T("시계토끼")</f>
        <v>시계토끼</v>
      </c>
      <c r="K1439" t="str">
        <f>T("구원자가 도망친 밤")</f>
        <v>구원자가 도망친 밤</v>
      </c>
      <c r="L1439">
        <v>100</v>
      </c>
      <c r="M1439">
        <v>100</v>
      </c>
      <c r="N1439">
        <v>1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100</v>
      </c>
      <c r="AJ1439">
        <v>1</v>
      </c>
      <c r="AK1439">
        <v>0</v>
      </c>
      <c r="AL1439">
        <v>0</v>
      </c>
      <c r="AM1439">
        <v>100</v>
      </c>
      <c r="AN1439">
        <v>0</v>
      </c>
      <c r="AO1439">
        <v>0</v>
      </c>
      <c r="AP1439">
        <v>0</v>
      </c>
      <c r="AQ1439">
        <v>0</v>
      </c>
      <c r="AS1439">
        <v>0</v>
      </c>
      <c r="AT1439">
        <v>0</v>
      </c>
      <c r="AV1439">
        <v>0</v>
      </c>
      <c r="AW1439">
        <v>0</v>
      </c>
      <c r="AY1439">
        <v>0</v>
      </c>
      <c r="AZ1439">
        <v>0</v>
      </c>
      <c r="BA1439">
        <v>70</v>
      </c>
      <c r="BE1439" t="str">
        <f>T("9791164097173")</f>
        <v>9791164097173</v>
      </c>
      <c r="BF1439" t="str">
        <f>T("N224048")</f>
        <v>N224048</v>
      </c>
      <c r="BG1439" t="str">
        <f>T("로판 웹소설 &gt; 서양풍 로판")</f>
        <v>로판 웹소설 &gt; 서양풍 로판</v>
      </c>
    </row>
    <row r="1440" spans="1:59">
      <c r="A1440" t="s">
        <v>60</v>
      </c>
      <c r="B1440" s="1">
        <v>46131</v>
      </c>
      <c r="C1440">
        <v>2378036275</v>
      </c>
      <c r="D1440">
        <v>2378044246</v>
      </c>
      <c r="E1440" t="str">
        <f>T("구원자가 도망친 밤 200화")</f>
        <v>구원자가 도망친 밤 200화</v>
      </c>
      <c r="F1440">
        <v>200</v>
      </c>
      <c r="G1440" t="str">
        <f>T("얼든트")</f>
        <v>얼든트</v>
      </c>
      <c r="J1440" t="str">
        <f>T("시계토끼")</f>
        <v>시계토끼</v>
      </c>
      <c r="K1440" t="str">
        <f>T("구원자가 도망친 밤")</f>
        <v>구원자가 도망친 밤</v>
      </c>
      <c r="L1440">
        <v>100</v>
      </c>
      <c r="M1440">
        <v>100</v>
      </c>
      <c r="N1440">
        <v>1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100</v>
      </c>
      <c r="AJ1440">
        <v>1</v>
      </c>
      <c r="AK1440">
        <v>0</v>
      </c>
      <c r="AL1440">
        <v>0</v>
      </c>
      <c r="AM1440">
        <v>100</v>
      </c>
      <c r="AN1440">
        <v>0</v>
      </c>
      <c r="AO1440">
        <v>0</v>
      </c>
      <c r="AP1440">
        <v>0</v>
      </c>
      <c r="AQ1440">
        <v>0</v>
      </c>
      <c r="AS1440">
        <v>0</v>
      </c>
      <c r="AT1440">
        <v>0</v>
      </c>
      <c r="AV1440">
        <v>0</v>
      </c>
      <c r="AW1440">
        <v>0</v>
      </c>
      <c r="AY1440">
        <v>0</v>
      </c>
      <c r="AZ1440">
        <v>0</v>
      </c>
      <c r="BA1440">
        <v>70</v>
      </c>
      <c r="BE1440" t="str">
        <f>T("9791164097173")</f>
        <v>9791164097173</v>
      </c>
      <c r="BF1440" t="str">
        <f>T("N224049")</f>
        <v>N224049</v>
      </c>
      <c r="BG1440" t="str">
        <f>T("로판 웹소설 &gt; 서양풍 로판")</f>
        <v>로판 웹소설 &gt; 서양풍 로판</v>
      </c>
    </row>
    <row r="1441" spans="1:59">
      <c r="A1441" t="s">
        <v>60</v>
      </c>
      <c r="B1441" s="1">
        <v>46131</v>
      </c>
      <c r="C1441">
        <v>2378036275</v>
      </c>
      <c r="D1441">
        <v>2378044255</v>
      </c>
      <c r="E1441" t="str">
        <f>T("구원자가 도망친 밤 201화")</f>
        <v>구원자가 도망친 밤 201화</v>
      </c>
      <c r="F1441">
        <v>201</v>
      </c>
      <c r="G1441" t="str">
        <f>T("얼든트")</f>
        <v>얼든트</v>
      </c>
      <c r="J1441" t="str">
        <f>T("시계토끼")</f>
        <v>시계토끼</v>
      </c>
      <c r="K1441" t="str">
        <f>T("구원자가 도망친 밤")</f>
        <v>구원자가 도망친 밤</v>
      </c>
      <c r="L1441">
        <v>100</v>
      </c>
      <c r="M1441">
        <v>100</v>
      </c>
      <c r="N1441">
        <v>1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100</v>
      </c>
      <c r="AJ1441">
        <v>1</v>
      </c>
      <c r="AK1441">
        <v>0</v>
      </c>
      <c r="AL1441">
        <v>0</v>
      </c>
      <c r="AM1441">
        <v>100</v>
      </c>
      <c r="AN1441">
        <v>0</v>
      </c>
      <c r="AO1441">
        <v>0</v>
      </c>
      <c r="AP1441">
        <v>0</v>
      </c>
      <c r="AQ1441">
        <v>0</v>
      </c>
      <c r="AS1441">
        <v>0</v>
      </c>
      <c r="AT1441">
        <v>0</v>
      </c>
      <c r="AV1441">
        <v>0</v>
      </c>
      <c r="AW1441">
        <v>0</v>
      </c>
      <c r="AY1441">
        <v>0</v>
      </c>
      <c r="AZ1441">
        <v>0</v>
      </c>
      <c r="BA1441">
        <v>70</v>
      </c>
      <c r="BE1441" t="str">
        <f>T("9791164097173")</f>
        <v>9791164097173</v>
      </c>
      <c r="BF1441" t="str">
        <f>T("N224050")</f>
        <v>N224050</v>
      </c>
      <c r="BG1441" t="str">
        <f>T("로판 웹소설 &gt; 서양풍 로판")</f>
        <v>로판 웹소설 &gt; 서양풍 로판</v>
      </c>
    </row>
    <row r="1442" spans="1:59">
      <c r="A1442" t="s">
        <v>60</v>
      </c>
      <c r="B1442" s="1">
        <v>46131</v>
      </c>
      <c r="C1442">
        <v>2378036275</v>
      </c>
      <c r="D1442">
        <v>2378044272</v>
      </c>
      <c r="E1442" t="str">
        <f>T("구원자가 도망친 밤 202화")</f>
        <v>구원자가 도망친 밤 202화</v>
      </c>
      <c r="F1442">
        <v>202</v>
      </c>
      <c r="G1442" t="str">
        <f>T("얼든트")</f>
        <v>얼든트</v>
      </c>
      <c r="J1442" t="str">
        <f>T("시계토끼")</f>
        <v>시계토끼</v>
      </c>
      <c r="K1442" t="str">
        <f>T("구원자가 도망친 밤")</f>
        <v>구원자가 도망친 밤</v>
      </c>
      <c r="L1442">
        <v>100</v>
      </c>
      <c r="M1442">
        <v>100</v>
      </c>
      <c r="N1442">
        <v>1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100</v>
      </c>
      <c r="AJ1442">
        <v>1</v>
      </c>
      <c r="AK1442">
        <v>0</v>
      </c>
      <c r="AL1442">
        <v>0</v>
      </c>
      <c r="AM1442">
        <v>100</v>
      </c>
      <c r="AN1442">
        <v>0</v>
      </c>
      <c r="AO1442">
        <v>0</v>
      </c>
      <c r="AP1442">
        <v>0</v>
      </c>
      <c r="AQ1442">
        <v>0</v>
      </c>
      <c r="AS1442">
        <v>0</v>
      </c>
      <c r="AT1442">
        <v>0</v>
      </c>
      <c r="AV1442">
        <v>0</v>
      </c>
      <c r="AW1442">
        <v>0</v>
      </c>
      <c r="AY1442">
        <v>0</v>
      </c>
      <c r="AZ1442">
        <v>0</v>
      </c>
      <c r="BA1442">
        <v>70</v>
      </c>
      <c r="BE1442" t="str">
        <f>T("9791164097173")</f>
        <v>9791164097173</v>
      </c>
      <c r="BF1442" t="str">
        <f>T("N224051")</f>
        <v>N224051</v>
      </c>
      <c r="BG1442" t="str">
        <f>T("로판 웹소설 &gt; 서양풍 로판")</f>
        <v>로판 웹소설 &gt; 서양풍 로판</v>
      </c>
    </row>
    <row r="1443" spans="1:59">
      <c r="A1443" t="s">
        <v>60</v>
      </c>
      <c r="B1443" s="1">
        <v>46131</v>
      </c>
      <c r="C1443">
        <v>2378036275</v>
      </c>
      <c r="D1443">
        <v>2378044273</v>
      </c>
      <c r="E1443" t="str">
        <f>T("구원자가 도망친 밤 203화 (완결)")</f>
        <v>구원자가 도망친 밤 203화 (완결)</v>
      </c>
      <c r="F1443">
        <v>203</v>
      </c>
      <c r="G1443" t="str">
        <f>T("얼든트")</f>
        <v>얼든트</v>
      </c>
      <c r="J1443" t="str">
        <f>T("시계토끼")</f>
        <v>시계토끼</v>
      </c>
      <c r="K1443" t="str">
        <f>T("구원자가 도망친 밤")</f>
        <v>구원자가 도망친 밤</v>
      </c>
      <c r="L1443">
        <v>100</v>
      </c>
      <c r="M1443">
        <v>100</v>
      </c>
      <c r="N1443">
        <v>1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100</v>
      </c>
      <c r="AJ1443">
        <v>1</v>
      </c>
      <c r="AK1443">
        <v>0</v>
      </c>
      <c r="AL1443">
        <v>0</v>
      </c>
      <c r="AM1443">
        <v>100</v>
      </c>
      <c r="AN1443">
        <v>0</v>
      </c>
      <c r="AO1443">
        <v>0</v>
      </c>
      <c r="AP1443">
        <v>0</v>
      </c>
      <c r="AQ1443">
        <v>0</v>
      </c>
      <c r="AS1443">
        <v>0</v>
      </c>
      <c r="AT1443">
        <v>0</v>
      </c>
      <c r="AV1443">
        <v>0</v>
      </c>
      <c r="AW1443">
        <v>0</v>
      </c>
      <c r="AY1443">
        <v>0</v>
      </c>
      <c r="AZ1443">
        <v>0</v>
      </c>
      <c r="BA1443">
        <v>70</v>
      </c>
      <c r="BE1443" t="str">
        <f>T("9791164097173")</f>
        <v>9791164097173</v>
      </c>
      <c r="BF1443" t="str">
        <f>T("N224052")</f>
        <v>N224052</v>
      </c>
      <c r="BG1443" t="str">
        <f>T("로판 웹소설 &gt; 서양풍 로판")</f>
        <v>로판 웹소설 &gt; 서양풍 로판</v>
      </c>
    </row>
    <row r="1444" spans="1:59">
      <c r="A1444" t="s">
        <v>60</v>
      </c>
      <c r="B1444" s="1">
        <v>46131</v>
      </c>
      <c r="C1444">
        <v>2378036275</v>
      </c>
      <c r="D1444">
        <v>2378044752</v>
      </c>
      <c r="E1444" t="str">
        <f>T("구원자가 도망친 밤 204화 (에필로그 1화)")</f>
        <v>구원자가 도망친 밤 204화 (에필로그 1화)</v>
      </c>
      <c r="F1444">
        <v>204</v>
      </c>
      <c r="G1444" t="str">
        <f>T("얼든트")</f>
        <v>얼든트</v>
      </c>
      <c r="J1444" t="str">
        <f>T("시계토끼")</f>
        <v>시계토끼</v>
      </c>
      <c r="K1444" t="str">
        <f>T("구원자가 도망친 밤")</f>
        <v>구원자가 도망친 밤</v>
      </c>
      <c r="L1444">
        <v>100</v>
      </c>
      <c r="M1444">
        <v>100</v>
      </c>
      <c r="N1444">
        <v>1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100</v>
      </c>
      <c r="AJ1444">
        <v>1</v>
      </c>
      <c r="AK1444">
        <v>0</v>
      </c>
      <c r="AL1444">
        <v>0</v>
      </c>
      <c r="AM1444">
        <v>100</v>
      </c>
      <c r="AN1444">
        <v>0</v>
      </c>
      <c r="AO1444">
        <v>0</v>
      </c>
      <c r="AP1444">
        <v>0</v>
      </c>
      <c r="AQ1444">
        <v>0</v>
      </c>
      <c r="AS1444">
        <v>0</v>
      </c>
      <c r="AT1444">
        <v>0</v>
      </c>
      <c r="AV1444">
        <v>0</v>
      </c>
      <c r="AW1444">
        <v>0</v>
      </c>
      <c r="AY1444">
        <v>0</v>
      </c>
      <c r="AZ1444">
        <v>0</v>
      </c>
      <c r="BA1444">
        <v>70</v>
      </c>
      <c r="BE1444" t="str">
        <f>T("9791164097173")</f>
        <v>9791164097173</v>
      </c>
      <c r="BF1444" t="str">
        <f>T("N228105")</f>
        <v>N228105</v>
      </c>
      <c r="BG1444" t="str">
        <f>T("로판 웹소설 &gt; 서양풍 로판")</f>
        <v>로판 웹소설 &gt; 서양풍 로판</v>
      </c>
    </row>
    <row r="1445" spans="1:59">
      <c r="A1445" t="s">
        <v>60</v>
      </c>
      <c r="B1445" s="1">
        <v>46131</v>
      </c>
      <c r="C1445">
        <v>2378036275</v>
      </c>
      <c r="D1445">
        <v>2378044760</v>
      </c>
      <c r="E1445" t="str">
        <f>T("구원자가 도망친 밤 205화 (에필로그 2화)")</f>
        <v>구원자가 도망친 밤 205화 (에필로그 2화)</v>
      </c>
      <c r="F1445">
        <v>205</v>
      </c>
      <c r="G1445" t="str">
        <f>T("얼든트")</f>
        <v>얼든트</v>
      </c>
      <c r="J1445" t="str">
        <f>T("시계토끼")</f>
        <v>시계토끼</v>
      </c>
      <c r="K1445" t="str">
        <f>T("구원자가 도망친 밤")</f>
        <v>구원자가 도망친 밤</v>
      </c>
      <c r="L1445">
        <v>100</v>
      </c>
      <c r="M1445">
        <v>100</v>
      </c>
      <c r="N1445">
        <v>1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0</v>
      </c>
      <c r="AF1445">
        <v>0</v>
      </c>
      <c r="AG1445">
        <v>0</v>
      </c>
      <c r="AH1445">
        <v>0</v>
      </c>
      <c r="AI1445">
        <v>100</v>
      </c>
      <c r="AJ1445">
        <v>1</v>
      </c>
      <c r="AK1445">
        <v>0</v>
      </c>
      <c r="AL1445">
        <v>0</v>
      </c>
      <c r="AM1445">
        <v>100</v>
      </c>
      <c r="AN1445">
        <v>0</v>
      </c>
      <c r="AO1445">
        <v>0</v>
      </c>
      <c r="AP1445">
        <v>0</v>
      </c>
      <c r="AQ1445">
        <v>0</v>
      </c>
      <c r="AS1445">
        <v>0</v>
      </c>
      <c r="AT1445">
        <v>0</v>
      </c>
      <c r="AV1445">
        <v>0</v>
      </c>
      <c r="AW1445">
        <v>0</v>
      </c>
      <c r="AY1445">
        <v>0</v>
      </c>
      <c r="AZ1445">
        <v>0</v>
      </c>
      <c r="BA1445">
        <v>70</v>
      </c>
      <c r="BE1445" t="str">
        <f>T("9791164097173")</f>
        <v>9791164097173</v>
      </c>
      <c r="BF1445" t="str">
        <f>T("N231742")</f>
        <v>N231742</v>
      </c>
      <c r="BG1445" t="str">
        <f>T("로판 웹소설 &gt; 서양풍 로판")</f>
        <v>로판 웹소설 &gt; 서양풍 로판</v>
      </c>
    </row>
    <row r="1446" spans="1:59">
      <c r="A1446" t="s">
        <v>60</v>
      </c>
      <c r="B1446" s="1">
        <v>46131</v>
      </c>
      <c r="C1446">
        <v>2378036275</v>
      </c>
      <c r="D1446">
        <v>2378044776</v>
      </c>
      <c r="E1446" t="str">
        <f>T("구원자가 도망친 밤 206화(에필로그 최종화)")</f>
        <v>구원자가 도망친 밤 206화(에필로그 최종화)</v>
      </c>
      <c r="F1446">
        <v>206</v>
      </c>
      <c r="G1446" t="str">
        <f>T("얼든트")</f>
        <v>얼든트</v>
      </c>
      <c r="J1446" t="str">
        <f>T("시계토끼")</f>
        <v>시계토끼</v>
      </c>
      <c r="K1446" t="str">
        <f>T("구원자가 도망친 밤")</f>
        <v>구원자가 도망친 밤</v>
      </c>
      <c r="L1446">
        <v>100</v>
      </c>
      <c r="M1446">
        <v>100</v>
      </c>
      <c r="N1446">
        <v>1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100</v>
      </c>
      <c r="AJ1446">
        <v>1</v>
      </c>
      <c r="AK1446">
        <v>0</v>
      </c>
      <c r="AL1446">
        <v>0</v>
      </c>
      <c r="AM1446">
        <v>100</v>
      </c>
      <c r="AN1446">
        <v>0</v>
      </c>
      <c r="AO1446">
        <v>0</v>
      </c>
      <c r="AP1446">
        <v>0</v>
      </c>
      <c r="AQ1446">
        <v>0</v>
      </c>
      <c r="AS1446">
        <v>0</v>
      </c>
      <c r="AT1446">
        <v>0</v>
      </c>
      <c r="AV1446">
        <v>0</v>
      </c>
      <c r="AW1446">
        <v>0</v>
      </c>
      <c r="AY1446">
        <v>0</v>
      </c>
      <c r="AZ1446">
        <v>0</v>
      </c>
      <c r="BA1446">
        <v>70</v>
      </c>
      <c r="BE1446" t="str">
        <f>T("9791164097173")</f>
        <v>9791164097173</v>
      </c>
      <c r="BF1446" t="str">
        <f>T("N232161")</f>
        <v>N232161</v>
      </c>
      <c r="BG1446" t="str">
        <f>T("로판 웹소설 &gt; 서양풍 로판")</f>
        <v>로판 웹소설 &gt; 서양풍 로판</v>
      </c>
    </row>
    <row r="1447" spans="1:59">
      <c r="A1447" t="s">
        <v>60</v>
      </c>
      <c r="B1447" s="1">
        <v>46131</v>
      </c>
      <c r="C1447">
        <v>2378036275</v>
      </c>
      <c r="D1447">
        <v>2378049718</v>
      </c>
      <c r="E1447" t="str">
        <f>T("구원자가 도망친 밤 외전 1화")</f>
        <v>구원자가 도망친 밤 외전 1화</v>
      </c>
      <c r="F1447">
        <v>207</v>
      </c>
      <c r="G1447" t="str">
        <f>T("얼든트")</f>
        <v>얼든트</v>
      </c>
      <c r="J1447" t="str">
        <f>T("시계토끼")</f>
        <v>시계토끼</v>
      </c>
      <c r="K1447" t="str">
        <f>T("구원자가 도망친 밤")</f>
        <v>구원자가 도망친 밤</v>
      </c>
      <c r="L1447">
        <v>100</v>
      </c>
      <c r="M1447">
        <v>100</v>
      </c>
      <c r="N1447">
        <v>1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100</v>
      </c>
      <c r="AJ1447">
        <v>1</v>
      </c>
      <c r="AK1447">
        <v>0</v>
      </c>
      <c r="AL1447">
        <v>0</v>
      </c>
      <c r="AM1447">
        <v>100</v>
      </c>
      <c r="AN1447">
        <v>0</v>
      </c>
      <c r="AO1447">
        <v>0</v>
      </c>
      <c r="AP1447">
        <v>0</v>
      </c>
      <c r="AQ1447">
        <v>0</v>
      </c>
      <c r="AS1447">
        <v>0</v>
      </c>
      <c r="AT1447">
        <v>0</v>
      </c>
      <c r="AV1447">
        <v>0</v>
      </c>
      <c r="AW1447">
        <v>0</v>
      </c>
      <c r="AY1447">
        <v>0</v>
      </c>
      <c r="AZ1447">
        <v>0</v>
      </c>
      <c r="BA1447">
        <v>70</v>
      </c>
      <c r="BE1447" t="str">
        <f>T("9791164097173")</f>
        <v>9791164097173</v>
      </c>
      <c r="BF1447" t="str">
        <f>T("k027558")</f>
        <v>k027558</v>
      </c>
      <c r="BG1447" t="str">
        <f>T("로판 웹소설 &gt; 서양풍 로판")</f>
        <v>로판 웹소설 &gt; 서양풍 로판</v>
      </c>
    </row>
    <row r="1448" spans="1:59">
      <c r="A1448" t="s">
        <v>60</v>
      </c>
      <c r="B1448" s="1">
        <v>46131</v>
      </c>
      <c r="C1448">
        <v>2378036275</v>
      </c>
      <c r="D1448">
        <v>2378049720</v>
      </c>
      <c r="E1448" t="str">
        <f>T("구원자가 도망친 밤 외전 2화")</f>
        <v>구원자가 도망친 밤 외전 2화</v>
      </c>
      <c r="F1448">
        <v>208</v>
      </c>
      <c r="G1448" t="str">
        <f>T("얼든트")</f>
        <v>얼든트</v>
      </c>
      <c r="J1448" t="str">
        <f>T("시계토끼")</f>
        <v>시계토끼</v>
      </c>
      <c r="K1448" t="str">
        <f>T("구원자가 도망친 밤")</f>
        <v>구원자가 도망친 밤</v>
      </c>
      <c r="L1448">
        <v>100</v>
      </c>
      <c r="M1448">
        <v>100</v>
      </c>
      <c r="N1448">
        <v>1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100</v>
      </c>
      <c r="AJ1448">
        <v>1</v>
      </c>
      <c r="AK1448">
        <v>0</v>
      </c>
      <c r="AL1448">
        <v>0</v>
      </c>
      <c r="AM1448">
        <v>100</v>
      </c>
      <c r="AN1448">
        <v>0</v>
      </c>
      <c r="AO1448">
        <v>0</v>
      </c>
      <c r="AP1448">
        <v>0</v>
      </c>
      <c r="AQ1448">
        <v>0</v>
      </c>
      <c r="AS1448">
        <v>0</v>
      </c>
      <c r="AT1448">
        <v>0</v>
      </c>
      <c r="AV1448">
        <v>0</v>
      </c>
      <c r="AW1448">
        <v>0</v>
      </c>
      <c r="AY1448">
        <v>0</v>
      </c>
      <c r="AZ1448">
        <v>0</v>
      </c>
      <c r="BA1448">
        <v>70</v>
      </c>
      <c r="BE1448" t="str">
        <f>T("9791164097173")</f>
        <v>9791164097173</v>
      </c>
      <c r="BF1448" t="str">
        <f>T("k027559")</f>
        <v>k027559</v>
      </c>
      <c r="BG1448" t="str">
        <f>T("로판 웹소설 &gt; 서양풍 로판")</f>
        <v>로판 웹소설 &gt; 서양풍 로판</v>
      </c>
    </row>
    <row r="1449" spans="1:59">
      <c r="A1449" t="s">
        <v>60</v>
      </c>
      <c r="B1449" s="1">
        <v>46131</v>
      </c>
      <c r="C1449">
        <v>2378036275</v>
      </c>
      <c r="D1449">
        <v>2378049721</v>
      </c>
      <c r="E1449" t="str">
        <f>T("구원자가 도망친 밤 외전 3화")</f>
        <v>구원자가 도망친 밤 외전 3화</v>
      </c>
      <c r="F1449">
        <v>209</v>
      </c>
      <c r="G1449" t="str">
        <f>T("얼든트")</f>
        <v>얼든트</v>
      </c>
      <c r="J1449" t="str">
        <f>T("시계토끼")</f>
        <v>시계토끼</v>
      </c>
      <c r="K1449" t="str">
        <f>T("구원자가 도망친 밤")</f>
        <v>구원자가 도망친 밤</v>
      </c>
      <c r="L1449">
        <v>100</v>
      </c>
      <c r="M1449">
        <v>100</v>
      </c>
      <c r="N1449">
        <v>1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100</v>
      </c>
      <c r="AJ1449">
        <v>1</v>
      </c>
      <c r="AK1449">
        <v>0</v>
      </c>
      <c r="AL1449">
        <v>0</v>
      </c>
      <c r="AM1449">
        <v>100</v>
      </c>
      <c r="AN1449">
        <v>0</v>
      </c>
      <c r="AO1449">
        <v>0</v>
      </c>
      <c r="AP1449">
        <v>0</v>
      </c>
      <c r="AQ1449">
        <v>0</v>
      </c>
      <c r="AS1449">
        <v>0</v>
      </c>
      <c r="AT1449">
        <v>0</v>
      </c>
      <c r="AV1449">
        <v>0</v>
      </c>
      <c r="AW1449">
        <v>0</v>
      </c>
      <c r="AY1449">
        <v>0</v>
      </c>
      <c r="AZ1449">
        <v>0</v>
      </c>
      <c r="BA1449">
        <v>70</v>
      </c>
      <c r="BE1449" t="str">
        <f>T("9791164097173")</f>
        <v>9791164097173</v>
      </c>
      <c r="BF1449" t="str">
        <f>T("k027560")</f>
        <v>k027560</v>
      </c>
      <c r="BG1449" t="str">
        <f>T("로판 웹소설 &gt; 서양풍 로판")</f>
        <v>로판 웹소설 &gt; 서양풍 로판</v>
      </c>
    </row>
    <row r="1450" spans="1:59">
      <c r="A1450" t="s">
        <v>60</v>
      </c>
      <c r="B1450" s="1">
        <v>46131</v>
      </c>
      <c r="C1450">
        <v>2378036275</v>
      </c>
      <c r="D1450">
        <v>2378049722</v>
      </c>
      <c r="E1450" t="str">
        <f>T("구원자가 도망친 밤 외전 4화")</f>
        <v>구원자가 도망친 밤 외전 4화</v>
      </c>
      <c r="F1450">
        <v>210</v>
      </c>
      <c r="G1450" t="str">
        <f>T("얼든트")</f>
        <v>얼든트</v>
      </c>
      <c r="J1450" t="str">
        <f>T("시계토끼")</f>
        <v>시계토끼</v>
      </c>
      <c r="K1450" t="str">
        <f>T("구원자가 도망친 밤")</f>
        <v>구원자가 도망친 밤</v>
      </c>
      <c r="L1450">
        <v>100</v>
      </c>
      <c r="M1450">
        <v>100</v>
      </c>
      <c r="N1450">
        <v>1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100</v>
      </c>
      <c r="AJ1450">
        <v>1</v>
      </c>
      <c r="AK1450">
        <v>0</v>
      </c>
      <c r="AL1450">
        <v>0</v>
      </c>
      <c r="AM1450">
        <v>100</v>
      </c>
      <c r="AN1450">
        <v>0</v>
      </c>
      <c r="AO1450">
        <v>0</v>
      </c>
      <c r="AP1450">
        <v>0</v>
      </c>
      <c r="AQ1450">
        <v>0</v>
      </c>
      <c r="AS1450">
        <v>0</v>
      </c>
      <c r="AT1450">
        <v>0</v>
      </c>
      <c r="AV1450">
        <v>0</v>
      </c>
      <c r="AW1450">
        <v>0</v>
      </c>
      <c r="AY1450">
        <v>0</v>
      </c>
      <c r="AZ1450">
        <v>0</v>
      </c>
      <c r="BA1450">
        <v>70</v>
      </c>
      <c r="BE1450" t="str">
        <f>T("9791164097173")</f>
        <v>9791164097173</v>
      </c>
      <c r="BF1450" t="str">
        <f>T("k027561")</f>
        <v>k027561</v>
      </c>
      <c r="BG1450" t="str">
        <f>T("로판 웹소설 &gt; 서양풍 로판")</f>
        <v>로판 웹소설 &gt; 서양풍 로판</v>
      </c>
    </row>
    <row r="1451" spans="1:59">
      <c r="A1451" t="s">
        <v>60</v>
      </c>
      <c r="B1451" s="1">
        <v>46131</v>
      </c>
      <c r="C1451">
        <v>2378036275</v>
      </c>
      <c r="D1451">
        <v>2378049723</v>
      </c>
      <c r="E1451" t="str">
        <f>T("구원자가 도망친 밤 외전 5화")</f>
        <v>구원자가 도망친 밤 외전 5화</v>
      </c>
      <c r="F1451">
        <v>211</v>
      </c>
      <c r="G1451" t="str">
        <f>T("얼든트")</f>
        <v>얼든트</v>
      </c>
      <c r="J1451" t="str">
        <f>T("시계토끼")</f>
        <v>시계토끼</v>
      </c>
      <c r="K1451" t="str">
        <f>T("구원자가 도망친 밤")</f>
        <v>구원자가 도망친 밤</v>
      </c>
      <c r="L1451">
        <v>100</v>
      </c>
      <c r="M1451">
        <v>100</v>
      </c>
      <c r="N1451">
        <v>1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100</v>
      </c>
      <c r="AJ1451">
        <v>1</v>
      </c>
      <c r="AK1451">
        <v>0</v>
      </c>
      <c r="AL1451">
        <v>0</v>
      </c>
      <c r="AM1451">
        <v>100</v>
      </c>
      <c r="AN1451">
        <v>0</v>
      </c>
      <c r="AO1451">
        <v>0</v>
      </c>
      <c r="AP1451">
        <v>0</v>
      </c>
      <c r="AQ1451">
        <v>0</v>
      </c>
      <c r="AS1451">
        <v>0</v>
      </c>
      <c r="AT1451">
        <v>0</v>
      </c>
      <c r="AV1451">
        <v>0</v>
      </c>
      <c r="AW1451">
        <v>0</v>
      </c>
      <c r="AY1451">
        <v>0</v>
      </c>
      <c r="AZ1451">
        <v>0</v>
      </c>
      <c r="BA1451">
        <v>70</v>
      </c>
      <c r="BE1451" t="str">
        <f>T("9791164097173")</f>
        <v>9791164097173</v>
      </c>
      <c r="BF1451" t="str">
        <f>T("k027562")</f>
        <v>k027562</v>
      </c>
      <c r="BG1451" t="str">
        <f>T("로판 웹소설 &gt; 서양풍 로판")</f>
        <v>로판 웹소설 &gt; 서양풍 로판</v>
      </c>
    </row>
    <row r="1452" spans="1:59">
      <c r="A1452" t="s">
        <v>60</v>
      </c>
      <c r="B1452" s="1">
        <v>46131</v>
      </c>
      <c r="C1452">
        <v>2378036275</v>
      </c>
      <c r="D1452">
        <v>2378049724</v>
      </c>
      <c r="E1452" t="str">
        <f>T("구원자가 도망친 밤 외전 6화")</f>
        <v>구원자가 도망친 밤 외전 6화</v>
      </c>
      <c r="F1452">
        <v>212</v>
      </c>
      <c r="G1452" t="str">
        <f>T("얼든트")</f>
        <v>얼든트</v>
      </c>
      <c r="J1452" t="str">
        <f>T("시계토끼")</f>
        <v>시계토끼</v>
      </c>
      <c r="K1452" t="str">
        <f>T("구원자가 도망친 밤")</f>
        <v>구원자가 도망친 밤</v>
      </c>
      <c r="L1452">
        <v>100</v>
      </c>
      <c r="M1452">
        <v>100</v>
      </c>
      <c r="N1452">
        <v>1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100</v>
      </c>
      <c r="AJ1452">
        <v>1</v>
      </c>
      <c r="AK1452">
        <v>0</v>
      </c>
      <c r="AL1452">
        <v>0</v>
      </c>
      <c r="AM1452">
        <v>100</v>
      </c>
      <c r="AN1452">
        <v>0</v>
      </c>
      <c r="AO1452">
        <v>0</v>
      </c>
      <c r="AP1452">
        <v>0</v>
      </c>
      <c r="AQ1452">
        <v>0</v>
      </c>
      <c r="AS1452">
        <v>0</v>
      </c>
      <c r="AT1452">
        <v>0</v>
      </c>
      <c r="AV1452">
        <v>0</v>
      </c>
      <c r="AW1452">
        <v>0</v>
      </c>
      <c r="AY1452">
        <v>0</v>
      </c>
      <c r="AZ1452">
        <v>0</v>
      </c>
      <c r="BA1452">
        <v>70</v>
      </c>
      <c r="BE1452" t="str">
        <f>T("9791164097173")</f>
        <v>9791164097173</v>
      </c>
      <c r="BF1452" t="str">
        <f>T("k027563")</f>
        <v>k027563</v>
      </c>
      <c r="BG1452" t="str">
        <f>T("로판 웹소설 &gt; 서양풍 로판")</f>
        <v>로판 웹소설 &gt; 서양풍 로판</v>
      </c>
    </row>
    <row r="1453" spans="1:59">
      <c r="A1453" t="s">
        <v>60</v>
      </c>
      <c r="B1453" s="1">
        <v>46131</v>
      </c>
      <c r="C1453">
        <v>2378036275</v>
      </c>
      <c r="D1453">
        <v>2378049725</v>
      </c>
      <c r="E1453" t="str">
        <f>T("구원자가 도망친 밤 외전 7화")</f>
        <v>구원자가 도망친 밤 외전 7화</v>
      </c>
      <c r="F1453">
        <v>213</v>
      </c>
      <c r="G1453" t="str">
        <f>T("얼든트")</f>
        <v>얼든트</v>
      </c>
      <c r="J1453" t="str">
        <f>T("시계토끼")</f>
        <v>시계토끼</v>
      </c>
      <c r="K1453" t="str">
        <f>T("구원자가 도망친 밤")</f>
        <v>구원자가 도망친 밤</v>
      </c>
      <c r="L1453">
        <v>100</v>
      </c>
      <c r="M1453">
        <v>100</v>
      </c>
      <c r="N1453">
        <v>1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100</v>
      </c>
      <c r="AJ1453">
        <v>1</v>
      </c>
      <c r="AK1453">
        <v>0</v>
      </c>
      <c r="AL1453">
        <v>0</v>
      </c>
      <c r="AM1453">
        <v>100</v>
      </c>
      <c r="AN1453">
        <v>0</v>
      </c>
      <c r="AO1453">
        <v>0</v>
      </c>
      <c r="AP1453">
        <v>0</v>
      </c>
      <c r="AQ1453">
        <v>0</v>
      </c>
      <c r="AS1453">
        <v>0</v>
      </c>
      <c r="AT1453">
        <v>0</v>
      </c>
      <c r="AV1453">
        <v>0</v>
      </c>
      <c r="AW1453">
        <v>0</v>
      </c>
      <c r="AY1453">
        <v>0</v>
      </c>
      <c r="AZ1453">
        <v>0</v>
      </c>
      <c r="BA1453">
        <v>70</v>
      </c>
      <c r="BE1453" t="str">
        <f>T("9791164097173")</f>
        <v>9791164097173</v>
      </c>
      <c r="BF1453" t="str">
        <f>T("k027564")</f>
        <v>k027564</v>
      </c>
      <c r="BG1453" t="str">
        <f>T("로판 웹소설 &gt; 서양풍 로판")</f>
        <v>로판 웹소설 &gt; 서양풍 로판</v>
      </c>
    </row>
    <row r="1454" spans="1:59">
      <c r="A1454" t="s">
        <v>60</v>
      </c>
      <c r="B1454" s="1">
        <v>46131</v>
      </c>
      <c r="C1454">
        <v>2378036275</v>
      </c>
      <c r="D1454">
        <v>2378049727</v>
      </c>
      <c r="E1454" t="str">
        <f>T("구원자가 도망친 밤 외전 8화")</f>
        <v>구원자가 도망친 밤 외전 8화</v>
      </c>
      <c r="F1454">
        <v>214</v>
      </c>
      <c r="G1454" t="str">
        <f>T("얼든트")</f>
        <v>얼든트</v>
      </c>
      <c r="J1454" t="str">
        <f>T("시계토끼")</f>
        <v>시계토끼</v>
      </c>
      <c r="K1454" t="str">
        <f>T("구원자가 도망친 밤")</f>
        <v>구원자가 도망친 밤</v>
      </c>
      <c r="L1454">
        <v>100</v>
      </c>
      <c r="M1454">
        <v>100</v>
      </c>
      <c r="N1454">
        <v>1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100</v>
      </c>
      <c r="AJ1454">
        <v>1</v>
      </c>
      <c r="AK1454">
        <v>0</v>
      </c>
      <c r="AL1454">
        <v>0</v>
      </c>
      <c r="AM1454">
        <v>100</v>
      </c>
      <c r="AN1454">
        <v>0</v>
      </c>
      <c r="AO1454">
        <v>0</v>
      </c>
      <c r="AP1454">
        <v>0</v>
      </c>
      <c r="AQ1454">
        <v>0</v>
      </c>
      <c r="AS1454">
        <v>0</v>
      </c>
      <c r="AT1454">
        <v>0</v>
      </c>
      <c r="AV1454">
        <v>0</v>
      </c>
      <c r="AW1454">
        <v>0</v>
      </c>
      <c r="AY1454">
        <v>0</v>
      </c>
      <c r="AZ1454">
        <v>0</v>
      </c>
      <c r="BA1454">
        <v>70</v>
      </c>
      <c r="BE1454" t="str">
        <f>T("9791164097173")</f>
        <v>9791164097173</v>
      </c>
      <c r="BF1454" t="str">
        <f>T("k027565")</f>
        <v>k027565</v>
      </c>
      <c r="BG1454" t="str">
        <f>T("로판 웹소설 &gt; 서양풍 로판")</f>
        <v>로판 웹소설 &gt; 서양풍 로판</v>
      </c>
    </row>
    <row r="1455" spans="1:59">
      <c r="A1455" t="s">
        <v>60</v>
      </c>
      <c r="B1455" s="1">
        <v>46131</v>
      </c>
      <c r="C1455">
        <v>2378036275</v>
      </c>
      <c r="D1455">
        <v>2378049728</v>
      </c>
      <c r="E1455" t="str">
        <f>T("구원자가 도망친 밤 외전 9화")</f>
        <v>구원자가 도망친 밤 외전 9화</v>
      </c>
      <c r="F1455">
        <v>215</v>
      </c>
      <c r="G1455" t="str">
        <f>T("얼든트")</f>
        <v>얼든트</v>
      </c>
      <c r="J1455" t="str">
        <f>T("시계토끼")</f>
        <v>시계토끼</v>
      </c>
      <c r="K1455" t="str">
        <f>T("구원자가 도망친 밤")</f>
        <v>구원자가 도망친 밤</v>
      </c>
      <c r="L1455">
        <v>100</v>
      </c>
      <c r="M1455">
        <v>100</v>
      </c>
      <c r="N1455">
        <v>1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100</v>
      </c>
      <c r="AJ1455">
        <v>1</v>
      </c>
      <c r="AK1455">
        <v>0</v>
      </c>
      <c r="AL1455">
        <v>0</v>
      </c>
      <c r="AM1455">
        <v>100</v>
      </c>
      <c r="AN1455">
        <v>0</v>
      </c>
      <c r="AO1455">
        <v>0</v>
      </c>
      <c r="AP1455">
        <v>0</v>
      </c>
      <c r="AQ1455">
        <v>0</v>
      </c>
      <c r="AS1455">
        <v>0</v>
      </c>
      <c r="AT1455">
        <v>0</v>
      </c>
      <c r="AV1455">
        <v>0</v>
      </c>
      <c r="AW1455">
        <v>0</v>
      </c>
      <c r="AY1455">
        <v>0</v>
      </c>
      <c r="AZ1455">
        <v>0</v>
      </c>
      <c r="BA1455">
        <v>70</v>
      </c>
      <c r="BE1455" t="str">
        <f>T("9791164097173")</f>
        <v>9791164097173</v>
      </c>
      <c r="BF1455" t="str">
        <f>T("k027566")</f>
        <v>k027566</v>
      </c>
      <c r="BG1455" t="str">
        <f>T("로판 웹소설 &gt; 서양풍 로판")</f>
        <v>로판 웹소설 &gt; 서양풍 로판</v>
      </c>
    </row>
    <row r="1456" spans="1:59">
      <c r="A1456" t="s">
        <v>60</v>
      </c>
      <c r="B1456" s="1">
        <v>46131</v>
      </c>
      <c r="C1456">
        <v>2378036275</v>
      </c>
      <c r="D1456">
        <v>2378049729</v>
      </c>
      <c r="E1456" t="str">
        <f>T("구원자가 도망친 밤 외전 10화")</f>
        <v>구원자가 도망친 밤 외전 10화</v>
      </c>
      <c r="F1456">
        <v>216</v>
      </c>
      <c r="G1456" t="str">
        <f>T("얼든트")</f>
        <v>얼든트</v>
      </c>
      <c r="J1456" t="str">
        <f>T("시계토끼")</f>
        <v>시계토끼</v>
      </c>
      <c r="K1456" t="str">
        <f>T("구원자가 도망친 밤")</f>
        <v>구원자가 도망친 밤</v>
      </c>
      <c r="L1456">
        <v>100</v>
      </c>
      <c r="M1456">
        <v>100</v>
      </c>
      <c r="N1456">
        <v>1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100</v>
      </c>
      <c r="AJ1456">
        <v>1</v>
      </c>
      <c r="AK1456">
        <v>0</v>
      </c>
      <c r="AL1456">
        <v>0</v>
      </c>
      <c r="AM1456">
        <v>100</v>
      </c>
      <c r="AN1456">
        <v>0</v>
      </c>
      <c r="AO1456">
        <v>0</v>
      </c>
      <c r="AP1456">
        <v>0</v>
      </c>
      <c r="AQ1456">
        <v>0</v>
      </c>
      <c r="AS1456">
        <v>0</v>
      </c>
      <c r="AT1456">
        <v>0</v>
      </c>
      <c r="AV1456">
        <v>0</v>
      </c>
      <c r="AW1456">
        <v>0</v>
      </c>
      <c r="AY1456">
        <v>0</v>
      </c>
      <c r="AZ1456">
        <v>0</v>
      </c>
      <c r="BA1456">
        <v>70</v>
      </c>
      <c r="BE1456" t="str">
        <f>T("9791164097173")</f>
        <v>9791164097173</v>
      </c>
      <c r="BF1456" t="str">
        <f>T("k027567")</f>
        <v>k027567</v>
      </c>
      <c r="BG1456" t="str">
        <f>T("로판 웹소설 &gt; 서양풍 로판")</f>
        <v>로판 웹소설 &gt; 서양풍 로판</v>
      </c>
    </row>
    <row r="1457" spans="1:59">
      <c r="A1457" t="s">
        <v>60</v>
      </c>
      <c r="B1457" s="1">
        <v>46131</v>
      </c>
      <c r="C1457">
        <v>2378036275</v>
      </c>
      <c r="D1457">
        <v>2378049730</v>
      </c>
      <c r="E1457" t="str">
        <f>T("구원자가 도망친 밤 외전 11화")</f>
        <v>구원자가 도망친 밤 외전 11화</v>
      </c>
      <c r="F1457">
        <v>217</v>
      </c>
      <c r="G1457" t="str">
        <f>T("얼든트")</f>
        <v>얼든트</v>
      </c>
      <c r="J1457" t="str">
        <f>T("시계토끼")</f>
        <v>시계토끼</v>
      </c>
      <c r="K1457" t="str">
        <f>T("구원자가 도망친 밤")</f>
        <v>구원자가 도망친 밤</v>
      </c>
      <c r="L1457">
        <v>100</v>
      </c>
      <c r="M1457">
        <v>100</v>
      </c>
      <c r="N1457">
        <v>1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100</v>
      </c>
      <c r="AJ1457">
        <v>1</v>
      </c>
      <c r="AK1457">
        <v>0</v>
      </c>
      <c r="AL1457">
        <v>0</v>
      </c>
      <c r="AM1457">
        <v>100</v>
      </c>
      <c r="AN1457">
        <v>0</v>
      </c>
      <c r="AO1457">
        <v>0</v>
      </c>
      <c r="AP1457">
        <v>0</v>
      </c>
      <c r="AQ1457">
        <v>0</v>
      </c>
      <c r="AS1457">
        <v>0</v>
      </c>
      <c r="AT1457">
        <v>0</v>
      </c>
      <c r="AV1457">
        <v>0</v>
      </c>
      <c r="AW1457">
        <v>0</v>
      </c>
      <c r="AY1457">
        <v>0</v>
      </c>
      <c r="AZ1457">
        <v>0</v>
      </c>
      <c r="BA1457">
        <v>70</v>
      </c>
      <c r="BE1457" t="str">
        <f>T("9791164097173")</f>
        <v>9791164097173</v>
      </c>
      <c r="BF1457" t="str">
        <f>T("k027568")</f>
        <v>k027568</v>
      </c>
      <c r="BG1457" t="str">
        <f>T("로판 웹소설 &gt; 서양풍 로판")</f>
        <v>로판 웹소설 &gt; 서양풍 로판</v>
      </c>
    </row>
    <row r="1458" spans="1:59">
      <c r="A1458" t="s">
        <v>60</v>
      </c>
      <c r="B1458" s="1">
        <v>46131</v>
      </c>
      <c r="C1458">
        <v>2378036275</v>
      </c>
      <c r="D1458">
        <v>2378049731</v>
      </c>
      <c r="E1458" t="str">
        <f>T("구원자가 도망친 밤 외전 12화")</f>
        <v>구원자가 도망친 밤 외전 12화</v>
      </c>
      <c r="F1458">
        <v>218</v>
      </c>
      <c r="G1458" t="str">
        <f>T("얼든트")</f>
        <v>얼든트</v>
      </c>
      <c r="J1458" t="str">
        <f>T("시계토끼")</f>
        <v>시계토끼</v>
      </c>
      <c r="K1458" t="str">
        <f>T("구원자가 도망친 밤")</f>
        <v>구원자가 도망친 밤</v>
      </c>
      <c r="L1458">
        <v>100</v>
      </c>
      <c r="M1458">
        <v>100</v>
      </c>
      <c r="N1458">
        <v>1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100</v>
      </c>
      <c r="AJ1458">
        <v>1</v>
      </c>
      <c r="AK1458">
        <v>0</v>
      </c>
      <c r="AL1458">
        <v>0</v>
      </c>
      <c r="AM1458">
        <v>100</v>
      </c>
      <c r="AN1458">
        <v>0</v>
      </c>
      <c r="AO1458">
        <v>0</v>
      </c>
      <c r="AP1458">
        <v>0</v>
      </c>
      <c r="AQ1458">
        <v>0</v>
      </c>
      <c r="AS1458">
        <v>0</v>
      </c>
      <c r="AT1458">
        <v>0</v>
      </c>
      <c r="AV1458">
        <v>0</v>
      </c>
      <c r="AW1458">
        <v>0</v>
      </c>
      <c r="AY1458">
        <v>0</v>
      </c>
      <c r="AZ1458">
        <v>0</v>
      </c>
      <c r="BA1458">
        <v>70</v>
      </c>
      <c r="BE1458" t="str">
        <f>T("9791164097173")</f>
        <v>9791164097173</v>
      </c>
      <c r="BF1458" t="str">
        <f>T("k027569")</f>
        <v>k027569</v>
      </c>
      <c r="BG1458" t="str">
        <f>T("로판 웹소설 &gt; 서양풍 로판")</f>
        <v>로판 웹소설 &gt; 서양풍 로판</v>
      </c>
    </row>
    <row r="1459" spans="1:59">
      <c r="A1459" t="s">
        <v>60</v>
      </c>
      <c r="B1459" s="1">
        <v>46131</v>
      </c>
      <c r="C1459">
        <v>2378036275</v>
      </c>
      <c r="D1459">
        <v>2378049732</v>
      </c>
      <c r="E1459" t="str">
        <f>T("구원자가 도망친 밤 외전 13화")</f>
        <v>구원자가 도망친 밤 외전 13화</v>
      </c>
      <c r="F1459">
        <v>219</v>
      </c>
      <c r="G1459" t="str">
        <f>T("얼든트")</f>
        <v>얼든트</v>
      </c>
      <c r="J1459" t="str">
        <f>T("시계토끼")</f>
        <v>시계토끼</v>
      </c>
      <c r="K1459" t="str">
        <f>T("구원자가 도망친 밤")</f>
        <v>구원자가 도망친 밤</v>
      </c>
      <c r="L1459">
        <v>100</v>
      </c>
      <c r="M1459">
        <v>100</v>
      </c>
      <c r="N1459">
        <v>1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0</v>
      </c>
      <c r="AH1459">
        <v>0</v>
      </c>
      <c r="AI1459">
        <v>100</v>
      </c>
      <c r="AJ1459">
        <v>1</v>
      </c>
      <c r="AK1459">
        <v>0</v>
      </c>
      <c r="AL1459">
        <v>0</v>
      </c>
      <c r="AM1459">
        <v>100</v>
      </c>
      <c r="AN1459">
        <v>0</v>
      </c>
      <c r="AO1459">
        <v>0</v>
      </c>
      <c r="AP1459">
        <v>0</v>
      </c>
      <c r="AQ1459">
        <v>0</v>
      </c>
      <c r="AS1459">
        <v>0</v>
      </c>
      <c r="AT1459">
        <v>0</v>
      </c>
      <c r="AV1459">
        <v>0</v>
      </c>
      <c r="AW1459">
        <v>0</v>
      </c>
      <c r="AY1459">
        <v>0</v>
      </c>
      <c r="AZ1459">
        <v>0</v>
      </c>
      <c r="BA1459">
        <v>70</v>
      </c>
      <c r="BE1459" t="str">
        <f>T("9791164097173")</f>
        <v>9791164097173</v>
      </c>
      <c r="BF1459" t="str">
        <f>T("k027570")</f>
        <v>k027570</v>
      </c>
      <c r="BG1459" t="str">
        <f>T("로판 웹소설 &gt; 서양풍 로판")</f>
        <v>로판 웹소설 &gt; 서양풍 로판</v>
      </c>
    </row>
    <row r="1460" spans="1:59">
      <c r="A1460" t="s">
        <v>60</v>
      </c>
      <c r="B1460" s="1">
        <v>46131</v>
      </c>
      <c r="C1460">
        <v>2378036275</v>
      </c>
      <c r="D1460">
        <v>2378049733</v>
      </c>
      <c r="E1460" t="str">
        <f>T("구원자가 도망친 밤 외전 14화")</f>
        <v>구원자가 도망친 밤 외전 14화</v>
      </c>
      <c r="F1460">
        <v>220</v>
      </c>
      <c r="G1460" t="str">
        <f>T("얼든트")</f>
        <v>얼든트</v>
      </c>
      <c r="J1460" t="str">
        <f>T("시계토끼")</f>
        <v>시계토끼</v>
      </c>
      <c r="K1460" t="str">
        <f>T("구원자가 도망친 밤")</f>
        <v>구원자가 도망친 밤</v>
      </c>
      <c r="L1460">
        <v>100</v>
      </c>
      <c r="M1460">
        <v>100</v>
      </c>
      <c r="N1460">
        <v>1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100</v>
      </c>
      <c r="AJ1460">
        <v>1</v>
      </c>
      <c r="AK1460">
        <v>0</v>
      </c>
      <c r="AL1460">
        <v>0</v>
      </c>
      <c r="AM1460">
        <v>100</v>
      </c>
      <c r="AN1460">
        <v>0</v>
      </c>
      <c r="AO1460">
        <v>0</v>
      </c>
      <c r="AP1460">
        <v>0</v>
      </c>
      <c r="AQ1460">
        <v>0</v>
      </c>
      <c r="AS1460">
        <v>0</v>
      </c>
      <c r="AT1460">
        <v>0</v>
      </c>
      <c r="AV1460">
        <v>0</v>
      </c>
      <c r="AW1460">
        <v>0</v>
      </c>
      <c r="AY1460">
        <v>0</v>
      </c>
      <c r="AZ1460">
        <v>0</v>
      </c>
      <c r="BA1460">
        <v>70</v>
      </c>
      <c r="BE1460" t="str">
        <f>T("9791164097173")</f>
        <v>9791164097173</v>
      </c>
      <c r="BF1460" t="str">
        <f>T("k027571")</f>
        <v>k027571</v>
      </c>
      <c r="BG1460" t="str">
        <f>T("로판 웹소설 &gt; 서양풍 로판")</f>
        <v>로판 웹소설 &gt; 서양풍 로판</v>
      </c>
    </row>
    <row r="1461" spans="1:59">
      <c r="A1461" t="s">
        <v>60</v>
      </c>
      <c r="B1461" s="1">
        <v>46131</v>
      </c>
      <c r="C1461">
        <v>2378036275</v>
      </c>
      <c r="D1461">
        <v>2378049737</v>
      </c>
      <c r="E1461" t="str">
        <f>T("구원자가 도망친 밤 외전 15화 (완결)")</f>
        <v>구원자가 도망친 밤 외전 15화 (완결)</v>
      </c>
      <c r="F1461">
        <v>221</v>
      </c>
      <c r="G1461" t="str">
        <f>T("얼든트")</f>
        <v>얼든트</v>
      </c>
      <c r="J1461" t="str">
        <f>T("시계토끼")</f>
        <v>시계토끼</v>
      </c>
      <c r="K1461" t="str">
        <f>T("구원자가 도망친 밤")</f>
        <v>구원자가 도망친 밤</v>
      </c>
      <c r="L1461">
        <v>100</v>
      </c>
      <c r="M1461">
        <v>100</v>
      </c>
      <c r="N1461">
        <v>1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100</v>
      </c>
      <c r="AJ1461">
        <v>1</v>
      </c>
      <c r="AK1461">
        <v>0</v>
      </c>
      <c r="AL1461">
        <v>0</v>
      </c>
      <c r="AM1461">
        <v>100</v>
      </c>
      <c r="AN1461">
        <v>0</v>
      </c>
      <c r="AO1461">
        <v>0</v>
      </c>
      <c r="AP1461">
        <v>0</v>
      </c>
      <c r="AQ1461">
        <v>0</v>
      </c>
      <c r="AS1461">
        <v>0</v>
      </c>
      <c r="AT1461">
        <v>0</v>
      </c>
      <c r="AV1461">
        <v>0</v>
      </c>
      <c r="AW1461">
        <v>0</v>
      </c>
      <c r="AY1461">
        <v>0</v>
      </c>
      <c r="AZ1461">
        <v>0</v>
      </c>
      <c r="BA1461">
        <v>70</v>
      </c>
      <c r="BE1461" t="str">
        <f>T("9791164097173")</f>
        <v>9791164097173</v>
      </c>
      <c r="BF1461" t="str">
        <f>T("k027969")</f>
        <v>k027969</v>
      </c>
      <c r="BG1461" t="str">
        <f>T("로판 웹소설 &gt; 서양풍 로판")</f>
        <v>로판 웹소설 &gt; 서양풍 로판</v>
      </c>
    </row>
    <row r="1462" spans="1:59">
      <c r="A1462" t="s">
        <v>60</v>
      </c>
      <c r="B1462" s="1">
        <v>46131</v>
      </c>
      <c r="C1462">
        <v>2378058809</v>
      </c>
      <c r="D1462">
        <v>2378058809</v>
      </c>
      <c r="E1462" t="str">
        <f>T("나혼자 게이트로 꿀빱니다 1화")</f>
        <v>나혼자 게이트로 꿀빱니다 1화</v>
      </c>
      <c r="F1462">
        <v>1</v>
      </c>
      <c r="G1462" t="str">
        <f>T("불량집사")</f>
        <v>불량집사</v>
      </c>
      <c r="J1462" t="str">
        <f>T("매드햇")</f>
        <v>매드햇</v>
      </c>
      <c r="K1462" t="str">
        <f>T("나혼자 게이트로 꿀빱니다")</f>
        <v>나혼자 게이트로 꿀빱니다</v>
      </c>
      <c r="L1462">
        <v>0</v>
      </c>
      <c r="M1462">
        <v>0</v>
      </c>
      <c r="N1462">
        <v>0</v>
      </c>
      <c r="O1462">
        <v>1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1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S1462">
        <v>0</v>
      </c>
      <c r="AT1462">
        <v>0</v>
      </c>
      <c r="AV1462">
        <v>0</v>
      </c>
      <c r="AW1462">
        <v>0</v>
      </c>
      <c r="AY1462">
        <v>0</v>
      </c>
      <c r="AZ1462">
        <v>0</v>
      </c>
      <c r="BA1462">
        <v>0</v>
      </c>
      <c r="BE1462" t="str">
        <f>T("9791137017221")</f>
        <v>9791137017221</v>
      </c>
      <c r="BF1462" t="str">
        <f>T("k188474")</f>
        <v>k188474</v>
      </c>
      <c r="BG1462" t="str">
        <f>T("판타지 웹소설 &gt; 현대 판타지")</f>
        <v>판타지 웹소설 &gt; 현대 판타지</v>
      </c>
    </row>
    <row r="1463" spans="1:59">
      <c r="A1463" t="s">
        <v>60</v>
      </c>
      <c r="B1463" s="1">
        <v>46129</v>
      </c>
      <c r="C1463">
        <v>2378044483</v>
      </c>
      <c r="D1463">
        <v>2378044508</v>
      </c>
      <c r="E1463" t="str">
        <f>T("내 눈에만 아공간이 보여 25화")</f>
        <v>내 눈에만 아공간이 보여 25화</v>
      </c>
      <c r="F1463">
        <v>26</v>
      </c>
      <c r="G1463" t="str">
        <f>T("지누아빠")</f>
        <v>지누아빠</v>
      </c>
      <c r="J1463" t="str">
        <f>T("매드햇")</f>
        <v>매드햇</v>
      </c>
      <c r="K1463" t="str">
        <f>T("내 눈에만 아공간이 보여")</f>
        <v>내 눈에만 아공간이 보여</v>
      </c>
      <c r="L1463">
        <v>100</v>
      </c>
      <c r="M1463">
        <v>100</v>
      </c>
      <c r="N1463">
        <v>1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100</v>
      </c>
      <c r="AJ1463">
        <v>1</v>
      </c>
      <c r="AK1463">
        <v>0</v>
      </c>
      <c r="AL1463">
        <v>0</v>
      </c>
      <c r="AM1463">
        <v>100</v>
      </c>
      <c r="AN1463">
        <v>0</v>
      </c>
      <c r="AO1463">
        <v>0</v>
      </c>
      <c r="AP1463">
        <v>0</v>
      </c>
      <c r="AQ1463">
        <v>0</v>
      </c>
      <c r="AS1463">
        <v>0</v>
      </c>
      <c r="AT1463">
        <v>0</v>
      </c>
      <c r="AV1463">
        <v>0</v>
      </c>
      <c r="AW1463">
        <v>0</v>
      </c>
      <c r="AY1463">
        <v>0</v>
      </c>
      <c r="AZ1463">
        <v>0</v>
      </c>
      <c r="BA1463">
        <v>70</v>
      </c>
      <c r="BE1463" t="str">
        <f>T("9791137013551")</f>
        <v>9791137013551</v>
      </c>
      <c r="BF1463" t="str">
        <f>T("N195484")</f>
        <v>N195484</v>
      </c>
      <c r="BG1463" t="str">
        <f>T("판타지 웹소설 &gt; 퓨전 판타지")</f>
        <v>판타지 웹소설 &gt; 퓨전 판타지</v>
      </c>
    </row>
    <row r="1464" spans="1:59">
      <c r="A1464" t="s">
        <v>60</v>
      </c>
      <c r="B1464" s="1">
        <v>46129</v>
      </c>
      <c r="C1464">
        <v>2378044483</v>
      </c>
      <c r="D1464">
        <v>2378044509</v>
      </c>
      <c r="E1464" t="str">
        <f>T("내 눈에만 아공간이 보여 26화")</f>
        <v>내 눈에만 아공간이 보여 26화</v>
      </c>
      <c r="F1464">
        <v>27</v>
      </c>
      <c r="G1464" t="str">
        <f>T("지누아빠")</f>
        <v>지누아빠</v>
      </c>
      <c r="J1464" t="str">
        <f>T("매드햇")</f>
        <v>매드햇</v>
      </c>
      <c r="K1464" t="str">
        <f>T("내 눈에만 아공간이 보여")</f>
        <v>내 눈에만 아공간이 보여</v>
      </c>
      <c r="L1464">
        <v>100</v>
      </c>
      <c r="M1464">
        <v>100</v>
      </c>
      <c r="N1464">
        <v>1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100</v>
      </c>
      <c r="AJ1464">
        <v>1</v>
      </c>
      <c r="AK1464">
        <v>0</v>
      </c>
      <c r="AL1464">
        <v>0</v>
      </c>
      <c r="AM1464">
        <v>100</v>
      </c>
      <c r="AN1464">
        <v>0</v>
      </c>
      <c r="AO1464">
        <v>0</v>
      </c>
      <c r="AP1464">
        <v>0</v>
      </c>
      <c r="AQ1464">
        <v>0</v>
      </c>
      <c r="AS1464">
        <v>0</v>
      </c>
      <c r="AT1464">
        <v>0</v>
      </c>
      <c r="AV1464">
        <v>0</v>
      </c>
      <c r="AW1464">
        <v>0</v>
      </c>
      <c r="AY1464">
        <v>0</v>
      </c>
      <c r="AZ1464">
        <v>0</v>
      </c>
      <c r="BA1464">
        <v>70</v>
      </c>
      <c r="BE1464" t="str">
        <f>T("9791137013551")</f>
        <v>9791137013551</v>
      </c>
      <c r="BF1464" t="str">
        <f>T("N195485")</f>
        <v>N195485</v>
      </c>
      <c r="BG1464" t="str">
        <f>T("판타지 웹소설 &gt; 퓨전 판타지")</f>
        <v>판타지 웹소설 &gt; 퓨전 판타지</v>
      </c>
    </row>
    <row r="1465" spans="1:59">
      <c r="A1465" t="s">
        <v>60</v>
      </c>
      <c r="B1465" s="1">
        <v>46129</v>
      </c>
      <c r="C1465">
        <v>2378044483</v>
      </c>
      <c r="D1465">
        <v>2378044510</v>
      </c>
      <c r="E1465" t="str">
        <f>T("내 눈에만 아공간이 보여 27화")</f>
        <v>내 눈에만 아공간이 보여 27화</v>
      </c>
      <c r="F1465">
        <v>28</v>
      </c>
      <c r="G1465" t="str">
        <f>T("지누아빠")</f>
        <v>지누아빠</v>
      </c>
      <c r="J1465" t="str">
        <f>T("매드햇")</f>
        <v>매드햇</v>
      </c>
      <c r="K1465" t="str">
        <f>T("내 눈에만 아공간이 보여")</f>
        <v>내 눈에만 아공간이 보여</v>
      </c>
      <c r="L1465">
        <v>100</v>
      </c>
      <c r="M1465">
        <v>100</v>
      </c>
      <c r="N1465">
        <v>1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100</v>
      </c>
      <c r="AJ1465">
        <v>1</v>
      </c>
      <c r="AK1465">
        <v>0</v>
      </c>
      <c r="AL1465">
        <v>0</v>
      </c>
      <c r="AM1465">
        <v>100</v>
      </c>
      <c r="AN1465">
        <v>0</v>
      </c>
      <c r="AO1465">
        <v>0</v>
      </c>
      <c r="AP1465">
        <v>0</v>
      </c>
      <c r="AQ1465">
        <v>0</v>
      </c>
      <c r="AS1465">
        <v>0</v>
      </c>
      <c r="AT1465">
        <v>0</v>
      </c>
      <c r="AV1465">
        <v>0</v>
      </c>
      <c r="AW1465">
        <v>0</v>
      </c>
      <c r="AY1465">
        <v>0</v>
      </c>
      <c r="AZ1465">
        <v>0</v>
      </c>
      <c r="BA1465">
        <v>70</v>
      </c>
      <c r="BE1465" t="str">
        <f>T("9791137013551")</f>
        <v>9791137013551</v>
      </c>
      <c r="BF1465" t="str">
        <f>T("N195486")</f>
        <v>N195486</v>
      </c>
      <c r="BG1465" t="str">
        <f>T("판타지 웹소설 &gt; 퓨전 판타지")</f>
        <v>판타지 웹소설 &gt; 퓨전 판타지</v>
      </c>
    </row>
    <row r="1466" spans="1:59">
      <c r="A1466" t="s">
        <v>60</v>
      </c>
      <c r="B1466" s="1">
        <v>46129</v>
      </c>
      <c r="C1466">
        <v>2378044483</v>
      </c>
      <c r="D1466">
        <v>2378044511</v>
      </c>
      <c r="E1466" t="str">
        <f>T("내 눈에만 아공간이 보여 28화")</f>
        <v>내 눈에만 아공간이 보여 28화</v>
      </c>
      <c r="F1466">
        <v>29</v>
      </c>
      <c r="G1466" t="str">
        <f>T("지누아빠")</f>
        <v>지누아빠</v>
      </c>
      <c r="J1466" t="str">
        <f>T("매드햇")</f>
        <v>매드햇</v>
      </c>
      <c r="K1466" t="str">
        <f>T("내 눈에만 아공간이 보여")</f>
        <v>내 눈에만 아공간이 보여</v>
      </c>
      <c r="L1466">
        <v>100</v>
      </c>
      <c r="M1466">
        <v>100</v>
      </c>
      <c r="N1466">
        <v>1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100</v>
      </c>
      <c r="AJ1466">
        <v>1</v>
      </c>
      <c r="AK1466">
        <v>0</v>
      </c>
      <c r="AL1466">
        <v>0</v>
      </c>
      <c r="AM1466">
        <v>100</v>
      </c>
      <c r="AN1466">
        <v>0</v>
      </c>
      <c r="AO1466">
        <v>0</v>
      </c>
      <c r="AP1466">
        <v>0</v>
      </c>
      <c r="AQ1466">
        <v>0</v>
      </c>
      <c r="AS1466">
        <v>0</v>
      </c>
      <c r="AT1466">
        <v>0</v>
      </c>
      <c r="AV1466">
        <v>0</v>
      </c>
      <c r="AW1466">
        <v>0</v>
      </c>
      <c r="AY1466">
        <v>0</v>
      </c>
      <c r="AZ1466">
        <v>0</v>
      </c>
      <c r="BA1466">
        <v>70</v>
      </c>
      <c r="BE1466" t="str">
        <f>T("9791137013551")</f>
        <v>9791137013551</v>
      </c>
      <c r="BF1466" t="str">
        <f>T("N195487")</f>
        <v>N195487</v>
      </c>
      <c r="BG1466" t="str">
        <f>T("판타지 웹소설 &gt; 퓨전 판타지")</f>
        <v>판타지 웹소설 &gt; 퓨전 판타지</v>
      </c>
    </row>
    <row r="1467" spans="1:59">
      <c r="A1467" t="s">
        <v>60</v>
      </c>
      <c r="B1467" s="1">
        <v>46129</v>
      </c>
      <c r="C1467">
        <v>2378044483</v>
      </c>
      <c r="D1467">
        <v>2378044512</v>
      </c>
      <c r="E1467" t="str">
        <f>T("내 눈에만 아공간이 보여 29화")</f>
        <v>내 눈에만 아공간이 보여 29화</v>
      </c>
      <c r="F1467">
        <v>30</v>
      </c>
      <c r="G1467" t="str">
        <f>T("지누아빠")</f>
        <v>지누아빠</v>
      </c>
      <c r="J1467" t="str">
        <f>T("매드햇")</f>
        <v>매드햇</v>
      </c>
      <c r="K1467" t="str">
        <f>T("내 눈에만 아공간이 보여")</f>
        <v>내 눈에만 아공간이 보여</v>
      </c>
      <c r="L1467">
        <v>100</v>
      </c>
      <c r="M1467">
        <v>100</v>
      </c>
      <c r="N1467">
        <v>1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100</v>
      </c>
      <c r="AJ1467">
        <v>1</v>
      </c>
      <c r="AK1467">
        <v>0</v>
      </c>
      <c r="AL1467">
        <v>0</v>
      </c>
      <c r="AM1467">
        <v>100</v>
      </c>
      <c r="AN1467">
        <v>0</v>
      </c>
      <c r="AO1467">
        <v>0</v>
      </c>
      <c r="AP1467">
        <v>0</v>
      </c>
      <c r="AQ1467">
        <v>0</v>
      </c>
      <c r="AS1467">
        <v>0</v>
      </c>
      <c r="AT1467">
        <v>0</v>
      </c>
      <c r="AV1467">
        <v>0</v>
      </c>
      <c r="AW1467">
        <v>0</v>
      </c>
      <c r="AY1467">
        <v>0</v>
      </c>
      <c r="AZ1467">
        <v>0</v>
      </c>
      <c r="BA1467">
        <v>70</v>
      </c>
      <c r="BE1467" t="str">
        <f>T("9791137013551")</f>
        <v>9791137013551</v>
      </c>
      <c r="BF1467" t="str">
        <f>T("N195488")</f>
        <v>N195488</v>
      </c>
      <c r="BG1467" t="str">
        <f>T("판타지 웹소설 &gt; 퓨전 판타지")</f>
        <v>판타지 웹소설 &gt; 퓨전 판타지</v>
      </c>
    </row>
    <row r="1468" spans="1:59">
      <c r="A1468" t="s">
        <v>60</v>
      </c>
      <c r="B1468" s="1">
        <v>46129</v>
      </c>
      <c r="C1468">
        <v>2378044483</v>
      </c>
      <c r="D1468">
        <v>2378044513</v>
      </c>
      <c r="E1468" t="str">
        <f>T("내 눈에만 아공간이 보여 30화")</f>
        <v>내 눈에만 아공간이 보여 30화</v>
      </c>
      <c r="F1468">
        <v>31</v>
      </c>
      <c r="G1468" t="str">
        <f>T("지누아빠")</f>
        <v>지누아빠</v>
      </c>
      <c r="J1468" t="str">
        <f>T("매드햇")</f>
        <v>매드햇</v>
      </c>
      <c r="K1468" t="str">
        <f>T("내 눈에만 아공간이 보여")</f>
        <v>내 눈에만 아공간이 보여</v>
      </c>
      <c r="L1468">
        <v>100</v>
      </c>
      <c r="M1468">
        <v>100</v>
      </c>
      <c r="N1468">
        <v>1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100</v>
      </c>
      <c r="AJ1468">
        <v>1</v>
      </c>
      <c r="AK1468">
        <v>0</v>
      </c>
      <c r="AL1468">
        <v>0</v>
      </c>
      <c r="AM1468">
        <v>100</v>
      </c>
      <c r="AN1468">
        <v>0</v>
      </c>
      <c r="AO1468">
        <v>0</v>
      </c>
      <c r="AP1468">
        <v>0</v>
      </c>
      <c r="AQ1468">
        <v>0</v>
      </c>
      <c r="AS1468">
        <v>0</v>
      </c>
      <c r="AT1468">
        <v>0</v>
      </c>
      <c r="AV1468">
        <v>0</v>
      </c>
      <c r="AW1468">
        <v>0</v>
      </c>
      <c r="AY1468">
        <v>0</v>
      </c>
      <c r="AZ1468">
        <v>0</v>
      </c>
      <c r="BA1468">
        <v>70</v>
      </c>
      <c r="BE1468" t="str">
        <f>T("9791137013551")</f>
        <v>9791137013551</v>
      </c>
      <c r="BF1468" t="str">
        <f>T("N195489")</f>
        <v>N195489</v>
      </c>
      <c r="BG1468" t="str">
        <f>T("판타지 웹소설 &gt; 퓨전 판타지")</f>
        <v>판타지 웹소설 &gt; 퓨전 판타지</v>
      </c>
    </row>
    <row r="1469" spans="1:59">
      <c r="A1469" t="s">
        <v>60</v>
      </c>
      <c r="B1469" s="1">
        <v>46129</v>
      </c>
      <c r="C1469">
        <v>2378044483</v>
      </c>
      <c r="D1469">
        <v>2378044514</v>
      </c>
      <c r="E1469" t="str">
        <f>T("내 눈에만 아공간이 보여 31화")</f>
        <v>내 눈에만 아공간이 보여 31화</v>
      </c>
      <c r="F1469">
        <v>32</v>
      </c>
      <c r="G1469" t="str">
        <f>T("지누아빠")</f>
        <v>지누아빠</v>
      </c>
      <c r="J1469" t="str">
        <f>T("매드햇")</f>
        <v>매드햇</v>
      </c>
      <c r="K1469" t="str">
        <f>T("내 눈에만 아공간이 보여")</f>
        <v>내 눈에만 아공간이 보여</v>
      </c>
      <c r="L1469">
        <v>100</v>
      </c>
      <c r="M1469">
        <v>100</v>
      </c>
      <c r="N1469">
        <v>1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100</v>
      </c>
      <c r="AJ1469">
        <v>1</v>
      </c>
      <c r="AK1469">
        <v>0</v>
      </c>
      <c r="AL1469">
        <v>0</v>
      </c>
      <c r="AM1469">
        <v>100</v>
      </c>
      <c r="AN1469">
        <v>0</v>
      </c>
      <c r="AO1469">
        <v>0</v>
      </c>
      <c r="AP1469">
        <v>0</v>
      </c>
      <c r="AQ1469">
        <v>0</v>
      </c>
      <c r="AS1469">
        <v>0</v>
      </c>
      <c r="AT1469">
        <v>0</v>
      </c>
      <c r="AV1469">
        <v>0</v>
      </c>
      <c r="AW1469">
        <v>0</v>
      </c>
      <c r="AY1469">
        <v>0</v>
      </c>
      <c r="AZ1469">
        <v>0</v>
      </c>
      <c r="BA1469">
        <v>70</v>
      </c>
      <c r="BE1469" t="str">
        <f>T("9791137013551")</f>
        <v>9791137013551</v>
      </c>
      <c r="BF1469" t="str">
        <f>T("N195490")</f>
        <v>N195490</v>
      </c>
      <c r="BG1469" t="str">
        <f>T("판타지 웹소설 &gt; 퓨전 판타지")</f>
        <v>판타지 웹소설 &gt; 퓨전 판타지</v>
      </c>
    </row>
    <row r="1470" spans="1:59">
      <c r="A1470" t="s">
        <v>60</v>
      </c>
      <c r="B1470" s="1">
        <v>46129</v>
      </c>
      <c r="C1470">
        <v>2378044483</v>
      </c>
      <c r="D1470">
        <v>2378044515</v>
      </c>
      <c r="E1470" t="str">
        <f>T("내 눈에만 아공간이 보여 32화")</f>
        <v>내 눈에만 아공간이 보여 32화</v>
      </c>
      <c r="F1470">
        <v>33</v>
      </c>
      <c r="G1470" t="str">
        <f>T("지누아빠")</f>
        <v>지누아빠</v>
      </c>
      <c r="J1470" t="str">
        <f>T("매드햇")</f>
        <v>매드햇</v>
      </c>
      <c r="K1470" t="str">
        <f>T("내 눈에만 아공간이 보여")</f>
        <v>내 눈에만 아공간이 보여</v>
      </c>
      <c r="L1470">
        <v>100</v>
      </c>
      <c r="M1470">
        <v>100</v>
      </c>
      <c r="N1470">
        <v>1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100</v>
      </c>
      <c r="AJ1470">
        <v>1</v>
      </c>
      <c r="AK1470">
        <v>0</v>
      </c>
      <c r="AL1470">
        <v>0</v>
      </c>
      <c r="AM1470">
        <v>100</v>
      </c>
      <c r="AN1470">
        <v>0</v>
      </c>
      <c r="AO1470">
        <v>0</v>
      </c>
      <c r="AP1470">
        <v>0</v>
      </c>
      <c r="AQ1470">
        <v>0</v>
      </c>
      <c r="AS1470">
        <v>0</v>
      </c>
      <c r="AT1470">
        <v>0</v>
      </c>
      <c r="AV1470">
        <v>0</v>
      </c>
      <c r="AW1470">
        <v>0</v>
      </c>
      <c r="AY1470">
        <v>0</v>
      </c>
      <c r="AZ1470">
        <v>0</v>
      </c>
      <c r="BA1470">
        <v>70</v>
      </c>
      <c r="BE1470" t="str">
        <f>T("9791137013551")</f>
        <v>9791137013551</v>
      </c>
      <c r="BF1470" t="str">
        <f>T("N195491")</f>
        <v>N195491</v>
      </c>
      <c r="BG1470" t="str">
        <f>T("판타지 웹소설 &gt; 퓨전 판타지")</f>
        <v>판타지 웹소설 &gt; 퓨전 판타지</v>
      </c>
    </row>
    <row r="1471" spans="1:59">
      <c r="A1471" t="s">
        <v>60</v>
      </c>
      <c r="B1471" s="1">
        <v>46129</v>
      </c>
      <c r="C1471">
        <v>2378044483</v>
      </c>
      <c r="D1471">
        <v>2378044516</v>
      </c>
      <c r="E1471" t="str">
        <f>T("내 눈에만 아공간이 보여 33화")</f>
        <v>내 눈에만 아공간이 보여 33화</v>
      </c>
      <c r="F1471">
        <v>34</v>
      </c>
      <c r="G1471" t="str">
        <f>T("지누아빠")</f>
        <v>지누아빠</v>
      </c>
      <c r="J1471" t="str">
        <f>T("매드햇")</f>
        <v>매드햇</v>
      </c>
      <c r="K1471" t="str">
        <f>T("내 눈에만 아공간이 보여")</f>
        <v>내 눈에만 아공간이 보여</v>
      </c>
      <c r="L1471">
        <v>100</v>
      </c>
      <c r="M1471">
        <v>100</v>
      </c>
      <c r="N1471">
        <v>1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100</v>
      </c>
      <c r="AJ1471">
        <v>1</v>
      </c>
      <c r="AK1471">
        <v>0</v>
      </c>
      <c r="AL1471">
        <v>0</v>
      </c>
      <c r="AM1471">
        <v>100</v>
      </c>
      <c r="AN1471">
        <v>0</v>
      </c>
      <c r="AO1471">
        <v>0</v>
      </c>
      <c r="AP1471">
        <v>0</v>
      </c>
      <c r="AQ1471">
        <v>0</v>
      </c>
      <c r="AS1471">
        <v>0</v>
      </c>
      <c r="AT1471">
        <v>0</v>
      </c>
      <c r="AV1471">
        <v>0</v>
      </c>
      <c r="AW1471">
        <v>0</v>
      </c>
      <c r="AY1471">
        <v>0</v>
      </c>
      <c r="AZ1471">
        <v>0</v>
      </c>
      <c r="BA1471">
        <v>70</v>
      </c>
      <c r="BE1471" t="str">
        <f>T("9791137013551")</f>
        <v>9791137013551</v>
      </c>
      <c r="BF1471" t="str">
        <f>T("N195492")</f>
        <v>N195492</v>
      </c>
      <c r="BG1471" t="str">
        <f>T("판타지 웹소설 &gt; 퓨전 판타지")</f>
        <v>판타지 웹소설 &gt; 퓨전 판타지</v>
      </c>
    </row>
    <row r="1472" spans="1:59">
      <c r="A1472" t="s">
        <v>60</v>
      </c>
      <c r="B1472" s="1">
        <v>46129</v>
      </c>
      <c r="C1472">
        <v>2378044483</v>
      </c>
      <c r="D1472">
        <v>2378044517</v>
      </c>
      <c r="E1472" t="str">
        <f>T("내 눈에만 아공간이 보여 34화")</f>
        <v>내 눈에만 아공간이 보여 34화</v>
      </c>
      <c r="F1472">
        <v>35</v>
      </c>
      <c r="G1472" t="str">
        <f>T("지누아빠")</f>
        <v>지누아빠</v>
      </c>
      <c r="J1472" t="str">
        <f>T("매드햇")</f>
        <v>매드햇</v>
      </c>
      <c r="K1472" t="str">
        <f>T("내 눈에만 아공간이 보여")</f>
        <v>내 눈에만 아공간이 보여</v>
      </c>
      <c r="L1472">
        <v>100</v>
      </c>
      <c r="M1472">
        <v>100</v>
      </c>
      <c r="N1472">
        <v>1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100</v>
      </c>
      <c r="AJ1472">
        <v>1</v>
      </c>
      <c r="AK1472">
        <v>0</v>
      </c>
      <c r="AL1472">
        <v>0</v>
      </c>
      <c r="AM1472">
        <v>100</v>
      </c>
      <c r="AN1472">
        <v>0</v>
      </c>
      <c r="AO1472">
        <v>0</v>
      </c>
      <c r="AP1472">
        <v>0</v>
      </c>
      <c r="AQ1472">
        <v>0</v>
      </c>
      <c r="AS1472">
        <v>0</v>
      </c>
      <c r="AT1472">
        <v>0</v>
      </c>
      <c r="AV1472">
        <v>0</v>
      </c>
      <c r="AW1472">
        <v>0</v>
      </c>
      <c r="AY1472">
        <v>0</v>
      </c>
      <c r="AZ1472">
        <v>0</v>
      </c>
      <c r="BA1472">
        <v>70</v>
      </c>
      <c r="BE1472" t="str">
        <f>T("9791137013551")</f>
        <v>9791137013551</v>
      </c>
      <c r="BF1472" t="str">
        <f>T("N195493")</f>
        <v>N195493</v>
      </c>
      <c r="BG1472" t="str">
        <f>T("판타지 웹소설 &gt; 퓨전 판타지")</f>
        <v>판타지 웹소설 &gt; 퓨전 판타지</v>
      </c>
    </row>
    <row r="1473" spans="1:59">
      <c r="A1473" t="s">
        <v>60</v>
      </c>
      <c r="B1473" s="1">
        <v>46129</v>
      </c>
      <c r="C1473">
        <v>2378044483</v>
      </c>
      <c r="D1473">
        <v>2378044518</v>
      </c>
      <c r="E1473" t="str">
        <f>T("내 눈에만 아공간이 보여 35화")</f>
        <v>내 눈에만 아공간이 보여 35화</v>
      </c>
      <c r="F1473">
        <v>36</v>
      </c>
      <c r="G1473" t="str">
        <f>T("지누아빠")</f>
        <v>지누아빠</v>
      </c>
      <c r="J1473" t="str">
        <f>T("매드햇")</f>
        <v>매드햇</v>
      </c>
      <c r="K1473" t="str">
        <f>T("내 눈에만 아공간이 보여")</f>
        <v>내 눈에만 아공간이 보여</v>
      </c>
      <c r="L1473">
        <v>100</v>
      </c>
      <c r="M1473">
        <v>100</v>
      </c>
      <c r="N1473">
        <v>1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100</v>
      </c>
      <c r="AJ1473">
        <v>1</v>
      </c>
      <c r="AK1473">
        <v>0</v>
      </c>
      <c r="AL1473">
        <v>0</v>
      </c>
      <c r="AM1473">
        <v>100</v>
      </c>
      <c r="AN1473">
        <v>0</v>
      </c>
      <c r="AO1473">
        <v>0</v>
      </c>
      <c r="AP1473">
        <v>0</v>
      </c>
      <c r="AQ1473">
        <v>0</v>
      </c>
      <c r="AS1473">
        <v>0</v>
      </c>
      <c r="AT1473">
        <v>0</v>
      </c>
      <c r="AV1473">
        <v>0</v>
      </c>
      <c r="AW1473">
        <v>0</v>
      </c>
      <c r="AY1473">
        <v>0</v>
      </c>
      <c r="AZ1473">
        <v>0</v>
      </c>
      <c r="BA1473">
        <v>70</v>
      </c>
      <c r="BE1473" t="str">
        <f>T("9791137013551")</f>
        <v>9791137013551</v>
      </c>
      <c r="BF1473" t="str">
        <f>T("N195494")</f>
        <v>N195494</v>
      </c>
      <c r="BG1473" t="str">
        <f>T("판타지 웹소설 &gt; 퓨전 판타지")</f>
        <v>판타지 웹소설 &gt; 퓨전 판타지</v>
      </c>
    </row>
    <row r="1474" spans="1:59">
      <c r="A1474" t="s">
        <v>60</v>
      </c>
      <c r="B1474" s="1">
        <v>46129</v>
      </c>
      <c r="C1474">
        <v>2378044483</v>
      </c>
      <c r="D1474">
        <v>2378044519</v>
      </c>
      <c r="E1474" t="str">
        <f>T("내 눈에만 아공간이 보여 36화")</f>
        <v>내 눈에만 아공간이 보여 36화</v>
      </c>
      <c r="F1474">
        <v>37</v>
      </c>
      <c r="G1474" t="str">
        <f>T("지누아빠")</f>
        <v>지누아빠</v>
      </c>
      <c r="J1474" t="str">
        <f>T("매드햇")</f>
        <v>매드햇</v>
      </c>
      <c r="K1474" t="str">
        <f>T("내 눈에만 아공간이 보여")</f>
        <v>내 눈에만 아공간이 보여</v>
      </c>
      <c r="L1474">
        <v>100</v>
      </c>
      <c r="M1474">
        <v>100</v>
      </c>
      <c r="N1474">
        <v>1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100</v>
      </c>
      <c r="AJ1474">
        <v>1</v>
      </c>
      <c r="AK1474">
        <v>0</v>
      </c>
      <c r="AL1474">
        <v>0</v>
      </c>
      <c r="AM1474">
        <v>100</v>
      </c>
      <c r="AN1474">
        <v>0</v>
      </c>
      <c r="AO1474">
        <v>0</v>
      </c>
      <c r="AP1474">
        <v>0</v>
      </c>
      <c r="AQ1474">
        <v>0</v>
      </c>
      <c r="AS1474">
        <v>0</v>
      </c>
      <c r="AT1474">
        <v>0</v>
      </c>
      <c r="AV1474">
        <v>0</v>
      </c>
      <c r="AW1474">
        <v>0</v>
      </c>
      <c r="AY1474">
        <v>0</v>
      </c>
      <c r="AZ1474">
        <v>0</v>
      </c>
      <c r="BA1474">
        <v>70</v>
      </c>
      <c r="BE1474" t="str">
        <f>T("9791137013551")</f>
        <v>9791137013551</v>
      </c>
      <c r="BF1474" t="str">
        <f>T("N195495")</f>
        <v>N195495</v>
      </c>
      <c r="BG1474" t="str">
        <f>T("판타지 웹소설 &gt; 퓨전 판타지")</f>
        <v>판타지 웹소설 &gt; 퓨전 판타지</v>
      </c>
    </row>
    <row r="1475" spans="1:59">
      <c r="A1475" t="s">
        <v>60</v>
      </c>
      <c r="B1475" s="1">
        <v>46129</v>
      </c>
      <c r="C1475">
        <v>2378044483</v>
      </c>
      <c r="D1475">
        <v>2378044520</v>
      </c>
      <c r="E1475" t="str">
        <f>T("내 눈에만 아공간이 보여 37화")</f>
        <v>내 눈에만 아공간이 보여 37화</v>
      </c>
      <c r="F1475">
        <v>38</v>
      </c>
      <c r="G1475" t="str">
        <f>T("지누아빠")</f>
        <v>지누아빠</v>
      </c>
      <c r="J1475" t="str">
        <f>T("매드햇")</f>
        <v>매드햇</v>
      </c>
      <c r="K1475" t="str">
        <f>T("내 눈에만 아공간이 보여")</f>
        <v>내 눈에만 아공간이 보여</v>
      </c>
      <c r="L1475">
        <v>100</v>
      </c>
      <c r="M1475">
        <v>100</v>
      </c>
      <c r="N1475">
        <v>1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100</v>
      </c>
      <c r="AJ1475">
        <v>1</v>
      </c>
      <c r="AK1475">
        <v>0</v>
      </c>
      <c r="AL1475">
        <v>0</v>
      </c>
      <c r="AM1475">
        <v>100</v>
      </c>
      <c r="AN1475">
        <v>0</v>
      </c>
      <c r="AO1475">
        <v>0</v>
      </c>
      <c r="AP1475">
        <v>0</v>
      </c>
      <c r="AQ1475">
        <v>0</v>
      </c>
      <c r="AS1475">
        <v>0</v>
      </c>
      <c r="AT1475">
        <v>0</v>
      </c>
      <c r="AV1475">
        <v>0</v>
      </c>
      <c r="AW1475">
        <v>0</v>
      </c>
      <c r="AY1475">
        <v>0</v>
      </c>
      <c r="AZ1475">
        <v>0</v>
      </c>
      <c r="BA1475">
        <v>70</v>
      </c>
      <c r="BE1475" t="str">
        <f>T("9791137013551")</f>
        <v>9791137013551</v>
      </c>
      <c r="BF1475" t="str">
        <f>T("N195496")</f>
        <v>N195496</v>
      </c>
      <c r="BG1475" t="str">
        <f>T("판타지 웹소설 &gt; 퓨전 판타지")</f>
        <v>판타지 웹소설 &gt; 퓨전 판타지</v>
      </c>
    </row>
    <row r="1476" spans="1:59">
      <c r="A1476" t="s">
        <v>60</v>
      </c>
      <c r="B1476" s="1">
        <v>46129</v>
      </c>
      <c r="C1476">
        <v>2378044483</v>
      </c>
      <c r="D1476">
        <v>2378044521</v>
      </c>
      <c r="E1476" t="str">
        <f>T("내 눈에만 아공간이 보여 38화")</f>
        <v>내 눈에만 아공간이 보여 38화</v>
      </c>
      <c r="F1476">
        <v>39</v>
      </c>
      <c r="G1476" t="str">
        <f>T("지누아빠")</f>
        <v>지누아빠</v>
      </c>
      <c r="J1476" t="str">
        <f>T("매드햇")</f>
        <v>매드햇</v>
      </c>
      <c r="K1476" t="str">
        <f>T("내 눈에만 아공간이 보여")</f>
        <v>내 눈에만 아공간이 보여</v>
      </c>
      <c r="L1476">
        <v>100</v>
      </c>
      <c r="M1476">
        <v>100</v>
      </c>
      <c r="N1476">
        <v>1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100</v>
      </c>
      <c r="AJ1476">
        <v>1</v>
      </c>
      <c r="AK1476">
        <v>0</v>
      </c>
      <c r="AL1476">
        <v>0</v>
      </c>
      <c r="AM1476">
        <v>100</v>
      </c>
      <c r="AN1476">
        <v>0</v>
      </c>
      <c r="AO1476">
        <v>0</v>
      </c>
      <c r="AP1476">
        <v>0</v>
      </c>
      <c r="AQ1476">
        <v>0</v>
      </c>
      <c r="AS1476">
        <v>0</v>
      </c>
      <c r="AT1476">
        <v>0</v>
      </c>
      <c r="AV1476">
        <v>0</v>
      </c>
      <c r="AW1476">
        <v>0</v>
      </c>
      <c r="AY1476">
        <v>0</v>
      </c>
      <c r="AZ1476">
        <v>0</v>
      </c>
      <c r="BA1476">
        <v>70</v>
      </c>
      <c r="BE1476" t="str">
        <f>T("9791137013551")</f>
        <v>9791137013551</v>
      </c>
      <c r="BF1476" t="str">
        <f>T("N195497")</f>
        <v>N195497</v>
      </c>
      <c r="BG1476" t="str">
        <f>T("판타지 웹소설 &gt; 퓨전 판타지")</f>
        <v>판타지 웹소설 &gt; 퓨전 판타지</v>
      </c>
    </row>
    <row r="1477" spans="1:59">
      <c r="A1477" t="s">
        <v>60</v>
      </c>
      <c r="B1477" s="1">
        <v>46129</v>
      </c>
      <c r="C1477">
        <v>2378044483</v>
      </c>
      <c r="D1477">
        <v>2378044522</v>
      </c>
      <c r="E1477" t="str">
        <f>T("내 눈에만 아공간이 보여 39화")</f>
        <v>내 눈에만 아공간이 보여 39화</v>
      </c>
      <c r="F1477">
        <v>40</v>
      </c>
      <c r="G1477" t="str">
        <f>T("지누아빠")</f>
        <v>지누아빠</v>
      </c>
      <c r="J1477" t="str">
        <f>T("매드햇")</f>
        <v>매드햇</v>
      </c>
      <c r="K1477" t="str">
        <f>T("내 눈에만 아공간이 보여")</f>
        <v>내 눈에만 아공간이 보여</v>
      </c>
      <c r="L1477">
        <v>100</v>
      </c>
      <c r="M1477">
        <v>100</v>
      </c>
      <c r="N1477">
        <v>1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100</v>
      </c>
      <c r="AJ1477">
        <v>1</v>
      </c>
      <c r="AK1477">
        <v>0</v>
      </c>
      <c r="AL1477">
        <v>0</v>
      </c>
      <c r="AM1477">
        <v>100</v>
      </c>
      <c r="AN1477">
        <v>0</v>
      </c>
      <c r="AO1477">
        <v>0</v>
      </c>
      <c r="AP1477">
        <v>0</v>
      </c>
      <c r="AQ1477">
        <v>0</v>
      </c>
      <c r="AS1477">
        <v>0</v>
      </c>
      <c r="AT1477">
        <v>0</v>
      </c>
      <c r="AV1477">
        <v>0</v>
      </c>
      <c r="AW1477">
        <v>0</v>
      </c>
      <c r="AY1477">
        <v>0</v>
      </c>
      <c r="AZ1477">
        <v>0</v>
      </c>
      <c r="BA1477">
        <v>70</v>
      </c>
      <c r="BE1477" t="str">
        <f>T("9791137013551")</f>
        <v>9791137013551</v>
      </c>
      <c r="BF1477" t="str">
        <f>T("N195498")</f>
        <v>N195498</v>
      </c>
      <c r="BG1477" t="str">
        <f>T("판타지 웹소설 &gt; 퓨전 판타지")</f>
        <v>판타지 웹소설 &gt; 퓨전 판타지</v>
      </c>
    </row>
    <row r="1478" spans="1:59">
      <c r="A1478" t="s">
        <v>60</v>
      </c>
      <c r="B1478" s="1">
        <v>46129</v>
      </c>
      <c r="C1478">
        <v>2378044483</v>
      </c>
      <c r="D1478">
        <v>2378044523</v>
      </c>
      <c r="E1478" t="str">
        <f>T("내 눈에만 아공간이 보여 40화")</f>
        <v>내 눈에만 아공간이 보여 40화</v>
      </c>
      <c r="F1478">
        <v>41</v>
      </c>
      <c r="G1478" t="str">
        <f>T("지누아빠")</f>
        <v>지누아빠</v>
      </c>
      <c r="J1478" t="str">
        <f>T("매드햇")</f>
        <v>매드햇</v>
      </c>
      <c r="K1478" t="str">
        <f>T("내 눈에만 아공간이 보여")</f>
        <v>내 눈에만 아공간이 보여</v>
      </c>
      <c r="L1478">
        <v>100</v>
      </c>
      <c r="M1478">
        <v>100</v>
      </c>
      <c r="N1478">
        <v>1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100</v>
      </c>
      <c r="AJ1478">
        <v>1</v>
      </c>
      <c r="AK1478">
        <v>0</v>
      </c>
      <c r="AL1478">
        <v>0</v>
      </c>
      <c r="AM1478">
        <v>100</v>
      </c>
      <c r="AN1478">
        <v>0</v>
      </c>
      <c r="AO1478">
        <v>0</v>
      </c>
      <c r="AP1478">
        <v>0</v>
      </c>
      <c r="AQ1478">
        <v>0</v>
      </c>
      <c r="AS1478">
        <v>0</v>
      </c>
      <c r="AT1478">
        <v>0</v>
      </c>
      <c r="AV1478">
        <v>0</v>
      </c>
      <c r="AW1478">
        <v>0</v>
      </c>
      <c r="AY1478">
        <v>0</v>
      </c>
      <c r="AZ1478">
        <v>0</v>
      </c>
      <c r="BA1478">
        <v>70</v>
      </c>
      <c r="BE1478" t="str">
        <f>T("9791137013551")</f>
        <v>9791137013551</v>
      </c>
      <c r="BF1478" t="str">
        <f>T("N195499")</f>
        <v>N195499</v>
      </c>
      <c r="BG1478" t="str">
        <f>T("판타지 웹소설 &gt; 퓨전 판타지")</f>
        <v>판타지 웹소설 &gt; 퓨전 판타지</v>
      </c>
    </row>
    <row r="1479" spans="1:59">
      <c r="A1479" t="s">
        <v>60</v>
      </c>
      <c r="B1479" s="1">
        <v>46129</v>
      </c>
      <c r="C1479">
        <v>2378044483</v>
      </c>
      <c r="D1479">
        <v>2378044524</v>
      </c>
      <c r="E1479" t="str">
        <f>T("내 눈에만 아공간이 보여 41화")</f>
        <v>내 눈에만 아공간이 보여 41화</v>
      </c>
      <c r="F1479">
        <v>42</v>
      </c>
      <c r="G1479" t="str">
        <f>T("지누아빠")</f>
        <v>지누아빠</v>
      </c>
      <c r="J1479" t="str">
        <f>T("매드햇")</f>
        <v>매드햇</v>
      </c>
      <c r="K1479" t="str">
        <f>T("내 눈에만 아공간이 보여")</f>
        <v>내 눈에만 아공간이 보여</v>
      </c>
      <c r="L1479">
        <v>100</v>
      </c>
      <c r="M1479">
        <v>100</v>
      </c>
      <c r="N1479">
        <v>1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100</v>
      </c>
      <c r="AJ1479">
        <v>1</v>
      </c>
      <c r="AK1479">
        <v>0</v>
      </c>
      <c r="AL1479">
        <v>0</v>
      </c>
      <c r="AM1479">
        <v>100</v>
      </c>
      <c r="AN1479">
        <v>0</v>
      </c>
      <c r="AO1479">
        <v>0</v>
      </c>
      <c r="AP1479">
        <v>0</v>
      </c>
      <c r="AQ1479">
        <v>0</v>
      </c>
      <c r="AS1479">
        <v>0</v>
      </c>
      <c r="AT1479">
        <v>0</v>
      </c>
      <c r="AV1479">
        <v>0</v>
      </c>
      <c r="AW1479">
        <v>0</v>
      </c>
      <c r="AY1479">
        <v>0</v>
      </c>
      <c r="AZ1479">
        <v>0</v>
      </c>
      <c r="BA1479">
        <v>70</v>
      </c>
      <c r="BE1479" t="str">
        <f>T("9791137013551")</f>
        <v>9791137013551</v>
      </c>
      <c r="BF1479" t="str">
        <f>T("N195500")</f>
        <v>N195500</v>
      </c>
      <c r="BG1479" t="str">
        <f>T("판타지 웹소설 &gt; 퓨전 판타지")</f>
        <v>판타지 웹소설 &gt; 퓨전 판타지</v>
      </c>
    </row>
    <row r="1480" spans="1:59">
      <c r="A1480" t="s">
        <v>60</v>
      </c>
      <c r="B1480" s="1">
        <v>46129</v>
      </c>
      <c r="C1480">
        <v>2378044483</v>
      </c>
      <c r="D1480">
        <v>2378044525</v>
      </c>
      <c r="E1480" t="str">
        <f>T("내 눈에만 아공간이 보여 42화")</f>
        <v>내 눈에만 아공간이 보여 42화</v>
      </c>
      <c r="F1480">
        <v>43</v>
      </c>
      <c r="G1480" t="str">
        <f>T("지누아빠")</f>
        <v>지누아빠</v>
      </c>
      <c r="J1480" t="str">
        <f>T("매드햇")</f>
        <v>매드햇</v>
      </c>
      <c r="K1480" t="str">
        <f>T("내 눈에만 아공간이 보여")</f>
        <v>내 눈에만 아공간이 보여</v>
      </c>
      <c r="L1480">
        <v>100</v>
      </c>
      <c r="M1480">
        <v>100</v>
      </c>
      <c r="N1480">
        <v>1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100</v>
      </c>
      <c r="AJ1480">
        <v>1</v>
      </c>
      <c r="AK1480">
        <v>0</v>
      </c>
      <c r="AL1480">
        <v>0</v>
      </c>
      <c r="AM1480">
        <v>100</v>
      </c>
      <c r="AN1480">
        <v>0</v>
      </c>
      <c r="AO1480">
        <v>0</v>
      </c>
      <c r="AP1480">
        <v>0</v>
      </c>
      <c r="AQ1480">
        <v>0</v>
      </c>
      <c r="AS1480">
        <v>0</v>
      </c>
      <c r="AT1480">
        <v>0</v>
      </c>
      <c r="AV1480">
        <v>0</v>
      </c>
      <c r="AW1480">
        <v>0</v>
      </c>
      <c r="AY1480">
        <v>0</v>
      </c>
      <c r="AZ1480">
        <v>0</v>
      </c>
      <c r="BA1480">
        <v>70</v>
      </c>
      <c r="BE1480" t="str">
        <f>T("9791137013551")</f>
        <v>9791137013551</v>
      </c>
      <c r="BF1480" t="str">
        <f>T("N195501")</f>
        <v>N195501</v>
      </c>
      <c r="BG1480" t="str">
        <f>T("판타지 웹소설 &gt; 퓨전 판타지")</f>
        <v>판타지 웹소설 &gt; 퓨전 판타지</v>
      </c>
    </row>
    <row r="1481" spans="1:59">
      <c r="A1481" t="s">
        <v>60</v>
      </c>
      <c r="B1481" s="1">
        <v>46129</v>
      </c>
      <c r="C1481">
        <v>2378044483</v>
      </c>
      <c r="D1481">
        <v>2378044526</v>
      </c>
      <c r="E1481" t="str">
        <f>T("내 눈에만 아공간이 보여 43화")</f>
        <v>내 눈에만 아공간이 보여 43화</v>
      </c>
      <c r="F1481">
        <v>44</v>
      </c>
      <c r="G1481" t="str">
        <f>T("지누아빠")</f>
        <v>지누아빠</v>
      </c>
      <c r="J1481" t="str">
        <f>T("매드햇")</f>
        <v>매드햇</v>
      </c>
      <c r="K1481" t="str">
        <f>T("내 눈에만 아공간이 보여")</f>
        <v>내 눈에만 아공간이 보여</v>
      </c>
      <c r="L1481">
        <v>100</v>
      </c>
      <c r="M1481">
        <v>100</v>
      </c>
      <c r="N1481">
        <v>1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100</v>
      </c>
      <c r="AJ1481">
        <v>1</v>
      </c>
      <c r="AK1481">
        <v>0</v>
      </c>
      <c r="AL1481">
        <v>0</v>
      </c>
      <c r="AM1481">
        <v>100</v>
      </c>
      <c r="AN1481">
        <v>0</v>
      </c>
      <c r="AO1481">
        <v>0</v>
      </c>
      <c r="AP1481">
        <v>0</v>
      </c>
      <c r="AQ1481">
        <v>0</v>
      </c>
      <c r="AS1481">
        <v>0</v>
      </c>
      <c r="AT1481">
        <v>0</v>
      </c>
      <c r="AV1481">
        <v>0</v>
      </c>
      <c r="AW1481">
        <v>0</v>
      </c>
      <c r="AY1481">
        <v>0</v>
      </c>
      <c r="AZ1481">
        <v>0</v>
      </c>
      <c r="BA1481">
        <v>70</v>
      </c>
      <c r="BE1481" t="str">
        <f>T("9791137013551")</f>
        <v>9791137013551</v>
      </c>
      <c r="BF1481" t="str">
        <f>T("N195502")</f>
        <v>N195502</v>
      </c>
      <c r="BG1481" t="str">
        <f>T("판타지 웹소설 &gt; 퓨전 판타지")</f>
        <v>판타지 웹소설 &gt; 퓨전 판타지</v>
      </c>
    </row>
    <row r="1482" spans="1:59">
      <c r="A1482" t="s">
        <v>60</v>
      </c>
      <c r="B1482" s="1">
        <v>46129</v>
      </c>
      <c r="C1482">
        <v>2378044483</v>
      </c>
      <c r="D1482">
        <v>2378044527</v>
      </c>
      <c r="E1482" t="str">
        <f>T("내 눈에만 아공간이 보여 44화")</f>
        <v>내 눈에만 아공간이 보여 44화</v>
      </c>
      <c r="F1482">
        <v>45</v>
      </c>
      <c r="G1482" t="str">
        <f>T("지누아빠")</f>
        <v>지누아빠</v>
      </c>
      <c r="J1482" t="str">
        <f>T("매드햇")</f>
        <v>매드햇</v>
      </c>
      <c r="K1482" t="str">
        <f>T("내 눈에만 아공간이 보여")</f>
        <v>내 눈에만 아공간이 보여</v>
      </c>
      <c r="L1482">
        <v>100</v>
      </c>
      <c r="M1482">
        <v>100</v>
      </c>
      <c r="N1482">
        <v>1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100</v>
      </c>
      <c r="AJ1482">
        <v>1</v>
      </c>
      <c r="AK1482">
        <v>0</v>
      </c>
      <c r="AL1482">
        <v>0</v>
      </c>
      <c r="AM1482">
        <v>100</v>
      </c>
      <c r="AN1482">
        <v>0</v>
      </c>
      <c r="AO1482">
        <v>0</v>
      </c>
      <c r="AP1482">
        <v>0</v>
      </c>
      <c r="AQ1482">
        <v>0</v>
      </c>
      <c r="AS1482">
        <v>0</v>
      </c>
      <c r="AT1482">
        <v>0</v>
      </c>
      <c r="AV1482">
        <v>0</v>
      </c>
      <c r="AW1482">
        <v>0</v>
      </c>
      <c r="AY1482">
        <v>0</v>
      </c>
      <c r="AZ1482">
        <v>0</v>
      </c>
      <c r="BA1482">
        <v>70</v>
      </c>
      <c r="BE1482" t="str">
        <f>T("9791137013551")</f>
        <v>9791137013551</v>
      </c>
      <c r="BF1482" t="str">
        <f>T("N195503")</f>
        <v>N195503</v>
      </c>
      <c r="BG1482" t="str">
        <f>T("판타지 웹소설 &gt; 퓨전 판타지")</f>
        <v>판타지 웹소설 &gt; 퓨전 판타지</v>
      </c>
    </row>
    <row r="1483" spans="1:59">
      <c r="A1483" t="s">
        <v>60</v>
      </c>
      <c r="B1483" s="1">
        <v>46129</v>
      </c>
      <c r="C1483">
        <v>2378044483</v>
      </c>
      <c r="D1483">
        <v>2378044528</v>
      </c>
      <c r="E1483" t="str">
        <f>T("내 눈에만 아공간이 보여 45화")</f>
        <v>내 눈에만 아공간이 보여 45화</v>
      </c>
      <c r="F1483">
        <v>46</v>
      </c>
      <c r="G1483" t="str">
        <f>T("지누아빠")</f>
        <v>지누아빠</v>
      </c>
      <c r="J1483" t="str">
        <f>T("매드햇")</f>
        <v>매드햇</v>
      </c>
      <c r="K1483" t="str">
        <f>T("내 눈에만 아공간이 보여")</f>
        <v>내 눈에만 아공간이 보여</v>
      </c>
      <c r="L1483">
        <v>100</v>
      </c>
      <c r="M1483">
        <v>100</v>
      </c>
      <c r="N1483">
        <v>1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100</v>
      </c>
      <c r="AJ1483">
        <v>1</v>
      </c>
      <c r="AK1483">
        <v>0</v>
      </c>
      <c r="AL1483">
        <v>0</v>
      </c>
      <c r="AM1483">
        <v>100</v>
      </c>
      <c r="AN1483">
        <v>0</v>
      </c>
      <c r="AO1483">
        <v>0</v>
      </c>
      <c r="AP1483">
        <v>0</v>
      </c>
      <c r="AQ1483">
        <v>0</v>
      </c>
      <c r="AS1483">
        <v>0</v>
      </c>
      <c r="AT1483">
        <v>0</v>
      </c>
      <c r="AV1483">
        <v>0</v>
      </c>
      <c r="AW1483">
        <v>0</v>
      </c>
      <c r="AY1483">
        <v>0</v>
      </c>
      <c r="AZ1483">
        <v>0</v>
      </c>
      <c r="BA1483">
        <v>70</v>
      </c>
      <c r="BE1483" t="str">
        <f>T("9791137013551")</f>
        <v>9791137013551</v>
      </c>
      <c r="BF1483" t="str">
        <f>T("N195504")</f>
        <v>N195504</v>
      </c>
      <c r="BG1483" t="str">
        <f>T("판타지 웹소설 &gt; 퓨전 판타지")</f>
        <v>판타지 웹소설 &gt; 퓨전 판타지</v>
      </c>
    </row>
    <row r="1484" spans="1:59">
      <c r="A1484" t="s">
        <v>60</v>
      </c>
      <c r="B1484" s="1">
        <v>46129</v>
      </c>
      <c r="C1484">
        <v>2378044483</v>
      </c>
      <c r="D1484">
        <v>2378044529</v>
      </c>
      <c r="E1484" t="str">
        <f>T("내 눈에만 아공간이 보여 46화")</f>
        <v>내 눈에만 아공간이 보여 46화</v>
      </c>
      <c r="F1484">
        <v>47</v>
      </c>
      <c r="G1484" t="str">
        <f>T("지누아빠")</f>
        <v>지누아빠</v>
      </c>
      <c r="J1484" t="str">
        <f>T("매드햇")</f>
        <v>매드햇</v>
      </c>
      <c r="K1484" t="str">
        <f>T("내 눈에만 아공간이 보여")</f>
        <v>내 눈에만 아공간이 보여</v>
      </c>
      <c r="L1484">
        <v>100</v>
      </c>
      <c r="M1484">
        <v>100</v>
      </c>
      <c r="N1484">
        <v>1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100</v>
      </c>
      <c r="AJ1484">
        <v>1</v>
      </c>
      <c r="AK1484">
        <v>0</v>
      </c>
      <c r="AL1484">
        <v>0</v>
      </c>
      <c r="AM1484">
        <v>100</v>
      </c>
      <c r="AN1484">
        <v>0</v>
      </c>
      <c r="AO1484">
        <v>0</v>
      </c>
      <c r="AP1484">
        <v>0</v>
      </c>
      <c r="AQ1484">
        <v>0</v>
      </c>
      <c r="AS1484">
        <v>0</v>
      </c>
      <c r="AT1484">
        <v>0</v>
      </c>
      <c r="AV1484">
        <v>0</v>
      </c>
      <c r="AW1484">
        <v>0</v>
      </c>
      <c r="AY1484">
        <v>0</v>
      </c>
      <c r="AZ1484">
        <v>0</v>
      </c>
      <c r="BA1484">
        <v>70</v>
      </c>
      <c r="BE1484" t="str">
        <f>T("9791137013551")</f>
        <v>9791137013551</v>
      </c>
      <c r="BF1484" t="str">
        <f>T("N195505")</f>
        <v>N195505</v>
      </c>
      <c r="BG1484" t="str">
        <f>T("판타지 웹소설 &gt; 퓨전 판타지")</f>
        <v>판타지 웹소설 &gt; 퓨전 판타지</v>
      </c>
    </row>
    <row r="1485" spans="1:59">
      <c r="A1485" t="s">
        <v>60</v>
      </c>
      <c r="B1485" s="1">
        <v>46129</v>
      </c>
      <c r="C1485">
        <v>2378044483</v>
      </c>
      <c r="D1485">
        <v>2378044530</v>
      </c>
      <c r="E1485" t="str">
        <f>T("내 눈에만 아공간이 보여 47화")</f>
        <v>내 눈에만 아공간이 보여 47화</v>
      </c>
      <c r="F1485">
        <v>48</v>
      </c>
      <c r="G1485" t="str">
        <f>T("지누아빠")</f>
        <v>지누아빠</v>
      </c>
      <c r="J1485" t="str">
        <f>T("매드햇")</f>
        <v>매드햇</v>
      </c>
      <c r="K1485" t="str">
        <f>T("내 눈에만 아공간이 보여")</f>
        <v>내 눈에만 아공간이 보여</v>
      </c>
      <c r="L1485">
        <v>100</v>
      </c>
      <c r="M1485">
        <v>100</v>
      </c>
      <c r="N1485">
        <v>1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100</v>
      </c>
      <c r="AJ1485">
        <v>1</v>
      </c>
      <c r="AK1485">
        <v>0</v>
      </c>
      <c r="AL1485">
        <v>0</v>
      </c>
      <c r="AM1485">
        <v>100</v>
      </c>
      <c r="AN1485">
        <v>0</v>
      </c>
      <c r="AO1485">
        <v>0</v>
      </c>
      <c r="AP1485">
        <v>0</v>
      </c>
      <c r="AQ1485">
        <v>0</v>
      </c>
      <c r="AS1485">
        <v>0</v>
      </c>
      <c r="AT1485">
        <v>0</v>
      </c>
      <c r="AV1485">
        <v>0</v>
      </c>
      <c r="AW1485">
        <v>0</v>
      </c>
      <c r="AY1485">
        <v>0</v>
      </c>
      <c r="AZ1485">
        <v>0</v>
      </c>
      <c r="BA1485">
        <v>70</v>
      </c>
      <c r="BE1485" t="str">
        <f>T("9791137013551")</f>
        <v>9791137013551</v>
      </c>
      <c r="BF1485" t="str">
        <f>T("N195506")</f>
        <v>N195506</v>
      </c>
      <c r="BG1485" t="str">
        <f>T("판타지 웹소설 &gt; 퓨전 판타지")</f>
        <v>판타지 웹소설 &gt; 퓨전 판타지</v>
      </c>
    </row>
    <row r="1486" spans="1:59">
      <c r="A1486" t="s">
        <v>60</v>
      </c>
      <c r="B1486" s="1">
        <v>46129</v>
      </c>
      <c r="C1486">
        <v>2378044483</v>
      </c>
      <c r="D1486">
        <v>2378044531</v>
      </c>
      <c r="E1486" t="str">
        <f>T("내 눈에만 아공간이 보여 48화")</f>
        <v>내 눈에만 아공간이 보여 48화</v>
      </c>
      <c r="F1486">
        <v>49</v>
      </c>
      <c r="G1486" t="str">
        <f>T("지누아빠")</f>
        <v>지누아빠</v>
      </c>
      <c r="J1486" t="str">
        <f>T("매드햇")</f>
        <v>매드햇</v>
      </c>
      <c r="K1486" t="str">
        <f>T("내 눈에만 아공간이 보여")</f>
        <v>내 눈에만 아공간이 보여</v>
      </c>
      <c r="L1486">
        <v>100</v>
      </c>
      <c r="M1486">
        <v>100</v>
      </c>
      <c r="N1486">
        <v>1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100</v>
      </c>
      <c r="AJ1486">
        <v>1</v>
      </c>
      <c r="AK1486">
        <v>0</v>
      </c>
      <c r="AL1486">
        <v>0</v>
      </c>
      <c r="AM1486">
        <v>100</v>
      </c>
      <c r="AN1486">
        <v>0</v>
      </c>
      <c r="AO1486">
        <v>0</v>
      </c>
      <c r="AP1486">
        <v>0</v>
      </c>
      <c r="AQ1486">
        <v>0</v>
      </c>
      <c r="AS1486">
        <v>0</v>
      </c>
      <c r="AT1486">
        <v>0</v>
      </c>
      <c r="AV1486">
        <v>0</v>
      </c>
      <c r="AW1486">
        <v>0</v>
      </c>
      <c r="AY1486">
        <v>0</v>
      </c>
      <c r="AZ1486">
        <v>0</v>
      </c>
      <c r="BA1486">
        <v>70</v>
      </c>
      <c r="BE1486" t="str">
        <f>T("9791137013551")</f>
        <v>9791137013551</v>
      </c>
      <c r="BF1486" t="str">
        <f>T("N195507")</f>
        <v>N195507</v>
      </c>
      <c r="BG1486" t="str">
        <f>T("판타지 웹소설 &gt; 퓨전 판타지")</f>
        <v>판타지 웹소설 &gt; 퓨전 판타지</v>
      </c>
    </row>
    <row r="1487" spans="1:59">
      <c r="A1487" t="s">
        <v>60</v>
      </c>
      <c r="B1487" s="1">
        <v>46129</v>
      </c>
      <c r="C1487">
        <v>2378044483</v>
      </c>
      <c r="D1487">
        <v>2378044532</v>
      </c>
      <c r="E1487" t="str">
        <f>T("내 눈에만 아공간이 보여 49화")</f>
        <v>내 눈에만 아공간이 보여 49화</v>
      </c>
      <c r="F1487">
        <v>50</v>
      </c>
      <c r="G1487" t="str">
        <f>T("지누아빠")</f>
        <v>지누아빠</v>
      </c>
      <c r="J1487" t="str">
        <f>T("매드햇")</f>
        <v>매드햇</v>
      </c>
      <c r="K1487" t="str">
        <f>T("내 눈에만 아공간이 보여")</f>
        <v>내 눈에만 아공간이 보여</v>
      </c>
      <c r="L1487">
        <v>100</v>
      </c>
      <c r="M1487">
        <v>100</v>
      </c>
      <c r="N1487">
        <v>1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0</v>
      </c>
      <c r="AH1487">
        <v>0</v>
      </c>
      <c r="AI1487">
        <v>100</v>
      </c>
      <c r="AJ1487">
        <v>1</v>
      </c>
      <c r="AK1487">
        <v>0</v>
      </c>
      <c r="AL1487">
        <v>0</v>
      </c>
      <c r="AM1487">
        <v>100</v>
      </c>
      <c r="AN1487">
        <v>0</v>
      </c>
      <c r="AO1487">
        <v>0</v>
      </c>
      <c r="AP1487">
        <v>0</v>
      </c>
      <c r="AQ1487">
        <v>0</v>
      </c>
      <c r="AS1487">
        <v>0</v>
      </c>
      <c r="AT1487">
        <v>0</v>
      </c>
      <c r="AV1487">
        <v>0</v>
      </c>
      <c r="AW1487">
        <v>0</v>
      </c>
      <c r="AY1487">
        <v>0</v>
      </c>
      <c r="AZ1487">
        <v>0</v>
      </c>
      <c r="BA1487">
        <v>70</v>
      </c>
      <c r="BE1487" t="str">
        <f>T("9791137013551")</f>
        <v>9791137013551</v>
      </c>
      <c r="BF1487" t="str">
        <f>T("N195508")</f>
        <v>N195508</v>
      </c>
      <c r="BG1487" t="str">
        <f>T("판타지 웹소설 &gt; 퓨전 판타지")</f>
        <v>판타지 웹소설 &gt; 퓨전 판타지</v>
      </c>
    </row>
    <row r="1488" spans="1:59">
      <c r="A1488" t="s">
        <v>60</v>
      </c>
      <c r="B1488" s="1">
        <v>46129</v>
      </c>
      <c r="C1488">
        <v>2378044483</v>
      </c>
      <c r="D1488">
        <v>2378044533</v>
      </c>
      <c r="E1488" t="str">
        <f>T("내 눈에만 아공간이 보여 50화")</f>
        <v>내 눈에만 아공간이 보여 50화</v>
      </c>
      <c r="F1488">
        <v>51</v>
      </c>
      <c r="G1488" t="str">
        <f>T("지누아빠")</f>
        <v>지누아빠</v>
      </c>
      <c r="J1488" t="str">
        <f>T("매드햇")</f>
        <v>매드햇</v>
      </c>
      <c r="K1488" t="str">
        <f>T("내 눈에만 아공간이 보여")</f>
        <v>내 눈에만 아공간이 보여</v>
      </c>
      <c r="L1488">
        <v>100</v>
      </c>
      <c r="M1488">
        <v>100</v>
      </c>
      <c r="N1488">
        <v>1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100</v>
      </c>
      <c r="AJ1488">
        <v>1</v>
      </c>
      <c r="AK1488">
        <v>0</v>
      </c>
      <c r="AL1488">
        <v>0</v>
      </c>
      <c r="AM1488">
        <v>100</v>
      </c>
      <c r="AN1488">
        <v>0</v>
      </c>
      <c r="AO1488">
        <v>0</v>
      </c>
      <c r="AP1488">
        <v>0</v>
      </c>
      <c r="AQ1488">
        <v>0</v>
      </c>
      <c r="AS1488">
        <v>0</v>
      </c>
      <c r="AT1488">
        <v>0</v>
      </c>
      <c r="AV1488">
        <v>0</v>
      </c>
      <c r="AW1488">
        <v>0</v>
      </c>
      <c r="AY1488">
        <v>0</v>
      </c>
      <c r="AZ1488">
        <v>0</v>
      </c>
      <c r="BA1488">
        <v>70</v>
      </c>
      <c r="BE1488" t="str">
        <f>T("9791137013551")</f>
        <v>9791137013551</v>
      </c>
      <c r="BF1488" t="str">
        <f>T("N195509")</f>
        <v>N195509</v>
      </c>
      <c r="BG1488" t="str">
        <f>T("판타지 웹소설 &gt; 퓨전 판타지")</f>
        <v>판타지 웹소설 &gt; 퓨전 판타지</v>
      </c>
    </row>
    <row r="1489" spans="1:59">
      <c r="A1489" t="s">
        <v>60</v>
      </c>
      <c r="B1489" s="1">
        <v>46129</v>
      </c>
      <c r="C1489">
        <v>2378044483</v>
      </c>
      <c r="D1489">
        <v>2378044534</v>
      </c>
      <c r="E1489" t="str">
        <f>T("내 눈에만 아공간이 보여 51화")</f>
        <v>내 눈에만 아공간이 보여 51화</v>
      </c>
      <c r="F1489">
        <v>52</v>
      </c>
      <c r="G1489" t="str">
        <f>T("지누아빠")</f>
        <v>지누아빠</v>
      </c>
      <c r="J1489" t="str">
        <f>T("매드햇")</f>
        <v>매드햇</v>
      </c>
      <c r="K1489" t="str">
        <f>T("내 눈에만 아공간이 보여")</f>
        <v>내 눈에만 아공간이 보여</v>
      </c>
      <c r="L1489">
        <v>100</v>
      </c>
      <c r="M1489">
        <v>100</v>
      </c>
      <c r="N1489">
        <v>1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100</v>
      </c>
      <c r="AJ1489">
        <v>1</v>
      </c>
      <c r="AK1489">
        <v>0</v>
      </c>
      <c r="AL1489">
        <v>0</v>
      </c>
      <c r="AM1489">
        <v>100</v>
      </c>
      <c r="AN1489">
        <v>0</v>
      </c>
      <c r="AO1489">
        <v>0</v>
      </c>
      <c r="AP1489">
        <v>0</v>
      </c>
      <c r="AQ1489">
        <v>0</v>
      </c>
      <c r="AS1489">
        <v>0</v>
      </c>
      <c r="AT1489">
        <v>0</v>
      </c>
      <c r="AV1489">
        <v>0</v>
      </c>
      <c r="AW1489">
        <v>0</v>
      </c>
      <c r="AY1489">
        <v>0</v>
      </c>
      <c r="AZ1489">
        <v>0</v>
      </c>
      <c r="BA1489">
        <v>70</v>
      </c>
      <c r="BE1489" t="str">
        <f>T("9791137013551")</f>
        <v>9791137013551</v>
      </c>
      <c r="BF1489" t="str">
        <f>T("N195510")</f>
        <v>N195510</v>
      </c>
      <c r="BG1489" t="str">
        <f>T("판타지 웹소설 &gt; 퓨전 판타지")</f>
        <v>판타지 웹소설 &gt; 퓨전 판타지</v>
      </c>
    </row>
    <row r="1490" spans="1:59">
      <c r="A1490" t="s">
        <v>60</v>
      </c>
      <c r="B1490" s="1">
        <v>46129</v>
      </c>
      <c r="C1490">
        <v>2378044483</v>
      </c>
      <c r="D1490">
        <v>2378044535</v>
      </c>
      <c r="E1490" t="str">
        <f>T("내 눈에만 아공간이 보여 52화")</f>
        <v>내 눈에만 아공간이 보여 52화</v>
      </c>
      <c r="F1490">
        <v>53</v>
      </c>
      <c r="G1490" t="str">
        <f>T("지누아빠")</f>
        <v>지누아빠</v>
      </c>
      <c r="J1490" t="str">
        <f>T("매드햇")</f>
        <v>매드햇</v>
      </c>
      <c r="K1490" t="str">
        <f>T("내 눈에만 아공간이 보여")</f>
        <v>내 눈에만 아공간이 보여</v>
      </c>
      <c r="L1490">
        <v>100</v>
      </c>
      <c r="M1490">
        <v>100</v>
      </c>
      <c r="N1490">
        <v>1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100</v>
      </c>
      <c r="AJ1490">
        <v>1</v>
      </c>
      <c r="AK1490">
        <v>0</v>
      </c>
      <c r="AL1490">
        <v>0</v>
      </c>
      <c r="AM1490">
        <v>100</v>
      </c>
      <c r="AN1490">
        <v>0</v>
      </c>
      <c r="AO1490">
        <v>0</v>
      </c>
      <c r="AP1490">
        <v>0</v>
      </c>
      <c r="AQ1490">
        <v>0</v>
      </c>
      <c r="AS1490">
        <v>0</v>
      </c>
      <c r="AT1490">
        <v>0</v>
      </c>
      <c r="AV1490">
        <v>0</v>
      </c>
      <c r="AW1490">
        <v>0</v>
      </c>
      <c r="AY1490">
        <v>0</v>
      </c>
      <c r="AZ1490">
        <v>0</v>
      </c>
      <c r="BA1490">
        <v>70</v>
      </c>
      <c r="BE1490" t="str">
        <f>T("9791137013551")</f>
        <v>9791137013551</v>
      </c>
      <c r="BF1490" t="str">
        <f>T("N195511")</f>
        <v>N195511</v>
      </c>
      <c r="BG1490" t="str">
        <f>T("판타지 웹소설 &gt; 퓨전 판타지")</f>
        <v>판타지 웹소설 &gt; 퓨전 판타지</v>
      </c>
    </row>
    <row r="1491" spans="1:59">
      <c r="A1491" t="s">
        <v>60</v>
      </c>
      <c r="B1491" s="1">
        <v>46129</v>
      </c>
      <c r="C1491">
        <v>2378044483</v>
      </c>
      <c r="D1491">
        <v>2378044536</v>
      </c>
      <c r="E1491" t="str">
        <f>T("내 눈에만 아공간이 보여 53화")</f>
        <v>내 눈에만 아공간이 보여 53화</v>
      </c>
      <c r="F1491">
        <v>54</v>
      </c>
      <c r="G1491" t="str">
        <f>T("지누아빠")</f>
        <v>지누아빠</v>
      </c>
      <c r="J1491" t="str">
        <f>T("매드햇")</f>
        <v>매드햇</v>
      </c>
      <c r="K1491" t="str">
        <f>T("내 눈에만 아공간이 보여")</f>
        <v>내 눈에만 아공간이 보여</v>
      </c>
      <c r="L1491">
        <v>100</v>
      </c>
      <c r="M1491">
        <v>100</v>
      </c>
      <c r="N1491">
        <v>1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100</v>
      </c>
      <c r="AJ1491">
        <v>1</v>
      </c>
      <c r="AK1491">
        <v>0</v>
      </c>
      <c r="AL1491">
        <v>0</v>
      </c>
      <c r="AM1491">
        <v>100</v>
      </c>
      <c r="AN1491">
        <v>0</v>
      </c>
      <c r="AO1491">
        <v>0</v>
      </c>
      <c r="AP1491">
        <v>0</v>
      </c>
      <c r="AQ1491">
        <v>0</v>
      </c>
      <c r="AS1491">
        <v>0</v>
      </c>
      <c r="AT1491">
        <v>0</v>
      </c>
      <c r="AV1491">
        <v>0</v>
      </c>
      <c r="AW1491">
        <v>0</v>
      </c>
      <c r="AY1491">
        <v>0</v>
      </c>
      <c r="AZ1491">
        <v>0</v>
      </c>
      <c r="BA1491">
        <v>70</v>
      </c>
      <c r="BE1491" t="str">
        <f>T("9791137013551")</f>
        <v>9791137013551</v>
      </c>
      <c r="BF1491" t="str">
        <f>T("N195512")</f>
        <v>N195512</v>
      </c>
      <c r="BG1491" t="str">
        <f>T("판타지 웹소설 &gt; 퓨전 판타지")</f>
        <v>판타지 웹소설 &gt; 퓨전 판타지</v>
      </c>
    </row>
    <row r="1492" spans="1:59">
      <c r="A1492" t="s">
        <v>60</v>
      </c>
      <c r="B1492" s="1">
        <v>46129</v>
      </c>
      <c r="C1492">
        <v>2378044483</v>
      </c>
      <c r="D1492">
        <v>2378044537</v>
      </c>
      <c r="E1492" t="str">
        <f>T("내 눈에만 아공간이 보여 54화")</f>
        <v>내 눈에만 아공간이 보여 54화</v>
      </c>
      <c r="F1492">
        <v>55</v>
      </c>
      <c r="G1492" t="str">
        <f>T("지누아빠")</f>
        <v>지누아빠</v>
      </c>
      <c r="J1492" t="str">
        <f>T("매드햇")</f>
        <v>매드햇</v>
      </c>
      <c r="K1492" t="str">
        <f>T("내 눈에만 아공간이 보여")</f>
        <v>내 눈에만 아공간이 보여</v>
      </c>
      <c r="L1492">
        <v>100</v>
      </c>
      <c r="M1492">
        <v>100</v>
      </c>
      <c r="N1492">
        <v>1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100</v>
      </c>
      <c r="AJ1492">
        <v>1</v>
      </c>
      <c r="AK1492">
        <v>0</v>
      </c>
      <c r="AL1492">
        <v>0</v>
      </c>
      <c r="AM1492">
        <v>100</v>
      </c>
      <c r="AN1492">
        <v>0</v>
      </c>
      <c r="AO1492">
        <v>0</v>
      </c>
      <c r="AP1492">
        <v>0</v>
      </c>
      <c r="AQ1492">
        <v>0</v>
      </c>
      <c r="AS1492">
        <v>0</v>
      </c>
      <c r="AT1492">
        <v>0</v>
      </c>
      <c r="AV1492">
        <v>0</v>
      </c>
      <c r="AW1492">
        <v>0</v>
      </c>
      <c r="AY1492">
        <v>0</v>
      </c>
      <c r="AZ1492">
        <v>0</v>
      </c>
      <c r="BA1492">
        <v>70</v>
      </c>
      <c r="BE1492" t="str">
        <f>T("9791137013551")</f>
        <v>9791137013551</v>
      </c>
      <c r="BF1492" t="str">
        <f>T("N195513")</f>
        <v>N195513</v>
      </c>
      <c r="BG1492" t="str">
        <f>T("판타지 웹소설 &gt; 퓨전 판타지")</f>
        <v>판타지 웹소설 &gt; 퓨전 판타지</v>
      </c>
    </row>
    <row r="1493" spans="1:59">
      <c r="A1493" t="s">
        <v>60</v>
      </c>
      <c r="B1493" s="1">
        <v>46130</v>
      </c>
      <c r="C1493">
        <v>2378044483</v>
      </c>
      <c r="D1493">
        <v>2378044483</v>
      </c>
      <c r="E1493" t="str">
        <f>T("내 눈에만 아공간이 보여 프롤로그")</f>
        <v>내 눈에만 아공간이 보여 프롤로그</v>
      </c>
      <c r="F1493">
        <v>1</v>
      </c>
      <c r="G1493" t="str">
        <f>T("지누아빠")</f>
        <v>지누아빠</v>
      </c>
      <c r="J1493" t="str">
        <f>T("매드햇")</f>
        <v>매드햇</v>
      </c>
      <c r="K1493" t="str">
        <f>T("내 눈에만 아공간이 보여")</f>
        <v>내 눈에만 아공간이 보여</v>
      </c>
      <c r="L1493">
        <v>0</v>
      </c>
      <c r="M1493">
        <v>0</v>
      </c>
      <c r="N1493">
        <v>0</v>
      </c>
      <c r="O1493">
        <v>1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0</v>
      </c>
      <c r="AH1493">
        <v>0</v>
      </c>
      <c r="AI1493">
        <v>0</v>
      </c>
      <c r="AJ1493">
        <v>1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S1493">
        <v>0</v>
      </c>
      <c r="AT1493">
        <v>0</v>
      </c>
      <c r="AV1493">
        <v>0</v>
      </c>
      <c r="AW1493">
        <v>0</v>
      </c>
      <c r="AY1493">
        <v>0</v>
      </c>
      <c r="AZ1493">
        <v>0</v>
      </c>
      <c r="BA1493">
        <v>0</v>
      </c>
      <c r="BE1493" t="str">
        <f>T("9791137013551")</f>
        <v>9791137013551</v>
      </c>
      <c r="BF1493" t="str">
        <f>T("N195459")</f>
        <v>N195459</v>
      </c>
      <c r="BG1493" t="str">
        <f>T("판타지 웹소설 &gt; 퓨전 판타지")</f>
        <v>판타지 웹소설 &gt; 퓨전 판타지</v>
      </c>
    </row>
    <row r="1494" spans="1:59">
      <c r="A1494" t="s">
        <v>60</v>
      </c>
      <c r="B1494" s="1">
        <v>46130</v>
      </c>
      <c r="C1494">
        <v>2378044483</v>
      </c>
      <c r="D1494">
        <v>2378044484</v>
      </c>
      <c r="E1494" t="str">
        <f>T("내 눈에만 아공간이 보여 1화")</f>
        <v>내 눈에만 아공간이 보여 1화</v>
      </c>
      <c r="F1494">
        <v>2</v>
      </c>
      <c r="G1494" t="str">
        <f>T("지누아빠")</f>
        <v>지누아빠</v>
      </c>
      <c r="J1494" t="str">
        <f>T("매드햇")</f>
        <v>매드햇</v>
      </c>
      <c r="K1494" t="str">
        <f>T("내 눈에만 아공간이 보여")</f>
        <v>내 눈에만 아공간이 보여</v>
      </c>
      <c r="L1494">
        <v>0</v>
      </c>
      <c r="M1494">
        <v>0</v>
      </c>
      <c r="N1494">
        <v>0</v>
      </c>
      <c r="O1494">
        <v>1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1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S1494">
        <v>0</v>
      </c>
      <c r="AT1494">
        <v>0</v>
      </c>
      <c r="AV1494">
        <v>0</v>
      </c>
      <c r="AW1494">
        <v>0</v>
      </c>
      <c r="AY1494">
        <v>0</v>
      </c>
      <c r="AZ1494">
        <v>0</v>
      </c>
      <c r="BA1494">
        <v>0</v>
      </c>
      <c r="BE1494" t="str">
        <f>T("9791137013551")</f>
        <v>9791137013551</v>
      </c>
      <c r="BF1494" t="str">
        <f>T("N195460")</f>
        <v>N195460</v>
      </c>
      <c r="BG1494" t="str">
        <f>T("판타지 웹소설 &gt; 퓨전 판타지")</f>
        <v>판타지 웹소설 &gt; 퓨전 판타지</v>
      </c>
    </row>
    <row r="1495" spans="1:59">
      <c r="A1495" t="s">
        <v>60</v>
      </c>
      <c r="B1495" s="1">
        <v>46130</v>
      </c>
      <c r="C1495">
        <v>2378044483</v>
      </c>
      <c r="D1495">
        <v>2378044485</v>
      </c>
      <c r="E1495" t="str">
        <f>T("내 눈에만 아공간이 보여 2화")</f>
        <v>내 눈에만 아공간이 보여 2화</v>
      </c>
      <c r="F1495">
        <v>3</v>
      </c>
      <c r="G1495" t="str">
        <f>T("지누아빠")</f>
        <v>지누아빠</v>
      </c>
      <c r="J1495" t="str">
        <f>T("매드햇")</f>
        <v>매드햇</v>
      </c>
      <c r="K1495" t="str">
        <f>T("내 눈에만 아공간이 보여")</f>
        <v>내 눈에만 아공간이 보여</v>
      </c>
      <c r="L1495">
        <v>0</v>
      </c>
      <c r="M1495">
        <v>0</v>
      </c>
      <c r="N1495">
        <v>0</v>
      </c>
      <c r="O1495">
        <v>1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1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S1495">
        <v>0</v>
      </c>
      <c r="AT1495">
        <v>0</v>
      </c>
      <c r="AV1495">
        <v>0</v>
      </c>
      <c r="AW1495">
        <v>0</v>
      </c>
      <c r="AY1495">
        <v>0</v>
      </c>
      <c r="AZ1495">
        <v>0</v>
      </c>
      <c r="BA1495">
        <v>0</v>
      </c>
      <c r="BE1495" t="str">
        <f>T("9791137013551")</f>
        <v>9791137013551</v>
      </c>
      <c r="BF1495" t="str">
        <f>T("N195461")</f>
        <v>N195461</v>
      </c>
      <c r="BG1495" t="str">
        <f>T("판타지 웹소설 &gt; 퓨전 판타지")</f>
        <v>판타지 웹소설 &gt; 퓨전 판타지</v>
      </c>
    </row>
    <row r="1496" spans="1:59">
      <c r="A1496" t="s">
        <v>60</v>
      </c>
      <c r="B1496" s="1">
        <v>46130</v>
      </c>
      <c r="C1496">
        <v>2378044483</v>
      </c>
      <c r="D1496">
        <v>2378044486</v>
      </c>
      <c r="E1496" t="str">
        <f>T("내 눈에만 아공간이 보여 3화")</f>
        <v>내 눈에만 아공간이 보여 3화</v>
      </c>
      <c r="F1496">
        <v>4</v>
      </c>
      <c r="G1496" t="str">
        <f>T("지누아빠")</f>
        <v>지누아빠</v>
      </c>
      <c r="J1496" t="str">
        <f>T("매드햇")</f>
        <v>매드햇</v>
      </c>
      <c r="K1496" t="str">
        <f>T("내 눈에만 아공간이 보여")</f>
        <v>내 눈에만 아공간이 보여</v>
      </c>
      <c r="L1496">
        <v>0</v>
      </c>
      <c r="M1496">
        <v>0</v>
      </c>
      <c r="N1496">
        <v>0</v>
      </c>
      <c r="O1496">
        <v>1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1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S1496">
        <v>0</v>
      </c>
      <c r="AT1496">
        <v>0</v>
      </c>
      <c r="AV1496">
        <v>0</v>
      </c>
      <c r="AW1496">
        <v>0</v>
      </c>
      <c r="AY1496">
        <v>0</v>
      </c>
      <c r="AZ1496">
        <v>0</v>
      </c>
      <c r="BA1496">
        <v>0</v>
      </c>
      <c r="BE1496" t="str">
        <f>T("9791137013551")</f>
        <v>9791137013551</v>
      </c>
      <c r="BF1496" t="str">
        <f>T("N195462")</f>
        <v>N195462</v>
      </c>
      <c r="BG1496" t="str">
        <f>T("판타지 웹소설 &gt; 퓨전 판타지")</f>
        <v>판타지 웹소설 &gt; 퓨전 판타지</v>
      </c>
    </row>
    <row r="1497" spans="1:59">
      <c r="A1497" t="s">
        <v>60</v>
      </c>
      <c r="B1497" s="1">
        <v>46130</v>
      </c>
      <c r="C1497">
        <v>2378044483</v>
      </c>
      <c r="D1497">
        <v>2378044487</v>
      </c>
      <c r="E1497" t="str">
        <f>T("내 눈에만 아공간이 보여 4화")</f>
        <v>내 눈에만 아공간이 보여 4화</v>
      </c>
      <c r="F1497">
        <v>5</v>
      </c>
      <c r="G1497" t="str">
        <f>T("지누아빠")</f>
        <v>지누아빠</v>
      </c>
      <c r="J1497" t="str">
        <f>T("매드햇")</f>
        <v>매드햇</v>
      </c>
      <c r="K1497" t="str">
        <f>T("내 눈에만 아공간이 보여")</f>
        <v>내 눈에만 아공간이 보여</v>
      </c>
      <c r="L1497">
        <v>0</v>
      </c>
      <c r="M1497">
        <v>0</v>
      </c>
      <c r="N1497">
        <v>0</v>
      </c>
      <c r="O1497">
        <v>1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1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S1497">
        <v>0</v>
      </c>
      <c r="AT1497">
        <v>0</v>
      </c>
      <c r="AV1497">
        <v>0</v>
      </c>
      <c r="AW1497">
        <v>0</v>
      </c>
      <c r="AY1497">
        <v>0</v>
      </c>
      <c r="AZ1497">
        <v>0</v>
      </c>
      <c r="BA1497">
        <v>0</v>
      </c>
      <c r="BE1497" t="str">
        <f>T("9791137013551")</f>
        <v>9791137013551</v>
      </c>
      <c r="BF1497" t="str">
        <f>T("N195463")</f>
        <v>N195463</v>
      </c>
      <c r="BG1497" t="str">
        <f>T("판타지 웹소설 &gt; 퓨전 판타지")</f>
        <v>판타지 웹소설 &gt; 퓨전 판타지</v>
      </c>
    </row>
    <row r="1498" spans="1:59">
      <c r="A1498" t="s">
        <v>60</v>
      </c>
      <c r="B1498" s="1">
        <v>46130</v>
      </c>
      <c r="C1498">
        <v>2378044483</v>
      </c>
      <c r="D1498">
        <v>2378044488</v>
      </c>
      <c r="E1498" t="str">
        <f>T("내 눈에만 아공간이 보여 5화")</f>
        <v>내 눈에만 아공간이 보여 5화</v>
      </c>
      <c r="F1498">
        <v>6</v>
      </c>
      <c r="G1498" t="str">
        <f>T("지누아빠")</f>
        <v>지누아빠</v>
      </c>
      <c r="J1498" t="str">
        <f>T("매드햇")</f>
        <v>매드햇</v>
      </c>
      <c r="K1498" t="str">
        <f>T("내 눈에만 아공간이 보여")</f>
        <v>내 눈에만 아공간이 보여</v>
      </c>
      <c r="L1498">
        <v>0</v>
      </c>
      <c r="M1498">
        <v>0</v>
      </c>
      <c r="N1498">
        <v>0</v>
      </c>
      <c r="O1498">
        <v>1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1</v>
      </c>
      <c r="AK1498">
        <v>0</v>
      </c>
      <c r="AL1498">
        <v>0</v>
      </c>
      <c r="AM1498">
        <v>0</v>
      </c>
      <c r="AN1498">
        <v>0</v>
      </c>
      <c r="AO1498">
        <v>0</v>
      </c>
      <c r="AP1498">
        <v>0</v>
      </c>
      <c r="AQ1498">
        <v>0</v>
      </c>
      <c r="AS1498">
        <v>0</v>
      </c>
      <c r="AT1498">
        <v>0</v>
      </c>
      <c r="AV1498">
        <v>0</v>
      </c>
      <c r="AW1498">
        <v>0</v>
      </c>
      <c r="AY1498">
        <v>0</v>
      </c>
      <c r="AZ1498">
        <v>0</v>
      </c>
      <c r="BA1498">
        <v>0</v>
      </c>
      <c r="BE1498" t="str">
        <f>T("9791137013551")</f>
        <v>9791137013551</v>
      </c>
      <c r="BF1498" t="str">
        <f>T("N195464")</f>
        <v>N195464</v>
      </c>
      <c r="BG1498" t="str">
        <f>T("판타지 웹소설 &gt; 퓨전 판타지")</f>
        <v>판타지 웹소설 &gt; 퓨전 판타지</v>
      </c>
    </row>
    <row r="1499" spans="1:59">
      <c r="A1499" t="s">
        <v>60</v>
      </c>
      <c r="B1499" s="1">
        <v>46130</v>
      </c>
      <c r="C1499">
        <v>2378044483</v>
      </c>
      <c r="D1499">
        <v>2378044489</v>
      </c>
      <c r="E1499" t="str">
        <f>T("내 눈에만 아공간이 보여 6화")</f>
        <v>내 눈에만 아공간이 보여 6화</v>
      </c>
      <c r="F1499">
        <v>7</v>
      </c>
      <c r="G1499" t="str">
        <f>T("지누아빠")</f>
        <v>지누아빠</v>
      </c>
      <c r="J1499" t="str">
        <f>T("매드햇")</f>
        <v>매드햇</v>
      </c>
      <c r="K1499" t="str">
        <f>T("내 눈에만 아공간이 보여")</f>
        <v>내 눈에만 아공간이 보여</v>
      </c>
      <c r="L1499">
        <v>0</v>
      </c>
      <c r="M1499">
        <v>0</v>
      </c>
      <c r="N1499">
        <v>0</v>
      </c>
      <c r="O1499">
        <v>1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1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S1499">
        <v>0</v>
      </c>
      <c r="AT1499">
        <v>0</v>
      </c>
      <c r="AV1499">
        <v>0</v>
      </c>
      <c r="AW1499">
        <v>0</v>
      </c>
      <c r="AY1499">
        <v>0</v>
      </c>
      <c r="AZ1499">
        <v>0</v>
      </c>
      <c r="BA1499">
        <v>0</v>
      </c>
      <c r="BE1499" t="str">
        <f>T("9791137013551")</f>
        <v>9791137013551</v>
      </c>
      <c r="BF1499" t="str">
        <f>T("N195465")</f>
        <v>N195465</v>
      </c>
      <c r="BG1499" t="str">
        <f>T("판타지 웹소설 &gt; 퓨전 판타지")</f>
        <v>판타지 웹소설 &gt; 퓨전 판타지</v>
      </c>
    </row>
    <row r="1500" spans="1:59">
      <c r="A1500" t="s">
        <v>60</v>
      </c>
      <c r="B1500" s="1">
        <v>46130</v>
      </c>
      <c r="C1500">
        <v>2378044483</v>
      </c>
      <c r="D1500">
        <v>2378044490</v>
      </c>
      <c r="E1500" t="str">
        <f>T("내 눈에만 아공간이 보여 7화")</f>
        <v>내 눈에만 아공간이 보여 7화</v>
      </c>
      <c r="F1500">
        <v>8</v>
      </c>
      <c r="G1500" t="str">
        <f>T("지누아빠")</f>
        <v>지누아빠</v>
      </c>
      <c r="J1500" t="str">
        <f>T("매드햇")</f>
        <v>매드햇</v>
      </c>
      <c r="K1500" t="str">
        <f>T("내 눈에만 아공간이 보여")</f>
        <v>내 눈에만 아공간이 보여</v>
      </c>
      <c r="L1500">
        <v>0</v>
      </c>
      <c r="M1500">
        <v>0</v>
      </c>
      <c r="N1500">
        <v>0</v>
      </c>
      <c r="O1500">
        <v>1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1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S1500">
        <v>0</v>
      </c>
      <c r="AT1500">
        <v>0</v>
      </c>
      <c r="AV1500">
        <v>0</v>
      </c>
      <c r="AW1500">
        <v>0</v>
      </c>
      <c r="AY1500">
        <v>0</v>
      </c>
      <c r="AZ1500">
        <v>0</v>
      </c>
      <c r="BA1500">
        <v>0</v>
      </c>
      <c r="BE1500" t="str">
        <f>T("9791137013551")</f>
        <v>9791137013551</v>
      </c>
      <c r="BF1500" t="str">
        <f>T("N195466")</f>
        <v>N195466</v>
      </c>
      <c r="BG1500" t="str">
        <f>T("판타지 웹소설 &gt; 퓨전 판타지")</f>
        <v>판타지 웹소설 &gt; 퓨전 판타지</v>
      </c>
    </row>
    <row r="1501" spans="1:59">
      <c r="A1501" t="s">
        <v>60</v>
      </c>
      <c r="B1501" s="1">
        <v>46130</v>
      </c>
      <c r="C1501">
        <v>2378044483</v>
      </c>
      <c r="D1501">
        <v>2378044491</v>
      </c>
      <c r="E1501" t="str">
        <f>T("내 눈에만 아공간이 보여 8화")</f>
        <v>내 눈에만 아공간이 보여 8화</v>
      </c>
      <c r="F1501">
        <v>9</v>
      </c>
      <c r="G1501" t="str">
        <f>T("지누아빠")</f>
        <v>지누아빠</v>
      </c>
      <c r="J1501" t="str">
        <f>T("매드햇")</f>
        <v>매드햇</v>
      </c>
      <c r="K1501" t="str">
        <f>T("내 눈에만 아공간이 보여")</f>
        <v>내 눈에만 아공간이 보여</v>
      </c>
      <c r="L1501">
        <v>0</v>
      </c>
      <c r="M1501">
        <v>0</v>
      </c>
      <c r="N1501">
        <v>0</v>
      </c>
      <c r="O1501">
        <v>1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1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S1501">
        <v>0</v>
      </c>
      <c r="AT1501">
        <v>0</v>
      </c>
      <c r="AV1501">
        <v>0</v>
      </c>
      <c r="AW1501">
        <v>0</v>
      </c>
      <c r="AY1501">
        <v>0</v>
      </c>
      <c r="AZ1501">
        <v>0</v>
      </c>
      <c r="BA1501">
        <v>0</v>
      </c>
      <c r="BE1501" t="str">
        <f>T("9791137013551")</f>
        <v>9791137013551</v>
      </c>
      <c r="BF1501" t="str">
        <f>T("N195467")</f>
        <v>N195467</v>
      </c>
      <c r="BG1501" t="str">
        <f>T("판타지 웹소설 &gt; 퓨전 판타지")</f>
        <v>판타지 웹소설 &gt; 퓨전 판타지</v>
      </c>
    </row>
    <row r="1502" spans="1:59">
      <c r="A1502" t="s">
        <v>60</v>
      </c>
      <c r="B1502" s="1">
        <v>46130</v>
      </c>
      <c r="C1502">
        <v>2378044483</v>
      </c>
      <c r="D1502">
        <v>2378044492</v>
      </c>
      <c r="E1502" t="str">
        <f>T("내 눈에만 아공간이 보여 9화")</f>
        <v>내 눈에만 아공간이 보여 9화</v>
      </c>
      <c r="F1502">
        <v>10</v>
      </c>
      <c r="G1502" t="str">
        <f>T("지누아빠")</f>
        <v>지누아빠</v>
      </c>
      <c r="J1502" t="str">
        <f>T("매드햇")</f>
        <v>매드햇</v>
      </c>
      <c r="K1502" t="str">
        <f>T("내 눈에만 아공간이 보여")</f>
        <v>내 눈에만 아공간이 보여</v>
      </c>
      <c r="L1502">
        <v>0</v>
      </c>
      <c r="M1502">
        <v>0</v>
      </c>
      <c r="N1502">
        <v>0</v>
      </c>
      <c r="O1502">
        <v>1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1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S1502">
        <v>0</v>
      </c>
      <c r="AT1502">
        <v>0</v>
      </c>
      <c r="AV1502">
        <v>0</v>
      </c>
      <c r="AW1502">
        <v>0</v>
      </c>
      <c r="AY1502">
        <v>0</v>
      </c>
      <c r="AZ1502">
        <v>0</v>
      </c>
      <c r="BA1502">
        <v>0</v>
      </c>
      <c r="BE1502" t="str">
        <f>T("9791137013551")</f>
        <v>9791137013551</v>
      </c>
      <c r="BF1502" t="str">
        <f>T("N195468")</f>
        <v>N195468</v>
      </c>
      <c r="BG1502" t="str">
        <f>T("판타지 웹소설 &gt; 퓨전 판타지")</f>
        <v>판타지 웹소설 &gt; 퓨전 판타지</v>
      </c>
    </row>
    <row r="1503" spans="1:59">
      <c r="A1503" t="s">
        <v>60</v>
      </c>
      <c r="B1503" s="1">
        <v>46130</v>
      </c>
      <c r="C1503">
        <v>2378044483</v>
      </c>
      <c r="D1503">
        <v>2378044493</v>
      </c>
      <c r="E1503" t="str">
        <f>T("내 눈에만 아공간이 보여 10화")</f>
        <v>내 눈에만 아공간이 보여 10화</v>
      </c>
      <c r="F1503">
        <v>11</v>
      </c>
      <c r="G1503" t="str">
        <f>T("지누아빠")</f>
        <v>지누아빠</v>
      </c>
      <c r="J1503" t="str">
        <f>T("매드햇")</f>
        <v>매드햇</v>
      </c>
      <c r="K1503" t="str">
        <f>T("내 눈에만 아공간이 보여")</f>
        <v>내 눈에만 아공간이 보여</v>
      </c>
      <c r="L1503">
        <v>0</v>
      </c>
      <c r="M1503">
        <v>0</v>
      </c>
      <c r="N1503">
        <v>0</v>
      </c>
      <c r="O1503">
        <v>1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1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S1503">
        <v>0</v>
      </c>
      <c r="AT1503">
        <v>0</v>
      </c>
      <c r="AV1503">
        <v>0</v>
      </c>
      <c r="AW1503">
        <v>0</v>
      </c>
      <c r="AY1503">
        <v>0</v>
      </c>
      <c r="AZ1503">
        <v>0</v>
      </c>
      <c r="BA1503">
        <v>0</v>
      </c>
      <c r="BE1503" t="str">
        <f>T("9791137013551")</f>
        <v>9791137013551</v>
      </c>
      <c r="BF1503" t="str">
        <f>T("N195469")</f>
        <v>N195469</v>
      </c>
      <c r="BG1503" t="str">
        <f>T("판타지 웹소설 &gt; 퓨전 판타지")</f>
        <v>판타지 웹소설 &gt; 퓨전 판타지</v>
      </c>
    </row>
    <row r="1504" spans="1:59">
      <c r="A1504" t="s">
        <v>60</v>
      </c>
      <c r="B1504" s="1">
        <v>46130</v>
      </c>
      <c r="C1504">
        <v>2378044483</v>
      </c>
      <c r="D1504">
        <v>2378044494</v>
      </c>
      <c r="E1504" t="str">
        <f>T("내 눈에만 아공간이 보여 11화")</f>
        <v>내 눈에만 아공간이 보여 11화</v>
      </c>
      <c r="F1504">
        <v>12</v>
      </c>
      <c r="G1504" t="str">
        <f>T("지누아빠")</f>
        <v>지누아빠</v>
      </c>
      <c r="J1504" t="str">
        <f>T("매드햇")</f>
        <v>매드햇</v>
      </c>
      <c r="K1504" t="str">
        <f>T("내 눈에만 아공간이 보여")</f>
        <v>내 눈에만 아공간이 보여</v>
      </c>
      <c r="L1504">
        <v>0</v>
      </c>
      <c r="M1504">
        <v>0</v>
      </c>
      <c r="N1504">
        <v>0</v>
      </c>
      <c r="O1504">
        <v>1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1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S1504">
        <v>0</v>
      </c>
      <c r="AT1504">
        <v>0</v>
      </c>
      <c r="AV1504">
        <v>0</v>
      </c>
      <c r="AW1504">
        <v>0</v>
      </c>
      <c r="AY1504">
        <v>0</v>
      </c>
      <c r="AZ1504">
        <v>0</v>
      </c>
      <c r="BA1504">
        <v>0</v>
      </c>
      <c r="BE1504" t="str">
        <f>T("9791137013551")</f>
        <v>9791137013551</v>
      </c>
      <c r="BF1504" t="str">
        <f>T("N195470")</f>
        <v>N195470</v>
      </c>
      <c r="BG1504" t="str">
        <f>T("판타지 웹소설 &gt; 퓨전 판타지")</f>
        <v>판타지 웹소설 &gt; 퓨전 판타지</v>
      </c>
    </row>
    <row r="1505" spans="1:59">
      <c r="A1505" t="s">
        <v>60</v>
      </c>
      <c r="B1505" s="1">
        <v>46130</v>
      </c>
      <c r="C1505">
        <v>2378044483</v>
      </c>
      <c r="D1505">
        <v>2378044495</v>
      </c>
      <c r="E1505" t="str">
        <f>T("내 눈에만 아공간이 보여 12화")</f>
        <v>내 눈에만 아공간이 보여 12화</v>
      </c>
      <c r="F1505">
        <v>13</v>
      </c>
      <c r="G1505" t="str">
        <f>T("지누아빠")</f>
        <v>지누아빠</v>
      </c>
      <c r="J1505" t="str">
        <f>T("매드햇")</f>
        <v>매드햇</v>
      </c>
      <c r="K1505" t="str">
        <f>T("내 눈에만 아공간이 보여")</f>
        <v>내 눈에만 아공간이 보여</v>
      </c>
      <c r="L1505">
        <v>0</v>
      </c>
      <c r="M1505">
        <v>0</v>
      </c>
      <c r="N1505">
        <v>0</v>
      </c>
      <c r="O1505">
        <v>1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1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S1505">
        <v>0</v>
      </c>
      <c r="AT1505">
        <v>0</v>
      </c>
      <c r="AV1505">
        <v>0</v>
      </c>
      <c r="AW1505">
        <v>0</v>
      </c>
      <c r="AY1505">
        <v>0</v>
      </c>
      <c r="AZ1505">
        <v>0</v>
      </c>
      <c r="BA1505">
        <v>0</v>
      </c>
      <c r="BE1505" t="str">
        <f>T("9791137013551")</f>
        <v>9791137013551</v>
      </c>
      <c r="BF1505" t="str">
        <f>T("N195471")</f>
        <v>N195471</v>
      </c>
      <c r="BG1505" t="str">
        <f>T("판타지 웹소설 &gt; 퓨전 판타지")</f>
        <v>판타지 웹소설 &gt; 퓨전 판타지</v>
      </c>
    </row>
    <row r="1506" spans="1:59">
      <c r="A1506" t="s">
        <v>60</v>
      </c>
      <c r="B1506" s="1">
        <v>46130</v>
      </c>
      <c r="C1506">
        <v>2378044483</v>
      </c>
      <c r="D1506">
        <v>2378044496</v>
      </c>
      <c r="E1506" t="str">
        <f>T("내 눈에만 아공간이 보여 13화")</f>
        <v>내 눈에만 아공간이 보여 13화</v>
      </c>
      <c r="F1506">
        <v>14</v>
      </c>
      <c r="G1506" t="str">
        <f>T("지누아빠")</f>
        <v>지누아빠</v>
      </c>
      <c r="J1506" t="str">
        <f>T("매드햇")</f>
        <v>매드햇</v>
      </c>
      <c r="K1506" t="str">
        <f>T("내 눈에만 아공간이 보여")</f>
        <v>내 눈에만 아공간이 보여</v>
      </c>
      <c r="L1506">
        <v>0</v>
      </c>
      <c r="M1506">
        <v>0</v>
      </c>
      <c r="N1506">
        <v>0</v>
      </c>
      <c r="O1506">
        <v>1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1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S1506">
        <v>0</v>
      </c>
      <c r="AT1506">
        <v>0</v>
      </c>
      <c r="AV1506">
        <v>0</v>
      </c>
      <c r="AW1506">
        <v>0</v>
      </c>
      <c r="AY1506">
        <v>0</v>
      </c>
      <c r="AZ1506">
        <v>0</v>
      </c>
      <c r="BA1506">
        <v>0</v>
      </c>
      <c r="BE1506" t="str">
        <f>T("9791137013551")</f>
        <v>9791137013551</v>
      </c>
      <c r="BF1506" t="str">
        <f>T("N195472")</f>
        <v>N195472</v>
      </c>
      <c r="BG1506" t="str">
        <f>T("판타지 웹소설 &gt; 퓨전 판타지")</f>
        <v>판타지 웹소설 &gt; 퓨전 판타지</v>
      </c>
    </row>
    <row r="1507" spans="1:59">
      <c r="A1507" t="s">
        <v>60</v>
      </c>
      <c r="B1507" s="1">
        <v>46130</v>
      </c>
      <c r="C1507">
        <v>2378044483</v>
      </c>
      <c r="D1507">
        <v>2378044497</v>
      </c>
      <c r="E1507" t="str">
        <f>T("내 눈에만 아공간이 보여 14화")</f>
        <v>내 눈에만 아공간이 보여 14화</v>
      </c>
      <c r="F1507">
        <v>15</v>
      </c>
      <c r="G1507" t="str">
        <f>T("지누아빠")</f>
        <v>지누아빠</v>
      </c>
      <c r="J1507" t="str">
        <f>T("매드햇")</f>
        <v>매드햇</v>
      </c>
      <c r="K1507" t="str">
        <f>T("내 눈에만 아공간이 보여")</f>
        <v>내 눈에만 아공간이 보여</v>
      </c>
      <c r="L1507">
        <v>0</v>
      </c>
      <c r="M1507">
        <v>0</v>
      </c>
      <c r="N1507">
        <v>0</v>
      </c>
      <c r="O1507">
        <v>1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1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S1507">
        <v>0</v>
      </c>
      <c r="AT1507">
        <v>0</v>
      </c>
      <c r="AV1507">
        <v>0</v>
      </c>
      <c r="AW1507">
        <v>0</v>
      </c>
      <c r="AY1507">
        <v>0</v>
      </c>
      <c r="AZ1507">
        <v>0</v>
      </c>
      <c r="BA1507">
        <v>0</v>
      </c>
      <c r="BE1507" t="str">
        <f>T("9791137013551")</f>
        <v>9791137013551</v>
      </c>
      <c r="BF1507" t="str">
        <f>T("N195473")</f>
        <v>N195473</v>
      </c>
      <c r="BG1507" t="str">
        <f>T("판타지 웹소설 &gt; 퓨전 판타지")</f>
        <v>판타지 웹소설 &gt; 퓨전 판타지</v>
      </c>
    </row>
    <row r="1508" spans="1:59">
      <c r="A1508" t="s">
        <v>60</v>
      </c>
      <c r="B1508" s="1">
        <v>46130</v>
      </c>
      <c r="C1508">
        <v>2378044483</v>
      </c>
      <c r="D1508">
        <v>2378044498</v>
      </c>
      <c r="E1508" t="str">
        <f>T("내 눈에만 아공간이 보여 15화")</f>
        <v>내 눈에만 아공간이 보여 15화</v>
      </c>
      <c r="F1508">
        <v>16</v>
      </c>
      <c r="G1508" t="str">
        <f>T("지누아빠")</f>
        <v>지누아빠</v>
      </c>
      <c r="J1508" t="str">
        <f>T("매드햇")</f>
        <v>매드햇</v>
      </c>
      <c r="K1508" t="str">
        <f>T("내 눈에만 아공간이 보여")</f>
        <v>내 눈에만 아공간이 보여</v>
      </c>
      <c r="L1508">
        <v>0</v>
      </c>
      <c r="M1508">
        <v>0</v>
      </c>
      <c r="N1508">
        <v>0</v>
      </c>
      <c r="O1508">
        <v>1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1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S1508">
        <v>0</v>
      </c>
      <c r="AT1508">
        <v>0</v>
      </c>
      <c r="AV1508">
        <v>0</v>
      </c>
      <c r="AW1508">
        <v>0</v>
      </c>
      <c r="AY1508">
        <v>0</v>
      </c>
      <c r="AZ1508">
        <v>0</v>
      </c>
      <c r="BA1508">
        <v>0</v>
      </c>
      <c r="BE1508" t="str">
        <f>T("9791137013551")</f>
        <v>9791137013551</v>
      </c>
      <c r="BF1508" t="str">
        <f>T("N195474")</f>
        <v>N195474</v>
      </c>
      <c r="BG1508" t="str">
        <f>T("판타지 웹소설 &gt; 퓨전 판타지")</f>
        <v>판타지 웹소설 &gt; 퓨전 판타지</v>
      </c>
    </row>
    <row r="1509" spans="1:59">
      <c r="A1509" t="s">
        <v>60</v>
      </c>
      <c r="B1509" s="1">
        <v>46130</v>
      </c>
      <c r="C1509">
        <v>2378044483</v>
      </c>
      <c r="D1509">
        <v>2378044499</v>
      </c>
      <c r="E1509" t="str">
        <f>T("내 눈에만 아공간이 보여 16화")</f>
        <v>내 눈에만 아공간이 보여 16화</v>
      </c>
      <c r="F1509">
        <v>17</v>
      </c>
      <c r="G1509" t="str">
        <f>T("지누아빠")</f>
        <v>지누아빠</v>
      </c>
      <c r="J1509" t="str">
        <f>T("매드햇")</f>
        <v>매드햇</v>
      </c>
      <c r="K1509" t="str">
        <f>T("내 눈에만 아공간이 보여")</f>
        <v>내 눈에만 아공간이 보여</v>
      </c>
      <c r="L1509">
        <v>0</v>
      </c>
      <c r="M1509">
        <v>0</v>
      </c>
      <c r="N1509">
        <v>0</v>
      </c>
      <c r="O1509">
        <v>1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1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S1509">
        <v>0</v>
      </c>
      <c r="AT1509">
        <v>0</v>
      </c>
      <c r="AV1509">
        <v>0</v>
      </c>
      <c r="AW1509">
        <v>0</v>
      </c>
      <c r="AY1509">
        <v>0</v>
      </c>
      <c r="AZ1509">
        <v>0</v>
      </c>
      <c r="BA1509">
        <v>0</v>
      </c>
      <c r="BE1509" t="str">
        <f>T("9791137013551")</f>
        <v>9791137013551</v>
      </c>
      <c r="BF1509" t="str">
        <f>T("N195475")</f>
        <v>N195475</v>
      </c>
      <c r="BG1509" t="str">
        <f>T("판타지 웹소설 &gt; 퓨전 판타지")</f>
        <v>판타지 웹소설 &gt; 퓨전 판타지</v>
      </c>
    </row>
    <row r="1510" spans="1:59">
      <c r="A1510" t="s">
        <v>60</v>
      </c>
      <c r="B1510" s="1">
        <v>46130</v>
      </c>
      <c r="C1510">
        <v>2378044483</v>
      </c>
      <c r="D1510">
        <v>2378044500</v>
      </c>
      <c r="E1510" t="str">
        <f>T("내 눈에만 아공간이 보여 17화")</f>
        <v>내 눈에만 아공간이 보여 17화</v>
      </c>
      <c r="F1510">
        <v>18</v>
      </c>
      <c r="G1510" t="str">
        <f>T("지누아빠")</f>
        <v>지누아빠</v>
      </c>
      <c r="J1510" t="str">
        <f>T("매드햇")</f>
        <v>매드햇</v>
      </c>
      <c r="K1510" t="str">
        <f>T("내 눈에만 아공간이 보여")</f>
        <v>내 눈에만 아공간이 보여</v>
      </c>
      <c r="L1510">
        <v>0</v>
      </c>
      <c r="M1510">
        <v>0</v>
      </c>
      <c r="N1510">
        <v>0</v>
      </c>
      <c r="O1510">
        <v>1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1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S1510">
        <v>0</v>
      </c>
      <c r="AT1510">
        <v>0</v>
      </c>
      <c r="AV1510">
        <v>0</v>
      </c>
      <c r="AW1510">
        <v>0</v>
      </c>
      <c r="AY1510">
        <v>0</v>
      </c>
      <c r="AZ1510">
        <v>0</v>
      </c>
      <c r="BA1510">
        <v>0</v>
      </c>
      <c r="BE1510" t="str">
        <f>T("9791137013551")</f>
        <v>9791137013551</v>
      </c>
      <c r="BF1510" t="str">
        <f>T("N195476")</f>
        <v>N195476</v>
      </c>
      <c r="BG1510" t="str">
        <f>T("판타지 웹소설 &gt; 퓨전 판타지")</f>
        <v>판타지 웹소설 &gt; 퓨전 판타지</v>
      </c>
    </row>
    <row r="1511" spans="1:59">
      <c r="A1511" t="s">
        <v>60</v>
      </c>
      <c r="B1511" s="1">
        <v>46130</v>
      </c>
      <c r="C1511">
        <v>2378044483</v>
      </c>
      <c r="D1511">
        <v>2378044501</v>
      </c>
      <c r="E1511" t="str">
        <f>T("내 눈에만 아공간이 보여 18화")</f>
        <v>내 눈에만 아공간이 보여 18화</v>
      </c>
      <c r="F1511">
        <v>19</v>
      </c>
      <c r="G1511" t="str">
        <f>T("지누아빠")</f>
        <v>지누아빠</v>
      </c>
      <c r="J1511" t="str">
        <f>T("매드햇")</f>
        <v>매드햇</v>
      </c>
      <c r="K1511" t="str">
        <f>T("내 눈에만 아공간이 보여")</f>
        <v>내 눈에만 아공간이 보여</v>
      </c>
      <c r="L1511">
        <v>0</v>
      </c>
      <c r="M1511">
        <v>0</v>
      </c>
      <c r="N1511">
        <v>0</v>
      </c>
      <c r="O1511">
        <v>1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1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S1511">
        <v>0</v>
      </c>
      <c r="AT1511">
        <v>0</v>
      </c>
      <c r="AV1511">
        <v>0</v>
      </c>
      <c r="AW1511">
        <v>0</v>
      </c>
      <c r="AY1511">
        <v>0</v>
      </c>
      <c r="AZ1511">
        <v>0</v>
      </c>
      <c r="BA1511">
        <v>0</v>
      </c>
      <c r="BE1511" t="str">
        <f>T("9791137013551")</f>
        <v>9791137013551</v>
      </c>
      <c r="BF1511" t="str">
        <f>T("N195477")</f>
        <v>N195477</v>
      </c>
      <c r="BG1511" t="str">
        <f>T("판타지 웹소설 &gt; 퓨전 판타지")</f>
        <v>판타지 웹소설 &gt; 퓨전 판타지</v>
      </c>
    </row>
    <row r="1512" spans="1:59">
      <c r="A1512" t="s">
        <v>60</v>
      </c>
      <c r="B1512" s="1">
        <v>46130</v>
      </c>
      <c r="C1512">
        <v>2378044483</v>
      </c>
      <c r="D1512">
        <v>2378044502</v>
      </c>
      <c r="E1512" t="str">
        <f>T("내 눈에만 아공간이 보여 19화")</f>
        <v>내 눈에만 아공간이 보여 19화</v>
      </c>
      <c r="F1512">
        <v>20</v>
      </c>
      <c r="G1512" t="str">
        <f>T("지누아빠")</f>
        <v>지누아빠</v>
      </c>
      <c r="J1512" t="str">
        <f>T("매드햇")</f>
        <v>매드햇</v>
      </c>
      <c r="K1512" t="str">
        <f>T("내 눈에만 아공간이 보여")</f>
        <v>내 눈에만 아공간이 보여</v>
      </c>
      <c r="L1512">
        <v>0</v>
      </c>
      <c r="M1512">
        <v>0</v>
      </c>
      <c r="N1512">
        <v>0</v>
      </c>
      <c r="O1512">
        <v>1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1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S1512">
        <v>0</v>
      </c>
      <c r="AT1512">
        <v>0</v>
      </c>
      <c r="AV1512">
        <v>0</v>
      </c>
      <c r="AW1512">
        <v>0</v>
      </c>
      <c r="AY1512">
        <v>0</v>
      </c>
      <c r="AZ1512">
        <v>0</v>
      </c>
      <c r="BA1512">
        <v>0</v>
      </c>
      <c r="BE1512" t="str">
        <f>T("9791137013551")</f>
        <v>9791137013551</v>
      </c>
      <c r="BF1512" t="str">
        <f>T("N195478")</f>
        <v>N195478</v>
      </c>
      <c r="BG1512" t="str">
        <f>T("판타지 웹소설 &gt; 퓨전 판타지")</f>
        <v>판타지 웹소설 &gt; 퓨전 판타지</v>
      </c>
    </row>
    <row r="1513" spans="1:59">
      <c r="A1513" t="s">
        <v>60</v>
      </c>
      <c r="B1513" s="1">
        <v>46130</v>
      </c>
      <c r="C1513">
        <v>2378044483</v>
      </c>
      <c r="D1513">
        <v>2378044503</v>
      </c>
      <c r="E1513" t="str">
        <f>T("내 눈에만 아공간이 보여 20화")</f>
        <v>내 눈에만 아공간이 보여 20화</v>
      </c>
      <c r="F1513">
        <v>21</v>
      </c>
      <c r="G1513" t="str">
        <f>T("지누아빠")</f>
        <v>지누아빠</v>
      </c>
      <c r="J1513" t="str">
        <f>T("매드햇")</f>
        <v>매드햇</v>
      </c>
      <c r="K1513" t="str">
        <f>T("내 눈에만 아공간이 보여")</f>
        <v>내 눈에만 아공간이 보여</v>
      </c>
      <c r="L1513">
        <v>0</v>
      </c>
      <c r="M1513">
        <v>0</v>
      </c>
      <c r="N1513">
        <v>0</v>
      </c>
      <c r="O1513">
        <v>1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1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S1513">
        <v>0</v>
      </c>
      <c r="AT1513">
        <v>0</v>
      </c>
      <c r="AV1513">
        <v>0</v>
      </c>
      <c r="AW1513">
        <v>0</v>
      </c>
      <c r="AY1513">
        <v>0</v>
      </c>
      <c r="AZ1513">
        <v>0</v>
      </c>
      <c r="BA1513">
        <v>0</v>
      </c>
      <c r="BE1513" t="str">
        <f>T("9791137013551")</f>
        <v>9791137013551</v>
      </c>
      <c r="BF1513" t="str">
        <f>T("N195479")</f>
        <v>N195479</v>
      </c>
      <c r="BG1513" t="str">
        <f>T("판타지 웹소설 &gt; 퓨전 판타지")</f>
        <v>판타지 웹소설 &gt; 퓨전 판타지</v>
      </c>
    </row>
    <row r="1514" spans="1:59">
      <c r="A1514" t="s">
        <v>60</v>
      </c>
      <c r="B1514" s="1">
        <v>46130</v>
      </c>
      <c r="C1514">
        <v>2378044483</v>
      </c>
      <c r="D1514">
        <v>2378044504</v>
      </c>
      <c r="E1514" t="str">
        <f>T("내 눈에만 아공간이 보여 21화")</f>
        <v>내 눈에만 아공간이 보여 21화</v>
      </c>
      <c r="F1514">
        <v>22</v>
      </c>
      <c r="G1514" t="str">
        <f>T("지누아빠")</f>
        <v>지누아빠</v>
      </c>
      <c r="J1514" t="str">
        <f>T("매드햇")</f>
        <v>매드햇</v>
      </c>
      <c r="K1514" t="str">
        <f>T("내 눈에만 아공간이 보여")</f>
        <v>내 눈에만 아공간이 보여</v>
      </c>
      <c r="L1514">
        <v>0</v>
      </c>
      <c r="M1514">
        <v>0</v>
      </c>
      <c r="N1514">
        <v>0</v>
      </c>
      <c r="O1514">
        <v>1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1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S1514">
        <v>0</v>
      </c>
      <c r="AT1514">
        <v>0</v>
      </c>
      <c r="AV1514">
        <v>0</v>
      </c>
      <c r="AW1514">
        <v>0</v>
      </c>
      <c r="AY1514">
        <v>0</v>
      </c>
      <c r="AZ1514">
        <v>0</v>
      </c>
      <c r="BA1514">
        <v>0</v>
      </c>
      <c r="BE1514" t="str">
        <f>T("9791137013551")</f>
        <v>9791137013551</v>
      </c>
      <c r="BF1514" t="str">
        <f>T("N195480")</f>
        <v>N195480</v>
      </c>
      <c r="BG1514" t="str">
        <f>T("판타지 웹소설 &gt; 퓨전 판타지")</f>
        <v>판타지 웹소설 &gt; 퓨전 판타지</v>
      </c>
    </row>
    <row r="1515" spans="1:59">
      <c r="A1515" t="s">
        <v>60</v>
      </c>
      <c r="B1515" s="1">
        <v>46130</v>
      </c>
      <c r="C1515">
        <v>2378044483</v>
      </c>
      <c r="D1515">
        <v>2378044505</v>
      </c>
      <c r="E1515" t="str">
        <f>T("내 눈에만 아공간이 보여 22화")</f>
        <v>내 눈에만 아공간이 보여 22화</v>
      </c>
      <c r="F1515">
        <v>23</v>
      </c>
      <c r="G1515" t="str">
        <f>T("지누아빠")</f>
        <v>지누아빠</v>
      </c>
      <c r="J1515" t="str">
        <f>T("매드햇")</f>
        <v>매드햇</v>
      </c>
      <c r="K1515" t="str">
        <f>T("내 눈에만 아공간이 보여")</f>
        <v>내 눈에만 아공간이 보여</v>
      </c>
      <c r="L1515">
        <v>0</v>
      </c>
      <c r="M1515">
        <v>0</v>
      </c>
      <c r="N1515">
        <v>0</v>
      </c>
      <c r="O1515">
        <v>1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1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S1515">
        <v>0</v>
      </c>
      <c r="AT1515">
        <v>0</v>
      </c>
      <c r="AV1515">
        <v>0</v>
      </c>
      <c r="AW1515">
        <v>0</v>
      </c>
      <c r="AY1515">
        <v>0</v>
      </c>
      <c r="AZ1515">
        <v>0</v>
      </c>
      <c r="BA1515">
        <v>0</v>
      </c>
      <c r="BE1515" t="str">
        <f>T("9791137013551")</f>
        <v>9791137013551</v>
      </c>
      <c r="BF1515" t="str">
        <f>T("N195481")</f>
        <v>N195481</v>
      </c>
      <c r="BG1515" t="str">
        <f>T("판타지 웹소설 &gt; 퓨전 판타지")</f>
        <v>판타지 웹소설 &gt; 퓨전 판타지</v>
      </c>
    </row>
    <row r="1516" spans="1:59">
      <c r="A1516" t="s">
        <v>60</v>
      </c>
      <c r="B1516" s="1">
        <v>46130</v>
      </c>
      <c r="C1516">
        <v>2378044483</v>
      </c>
      <c r="D1516">
        <v>2378044506</v>
      </c>
      <c r="E1516" t="str">
        <f>T("내 눈에만 아공간이 보여 23화")</f>
        <v>내 눈에만 아공간이 보여 23화</v>
      </c>
      <c r="F1516">
        <v>24</v>
      </c>
      <c r="G1516" t="str">
        <f>T("지누아빠")</f>
        <v>지누아빠</v>
      </c>
      <c r="J1516" t="str">
        <f>T("매드햇")</f>
        <v>매드햇</v>
      </c>
      <c r="K1516" t="str">
        <f>T("내 눈에만 아공간이 보여")</f>
        <v>내 눈에만 아공간이 보여</v>
      </c>
      <c r="L1516">
        <v>0</v>
      </c>
      <c r="M1516">
        <v>0</v>
      </c>
      <c r="N1516">
        <v>0</v>
      </c>
      <c r="O1516">
        <v>1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1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S1516">
        <v>0</v>
      </c>
      <c r="AT1516">
        <v>0</v>
      </c>
      <c r="AV1516">
        <v>0</v>
      </c>
      <c r="AW1516">
        <v>0</v>
      </c>
      <c r="AY1516">
        <v>0</v>
      </c>
      <c r="AZ1516">
        <v>0</v>
      </c>
      <c r="BA1516">
        <v>0</v>
      </c>
      <c r="BE1516" t="str">
        <f>T("9791137013551")</f>
        <v>9791137013551</v>
      </c>
      <c r="BF1516" t="str">
        <f>T("N195482")</f>
        <v>N195482</v>
      </c>
      <c r="BG1516" t="str">
        <f>T("판타지 웹소설 &gt; 퓨전 판타지")</f>
        <v>판타지 웹소설 &gt; 퓨전 판타지</v>
      </c>
    </row>
    <row r="1517" spans="1:59">
      <c r="A1517" t="s">
        <v>60</v>
      </c>
      <c r="B1517" s="1">
        <v>46130</v>
      </c>
      <c r="C1517">
        <v>2378044483</v>
      </c>
      <c r="D1517">
        <v>2378044507</v>
      </c>
      <c r="E1517" t="str">
        <f>T("내 눈에만 아공간이 보여 24화")</f>
        <v>내 눈에만 아공간이 보여 24화</v>
      </c>
      <c r="F1517">
        <v>25</v>
      </c>
      <c r="G1517" t="str">
        <f>T("지누아빠")</f>
        <v>지누아빠</v>
      </c>
      <c r="J1517" t="str">
        <f>T("매드햇")</f>
        <v>매드햇</v>
      </c>
      <c r="K1517" t="str">
        <f>T("내 눈에만 아공간이 보여")</f>
        <v>내 눈에만 아공간이 보여</v>
      </c>
      <c r="L1517">
        <v>0</v>
      </c>
      <c r="M1517">
        <v>0</v>
      </c>
      <c r="N1517">
        <v>0</v>
      </c>
      <c r="O1517">
        <v>1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1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S1517">
        <v>0</v>
      </c>
      <c r="AT1517">
        <v>0</v>
      </c>
      <c r="AV1517">
        <v>0</v>
      </c>
      <c r="AW1517">
        <v>0</v>
      </c>
      <c r="AY1517">
        <v>0</v>
      </c>
      <c r="AZ1517">
        <v>0</v>
      </c>
      <c r="BA1517">
        <v>0</v>
      </c>
      <c r="BE1517" t="str">
        <f>T("9791137013551")</f>
        <v>9791137013551</v>
      </c>
      <c r="BF1517" t="str">
        <f>T("N195483")</f>
        <v>N195483</v>
      </c>
      <c r="BG1517" t="str">
        <f>T("판타지 웹소설 &gt; 퓨전 판타지")</f>
        <v>판타지 웹소설 &gt; 퓨전 판타지</v>
      </c>
    </row>
    <row r="1518" spans="1:59">
      <c r="A1518" t="s">
        <v>60</v>
      </c>
      <c r="B1518" s="1">
        <v>46130</v>
      </c>
      <c r="C1518">
        <v>2378044483</v>
      </c>
      <c r="D1518">
        <v>2378044508</v>
      </c>
      <c r="E1518" t="str">
        <f>T("내 눈에만 아공간이 보여 25화")</f>
        <v>내 눈에만 아공간이 보여 25화</v>
      </c>
      <c r="F1518">
        <v>26</v>
      </c>
      <c r="G1518" t="str">
        <f>T("지누아빠")</f>
        <v>지누아빠</v>
      </c>
      <c r="J1518" t="str">
        <f>T("매드햇")</f>
        <v>매드햇</v>
      </c>
      <c r="K1518" t="str">
        <f>T("내 눈에만 아공간이 보여")</f>
        <v>내 눈에만 아공간이 보여</v>
      </c>
      <c r="L1518">
        <v>100</v>
      </c>
      <c r="M1518">
        <v>100</v>
      </c>
      <c r="N1518">
        <v>1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100</v>
      </c>
      <c r="AJ1518">
        <v>1</v>
      </c>
      <c r="AK1518">
        <v>0</v>
      </c>
      <c r="AL1518">
        <v>0</v>
      </c>
      <c r="AM1518">
        <v>100</v>
      </c>
      <c r="AN1518">
        <v>0</v>
      </c>
      <c r="AO1518">
        <v>0</v>
      </c>
      <c r="AP1518">
        <v>0</v>
      </c>
      <c r="AQ1518">
        <v>0</v>
      </c>
      <c r="AS1518">
        <v>0</v>
      </c>
      <c r="AT1518">
        <v>0</v>
      </c>
      <c r="AV1518">
        <v>0</v>
      </c>
      <c r="AW1518">
        <v>0</v>
      </c>
      <c r="AY1518">
        <v>0</v>
      </c>
      <c r="AZ1518">
        <v>0</v>
      </c>
      <c r="BA1518">
        <v>70</v>
      </c>
      <c r="BE1518" t="str">
        <f>T("9791137013551")</f>
        <v>9791137013551</v>
      </c>
      <c r="BF1518" t="str">
        <f>T("N195484")</f>
        <v>N195484</v>
      </c>
      <c r="BG1518" t="str">
        <f>T("판타지 웹소설 &gt; 퓨전 판타지")</f>
        <v>판타지 웹소설 &gt; 퓨전 판타지</v>
      </c>
    </row>
    <row r="1519" spans="1:59">
      <c r="A1519" t="s">
        <v>60</v>
      </c>
      <c r="B1519" s="1">
        <v>46130</v>
      </c>
      <c r="C1519">
        <v>2378044483</v>
      </c>
      <c r="D1519">
        <v>2378044509</v>
      </c>
      <c r="E1519" t="str">
        <f>T("내 눈에만 아공간이 보여 26화")</f>
        <v>내 눈에만 아공간이 보여 26화</v>
      </c>
      <c r="F1519">
        <v>27</v>
      </c>
      <c r="G1519" t="str">
        <f>T("지누아빠")</f>
        <v>지누아빠</v>
      </c>
      <c r="J1519" t="str">
        <f>T("매드햇")</f>
        <v>매드햇</v>
      </c>
      <c r="K1519" t="str">
        <f>T("내 눈에만 아공간이 보여")</f>
        <v>내 눈에만 아공간이 보여</v>
      </c>
      <c r="L1519">
        <v>100</v>
      </c>
      <c r="M1519">
        <v>100</v>
      </c>
      <c r="N1519">
        <v>1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100</v>
      </c>
      <c r="AJ1519">
        <v>1</v>
      </c>
      <c r="AK1519">
        <v>0</v>
      </c>
      <c r="AL1519">
        <v>0</v>
      </c>
      <c r="AM1519">
        <v>100</v>
      </c>
      <c r="AN1519">
        <v>0</v>
      </c>
      <c r="AO1519">
        <v>0</v>
      </c>
      <c r="AP1519">
        <v>0</v>
      </c>
      <c r="AQ1519">
        <v>0</v>
      </c>
      <c r="AS1519">
        <v>0</v>
      </c>
      <c r="AT1519">
        <v>0</v>
      </c>
      <c r="AV1519">
        <v>0</v>
      </c>
      <c r="AW1519">
        <v>0</v>
      </c>
      <c r="AY1519">
        <v>0</v>
      </c>
      <c r="AZ1519">
        <v>0</v>
      </c>
      <c r="BA1519">
        <v>70</v>
      </c>
      <c r="BE1519" t="str">
        <f>T("9791137013551")</f>
        <v>9791137013551</v>
      </c>
      <c r="BF1519" t="str">
        <f>T("N195485")</f>
        <v>N195485</v>
      </c>
      <c r="BG1519" t="str">
        <f>T("판타지 웹소설 &gt; 퓨전 판타지")</f>
        <v>판타지 웹소설 &gt; 퓨전 판타지</v>
      </c>
    </row>
    <row r="1520" spans="1:59">
      <c r="A1520" t="s">
        <v>60</v>
      </c>
      <c r="B1520" s="1">
        <v>46130</v>
      </c>
      <c r="C1520">
        <v>2378044483</v>
      </c>
      <c r="D1520">
        <v>2378044510</v>
      </c>
      <c r="E1520" t="str">
        <f>T("내 눈에만 아공간이 보여 27화")</f>
        <v>내 눈에만 아공간이 보여 27화</v>
      </c>
      <c r="F1520">
        <v>28</v>
      </c>
      <c r="G1520" t="str">
        <f>T("지누아빠")</f>
        <v>지누아빠</v>
      </c>
      <c r="J1520" t="str">
        <f>T("매드햇")</f>
        <v>매드햇</v>
      </c>
      <c r="K1520" t="str">
        <f>T("내 눈에만 아공간이 보여")</f>
        <v>내 눈에만 아공간이 보여</v>
      </c>
      <c r="L1520">
        <v>100</v>
      </c>
      <c r="M1520">
        <v>100</v>
      </c>
      <c r="N1520">
        <v>1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100</v>
      </c>
      <c r="AJ1520">
        <v>1</v>
      </c>
      <c r="AK1520">
        <v>0</v>
      </c>
      <c r="AL1520">
        <v>0</v>
      </c>
      <c r="AM1520">
        <v>100</v>
      </c>
      <c r="AN1520">
        <v>0</v>
      </c>
      <c r="AO1520">
        <v>0</v>
      </c>
      <c r="AP1520">
        <v>0</v>
      </c>
      <c r="AQ1520">
        <v>0</v>
      </c>
      <c r="AS1520">
        <v>0</v>
      </c>
      <c r="AT1520">
        <v>0</v>
      </c>
      <c r="AV1520">
        <v>0</v>
      </c>
      <c r="AW1520">
        <v>0</v>
      </c>
      <c r="AY1520">
        <v>0</v>
      </c>
      <c r="AZ1520">
        <v>0</v>
      </c>
      <c r="BA1520">
        <v>70</v>
      </c>
      <c r="BE1520" t="str">
        <f>T("9791137013551")</f>
        <v>9791137013551</v>
      </c>
      <c r="BF1520" t="str">
        <f>T("N195486")</f>
        <v>N195486</v>
      </c>
      <c r="BG1520" t="str">
        <f>T("판타지 웹소설 &gt; 퓨전 판타지")</f>
        <v>판타지 웹소설 &gt; 퓨전 판타지</v>
      </c>
    </row>
    <row r="1521" spans="1:59">
      <c r="A1521" t="s">
        <v>60</v>
      </c>
      <c r="B1521" s="1">
        <v>46130</v>
      </c>
      <c r="C1521">
        <v>2378044483</v>
      </c>
      <c r="D1521">
        <v>2378044511</v>
      </c>
      <c r="E1521" t="str">
        <f>T("내 눈에만 아공간이 보여 28화")</f>
        <v>내 눈에만 아공간이 보여 28화</v>
      </c>
      <c r="F1521">
        <v>29</v>
      </c>
      <c r="G1521" t="str">
        <f>T("지누아빠")</f>
        <v>지누아빠</v>
      </c>
      <c r="J1521" t="str">
        <f>T("매드햇")</f>
        <v>매드햇</v>
      </c>
      <c r="K1521" t="str">
        <f>T("내 눈에만 아공간이 보여")</f>
        <v>내 눈에만 아공간이 보여</v>
      </c>
      <c r="L1521">
        <v>100</v>
      </c>
      <c r="M1521">
        <v>100</v>
      </c>
      <c r="N1521">
        <v>1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100</v>
      </c>
      <c r="AJ1521">
        <v>1</v>
      </c>
      <c r="AK1521">
        <v>0</v>
      </c>
      <c r="AL1521">
        <v>0</v>
      </c>
      <c r="AM1521">
        <v>100</v>
      </c>
      <c r="AN1521">
        <v>0</v>
      </c>
      <c r="AO1521">
        <v>0</v>
      </c>
      <c r="AP1521">
        <v>0</v>
      </c>
      <c r="AQ1521">
        <v>0</v>
      </c>
      <c r="AS1521">
        <v>0</v>
      </c>
      <c r="AT1521">
        <v>0</v>
      </c>
      <c r="AV1521">
        <v>0</v>
      </c>
      <c r="AW1521">
        <v>0</v>
      </c>
      <c r="AY1521">
        <v>0</v>
      </c>
      <c r="AZ1521">
        <v>0</v>
      </c>
      <c r="BA1521">
        <v>70</v>
      </c>
      <c r="BE1521" t="str">
        <f>T("9791137013551")</f>
        <v>9791137013551</v>
      </c>
      <c r="BF1521" t="str">
        <f>T("N195487")</f>
        <v>N195487</v>
      </c>
      <c r="BG1521" t="str">
        <f>T("판타지 웹소설 &gt; 퓨전 판타지")</f>
        <v>판타지 웹소설 &gt; 퓨전 판타지</v>
      </c>
    </row>
    <row r="1522" spans="1:59">
      <c r="A1522" t="s">
        <v>60</v>
      </c>
      <c r="B1522" s="1">
        <v>46130</v>
      </c>
      <c r="C1522">
        <v>2378044483</v>
      </c>
      <c r="D1522">
        <v>2378044512</v>
      </c>
      <c r="E1522" t="str">
        <f>T("내 눈에만 아공간이 보여 29화")</f>
        <v>내 눈에만 아공간이 보여 29화</v>
      </c>
      <c r="F1522">
        <v>30</v>
      </c>
      <c r="G1522" t="str">
        <f>T("지누아빠")</f>
        <v>지누아빠</v>
      </c>
      <c r="J1522" t="str">
        <f>T("매드햇")</f>
        <v>매드햇</v>
      </c>
      <c r="K1522" t="str">
        <f>T("내 눈에만 아공간이 보여")</f>
        <v>내 눈에만 아공간이 보여</v>
      </c>
      <c r="L1522">
        <v>100</v>
      </c>
      <c r="M1522">
        <v>100</v>
      </c>
      <c r="N1522">
        <v>1</v>
      </c>
      <c r="O1522">
        <v>0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100</v>
      </c>
      <c r="AJ1522">
        <v>1</v>
      </c>
      <c r="AK1522">
        <v>0</v>
      </c>
      <c r="AL1522">
        <v>0</v>
      </c>
      <c r="AM1522">
        <v>100</v>
      </c>
      <c r="AN1522">
        <v>0</v>
      </c>
      <c r="AO1522">
        <v>0</v>
      </c>
      <c r="AP1522">
        <v>0</v>
      </c>
      <c r="AQ1522">
        <v>0</v>
      </c>
      <c r="AS1522">
        <v>0</v>
      </c>
      <c r="AT1522">
        <v>0</v>
      </c>
      <c r="AV1522">
        <v>0</v>
      </c>
      <c r="AW1522">
        <v>0</v>
      </c>
      <c r="AY1522">
        <v>0</v>
      </c>
      <c r="AZ1522">
        <v>0</v>
      </c>
      <c r="BA1522">
        <v>70</v>
      </c>
      <c r="BE1522" t="str">
        <f>T("9791137013551")</f>
        <v>9791137013551</v>
      </c>
      <c r="BF1522" t="str">
        <f>T("N195488")</f>
        <v>N195488</v>
      </c>
      <c r="BG1522" t="str">
        <f>T("판타지 웹소설 &gt; 퓨전 판타지")</f>
        <v>판타지 웹소설 &gt; 퓨전 판타지</v>
      </c>
    </row>
    <row r="1523" spans="1:59">
      <c r="A1523" t="s">
        <v>60</v>
      </c>
      <c r="B1523" s="1">
        <v>46130</v>
      </c>
      <c r="C1523">
        <v>2378044483</v>
      </c>
      <c r="D1523">
        <v>2378044513</v>
      </c>
      <c r="E1523" t="str">
        <f>T("내 눈에만 아공간이 보여 30화")</f>
        <v>내 눈에만 아공간이 보여 30화</v>
      </c>
      <c r="F1523">
        <v>31</v>
      </c>
      <c r="G1523" t="str">
        <f>T("지누아빠")</f>
        <v>지누아빠</v>
      </c>
      <c r="J1523" t="str">
        <f>T("매드햇")</f>
        <v>매드햇</v>
      </c>
      <c r="K1523" t="str">
        <f>T("내 눈에만 아공간이 보여")</f>
        <v>내 눈에만 아공간이 보여</v>
      </c>
      <c r="L1523">
        <v>100</v>
      </c>
      <c r="M1523">
        <v>100</v>
      </c>
      <c r="N1523">
        <v>1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100</v>
      </c>
      <c r="AJ1523">
        <v>1</v>
      </c>
      <c r="AK1523">
        <v>0</v>
      </c>
      <c r="AL1523">
        <v>0</v>
      </c>
      <c r="AM1523">
        <v>100</v>
      </c>
      <c r="AN1523">
        <v>0</v>
      </c>
      <c r="AO1523">
        <v>0</v>
      </c>
      <c r="AP1523">
        <v>0</v>
      </c>
      <c r="AQ1523">
        <v>0</v>
      </c>
      <c r="AS1523">
        <v>0</v>
      </c>
      <c r="AT1523">
        <v>0</v>
      </c>
      <c r="AV1523">
        <v>0</v>
      </c>
      <c r="AW1523">
        <v>0</v>
      </c>
      <c r="AY1523">
        <v>0</v>
      </c>
      <c r="AZ1523">
        <v>0</v>
      </c>
      <c r="BA1523">
        <v>70</v>
      </c>
      <c r="BE1523" t="str">
        <f>T("9791137013551")</f>
        <v>9791137013551</v>
      </c>
      <c r="BF1523" t="str">
        <f>T("N195489")</f>
        <v>N195489</v>
      </c>
      <c r="BG1523" t="str">
        <f>T("판타지 웹소설 &gt; 퓨전 판타지")</f>
        <v>판타지 웹소설 &gt; 퓨전 판타지</v>
      </c>
    </row>
    <row r="1524" spans="1:59">
      <c r="A1524" t="s">
        <v>60</v>
      </c>
      <c r="B1524" s="1">
        <v>46130</v>
      </c>
      <c r="C1524">
        <v>2378044483</v>
      </c>
      <c r="D1524">
        <v>2378044514</v>
      </c>
      <c r="E1524" t="str">
        <f>T("내 눈에만 아공간이 보여 31화")</f>
        <v>내 눈에만 아공간이 보여 31화</v>
      </c>
      <c r="F1524">
        <v>32</v>
      </c>
      <c r="G1524" t="str">
        <f>T("지누아빠")</f>
        <v>지누아빠</v>
      </c>
      <c r="J1524" t="str">
        <f>T("매드햇")</f>
        <v>매드햇</v>
      </c>
      <c r="K1524" t="str">
        <f>T("내 눈에만 아공간이 보여")</f>
        <v>내 눈에만 아공간이 보여</v>
      </c>
      <c r="L1524">
        <v>100</v>
      </c>
      <c r="M1524">
        <v>100</v>
      </c>
      <c r="N1524">
        <v>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100</v>
      </c>
      <c r="AJ1524">
        <v>1</v>
      </c>
      <c r="AK1524">
        <v>0</v>
      </c>
      <c r="AL1524">
        <v>0</v>
      </c>
      <c r="AM1524">
        <v>100</v>
      </c>
      <c r="AN1524">
        <v>0</v>
      </c>
      <c r="AO1524">
        <v>0</v>
      </c>
      <c r="AP1524">
        <v>0</v>
      </c>
      <c r="AQ1524">
        <v>0</v>
      </c>
      <c r="AS1524">
        <v>0</v>
      </c>
      <c r="AT1524">
        <v>0</v>
      </c>
      <c r="AV1524">
        <v>0</v>
      </c>
      <c r="AW1524">
        <v>0</v>
      </c>
      <c r="AY1524">
        <v>0</v>
      </c>
      <c r="AZ1524">
        <v>0</v>
      </c>
      <c r="BA1524">
        <v>70</v>
      </c>
      <c r="BE1524" t="str">
        <f>T("9791137013551")</f>
        <v>9791137013551</v>
      </c>
      <c r="BF1524" t="str">
        <f>T("N195490")</f>
        <v>N195490</v>
      </c>
      <c r="BG1524" t="str">
        <f>T("판타지 웹소설 &gt; 퓨전 판타지")</f>
        <v>판타지 웹소설 &gt; 퓨전 판타지</v>
      </c>
    </row>
    <row r="1525" spans="1:59">
      <c r="A1525" t="s">
        <v>60</v>
      </c>
      <c r="B1525" s="1">
        <v>46130</v>
      </c>
      <c r="C1525">
        <v>2378044483</v>
      </c>
      <c r="D1525">
        <v>2378044515</v>
      </c>
      <c r="E1525" t="str">
        <f>T("내 눈에만 아공간이 보여 32화")</f>
        <v>내 눈에만 아공간이 보여 32화</v>
      </c>
      <c r="F1525">
        <v>33</v>
      </c>
      <c r="G1525" t="str">
        <f>T("지누아빠")</f>
        <v>지누아빠</v>
      </c>
      <c r="J1525" t="str">
        <f>T("매드햇")</f>
        <v>매드햇</v>
      </c>
      <c r="K1525" t="str">
        <f>T("내 눈에만 아공간이 보여")</f>
        <v>내 눈에만 아공간이 보여</v>
      </c>
      <c r="L1525">
        <v>100</v>
      </c>
      <c r="M1525">
        <v>100</v>
      </c>
      <c r="N1525">
        <v>1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100</v>
      </c>
      <c r="AJ1525">
        <v>1</v>
      </c>
      <c r="AK1525">
        <v>0</v>
      </c>
      <c r="AL1525">
        <v>0</v>
      </c>
      <c r="AM1525">
        <v>100</v>
      </c>
      <c r="AN1525">
        <v>0</v>
      </c>
      <c r="AO1525">
        <v>0</v>
      </c>
      <c r="AP1525">
        <v>0</v>
      </c>
      <c r="AQ1525">
        <v>0</v>
      </c>
      <c r="AS1525">
        <v>0</v>
      </c>
      <c r="AT1525">
        <v>0</v>
      </c>
      <c r="AV1525">
        <v>0</v>
      </c>
      <c r="AW1525">
        <v>0</v>
      </c>
      <c r="AY1525">
        <v>0</v>
      </c>
      <c r="AZ1525">
        <v>0</v>
      </c>
      <c r="BA1525">
        <v>70</v>
      </c>
      <c r="BE1525" t="str">
        <f>T("9791137013551")</f>
        <v>9791137013551</v>
      </c>
      <c r="BF1525" t="str">
        <f>T("N195491")</f>
        <v>N195491</v>
      </c>
      <c r="BG1525" t="str">
        <f>T("판타지 웹소설 &gt; 퓨전 판타지")</f>
        <v>판타지 웹소설 &gt; 퓨전 판타지</v>
      </c>
    </row>
    <row r="1526" spans="1:59">
      <c r="A1526" t="s">
        <v>60</v>
      </c>
      <c r="B1526" s="1">
        <v>46130</v>
      </c>
      <c r="C1526">
        <v>2378044483</v>
      </c>
      <c r="D1526">
        <v>2378044516</v>
      </c>
      <c r="E1526" t="str">
        <f>T("내 눈에만 아공간이 보여 33화")</f>
        <v>내 눈에만 아공간이 보여 33화</v>
      </c>
      <c r="F1526">
        <v>34</v>
      </c>
      <c r="G1526" t="str">
        <f>T("지누아빠")</f>
        <v>지누아빠</v>
      </c>
      <c r="J1526" t="str">
        <f>T("매드햇")</f>
        <v>매드햇</v>
      </c>
      <c r="K1526" t="str">
        <f>T("내 눈에만 아공간이 보여")</f>
        <v>내 눈에만 아공간이 보여</v>
      </c>
      <c r="L1526">
        <v>100</v>
      </c>
      <c r="M1526">
        <v>100</v>
      </c>
      <c r="N1526">
        <v>1</v>
      </c>
      <c r="O1526">
        <v>0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100</v>
      </c>
      <c r="AJ1526">
        <v>1</v>
      </c>
      <c r="AK1526">
        <v>0</v>
      </c>
      <c r="AL1526">
        <v>0</v>
      </c>
      <c r="AM1526">
        <v>100</v>
      </c>
      <c r="AN1526">
        <v>0</v>
      </c>
      <c r="AO1526">
        <v>0</v>
      </c>
      <c r="AP1526">
        <v>0</v>
      </c>
      <c r="AQ1526">
        <v>0</v>
      </c>
      <c r="AS1526">
        <v>0</v>
      </c>
      <c r="AT1526">
        <v>0</v>
      </c>
      <c r="AV1526">
        <v>0</v>
      </c>
      <c r="AW1526">
        <v>0</v>
      </c>
      <c r="AY1526">
        <v>0</v>
      </c>
      <c r="AZ1526">
        <v>0</v>
      </c>
      <c r="BA1526">
        <v>70</v>
      </c>
      <c r="BE1526" t="str">
        <f>T("9791137013551")</f>
        <v>9791137013551</v>
      </c>
      <c r="BF1526" t="str">
        <f>T("N195492")</f>
        <v>N195492</v>
      </c>
      <c r="BG1526" t="str">
        <f>T("판타지 웹소설 &gt; 퓨전 판타지")</f>
        <v>판타지 웹소설 &gt; 퓨전 판타지</v>
      </c>
    </row>
    <row r="1527" spans="1:59">
      <c r="A1527" t="s">
        <v>60</v>
      </c>
      <c r="B1527" s="1">
        <v>46130</v>
      </c>
      <c r="C1527">
        <v>2378044483</v>
      </c>
      <c r="D1527">
        <v>2378044517</v>
      </c>
      <c r="E1527" t="str">
        <f>T("내 눈에만 아공간이 보여 34화")</f>
        <v>내 눈에만 아공간이 보여 34화</v>
      </c>
      <c r="F1527">
        <v>35</v>
      </c>
      <c r="G1527" t="str">
        <f>T("지누아빠")</f>
        <v>지누아빠</v>
      </c>
      <c r="J1527" t="str">
        <f>T("매드햇")</f>
        <v>매드햇</v>
      </c>
      <c r="K1527" t="str">
        <f>T("내 눈에만 아공간이 보여")</f>
        <v>내 눈에만 아공간이 보여</v>
      </c>
      <c r="L1527">
        <v>100</v>
      </c>
      <c r="M1527">
        <v>100</v>
      </c>
      <c r="N1527">
        <v>1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100</v>
      </c>
      <c r="AJ1527">
        <v>1</v>
      </c>
      <c r="AK1527">
        <v>0</v>
      </c>
      <c r="AL1527">
        <v>0</v>
      </c>
      <c r="AM1527">
        <v>100</v>
      </c>
      <c r="AN1527">
        <v>0</v>
      </c>
      <c r="AO1527">
        <v>0</v>
      </c>
      <c r="AP1527">
        <v>0</v>
      </c>
      <c r="AQ1527">
        <v>0</v>
      </c>
      <c r="AS1527">
        <v>0</v>
      </c>
      <c r="AT1527">
        <v>0</v>
      </c>
      <c r="AV1527">
        <v>0</v>
      </c>
      <c r="AW1527">
        <v>0</v>
      </c>
      <c r="AY1527">
        <v>0</v>
      </c>
      <c r="AZ1527">
        <v>0</v>
      </c>
      <c r="BA1527">
        <v>70</v>
      </c>
      <c r="BE1527" t="str">
        <f>T("9791137013551")</f>
        <v>9791137013551</v>
      </c>
      <c r="BF1527" t="str">
        <f>T("N195493")</f>
        <v>N195493</v>
      </c>
      <c r="BG1527" t="str">
        <f>T("판타지 웹소설 &gt; 퓨전 판타지")</f>
        <v>판타지 웹소설 &gt; 퓨전 판타지</v>
      </c>
    </row>
    <row r="1528" spans="1:59">
      <c r="A1528" t="s">
        <v>60</v>
      </c>
      <c r="B1528" s="1">
        <v>46130</v>
      </c>
      <c r="C1528">
        <v>2378044483</v>
      </c>
      <c r="D1528">
        <v>2378044518</v>
      </c>
      <c r="E1528" t="str">
        <f>T("내 눈에만 아공간이 보여 35화")</f>
        <v>내 눈에만 아공간이 보여 35화</v>
      </c>
      <c r="F1528">
        <v>36</v>
      </c>
      <c r="G1528" t="str">
        <f>T("지누아빠")</f>
        <v>지누아빠</v>
      </c>
      <c r="J1528" t="str">
        <f>T("매드햇")</f>
        <v>매드햇</v>
      </c>
      <c r="K1528" t="str">
        <f>T("내 눈에만 아공간이 보여")</f>
        <v>내 눈에만 아공간이 보여</v>
      </c>
      <c r="L1528">
        <v>100</v>
      </c>
      <c r="M1528">
        <v>100</v>
      </c>
      <c r="N1528">
        <v>1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100</v>
      </c>
      <c r="AJ1528">
        <v>1</v>
      </c>
      <c r="AK1528">
        <v>0</v>
      </c>
      <c r="AL1528">
        <v>0</v>
      </c>
      <c r="AM1528">
        <v>100</v>
      </c>
      <c r="AN1528">
        <v>0</v>
      </c>
      <c r="AO1528">
        <v>0</v>
      </c>
      <c r="AP1528">
        <v>0</v>
      </c>
      <c r="AQ1528">
        <v>0</v>
      </c>
      <c r="AS1528">
        <v>0</v>
      </c>
      <c r="AT1528">
        <v>0</v>
      </c>
      <c r="AV1528">
        <v>0</v>
      </c>
      <c r="AW1528">
        <v>0</v>
      </c>
      <c r="AY1528">
        <v>0</v>
      </c>
      <c r="AZ1528">
        <v>0</v>
      </c>
      <c r="BA1528">
        <v>70</v>
      </c>
      <c r="BE1528" t="str">
        <f>T("9791137013551")</f>
        <v>9791137013551</v>
      </c>
      <c r="BF1528" t="str">
        <f>T("N195494")</f>
        <v>N195494</v>
      </c>
      <c r="BG1528" t="str">
        <f>T("판타지 웹소설 &gt; 퓨전 판타지")</f>
        <v>판타지 웹소설 &gt; 퓨전 판타지</v>
      </c>
    </row>
    <row r="1529" spans="1:59">
      <c r="A1529" t="s">
        <v>60</v>
      </c>
      <c r="B1529" s="1">
        <v>46130</v>
      </c>
      <c r="C1529">
        <v>2378044483</v>
      </c>
      <c r="D1529">
        <v>2378044519</v>
      </c>
      <c r="E1529" t="str">
        <f>T("내 눈에만 아공간이 보여 36화")</f>
        <v>내 눈에만 아공간이 보여 36화</v>
      </c>
      <c r="F1529">
        <v>37</v>
      </c>
      <c r="G1529" t="str">
        <f>T("지누아빠")</f>
        <v>지누아빠</v>
      </c>
      <c r="J1529" t="str">
        <f>T("매드햇")</f>
        <v>매드햇</v>
      </c>
      <c r="K1529" t="str">
        <f>T("내 눈에만 아공간이 보여")</f>
        <v>내 눈에만 아공간이 보여</v>
      </c>
      <c r="L1529">
        <v>100</v>
      </c>
      <c r="M1529">
        <v>100</v>
      </c>
      <c r="N1529">
        <v>1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100</v>
      </c>
      <c r="AJ1529">
        <v>1</v>
      </c>
      <c r="AK1529">
        <v>0</v>
      </c>
      <c r="AL1529">
        <v>0</v>
      </c>
      <c r="AM1529">
        <v>100</v>
      </c>
      <c r="AN1529">
        <v>0</v>
      </c>
      <c r="AO1529">
        <v>0</v>
      </c>
      <c r="AP1529">
        <v>0</v>
      </c>
      <c r="AQ1529">
        <v>0</v>
      </c>
      <c r="AS1529">
        <v>0</v>
      </c>
      <c r="AT1529">
        <v>0</v>
      </c>
      <c r="AV1529">
        <v>0</v>
      </c>
      <c r="AW1529">
        <v>0</v>
      </c>
      <c r="AY1529">
        <v>0</v>
      </c>
      <c r="AZ1529">
        <v>0</v>
      </c>
      <c r="BA1529">
        <v>70</v>
      </c>
      <c r="BE1529" t="str">
        <f>T("9791137013551")</f>
        <v>9791137013551</v>
      </c>
      <c r="BF1529" t="str">
        <f>T("N195495")</f>
        <v>N195495</v>
      </c>
      <c r="BG1529" t="str">
        <f>T("판타지 웹소설 &gt; 퓨전 판타지")</f>
        <v>판타지 웹소설 &gt; 퓨전 판타지</v>
      </c>
    </row>
    <row r="1530" spans="1:59">
      <c r="A1530" t="s">
        <v>60</v>
      </c>
      <c r="B1530" s="1">
        <v>46130</v>
      </c>
      <c r="C1530">
        <v>2378044483</v>
      </c>
      <c r="D1530">
        <v>2378044520</v>
      </c>
      <c r="E1530" t="str">
        <f>T("내 눈에만 아공간이 보여 37화")</f>
        <v>내 눈에만 아공간이 보여 37화</v>
      </c>
      <c r="F1530">
        <v>38</v>
      </c>
      <c r="G1530" t="str">
        <f>T("지누아빠")</f>
        <v>지누아빠</v>
      </c>
      <c r="J1530" t="str">
        <f>T("매드햇")</f>
        <v>매드햇</v>
      </c>
      <c r="K1530" t="str">
        <f>T("내 눈에만 아공간이 보여")</f>
        <v>내 눈에만 아공간이 보여</v>
      </c>
      <c r="L1530">
        <v>100</v>
      </c>
      <c r="M1530">
        <v>100</v>
      </c>
      <c r="N1530">
        <v>1</v>
      </c>
      <c r="O1530">
        <v>0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100</v>
      </c>
      <c r="AJ1530">
        <v>1</v>
      </c>
      <c r="AK1530">
        <v>0</v>
      </c>
      <c r="AL1530">
        <v>0</v>
      </c>
      <c r="AM1530">
        <v>100</v>
      </c>
      <c r="AN1530">
        <v>0</v>
      </c>
      <c r="AO1530">
        <v>0</v>
      </c>
      <c r="AP1530">
        <v>0</v>
      </c>
      <c r="AQ1530">
        <v>0</v>
      </c>
      <c r="AS1530">
        <v>0</v>
      </c>
      <c r="AT1530">
        <v>0</v>
      </c>
      <c r="AV1530">
        <v>0</v>
      </c>
      <c r="AW1530">
        <v>0</v>
      </c>
      <c r="AY1530">
        <v>0</v>
      </c>
      <c r="AZ1530">
        <v>0</v>
      </c>
      <c r="BA1530">
        <v>70</v>
      </c>
      <c r="BE1530" t="str">
        <f>T("9791137013551")</f>
        <v>9791137013551</v>
      </c>
      <c r="BF1530" t="str">
        <f>T("N195496")</f>
        <v>N195496</v>
      </c>
      <c r="BG1530" t="str">
        <f>T("판타지 웹소설 &gt; 퓨전 판타지")</f>
        <v>판타지 웹소설 &gt; 퓨전 판타지</v>
      </c>
    </row>
    <row r="1531" spans="1:59">
      <c r="A1531" t="s">
        <v>60</v>
      </c>
      <c r="B1531" s="1">
        <v>46130</v>
      </c>
      <c r="C1531">
        <v>2378044483</v>
      </c>
      <c r="D1531">
        <v>2378044521</v>
      </c>
      <c r="E1531" t="str">
        <f>T("내 눈에만 아공간이 보여 38화")</f>
        <v>내 눈에만 아공간이 보여 38화</v>
      </c>
      <c r="F1531">
        <v>39</v>
      </c>
      <c r="G1531" t="str">
        <f>T("지누아빠")</f>
        <v>지누아빠</v>
      </c>
      <c r="J1531" t="str">
        <f>T("매드햇")</f>
        <v>매드햇</v>
      </c>
      <c r="K1531" t="str">
        <f>T("내 눈에만 아공간이 보여")</f>
        <v>내 눈에만 아공간이 보여</v>
      </c>
      <c r="L1531">
        <v>100</v>
      </c>
      <c r="M1531">
        <v>100</v>
      </c>
      <c r="N1531">
        <v>1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100</v>
      </c>
      <c r="AJ1531">
        <v>1</v>
      </c>
      <c r="AK1531">
        <v>0</v>
      </c>
      <c r="AL1531">
        <v>0</v>
      </c>
      <c r="AM1531">
        <v>100</v>
      </c>
      <c r="AN1531">
        <v>0</v>
      </c>
      <c r="AO1531">
        <v>0</v>
      </c>
      <c r="AP1531">
        <v>0</v>
      </c>
      <c r="AQ1531">
        <v>0</v>
      </c>
      <c r="AS1531">
        <v>0</v>
      </c>
      <c r="AT1531">
        <v>0</v>
      </c>
      <c r="AV1531">
        <v>0</v>
      </c>
      <c r="AW1531">
        <v>0</v>
      </c>
      <c r="AY1531">
        <v>0</v>
      </c>
      <c r="AZ1531">
        <v>0</v>
      </c>
      <c r="BA1531">
        <v>70</v>
      </c>
      <c r="BE1531" t="str">
        <f>T("9791137013551")</f>
        <v>9791137013551</v>
      </c>
      <c r="BF1531" t="str">
        <f>T("N195497")</f>
        <v>N195497</v>
      </c>
      <c r="BG1531" t="str">
        <f>T("판타지 웹소설 &gt; 퓨전 판타지")</f>
        <v>판타지 웹소설 &gt; 퓨전 판타지</v>
      </c>
    </row>
    <row r="1532" spans="1:59">
      <c r="A1532" t="s">
        <v>60</v>
      </c>
      <c r="B1532" s="1">
        <v>46130</v>
      </c>
      <c r="C1532">
        <v>2378044483</v>
      </c>
      <c r="D1532">
        <v>2378044522</v>
      </c>
      <c r="E1532" t="str">
        <f>T("내 눈에만 아공간이 보여 39화")</f>
        <v>내 눈에만 아공간이 보여 39화</v>
      </c>
      <c r="F1532">
        <v>40</v>
      </c>
      <c r="G1532" t="str">
        <f>T("지누아빠")</f>
        <v>지누아빠</v>
      </c>
      <c r="J1532" t="str">
        <f>T("매드햇")</f>
        <v>매드햇</v>
      </c>
      <c r="K1532" t="str">
        <f>T("내 눈에만 아공간이 보여")</f>
        <v>내 눈에만 아공간이 보여</v>
      </c>
      <c r="L1532">
        <v>100</v>
      </c>
      <c r="M1532">
        <v>100</v>
      </c>
      <c r="N1532">
        <v>1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0</v>
      </c>
      <c r="AF1532">
        <v>0</v>
      </c>
      <c r="AG1532">
        <v>0</v>
      </c>
      <c r="AH1532">
        <v>0</v>
      </c>
      <c r="AI1532">
        <v>100</v>
      </c>
      <c r="AJ1532">
        <v>1</v>
      </c>
      <c r="AK1532">
        <v>0</v>
      </c>
      <c r="AL1532">
        <v>0</v>
      </c>
      <c r="AM1532">
        <v>100</v>
      </c>
      <c r="AN1532">
        <v>0</v>
      </c>
      <c r="AO1532">
        <v>0</v>
      </c>
      <c r="AP1532">
        <v>0</v>
      </c>
      <c r="AQ1532">
        <v>0</v>
      </c>
      <c r="AS1532">
        <v>0</v>
      </c>
      <c r="AT1532">
        <v>0</v>
      </c>
      <c r="AV1532">
        <v>0</v>
      </c>
      <c r="AW1532">
        <v>0</v>
      </c>
      <c r="AY1532">
        <v>0</v>
      </c>
      <c r="AZ1532">
        <v>0</v>
      </c>
      <c r="BA1532">
        <v>70</v>
      </c>
      <c r="BE1532" t="str">
        <f>T("9791137013551")</f>
        <v>9791137013551</v>
      </c>
      <c r="BF1532" t="str">
        <f>T("N195498")</f>
        <v>N195498</v>
      </c>
      <c r="BG1532" t="str">
        <f>T("판타지 웹소설 &gt; 퓨전 판타지")</f>
        <v>판타지 웹소설 &gt; 퓨전 판타지</v>
      </c>
    </row>
    <row r="1533" spans="1:59">
      <c r="A1533" t="s">
        <v>60</v>
      </c>
      <c r="B1533" s="1">
        <v>46130</v>
      </c>
      <c r="C1533">
        <v>2378044483</v>
      </c>
      <c r="D1533">
        <v>2378044523</v>
      </c>
      <c r="E1533" t="str">
        <f>T("내 눈에만 아공간이 보여 40화")</f>
        <v>내 눈에만 아공간이 보여 40화</v>
      </c>
      <c r="F1533">
        <v>41</v>
      </c>
      <c r="G1533" t="str">
        <f>T("지누아빠")</f>
        <v>지누아빠</v>
      </c>
      <c r="J1533" t="str">
        <f>T("매드햇")</f>
        <v>매드햇</v>
      </c>
      <c r="K1533" t="str">
        <f>T("내 눈에만 아공간이 보여")</f>
        <v>내 눈에만 아공간이 보여</v>
      </c>
      <c r="L1533">
        <v>100</v>
      </c>
      <c r="M1533">
        <v>100</v>
      </c>
      <c r="N1533">
        <v>1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100</v>
      </c>
      <c r="AJ1533">
        <v>1</v>
      </c>
      <c r="AK1533">
        <v>0</v>
      </c>
      <c r="AL1533">
        <v>0</v>
      </c>
      <c r="AM1533">
        <v>100</v>
      </c>
      <c r="AN1533">
        <v>0</v>
      </c>
      <c r="AO1533">
        <v>0</v>
      </c>
      <c r="AP1533">
        <v>0</v>
      </c>
      <c r="AQ1533">
        <v>0</v>
      </c>
      <c r="AS1533">
        <v>0</v>
      </c>
      <c r="AT1533">
        <v>0</v>
      </c>
      <c r="AV1533">
        <v>0</v>
      </c>
      <c r="AW1533">
        <v>0</v>
      </c>
      <c r="AY1533">
        <v>0</v>
      </c>
      <c r="AZ1533">
        <v>0</v>
      </c>
      <c r="BA1533">
        <v>70</v>
      </c>
      <c r="BE1533" t="str">
        <f>T("9791137013551")</f>
        <v>9791137013551</v>
      </c>
      <c r="BF1533" t="str">
        <f>T("N195499")</f>
        <v>N195499</v>
      </c>
      <c r="BG1533" t="str">
        <f>T("판타지 웹소설 &gt; 퓨전 판타지")</f>
        <v>판타지 웹소설 &gt; 퓨전 판타지</v>
      </c>
    </row>
    <row r="1534" spans="1:59">
      <c r="A1534" t="s">
        <v>60</v>
      </c>
      <c r="B1534" s="1">
        <v>46130</v>
      </c>
      <c r="C1534">
        <v>2378044483</v>
      </c>
      <c r="D1534">
        <v>2378044524</v>
      </c>
      <c r="E1534" t="str">
        <f>T("내 눈에만 아공간이 보여 41화")</f>
        <v>내 눈에만 아공간이 보여 41화</v>
      </c>
      <c r="F1534">
        <v>42</v>
      </c>
      <c r="G1534" t="str">
        <f>T("지누아빠")</f>
        <v>지누아빠</v>
      </c>
      <c r="J1534" t="str">
        <f>T("매드햇")</f>
        <v>매드햇</v>
      </c>
      <c r="K1534" t="str">
        <f>T("내 눈에만 아공간이 보여")</f>
        <v>내 눈에만 아공간이 보여</v>
      </c>
      <c r="L1534">
        <v>100</v>
      </c>
      <c r="M1534">
        <v>100</v>
      </c>
      <c r="N1534">
        <v>1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100</v>
      </c>
      <c r="AJ1534">
        <v>1</v>
      </c>
      <c r="AK1534">
        <v>0</v>
      </c>
      <c r="AL1534">
        <v>0</v>
      </c>
      <c r="AM1534">
        <v>100</v>
      </c>
      <c r="AN1534">
        <v>0</v>
      </c>
      <c r="AO1534">
        <v>0</v>
      </c>
      <c r="AP1534">
        <v>0</v>
      </c>
      <c r="AQ1534">
        <v>0</v>
      </c>
      <c r="AS1534">
        <v>0</v>
      </c>
      <c r="AT1534">
        <v>0</v>
      </c>
      <c r="AV1534">
        <v>0</v>
      </c>
      <c r="AW1534">
        <v>0</v>
      </c>
      <c r="AY1534">
        <v>0</v>
      </c>
      <c r="AZ1534">
        <v>0</v>
      </c>
      <c r="BA1534">
        <v>70</v>
      </c>
      <c r="BE1534" t="str">
        <f>T("9791137013551")</f>
        <v>9791137013551</v>
      </c>
      <c r="BF1534" t="str">
        <f>T("N195500")</f>
        <v>N195500</v>
      </c>
      <c r="BG1534" t="str">
        <f>T("판타지 웹소설 &gt; 퓨전 판타지")</f>
        <v>판타지 웹소설 &gt; 퓨전 판타지</v>
      </c>
    </row>
    <row r="1535" spans="1:59">
      <c r="A1535" t="s">
        <v>60</v>
      </c>
      <c r="B1535" s="1">
        <v>46130</v>
      </c>
      <c r="C1535">
        <v>2378044483</v>
      </c>
      <c r="D1535">
        <v>2378044525</v>
      </c>
      <c r="E1535" t="str">
        <f>T("내 눈에만 아공간이 보여 42화")</f>
        <v>내 눈에만 아공간이 보여 42화</v>
      </c>
      <c r="F1535">
        <v>43</v>
      </c>
      <c r="G1535" t="str">
        <f>T("지누아빠")</f>
        <v>지누아빠</v>
      </c>
      <c r="J1535" t="str">
        <f>T("매드햇")</f>
        <v>매드햇</v>
      </c>
      <c r="K1535" t="str">
        <f>T("내 눈에만 아공간이 보여")</f>
        <v>내 눈에만 아공간이 보여</v>
      </c>
      <c r="L1535">
        <v>100</v>
      </c>
      <c r="M1535">
        <v>100</v>
      </c>
      <c r="N1535">
        <v>1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100</v>
      </c>
      <c r="AJ1535">
        <v>1</v>
      </c>
      <c r="AK1535">
        <v>0</v>
      </c>
      <c r="AL1535">
        <v>0</v>
      </c>
      <c r="AM1535">
        <v>100</v>
      </c>
      <c r="AN1535">
        <v>0</v>
      </c>
      <c r="AO1535">
        <v>0</v>
      </c>
      <c r="AP1535">
        <v>0</v>
      </c>
      <c r="AQ1535">
        <v>0</v>
      </c>
      <c r="AS1535">
        <v>0</v>
      </c>
      <c r="AT1535">
        <v>0</v>
      </c>
      <c r="AV1535">
        <v>0</v>
      </c>
      <c r="AW1535">
        <v>0</v>
      </c>
      <c r="AY1535">
        <v>0</v>
      </c>
      <c r="AZ1535">
        <v>0</v>
      </c>
      <c r="BA1535">
        <v>70</v>
      </c>
      <c r="BE1535" t="str">
        <f>T("9791137013551")</f>
        <v>9791137013551</v>
      </c>
      <c r="BF1535" t="str">
        <f>T("N195501")</f>
        <v>N195501</v>
      </c>
      <c r="BG1535" t="str">
        <f>T("판타지 웹소설 &gt; 퓨전 판타지")</f>
        <v>판타지 웹소설 &gt; 퓨전 판타지</v>
      </c>
    </row>
    <row r="1536" spans="1:59">
      <c r="A1536" t="s">
        <v>60</v>
      </c>
      <c r="B1536" s="1">
        <v>46130</v>
      </c>
      <c r="C1536">
        <v>2378044483</v>
      </c>
      <c r="D1536">
        <v>2378044526</v>
      </c>
      <c r="E1536" t="str">
        <f>T("내 눈에만 아공간이 보여 43화")</f>
        <v>내 눈에만 아공간이 보여 43화</v>
      </c>
      <c r="F1536">
        <v>44</v>
      </c>
      <c r="G1536" t="str">
        <f>T("지누아빠")</f>
        <v>지누아빠</v>
      </c>
      <c r="J1536" t="str">
        <f>T("매드햇")</f>
        <v>매드햇</v>
      </c>
      <c r="K1536" t="str">
        <f>T("내 눈에만 아공간이 보여")</f>
        <v>내 눈에만 아공간이 보여</v>
      </c>
      <c r="L1536">
        <v>100</v>
      </c>
      <c r="M1536">
        <v>100</v>
      </c>
      <c r="N1536">
        <v>1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0</v>
      </c>
      <c r="AE1536">
        <v>0</v>
      </c>
      <c r="AF1536">
        <v>0</v>
      </c>
      <c r="AG1536">
        <v>0</v>
      </c>
      <c r="AH1536">
        <v>0</v>
      </c>
      <c r="AI1536">
        <v>100</v>
      </c>
      <c r="AJ1536">
        <v>1</v>
      </c>
      <c r="AK1536">
        <v>0</v>
      </c>
      <c r="AL1536">
        <v>0</v>
      </c>
      <c r="AM1536">
        <v>100</v>
      </c>
      <c r="AN1536">
        <v>0</v>
      </c>
      <c r="AO1536">
        <v>0</v>
      </c>
      <c r="AP1536">
        <v>0</v>
      </c>
      <c r="AQ1536">
        <v>0</v>
      </c>
      <c r="AS1536">
        <v>0</v>
      </c>
      <c r="AT1536">
        <v>0</v>
      </c>
      <c r="AV1536">
        <v>0</v>
      </c>
      <c r="AW1536">
        <v>0</v>
      </c>
      <c r="AY1536">
        <v>0</v>
      </c>
      <c r="AZ1536">
        <v>0</v>
      </c>
      <c r="BA1536">
        <v>70</v>
      </c>
      <c r="BE1536" t="str">
        <f>T("9791137013551")</f>
        <v>9791137013551</v>
      </c>
      <c r="BF1536" t="str">
        <f>T("N195502")</f>
        <v>N195502</v>
      </c>
      <c r="BG1536" t="str">
        <f>T("판타지 웹소설 &gt; 퓨전 판타지")</f>
        <v>판타지 웹소설 &gt; 퓨전 판타지</v>
      </c>
    </row>
    <row r="1537" spans="1:59">
      <c r="A1537" t="s">
        <v>60</v>
      </c>
      <c r="B1537" s="1">
        <v>46130</v>
      </c>
      <c r="C1537">
        <v>2378044483</v>
      </c>
      <c r="D1537">
        <v>2378044527</v>
      </c>
      <c r="E1537" t="str">
        <f>T("내 눈에만 아공간이 보여 44화")</f>
        <v>내 눈에만 아공간이 보여 44화</v>
      </c>
      <c r="F1537">
        <v>45</v>
      </c>
      <c r="G1537" t="str">
        <f>T("지누아빠")</f>
        <v>지누아빠</v>
      </c>
      <c r="J1537" t="str">
        <f>T("매드햇")</f>
        <v>매드햇</v>
      </c>
      <c r="K1537" t="str">
        <f>T("내 눈에만 아공간이 보여")</f>
        <v>내 눈에만 아공간이 보여</v>
      </c>
      <c r="L1537">
        <v>100</v>
      </c>
      <c r="M1537">
        <v>100</v>
      </c>
      <c r="N1537">
        <v>1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100</v>
      </c>
      <c r="AJ1537">
        <v>1</v>
      </c>
      <c r="AK1537">
        <v>0</v>
      </c>
      <c r="AL1537">
        <v>0</v>
      </c>
      <c r="AM1537">
        <v>100</v>
      </c>
      <c r="AN1537">
        <v>0</v>
      </c>
      <c r="AO1537">
        <v>0</v>
      </c>
      <c r="AP1537">
        <v>0</v>
      </c>
      <c r="AQ1537">
        <v>0</v>
      </c>
      <c r="AS1537">
        <v>0</v>
      </c>
      <c r="AT1537">
        <v>0</v>
      </c>
      <c r="AV1537">
        <v>0</v>
      </c>
      <c r="AW1537">
        <v>0</v>
      </c>
      <c r="AY1537">
        <v>0</v>
      </c>
      <c r="AZ1537">
        <v>0</v>
      </c>
      <c r="BA1537">
        <v>70</v>
      </c>
      <c r="BE1537" t="str">
        <f>T("9791137013551")</f>
        <v>9791137013551</v>
      </c>
      <c r="BF1537" t="str">
        <f>T("N195503")</f>
        <v>N195503</v>
      </c>
      <c r="BG1537" t="str">
        <f>T("판타지 웹소설 &gt; 퓨전 판타지")</f>
        <v>판타지 웹소설 &gt; 퓨전 판타지</v>
      </c>
    </row>
    <row r="1538" spans="1:59">
      <c r="A1538" t="s">
        <v>60</v>
      </c>
      <c r="B1538" s="1">
        <v>46130</v>
      </c>
      <c r="C1538">
        <v>2378044483</v>
      </c>
      <c r="D1538">
        <v>2378044528</v>
      </c>
      <c r="E1538" t="str">
        <f>T("내 눈에만 아공간이 보여 45화")</f>
        <v>내 눈에만 아공간이 보여 45화</v>
      </c>
      <c r="F1538">
        <v>46</v>
      </c>
      <c r="G1538" t="str">
        <f>T("지누아빠")</f>
        <v>지누아빠</v>
      </c>
      <c r="J1538" t="str">
        <f>T("매드햇")</f>
        <v>매드햇</v>
      </c>
      <c r="K1538" t="str">
        <f>T("내 눈에만 아공간이 보여")</f>
        <v>내 눈에만 아공간이 보여</v>
      </c>
      <c r="L1538">
        <v>100</v>
      </c>
      <c r="M1538">
        <v>100</v>
      </c>
      <c r="N1538">
        <v>1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100</v>
      </c>
      <c r="AJ1538">
        <v>1</v>
      </c>
      <c r="AK1538">
        <v>0</v>
      </c>
      <c r="AL1538">
        <v>0</v>
      </c>
      <c r="AM1538">
        <v>100</v>
      </c>
      <c r="AN1538">
        <v>0</v>
      </c>
      <c r="AO1538">
        <v>0</v>
      </c>
      <c r="AP1538">
        <v>0</v>
      </c>
      <c r="AQ1538">
        <v>0</v>
      </c>
      <c r="AS1538">
        <v>0</v>
      </c>
      <c r="AT1538">
        <v>0</v>
      </c>
      <c r="AV1538">
        <v>0</v>
      </c>
      <c r="AW1538">
        <v>0</v>
      </c>
      <c r="AY1538">
        <v>0</v>
      </c>
      <c r="AZ1538">
        <v>0</v>
      </c>
      <c r="BA1538">
        <v>70</v>
      </c>
      <c r="BE1538" t="str">
        <f>T("9791137013551")</f>
        <v>9791137013551</v>
      </c>
      <c r="BF1538" t="str">
        <f>T("N195504")</f>
        <v>N195504</v>
      </c>
      <c r="BG1538" t="str">
        <f>T("판타지 웹소설 &gt; 퓨전 판타지")</f>
        <v>판타지 웹소설 &gt; 퓨전 판타지</v>
      </c>
    </row>
    <row r="1539" spans="1:59">
      <c r="A1539" t="s">
        <v>60</v>
      </c>
      <c r="B1539" s="1">
        <v>46130</v>
      </c>
      <c r="C1539">
        <v>2378044483</v>
      </c>
      <c r="D1539">
        <v>2378044529</v>
      </c>
      <c r="E1539" t="str">
        <f>T("내 눈에만 아공간이 보여 46화")</f>
        <v>내 눈에만 아공간이 보여 46화</v>
      </c>
      <c r="F1539">
        <v>47</v>
      </c>
      <c r="G1539" t="str">
        <f>T("지누아빠")</f>
        <v>지누아빠</v>
      </c>
      <c r="J1539" t="str">
        <f>T("매드햇")</f>
        <v>매드햇</v>
      </c>
      <c r="K1539" t="str">
        <f>T("내 눈에만 아공간이 보여")</f>
        <v>내 눈에만 아공간이 보여</v>
      </c>
      <c r="L1539">
        <v>100</v>
      </c>
      <c r="M1539">
        <v>100</v>
      </c>
      <c r="N1539">
        <v>1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100</v>
      </c>
      <c r="AJ1539">
        <v>1</v>
      </c>
      <c r="AK1539">
        <v>0</v>
      </c>
      <c r="AL1539">
        <v>0</v>
      </c>
      <c r="AM1539">
        <v>100</v>
      </c>
      <c r="AN1539">
        <v>0</v>
      </c>
      <c r="AO1539">
        <v>0</v>
      </c>
      <c r="AP1539">
        <v>0</v>
      </c>
      <c r="AQ1539">
        <v>0</v>
      </c>
      <c r="AS1539">
        <v>0</v>
      </c>
      <c r="AT1539">
        <v>0</v>
      </c>
      <c r="AV1539">
        <v>0</v>
      </c>
      <c r="AW1539">
        <v>0</v>
      </c>
      <c r="AY1539">
        <v>0</v>
      </c>
      <c r="AZ1539">
        <v>0</v>
      </c>
      <c r="BA1539">
        <v>70</v>
      </c>
      <c r="BE1539" t="str">
        <f>T("9791137013551")</f>
        <v>9791137013551</v>
      </c>
      <c r="BF1539" t="str">
        <f>T("N195505")</f>
        <v>N195505</v>
      </c>
      <c r="BG1539" t="str">
        <f>T("판타지 웹소설 &gt; 퓨전 판타지")</f>
        <v>판타지 웹소설 &gt; 퓨전 판타지</v>
      </c>
    </row>
    <row r="1540" spans="1:59">
      <c r="A1540" t="s">
        <v>60</v>
      </c>
      <c r="B1540" s="1">
        <v>46130</v>
      </c>
      <c r="C1540">
        <v>2378044483</v>
      </c>
      <c r="D1540">
        <v>2378044530</v>
      </c>
      <c r="E1540" t="str">
        <f>T("내 눈에만 아공간이 보여 47화")</f>
        <v>내 눈에만 아공간이 보여 47화</v>
      </c>
      <c r="F1540">
        <v>48</v>
      </c>
      <c r="G1540" t="str">
        <f>T("지누아빠")</f>
        <v>지누아빠</v>
      </c>
      <c r="J1540" t="str">
        <f>T("매드햇")</f>
        <v>매드햇</v>
      </c>
      <c r="K1540" t="str">
        <f>T("내 눈에만 아공간이 보여")</f>
        <v>내 눈에만 아공간이 보여</v>
      </c>
      <c r="L1540">
        <v>100</v>
      </c>
      <c r="M1540">
        <v>100</v>
      </c>
      <c r="N1540">
        <v>1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100</v>
      </c>
      <c r="AJ1540">
        <v>1</v>
      </c>
      <c r="AK1540">
        <v>0</v>
      </c>
      <c r="AL1540">
        <v>0</v>
      </c>
      <c r="AM1540">
        <v>100</v>
      </c>
      <c r="AN1540">
        <v>0</v>
      </c>
      <c r="AO1540">
        <v>0</v>
      </c>
      <c r="AP1540">
        <v>0</v>
      </c>
      <c r="AQ1540">
        <v>0</v>
      </c>
      <c r="AS1540">
        <v>0</v>
      </c>
      <c r="AT1540">
        <v>0</v>
      </c>
      <c r="AV1540">
        <v>0</v>
      </c>
      <c r="AW1540">
        <v>0</v>
      </c>
      <c r="AY1540">
        <v>0</v>
      </c>
      <c r="AZ1540">
        <v>0</v>
      </c>
      <c r="BA1540">
        <v>70</v>
      </c>
      <c r="BE1540" t="str">
        <f>T("9791137013551")</f>
        <v>9791137013551</v>
      </c>
      <c r="BF1540" t="str">
        <f>T("N195506")</f>
        <v>N195506</v>
      </c>
      <c r="BG1540" t="str">
        <f>T("판타지 웹소설 &gt; 퓨전 판타지")</f>
        <v>판타지 웹소설 &gt; 퓨전 판타지</v>
      </c>
    </row>
    <row r="1541" spans="1:59">
      <c r="A1541" t="s">
        <v>60</v>
      </c>
      <c r="B1541" s="1">
        <v>46130</v>
      </c>
      <c r="C1541">
        <v>2378044483</v>
      </c>
      <c r="D1541">
        <v>2378044531</v>
      </c>
      <c r="E1541" t="str">
        <f>T("내 눈에만 아공간이 보여 48화")</f>
        <v>내 눈에만 아공간이 보여 48화</v>
      </c>
      <c r="F1541">
        <v>49</v>
      </c>
      <c r="G1541" t="str">
        <f>T("지누아빠")</f>
        <v>지누아빠</v>
      </c>
      <c r="J1541" t="str">
        <f>T("매드햇")</f>
        <v>매드햇</v>
      </c>
      <c r="K1541" t="str">
        <f>T("내 눈에만 아공간이 보여")</f>
        <v>내 눈에만 아공간이 보여</v>
      </c>
      <c r="L1541">
        <v>100</v>
      </c>
      <c r="M1541">
        <v>100</v>
      </c>
      <c r="N1541">
        <v>1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100</v>
      </c>
      <c r="AJ1541">
        <v>1</v>
      </c>
      <c r="AK1541">
        <v>0</v>
      </c>
      <c r="AL1541">
        <v>0</v>
      </c>
      <c r="AM1541">
        <v>100</v>
      </c>
      <c r="AN1541">
        <v>0</v>
      </c>
      <c r="AO1541">
        <v>0</v>
      </c>
      <c r="AP1541">
        <v>0</v>
      </c>
      <c r="AQ1541">
        <v>0</v>
      </c>
      <c r="AS1541">
        <v>0</v>
      </c>
      <c r="AT1541">
        <v>0</v>
      </c>
      <c r="AV1541">
        <v>0</v>
      </c>
      <c r="AW1541">
        <v>0</v>
      </c>
      <c r="AY1541">
        <v>0</v>
      </c>
      <c r="AZ1541">
        <v>0</v>
      </c>
      <c r="BA1541">
        <v>70</v>
      </c>
      <c r="BE1541" t="str">
        <f>T("9791137013551")</f>
        <v>9791137013551</v>
      </c>
      <c r="BF1541" t="str">
        <f>T("N195507")</f>
        <v>N195507</v>
      </c>
      <c r="BG1541" t="str">
        <f>T("판타지 웹소설 &gt; 퓨전 판타지")</f>
        <v>판타지 웹소설 &gt; 퓨전 판타지</v>
      </c>
    </row>
    <row r="1542" spans="1:59">
      <c r="A1542" t="s">
        <v>60</v>
      </c>
      <c r="B1542" s="1">
        <v>46130</v>
      </c>
      <c r="C1542">
        <v>2378044483</v>
      </c>
      <c r="D1542">
        <v>2378044532</v>
      </c>
      <c r="E1542" t="str">
        <f>T("내 눈에만 아공간이 보여 49화")</f>
        <v>내 눈에만 아공간이 보여 49화</v>
      </c>
      <c r="F1542">
        <v>50</v>
      </c>
      <c r="G1542" t="str">
        <f>T("지누아빠")</f>
        <v>지누아빠</v>
      </c>
      <c r="J1542" t="str">
        <f>T("매드햇")</f>
        <v>매드햇</v>
      </c>
      <c r="K1542" t="str">
        <f>T("내 눈에만 아공간이 보여")</f>
        <v>내 눈에만 아공간이 보여</v>
      </c>
      <c r="L1542">
        <v>100</v>
      </c>
      <c r="M1542">
        <v>100</v>
      </c>
      <c r="N1542">
        <v>1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100</v>
      </c>
      <c r="AJ1542">
        <v>1</v>
      </c>
      <c r="AK1542">
        <v>0</v>
      </c>
      <c r="AL1542">
        <v>0</v>
      </c>
      <c r="AM1542">
        <v>100</v>
      </c>
      <c r="AN1542">
        <v>0</v>
      </c>
      <c r="AO1542">
        <v>0</v>
      </c>
      <c r="AP1542">
        <v>0</v>
      </c>
      <c r="AQ1542">
        <v>0</v>
      </c>
      <c r="AS1542">
        <v>0</v>
      </c>
      <c r="AT1542">
        <v>0</v>
      </c>
      <c r="AV1542">
        <v>0</v>
      </c>
      <c r="AW1542">
        <v>0</v>
      </c>
      <c r="AY1542">
        <v>0</v>
      </c>
      <c r="AZ1542">
        <v>0</v>
      </c>
      <c r="BA1542">
        <v>70</v>
      </c>
      <c r="BE1542" t="str">
        <f>T("9791137013551")</f>
        <v>9791137013551</v>
      </c>
      <c r="BF1542" t="str">
        <f>T("N195508")</f>
        <v>N195508</v>
      </c>
      <c r="BG1542" t="str">
        <f>T("판타지 웹소설 &gt; 퓨전 판타지")</f>
        <v>판타지 웹소설 &gt; 퓨전 판타지</v>
      </c>
    </row>
    <row r="1543" spans="1:59">
      <c r="A1543" t="s">
        <v>60</v>
      </c>
      <c r="B1543" s="1">
        <v>46130</v>
      </c>
      <c r="C1543">
        <v>2378044483</v>
      </c>
      <c r="D1543">
        <v>2378044533</v>
      </c>
      <c r="E1543" t="str">
        <f>T("내 눈에만 아공간이 보여 50화")</f>
        <v>내 눈에만 아공간이 보여 50화</v>
      </c>
      <c r="F1543">
        <v>51</v>
      </c>
      <c r="G1543" t="str">
        <f>T("지누아빠")</f>
        <v>지누아빠</v>
      </c>
      <c r="J1543" t="str">
        <f>T("매드햇")</f>
        <v>매드햇</v>
      </c>
      <c r="K1543" t="str">
        <f>T("내 눈에만 아공간이 보여")</f>
        <v>내 눈에만 아공간이 보여</v>
      </c>
      <c r="L1543">
        <v>100</v>
      </c>
      <c r="M1543">
        <v>100</v>
      </c>
      <c r="N1543">
        <v>1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100</v>
      </c>
      <c r="AJ1543">
        <v>1</v>
      </c>
      <c r="AK1543">
        <v>0</v>
      </c>
      <c r="AL1543">
        <v>0</v>
      </c>
      <c r="AM1543">
        <v>100</v>
      </c>
      <c r="AN1543">
        <v>0</v>
      </c>
      <c r="AO1543">
        <v>0</v>
      </c>
      <c r="AP1543">
        <v>0</v>
      </c>
      <c r="AQ1543">
        <v>0</v>
      </c>
      <c r="AS1543">
        <v>0</v>
      </c>
      <c r="AT1543">
        <v>0</v>
      </c>
      <c r="AV1543">
        <v>0</v>
      </c>
      <c r="AW1543">
        <v>0</v>
      </c>
      <c r="AY1543">
        <v>0</v>
      </c>
      <c r="AZ1543">
        <v>0</v>
      </c>
      <c r="BA1543">
        <v>70</v>
      </c>
      <c r="BE1543" t="str">
        <f>T("9791137013551")</f>
        <v>9791137013551</v>
      </c>
      <c r="BF1543" t="str">
        <f>T("N195509")</f>
        <v>N195509</v>
      </c>
      <c r="BG1543" t="str">
        <f>T("판타지 웹소설 &gt; 퓨전 판타지")</f>
        <v>판타지 웹소설 &gt; 퓨전 판타지</v>
      </c>
    </row>
    <row r="1544" spans="1:59">
      <c r="A1544" t="s">
        <v>60</v>
      </c>
      <c r="B1544" s="1">
        <v>46130</v>
      </c>
      <c r="C1544">
        <v>2378044483</v>
      </c>
      <c r="D1544">
        <v>2378044534</v>
      </c>
      <c r="E1544" t="str">
        <f>T("내 눈에만 아공간이 보여 51화")</f>
        <v>내 눈에만 아공간이 보여 51화</v>
      </c>
      <c r="F1544">
        <v>52</v>
      </c>
      <c r="G1544" t="str">
        <f>T("지누아빠")</f>
        <v>지누아빠</v>
      </c>
      <c r="J1544" t="str">
        <f>T("매드햇")</f>
        <v>매드햇</v>
      </c>
      <c r="K1544" t="str">
        <f>T("내 눈에만 아공간이 보여")</f>
        <v>내 눈에만 아공간이 보여</v>
      </c>
      <c r="L1544">
        <v>100</v>
      </c>
      <c r="M1544">
        <v>100</v>
      </c>
      <c r="N1544">
        <v>1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100</v>
      </c>
      <c r="AJ1544">
        <v>1</v>
      </c>
      <c r="AK1544">
        <v>0</v>
      </c>
      <c r="AL1544">
        <v>0</v>
      </c>
      <c r="AM1544">
        <v>100</v>
      </c>
      <c r="AN1544">
        <v>0</v>
      </c>
      <c r="AO1544">
        <v>0</v>
      </c>
      <c r="AP1544">
        <v>0</v>
      </c>
      <c r="AQ1544">
        <v>0</v>
      </c>
      <c r="AS1544">
        <v>0</v>
      </c>
      <c r="AT1544">
        <v>0</v>
      </c>
      <c r="AV1544">
        <v>0</v>
      </c>
      <c r="AW1544">
        <v>0</v>
      </c>
      <c r="AY1544">
        <v>0</v>
      </c>
      <c r="AZ1544">
        <v>0</v>
      </c>
      <c r="BA1544">
        <v>70</v>
      </c>
      <c r="BE1544" t="str">
        <f>T("9791137013551")</f>
        <v>9791137013551</v>
      </c>
      <c r="BF1544" t="str">
        <f>T("N195510")</f>
        <v>N195510</v>
      </c>
      <c r="BG1544" t="str">
        <f>T("판타지 웹소설 &gt; 퓨전 판타지")</f>
        <v>판타지 웹소설 &gt; 퓨전 판타지</v>
      </c>
    </row>
    <row r="1545" spans="1:59">
      <c r="A1545" t="s">
        <v>60</v>
      </c>
      <c r="B1545" s="1">
        <v>46130</v>
      </c>
      <c r="C1545">
        <v>2378044483</v>
      </c>
      <c r="D1545">
        <v>2378044535</v>
      </c>
      <c r="E1545" t="str">
        <f>T("내 눈에만 아공간이 보여 52화")</f>
        <v>내 눈에만 아공간이 보여 52화</v>
      </c>
      <c r="F1545">
        <v>53</v>
      </c>
      <c r="G1545" t="str">
        <f>T("지누아빠")</f>
        <v>지누아빠</v>
      </c>
      <c r="J1545" t="str">
        <f>T("매드햇")</f>
        <v>매드햇</v>
      </c>
      <c r="K1545" t="str">
        <f>T("내 눈에만 아공간이 보여")</f>
        <v>내 눈에만 아공간이 보여</v>
      </c>
      <c r="L1545">
        <v>100</v>
      </c>
      <c r="M1545">
        <v>100</v>
      </c>
      <c r="N1545">
        <v>1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100</v>
      </c>
      <c r="AJ1545">
        <v>1</v>
      </c>
      <c r="AK1545">
        <v>0</v>
      </c>
      <c r="AL1545">
        <v>0</v>
      </c>
      <c r="AM1545">
        <v>100</v>
      </c>
      <c r="AN1545">
        <v>0</v>
      </c>
      <c r="AO1545">
        <v>0</v>
      </c>
      <c r="AP1545">
        <v>0</v>
      </c>
      <c r="AQ1545">
        <v>0</v>
      </c>
      <c r="AS1545">
        <v>0</v>
      </c>
      <c r="AT1545">
        <v>0</v>
      </c>
      <c r="AV1545">
        <v>0</v>
      </c>
      <c r="AW1545">
        <v>0</v>
      </c>
      <c r="AY1545">
        <v>0</v>
      </c>
      <c r="AZ1545">
        <v>0</v>
      </c>
      <c r="BA1545">
        <v>70</v>
      </c>
      <c r="BE1545" t="str">
        <f>T("9791137013551")</f>
        <v>9791137013551</v>
      </c>
      <c r="BF1545" t="str">
        <f>T("N195511")</f>
        <v>N195511</v>
      </c>
      <c r="BG1545" t="str">
        <f>T("판타지 웹소설 &gt; 퓨전 판타지")</f>
        <v>판타지 웹소설 &gt; 퓨전 판타지</v>
      </c>
    </row>
    <row r="1546" spans="1:59">
      <c r="A1546" t="s">
        <v>60</v>
      </c>
      <c r="B1546" s="1">
        <v>46130</v>
      </c>
      <c r="C1546">
        <v>2378044483</v>
      </c>
      <c r="D1546">
        <v>2378044536</v>
      </c>
      <c r="E1546" t="str">
        <f>T("내 눈에만 아공간이 보여 53화")</f>
        <v>내 눈에만 아공간이 보여 53화</v>
      </c>
      <c r="F1546">
        <v>54</v>
      </c>
      <c r="G1546" t="str">
        <f>T("지누아빠")</f>
        <v>지누아빠</v>
      </c>
      <c r="J1546" t="str">
        <f>T("매드햇")</f>
        <v>매드햇</v>
      </c>
      <c r="K1546" t="str">
        <f>T("내 눈에만 아공간이 보여")</f>
        <v>내 눈에만 아공간이 보여</v>
      </c>
      <c r="L1546">
        <v>100</v>
      </c>
      <c r="M1546">
        <v>100</v>
      </c>
      <c r="N1546">
        <v>1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100</v>
      </c>
      <c r="AJ1546">
        <v>1</v>
      </c>
      <c r="AK1546">
        <v>0</v>
      </c>
      <c r="AL1546">
        <v>0</v>
      </c>
      <c r="AM1546">
        <v>100</v>
      </c>
      <c r="AN1546">
        <v>0</v>
      </c>
      <c r="AO1546">
        <v>0</v>
      </c>
      <c r="AP1546">
        <v>0</v>
      </c>
      <c r="AQ1546">
        <v>0</v>
      </c>
      <c r="AS1546">
        <v>0</v>
      </c>
      <c r="AT1546">
        <v>0</v>
      </c>
      <c r="AV1546">
        <v>0</v>
      </c>
      <c r="AW1546">
        <v>0</v>
      </c>
      <c r="AY1546">
        <v>0</v>
      </c>
      <c r="AZ1546">
        <v>0</v>
      </c>
      <c r="BA1546">
        <v>70</v>
      </c>
      <c r="BE1546" t="str">
        <f>T("9791137013551")</f>
        <v>9791137013551</v>
      </c>
      <c r="BF1546" t="str">
        <f>T("N195512")</f>
        <v>N195512</v>
      </c>
      <c r="BG1546" t="str">
        <f>T("판타지 웹소설 &gt; 퓨전 판타지")</f>
        <v>판타지 웹소설 &gt; 퓨전 판타지</v>
      </c>
    </row>
    <row r="1547" spans="1:59">
      <c r="A1547" t="s">
        <v>60</v>
      </c>
      <c r="B1547" s="1">
        <v>46130</v>
      </c>
      <c r="C1547">
        <v>2378044483</v>
      </c>
      <c r="D1547">
        <v>2378044537</v>
      </c>
      <c r="E1547" t="str">
        <f>T("내 눈에만 아공간이 보여 54화")</f>
        <v>내 눈에만 아공간이 보여 54화</v>
      </c>
      <c r="F1547">
        <v>55</v>
      </c>
      <c r="G1547" t="str">
        <f>T("지누아빠")</f>
        <v>지누아빠</v>
      </c>
      <c r="J1547" t="str">
        <f>T("매드햇")</f>
        <v>매드햇</v>
      </c>
      <c r="K1547" t="str">
        <f>T("내 눈에만 아공간이 보여")</f>
        <v>내 눈에만 아공간이 보여</v>
      </c>
      <c r="L1547">
        <v>100</v>
      </c>
      <c r="M1547">
        <v>100</v>
      </c>
      <c r="N1547">
        <v>1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100</v>
      </c>
      <c r="AJ1547">
        <v>1</v>
      </c>
      <c r="AK1547">
        <v>0</v>
      </c>
      <c r="AL1547">
        <v>0</v>
      </c>
      <c r="AM1547">
        <v>100</v>
      </c>
      <c r="AN1547">
        <v>0</v>
      </c>
      <c r="AO1547">
        <v>0</v>
      </c>
      <c r="AP1547">
        <v>0</v>
      </c>
      <c r="AQ1547">
        <v>0</v>
      </c>
      <c r="AS1547">
        <v>0</v>
      </c>
      <c r="AT1547">
        <v>0</v>
      </c>
      <c r="AV1547">
        <v>0</v>
      </c>
      <c r="AW1547">
        <v>0</v>
      </c>
      <c r="AY1547">
        <v>0</v>
      </c>
      <c r="AZ1547">
        <v>0</v>
      </c>
      <c r="BA1547">
        <v>70</v>
      </c>
      <c r="BE1547" t="str">
        <f>T("9791137013551")</f>
        <v>9791137013551</v>
      </c>
      <c r="BF1547" t="str">
        <f>T("N195513")</f>
        <v>N195513</v>
      </c>
      <c r="BG1547" t="str">
        <f>T("판타지 웹소설 &gt; 퓨전 판타지")</f>
        <v>판타지 웹소설 &gt; 퓨전 판타지</v>
      </c>
    </row>
    <row r="1548" spans="1:59">
      <c r="A1548" t="s">
        <v>60</v>
      </c>
      <c r="B1548" s="1">
        <v>46130</v>
      </c>
      <c r="C1548">
        <v>2378044483</v>
      </c>
      <c r="D1548">
        <v>2378044538</v>
      </c>
      <c r="E1548" t="str">
        <f>T("내 눈에만 아공간이 보여 55화")</f>
        <v>내 눈에만 아공간이 보여 55화</v>
      </c>
      <c r="F1548">
        <v>56</v>
      </c>
      <c r="G1548" t="str">
        <f>T("지누아빠")</f>
        <v>지누아빠</v>
      </c>
      <c r="J1548" t="str">
        <f>T("매드햇")</f>
        <v>매드햇</v>
      </c>
      <c r="K1548" t="str">
        <f>T("내 눈에만 아공간이 보여")</f>
        <v>내 눈에만 아공간이 보여</v>
      </c>
      <c r="L1548">
        <v>100</v>
      </c>
      <c r="M1548">
        <v>200</v>
      </c>
      <c r="N1548">
        <v>2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200</v>
      </c>
      <c r="AJ1548">
        <v>2</v>
      </c>
      <c r="AK1548">
        <v>0</v>
      </c>
      <c r="AL1548">
        <v>0</v>
      </c>
      <c r="AM1548">
        <v>200</v>
      </c>
      <c r="AN1548">
        <v>0</v>
      </c>
      <c r="AO1548">
        <v>0</v>
      </c>
      <c r="AP1548">
        <v>0</v>
      </c>
      <c r="AQ1548">
        <v>0</v>
      </c>
      <c r="AS1548">
        <v>0</v>
      </c>
      <c r="AT1548">
        <v>0</v>
      </c>
      <c r="AV1548">
        <v>0</v>
      </c>
      <c r="AW1548">
        <v>0</v>
      </c>
      <c r="AY1548">
        <v>0</v>
      </c>
      <c r="AZ1548">
        <v>0</v>
      </c>
      <c r="BA1548">
        <v>140</v>
      </c>
      <c r="BE1548" t="str">
        <f>T("9791137013551")</f>
        <v>9791137013551</v>
      </c>
      <c r="BF1548" t="str">
        <f>T("N195514")</f>
        <v>N195514</v>
      </c>
      <c r="BG1548" t="str">
        <f>T("판타지 웹소설 &gt; 퓨전 판타지")</f>
        <v>판타지 웹소설 &gt; 퓨전 판타지</v>
      </c>
    </row>
    <row r="1549" spans="1:59">
      <c r="A1549" t="s">
        <v>60</v>
      </c>
      <c r="B1549" s="1">
        <v>46130</v>
      </c>
      <c r="C1549">
        <v>2378044483</v>
      </c>
      <c r="D1549">
        <v>2378044539</v>
      </c>
      <c r="E1549" t="str">
        <f>T("내 눈에만 아공간이 보여 56화")</f>
        <v>내 눈에만 아공간이 보여 56화</v>
      </c>
      <c r="F1549">
        <v>57</v>
      </c>
      <c r="G1549" t="str">
        <f>T("지누아빠")</f>
        <v>지누아빠</v>
      </c>
      <c r="J1549" t="str">
        <f>T("매드햇")</f>
        <v>매드햇</v>
      </c>
      <c r="K1549" t="str">
        <f>T("내 눈에만 아공간이 보여")</f>
        <v>내 눈에만 아공간이 보여</v>
      </c>
      <c r="L1549">
        <v>100</v>
      </c>
      <c r="M1549">
        <v>200</v>
      </c>
      <c r="N1549">
        <v>2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200</v>
      </c>
      <c r="AJ1549">
        <v>2</v>
      </c>
      <c r="AK1549">
        <v>0</v>
      </c>
      <c r="AL1549">
        <v>0</v>
      </c>
      <c r="AM1549">
        <v>200</v>
      </c>
      <c r="AN1549">
        <v>0</v>
      </c>
      <c r="AO1549">
        <v>0</v>
      </c>
      <c r="AP1549">
        <v>0</v>
      </c>
      <c r="AQ1549">
        <v>0</v>
      </c>
      <c r="AS1549">
        <v>0</v>
      </c>
      <c r="AT1549">
        <v>0</v>
      </c>
      <c r="AV1549">
        <v>0</v>
      </c>
      <c r="AW1549">
        <v>0</v>
      </c>
      <c r="AY1549">
        <v>0</v>
      </c>
      <c r="AZ1549">
        <v>0</v>
      </c>
      <c r="BA1549">
        <v>140</v>
      </c>
      <c r="BE1549" t="str">
        <f>T("9791137013551")</f>
        <v>9791137013551</v>
      </c>
      <c r="BF1549" t="str">
        <f>T("N195515")</f>
        <v>N195515</v>
      </c>
      <c r="BG1549" t="str">
        <f>T("판타지 웹소설 &gt; 퓨전 판타지")</f>
        <v>판타지 웹소설 &gt; 퓨전 판타지</v>
      </c>
    </row>
    <row r="1550" spans="1:59">
      <c r="A1550" t="s">
        <v>60</v>
      </c>
      <c r="B1550" s="1">
        <v>46130</v>
      </c>
      <c r="C1550">
        <v>2378044483</v>
      </c>
      <c r="D1550">
        <v>2378044540</v>
      </c>
      <c r="E1550" t="str">
        <f>T("내 눈에만 아공간이 보여 57화")</f>
        <v>내 눈에만 아공간이 보여 57화</v>
      </c>
      <c r="F1550">
        <v>58</v>
      </c>
      <c r="G1550" t="str">
        <f>T("지누아빠")</f>
        <v>지누아빠</v>
      </c>
      <c r="J1550" t="str">
        <f>T("매드햇")</f>
        <v>매드햇</v>
      </c>
      <c r="K1550" t="str">
        <f>T("내 눈에만 아공간이 보여")</f>
        <v>내 눈에만 아공간이 보여</v>
      </c>
      <c r="L1550">
        <v>100</v>
      </c>
      <c r="M1550">
        <v>200</v>
      </c>
      <c r="N1550">
        <v>2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0</v>
      </c>
      <c r="AH1550">
        <v>0</v>
      </c>
      <c r="AI1550">
        <v>200</v>
      </c>
      <c r="AJ1550">
        <v>2</v>
      </c>
      <c r="AK1550">
        <v>0</v>
      </c>
      <c r="AL1550">
        <v>0</v>
      </c>
      <c r="AM1550">
        <v>200</v>
      </c>
      <c r="AN1550">
        <v>0</v>
      </c>
      <c r="AO1550">
        <v>0</v>
      </c>
      <c r="AP1550">
        <v>0</v>
      </c>
      <c r="AQ1550">
        <v>0</v>
      </c>
      <c r="AS1550">
        <v>0</v>
      </c>
      <c r="AT1550">
        <v>0</v>
      </c>
      <c r="AV1550">
        <v>0</v>
      </c>
      <c r="AW1550">
        <v>0</v>
      </c>
      <c r="AY1550">
        <v>0</v>
      </c>
      <c r="AZ1550">
        <v>0</v>
      </c>
      <c r="BA1550">
        <v>140</v>
      </c>
      <c r="BE1550" t="str">
        <f>T("9791137013551")</f>
        <v>9791137013551</v>
      </c>
      <c r="BF1550" t="str">
        <f>T("N195516")</f>
        <v>N195516</v>
      </c>
      <c r="BG1550" t="str">
        <f>T("판타지 웹소설 &gt; 퓨전 판타지")</f>
        <v>판타지 웹소설 &gt; 퓨전 판타지</v>
      </c>
    </row>
    <row r="1551" spans="1:59">
      <c r="A1551" t="s">
        <v>60</v>
      </c>
      <c r="B1551" s="1">
        <v>46130</v>
      </c>
      <c r="C1551">
        <v>2378044483</v>
      </c>
      <c r="D1551">
        <v>2378044541</v>
      </c>
      <c r="E1551" t="str">
        <f>T("내 눈에만 아공간이 보여 58화")</f>
        <v>내 눈에만 아공간이 보여 58화</v>
      </c>
      <c r="F1551">
        <v>59</v>
      </c>
      <c r="G1551" t="str">
        <f>T("지누아빠")</f>
        <v>지누아빠</v>
      </c>
      <c r="J1551" t="str">
        <f>T("매드햇")</f>
        <v>매드햇</v>
      </c>
      <c r="K1551" t="str">
        <f>T("내 눈에만 아공간이 보여")</f>
        <v>내 눈에만 아공간이 보여</v>
      </c>
      <c r="L1551">
        <v>100</v>
      </c>
      <c r="M1551">
        <v>200</v>
      </c>
      <c r="N1551">
        <v>2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200</v>
      </c>
      <c r="AJ1551">
        <v>2</v>
      </c>
      <c r="AK1551">
        <v>0</v>
      </c>
      <c r="AL1551">
        <v>0</v>
      </c>
      <c r="AM1551">
        <v>200</v>
      </c>
      <c r="AN1551">
        <v>0</v>
      </c>
      <c r="AO1551">
        <v>0</v>
      </c>
      <c r="AP1551">
        <v>0</v>
      </c>
      <c r="AQ1551">
        <v>0</v>
      </c>
      <c r="AS1551">
        <v>0</v>
      </c>
      <c r="AT1551">
        <v>0</v>
      </c>
      <c r="AV1551">
        <v>0</v>
      </c>
      <c r="AW1551">
        <v>0</v>
      </c>
      <c r="AY1551">
        <v>0</v>
      </c>
      <c r="AZ1551">
        <v>0</v>
      </c>
      <c r="BA1551">
        <v>140</v>
      </c>
      <c r="BE1551" t="str">
        <f>T("9791137013551")</f>
        <v>9791137013551</v>
      </c>
      <c r="BF1551" t="str">
        <f>T("N195517")</f>
        <v>N195517</v>
      </c>
      <c r="BG1551" t="str">
        <f>T("판타지 웹소설 &gt; 퓨전 판타지")</f>
        <v>판타지 웹소설 &gt; 퓨전 판타지</v>
      </c>
    </row>
    <row r="1552" spans="1:59">
      <c r="A1552" t="s">
        <v>60</v>
      </c>
      <c r="B1552" s="1">
        <v>46130</v>
      </c>
      <c r="C1552">
        <v>2378044483</v>
      </c>
      <c r="D1552">
        <v>2378044542</v>
      </c>
      <c r="E1552" t="str">
        <f>T("내 눈에만 아공간이 보여 59화")</f>
        <v>내 눈에만 아공간이 보여 59화</v>
      </c>
      <c r="F1552">
        <v>60</v>
      </c>
      <c r="G1552" t="str">
        <f>T("지누아빠")</f>
        <v>지누아빠</v>
      </c>
      <c r="J1552" t="str">
        <f>T("매드햇")</f>
        <v>매드햇</v>
      </c>
      <c r="K1552" t="str">
        <f>T("내 눈에만 아공간이 보여")</f>
        <v>내 눈에만 아공간이 보여</v>
      </c>
      <c r="L1552">
        <v>100</v>
      </c>
      <c r="M1552">
        <v>200</v>
      </c>
      <c r="N1552">
        <v>2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200</v>
      </c>
      <c r="AJ1552">
        <v>2</v>
      </c>
      <c r="AK1552">
        <v>0</v>
      </c>
      <c r="AL1552">
        <v>0</v>
      </c>
      <c r="AM1552">
        <v>200</v>
      </c>
      <c r="AN1552">
        <v>0</v>
      </c>
      <c r="AO1552">
        <v>0</v>
      </c>
      <c r="AP1552">
        <v>0</v>
      </c>
      <c r="AQ1552">
        <v>0</v>
      </c>
      <c r="AS1552">
        <v>0</v>
      </c>
      <c r="AT1552">
        <v>0</v>
      </c>
      <c r="AV1552">
        <v>0</v>
      </c>
      <c r="AW1552">
        <v>0</v>
      </c>
      <c r="AY1552">
        <v>0</v>
      </c>
      <c r="AZ1552">
        <v>0</v>
      </c>
      <c r="BA1552">
        <v>140</v>
      </c>
      <c r="BE1552" t="str">
        <f>T("9791137013551")</f>
        <v>9791137013551</v>
      </c>
      <c r="BF1552" t="str">
        <f>T("N195518")</f>
        <v>N195518</v>
      </c>
      <c r="BG1552" t="str">
        <f>T("판타지 웹소설 &gt; 퓨전 판타지")</f>
        <v>판타지 웹소설 &gt; 퓨전 판타지</v>
      </c>
    </row>
    <row r="1553" spans="1:59">
      <c r="A1553" t="s">
        <v>60</v>
      </c>
      <c r="B1553" s="1">
        <v>46130</v>
      </c>
      <c r="C1553">
        <v>2378044483</v>
      </c>
      <c r="D1553">
        <v>2378044543</v>
      </c>
      <c r="E1553" t="str">
        <f>T("내 눈에만 아공간이 보여 60화")</f>
        <v>내 눈에만 아공간이 보여 60화</v>
      </c>
      <c r="F1553">
        <v>61</v>
      </c>
      <c r="G1553" t="str">
        <f>T("지누아빠")</f>
        <v>지누아빠</v>
      </c>
      <c r="J1553" t="str">
        <f>T("매드햇")</f>
        <v>매드햇</v>
      </c>
      <c r="K1553" t="str">
        <f>T("내 눈에만 아공간이 보여")</f>
        <v>내 눈에만 아공간이 보여</v>
      </c>
      <c r="L1553">
        <v>100</v>
      </c>
      <c r="M1553">
        <v>200</v>
      </c>
      <c r="N1553">
        <v>2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200</v>
      </c>
      <c r="AJ1553">
        <v>2</v>
      </c>
      <c r="AK1553">
        <v>0</v>
      </c>
      <c r="AL1553">
        <v>0</v>
      </c>
      <c r="AM1553">
        <v>200</v>
      </c>
      <c r="AN1553">
        <v>0</v>
      </c>
      <c r="AO1553">
        <v>0</v>
      </c>
      <c r="AP1553">
        <v>0</v>
      </c>
      <c r="AQ1553">
        <v>0</v>
      </c>
      <c r="AS1553">
        <v>0</v>
      </c>
      <c r="AT1553">
        <v>0</v>
      </c>
      <c r="AV1553">
        <v>0</v>
      </c>
      <c r="AW1553">
        <v>0</v>
      </c>
      <c r="AY1553">
        <v>0</v>
      </c>
      <c r="AZ1553">
        <v>0</v>
      </c>
      <c r="BA1553">
        <v>140</v>
      </c>
      <c r="BE1553" t="str">
        <f>T("9791137013551")</f>
        <v>9791137013551</v>
      </c>
      <c r="BF1553" t="str">
        <f>T("N195519")</f>
        <v>N195519</v>
      </c>
      <c r="BG1553" t="str">
        <f>T("판타지 웹소설 &gt; 퓨전 판타지")</f>
        <v>판타지 웹소설 &gt; 퓨전 판타지</v>
      </c>
    </row>
    <row r="1554" spans="1:59">
      <c r="A1554" t="s">
        <v>60</v>
      </c>
      <c r="B1554" s="1">
        <v>46130</v>
      </c>
      <c r="C1554">
        <v>2378044483</v>
      </c>
      <c r="D1554">
        <v>2378044544</v>
      </c>
      <c r="E1554" t="str">
        <f>T("내 눈에만 아공간이 보여 61화")</f>
        <v>내 눈에만 아공간이 보여 61화</v>
      </c>
      <c r="F1554">
        <v>62</v>
      </c>
      <c r="G1554" t="str">
        <f>T("지누아빠")</f>
        <v>지누아빠</v>
      </c>
      <c r="J1554" t="str">
        <f>T("매드햇")</f>
        <v>매드햇</v>
      </c>
      <c r="K1554" t="str">
        <f>T("내 눈에만 아공간이 보여")</f>
        <v>내 눈에만 아공간이 보여</v>
      </c>
      <c r="L1554">
        <v>100</v>
      </c>
      <c r="M1554">
        <v>200</v>
      </c>
      <c r="N1554">
        <v>2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200</v>
      </c>
      <c r="AJ1554">
        <v>2</v>
      </c>
      <c r="AK1554">
        <v>0</v>
      </c>
      <c r="AL1554">
        <v>0</v>
      </c>
      <c r="AM1554">
        <v>200</v>
      </c>
      <c r="AN1554">
        <v>0</v>
      </c>
      <c r="AO1554">
        <v>0</v>
      </c>
      <c r="AP1554">
        <v>0</v>
      </c>
      <c r="AQ1554">
        <v>0</v>
      </c>
      <c r="AS1554">
        <v>0</v>
      </c>
      <c r="AT1554">
        <v>0</v>
      </c>
      <c r="AV1554">
        <v>0</v>
      </c>
      <c r="AW1554">
        <v>0</v>
      </c>
      <c r="AY1554">
        <v>0</v>
      </c>
      <c r="AZ1554">
        <v>0</v>
      </c>
      <c r="BA1554">
        <v>140</v>
      </c>
      <c r="BE1554" t="str">
        <f>T("9791137013551")</f>
        <v>9791137013551</v>
      </c>
      <c r="BF1554" t="str">
        <f>T("N195520")</f>
        <v>N195520</v>
      </c>
      <c r="BG1554" t="str">
        <f>T("판타지 웹소설 &gt; 퓨전 판타지")</f>
        <v>판타지 웹소설 &gt; 퓨전 판타지</v>
      </c>
    </row>
    <row r="1555" spans="1:59">
      <c r="A1555" t="s">
        <v>60</v>
      </c>
      <c r="B1555" s="1">
        <v>46130</v>
      </c>
      <c r="C1555">
        <v>2378044483</v>
      </c>
      <c r="D1555">
        <v>2378044545</v>
      </c>
      <c r="E1555" t="str">
        <f>T("내 눈에만 아공간이 보여 62화")</f>
        <v>내 눈에만 아공간이 보여 62화</v>
      </c>
      <c r="F1555">
        <v>63</v>
      </c>
      <c r="G1555" t="str">
        <f>T("지누아빠")</f>
        <v>지누아빠</v>
      </c>
      <c r="J1555" t="str">
        <f>T("매드햇")</f>
        <v>매드햇</v>
      </c>
      <c r="K1555" t="str">
        <f>T("내 눈에만 아공간이 보여")</f>
        <v>내 눈에만 아공간이 보여</v>
      </c>
      <c r="L1555">
        <v>100</v>
      </c>
      <c r="M1555">
        <v>200</v>
      </c>
      <c r="N1555">
        <v>2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200</v>
      </c>
      <c r="AJ1555">
        <v>2</v>
      </c>
      <c r="AK1555">
        <v>0</v>
      </c>
      <c r="AL1555">
        <v>0</v>
      </c>
      <c r="AM1555">
        <v>200</v>
      </c>
      <c r="AN1555">
        <v>0</v>
      </c>
      <c r="AO1555">
        <v>0</v>
      </c>
      <c r="AP1555">
        <v>0</v>
      </c>
      <c r="AQ1555">
        <v>0</v>
      </c>
      <c r="AS1555">
        <v>0</v>
      </c>
      <c r="AT1555">
        <v>0</v>
      </c>
      <c r="AV1555">
        <v>0</v>
      </c>
      <c r="AW1555">
        <v>0</v>
      </c>
      <c r="AY1555">
        <v>0</v>
      </c>
      <c r="AZ1555">
        <v>0</v>
      </c>
      <c r="BA1555">
        <v>140</v>
      </c>
      <c r="BE1555" t="str">
        <f>T("9791137013551")</f>
        <v>9791137013551</v>
      </c>
      <c r="BF1555" t="str">
        <f>T("N195521")</f>
        <v>N195521</v>
      </c>
      <c r="BG1555" t="str">
        <f>T("판타지 웹소설 &gt; 퓨전 판타지")</f>
        <v>판타지 웹소설 &gt; 퓨전 판타지</v>
      </c>
    </row>
    <row r="1556" spans="1:59">
      <c r="A1556" t="s">
        <v>60</v>
      </c>
      <c r="B1556" s="1">
        <v>46130</v>
      </c>
      <c r="C1556">
        <v>2378044483</v>
      </c>
      <c r="D1556">
        <v>2378044546</v>
      </c>
      <c r="E1556" t="str">
        <f>T("내 눈에만 아공간이 보여 63화")</f>
        <v>내 눈에만 아공간이 보여 63화</v>
      </c>
      <c r="F1556">
        <v>64</v>
      </c>
      <c r="G1556" t="str">
        <f>T("지누아빠")</f>
        <v>지누아빠</v>
      </c>
      <c r="J1556" t="str">
        <f>T("매드햇")</f>
        <v>매드햇</v>
      </c>
      <c r="K1556" t="str">
        <f>T("내 눈에만 아공간이 보여")</f>
        <v>내 눈에만 아공간이 보여</v>
      </c>
      <c r="L1556">
        <v>100</v>
      </c>
      <c r="M1556">
        <v>200</v>
      </c>
      <c r="N1556">
        <v>2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200</v>
      </c>
      <c r="AJ1556">
        <v>2</v>
      </c>
      <c r="AK1556">
        <v>0</v>
      </c>
      <c r="AL1556">
        <v>0</v>
      </c>
      <c r="AM1556">
        <v>200</v>
      </c>
      <c r="AN1556">
        <v>0</v>
      </c>
      <c r="AO1556">
        <v>0</v>
      </c>
      <c r="AP1556">
        <v>0</v>
      </c>
      <c r="AQ1556">
        <v>0</v>
      </c>
      <c r="AS1556">
        <v>0</v>
      </c>
      <c r="AT1556">
        <v>0</v>
      </c>
      <c r="AV1556">
        <v>0</v>
      </c>
      <c r="AW1556">
        <v>0</v>
      </c>
      <c r="AY1556">
        <v>0</v>
      </c>
      <c r="AZ1556">
        <v>0</v>
      </c>
      <c r="BA1556">
        <v>140</v>
      </c>
      <c r="BE1556" t="str">
        <f>T("9791137013551")</f>
        <v>9791137013551</v>
      </c>
      <c r="BF1556" t="str">
        <f>T("N195522")</f>
        <v>N195522</v>
      </c>
      <c r="BG1556" t="str">
        <f>T("판타지 웹소설 &gt; 퓨전 판타지")</f>
        <v>판타지 웹소설 &gt; 퓨전 판타지</v>
      </c>
    </row>
    <row r="1557" spans="1:59">
      <c r="A1557" t="s">
        <v>60</v>
      </c>
      <c r="B1557" s="1">
        <v>46130</v>
      </c>
      <c r="C1557">
        <v>2378044483</v>
      </c>
      <c r="D1557">
        <v>2378044547</v>
      </c>
      <c r="E1557" t="str">
        <f>T("내 눈에만 아공간이 보여 64화")</f>
        <v>내 눈에만 아공간이 보여 64화</v>
      </c>
      <c r="F1557">
        <v>65</v>
      </c>
      <c r="G1557" t="str">
        <f>T("지누아빠")</f>
        <v>지누아빠</v>
      </c>
      <c r="J1557" t="str">
        <f>T("매드햇")</f>
        <v>매드햇</v>
      </c>
      <c r="K1557" t="str">
        <f>T("내 눈에만 아공간이 보여")</f>
        <v>내 눈에만 아공간이 보여</v>
      </c>
      <c r="L1557">
        <v>100</v>
      </c>
      <c r="M1557">
        <v>200</v>
      </c>
      <c r="N1557">
        <v>2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200</v>
      </c>
      <c r="AJ1557">
        <v>2</v>
      </c>
      <c r="AK1557">
        <v>0</v>
      </c>
      <c r="AL1557">
        <v>0</v>
      </c>
      <c r="AM1557">
        <v>200</v>
      </c>
      <c r="AN1557">
        <v>0</v>
      </c>
      <c r="AO1557">
        <v>0</v>
      </c>
      <c r="AP1557">
        <v>0</v>
      </c>
      <c r="AQ1557">
        <v>0</v>
      </c>
      <c r="AS1557">
        <v>0</v>
      </c>
      <c r="AT1557">
        <v>0</v>
      </c>
      <c r="AV1557">
        <v>0</v>
      </c>
      <c r="AW1557">
        <v>0</v>
      </c>
      <c r="AY1557">
        <v>0</v>
      </c>
      <c r="AZ1557">
        <v>0</v>
      </c>
      <c r="BA1557">
        <v>140</v>
      </c>
      <c r="BE1557" t="str">
        <f>T("9791137013551")</f>
        <v>9791137013551</v>
      </c>
      <c r="BF1557" t="str">
        <f>T("N195523")</f>
        <v>N195523</v>
      </c>
      <c r="BG1557" t="str">
        <f>T("판타지 웹소설 &gt; 퓨전 판타지")</f>
        <v>판타지 웹소설 &gt; 퓨전 판타지</v>
      </c>
    </row>
    <row r="1558" spans="1:59">
      <c r="A1558" t="s">
        <v>60</v>
      </c>
      <c r="B1558" s="1">
        <v>46130</v>
      </c>
      <c r="C1558">
        <v>2378044483</v>
      </c>
      <c r="D1558">
        <v>2378044548</v>
      </c>
      <c r="E1558" t="str">
        <f>T("내 눈에만 아공간이 보여 65화")</f>
        <v>내 눈에만 아공간이 보여 65화</v>
      </c>
      <c r="F1558">
        <v>66</v>
      </c>
      <c r="G1558" t="str">
        <f>T("지누아빠")</f>
        <v>지누아빠</v>
      </c>
      <c r="J1558" t="str">
        <f>T("매드햇")</f>
        <v>매드햇</v>
      </c>
      <c r="K1558" t="str">
        <f>T("내 눈에만 아공간이 보여")</f>
        <v>내 눈에만 아공간이 보여</v>
      </c>
      <c r="L1558">
        <v>100</v>
      </c>
      <c r="M1558">
        <v>200</v>
      </c>
      <c r="N1558">
        <v>2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200</v>
      </c>
      <c r="AJ1558">
        <v>2</v>
      </c>
      <c r="AK1558">
        <v>0</v>
      </c>
      <c r="AL1558">
        <v>0</v>
      </c>
      <c r="AM1558">
        <v>200</v>
      </c>
      <c r="AN1558">
        <v>0</v>
      </c>
      <c r="AO1558">
        <v>0</v>
      </c>
      <c r="AP1558">
        <v>0</v>
      </c>
      <c r="AQ1558">
        <v>0</v>
      </c>
      <c r="AS1558">
        <v>0</v>
      </c>
      <c r="AT1558">
        <v>0</v>
      </c>
      <c r="AV1558">
        <v>0</v>
      </c>
      <c r="AW1558">
        <v>0</v>
      </c>
      <c r="AY1558">
        <v>0</v>
      </c>
      <c r="AZ1558">
        <v>0</v>
      </c>
      <c r="BA1558">
        <v>140</v>
      </c>
      <c r="BE1558" t="str">
        <f>T("9791137013551")</f>
        <v>9791137013551</v>
      </c>
      <c r="BF1558" t="str">
        <f>T("N195524")</f>
        <v>N195524</v>
      </c>
      <c r="BG1558" t="str">
        <f>T("판타지 웹소설 &gt; 퓨전 판타지")</f>
        <v>판타지 웹소설 &gt; 퓨전 판타지</v>
      </c>
    </row>
    <row r="1559" spans="1:59">
      <c r="A1559" t="s">
        <v>60</v>
      </c>
      <c r="B1559" s="1">
        <v>46130</v>
      </c>
      <c r="C1559">
        <v>2378044483</v>
      </c>
      <c r="D1559">
        <v>2378044549</v>
      </c>
      <c r="E1559" t="str">
        <f>T("내 눈에만 아공간이 보여 66화")</f>
        <v>내 눈에만 아공간이 보여 66화</v>
      </c>
      <c r="F1559">
        <v>67</v>
      </c>
      <c r="G1559" t="str">
        <f>T("지누아빠")</f>
        <v>지누아빠</v>
      </c>
      <c r="J1559" t="str">
        <f>T("매드햇")</f>
        <v>매드햇</v>
      </c>
      <c r="K1559" t="str">
        <f>T("내 눈에만 아공간이 보여")</f>
        <v>내 눈에만 아공간이 보여</v>
      </c>
      <c r="L1559">
        <v>100</v>
      </c>
      <c r="M1559">
        <v>200</v>
      </c>
      <c r="N1559">
        <v>2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200</v>
      </c>
      <c r="AJ1559">
        <v>2</v>
      </c>
      <c r="AK1559">
        <v>0</v>
      </c>
      <c r="AL1559">
        <v>0</v>
      </c>
      <c r="AM1559">
        <v>200</v>
      </c>
      <c r="AN1559">
        <v>0</v>
      </c>
      <c r="AO1559">
        <v>0</v>
      </c>
      <c r="AP1559">
        <v>0</v>
      </c>
      <c r="AQ1559">
        <v>0</v>
      </c>
      <c r="AS1559">
        <v>0</v>
      </c>
      <c r="AT1559">
        <v>0</v>
      </c>
      <c r="AV1559">
        <v>0</v>
      </c>
      <c r="AW1559">
        <v>0</v>
      </c>
      <c r="AY1559">
        <v>0</v>
      </c>
      <c r="AZ1559">
        <v>0</v>
      </c>
      <c r="BA1559">
        <v>140</v>
      </c>
      <c r="BE1559" t="str">
        <f>T("9791137013551")</f>
        <v>9791137013551</v>
      </c>
      <c r="BF1559" t="str">
        <f>T("N195525")</f>
        <v>N195525</v>
      </c>
      <c r="BG1559" t="str">
        <f>T("판타지 웹소설 &gt; 퓨전 판타지")</f>
        <v>판타지 웹소설 &gt; 퓨전 판타지</v>
      </c>
    </row>
    <row r="1560" spans="1:59">
      <c r="A1560" t="s">
        <v>60</v>
      </c>
      <c r="B1560" s="1">
        <v>46130</v>
      </c>
      <c r="C1560">
        <v>2378044483</v>
      </c>
      <c r="D1560">
        <v>2378044550</v>
      </c>
      <c r="E1560" t="str">
        <f>T("내 눈에만 아공간이 보여 67화")</f>
        <v>내 눈에만 아공간이 보여 67화</v>
      </c>
      <c r="F1560">
        <v>68</v>
      </c>
      <c r="G1560" t="str">
        <f>T("지누아빠")</f>
        <v>지누아빠</v>
      </c>
      <c r="J1560" t="str">
        <f>T("매드햇")</f>
        <v>매드햇</v>
      </c>
      <c r="K1560" t="str">
        <f>T("내 눈에만 아공간이 보여")</f>
        <v>내 눈에만 아공간이 보여</v>
      </c>
      <c r="L1560">
        <v>100</v>
      </c>
      <c r="M1560">
        <v>200</v>
      </c>
      <c r="N1560">
        <v>2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200</v>
      </c>
      <c r="AJ1560">
        <v>2</v>
      </c>
      <c r="AK1560">
        <v>0</v>
      </c>
      <c r="AL1560">
        <v>0</v>
      </c>
      <c r="AM1560">
        <v>200</v>
      </c>
      <c r="AN1560">
        <v>0</v>
      </c>
      <c r="AO1560">
        <v>0</v>
      </c>
      <c r="AP1560">
        <v>0</v>
      </c>
      <c r="AQ1560">
        <v>0</v>
      </c>
      <c r="AS1560">
        <v>0</v>
      </c>
      <c r="AT1560">
        <v>0</v>
      </c>
      <c r="AV1560">
        <v>0</v>
      </c>
      <c r="AW1560">
        <v>0</v>
      </c>
      <c r="AY1560">
        <v>0</v>
      </c>
      <c r="AZ1560">
        <v>0</v>
      </c>
      <c r="BA1560">
        <v>140</v>
      </c>
      <c r="BE1560" t="str">
        <f>T("9791137013551")</f>
        <v>9791137013551</v>
      </c>
      <c r="BF1560" t="str">
        <f>T("N195526")</f>
        <v>N195526</v>
      </c>
      <c r="BG1560" t="str">
        <f>T("판타지 웹소설 &gt; 퓨전 판타지")</f>
        <v>판타지 웹소설 &gt; 퓨전 판타지</v>
      </c>
    </row>
    <row r="1561" spans="1:59">
      <c r="A1561" t="s">
        <v>60</v>
      </c>
      <c r="B1561" s="1">
        <v>46130</v>
      </c>
      <c r="C1561">
        <v>2378044483</v>
      </c>
      <c r="D1561">
        <v>2378044551</v>
      </c>
      <c r="E1561" t="str">
        <f>T("내 눈에만 아공간이 보여 68화")</f>
        <v>내 눈에만 아공간이 보여 68화</v>
      </c>
      <c r="F1561">
        <v>69</v>
      </c>
      <c r="G1561" t="str">
        <f>T("지누아빠")</f>
        <v>지누아빠</v>
      </c>
      <c r="J1561" t="str">
        <f>T("매드햇")</f>
        <v>매드햇</v>
      </c>
      <c r="K1561" t="str">
        <f>T("내 눈에만 아공간이 보여")</f>
        <v>내 눈에만 아공간이 보여</v>
      </c>
      <c r="L1561">
        <v>100</v>
      </c>
      <c r="M1561">
        <v>200</v>
      </c>
      <c r="N1561">
        <v>2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0</v>
      </c>
      <c r="AH1561">
        <v>0</v>
      </c>
      <c r="AI1561">
        <v>200</v>
      </c>
      <c r="AJ1561">
        <v>2</v>
      </c>
      <c r="AK1561">
        <v>0</v>
      </c>
      <c r="AL1561">
        <v>0</v>
      </c>
      <c r="AM1561">
        <v>200</v>
      </c>
      <c r="AN1561">
        <v>0</v>
      </c>
      <c r="AO1561">
        <v>0</v>
      </c>
      <c r="AP1561">
        <v>0</v>
      </c>
      <c r="AQ1561">
        <v>0</v>
      </c>
      <c r="AS1561">
        <v>0</v>
      </c>
      <c r="AT1561">
        <v>0</v>
      </c>
      <c r="AV1561">
        <v>0</v>
      </c>
      <c r="AW1561">
        <v>0</v>
      </c>
      <c r="AY1561">
        <v>0</v>
      </c>
      <c r="AZ1561">
        <v>0</v>
      </c>
      <c r="BA1561">
        <v>140</v>
      </c>
      <c r="BE1561" t="str">
        <f>T("9791137013551")</f>
        <v>9791137013551</v>
      </c>
      <c r="BF1561" t="str">
        <f>T("N195527")</f>
        <v>N195527</v>
      </c>
      <c r="BG1561" t="str">
        <f>T("판타지 웹소설 &gt; 퓨전 판타지")</f>
        <v>판타지 웹소설 &gt; 퓨전 판타지</v>
      </c>
    </row>
    <row r="1562" spans="1:59">
      <c r="A1562" t="s">
        <v>60</v>
      </c>
      <c r="B1562" s="1">
        <v>46130</v>
      </c>
      <c r="C1562">
        <v>2378044483</v>
      </c>
      <c r="D1562">
        <v>2378044552</v>
      </c>
      <c r="E1562" t="str">
        <f>T("내 눈에만 아공간이 보여 69화")</f>
        <v>내 눈에만 아공간이 보여 69화</v>
      </c>
      <c r="F1562">
        <v>70</v>
      </c>
      <c r="G1562" t="str">
        <f>T("지누아빠")</f>
        <v>지누아빠</v>
      </c>
      <c r="J1562" t="str">
        <f>T("매드햇")</f>
        <v>매드햇</v>
      </c>
      <c r="K1562" t="str">
        <f>T("내 눈에만 아공간이 보여")</f>
        <v>내 눈에만 아공간이 보여</v>
      </c>
      <c r="L1562">
        <v>100</v>
      </c>
      <c r="M1562">
        <v>200</v>
      </c>
      <c r="N1562">
        <v>2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0</v>
      </c>
      <c r="AH1562">
        <v>0</v>
      </c>
      <c r="AI1562">
        <v>200</v>
      </c>
      <c r="AJ1562">
        <v>2</v>
      </c>
      <c r="AK1562">
        <v>0</v>
      </c>
      <c r="AL1562">
        <v>0</v>
      </c>
      <c r="AM1562">
        <v>200</v>
      </c>
      <c r="AN1562">
        <v>0</v>
      </c>
      <c r="AO1562">
        <v>0</v>
      </c>
      <c r="AP1562">
        <v>0</v>
      </c>
      <c r="AQ1562">
        <v>0</v>
      </c>
      <c r="AS1562">
        <v>0</v>
      </c>
      <c r="AT1562">
        <v>0</v>
      </c>
      <c r="AV1562">
        <v>0</v>
      </c>
      <c r="AW1562">
        <v>0</v>
      </c>
      <c r="AY1562">
        <v>0</v>
      </c>
      <c r="AZ1562">
        <v>0</v>
      </c>
      <c r="BA1562">
        <v>140</v>
      </c>
      <c r="BE1562" t="str">
        <f>T("9791137013551")</f>
        <v>9791137013551</v>
      </c>
      <c r="BF1562" t="str">
        <f>T("N195528")</f>
        <v>N195528</v>
      </c>
      <c r="BG1562" t="str">
        <f>T("판타지 웹소설 &gt; 퓨전 판타지")</f>
        <v>판타지 웹소설 &gt; 퓨전 판타지</v>
      </c>
    </row>
    <row r="1563" spans="1:59">
      <c r="A1563" t="s">
        <v>60</v>
      </c>
      <c r="B1563" s="1">
        <v>46130</v>
      </c>
      <c r="C1563">
        <v>2378044483</v>
      </c>
      <c r="D1563">
        <v>2378044553</v>
      </c>
      <c r="E1563" t="str">
        <f>T("내 눈에만 아공간이 보여 70화")</f>
        <v>내 눈에만 아공간이 보여 70화</v>
      </c>
      <c r="F1563">
        <v>71</v>
      </c>
      <c r="G1563" t="str">
        <f>T("지누아빠")</f>
        <v>지누아빠</v>
      </c>
      <c r="J1563" t="str">
        <f>T("매드햇")</f>
        <v>매드햇</v>
      </c>
      <c r="K1563" t="str">
        <f>T("내 눈에만 아공간이 보여")</f>
        <v>내 눈에만 아공간이 보여</v>
      </c>
      <c r="L1563">
        <v>100</v>
      </c>
      <c r="M1563">
        <v>200</v>
      </c>
      <c r="N1563">
        <v>2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200</v>
      </c>
      <c r="AJ1563">
        <v>2</v>
      </c>
      <c r="AK1563">
        <v>0</v>
      </c>
      <c r="AL1563">
        <v>0</v>
      </c>
      <c r="AM1563">
        <v>200</v>
      </c>
      <c r="AN1563">
        <v>0</v>
      </c>
      <c r="AO1563">
        <v>0</v>
      </c>
      <c r="AP1563">
        <v>0</v>
      </c>
      <c r="AQ1563">
        <v>0</v>
      </c>
      <c r="AS1563">
        <v>0</v>
      </c>
      <c r="AT1563">
        <v>0</v>
      </c>
      <c r="AV1563">
        <v>0</v>
      </c>
      <c r="AW1563">
        <v>0</v>
      </c>
      <c r="AY1563">
        <v>0</v>
      </c>
      <c r="AZ1563">
        <v>0</v>
      </c>
      <c r="BA1563">
        <v>140</v>
      </c>
      <c r="BE1563" t="str">
        <f>T("9791137013551")</f>
        <v>9791137013551</v>
      </c>
      <c r="BF1563" t="str">
        <f>T("N195529")</f>
        <v>N195529</v>
      </c>
      <c r="BG1563" t="str">
        <f>T("판타지 웹소설 &gt; 퓨전 판타지")</f>
        <v>판타지 웹소설 &gt; 퓨전 판타지</v>
      </c>
    </row>
    <row r="1564" spans="1:59">
      <c r="A1564" t="s">
        <v>60</v>
      </c>
      <c r="B1564" s="1">
        <v>46130</v>
      </c>
      <c r="C1564">
        <v>2378044483</v>
      </c>
      <c r="D1564">
        <v>2378044554</v>
      </c>
      <c r="E1564" t="str">
        <f>T("내 눈에만 아공간이 보여 71화")</f>
        <v>내 눈에만 아공간이 보여 71화</v>
      </c>
      <c r="F1564">
        <v>72</v>
      </c>
      <c r="G1564" t="str">
        <f>T("지누아빠")</f>
        <v>지누아빠</v>
      </c>
      <c r="J1564" t="str">
        <f>T("매드햇")</f>
        <v>매드햇</v>
      </c>
      <c r="K1564" t="str">
        <f>T("내 눈에만 아공간이 보여")</f>
        <v>내 눈에만 아공간이 보여</v>
      </c>
      <c r="L1564">
        <v>100</v>
      </c>
      <c r="M1564">
        <v>200</v>
      </c>
      <c r="N1564">
        <v>2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200</v>
      </c>
      <c r="AJ1564">
        <v>2</v>
      </c>
      <c r="AK1564">
        <v>0</v>
      </c>
      <c r="AL1564">
        <v>0</v>
      </c>
      <c r="AM1564">
        <v>200</v>
      </c>
      <c r="AN1564">
        <v>0</v>
      </c>
      <c r="AO1564">
        <v>0</v>
      </c>
      <c r="AP1564">
        <v>0</v>
      </c>
      <c r="AQ1564">
        <v>0</v>
      </c>
      <c r="AS1564">
        <v>0</v>
      </c>
      <c r="AT1564">
        <v>0</v>
      </c>
      <c r="AV1564">
        <v>0</v>
      </c>
      <c r="AW1564">
        <v>0</v>
      </c>
      <c r="AY1564">
        <v>0</v>
      </c>
      <c r="AZ1564">
        <v>0</v>
      </c>
      <c r="BA1564">
        <v>140</v>
      </c>
      <c r="BE1564" t="str">
        <f>T("9791137013551")</f>
        <v>9791137013551</v>
      </c>
      <c r="BF1564" t="str">
        <f>T("N195530")</f>
        <v>N195530</v>
      </c>
      <c r="BG1564" t="str">
        <f>T("판타지 웹소설 &gt; 퓨전 판타지")</f>
        <v>판타지 웹소설 &gt; 퓨전 판타지</v>
      </c>
    </row>
    <row r="1565" spans="1:59">
      <c r="A1565" t="s">
        <v>60</v>
      </c>
      <c r="B1565" s="1">
        <v>46130</v>
      </c>
      <c r="C1565">
        <v>2378044483</v>
      </c>
      <c r="D1565">
        <v>2378044555</v>
      </c>
      <c r="E1565" t="str">
        <f>T("내 눈에만 아공간이 보여 72화")</f>
        <v>내 눈에만 아공간이 보여 72화</v>
      </c>
      <c r="F1565">
        <v>73</v>
      </c>
      <c r="G1565" t="str">
        <f>T("지누아빠")</f>
        <v>지누아빠</v>
      </c>
      <c r="J1565" t="str">
        <f>T("매드햇")</f>
        <v>매드햇</v>
      </c>
      <c r="K1565" t="str">
        <f>T("내 눈에만 아공간이 보여")</f>
        <v>내 눈에만 아공간이 보여</v>
      </c>
      <c r="L1565">
        <v>100</v>
      </c>
      <c r="M1565">
        <v>200</v>
      </c>
      <c r="N1565">
        <v>2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0</v>
      </c>
      <c r="AI1565">
        <v>200</v>
      </c>
      <c r="AJ1565">
        <v>2</v>
      </c>
      <c r="AK1565">
        <v>0</v>
      </c>
      <c r="AL1565">
        <v>0</v>
      </c>
      <c r="AM1565">
        <v>200</v>
      </c>
      <c r="AN1565">
        <v>0</v>
      </c>
      <c r="AO1565">
        <v>0</v>
      </c>
      <c r="AP1565">
        <v>0</v>
      </c>
      <c r="AQ1565">
        <v>0</v>
      </c>
      <c r="AS1565">
        <v>0</v>
      </c>
      <c r="AT1565">
        <v>0</v>
      </c>
      <c r="AV1565">
        <v>0</v>
      </c>
      <c r="AW1565">
        <v>0</v>
      </c>
      <c r="AY1565">
        <v>0</v>
      </c>
      <c r="AZ1565">
        <v>0</v>
      </c>
      <c r="BA1565">
        <v>140</v>
      </c>
      <c r="BE1565" t="str">
        <f>T("9791137013551")</f>
        <v>9791137013551</v>
      </c>
      <c r="BF1565" t="str">
        <f>T("N195531")</f>
        <v>N195531</v>
      </c>
      <c r="BG1565" t="str">
        <f>T("판타지 웹소설 &gt; 퓨전 판타지")</f>
        <v>판타지 웹소설 &gt; 퓨전 판타지</v>
      </c>
    </row>
    <row r="1566" spans="1:59">
      <c r="A1566" t="s">
        <v>60</v>
      </c>
      <c r="B1566" s="1">
        <v>46130</v>
      </c>
      <c r="C1566">
        <v>2378044483</v>
      </c>
      <c r="D1566">
        <v>2378044556</v>
      </c>
      <c r="E1566" t="str">
        <f>T("내 눈에만 아공간이 보여 73화")</f>
        <v>내 눈에만 아공간이 보여 73화</v>
      </c>
      <c r="F1566">
        <v>74</v>
      </c>
      <c r="G1566" t="str">
        <f>T("지누아빠")</f>
        <v>지누아빠</v>
      </c>
      <c r="J1566" t="str">
        <f>T("매드햇")</f>
        <v>매드햇</v>
      </c>
      <c r="K1566" t="str">
        <f>T("내 눈에만 아공간이 보여")</f>
        <v>내 눈에만 아공간이 보여</v>
      </c>
      <c r="L1566">
        <v>100</v>
      </c>
      <c r="M1566">
        <v>200</v>
      </c>
      <c r="N1566">
        <v>2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200</v>
      </c>
      <c r="AJ1566">
        <v>2</v>
      </c>
      <c r="AK1566">
        <v>0</v>
      </c>
      <c r="AL1566">
        <v>0</v>
      </c>
      <c r="AM1566">
        <v>200</v>
      </c>
      <c r="AN1566">
        <v>0</v>
      </c>
      <c r="AO1566">
        <v>0</v>
      </c>
      <c r="AP1566">
        <v>0</v>
      </c>
      <c r="AQ1566">
        <v>0</v>
      </c>
      <c r="AS1566">
        <v>0</v>
      </c>
      <c r="AT1566">
        <v>0</v>
      </c>
      <c r="AV1566">
        <v>0</v>
      </c>
      <c r="AW1566">
        <v>0</v>
      </c>
      <c r="AY1566">
        <v>0</v>
      </c>
      <c r="AZ1566">
        <v>0</v>
      </c>
      <c r="BA1566">
        <v>140</v>
      </c>
      <c r="BE1566" t="str">
        <f>T("9791137013551")</f>
        <v>9791137013551</v>
      </c>
      <c r="BF1566" t="str">
        <f>T("N195532")</f>
        <v>N195532</v>
      </c>
      <c r="BG1566" t="str">
        <f>T("판타지 웹소설 &gt; 퓨전 판타지")</f>
        <v>판타지 웹소설 &gt; 퓨전 판타지</v>
      </c>
    </row>
    <row r="1567" spans="1:59">
      <c r="A1567" t="s">
        <v>60</v>
      </c>
      <c r="B1567" s="1">
        <v>46130</v>
      </c>
      <c r="C1567">
        <v>2378044483</v>
      </c>
      <c r="D1567">
        <v>2378044557</v>
      </c>
      <c r="E1567" t="str">
        <f>T("내 눈에만 아공간이 보여 74화")</f>
        <v>내 눈에만 아공간이 보여 74화</v>
      </c>
      <c r="F1567">
        <v>75</v>
      </c>
      <c r="G1567" t="str">
        <f>T("지누아빠")</f>
        <v>지누아빠</v>
      </c>
      <c r="J1567" t="str">
        <f>T("매드햇")</f>
        <v>매드햇</v>
      </c>
      <c r="K1567" t="str">
        <f>T("내 눈에만 아공간이 보여")</f>
        <v>내 눈에만 아공간이 보여</v>
      </c>
      <c r="L1567">
        <v>100</v>
      </c>
      <c r="M1567">
        <v>200</v>
      </c>
      <c r="N1567">
        <v>2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200</v>
      </c>
      <c r="AJ1567">
        <v>2</v>
      </c>
      <c r="AK1567">
        <v>0</v>
      </c>
      <c r="AL1567">
        <v>0</v>
      </c>
      <c r="AM1567">
        <v>200</v>
      </c>
      <c r="AN1567">
        <v>0</v>
      </c>
      <c r="AO1567">
        <v>0</v>
      </c>
      <c r="AP1567">
        <v>0</v>
      </c>
      <c r="AQ1567">
        <v>0</v>
      </c>
      <c r="AS1567">
        <v>0</v>
      </c>
      <c r="AT1567">
        <v>0</v>
      </c>
      <c r="AV1567">
        <v>0</v>
      </c>
      <c r="AW1567">
        <v>0</v>
      </c>
      <c r="AY1567">
        <v>0</v>
      </c>
      <c r="AZ1567">
        <v>0</v>
      </c>
      <c r="BA1567">
        <v>140</v>
      </c>
      <c r="BE1567" t="str">
        <f>T("9791137013551")</f>
        <v>9791137013551</v>
      </c>
      <c r="BF1567" t="str">
        <f>T("N195533")</f>
        <v>N195533</v>
      </c>
      <c r="BG1567" t="str">
        <f>T("판타지 웹소설 &gt; 퓨전 판타지")</f>
        <v>판타지 웹소설 &gt; 퓨전 판타지</v>
      </c>
    </row>
    <row r="1568" spans="1:59">
      <c r="A1568" t="s">
        <v>60</v>
      </c>
      <c r="B1568" s="1">
        <v>46130</v>
      </c>
      <c r="C1568">
        <v>2378044483</v>
      </c>
      <c r="D1568">
        <v>2378044558</v>
      </c>
      <c r="E1568" t="str">
        <f>T("내 눈에만 아공간이 보여 75화")</f>
        <v>내 눈에만 아공간이 보여 75화</v>
      </c>
      <c r="F1568">
        <v>76</v>
      </c>
      <c r="G1568" t="str">
        <f>T("지누아빠")</f>
        <v>지누아빠</v>
      </c>
      <c r="J1568" t="str">
        <f>T("매드햇")</f>
        <v>매드햇</v>
      </c>
      <c r="K1568" t="str">
        <f>T("내 눈에만 아공간이 보여")</f>
        <v>내 눈에만 아공간이 보여</v>
      </c>
      <c r="L1568">
        <v>100</v>
      </c>
      <c r="M1568">
        <v>200</v>
      </c>
      <c r="N1568">
        <v>2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200</v>
      </c>
      <c r="AJ1568">
        <v>2</v>
      </c>
      <c r="AK1568">
        <v>0</v>
      </c>
      <c r="AL1568">
        <v>0</v>
      </c>
      <c r="AM1568">
        <v>200</v>
      </c>
      <c r="AN1568">
        <v>0</v>
      </c>
      <c r="AO1568">
        <v>0</v>
      </c>
      <c r="AP1568">
        <v>0</v>
      </c>
      <c r="AQ1568">
        <v>0</v>
      </c>
      <c r="AS1568">
        <v>0</v>
      </c>
      <c r="AT1568">
        <v>0</v>
      </c>
      <c r="AV1568">
        <v>0</v>
      </c>
      <c r="AW1568">
        <v>0</v>
      </c>
      <c r="AY1568">
        <v>0</v>
      </c>
      <c r="AZ1568">
        <v>0</v>
      </c>
      <c r="BA1568">
        <v>140</v>
      </c>
      <c r="BE1568" t="str">
        <f>T("9791137013551")</f>
        <v>9791137013551</v>
      </c>
      <c r="BF1568" t="str">
        <f>T("N195534")</f>
        <v>N195534</v>
      </c>
      <c r="BG1568" t="str">
        <f>T("판타지 웹소설 &gt; 퓨전 판타지")</f>
        <v>판타지 웹소설 &gt; 퓨전 판타지</v>
      </c>
    </row>
    <row r="1569" spans="1:59">
      <c r="A1569" t="s">
        <v>60</v>
      </c>
      <c r="B1569" s="1">
        <v>46130</v>
      </c>
      <c r="C1569">
        <v>2378044483</v>
      </c>
      <c r="D1569">
        <v>2378044559</v>
      </c>
      <c r="E1569" t="str">
        <f>T("내 눈에만 아공간이 보여 76화")</f>
        <v>내 눈에만 아공간이 보여 76화</v>
      </c>
      <c r="F1569">
        <v>77</v>
      </c>
      <c r="G1569" t="str">
        <f>T("지누아빠")</f>
        <v>지누아빠</v>
      </c>
      <c r="J1569" t="str">
        <f>T("매드햇")</f>
        <v>매드햇</v>
      </c>
      <c r="K1569" t="str">
        <f>T("내 눈에만 아공간이 보여")</f>
        <v>내 눈에만 아공간이 보여</v>
      </c>
      <c r="L1569">
        <v>100</v>
      </c>
      <c r="M1569">
        <v>200</v>
      </c>
      <c r="N1569">
        <v>2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200</v>
      </c>
      <c r="AJ1569">
        <v>2</v>
      </c>
      <c r="AK1569">
        <v>0</v>
      </c>
      <c r="AL1569">
        <v>0</v>
      </c>
      <c r="AM1569">
        <v>200</v>
      </c>
      <c r="AN1569">
        <v>0</v>
      </c>
      <c r="AO1569">
        <v>0</v>
      </c>
      <c r="AP1569">
        <v>0</v>
      </c>
      <c r="AQ1569">
        <v>0</v>
      </c>
      <c r="AS1569">
        <v>0</v>
      </c>
      <c r="AT1569">
        <v>0</v>
      </c>
      <c r="AV1569">
        <v>0</v>
      </c>
      <c r="AW1569">
        <v>0</v>
      </c>
      <c r="AY1569">
        <v>0</v>
      </c>
      <c r="AZ1569">
        <v>0</v>
      </c>
      <c r="BA1569">
        <v>140</v>
      </c>
      <c r="BE1569" t="str">
        <f>T("9791137013551")</f>
        <v>9791137013551</v>
      </c>
      <c r="BF1569" t="str">
        <f>T("N195535")</f>
        <v>N195535</v>
      </c>
      <c r="BG1569" t="str">
        <f>T("판타지 웹소설 &gt; 퓨전 판타지")</f>
        <v>판타지 웹소설 &gt; 퓨전 판타지</v>
      </c>
    </row>
    <row r="1570" spans="1:59">
      <c r="A1570" t="s">
        <v>60</v>
      </c>
      <c r="B1570" s="1">
        <v>46130</v>
      </c>
      <c r="C1570">
        <v>2378044483</v>
      </c>
      <c r="D1570">
        <v>2378044560</v>
      </c>
      <c r="E1570" t="str">
        <f>T("내 눈에만 아공간이 보여 77화")</f>
        <v>내 눈에만 아공간이 보여 77화</v>
      </c>
      <c r="F1570">
        <v>78</v>
      </c>
      <c r="G1570" t="str">
        <f>T("지누아빠")</f>
        <v>지누아빠</v>
      </c>
      <c r="J1570" t="str">
        <f>T("매드햇")</f>
        <v>매드햇</v>
      </c>
      <c r="K1570" t="str">
        <f>T("내 눈에만 아공간이 보여")</f>
        <v>내 눈에만 아공간이 보여</v>
      </c>
      <c r="L1570">
        <v>100</v>
      </c>
      <c r="M1570">
        <v>200</v>
      </c>
      <c r="N1570">
        <v>2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200</v>
      </c>
      <c r="AJ1570">
        <v>2</v>
      </c>
      <c r="AK1570">
        <v>0</v>
      </c>
      <c r="AL1570">
        <v>0</v>
      </c>
      <c r="AM1570">
        <v>200</v>
      </c>
      <c r="AN1570">
        <v>0</v>
      </c>
      <c r="AO1570">
        <v>0</v>
      </c>
      <c r="AP1570">
        <v>0</v>
      </c>
      <c r="AQ1570">
        <v>0</v>
      </c>
      <c r="AS1570">
        <v>0</v>
      </c>
      <c r="AT1570">
        <v>0</v>
      </c>
      <c r="AV1570">
        <v>0</v>
      </c>
      <c r="AW1570">
        <v>0</v>
      </c>
      <c r="AY1570">
        <v>0</v>
      </c>
      <c r="AZ1570">
        <v>0</v>
      </c>
      <c r="BA1570">
        <v>140</v>
      </c>
      <c r="BE1570" t="str">
        <f>T("9791137013551")</f>
        <v>9791137013551</v>
      </c>
      <c r="BF1570" t="str">
        <f>T("N195536")</f>
        <v>N195536</v>
      </c>
      <c r="BG1570" t="str">
        <f>T("판타지 웹소설 &gt; 퓨전 판타지")</f>
        <v>판타지 웹소설 &gt; 퓨전 판타지</v>
      </c>
    </row>
    <row r="1571" spans="1:59">
      <c r="A1571" t="s">
        <v>60</v>
      </c>
      <c r="B1571" s="1">
        <v>46130</v>
      </c>
      <c r="C1571">
        <v>2378044483</v>
      </c>
      <c r="D1571">
        <v>2378044561</v>
      </c>
      <c r="E1571" t="str">
        <f>T("내 눈에만 아공간이 보여 78화")</f>
        <v>내 눈에만 아공간이 보여 78화</v>
      </c>
      <c r="F1571">
        <v>79</v>
      </c>
      <c r="G1571" t="str">
        <f>T("지누아빠")</f>
        <v>지누아빠</v>
      </c>
      <c r="J1571" t="str">
        <f>T("매드햇")</f>
        <v>매드햇</v>
      </c>
      <c r="K1571" t="str">
        <f>T("내 눈에만 아공간이 보여")</f>
        <v>내 눈에만 아공간이 보여</v>
      </c>
      <c r="L1571">
        <v>100</v>
      </c>
      <c r="M1571">
        <v>100</v>
      </c>
      <c r="N1571">
        <v>1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100</v>
      </c>
      <c r="AJ1571">
        <v>1</v>
      </c>
      <c r="AK1571">
        <v>0</v>
      </c>
      <c r="AL1571">
        <v>0</v>
      </c>
      <c r="AM1571">
        <v>100</v>
      </c>
      <c r="AN1571">
        <v>0</v>
      </c>
      <c r="AO1571">
        <v>0</v>
      </c>
      <c r="AP1571">
        <v>0</v>
      </c>
      <c r="AQ1571">
        <v>0</v>
      </c>
      <c r="AS1571">
        <v>0</v>
      </c>
      <c r="AT1571">
        <v>0</v>
      </c>
      <c r="AV1571">
        <v>0</v>
      </c>
      <c r="AW1571">
        <v>0</v>
      </c>
      <c r="AY1571">
        <v>0</v>
      </c>
      <c r="AZ1571">
        <v>0</v>
      </c>
      <c r="BA1571">
        <v>70</v>
      </c>
      <c r="BE1571" t="str">
        <f>T("9791137013551")</f>
        <v>9791137013551</v>
      </c>
      <c r="BF1571" t="str">
        <f>T("N195537")</f>
        <v>N195537</v>
      </c>
      <c r="BG1571" t="str">
        <f>T("판타지 웹소설 &gt; 퓨전 판타지")</f>
        <v>판타지 웹소설 &gt; 퓨전 판타지</v>
      </c>
    </row>
    <row r="1572" spans="1:59">
      <c r="A1572" t="s">
        <v>60</v>
      </c>
      <c r="B1572" s="1">
        <v>46130</v>
      </c>
      <c r="C1572">
        <v>2378044483</v>
      </c>
      <c r="D1572">
        <v>2378044562</v>
      </c>
      <c r="E1572" t="str">
        <f>T("내 눈에만 아공간이 보여 79화")</f>
        <v>내 눈에만 아공간이 보여 79화</v>
      </c>
      <c r="F1572">
        <v>80</v>
      </c>
      <c r="G1572" t="str">
        <f>T("지누아빠")</f>
        <v>지누아빠</v>
      </c>
      <c r="J1572" t="str">
        <f>T("매드햇")</f>
        <v>매드햇</v>
      </c>
      <c r="K1572" t="str">
        <f>T("내 눈에만 아공간이 보여")</f>
        <v>내 눈에만 아공간이 보여</v>
      </c>
      <c r="L1572">
        <v>100</v>
      </c>
      <c r="M1572">
        <v>100</v>
      </c>
      <c r="N1572">
        <v>1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100</v>
      </c>
      <c r="AJ1572">
        <v>1</v>
      </c>
      <c r="AK1572">
        <v>0</v>
      </c>
      <c r="AL1572">
        <v>0</v>
      </c>
      <c r="AM1572">
        <v>100</v>
      </c>
      <c r="AN1572">
        <v>0</v>
      </c>
      <c r="AO1572">
        <v>0</v>
      </c>
      <c r="AP1572">
        <v>0</v>
      </c>
      <c r="AQ1572">
        <v>0</v>
      </c>
      <c r="AS1572">
        <v>0</v>
      </c>
      <c r="AT1572">
        <v>0</v>
      </c>
      <c r="AV1572">
        <v>0</v>
      </c>
      <c r="AW1572">
        <v>0</v>
      </c>
      <c r="AY1572">
        <v>0</v>
      </c>
      <c r="AZ1572">
        <v>0</v>
      </c>
      <c r="BA1572">
        <v>70</v>
      </c>
      <c r="BE1572" t="str">
        <f>T("9791137013551")</f>
        <v>9791137013551</v>
      </c>
      <c r="BF1572" t="str">
        <f>T("N195538")</f>
        <v>N195538</v>
      </c>
      <c r="BG1572" t="str">
        <f>T("판타지 웹소설 &gt; 퓨전 판타지")</f>
        <v>판타지 웹소설 &gt; 퓨전 판타지</v>
      </c>
    </row>
    <row r="1573" spans="1:59">
      <c r="A1573" t="s">
        <v>60</v>
      </c>
      <c r="B1573" s="1">
        <v>46130</v>
      </c>
      <c r="C1573">
        <v>2378044483</v>
      </c>
      <c r="D1573">
        <v>2378044563</v>
      </c>
      <c r="E1573" t="str">
        <f>T("내 눈에만 아공간이 보여 80화")</f>
        <v>내 눈에만 아공간이 보여 80화</v>
      </c>
      <c r="F1573">
        <v>81</v>
      </c>
      <c r="G1573" t="str">
        <f>T("지누아빠")</f>
        <v>지누아빠</v>
      </c>
      <c r="J1573" t="str">
        <f>T("매드햇")</f>
        <v>매드햇</v>
      </c>
      <c r="K1573" t="str">
        <f>T("내 눈에만 아공간이 보여")</f>
        <v>내 눈에만 아공간이 보여</v>
      </c>
      <c r="L1573">
        <v>100</v>
      </c>
      <c r="M1573">
        <v>100</v>
      </c>
      <c r="N1573">
        <v>1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0</v>
      </c>
      <c r="AI1573">
        <v>100</v>
      </c>
      <c r="AJ1573">
        <v>1</v>
      </c>
      <c r="AK1573">
        <v>0</v>
      </c>
      <c r="AL1573">
        <v>0</v>
      </c>
      <c r="AM1573">
        <v>100</v>
      </c>
      <c r="AN1573">
        <v>0</v>
      </c>
      <c r="AO1573">
        <v>0</v>
      </c>
      <c r="AP1573">
        <v>0</v>
      </c>
      <c r="AQ1573">
        <v>0</v>
      </c>
      <c r="AS1573">
        <v>0</v>
      </c>
      <c r="AT1573">
        <v>0</v>
      </c>
      <c r="AV1573">
        <v>0</v>
      </c>
      <c r="AW1573">
        <v>0</v>
      </c>
      <c r="AY1573">
        <v>0</v>
      </c>
      <c r="AZ1573">
        <v>0</v>
      </c>
      <c r="BA1573">
        <v>70</v>
      </c>
      <c r="BE1573" t="str">
        <f>T("9791137013551")</f>
        <v>9791137013551</v>
      </c>
      <c r="BF1573" t="str">
        <f>T("N195539")</f>
        <v>N195539</v>
      </c>
      <c r="BG1573" t="str">
        <f>T("판타지 웹소설 &gt; 퓨전 판타지")</f>
        <v>판타지 웹소설 &gt; 퓨전 판타지</v>
      </c>
    </row>
    <row r="1574" spans="1:59">
      <c r="A1574" t="s">
        <v>60</v>
      </c>
      <c r="B1574" s="1">
        <v>46130</v>
      </c>
      <c r="C1574">
        <v>2378044483</v>
      </c>
      <c r="D1574">
        <v>2378044564</v>
      </c>
      <c r="E1574" t="str">
        <f>T("내 눈에만 아공간이 보여 81화")</f>
        <v>내 눈에만 아공간이 보여 81화</v>
      </c>
      <c r="F1574">
        <v>82</v>
      </c>
      <c r="G1574" t="str">
        <f>T("지누아빠")</f>
        <v>지누아빠</v>
      </c>
      <c r="J1574" t="str">
        <f>T("매드햇")</f>
        <v>매드햇</v>
      </c>
      <c r="K1574" t="str">
        <f>T("내 눈에만 아공간이 보여")</f>
        <v>내 눈에만 아공간이 보여</v>
      </c>
      <c r="L1574">
        <v>100</v>
      </c>
      <c r="M1574">
        <v>100</v>
      </c>
      <c r="N1574">
        <v>1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100</v>
      </c>
      <c r="AJ1574">
        <v>1</v>
      </c>
      <c r="AK1574">
        <v>0</v>
      </c>
      <c r="AL1574">
        <v>0</v>
      </c>
      <c r="AM1574">
        <v>100</v>
      </c>
      <c r="AN1574">
        <v>0</v>
      </c>
      <c r="AO1574">
        <v>0</v>
      </c>
      <c r="AP1574">
        <v>0</v>
      </c>
      <c r="AQ1574">
        <v>0</v>
      </c>
      <c r="AS1574">
        <v>0</v>
      </c>
      <c r="AT1574">
        <v>0</v>
      </c>
      <c r="AV1574">
        <v>0</v>
      </c>
      <c r="AW1574">
        <v>0</v>
      </c>
      <c r="AY1574">
        <v>0</v>
      </c>
      <c r="AZ1574">
        <v>0</v>
      </c>
      <c r="BA1574">
        <v>70</v>
      </c>
      <c r="BE1574" t="str">
        <f>T("9791137013551")</f>
        <v>9791137013551</v>
      </c>
      <c r="BF1574" t="str">
        <f>T("N195540")</f>
        <v>N195540</v>
      </c>
      <c r="BG1574" t="str">
        <f>T("판타지 웹소설 &gt; 퓨전 판타지")</f>
        <v>판타지 웹소설 &gt; 퓨전 판타지</v>
      </c>
    </row>
    <row r="1575" spans="1:59">
      <c r="A1575" t="s">
        <v>60</v>
      </c>
      <c r="B1575" s="1">
        <v>46130</v>
      </c>
      <c r="C1575">
        <v>2378044483</v>
      </c>
      <c r="D1575">
        <v>2378044565</v>
      </c>
      <c r="E1575" t="str">
        <f>T("내 눈에만 아공간이 보여 82화")</f>
        <v>내 눈에만 아공간이 보여 82화</v>
      </c>
      <c r="F1575">
        <v>83</v>
      </c>
      <c r="G1575" t="str">
        <f>T("지누아빠")</f>
        <v>지누아빠</v>
      </c>
      <c r="J1575" t="str">
        <f>T("매드햇")</f>
        <v>매드햇</v>
      </c>
      <c r="K1575" t="str">
        <f>T("내 눈에만 아공간이 보여")</f>
        <v>내 눈에만 아공간이 보여</v>
      </c>
      <c r="L1575">
        <v>100</v>
      </c>
      <c r="M1575">
        <v>100</v>
      </c>
      <c r="N1575">
        <v>1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100</v>
      </c>
      <c r="AJ1575">
        <v>1</v>
      </c>
      <c r="AK1575">
        <v>0</v>
      </c>
      <c r="AL1575">
        <v>0</v>
      </c>
      <c r="AM1575">
        <v>100</v>
      </c>
      <c r="AN1575">
        <v>0</v>
      </c>
      <c r="AO1575">
        <v>0</v>
      </c>
      <c r="AP1575">
        <v>0</v>
      </c>
      <c r="AQ1575">
        <v>0</v>
      </c>
      <c r="AS1575">
        <v>0</v>
      </c>
      <c r="AT1575">
        <v>0</v>
      </c>
      <c r="AV1575">
        <v>0</v>
      </c>
      <c r="AW1575">
        <v>0</v>
      </c>
      <c r="AY1575">
        <v>0</v>
      </c>
      <c r="AZ1575">
        <v>0</v>
      </c>
      <c r="BA1575">
        <v>70</v>
      </c>
      <c r="BE1575" t="str">
        <f>T("9791137013551")</f>
        <v>9791137013551</v>
      </c>
      <c r="BF1575" t="str">
        <f>T("N195541")</f>
        <v>N195541</v>
      </c>
      <c r="BG1575" t="str">
        <f>T("판타지 웹소설 &gt; 퓨전 판타지")</f>
        <v>판타지 웹소설 &gt; 퓨전 판타지</v>
      </c>
    </row>
    <row r="1576" spans="1:59">
      <c r="A1576" t="s">
        <v>60</v>
      </c>
      <c r="B1576" s="1">
        <v>46130</v>
      </c>
      <c r="C1576">
        <v>2378044483</v>
      </c>
      <c r="D1576">
        <v>2378044566</v>
      </c>
      <c r="E1576" t="str">
        <f>T("내 눈에만 아공간이 보여 83화")</f>
        <v>내 눈에만 아공간이 보여 83화</v>
      </c>
      <c r="F1576">
        <v>84</v>
      </c>
      <c r="G1576" t="str">
        <f>T("지누아빠")</f>
        <v>지누아빠</v>
      </c>
      <c r="J1576" t="str">
        <f>T("매드햇")</f>
        <v>매드햇</v>
      </c>
      <c r="K1576" t="str">
        <f>T("내 눈에만 아공간이 보여")</f>
        <v>내 눈에만 아공간이 보여</v>
      </c>
      <c r="L1576">
        <v>100</v>
      </c>
      <c r="M1576">
        <v>100</v>
      </c>
      <c r="N1576">
        <v>1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100</v>
      </c>
      <c r="AJ1576">
        <v>1</v>
      </c>
      <c r="AK1576">
        <v>0</v>
      </c>
      <c r="AL1576">
        <v>0</v>
      </c>
      <c r="AM1576">
        <v>100</v>
      </c>
      <c r="AN1576">
        <v>0</v>
      </c>
      <c r="AO1576">
        <v>0</v>
      </c>
      <c r="AP1576">
        <v>0</v>
      </c>
      <c r="AQ1576">
        <v>0</v>
      </c>
      <c r="AS1576">
        <v>0</v>
      </c>
      <c r="AT1576">
        <v>0</v>
      </c>
      <c r="AV1576">
        <v>0</v>
      </c>
      <c r="AW1576">
        <v>0</v>
      </c>
      <c r="AY1576">
        <v>0</v>
      </c>
      <c r="AZ1576">
        <v>0</v>
      </c>
      <c r="BA1576">
        <v>70</v>
      </c>
      <c r="BE1576" t="str">
        <f>T("9791137013551")</f>
        <v>9791137013551</v>
      </c>
      <c r="BF1576" t="str">
        <f>T("N195542")</f>
        <v>N195542</v>
      </c>
      <c r="BG1576" t="str">
        <f>T("판타지 웹소설 &gt; 퓨전 판타지")</f>
        <v>판타지 웹소설 &gt; 퓨전 판타지</v>
      </c>
    </row>
    <row r="1577" spans="1:59">
      <c r="A1577" t="s">
        <v>60</v>
      </c>
      <c r="B1577" s="1">
        <v>46130</v>
      </c>
      <c r="C1577">
        <v>2378044483</v>
      </c>
      <c r="D1577">
        <v>2378044567</v>
      </c>
      <c r="E1577" t="str">
        <f>T("내 눈에만 아공간이 보여 84화")</f>
        <v>내 눈에만 아공간이 보여 84화</v>
      </c>
      <c r="F1577">
        <v>85</v>
      </c>
      <c r="G1577" t="str">
        <f>T("지누아빠")</f>
        <v>지누아빠</v>
      </c>
      <c r="J1577" t="str">
        <f>T("매드햇")</f>
        <v>매드햇</v>
      </c>
      <c r="K1577" t="str">
        <f>T("내 눈에만 아공간이 보여")</f>
        <v>내 눈에만 아공간이 보여</v>
      </c>
      <c r="L1577">
        <v>100</v>
      </c>
      <c r="M1577">
        <v>100</v>
      </c>
      <c r="N1577">
        <v>1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100</v>
      </c>
      <c r="AJ1577">
        <v>1</v>
      </c>
      <c r="AK1577">
        <v>0</v>
      </c>
      <c r="AL1577">
        <v>0</v>
      </c>
      <c r="AM1577">
        <v>100</v>
      </c>
      <c r="AN1577">
        <v>0</v>
      </c>
      <c r="AO1577">
        <v>0</v>
      </c>
      <c r="AP1577">
        <v>0</v>
      </c>
      <c r="AQ1577">
        <v>0</v>
      </c>
      <c r="AS1577">
        <v>0</v>
      </c>
      <c r="AT1577">
        <v>0</v>
      </c>
      <c r="AV1577">
        <v>0</v>
      </c>
      <c r="AW1577">
        <v>0</v>
      </c>
      <c r="AY1577">
        <v>0</v>
      </c>
      <c r="AZ1577">
        <v>0</v>
      </c>
      <c r="BA1577">
        <v>70</v>
      </c>
      <c r="BE1577" t="str">
        <f>T("9791137013551")</f>
        <v>9791137013551</v>
      </c>
      <c r="BF1577" t="str">
        <f>T("N195543")</f>
        <v>N195543</v>
      </c>
      <c r="BG1577" t="str">
        <f>T("판타지 웹소설 &gt; 퓨전 판타지")</f>
        <v>판타지 웹소설 &gt; 퓨전 판타지</v>
      </c>
    </row>
    <row r="1578" spans="1:59">
      <c r="A1578" t="s">
        <v>60</v>
      </c>
      <c r="B1578" s="1">
        <v>46130</v>
      </c>
      <c r="C1578">
        <v>2378044483</v>
      </c>
      <c r="D1578">
        <v>2378044568</v>
      </c>
      <c r="E1578" t="str">
        <f>T("내 눈에만 아공간이 보여 85화")</f>
        <v>내 눈에만 아공간이 보여 85화</v>
      </c>
      <c r="F1578">
        <v>86</v>
      </c>
      <c r="G1578" t="str">
        <f>T("지누아빠")</f>
        <v>지누아빠</v>
      </c>
      <c r="J1578" t="str">
        <f>T("매드햇")</f>
        <v>매드햇</v>
      </c>
      <c r="K1578" t="str">
        <f>T("내 눈에만 아공간이 보여")</f>
        <v>내 눈에만 아공간이 보여</v>
      </c>
      <c r="L1578">
        <v>100</v>
      </c>
      <c r="M1578">
        <v>100</v>
      </c>
      <c r="N1578">
        <v>1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100</v>
      </c>
      <c r="AJ1578">
        <v>1</v>
      </c>
      <c r="AK1578">
        <v>0</v>
      </c>
      <c r="AL1578">
        <v>0</v>
      </c>
      <c r="AM1578">
        <v>100</v>
      </c>
      <c r="AN1578">
        <v>0</v>
      </c>
      <c r="AO1578">
        <v>0</v>
      </c>
      <c r="AP1578">
        <v>0</v>
      </c>
      <c r="AQ1578">
        <v>0</v>
      </c>
      <c r="AS1578">
        <v>0</v>
      </c>
      <c r="AT1578">
        <v>0</v>
      </c>
      <c r="AV1578">
        <v>0</v>
      </c>
      <c r="AW1578">
        <v>0</v>
      </c>
      <c r="AY1578">
        <v>0</v>
      </c>
      <c r="AZ1578">
        <v>0</v>
      </c>
      <c r="BA1578">
        <v>70</v>
      </c>
      <c r="BE1578" t="str">
        <f>T("9791137013551")</f>
        <v>9791137013551</v>
      </c>
      <c r="BF1578" t="str">
        <f>T("N195544")</f>
        <v>N195544</v>
      </c>
      <c r="BG1578" t="str">
        <f>T("판타지 웹소설 &gt; 퓨전 판타지")</f>
        <v>판타지 웹소설 &gt; 퓨전 판타지</v>
      </c>
    </row>
    <row r="1579" spans="1:59">
      <c r="A1579" t="s">
        <v>60</v>
      </c>
      <c r="B1579" s="1">
        <v>46130</v>
      </c>
      <c r="C1579">
        <v>2378044483</v>
      </c>
      <c r="D1579">
        <v>2378044569</v>
      </c>
      <c r="E1579" t="str">
        <f>T("내 눈에만 아공간이 보여 86화")</f>
        <v>내 눈에만 아공간이 보여 86화</v>
      </c>
      <c r="F1579">
        <v>87</v>
      </c>
      <c r="G1579" t="str">
        <f>T("지누아빠")</f>
        <v>지누아빠</v>
      </c>
      <c r="J1579" t="str">
        <f>T("매드햇")</f>
        <v>매드햇</v>
      </c>
      <c r="K1579" t="str">
        <f>T("내 눈에만 아공간이 보여")</f>
        <v>내 눈에만 아공간이 보여</v>
      </c>
      <c r="L1579">
        <v>100</v>
      </c>
      <c r="M1579">
        <v>100</v>
      </c>
      <c r="N1579">
        <v>1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100</v>
      </c>
      <c r="AJ1579">
        <v>1</v>
      </c>
      <c r="AK1579">
        <v>0</v>
      </c>
      <c r="AL1579">
        <v>0</v>
      </c>
      <c r="AM1579">
        <v>100</v>
      </c>
      <c r="AN1579">
        <v>0</v>
      </c>
      <c r="AO1579">
        <v>0</v>
      </c>
      <c r="AP1579">
        <v>0</v>
      </c>
      <c r="AQ1579">
        <v>0</v>
      </c>
      <c r="AS1579">
        <v>0</v>
      </c>
      <c r="AT1579">
        <v>0</v>
      </c>
      <c r="AV1579">
        <v>0</v>
      </c>
      <c r="AW1579">
        <v>0</v>
      </c>
      <c r="AY1579">
        <v>0</v>
      </c>
      <c r="AZ1579">
        <v>0</v>
      </c>
      <c r="BA1579">
        <v>70</v>
      </c>
      <c r="BE1579" t="str">
        <f>T("9791137013551")</f>
        <v>9791137013551</v>
      </c>
      <c r="BF1579" t="str">
        <f>T("N195545")</f>
        <v>N195545</v>
      </c>
      <c r="BG1579" t="str">
        <f>T("판타지 웹소설 &gt; 퓨전 판타지")</f>
        <v>판타지 웹소설 &gt; 퓨전 판타지</v>
      </c>
    </row>
    <row r="1580" spans="1:59">
      <c r="A1580" t="s">
        <v>60</v>
      </c>
      <c r="B1580" s="1">
        <v>46130</v>
      </c>
      <c r="C1580">
        <v>2378044483</v>
      </c>
      <c r="D1580">
        <v>2378044570</v>
      </c>
      <c r="E1580" t="str">
        <f>T("내 눈에만 아공간이 보여 87화")</f>
        <v>내 눈에만 아공간이 보여 87화</v>
      </c>
      <c r="F1580">
        <v>88</v>
      </c>
      <c r="G1580" t="str">
        <f>T("지누아빠")</f>
        <v>지누아빠</v>
      </c>
      <c r="J1580" t="str">
        <f>T("매드햇")</f>
        <v>매드햇</v>
      </c>
      <c r="K1580" t="str">
        <f>T("내 눈에만 아공간이 보여")</f>
        <v>내 눈에만 아공간이 보여</v>
      </c>
      <c r="L1580">
        <v>100</v>
      </c>
      <c r="M1580">
        <v>100</v>
      </c>
      <c r="N1580">
        <v>1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100</v>
      </c>
      <c r="AJ1580">
        <v>1</v>
      </c>
      <c r="AK1580">
        <v>0</v>
      </c>
      <c r="AL1580">
        <v>0</v>
      </c>
      <c r="AM1580">
        <v>100</v>
      </c>
      <c r="AN1580">
        <v>0</v>
      </c>
      <c r="AO1580">
        <v>0</v>
      </c>
      <c r="AP1580">
        <v>0</v>
      </c>
      <c r="AQ1580">
        <v>0</v>
      </c>
      <c r="AS1580">
        <v>0</v>
      </c>
      <c r="AT1580">
        <v>0</v>
      </c>
      <c r="AV1580">
        <v>0</v>
      </c>
      <c r="AW1580">
        <v>0</v>
      </c>
      <c r="AY1580">
        <v>0</v>
      </c>
      <c r="AZ1580">
        <v>0</v>
      </c>
      <c r="BA1580">
        <v>70</v>
      </c>
      <c r="BE1580" t="str">
        <f>T("9791137013551")</f>
        <v>9791137013551</v>
      </c>
      <c r="BF1580" t="str">
        <f>T("N195546")</f>
        <v>N195546</v>
      </c>
      <c r="BG1580" t="str">
        <f>T("판타지 웹소설 &gt; 퓨전 판타지")</f>
        <v>판타지 웹소설 &gt; 퓨전 판타지</v>
      </c>
    </row>
    <row r="1581" spans="1:59">
      <c r="A1581" t="s">
        <v>60</v>
      </c>
      <c r="B1581" s="1">
        <v>46130</v>
      </c>
      <c r="C1581">
        <v>2378044483</v>
      </c>
      <c r="D1581">
        <v>2378044571</v>
      </c>
      <c r="E1581" t="str">
        <f>T("내 눈에만 아공간이 보여 88화")</f>
        <v>내 눈에만 아공간이 보여 88화</v>
      </c>
      <c r="F1581">
        <v>89</v>
      </c>
      <c r="G1581" t="str">
        <f>T("지누아빠")</f>
        <v>지누아빠</v>
      </c>
      <c r="J1581" t="str">
        <f>T("매드햇")</f>
        <v>매드햇</v>
      </c>
      <c r="K1581" t="str">
        <f>T("내 눈에만 아공간이 보여")</f>
        <v>내 눈에만 아공간이 보여</v>
      </c>
      <c r="L1581">
        <v>100</v>
      </c>
      <c r="M1581">
        <v>100</v>
      </c>
      <c r="N1581">
        <v>1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100</v>
      </c>
      <c r="AJ1581">
        <v>1</v>
      </c>
      <c r="AK1581">
        <v>0</v>
      </c>
      <c r="AL1581">
        <v>0</v>
      </c>
      <c r="AM1581">
        <v>100</v>
      </c>
      <c r="AN1581">
        <v>0</v>
      </c>
      <c r="AO1581">
        <v>0</v>
      </c>
      <c r="AP1581">
        <v>0</v>
      </c>
      <c r="AQ1581">
        <v>0</v>
      </c>
      <c r="AS1581">
        <v>0</v>
      </c>
      <c r="AT1581">
        <v>0</v>
      </c>
      <c r="AV1581">
        <v>0</v>
      </c>
      <c r="AW1581">
        <v>0</v>
      </c>
      <c r="AY1581">
        <v>0</v>
      </c>
      <c r="AZ1581">
        <v>0</v>
      </c>
      <c r="BA1581">
        <v>70</v>
      </c>
      <c r="BE1581" t="str">
        <f>T("9791137013551")</f>
        <v>9791137013551</v>
      </c>
      <c r="BF1581" t="str">
        <f>T("N195547")</f>
        <v>N195547</v>
      </c>
      <c r="BG1581" t="str">
        <f>T("판타지 웹소설 &gt; 퓨전 판타지")</f>
        <v>판타지 웹소설 &gt; 퓨전 판타지</v>
      </c>
    </row>
    <row r="1582" spans="1:59">
      <c r="A1582" t="s">
        <v>60</v>
      </c>
      <c r="B1582" s="1">
        <v>46130</v>
      </c>
      <c r="C1582">
        <v>2378044483</v>
      </c>
      <c r="D1582">
        <v>2378044572</v>
      </c>
      <c r="E1582" t="str">
        <f>T("내 눈에만 아공간이 보여 89화")</f>
        <v>내 눈에만 아공간이 보여 89화</v>
      </c>
      <c r="F1582">
        <v>90</v>
      </c>
      <c r="G1582" t="str">
        <f>T("지누아빠")</f>
        <v>지누아빠</v>
      </c>
      <c r="J1582" t="str">
        <f>T("매드햇")</f>
        <v>매드햇</v>
      </c>
      <c r="K1582" t="str">
        <f>T("내 눈에만 아공간이 보여")</f>
        <v>내 눈에만 아공간이 보여</v>
      </c>
      <c r="L1582">
        <v>100</v>
      </c>
      <c r="M1582">
        <v>100</v>
      </c>
      <c r="N1582">
        <v>1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100</v>
      </c>
      <c r="AJ1582">
        <v>1</v>
      </c>
      <c r="AK1582">
        <v>0</v>
      </c>
      <c r="AL1582">
        <v>0</v>
      </c>
      <c r="AM1582">
        <v>100</v>
      </c>
      <c r="AN1582">
        <v>0</v>
      </c>
      <c r="AO1582">
        <v>0</v>
      </c>
      <c r="AP1582">
        <v>0</v>
      </c>
      <c r="AQ1582">
        <v>0</v>
      </c>
      <c r="AS1582">
        <v>0</v>
      </c>
      <c r="AT1582">
        <v>0</v>
      </c>
      <c r="AV1582">
        <v>0</v>
      </c>
      <c r="AW1582">
        <v>0</v>
      </c>
      <c r="AY1582">
        <v>0</v>
      </c>
      <c r="AZ1582">
        <v>0</v>
      </c>
      <c r="BA1582">
        <v>70</v>
      </c>
      <c r="BE1582" t="str">
        <f>T("9791137013551")</f>
        <v>9791137013551</v>
      </c>
      <c r="BF1582" t="str">
        <f>T("N195548")</f>
        <v>N195548</v>
      </c>
      <c r="BG1582" t="str">
        <f>T("판타지 웹소설 &gt; 퓨전 판타지")</f>
        <v>판타지 웹소설 &gt; 퓨전 판타지</v>
      </c>
    </row>
    <row r="1583" spans="1:59">
      <c r="A1583" t="s">
        <v>60</v>
      </c>
      <c r="B1583" s="1">
        <v>46130</v>
      </c>
      <c r="C1583">
        <v>2378044483</v>
      </c>
      <c r="D1583">
        <v>2378044573</v>
      </c>
      <c r="E1583" t="str">
        <f>T("내 눈에만 아공간이 보여 90화")</f>
        <v>내 눈에만 아공간이 보여 90화</v>
      </c>
      <c r="F1583">
        <v>91</v>
      </c>
      <c r="G1583" t="str">
        <f>T("지누아빠")</f>
        <v>지누아빠</v>
      </c>
      <c r="J1583" t="str">
        <f>T("매드햇")</f>
        <v>매드햇</v>
      </c>
      <c r="K1583" t="str">
        <f>T("내 눈에만 아공간이 보여")</f>
        <v>내 눈에만 아공간이 보여</v>
      </c>
      <c r="L1583">
        <v>100</v>
      </c>
      <c r="M1583">
        <v>100</v>
      </c>
      <c r="N1583">
        <v>1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100</v>
      </c>
      <c r="AJ1583">
        <v>1</v>
      </c>
      <c r="AK1583">
        <v>0</v>
      </c>
      <c r="AL1583">
        <v>0</v>
      </c>
      <c r="AM1583">
        <v>100</v>
      </c>
      <c r="AN1583">
        <v>0</v>
      </c>
      <c r="AO1583">
        <v>0</v>
      </c>
      <c r="AP1583">
        <v>0</v>
      </c>
      <c r="AQ1583">
        <v>0</v>
      </c>
      <c r="AS1583">
        <v>0</v>
      </c>
      <c r="AT1583">
        <v>0</v>
      </c>
      <c r="AV1583">
        <v>0</v>
      </c>
      <c r="AW1583">
        <v>0</v>
      </c>
      <c r="AY1583">
        <v>0</v>
      </c>
      <c r="AZ1583">
        <v>0</v>
      </c>
      <c r="BA1583">
        <v>70</v>
      </c>
      <c r="BE1583" t="str">
        <f>T("9791137013551")</f>
        <v>9791137013551</v>
      </c>
      <c r="BF1583" t="str">
        <f>T("N195549")</f>
        <v>N195549</v>
      </c>
      <c r="BG1583" t="str">
        <f>T("판타지 웹소설 &gt; 퓨전 판타지")</f>
        <v>판타지 웹소설 &gt; 퓨전 판타지</v>
      </c>
    </row>
    <row r="1584" spans="1:59">
      <c r="A1584" t="s">
        <v>60</v>
      </c>
      <c r="B1584" s="1">
        <v>46130</v>
      </c>
      <c r="C1584">
        <v>2378044483</v>
      </c>
      <c r="D1584">
        <v>2378044574</v>
      </c>
      <c r="E1584" t="str">
        <f>T("내 눈에만 아공간이 보여 91화")</f>
        <v>내 눈에만 아공간이 보여 91화</v>
      </c>
      <c r="F1584">
        <v>92</v>
      </c>
      <c r="G1584" t="str">
        <f>T("지누아빠")</f>
        <v>지누아빠</v>
      </c>
      <c r="J1584" t="str">
        <f>T("매드햇")</f>
        <v>매드햇</v>
      </c>
      <c r="K1584" t="str">
        <f>T("내 눈에만 아공간이 보여")</f>
        <v>내 눈에만 아공간이 보여</v>
      </c>
      <c r="L1584">
        <v>100</v>
      </c>
      <c r="M1584">
        <v>100</v>
      </c>
      <c r="N1584">
        <v>1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100</v>
      </c>
      <c r="AJ1584">
        <v>1</v>
      </c>
      <c r="AK1584">
        <v>0</v>
      </c>
      <c r="AL1584">
        <v>0</v>
      </c>
      <c r="AM1584">
        <v>100</v>
      </c>
      <c r="AN1584">
        <v>0</v>
      </c>
      <c r="AO1584">
        <v>0</v>
      </c>
      <c r="AP1584">
        <v>0</v>
      </c>
      <c r="AQ1584">
        <v>0</v>
      </c>
      <c r="AS1584">
        <v>0</v>
      </c>
      <c r="AT1584">
        <v>0</v>
      </c>
      <c r="AV1584">
        <v>0</v>
      </c>
      <c r="AW1584">
        <v>0</v>
      </c>
      <c r="AY1584">
        <v>0</v>
      </c>
      <c r="AZ1584">
        <v>0</v>
      </c>
      <c r="BA1584">
        <v>70</v>
      </c>
      <c r="BE1584" t="str">
        <f>T("9791137013551")</f>
        <v>9791137013551</v>
      </c>
      <c r="BF1584" t="str">
        <f>T("N195550")</f>
        <v>N195550</v>
      </c>
      <c r="BG1584" t="str">
        <f>T("판타지 웹소설 &gt; 퓨전 판타지")</f>
        <v>판타지 웹소설 &gt; 퓨전 판타지</v>
      </c>
    </row>
    <row r="1585" spans="1:59">
      <c r="A1585" t="s">
        <v>60</v>
      </c>
      <c r="B1585" s="1">
        <v>46130</v>
      </c>
      <c r="C1585">
        <v>2378044483</v>
      </c>
      <c r="D1585">
        <v>2378044575</v>
      </c>
      <c r="E1585" t="str">
        <f>T("내 눈에만 아공간이 보여 92화")</f>
        <v>내 눈에만 아공간이 보여 92화</v>
      </c>
      <c r="F1585">
        <v>93</v>
      </c>
      <c r="G1585" t="str">
        <f>T("지누아빠")</f>
        <v>지누아빠</v>
      </c>
      <c r="J1585" t="str">
        <f>T("매드햇")</f>
        <v>매드햇</v>
      </c>
      <c r="K1585" t="str">
        <f>T("내 눈에만 아공간이 보여")</f>
        <v>내 눈에만 아공간이 보여</v>
      </c>
      <c r="L1585">
        <v>100</v>
      </c>
      <c r="M1585">
        <v>100</v>
      </c>
      <c r="N1585">
        <v>1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100</v>
      </c>
      <c r="AJ1585">
        <v>1</v>
      </c>
      <c r="AK1585">
        <v>0</v>
      </c>
      <c r="AL1585">
        <v>0</v>
      </c>
      <c r="AM1585">
        <v>100</v>
      </c>
      <c r="AN1585">
        <v>0</v>
      </c>
      <c r="AO1585">
        <v>0</v>
      </c>
      <c r="AP1585">
        <v>0</v>
      </c>
      <c r="AQ1585">
        <v>0</v>
      </c>
      <c r="AS1585">
        <v>0</v>
      </c>
      <c r="AT1585">
        <v>0</v>
      </c>
      <c r="AV1585">
        <v>0</v>
      </c>
      <c r="AW1585">
        <v>0</v>
      </c>
      <c r="AY1585">
        <v>0</v>
      </c>
      <c r="AZ1585">
        <v>0</v>
      </c>
      <c r="BA1585">
        <v>70</v>
      </c>
      <c r="BE1585" t="str">
        <f>T("9791137013551")</f>
        <v>9791137013551</v>
      </c>
      <c r="BF1585" t="str">
        <f>T("N195551")</f>
        <v>N195551</v>
      </c>
      <c r="BG1585" t="str">
        <f>T("판타지 웹소설 &gt; 퓨전 판타지")</f>
        <v>판타지 웹소설 &gt; 퓨전 판타지</v>
      </c>
    </row>
    <row r="1586" spans="1:59">
      <c r="A1586" t="s">
        <v>60</v>
      </c>
      <c r="B1586" s="1">
        <v>46130</v>
      </c>
      <c r="C1586">
        <v>2378044483</v>
      </c>
      <c r="D1586">
        <v>2378044576</v>
      </c>
      <c r="E1586" t="str">
        <f>T("내 눈에만 아공간이 보여 93화")</f>
        <v>내 눈에만 아공간이 보여 93화</v>
      </c>
      <c r="F1586">
        <v>94</v>
      </c>
      <c r="G1586" t="str">
        <f>T("지누아빠")</f>
        <v>지누아빠</v>
      </c>
      <c r="J1586" t="str">
        <f>T("매드햇")</f>
        <v>매드햇</v>
      </c>
      <c r="K1586" t="str">
        <f>T("내 눈에만 아공간이 보여")</f>
        <v>내 눈에만 아공간이 보여</v>
      </c>
      <c r="L1586">
        <v>100</v>
      </c>
      <c r="M1586">
        <v>100</v>
      </c>
      <c r="N1586">
        <v>1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100</v>
      </c>
      <c r="AJ1586">
        <v>1</v>
      </c>
      <c r="AK1586">
        <v>0</v>
      </c>
      <c r="AL1586">
        <v>0</v>
      </c>
      <c r="AM1586">
        <v>100</v>
      </c>
      <c r="AN1586">
        <v>0</v>
      </c>
      <c r="AO1586">
        <v>0</v>
      </c>
      <c r="AP1586">
        <v>0</v>
      </c>
      <c r="AQ1586">
        <v>0</v>
      </c>
      <c r="AS1586">
        <v>0</v>
      </c>
      <c r="AT1586">
        <v>0</v>
      </c>
      <c r="AV1586">
        <v>0</v>
      </c>
      <c r="AW1586">
        <v>0</v>
      </c>
      <c r="AY1586">
        <v>0</v>
      </c>
      <c r="AZ1586">
        <v>0</v>
      </c>
      <c r="BA1586">
        <v>70</v>
      </c>
      <c r="BE1586" t="str">
        <f>T("9791137013551")</f>
        <v>9791137013551</v>
      </c>
      <c r="BF1586" t="str">
        <f>T("N195552")</f>
        <v>N195552</v>
      </c>
      <c r="BG1586" t="str">
        <f>T("판타지 웹소설 &gt; 퓨전 판타지")</f>
        <v>판타지 웹소설 &gt; 퓨전 판타지</v>
      </c>
    </row>
    <row r="1587" spans="1:59">
      <c r="A1587" t="s">
        <v>60</v>
      </c>
      <c r="B1587" s="1">
        <v>46130</v>
      </c>
      <c r="C1587">
        <v>2378044483</v>
      </c>
      <c r="D1587">
        <v>2378044577</v>
      </c>
      <c r="E1587" t="str">
        <f>T("내 눈에만 아공간이 보여 94화")</f>
        <v>내 눈에만 아공간이 보여 94화</v>
      </c>
      <c r="F1587">
        <v>95</v>
      </c>
      <c r="G1587" t="str">
        <f>T("지누아빠")</f>
        <v>지누아빠</v>
      </c>
      <c r="J1587" t="str">
        <f>T("매드햇")</f>
        <v>매드햇</v>
      </c>
      <c r="K1587" t="str">
        <f>T("내 눈에만 아공간이 보여")</f>
        <v>내 눈에만 아공간이 보여</v>
      </c>
      <c r="L1587">
        <v>100</v>
      </c>
      <c r="M1587">
        <v>100</v>
      </c>
      <c r="N1587">
        <v>1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100</v>
      </c>
      <c r="AJ1587">
        <v>1</v>
      </c>
      <c r="AK1587">
        <v>0</v>
      </c>
      <c r="AL1587">
        <v>0</v>
      </c>
      <c r="AM1587">
        <v>100</v>
      </c>
      <c r="AN1587">
        <v>0</v>
      </c>
      <c r="AO1587">
        <v>0</v>
      </c>
      <c r="AP1587">
        <v>0</v>
      </c>
      <c r="AQ1587">
        <v>0</v>
      </c>
      <c r="AS1587">
        <v>0</v>
      </c>
      <c r="AT1587">
        <v>0</v>
      </c>
      <c r="AV1587">
        <v>0</v>
      </c>
      <c r="AW1587">
        <v>0</v>
      </c>
      <c r="AY1587">
        <v>0</v>
      </c>
      <c r="AZ1587">
        <v>0</v>
      </c>
      <c r="BA1587">
        <v>70</v>
      </c>
      <c r="BE1587" t="str">
        <f>T("9791137013551")</f>
        <v>9791137013551</v>
      </c>
      <c r="BF1587" t="str">
        <f>T("N195553")</f>
        <v>N195553</v>
      </c>
      <c r="BG1587" t="str">
        <f>T("판타지 웹소설 &gt; 퓨전 판타지")</f>
        <v>판타지 웹소설 &gt; 퓨전 판타지</v>
      </c>
    </row>
    <row r="1588" spans="1:59">
      <c r="A1588" t="s">
        <v>60</v>
      </c>
      <c r="B1588" s="1">
        <v>46130</v>
      </c>
      <c r="C1588">
        <v>2378044483</v>
      </c>
      <c r="D1588">
        <v>2378044578</v>
      </c>
      <c r="E1588" t="str">
        <f>T("내 눈에만 아공간이 보여 95화")</f>
        <v>내 눈에만 아공간이 보여 95화</v>
      </c>
      <c r="F1588">
        <v>96</v>
      </c>
      <c r="G1588" t="str">
        <f>T("지누아빠")</f>
        <v>지누아빠</v>
      </c>
      <c r="J1588" t="str">
        <f>T("매드햇")</f>
        <v>매드햇</v>
      </c>
      <c r="K1588" t="str">
        <f>T("내 눈에만 아공간이 보여")</f>
        <v>내 눈에만 아공간이 보여</v>
      </c>
      <c r="L1588">
        <v>100</v>
      </c>
      <c r="M1588">
        <v>100</v>
      </c>
      <c r="N1588">
        <v>1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0</v>
      </c>
      <c r="AH1588">
        <v>0</v>
      </c>
      <c r="AI1588">
        <v>100</v>
      </c>
      <c r="AJ1588">
        <v>1</v>
      </c>
      <c r="AK1588">
        <v>0</v>
      </c>
      <c r="AL1588">
        <v>0</v>
      </c>
      <c r="AM1588">
        <v>100</v>
      </c>
      <c r="AN1588">
        <v>0</v>
      </c>
      <c r="AO1588">
        <v>0</v>
      </c>
      <c r="AP1588">
        <v>0</v>
      </c>
      <c r="AQ1588">
        <v>0</v>
      </c>
      <c r="AS1588">
        <v>0</v>
      </c>
      <c r="AT1588">
        <v>0</v>
      </c>
      <c r="AV1588">
        <v>0</v>
      </c>
      <c r="AW1588">
        <v>0</v>
      </c>
      <c r="AY1588">
        <v>0</v>
      </c>
      <c r="AZ1588">
        <v>0</v>
      </c>
      <c r="BA1588">
        <v>70</v>
      </c>
      <c r="BE1588" t="str">
        <f>T("9791137013551")</f>
        <v>9791137013551</v>
      </c>
      <c r="BF1588" t="str">
        <f>T("N195554")</f>
        <v>N195554</v>
      </c>
      <c r="BG1588" t="str">
        <f>T("판타지 웹소설 &gt; 퓨전 판타지")</f>
        <v>판타지 웹소설 &gt; 퓨전 판타지</v>
      </c>
    </row>
    <row r="1589" spans="1:59">
      <c r="A1589" t="s">
        <v>60</v>
      </c>
      <c r="B1589" s="1">
        <v>46130</v>
      </c>
      <c r="C1589">
        <v>2378044483</v>
      </c>
      <c r="D1589">
        <v>2378044579</v>
      </c>
      <c r="E1589" t="str">
        <f>T("내 눈에만 아공간이 보여 96화")</f>
        <v>내 눈에만 아공간이 보여 96화</v>
      </c>
      <c r="F1589">
        <v>97</v>
      </c>
      <c r="G1589" t="str">
        <f>T("지누아빠")</f>
        <v>지누아빠</v>
      </c>
      <c r="J1589" t="str">
        <f>T("매드햇")</f>
        <v>매드햇</v>
      </c>
      <c r="K1589" t="str">
        <f>T("내 눈에만 아공간이 보여")</f>
        <v>내 눈에만 아공간이 보여</v>
      </c>
      <c r="L1589">
        <v>100</v>
      </c>
      <c r="M1589">
        <v>100</v>
      </c>
      <c r="N1589">
        <v>1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100</v>
      </c>
      <c r="AJ1589">
        <v>1</v>
      </c>
      <c r="AK1589">
        <v>0</v>
      </c>
      <c r="AL1589">
        <v>0</v>
      </c>
      <c r="AM1589">
        <v>100</v>
      </c>
      <c r="AN1589">
        <v>0</v>
      </c>
      <c r="AO1589">
        <v>0</v>
      </c>
      <c r="AP1589">
        <v>0</v>
      </c>
      <c r="AQ1589">
        <v>0</v>
      </c>
      <c r="AS1589">
        <v>0</v>
      </c>
      <c r="AT1589">
        <v>0</v>
      </c>
      <c r="AV1589">
        <v>0</v>
      </c>
      <c r="AW1589">
        <v>0</v>
      </c>
      <c r="AY1589">
        <v>0</v>
      </c>
      <c r="AZ1589">
        <v>0</v>
      </c>
      <c r="BA1589">
        <v>70</v>
      </c>
      <c r="BE1589" t="str">
        <f>T("9791137013551")</f>
        <v>9791137013551</v>
      </c>
      <c r="BF1589" t="str">
        <f>T("N195555")</f>
        <v>N195555</v>
      </c>
      <c r="BG1589" t="str">
        <f>T("판타지 웹소설 &gt; 퓨전 판타지")</f>
        <v>판타지 웹소설 &gt; 퓨전 판타지</v>
      </c>
    </row>
    <row r="1590" spans="1:59">
      <c r="A1590" t="s">
        <v>60</v>
      </c>
      <c r="B1590" s="1">
        <v>46130</v>
      </c>
      <c r="C1590">
        <v>2378044483</v>
      </c>
      <c r="D1590">
        <v>2378044580</v>
      </c>
      <c r="E1590" t="str">
        <f>T("내 눈에만 아공간이 보여 97화")</f>
        <v>내 눈에만 아공간이 보여 97화</v>
      </c>
      <c r="F1590">
        <v>98</v>
      </c>
      <c r="G1590" t="str">
        <f>T("지누아빠")</f>
        <v>지누아빠</v>
      </c>
      <c r="J1590" t="str">
        <f>T("매드햇")</f>
        <v>매드햇</v>
      </c>
      <c r="K1590" t="str">
        <f>T("내 눈에만 아공간이 보여")</f>
        <v>내 눈에만 아공간이 보여</v>
      </c>
      <c r="L1590">
        <v>100</v>
      </c>
      <c r="M1590">
        <v>100</v>
      </c>
      <c r="N1590">
        <v>1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0</v>
      </c>
      <c r="AF1590">
        <v>0</v>
      </c>
      <c r="AG1590">
        <v>0</v>
      </c>
      <c r="AH1590">
        <v>0</v>
      </c>
      <c r="AI1590">
        <v>100</v>
      </c>
      <c r="AJ1590">
        <v>1</v>
      </c>
      <c r="AK1590">
        <v>0</v>
      </c>
      <c r="AL1590">
        <v>0</v>
      </c>
      <c r="AM1590">
        <v>100</v>
      </c>
      <c r="AN1590">
        <v>0</v>
      </c>
      <c r="AO1590">
        <v>0</v>
      </c>
      <c r="AP1590">
        <v>0</v>
      </c>
      <c r="AQ1590">
        <v>0</v>
      </c>
      <c r="AS1590">
        <v>0</v>
      </c>
      <c r="AT1590">
        <v>0</v>
      </c>
      <c r="AV1590">
        <v>0</v>
      </c>
      <c r="AW1590">
        <v>0</v>
      </c>
      <c r="AY1590">
        <v>0</v>
      </c>
      <c r="AZ1590">
        <v>0</v>
      </c>
      <c r="BA1590">
        <v>70</v>
      </c>
      <c r="BE1590" t="str">
        <f>T("9791137013551")</f>
        <v>9791137013551</v>
      </c>
      <c r="BF1590" t="str">
        <f>T("N195556")</f>
        <v>N195556</v>
      </c>
      <c r="BG1590" t="str">
        <f>T("판타지 웹소설 &gt; 퓨전 판타지")</f>
        <v>판타지 웹소설 &gt; 퓨전 판타지</v>
      </c>
    </row>
    <row r="1591" spans="1:59">
      <c r="A1591" t="s">
        <v>60</v>
      </c>
      <c r="B1591" s="1">
        <v>46130</v>
      </c>
      <c r="C1591">
        <v>2378044483</v>
      </c>
      <c r="D1591">
        <v>2378044581</v>
      </c>
      <c r="E1591" t="str">
        <f>T("내 눈에만 아공간이 보여 98화")</f>
        <v>내 눈에만 아공간이 보여 98화</v>
      </c>
      <c r="F1591">
        <v>99</v>
      </c>
      <c r="G1591" t="str">
        <f>T("지누아빠")</f>
        <v>지누아빠</v>
      </c>
      <c r="J1591" t="str">
        <f>T("매드햇")</f>
        <v>매드햇</v>
      </c>
      <c r="K1591" t="str">
        <f>T("내 눈에만 아공간이 보여")</f>
        <v>내 눈에만 아공간이 보여</v>
      </c>
      <c r="L1591">
        <v>100</v>
      </c>
      <c r="M1591">
        <v>100</v>
      </c>
      <c r="N1591">
        <v>1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0</v>
      </c>
      <c r="AE1591">
        <v>0</v>
      </c>
      <c r="AF1591">
        <v>0</v>
      </c>
      <c r="AG1591">
        <v>0</v>
      </c>
      <c r="AH1591">
        <v>0</v>
      </c>
      <c r="AI1591">
        <v>100</v>
      </c>
      <c r="AJ1591">
        <v>1</v>
      </c>
      <c r="AK1591">
        <v>0</v>
      </c>
      <c r="AL1591">
        <v>0</v>
      </c>
      <c r="AM1591">
        <v>100</v>
      </c>
      <c r="AN1591">
        <v>0</v>
      </c>
      <c r="AO1591">
        <v>0</v>
      </c>
      <c r="AP1591">
        <v>0</v>
      </c>
      <c r="AQ1591">
        <v>0</v>
      </c>
      <c r="AS1591">
        <v>0</v>
      </c>
      <c r="AT1591">
        <v>0</v>
      </c>
      <c r="AV1591">
        <v>0</v>
      </c>
      <c r="AW1591">
        <v>0</v>
      </c>
      <c r="AY1591">
        <v>0</v>
      </c>
      <c r="AZ1591">
        <v>0</v>
      </c>
      <c r="BA1591">
        <v>70</v>
      </c>
      <c r="BE1591" t="str">
        <f>T("9791137013551")</f>
        <v>9791137013551</v>
      </c>
      <c r="BF1591" t="str">
        <f>T("N195557")</f>
        <v>N195557</v>
      </c>
      <c r="BG1591" t="str">
        <f>T("판타지 웹소설 &gt; 퓨전 판타지")</f>
        <v>판타지 웹소설 &gt; 퓨전 판타지</v>
      </c>
    </row>
    <row r="1592" spans="1:59">
      <c r="A1592" t="s">
        <v>60</v>
      </c>
      <c r="B1592" s="1">
        <v>46130</v>
      </c>
      <c r="C1592">
        <v>2378044483</v>
      </c>
      <c r="D1592">
        <v>2378044582</v>
      </c>
      <c r="E1592" t="str">
        <f>T("내 눈에만 아공간이 보여 99화")</f>
        <v>내 눈에만 아공간이 보여 99화</v>
      </c>
      <c r="F1592">
        <v>100</v>
      </c>
      <c r="G1592" t="str">
        <f>T("지누아빠")</f>
        <v>지누아빠</v>
      </c>
      <c r="J1592" t="str">
        <f>T("매드햇")</f>
        <v>매드햇</v>
      </c>
      <c r="K1592" t="str">
        <f>T("내 눈에만 아공간이 보여")</f>
        <v>내 눈에만 아공간이 보여</v>
      </c>
      <c r="L1592">
        <v>100</v>
      </c>
      <c r="M1592">
        <v>100</v>
      </c>
      <c r="N1592">
        <v>1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100</v>
      </c>
      <c r="AJ1592">
        <v>1</v>
      </c>
      <c r="AK1592">
        <v>0</v>
      </c>
      <c r="AL1592">
        <v>0</v>
      </c>
      <c r="AM1592">
        <v>100</v>
      </c>
      <c r="AN1592">
        <v>0</v>
      </c>
      <c r="AO1592">
        <v>0</v>
      </c>
      <c r="AP1592">
        <v>0</v>
      </c>
      <c r="AQ1592">
        <v>0</v>
      </c>
      <c r="AS1592">
        <v>0</v>
      </c>
      <c r="AT1592">
        <v>0</v>
      </c>
      <c r="AV1592">
        <v>0</v>
      </c>
      <c r="AW1592">
        <v>0</v>
      </c>
      <c r="AY1592">
        <v>0</v>
      </c>
      <c r="AZ1592">
        <v>0</v>
      </c>
      <c r="BA1592">
        <v>70</v>
      </c>
      <c r="BE1592" t="str">
        <f>T("9791137013551")</f>
        <v>9791137013551</v>
      </c>
      <c r="BF1592" t="str">
        <f>T("N195558")</f>
        <v>N195558</v>
      </c>
      <c r="BG1592" t="str">
        <f>T("판타지 웹소설 &gt; 퓨전 판타지")</f>
        <v>판타지 웹소설 &gt; 퓨전 판타지</v>
      </c>
    </row>
    <row r="1593" spans="1:59">
      <c r="A1593" t="s">
        <v>60</v>
      </c>
      <c r="B1593" s="1">
        <v>46130</v>
      </c>
      <c r="C1593">
        <v>2378044483</v>
      </c>
      <c r="D1593">
        <v>2378044583</v>
      </c>
      <c r="E1593" t="str">
        <f>T("내 눈에만 아공간이 보여 100화")</f>
        <v>내 눈에만 아공간이 보여 100화</v>
      </c>
      <c r="F1593">
        <v>101</v>
      </c>
      <c r="G1593" t="str">
        <f>T("지누아빠")</f>
        <v>지누아빠</v>
      </c>
      <c r="J1593" t="str">
        <f>T("매드햇")</f>
        <v>매드햇</v>
      </c>
      <c r="K1593" t="str">
        <f>T("내 눈에만 아공간이 보여")</f>
        <v>내 눈에만 아공간이 보여</v>
      </c>
      <c r="L1593">
        <v>100</v>
      </c>
      <c r="M1593">
        <v>100</v>
      </c>
      <c r="N1593">
        <v>1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100</v>
      </c>
      <c r="AJ1593">
        <v>1</v>
      </c>
      <c r="AK1593">
        <v>0</v>
      </c>
      <c r="AL1593">
        <v>0</v>
      </c>
      <c r="AM1593">
        <v>100</v>
      </c>
      <c r="AN1593">
        <v>0</v>
      </c>
      <c r="AO1593">
        <v>0</v>
      </c>
      <c r="AP1593">
        <v>0</v>
      </c>
      <c r="AQ1593">
        <v>0</v>
      </c>
      <c r="AS1593">
        <v>0</v>
      </c>
      <c r="AT1593">
        <v>0</v>
      </c>
      <c r="AV1593">
        <v>0</v>
      </c>
      <c r="AW1593">
        <v>0</v>
      </c>
      <c r="AY1593">
        <v>0</v>
      </c>
      <c r="AZ1593">
        <v>0</v>
      </c>
      <c r="BA1593">
        <v>70</v>
      </c>
      <c r="BE1593" t="str">
        <f>T("9791137013551")</f>
        <v>9791137013551</v>
      </c>
      <c r="BF1593" t="str">
        <f>T("N195559")</f>
        <v>N195559</v>
      </c>
      <c r="BG1593" t="str">
        <f>T("판타지 웹소설 &gt; 퓨전 판타지")</f>
        <v>판타지 웹소설 &gt; 퓨전 판타지</v>
      </c>
    </row>
    <row r="1594" spans="1:59">
      <c r="A1594" t="s">
        <v>60</v>
      </c>
      <c r="B1594" s="1">
        <v>46130</v>
      </c>
      <c r="C1594">
        <v>2378044483</v>
      </c>
      <c r="D1594">
        <v>2378044584</v>
      </c>
      <c r="E1594" t="str">
        <f>T("내 눈에만 아공간이 보여 101화")</f>
        <v>내 눈에만 아공간이 보여 101화</v>
      </c>
      <c r="F1594">
        <v>102</v>
      </c>
      <c r="G1594" t="str">
        <f>T("지누아빠")</f>
        <v>지누아빠</v>
      </c>
      <c r="J1594" t="str">
        <f>T("매드햇")</f>
        <v>매드햇</v>
      </c>
      <c r="K1594" t="str">
        <f>T("내 눈에만 아공간이 보여")</f>
        <v>내 눈에만 아공간이 보여</v>
      </c>
      <c r="L1594">
        <v>100</v>
      </c>
      <c r="M1594">
        <v>100</v>
      </c>
      <c r="N1594">
        <v>1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0</v>
      </c>
      <c r="AH1594">
        <v>0</v>
      </c>
      <c r="AI1594">
        <v>100</v>
      </c>
      <c r="AJ1594">
        <v>1</v>
      </c>
      <c r="AK1594">
        <v>0</v>
      </c>
      <c r="AL1594">
        <v>0</v>
      </c>
      <c r="AM1594">
        <v>100</v>
      </c>
      <c r="AN1594">
        <v>0</v>
      </c>
      <c r="AO1594">
        <v>0</v>
      </c>
      <c r="AP1594">
        <v>0</v>
      </c>
      <c r="AQ1594">
        <v>0</v>
      </c>
      <c r="AS1594">
        <v>0</v>
      </c>
      <c r="AT1594">
        <v>0</v>
      </c>
      <c r="AV1594">
        <v>0</v>
      </c>
      <c r="AW1594">
        <v>0</v>
      </c>
      <c r="AY1594">
        <v>0</v>
      </c>
      <c r="AZ1594">
        <v>0</v>
      </c>
      <c r="BA1594">
        <v>70</v>
      </c>
      <c r="BE1594" t="str">
        <f>T("9791137013551")</f>
        <v>9791137013551</v>
      </c>
      <c r="BF1594" t="str">
        <f>T("N195560")</f>
        <v>N195560</v>
      </c>
      <c r="BG1594" t="str">
        <f>T("판타지 웹소설 &gt; 퓨전 판타지")</f>
        <v>판타지 웹소설 &gt; 퓨전 판타지</v>
      </c>
    </row>
    <row r="1595" spans="1:59">
      <c r="A1595" t="s">
        <v>60</v>
      </c>
      <c r="B1595" s="1">
        <v>46130</v>
      </c>
      <c r="C1595">
        <v>2378044483</v>
      </c>
      <c r="D1595">
        <v>2378044585</v>
      </c>
      <c r="E1595" t="str">
        <f>T("내 눈에만 아공간이 보여 102화")</f>
        <v>내 눈에만 아공간이 보여 102화</v>
      </c>
      <c r="F1595">
        <v>103</v>
      </c>
      <c r="G1595" t="str">
        <f>T("지누아빠")</f>
        <v>지누아빠</v>
      </c>
      <c r="J1595" t="str">
        <f>T("매드햇")</f>
        <v>매드햇</v>
      </c>
      <c r="K1595" t="str">
        <f>T("내 눈에만 아공간이 보여")</f>
        <v>내 눈에만 아공간이 보여</v>
      </c>
      <c r="L1595">
        <v>100</v>
      </c>
      <c r="M1595">
        <v>100</v>
      </c>
      <c r="N1595">
        <v>1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0</v>
      </c>
      <c r="AE1595">
        <v>0</v>
      </c>
      <c r="AF1595">
        <v>0</v>
      </c>
      <c r="AG1595">
        <v>0</v>
      </c>
      <c r="AH1595">
        <v>0</v>
      </c>
      <c r="AI1595">
        <v>100</v>
      </c>
      <c r="AJ1595">
        <v>1</v>
      </c>
      <c r="AK1595">
        <v>0</v>
      </c>
      <c r="AL1595">
        <v>0</v>
      </c>
      <c r="AM1595">
        <v>100</v>
      </c>
      <c r="AN1595">
        <v>0</v>
      </c>
      <c r="AO1595">
        <v>0</v>
      </c>
      <c r="AP1595">
        <v>0</v>
      </c>
      <c r="AQ1595">
        <v>0</v>
      </c>
      <c r="AS1595">
        <v>0</v>
      </c>
      <c r="AT1595">
        <v>0</v>
      </c>
      <c r="AV1595">
        <v>0</v>
      </c>
      <c r="AW1595">
        <v>0</v>
      </c>
      <c r="AY1595">
        <v>0</v>
      </c>
      <c r="AZ1595">
        <v>0</v>
      </c>
      <c r="BA1595">
        <v>70</v>
      </c>
      <c r="BE1595" t="str">
        <f>T("9791137013551")</f>
        <v>9791137013551</v>
      </c>
      <c r="BF1595" t="str">
        <f>T("N195561")</f>
        <v>N195561</v>
      </c>
      <c r="BG1595" t="str">
        <f>T("판타지 웹소설 &gt; 퓨전 판타지")</f>
        <v>판타지 웹소설 &gt; 퓨전 판타지</v>
      </c>
    </row>
    <row r="1596" spans="1:59">
      <c r="A1596" t="s">
        <v>60</v>
      </c>
      <c r="B1596" s="1">
        <v>46130</v>
      </c>
      <c r="C1596">
        <v>2378044483</v>
      </c>
      <c r="D1596">
        <v>2378044586</v>
      </c>
      <c r="E1596" t="str">
        <f>T("내 눈에만 아공간이 보여 103화")</f>
        <v>내 눈에만 아공간이 보여 103화</v>
      </c>
      <c r="F1596">
        <v>104</v>
      </c>
      <c r="G1596" t="str">
        <f>T("지누아빠")</f>
        <v>지누아빠</v>
      </c>
      <c r="J1596" t="str">
        <f>T("매드햇")</f>
        <v>매드햇</v>
      </c>
      <c r="K1596" t="str">
        <f>T("내 눈에만 아공간이 보여")</f>
        <v>내 눈에만 아공간이 보여</v>
      </c>
      <c r="L1596">
        <v>100</v>
      </c>
      <c r="M1596">
        <v>100</v>
      </c>
      <c r="N1596">
        <v>1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0</v>
      </c>
      <c r="AF1596">
        <v>0</v>
      </c>
      <c r="AG1596">
        <v>0</v>
      </c>
      <c r="AH1596">
        <v>0</v>
      </c>
      <c r="AI1596">
        <v>100</v>
      </c>
      <c r="AJ1596">
        <v>1</v>
      </c>
      <c r="AK1596">
        <v>0</v>
      </c>
      <c r="AL1596">
        <v>0</v>
      </c>
      <c r="AM1596">
        <v>100</v>
      </c>
      <c r="AN1596">
        <v>0</v>
      </c>
      <c r="AO1596">
        <v>0</v>
      </c>
      <c r="AP1596">
        <v>0</v>
      </c>
      <c r="AQ1596">
        <v>0</v>
      </c>
      <c r="AS1596">
        <v>0</v>
      </c>
      <c r="AT1596">
        <v>0</v>
      </c>
      <c r="AV1596">
        <v>0</v>
      </c>
      <c r="AW1596">
        <v>0</v>
      </c>
      <c r="AY1596">
        <v>0</v>
      </c>
      <c r="AZ1596">
        <v>0</v>
      </c>
      <c r="BA1596">
        <v>70</v>
      </c>
      <c r="BE1596" t="str">
        <f>T("9791137013551")</f>
        <v>9791137013551</v>
      </c>
      <c r="BF1596" t="str">
        <f>T("N195562")</f>
        <v>N195562</v>
      </c>
      <c r="BG1596" t="str">
        <f>T("판타지 웹소설 &gt; 퓨전 판타지")</f>
        <v>판타지 웹소설 &gt; 퓨전 판타지</v>
      </c>
    </row>
    <row r="1597" spans="1:59">
      <c r="A1597" t="s">
        <v>60</v>
      </c>
      <c r="B1597" s="1">
        <v>46130</v>
      </c>
      <c r="C1597">
        <v>2378044483</v>
      </c>
      <c r="D1597">
        <v>2378044587</v>
      </c>
      <c r="E1597" t="str">
        <f>T("내 눈에만 아공간이 보여 104화")</f>
        <v>내 눈에만 아공간이 보여 104화</v>
      </c>
      <c r="F1597">
        <v>105</v>
      </c>
      <c r="G1597" t="str">
        <f>T("지누아빠")</f>
        <v>지누아빠</v>
      </c>
      <c r="J1597" t="str">
        <f>T("매드햇")</f>
        <v>매드햇</v>
      </c>
      <c r="K1597" t="str">
        <f>T("내 눈에만 아공간이 보여")</f>
        <v>내 눈에만 아공간이 보여</v>
      </c>
      <c r="L1597">
        <v>100</v>
      </c>
      <c r="M1597">
        <v>100</v>
      </c>
      <c r="N1597">
        <v>1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100</v>
      </c>
      <c r="AJ1597">
        <v>1</v>
      </c>
      <c r="AK1597">
        <v>0</v>
      </c>
      <c r="AL1597">
        <v>0</v>
      </c>
      <c r="AM1597">
        <v>100</v>
      </c>
      <c r="AN1597">
        <v>0</v>
      </c>
      <c r="AO1597">
        <v>0</v>
      </c>
      <c r="AP1597">
        <v>0</v>
      </c>
      <c r="AQ1597">
        <v>0</v>
      </c>
      <c r="AS1597">
        <v>0</v>
      </c>
      <c r="AT1597">
        <v>0</v>
      </c>
      <c r="AV1597">
        <v>0</v>
      </c>
      <c r="AW1597">
        <v>0</v>
      </c>
      <c r="AY1597">
        <v>0</v>
      </c>
      <c r="AZ1597">
        <v>0</v>
      </c>
      <c r="BA1597">
        <v>70</v>
      </c>
      <c r="BE1597" t="str">
        <f>T("9791137013551")</f>
        <v>9791137013551</v>
      </c>
      <c r="BF1597" t="str">
        <f>T("N195563")</f>
        <v>N195563</v>
      </c>
      <c r="BG1597" t="str">
        <f>T("판타지 웹소설 &gt; 퓨전 판타지")</f>
        <v>판타지 웹소설 &gt; 퓨전 판타지</v>
      </c>
    </row>
    <row r="1598" spans="1:59">
      <c r="A1598" t="s">
        <v>60</v>
      </c>
      <c r="B1598" s="1">
        <v>46130</v>
      </c>
      <c r="C1598">
        <v>2378044483</v>
      </c>
      <c r="D1598">
        <v>2378044588</v>
      </c>
      <c r="E1598" t="str">
        <f>T("내 눈에만 아공간이 보여 105화")</f>
        <v>내 눈에만 아공간이 보여 105화</v>
      </c>
      <c r="F1598">
        <v>106</v>
      </c>
      <c r="G1598" t="str">
        <f>T("지누아빠")</f>
        <v>지누아빠</v>
      </c>
      <c r="J1598" t="str">
        <f>T("매드햇")</f>
        <v>매드햇</v>
      </c>
      <c r="K1598" t="str">
        <f>T("내 눈에만 아공간이 보여")</f>
        <v>내 눈에만 아공간이 보여</v>
      </c>
      <c r="L1598">
        <v>100</v>
      </c>
      <c r="M1598">
        <v>100</v>
      </c>
      <c r="N1598">
        <v>1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100</v>
      </c>
      <c r="AJ1598">
        <v>1</v>
      </c>
      <c r="AK1598">
        <v>0</v>
      </c>
      <c r="AL1598">
        <v>0</v>
      </c>
      <c r="AM1598">
        <v>100</v>
      </c>
      <c r="AN1598">
        <v>0</v>
      </c>
      <c r="AO1598">
        <v>0</v>
      </c>
      <c r="AP1598">
        <v>0</v>
      </c>
      <c r="AQ1598">
        <v>0</v>
      </c>
      <c r="AS1598">
        <v>0</v>
      </c>
      <c r="AT1598">
        <v>0</v>
      </c>
      <c r="AV1598">
        <v>0</v>
      </c>
      <c r="AW1598">
        <v>0</v>
      </c>
      <c r="AY1598">
        <v>0</v>
      </c>
      <c r="AZ1598">
        <v>0</v>
      </c>
      <c r="BA1598">
        <v>70</v>
      </c>
      <c r="BE1598" t="str">
        <f>T("9791137013551")</f>
        <v>9791137013551</v>
      </c>
      <c r="BF1598" t="str">
        <f>T("N195564")</f>
        <v>N195564</v>
      </c>
      <c r="BG1598" t="str">
        <f>T("판타지 웹소설 &gt; 퓨전 판타지")</f>
        <v>판타지 웹소설 &gt; 퓨전 판타지</v>
      </c>
    </row>
    <row r="1599" spans="1:59">
      <c r="A1599" t="s">
        <v>60</v>
      </c>
      <c r="B1599" s="1">
        <v>46130</v>
      </c>
      <c r="C1599">
        <v>2378044483</v>
      </c>
      <c r="D1599">
        <v>2378044589</v>
      </c>
      <c r="E1599" t="str">
        <f>T("내 눈에만 아공간이 보여 106화")</f>
        <v>내 눈에만 아공간이 보여 106화</v>
      </c>
      <c r="F1599">
        <v>107</v>
      </c>
      <c r="G1599" t="str">
        <f>T("지누아빠")</f>
        <v>지누아빠</v>
      </c>
      <c r="J1599" t="str">
        <f>T("매드햇")</f>
        <v>매드햇</v>
      </c>
      <c r="K1599" t="str">
        <f>T("내 눈에만 아공간이 보여")</f>
        <v>내 눈에만 아공간이 보여</v>
      </c>
      <c r="L1599">
        <v>100</v>
      </c>
      <c r="M1599">
        <v>100</v>
      </c>
      <c r="N1599">
        <v>1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0</v>
      </c>
      <c r="AI1599">
        <v>100</v>
      </c>
      <c r="AJ1599">
        <v>1</v>
      </c>
      <c r="AK1599">
        <v>0</v>
      </c>
      <c r="AL1599">
        <v>0</v>
      </c>
      <c r="AM1599">
        <v>100</v>
      </c>
      <c r="AN1599">
        <v>0</v>
      </c>
      <c r="AO1599">
        <v>0</v>
      </c>
      <c r="AP1599">
        <v>0</v>
      </c>
      <c r="AQ1599">
        <v>0</v>
      </c>
      <c r="AS1599">
        <v>0</v>
      </c>
      <c r="AT1599">
        <v>0</v>
      </c>
      <c r="AV1599">
        <v>0</v>
      </c>
      <c r="AW1599">
        <v>0</v>
      </c>
      <c r="AY1599">
        <v>0</v>
      </c>
      <c r="AZ1599">
        <v>0</v>
      </c>
      <c r="BA1599">
        <v>70</v>
      </c>
      <c r="BE1599" t="str">
        <f>T("9791137013551")</f>
        <v>9791137013551</v>
      </c>
      <c r="BF1599" t="str">
        <f>T("N195565")</f>
        <v>N195565</v>
      </c>
      <c r="BG1599" t="str">
        <f>T("판타지 웹소설 &gt; 퓨전 판타지")</f>
        <v>판타지 웹소설 &gt; 퓨전 판타지</v>
      </c>
    </row>
    <row r="1600" spans="1:59">
      <c r="A1600" t="s">
        <v>60</v>
      </c>
      <c r="B1600" s="1">
        <v>46130</v>
      </c>
      <c r="C1600">
        <v>2378044483</v>
      </c>
      <c r="D1600">
        <v>2378044590</v>
      </c>
      <c r="E1600" t="str">
        <f>T("내 눈에만 아공간이 보여 107화")</f>
        <v>내 눈에만 아공간이 보여 107화</v>
      </c>
      <c r="F1600">
        <v>108</v>
      </c>
      <c r="G1600" t="str">
        <f>T("지누아빠")</f>
        <v>지누아빠</v>
      </c>
      <c r="J1600" t="str">
        <f>T("매드햇")</f>
        <v>매드햇</v>
      </c>
      <c r="K1600" t="str">
        <f>T("내 눈에만 아공간이 보여")</f>
        <v>내 눈에만 아공간이 보여</v>
      </c>
      <c r="L1600">
        <v>100</v>
      </c>
      <c r="M1600">
        <v>100</v>
      </c>
      <c r="N1600">
        <v>1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0</v>
      </c>
      <c r="AG1600">
        <v>0</v>
      </c>
      <c r="AH1600">
        <v>0</v>
      </c>
      <c r="AI1600">
        <v>100</v>
      </c>
      <c r="AJ1600">
        <v>1</v>
      </c>
      <c r="AK1600">
        <v>0</v>
      </c>
      <c r="AL1600">
        <v>0</v>
      </c>
      <c r="AM1600">
        <v>100</v>
      </c>
      <c r="AN1600">
        <v>0</v>
      </c>
      <c r="AO1600">
        <v>0</v>
      </c>
      <c r="AP1600">
        <v>0</v>
      </c>
      <c r="AQ1600">
        <v>0</v>
      </c>
      <c r="AS1600">
        <v>0</v>
      </c>
      <c r="AT1600">
        <v>0</v>
      </c>
      <c r="AV1600">
        <v>0</v>
      </c>
      <c r="AW1600">
        <v>0</v>
      </c>
      <c r="AY1600">
        <v>0</v>
      </c>
      <c r="AZ1600">
        <v>0</v>
      </c>
      <c r="BA1600">
        <v>70</v>
      </c>
      <c r="BE1600" t="str">
        <f>T("9791137013551")</f>
        <v>9791137013551</v>
      </c>
      <c r="BF1600" t="str">
        <f>T("N195566")</f>
        <v>N195566</v>
      </c>
      <c r="BG1600" t="str">
        <f>T("판타지 웹소설 &gt; 퓨전 판타지")</f>
        <v>판타지 웹소설 &gt; 퓨전 판타지</v>
      </c>
    </row>
    <row r="1601" spans="1:59">
      <c r="A1601" t="s">
        <v>60</v>
      </c>
      <c r="B1601" s="1">
        <v>46130</v>
      </c>
      <c r="C1601">
        <v>2378044483</v>
      </c>
      <c r="D1601">
        <v>2378044591</v>
      </c>
      <c r="E1601" t="str">
        <f>T("내 눈에만 아공간이 보여 108화")</f>
        <v>내 눈에만 아공간이 보여 108화</v>
      </c>
      <c r="F1601">
        <v>109</v>
      </c>
      <c r="G1601" t="str">
        <f>T("지누아빠")</f>
        <v>지누아빠</v>
      </c>
      <c r="J1601" t="str">
        <f>T("매드햇")</f>
        <v>매드햇</v>
      </c>
      <c r="K1601" t="str">
        <f>T("내 눈에만 아공간이 보여")</f>
        <v>내 눈에만 아공간이 보여</v>
      </c>
      <c r="L1601">
        <v>100</v>
      </c>
      <c r="M1601">
        <v>100</v>
      </c>
      <c r="N1601">
        <v>1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100</v>
      </c>
      <c r="AJ1601">
        <v>1</v>
      </c>
      <c r="AK1601">
        <v>0</v>
      </c>
      <c r="AL1601">
        <v>0</v>
      </c>
      <c r="AM1601">
        <v>100</v>
      </c>
      <c r="AN1601">
        <v>0</v>
      </c>
      <c r="AO1601">
        <v>0</v>
      </c>
      <c r="AP1601">
        <v>0</v>
      </c>
      <c r="AQ1601">
        <v>0</v>
      </c>
      <c r="AS1601">
        <v>0</v>
      </c>
      <c r="AT1601">
        <v>0</v>
      </c>
      <c r="AV1601">
        <v>0</v>
      </c>
      <c r="AW1601">
        <v>0</v>
      </c>
      <c r="AY1601">
        <v>0</v>
      </c>
      <c r="AZ1601">
        <v>0</v>
      </c>
      <c r="BA1601">
        <v>70</v>
      </c>
      <c r="BE1601" t="str">
        <f>T("9791137013551")</f>
        <v>9791137013551</v>
      </c>
      <c r="BF1601" t="str">
        <f>T("N202583")</f>
        <v>N202583</v>
      </c>
      <c r="BG1601" t="str">
        <f>T("판타지 웹소설 &gt; 퓨전 판타지")</f>
        <v>판타지 웹소설 &gt; 퓨전 판타지</v>
      </c>
    </row>
    <row r="1602" spans="1:59">
      <c r="A1602" t="s">
        <v>60</v>
      </c>
      <c r="B1602" s="1">
        <v>46130</v>
      </c>
      <c r="C1602">
        <v>2378044483</v>
      </c>
      <c r="D1602">
        <v>2378044592</v>
      </c>
      <c r="E1602" t="str">
        <f>T("내 눈에만 아공간이 보여 109화")</f>
        <v>내 눈에만 아공간이 보여 109화</v>
      </c>
      <c r="F1602">
        <v>110</v>
      </c>
      <c r="G1602" t="str">
        <f>T("지누아빠")</f>
        <v>지누아빠</v>
      </c>
      <c r="J1602" t="str">
        <f>T("매드햇")</f>
        <v>매드햇</v>
      </c>
      <c r="K1602" t="str">
        <f>T("내 눈에만 아공간이 보여")</f>
        <v>내 눈에만 아공간이 보여</v>
      </c>
      <c r="L1602">
        <v>100</v>
      </c>
      <c r="M1602">
        <v>100</v>
      </c>
      <c r="N1602">
        <v>1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100</v>
      </c>
      <c r="AJ1602">
        <v>1</v>
      </c>
      <c r="AK1602">
        <v>0</v>
      </c>
      <c r="AL1602">
        <v>0</v>
      </c>
      <c r="AM1602">
        <v>100</v>
      </c>
      <c r="AN1602">
        <v>0</v>
      </c>
      <c r="AO1602">
        <v>0</v>
      </c>
      <c r="AP1602">
        <v>0</v>
      </c>
      <c r="AQ1602">
        <v>0</v>
      </c>
      <c r="AS1602">
        <v>0</v>
      </c>
      <c r="AT1602">
        <v>0</v>
      </c>
      <c r="AV1602">
        <v>0</v>
      </c>
      <c r="AW1602">
        <v>0</v>
      </c>
      <c r="AY1602">
        <v>0</v>
      </c>
      <c r="AZ1602">
        <v>0</v>
      </c>
      <c r="BA1602">
        <v>70</v>
      </c>
      <c r="BE1602" t="str">
        <f>T("9791137013551")</f>
        <v>9791137013551</v>
      </c>
      <c r="BF1602" t="str">
        <f>T("N202658")</f>
        <v>N202658</v>
      </c>
      <c r="BG1602" t="str">
        <f>T("판타지 웹소설 &gt; 퓨전 판타지")</f>
        <v>판타지 웹소설 &gt; 퓨전 판타지</v>
      </c>
    </row>
    <row r="1603" spans="1:59">
      <c r="A1603" t="s">
        <v>60</v>
      </c>
      <c r="B1603" s="1">
        <v>46130</v>
      </c>
      <c r="C1603">
        <v>2378044483</v>
      </c>
      <c r="D1603">
        <v>2378044593</v>
      </c>
      <c r="E1603" t="str">
        <f>T("내 눈에만 아공간이 보여 110화")</f>
        <v>내 눈에만 아공간이 보여 110화</v>
      </c>
      <c r="F1603">
        <v>111</v>
      </c>
      <c r="G1603" t="str">
        <f>T("지누아빠")</f>
        <v>지누아빠</v>
      </c>
      <c r="J1603" t="str">
        <f>T("매드햇")</f>
        <v>매드햇</v>
      </c>
      <c r="K1603" t="str">
        <f>T("내 눈에만 아공간이 보여")</f>
        <v>내 눈에만 아공간이 보여</v>
      </c>
      <c r="L1603">
        <v>100</v>
      </c>
      <c r="M1603">
        <v>100</v>
      </c>
      <c r="N1603">
        <v>1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0</v>
      </c>
      <c r="AE1603">
        <v>0</v>
      </c>
      <c r="AF1603">
        <v>0</v>
      </c>
      <c r="AG1603">
        <v>0</v>
      </c>
      <c r="AH1603">
        <v>0</v>
      </c>
      <c r="AI1603">
        <v>100</v>
      </c>
      <c r="AJ1603">
        <v>1</v>
      </c>
      <c r="AK1603">
        <v>0</v>
      </c>
      <c r="AL1603">
        <v>0</v>
      </c>
      <c r="AM1603">
        <v>100</v>
      </c>
      <c r="AN1603">
        <v>0</v>
      </c>
      <c r="AO1603">
        <v>0</v>
      </c>
      <c r="AP1603">
        <v>0</v>
      </c>
      <c r="AQ1603">
        <v>0</v>
      </c>
      <c r="AS1603">
        <v>0</v>
      </c>
      <c r="AT1603">
        <v>0</v>
      </c>
      <c r="AV1603">
        <v>0</v>
      </c>
      <c r="AW1603">
        <v>0</v>
      </c>
      <c r="AY1603">
        <v>0</v>
      </c>
      <c r="AZ1603">
        <v>0</v>
      </c>
      <c r="BA1603">
        <v>70</v>
      </c>
      <c r="BE1603" t="str">
        <f>T("9791137013551")</f>
        <v>9791137013551</v>
      </c>
      <c r="BF1603" t="str">
        <f>T("N202659")</f>
        <v>N202659</v>
      </c>
      <c r="BG1603" t="str">
        <f>T("판타지 웹소설 &gt; 퓨전 판타지")</f>
        <v>판타지 웹소설 &gt; 퓨전 판타지</v>
      </c>
    </row>
    <row r="1604" spans="1:59">
      <c r="A1604" t="s">
        <v>60</v>
      </c>
      <c r="B1604" s="1">
        <v>46130</v>
      </c>
      <c r="C1604">
        <v>2378044483</v>
      </c>
      <c r="D1604">
        <v>2378044594</v>
      </c>
      <c r="E1604" t="str">
        <f>T("내 눈에만 아공간이 보여 111화")</f>
        <v>내 눈에만 아공간이 보여 111화</v>
      </c>
      <c r="F1604">
        <v>112</v>
      </c>
      <c r="G1604" t="str">
        <f>T("지누아빠")</f>
        <v>지누아빠</v>
      </c>
      <c r="J1604" t="str">
        <f>T("매드햇")</f>
        <v>매드햇</v>
      </c>
      <c r="K1604" t="str">
        <f>T("내 눈에만 아공간이 보여")</f>
        <v>내 눈에만 아공간이 보여</v>
      </c>
      <c r="L1604">
        <v>100</v>
      </c>
      <c r="M1604">
        <v>100</v>
      </c>
      <c r="N1604">
        <v>1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100</v>
      </c>
      <c r="AJ1604">
        <v>1</v>
      </c>
      <c r="AK1604">
        <v>0</v>
      </c>
      <c r="AL1604">
        <v>0</v>
      </c>
      <c r="AM1604">
        <v>100</v>
      </c>
      <c r="AN1604">
        <v>0</v>
      </c>
      <c r="AO1604">
        <v>0</v>
      </c>
      <c r="AP1604">
        <v>0</v>
      </c>
      <c r="AQ1604">
        <v>0</v>
      </c>
      <c r="AS1604">
        <v>0</v>
      </c>
      <c r="AT1604">
        <v>0</v>
      </c>
      <c r="AV1604">
        <v>0</v>
      </c>
      <c r="AW1604">
        <v>0</v>
      </c>
      <c r="AY1604">
        <v>0</v>
      </c>
      <c r="AZ1604">
        <v>0</v>
      </c>
      <c r="BA1604">
        <v>70</v>
      </c>
      <c r="BE1604" t="str">
        <f>T("9791137013551")</f>
        <v>9791137013551</v>
      </c>
      <c r="BF1604" t="str">
        <f>T("N202660")</f>
        <v>N202660</v>
      </c>
      <c r="BG1604" t="str">
        <f>T("판타지 웹소설 &gt; 퓨전 판타지")</f>
        <v>판타지 웹소설 &gt; 퓨전 판타지</v>
      </c>
    </row>
    <row r="1605" spans="1:59">
      <c r="A1605" t="s">
        <v>60</v>
      </c>
      <c r="B1605" s="1">
        <v>46130</v>
      </c>
      <c r="C1605">
        <v>2378044483</v>
      </c>
      <c r="D1605">
        <v>2378044595</v>
      </c>
      <c r="E1605" t="str">
        <f>T("내 눈에만 아공간이 보여 112화")</f>
        <v>내 눈에만 아공간이 보여 112화</v>
      </c>
      <c r="F1605">
        <v>113</v>
      </c>
      <c r="G1605" t="str">
        <f>T("지누아빠")</f>
        <v>지누아빠</v>
      </c>
      <c r="J1605" t="str">
        <f>T("매드햇")</f>
        <v>매드햇</v>
      </c>
      <c r="K1605" t="str">
        <f>T("내 눈에만 아공간이 보여")</f>
        <v>내 눈에만 아공간이 보여</v>
      </c>
      <c r="L1605">
        <v>100</v>
      </c>
      <c r="M1605">
        <v>100</v>
      </c>
      <c r="N1605">
        <v>1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100</v>
      </c>
      <c r="AJ1605">
        <v>1</v>
      </c>
      <c r="AK1605">
        <v>0</v>
      </c>
      <c r="AL1605">
        <v>0</v>
      </c>
      <c r="AM1605">
        <v>100</v>
      </c>
      <c r="AN1605">
        <v>0</v>
      </c>
      <c r="AO1605">
        <v>0</v>
      </c>
      <c r="AP1605">
        <v>0</v>
      </c>
      <c r="AQ1605">
        <v>0</v>
      </c>
      <c r="AS1605">
        <v>0</v>
      </c>
      <c r="AT1605">
        <v>0</v>
      </c>
      <c r="AV1605">
        <v>0</v>
      </c>
      <c r="AW1605">
        <v>0</v>
      </c>
      <c r="AY1605">
        <v>0</v>
      </c>
      <c r="AZ1605">
        <v>0</v>
      </c>
      <c r="BA1605">
        <v>70</v>
      </c>
      <c r="BE1605" t="str">
        <f>T("9791137013551")</f>
        <v>9791137013551</v>
      </c>
      <c r="BF1605" t="str">
        <f>T("N202661")</f>
        <v>N202661</v>
      </c>
      <c r="BG1605" t="str">
        <f>T("판타지 웹소설 &gt; 퓨전 판타지")</f>
        <v>판타지 웹소설 &gt; 퓨전 판타지</v>
      </c>
    </row>
    <row r="1606" spans="1:59">
      <c r="A1606" t="s">
        <v>60</v>
      </c>
      <c r="B1606" s="1">
        <v>46130</v>
      </c>
      <c r="C1606">
        <v>2378044483</v>
      </c>
      <c r="D1606">
        <v>2378044596</v>
      </c>
      <c r="E1606" t="str">
        <f>T("내 눈에만 아공간이 보여 113화")</f>
        <v>내 눈에만 아공간이 보여 113화</v>
      </c>
      <c r="F1606">
        <v>114</v>
      </c>
      <c r="G1606" t="str">
        <f>T("지누아빠")</f>
        <v>지누아빠</v>
      </c>
      <c r="J1606" t="str">
        <f>T("매드햇")</f>
        <v>매드햇</v>
      </c>
      <c r="K1606" t="str">
        <f>T("내 눈에만 아공간이 보여")</f>
        <v>내 눈에만 아공간이 보여</v>
      </c>
      <c r="L1606">
        <v>100</v>
      </c>
      <c r="M1606">
        <v>100</v>
      </c>
      <c r="N1606">
        <v>1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0</v>
      </c>
      <c r="AE1606">
        <v>0</v>
      </c>
      <c r="AF1606">
        <v>0</v>
      </c>
      <c r="AG1606">
        <v>0</v>
      </c>
      <c r="AH1606">
        <v>0</v>
      </c>
      <c r="AI1606">
        <v>100</v>
      </c>
      <c r="AJ1606">
        <v>1</v>
      </c>
      <c r="AK1606">
        <v>0</v>
      </c>
      <c r="AL1606">
        <v>0</v>
      </c>
      <c r="AM1606">
        <v>100</v>
      </c>
      <c r="AN1606">
        <v>0</v>
      </c>
      <c r="AO1606">
        <v>0</v>
      </c>
      <c r="AP1606">
        <v>0</v>
      </c>
      <c r="AQ1606">
        <v>0</v>
      </c>
      <c r="AS1606">
        <v>0</v>
      </c>
      <c r="AT1606">
        <v>0</v>
      </c>
      <c r="AV1606">
        <v>0</v>
      </c>
      <c r="AW1606">
        <v>0</v>
      </c>
      <c r="AY1606">
        <v>0</v>
      </c>
      <c r="AZ1606">
        <v>0</v>
      </c>
      <c r="BA1606">
        <v>70</v>
      </c>
      <c r="BE1606" t="str">
        <f>T("9791137013551")</f>
        <v>9791137013551</v>
      </c>
      <c r="BF1606" t="str">
        <f>T("N202662")</f>
        <v>N202662</v>
      </c>
      <c r="BG1606" t="str">
        <f>T("판타지 웹소설 &gt; 퓨전 판타지")</f>
        <v>판타지 웹소설 &gt; 퓨전 판타지</v>
      </c>
    </row>
    <row r="1607" spans="1:59">
      <c r="A1607" t="s">
        <v>60</v>
      </c>
      <c r="B1607" s="1">
        <v>46130</v>
      </c>
      <c r="C1607">
        <v>2378044483</v>
      </c>
      <c r="D1607">
        <v>2378044597</v>
      </c>
      <c r="E1607" t="str">
        <f>T("내 눈에만 아공간이 보여 114화")</f>
        <v>내 눈에만 아공간이 보여 114화</v>
      </c>
      <c r="F1607">
        <v>115</v>
      </c>
      <c r="G1607" t="str">
        <f>T("지누아빠")</f>
        <v>지누아빠</v>
      </c>
      <c r="J1607" t="str">
        <f>T("매드햇")</f>
        <v>매드햇</v>
      </c>
      <c r="K1607" t="str">
        <f>T("내 눈에만 아공간이 보여")</f>
        <v>내 눈에만 아공간이 보여</v>
      </c>
      <c r="L1607">
        <v>100</v>
      </c>
      <c r="M1607">
        <v>100</v>
      </c>
      <c r="N1607">
        <v>1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0</v>
      </c>
      <c r="AF1607">
        <v>0</v>
      </c>
      <c r="AG1607">
        <v>0</v>
      </c>
      <c r="AH1607">
        <v>0</v>
      </c>
      <c r="AI1607">
        <v>100</v>
      </c>
      <c r="AJ1607">
        <v>1</v>
      </c>
      <c r="AK1607">
        <v>0</v>
      </c>
      <c r="AL1607">
        <v>0</v>
      </c>
      <c r="AM1607">
        <v>100</v>
      </c>
      <c r="AN1607">
        <v>0</v>
      </c>
      <c r="AO1607">
        <v>0</v>
      </c>
      <c r="AP1607">
        <v>0</v>
      </c>
      <c r="AQ1607">
        <v>0</v>
      </c>
      <c r="AS1607">
        <v>0</v>
      </c>
      <c r="AT1607">
        <v>0</v>
      </c>
      <c r="AV1607">
        <v>0</v>
      </c>
      <c r="AW1607">
        <v>0</v>
      </c>
      <c r="AY1607">
        <v>0</v>
      </c>
      <c r="AZ1607">
        <v>0</v>
      </c>
      <c r="BA1607">
        <v>70</v>
      </c>
      <c r="BE1607" t="str">
        <f>T("9791137013551")</f>
        <v>9791137013551</v>
      </c>
      <c r="BF1607" t="str">
        <f>T("N206871")</f>
        <v>N206871</v>
      </c>
      <c r="BG1607" t="str">
        <f>T("판타지 웹소설 &gt; 퓨전 판타지")</f>
        <v>판타지 웹소설 &gt; 퓨전 판타지</v>
      </c>
    </row>
    <row r="1608" spans="1:59">
      <c r="A1608" t="s">
        <v>60</v>
      </c>
      <c r="B1608" s="1">
        <v>46130</v>
      </c>
      <c r="C1608">
        <v>2378044483</v>
      </c>
      <c r="D1608">
        <v>2378044598</v>
      </c>
      <c r="E1608" t="str">
        <f>T("내 눈에만 아공간이 보여 115화")</f>
        <v>내 눈에만 아공간이 보여 115화</v>
      </c>
      <c r="F1608">
        <v>116</v>
      </c>
      <c r="G1608" t="str">
        <f>T("지누아빠")</f>
        <v>지누아빠</v>
      </c>
      <c r="J1608" t="str">
        <f>T("매드햇")</f>
        <v>매드햇</v>
      </c>
      <c r="K1608" t="str">
        <f>T("내 눈에만 아공간이 보여")</f>
        <v>내 눈에만 아공간이 보여</v>
      </c>
      <c r="L1608">
        <v>100</v>
      </c>
      <c r="M1608">
        <v>100</v>
      </c>
      <c r="N1608">
        <v>1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0</v>
      </c>
      <c r="AH1608">
        <v>0</v>
      </c>
      <c r="AI1608">
        <v>100</v>
      </c>
      <c r="AJ1608">
        <v>1</v>
      </c>
      <c r="AK1608">
        <v>0</v>
      </c>
      <c r="AL1608">
        <v>0</v>
      </c>
      <c r="AM1608">
        <v>100</v>
      </c>
      <c r="AN1608">
        <v>0</v>
      </c>
      <c r="AO1608">
        <v>0</v>
      </c>
      <c r="AP1608">
        <v>0</v>
      </c>
      <c r="AQ1608">
        <v>0</v>
      </c>
      <c r="AS1608">
        <v>0</v>
      </c>
      <c r="AT1608">
        <v>0</v>
      </c>
      <c r="AV1608">
        <v>0</v>
      </c>
      <c r="AW1608">
        <v>0</v>
      </c>
      <c r="AY1608">
        <v>0</v>
      </c>
      <c r="AZ1608">
        <v>0</v>
      </c>
      <c r="BA1608">
        <v>70</v>
      </c>
      <c r="BE1608" t="str">
        <f>T("9791137013551")</f>
        <v>9791137013551</v>
      </c>
      <c r="BF1608" t="str">
        <f>T("N206872")</f>
        <v>N206872</v>
      </c>
      <c r="BG1608" t="str">
        <f>T("판타지 웹소설 &gt; 퓨전 판타지")</f>
        <v>판타지 웹소설 &gt; 퓨전 판타지</v>
      </c>
    </row>
    <row r="1609" spans="1:59">
      <c r="A1609" t="s">
        <v>60</v>
      </c>
      <c r="B1609" s="1">
        <v>46130</v>
      </c>
      <c r="C1609">
        <v>2378044483</v>
      </c>
      <c r="D1609">
        <v>2378044599</v>
      </c>
      <c r="E1609" t="str">
        <f>T("내 눈에만 아공간이 보여 116화")</f>
        <v>내 눈에만 아공간이 보여 116화</v>
      </c>
      <c r="F1609">
        <v>117</v>
      </c>
      <c r="G1609" t="str">
        <f>T("지누아빠")</f>
        <v>지누아빠</v>
      </c>
      <c r="J1609" t="str">
        <f>T("매드햇")</f>
        <v>매드햇</v>
      </c>
      <c r="K1609" t="str">
        <f>T("내 눈에만 아공간이 보여")</f>
        <v>내 눈에만 아공간이 보여</v>
      </c>
      <c r="L1609">
        <v>100</v>
      </c>
      <c r="M1609">
        <v>100</v>
      </c>
      <c r="N1609">
        <v>1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0</v>
      </c>
      <c r="AE1609">
        <v>0</v>
      </c>
      <c r="AF1609">
        <v>0</v>
      </c>
      <c r="AG1609">
        <v>0</v>
      </c>
      <c r="AH1609">
        <v>0</v>
      </c>
      <c r="AI1609">
        <v>100</v>
      </c>
      <c r="AJ1609">
        <v>1</v>
      </c>
      <c r="AK1609">
        <v>0</v>
      </c>
      <c r="AL1609">
        <v>0</v>
      </c>
      <c r="AM1609">
        <v>100</v>
      </c>
      <c r="AN1609">
        <v>0</v>
      </c>
      <c r="AO1609">
        <v>0</v>
      </c>
      <c r="AP1609">
        <v>0</v>
      </c>
      <c r="AQ1609">
        <v>0</v>
      </c>
      <c r="AS1609">
        <v>0</v>
      </c>
      <c r="AT1609">
        <v>0</v>
      </c>
      <c r="AV1609">
        <v>0</v>
      </c>
      <c r="AW1609">
        <v>0</v>
      </c>
      <c r="AY1609">
        <v>0</v>
      </c>
      <c r="AZ1609">
        <v>0</v>
      </c>
      <c r="BA1609">
        <v>70</v>
      </c>
      <c r="BE1609" t="str">
        <f>T("9791137013551")</f>
        <v>9791137013551</v>
      </c>
      <c r="BF1609" t="str">
        <f>T("N206873")</f>
        <v>N206873</v>
      </c>
      <c r="BG1609" t="str">
        <f>T("판타지 웹소설 &gt; 퓨전 판타지")</f>
        <v>판타지 웹소설 &gt; 퓨전 판타지</v>
      </c>
    </row>
    <row r="1610" spans="1:59">
      <c r="A1610" t="s">
        <v>60</v>
      </c>
      <c r="B1610" s="1">
        <v>46130</v>
      </c>
      <c r="C1610">
        <v>2378044483</v>
      </c>
      <c r="D1610">
        <v>2378044600</v>
      </c>
      <c r="E1610" t="str">
        <f>T("내 눈에만 아공간이 보여 117화")</f>
        <v>내 눈에만 아공간이 보여 117화</v>
      </c>
      <c r="F1610">
        <v>118</v>
      </c>
      <c r="G1610" t="str">
        <f>T("지누아빠")</f>
        <v>지누아빠</v>
      </c>
      <c r="J1610" t="str">
        <f>T("매드햇")</f>
        <v>매드햇</v>
      </c>
      <c r="K1610" t="str">
        <f>T("내 눈에만 아공간이 보여")</f>
        <v>내 눈에만 아공간이 보여</v>
      </c>
      <c r="L1610">
        <v>100</v>
      </c>
      <c r="M1610">
        <v>100</v>
      </c>
      <c r="N1610">
        <v>1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0</v>
      </c>
      <c r="AI1610">
        <v>100</v>
      </c>
      <c r="AJ1610">
        <v>1</v>
      </c>
      <c r="AK1610">
        <v>0</v>
      </c>
      <c r="AL1610">
        <v>0</v>
      </c>
      <c r="AM1610">
        <v>100</v>
      </c>
      <c r="AN1610">
        <v>0</v>
      </c>
      <c r="AO1610">
        <v>0</v>
      </c>
      <c r="AP1610">
        <v>0</v>
      </c>
      <c r="AQ1610">
        <v>0</v>
      </c>
      <c r="AS1610">
        <v>0</v>
      </c>
      <c r="AT1610">
        <v>0</v>
      </c>
      <c r="AV1610">
        <v>0</v>
      </c>
      <c r="AW1610">
        <v>0</v>
      </c>
      <c r="AY1610">
        <v>0</v>
      </c>
      <c r="AZ1610">
        <v>0</v>
      </c>
      <c r="BA1610">
        <v>70</v>
      </c>
      <c r="BE1610" t="str">
        <f>T("9791137013551")</f>
        <v>9791137013551</v>
      </c>
      <c r="BF1610" t="str">
        <f>T("N206874")</f>
        <v>N206874</v>
      </c>
      <c r="BG1610" t="str">
        <f>T("판타지 웹소설 &gt; 퓨전 판타지")</f>
        <v>판타지 웹소설 &gt; 퓨전 판타지</v>
      </c>
    </row>
    <row r="1611" spans="1:59">
      <c r="A1611" t="s">
        <v>60</v>
      </c>
      <c r="B1611" s="1">
        <v>46130</v>
      </c>
      <c r="C1611">
        <v>2378044483</v>
      </c>
      <c r="D1611">
        <v>2378044601</v>
      </c>
      <c r="E1611" t="str">
        <f>T("내 눈에만 아공간이 보여 118화")</f>
        <v>내 눈에만 아공간이 보여 118화</v>
      </c>
      <c r="F1611">
        <v>119</v>
      </c>
      <c r="G1611" t="str">
        <f>T("지누아빠")</f>
        <v>지누아빠</v>
      </c>
      <c r="J1611" t="str">
        <f>T("매드햇")</f>
        <v>매드햇</v>
      </c>
      <c r="K1611" t="str">
        <f>T("내 눈에만 아공간이 보여")</f>
        <v>내 눈에만 아공간이 보여</v>
      </c>
      <c r="L1611">
        <v>100</v>
      </c>
      <c r="M1611">
        <v>100</v>
      </c>
      <c r="N1611">
        <v>1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0</v>
      </c>
      <c r="AH1611">
        <v>0</v>
      </c>
      <c r="AI1611">
        <v>100</v>
      </c>
      <c r="AJ1611">
        <v>1</v>
      </c>
      <c r="AK1611">
        <v>0</v>
      </c>
      <c r="AL1611">
        <v>0</v>
      </c>
      <c r="AM1611">
        <v>100</v>
      </c>
      <c r="AN1611">
        <v>0</v>
      </c>
      <c r="AO1611">
        <v>0</v>
      </c>
      <c r="AP1611">
        <v>0</v>
      </c>
      <c r="AQ1611">
        <v>0</v>
      </c>
      <c r="AS1611">
        <v>0</v>
      </c>
      <c r="AT1611">
        <v>0</v>
      </c>
      <c r="AV1611">
        <v>0</v>
      </c>
      <c r="AW1611">
        <v>0</v>
      </c>
      <c r="AY1611">
        <v>0</v>
      </c>
      <c r="AZ1611">
        <v>0</v>
      </c>
      <c r="BA1611">
        <v>70</v>
      </c>
      <c r="BE1611" t="str">
        <f>T("9791137013551")</f>
        <v>9791137013551</v>
      </c>
      <c r="BF1611" t="str">
        <f>T("N206875")</f>
        <v>N206875</v>
      </c>
      <c r="BG1611" t="str">
        <f>T("판타지 웹소설 &gt; 퓨전 판타지")</f>
        <v>판타지 웹소설 &gt; 퓨전 판타지</v>
      </c>
    </row>
    <row r="1612" spans="1:59">
      <c r="A1612" t="s">
        <v>60</v>
      </c>
      <c r="B1612" s="1">
        <v>46130</v>
      </c>
      <c r="C1612">
        <v>2378044483</v>
      </c>
      <c r="D1612">
        <v>2378044602</v>
      </c>
      <c r="E1612" t="str">
        <f>T("내 눈에만 아공간이 보여 119화")</f>
        <v>내 눈에만 아공간이 보여 119화</v>
      </c>
      <c r="F1612">
        <v>120</v>
      </c>
      <c r="G1612" t="str">
        <f>T("지누아빠")</f>
        <v>지누아빠</v>
      </c>
      <c r="J1612" t="str">
        <f>T("매드햇")</f>
        <v>매드햇</v>
      </c>
      <c r="K1612" t="str">
        <f>T("내 눈에만 아공간이 보여")</f>
        <v>내 눈에만 아공간이 보여</v>
      </c>
      <c r="L1612">
        <v>100</v>
      </c>
      <c r="M1612">
        <v>100</v>
      </c>
      <c r="N1612">
        <v>1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100</v>
      </c>
      <c r="AJ1612">
        <v>1</v>
      </c>
      <c r="AK1612">
        <v>0</v>
      </c>
      <c r="AL1612">
        <v>0</v>
      </c>
      <c r="AM1612">
        <v>100</v>
      </c>
      <c r="AN1612">
        <v>0</v>
      </c>
      <c r="AO1612">
        <v>0</v>
      </c>
      <c r="AP1612">
        <v>0</v>
      </c>
      <c r="AQ1612">
        <v>0</v>
      </c>
      <c r="AS1612">
        <v>0</v>
      </c>
      <c r="AT1612">
        <v>0</v>
      </c>
      <c r="AV1612">
        <v>0</v>
      </c>
      <c r="AW1612">
        <v>0</v>
      </c>
      <c r="AY1612">
        <v>0</v>
      </c>
      <c r="AZ1612">
        <v>0</v>
      </c>
      <c r="BA1612">
        <v>70</v>
      </c>
      <c r="BE1612" t="str">
        <f>T("9791137013551")</f>
        <v>9791137013551</v>
      </c>
      <c r="BF1612" t="str">
        <f>T("N207752")</f>
        <v>N207752</v>
      </c>
      <c r="BG1612" t="str">
        <f>T("판타지 웹소설 &gt; 퓨전 판타지")</f>
        <v>판타지 웹소설 &gt; 퓨전 판타지</v>
      </c>
    </row>
    <row r="1613" spans="1:59">
      <c r="A1613" t="s">
        <v>60</v>
      </c>
      <c r="B1613" s="1">
        <v>46130</v>
      </c>
      <c r="C1613">
        <v>2378044483</v>
      </c>
      <c r="D1613">
        <v>2378044603</v>
      </c>
      <c r="E1613" t="str">
        <f>T("내 눈에만 아공간이 보여 120화")</f>
        <v>내 눈에만 아공간이 보여 120화</v>
      </c>
      <c r="F1613">
        <v>121</v>
      </c>
      <c r="G1613" t="str">
        <f>T("지누아빠")</f>
        <v>지누아빠</v>
      </c>
      <c r="J1613" t="str">
        <f>T("매드햇")</f>
        <v>매드햇</v>
      </c>
      <c r="K1613" t="str">
        <f>T("내 눈에만 아공간이 보여")</f>
        <v>내 눈에만 아공간이 보여</v>
      </c>
      <c r="L1613">
        <v>100</v>
      </c>
      <c r="M1613">
        <v>100</v>
      </c>
      <c r="N1613">
        <v>1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0</v>
      </c>
      <c r="AE1613">
        <v>0</v>
      </c>
      <c r="AF1613">
        <v>0</v>
      </c>
      <c r="AG1613">
        <v>0</v>
      </c>
      <c r="AH1613">
        <v>0</v>
      </c>
      <c r="AI1613">
        <v>100</v>
      </c>
      <c r="AJ1613">
        <v>1</v>
      </c>
      <c r="AK1613">
        <v>0</v>
      </c>
      <c r="AL1613">
        <v>0</v>
      </c>
      <c r="AM1613">
        <v>100</v>
      </c>
      <c r="AN1613">
        <v>0</v>
      </c>
      <c r="AO1613">
        <v>0</v>
      </c>
      <c r="AP1613">
        <v>0</v>
      </c>
      <c r="AQ1613">
        <v>0</v>
      </c>
      <c r="AS1613">
        <v>0</v>
      </c>
      <c r="AT1613">
        <v>0</v>
      </c>
      <c r="AV1613">
        <v>0</v>
      </c>
      <c r="AW1613">
        <v>0</v>
      </c>
      <c r="AY1613">
        <v>0</v>
      </c>
      <c r="AZ1613">
        <v>0</v>
      </c>
      <c r="BA1613">
        <v>70</v>
      </c>
      <c r="BE1613" t="str">
        <f>T("9791137013551")</f>
        <v>9791137013551</v>
      </c>
      <c r="BF1613" t="str">
        <f>T("N207753")</f>
        <v>N207753</v>
      </c>
      <c r="BG1613" t="str">
        <f>T("판타지 웹소설 &gt; 퓨전 판타지")</f>
        <v>판타지 웹소설 &gt; 퓨전 판타지</v>
      </c>
    </row>
    <row r="1614" spans="1:59">
      <c r="A1614" t="s">
        <v>60</v>
      </c>
      <c r="B1614" s="1">
        <v>46130</v>
      </c>
      <c r="C1614">
        <v>2378044483</v>
      </c>
      <c r="D1614">
        <v>2378044604</v>
      </c>
      <c r="E1614" t="str">
        <f>T("내 눈에만 아공간이 보여 121화")</f>
        <v>내 눈에만 아공간이 보여 121화</v>
      </c>
      <c r="F1614">
        <v>122</v>
      </c>
      <c r="G1614" t="str">
        <f>T("지누아빠")</f>
        <v>지누아빠</v>
      </c>
      <c r="J1614" t="str">
        <f>T("매드햇")</f>
        <v>매드햇</v>
      </c>
      <c r="K1614" t="str">
        <f>T("내 눈에만 아공간이 보여")</f>
        <v>내 눈에만 아공간이 보여</v>
      </c>
      <c r="L1614">
        <v>100</v>
      </c>
      <c r="M1614">
        <v>100</v>
      </c>
      <c r="N1614">
        <v>1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0</v>
      </c>
      <c r="AE1614">
        <v>0</v>
      </c>
      <c r="AF1614">
        <v>0</v>
      </c>
      <c r="AG1614">
        <v>0</v>
      </c>
      <c r="AH1614">
        <v>0</v>
      </c>
      <c r="AI1614">
        <v>100</v>
      </c>
      <c r="AJ1614">
        <v>1</v>
      </c>
      <c r="AK1614">
        <v>0</v>
      </c>
      <c r="AL1614">
        <v>0</v>
      </c>
      <c r="AM1614">
        <v>100</v>
      </c>
      <c r="AN1614">
        <v>0</v>
      </c>
      <c r="AO1614">
        <v>0</v>
      </c>
      <c r="AP1614">
        <v>0</v>
      </c>
      <c r="AQ1614">
        <v>0</v>
      </c>
      <c r="AS1614">
        <v>0</v>
      </c>
      <c r="AT1614">
        <v>0</v>
      </c>
      <c r="AV1614">
        <v>0</v>
      </c>
      <c r="AW1614">
        <v>0</v>
      </c>
      <c r="AY1614">
        <v>0</v>
      </c>
      <c r="AZ1614">
        <v>0</v>
      </c>
      <c r="BA1614">
        <v>70</v>
      </c>
      <c r="BE1614" t="str">
        <f>T("9791137013551")</f>
        <v>9791137013551</v>
      </c>
      <c r="BF1614" t="str">
        <f>T("N207754")</f>
        <v>N207754</v>
      </c>
      <c r="BG1614" t="str">
        <f>T("판타지 웹소설 &gt; 퓨전 판타지")</f>
        <v>판타지 웹소설 &gt; 퓨전 판타지</v>
      </c>
    </row>
    <row r="1615" spans="1:59">
      <c r="A1615" t="s">
        <v>60</v>
      </c>
      <c r="B1615" s="1">
        <v>46130</v>
      </c>
      <c r="C1615">
        <v>2378044483</v>
      </c>
      <c r="D1615">
        <v>2378044605</v>
      </c>
      <c r="E1615" t="str">
        <f>T("내 눈에만 아공간이 보여 122화")</f>
        <v>내 눈에만 아공간이 보여 122화</v>
      </c>
      <c r="F1615">
        <v>123</v>
      </c>
      <c r="G1615" t="str">
        <f>T("지누아빠")</f>
        <v>지누아빠</v>
      </c>
      <c r="J1615" t="str">
        <f>T("매드햇")</f>
        <v>매드햇</v>
      </c>
      <c r="K1615" t="str">
        <f>T("내 눈에만 아공간이 보여")</f>
        <v>내 눈에만 아공간이 보여</v>
      </c>
      <c r="L1615">
        <v>100</v>
      </c>
      <c r="M1615">
        <v>100</v>
      </c>
      <c r="N1615">
        <v>1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0</v>
      </c>
      <c r="AF1615">
        <v>0</v>
      </c>
      <c r="AG1615">
        <v>0</v>
      </c>
      <c r="AH1615">
        <v>0</v>
      </c>
      <c r="AI1615">
        <v>100</v>
      </c>
      <c r="AJ1615">
        <v>1</v>
      </c>
      <c r="AK1615">
        <v>0</v>
      </c>
      <c r="AL1615">
        <v>0</v>
      </c>
      <c r="AM1615">
        <v>100</v>
      </c>
      <c r="AN1615">
        <v>0</v>
      </c>
      <c r="AO1615">
        <v>0</v>
      </c>
      <c r="AP1615">
        <v>0</v>
      </c>
      <c r="AQ1615">
        <v>0</v>
      </c>
      <c r="AS1615">
        <v>0</v>
      </c>
      <c r="AT1615">
        <v>0</v>
      </c>
      <c r="AV1615">
        <v>0</v>
      </c>
      <c r="AW1615">
        <v>0</v>
      </c>
      <c r="AY1615">
        <v>0</v>
      </c>
      <c r="AZ1615">
        <v>0</v>
      </c>
      <c r="BA1615">
        <v>70</v>
      </c>
      <c r="BE1615" t="str">
        <f>T("9791137013551")</f>
        <v>9791137013551</v>
      </c>
      <c r="BF1615" t="str">
        <f>T("N207755")</f>
        <v>N207755</v>
      </c>
      <c r="BG1615" t="str">
        <f>T("판타지 웹소설 &gt; 퓨전 판타지")</f>
        <v>판타지 웹소설 &gt; 퓨전 판타지</v>
      </c>
    </row>
    <row r="1616" spans="1:59">
      <c r="A1616" t="s">
        <v>60</v>
      </c>
      <c r="B1616" s="1">
        <v>46130</v>
      </c>
      <c r="C1616">
        <v>2378044483</v>
      </c>
      <c r="D1616">
        <v>2378044606</v>
      </c>
      <c r="E1616" t="str">
        <f>T("내 눈에만 아공간이 보여 123화")</f>
        <v>내 눈에만 아공간이 보여 123화</v>
      </c>
      <c r="F1616">
        <v>124</v>
      </c>
      <c r="G1616" t="str">
        <f>T("지누아빠")</f>
        <v>지누아빠</v>
      </c>
      <c r="J1616" t="str">
        <f>T("매드햇")</f>
        <v>매드햇</v>
      </c>
      <c r="K1616" t="str">
        <f>T("내 눈에만 아공간이 보여")</f>
        <v>내 눈에만 아공간이 보여</v>
      </c>
      <c r="L1616">
        <v>100</v>
      </c>
      <c r="M1616">
        <v>100</v>
      </c>
      <c r="N1616">
        <v>1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0</v>
      </c>
      <c r="AF1616">
        <v>0</v>
      </c>
      <c r="AG1616">
        <v>0</v>
      </c>
      <c r="AH1616">
        <v>0</v>
      </c>
      <c r="AI1616">
        <v>100</v>
      </c>
      <c r="AJ1616">
        <v>1</v>
      </c>
      <c r="AK1616">
        <v>0</v>
      </c>
      <c r="AL1616">
        <v>0</v>
      </c>
      <c r="AM1616">
        <v>100</v>
      </c>
      <c r="AN1616">
        <v>0</v>
      </c>
      <c r="AO1616">
        <v>0</v>
      </c>
      <c r="AP1616">
        <v>0</v>
      </c>
      <c r="AQ1616">
        <v>0</v>
      </c>
      <c r="AS1616">
        <v>0</v>
      </c>
      <c r="AT1616">
        <v>0</v>
      </c>
      <c r="AV1616">
        <v>0</v>
      </c>
      <c r="AW1616">
        <v>0</v>
      </c>
      <c r="AY1616">
        <v>0</v>
      </c>
      <c r="AZ1616">
        <v>0</v>
      </c>
      <c r="BA1616">
        <v>70</v>
      </c>
      <c r="BE1616" t="str">
        <f>T("9791137013551")</f>
        <v>9791137013551</v>
      </c>
      <c r="BF1616" t="str">
        <f>T("N207756")</f>
        <v>N207756</v>
      </c>
      <c r="BG1616" t="str">
        <f>T("판타지 웹소설 &gt; 퓨전 판타지")</f>
        <v>판타지 웹소설 &gt; 퓨전 판타지</v>
      </c>
    </row>
    <row r="1617" spans="1:59">
      <c r="A1617" t="s">
        <v>60</v>
      </c>
      <c r="B1617" s="1">
        <v>46130</v>
      </c>
      <c r="C1617">
        <v>2378044483</v>
      </c>
      <c r="D1617">
        <v>2378044607</v>
      </c>
      <c r="E1617" t="str">
        <f>T("내 눈에만 아공간이 보여 124화")</f>
        <v>내 눈에만 아공간이 보여 124화</v>
      </c>
      <c r="F1617">
        <v>125</v>
      </c>
      <c r="G1617" t="str">
        <f>T("지누아빠")</f>
        <v>지누아빠</v>
      </c>
      <c r="J1617" t="str">
        <f>T("매드햇")</f>
        <v>매드햇</v>
      </c>
      <c r="K1617" t="str">
        <f>T("내 눈에만 아공간이 보여")</f>
        <v>내 눈에만 아공간이 보여</v>
      </c>
      <c r="L1617">
        <v>100</v>
      </c>
      <c r="M1617">
        <v>100</v>
      </c>
      <c r="N1617">
        <v>1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0</v>
      </c>
      <c r="AI1617">
        <v>100</v>
      </c>
      <c r="AJ1617">
        <v>1</v>
      </c>
      <c r="AK1617">
        <v>0</v>
      </c>
      <c r="AL1617">
        <v>0</v>
      </c>
      <c r="AM1617">
        <v>100</v>
      </c>
      <c r="AN1617">
        <v>0</v>
      </c>
      <c r="AO1617">
        <v>0</v>
      </c>
      <c r="AP1617">
        <v>0</v>
      </c>
      <c r="AQ1617">
        <v>0</v>
      </c>
      <c r="AS1617">
        <v>0</v>
      </c>
      <c r="AT1617">
        <v>0</v>
      </c>
      <c r="AV1617">
        <v>0</v>
      </c>
      <c r="AW1617">
        <v>0</v>
      </c>
      <c r="AY1617">
        <v>0</v>
      </c>
      <c r="AZ1617">
        <v>0</v>
      </c>
      <c r="BA1617">
        <v>70</v>
      </c>
      <c r="BE1617" t="str">
        <f>T("9791137013551")</f>
        <v>9791137013551</v>
      </c>
      <c r="BF1617" t="str">
        <f>T("N210914")</f>
        <v>N210914</v>
      </c>
      <c r="BG1617" t="str">
        <f>T("판타지 웹소설 &gt; 퓨전 판타지")</f>
        <v>판타지 웹소설 &gt; 퓨전 판타지</v>
      </c>
    </row>
    <row r="1618" spans="1:59">
      <c r="A1618" t="s">
        <v>60</v>
      </c>
      <c r="B1618" s="1">
        <v>46130</v>
      </c>
      <c r="C1618">
        <v>2378044483</v>
      </c>
      <c r="D1618">
        <v>2378044608</v>
      </c>
      <c r="E1618" t="str">
        <f>T("내 눈에만 아공간이 보여 125화")</f>
        <v>내 눈에만 아공간이 보여 125화</v>
      </c>
      <c r="F1618">
        <v>126</v>
      </c>
      <c r="G1618" t="str">
        <f>T("지누아빠")</f>
        <v>지누아빠</v>
      </c>
      <c r="J1618" t="str">
        <f>T("매드햇")</f>
        <v>매드햇</v>
      </c>
      <c r="K1618" t="str">
        <f>T("내 눈에만 아공간이 보여")</f>
        <v>내 눈에만 아공간이 보여</v>
      </c>
      <c r="L1618">
        <v>100</v>
      </c>
      <c r="M1618">
        <v>100</v>
      </c>
      <c r="N1618">
        <v>1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100</v>
      </c>
      <c r="AJ1618">
        <v>1</v>
      </c>
      <c r="AK1618">
        <v>0</v>
      </c>
      <c r="AL1618">
        <v>0</v>
      </c>
      <c r="AM1618">
        <v>100</v>
      </c>
      <c r="AN1618">
        <v>0</v>
      </c>
      <c r="AO1618">
        <v>0</v>
      </c>
      <c r="AP1618">
        <v>0</v>
      </c>
      <c r="AQ1618">
        <v>0</v>
      </c>
      <c r="AS1618">
        <v>0</v>
      </c>
      <c r="AT1618">
        <v>0</v>
      </c>
      <c r="AV1618">
        <v>0</v>
      </c>
      <c r="AW1618">
        <v>0</v>
      </c>
      <c r="AY1618">
        <v>0</v>
      </c>
      <c r="AZ1618">
        <v>0</v>
      </c>
      <c r="BA1618">
        <v>70</v>
      </c>
      <c r="BE1618" t="str">
        <f>T("9791137013551")</f>
        <v>9791137013551</v>
      </c>
      <c r="BF1618" t="str">
        <f>T("N210915")</f>
        <v>N210915</v>
      </c>
      <c r="BG1618" t="str">
        <f>T("판타지 웹소설 &gt; 퓨전 판타지")</f>
        <v>판타지 웹소설 &gt; 퓨전 판타지</v>
      </c>
    </row>
    <row r="1619" spans="1:59">
      <c r="A1619" t="s">
        <v>60</v>
      </c>
      <c r="B1619" s="1">
        <v>46130</v>
      </c>
      <c r="C1619">
        <v>2378044483</v>
      </c>
      <c r="D1619">
        <v>2378044609</v>
      </c>
      <c r="E1619" t="str">
        <f>T("내 눈에만 아공간이 보여 126화")</f>
        <v>내 눈에만 아공간이 보여 126화</v>
      </c>
      <c r="F1619">
        <v>127</v>
      </c>
      <c r="G1619" t="str">
        <f>T("지누아빠")</f>
        <v>지누아빠</v>
      </c>
      <c r="J1619" t="str">
        <f>T("매드햇")</f>
        <v>매드햇</v>
      </c>
      <c r="K1619" t="str">
        <f>T("내 눈에만 아공간이 보여")</f>
        <v>내 눈에만 아공간이 보여</v>
      </c>
      <c r="L1619">
        <v>100</v>
      </c>
      <c r="M1619">
        <v>100</v>
      </c>
      <c r="N1619">
        <v>1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100</v>
      </c>
      <c r="AJ1619">
        <v>1</v>
      </c>
      <c r="AK1619">
        <v>0</v>
      </c>
      <c r="AL1619">
        <v>0</v>
      </c>
      <c r="AM1619">
        <v>100</v>
      </c>
      <c r="AN1619">
        <v>0</v>
      </c>
      <c r="AO1619">
        <v>0</v>
      </c>
      <c r="AP1619">
        <v>0</v>
      </c>
      <c r="AQ1619">
        <v>0</v>
      </c>
      <c r="AS1619">
        <v>0</v>
      </c>
      <c r="AT1619">
        <v>0</v>
      </c>
      <c r="AV1619">
        <v>0</v>
      </c>
      <c r="AW1619">
        <v>0</v>
      </c>
      <c r="AY1619">
        <v>0</v>
      </c>
      <c r="AZ1619">
        <v>0</v>
      </c>
      <c r="BA1619">
        <v>70</v>
      </c>
      <c r="BE1619" t="str">
        <f>T("9791137013551")</f>
        <v>9791137013551</v>
      </c>
      <c r="BF1619" t="str">
        <f>T("N210916")</f>
        <v>N210916</v>
      </c>
      <c r="BG1619" t="str">
        <f>T("판타지 웹소설 &gt; 퓨전 판타지")</f>
        <v>판타지 웹소설 &gt; 퓨전 판타지</v>
      </c>
    </row>
    <row r="1620" spans="1:59">
      <c r="A1620" t="s">
        <v>60</v>
      </c>
      <c r="B1620" s="1">
        <v>46130</v>
      </c>
      <c r="C1620">
        <v>2378044483</v>
      </c>
      <c r="D1620">
        <v>2378044610</v>
      </c>
      <c r="E1620" t="str">
        <f>T("내 눈에만 아공간이 보여 127화")</f>
        <v>내 눈에만 아공간이 보여 127화</v>
      </c>
      <c r="F1620">
        <v>128</v>
      </c>
      <c r="G1620" t="str">
        <f>T("지누아빠")</f>
        <v>지누아빠</v>
      </c>
      <c r="J1620" t="str">
        <f>T("매드햇")</f>
        <v>매드햇</v>
      </c>
      <c r="K1620" t="str">
        <f>T("내 눈에만 아공간이 보여")</f>
        <v>내 눈에만 아공간이 보여</v>
      </c>
      <c r="L1620">
        <v>100</v>
      </c>
      <c r="M1620">
        <v>100</v>
      </c>
      <c r="N1620">
        <v>1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100</v>
      </c>
      <c r="AJ1620">
        <v>1</v>
      </c>
      <c r="AK1620">
        <v>0</v>
      </c>
      <c r="AL1620">
        <v>0</v>
      </c>
      <c r="AM1620">
        <v>100</v>
      </c>
      <c r="AN1620">
        <v>0</v>
      </c>
      <c r="AO1620">
        <v>0</v>
      </c>
      <c r="AP1620">
        <v>0</v>
      </c>
      <c r="AQ1620">
        <v>0</v>
      </c>
      <c r="AS1620">
        <v>0</v>
      </c>
      <c r="AT1620">
        <v>0</v>
      </c>
      <c r="AV1620">
        <v>0</v>
      </c>
      <c r="AW1620">
        <v>0</v>
      </c>
      <c r="AY1620">
        <v>0</v>
      </c>
      <c r="AZ1620">
        <v>0</v>
      </c>
      <c r="BA1620">
        <v>70</v>
      </c>
      <c r="BE1620" t="str">
        <f>T("9791137013551")</f>
        <v>9791137013551</v>
      </c>
      <c r="BF1620" t="str">
        <f>T("N210917")</f>
        <v>N210917</v>
      </c>
      <c r="BG1620" t="str">
        <f>T("판타지 웹소설 &gt; 퓨전 판타지")</f>
        <v>판타지 웹소설 &gt; 퓨전 판타지</v>
      </c>
    </row>
    <row r="1621" spans="1:59">
      <c r="A1621" t="s">
        <v>60</v>
      </c>
      <c r="B1621" s="1">
        <v>46130</v>
      </c>
      <c r="C1621">
        <v>2378044483</v>
      </c>
      <c r="D1621">
        <v>2378044611</v>
      </c>
      <c r="E1621" t="str">
        <f>T("내 눈에만 아공간이 보여 128화")</f>
        <v>내 눈에만 아공간이 보여 128화</v>
      </c>
      <c r="F1621">
        <v>129</v>
      </c>
      <c r="G1621" t="str">
        <f>T("지누아빠")</f>
        <v>지누아빠</v>
      </c>
      <c r="J1621" t="str">
        <f>T("매드햇")</f>
        <v>매드햇</v>
      </c>
      <c r="K1621" t="str">
        <f>T("내 눈에만 아공간이 보여")</f>
        <v>내 눈에만 아공간이 보여</v>
      </c>
      <c r="L1621">
        <v>100</v>
      </c>
      <c r="M1621">
        <v>100</v>
      </c>
      <c r="N1621">
        <v>1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0</v>
      </c>
      <c r="AH1621">
        <v>0</v>
      </c>
      <c r="AI1621">
        <v>100</v>
      </c>
      <c r="AJ1621">
        <v>1</v>
      </c>
      <c r="AK1621">
        <v>0</v>
      </c>
      <c r="AL1621">
        <v>0</v>
      </c>
      <c r="AM1621">
        <v>100</v>
      </c>
      <c r="AN1621">
        <v>0</v>
      </c>
      <c r="AO1621">
        <v>0</v>
      </c>
      <c r="AP1621">
        <v>0</v>
      </c>
      <c r="AQ1621">
        <v>0</v>
      </c>
      <c r="AS1621">
        <v>0</v>
      </c>
      <c r="AT1621">
        <v>0</v>
      </c>
      <c r="AV1621">
        <v>0</v>
      </c>
      <c r="AW1621">
        <v>0</v>
      </c>
      <c r="AY1621">
        <v>0</v>
      </c>
      <c r="AZ1621">
        <v>0</v>
      </c>
      <c r="BA1621">
        <v>70</v>
      </c>
      <c r="BE1621" t="str">
        <f>T("9791137013551")</f>
        <v>9791137013551</v>
      </c>
      <c r="BF1621" t="str">
        <f>T("N210918")</f>
        <v>N210918</v>
      </c>
      <c r="BG1621" t="str">
        <f>T("판타지 웹소설 &gt; 퓨전 판타지")</f>
        <v>판타지 웹소설 &gt; 퓨전 판타지</v>
      </c>
    </row>
    <row r="1622" spans="1:59">
      <c r="A1622" t="s">
        <v>60</v>
      </c>
      <c r="B1622" s="1">
        <v>46130</v>
      </c>
      <c r="C1622">
        <v>2378044483</v>
      </c>
      <c r="D1622">
        <v>2378044612</v>
      </c>
      <c r="E1622" t="str">
        <f>T("내 눈에만 아공간이 보여 129화")</f>
        <v>내 눈에만 아공간이 보여 129화</v>
      </c>
      <c r="F1622">
        <v>130</v>
      </c>
      <c r="G1622" t="str">
        <f>T("지누아빠")</f>
        <v>지누아빠</v>
      </c>
      <c r="J1622" t="str">
        <f>T("매드햇")</f>
        <v>매드햇</v>
      </c>
      <c r="K1622" t="str">
        <f>T("내 눈에만 아공간이 보여")</f>
        <v>내 눈에만 아공간이 보여</v>
      </c>
      <c r="L1622">
        <v>100</v>
      </c>
      <c r="M1622">
        <v>100</v>
      </c>
      <c r="N1622">
        <v>1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0</v>
      </c>
      <c r="AH1622">
        <v>0</v>
      </c>
      <c r="AI1622">
        <v>100</v>
      </c>
      <c r="AJ1622">
        <v>1</v>
      </c>
      <c r="AK1622">
        <v>0</v>
      </c>
      <c r="AL1622">
        <v>0</v>
      </c>
      <c r="AM1622">
        <v>100</v>
      </c>
      <c r="AN1622">
        <v>0</v>
      </c>
      <c r="AO1622">
        <v>0</v>
      </c>
      <c r="AP1622">
        <v>0</v>
      </c>
      <c r="AQ1622">
        <v>0</v>
      </c>
      <c r="AS1622">
        <v>0</v>
      </c>
      <c r="AT1622">
        <v>0</v>
      </c>
      <c r="AV1622">
        <v>0</v>
      </c>
      <c r="AW1622">
        <v>0</v>
      </c>
      <c r="AY1622">
        <v>0</v>
      </c>
      <c r="AZ1622">
        <v>0</v>
      </c>
      <c r="BA1622">
        <v>70</v>
      </c>
      <c r="BE1622" t="str">
        <f>T("9791137013551")</f>
        <v>9791137013551</v>
      </c>
      <c r="BF1622" t="str">
        <f>T("N214954")</f>
        <v>N214954</v>
      </c>
      <c r="BG1622" t="str">
        <f>T("판타지 웹소설 &gt; 퓨전 판타지")</f>
        <v>판타지 웹소설 &gt; 퓨전 판타지</v>
      </c>
    </row>
    <row r="1623" spans="1:59">
      <c r="A1623" t="s">
        <v>60</v>
      </c>
      <c r="B1623" s="1">
        <v>46130</v>
      </c>
      <c r="C1623">
        <v>2378044483</v>
      </c>
      <c r="D1623">
        <v>2378044613</v>
      </c>
      <c r="E1623" t="str">
        <f>T("내 눈에만 아공간이 보여 130화")</f>
        <v>내 눈에만 아공간이 보여 130화</v>
      </c>
      <c r="F1623">
        <v>131</v>
      </c>
      <c r="G1623" t="str">
        <f>T("지누아빠")</f>
        <v>지누아빠</v>
      </c>
      <c r="J1623" t="str">
        <f>T("매드햇")</f>
        <v>매드햇</v>
      </c>
      <c r="K1623" t="str">
        <f>T("내 눈에만 아공간이 보여")</f>
        <v>내 눈에만 아공간이 보여</v>
      </c>
      <c r="L1623">
        <v>100</v>
      </c>
      <c r="M1623">
        <v>100</v>
      </c>
      <c r="N1623">
        <v>1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0</v>
      </c>
      <c r="AH1623">
        <v>0</v>
      </c>
      <c r="AI1623">
        <v>100</v>
      </c>
      <c r="AJ1623">
        <v>1</v>
      </c>
      <c r="AK1623">
        <v>0</v>
      </c>
      <c r="AL1623">
        <v>0</v>
      </c>
      <c r="AM1623">
        <v>100</v>
      </c>
      <c r="AN1623">
        <v>0</v>
      </c>
      <c r="AO1623">
        <v>0</v>
      </c>
      <c r="AP1623">
        <v>0</v>
      </c>
      <c r="AQ1623">
        <v>0</v>
      </c>
      <c r="AS1623">
        <v>0</v>
      </c>
      <c r="AT1623">
        <v>0</v>
      </c>
      <c r="AV1623">
        <v>0</v>
      </c>
      <c r="AW1623">
        <v>0</v>
      </c>
      <c r="AY1623">
        <v>0</v>
      </c>
      <c r="AZ1623">
        <v>0</v>
      </c>
      <c r="BA1623">
        <v>70</v>
      </c>
      <c r="BE1623" t="str">
        <f>T("9791137013551")</f>
        <v>9791137013551</v>
      </c>
      <c r="BF1623" t="str">
        <f>T("N214955")</f>
        <v>N214955</v>
      </c>
      <c r="BG1623" t="str">
        <f>T("판타지 웹소설 &gt; 퓨전 판타지")</f>
        <v>판타지 웹소설 &gt; 퓨전 판타지</v>
      </c>
    </row>
    <row r="1624" spans="1:59">
      <c r="A1624" t="s">
        <v>60</v>
      </c>
      <c r="B1624" s="1">
        <v>46130</v>
      </c>
      <c r="C1624">
        <v>2378044483</v>
      </c>
      <c r="D1624">
        <v>2378044614</v>
      </c>
      <c r="E1624" t="str">
        <f>T("내 눈에만 아공간이 보여 131화")</f>
        <v>내 눈에만 아공간이 보여 131화</v>
      </c>
      <c r="F1624">
        <v>132</v>
      </c>
      <c r="G1624" t="str">
        <f>T("지누아빠")</f>
        <v>지누아빠</v>
      </c>
      <c r="J1624" t="str">
        <f>T("매드햇")</f>
        <v>매드햇</v>
      </c>
      <c r="K1624" t="str">
        <f>T("내 눈에만 아공간이 보여")</f>
        <v>내 눈에만 아공간이 보여</v>
      </c>
      <c r="L1624">
        <v>100</v>
      </c>
      <c r="M1624">
        <v>100</v>
      </c>
      <c r="N1624">
        <v>1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0</v>
      </c>
      <c r="AH1624">
        <v>0</v>
      </c>
      <c r="AI1624">
        <v>100</v>
      </c>
      <c r="AJ1624">
        <v>1</v>
      </c>
      <c r="AK1624">
        <v>0</v>
      </c>
      <c r="AL1624">
        <v>0</v>
      </c>
      <c r="AM1624">
        <v>100</v>
      </c>
      <c r="AN1624">
        <v>0</v>
      </c>
      <c r="AO1624">
        <v>0</v>
      </c>
      <c r="AP1624">
        <v>0</v>
      </c>
      <c r="AQ1624">
        <v>0</v>
      </c>
      <c r="AS1624">
        <v>0</v>
      </c>
      <c r="AT1624">
        <v>0</v>
      </c>
      <c r="AV1624">
        <v>0</v>
      </c>
      <c r="AW1624">
        <v>0</v>
      </c>
      <c r="AY1624">
        <v>0</v>
      </c>
      <c r="AZ1624">
        <v>0</v>
      </c>
      <c r="BA1624">
        <v>70</v>
      </c>
      <c r="BE1624" t="str">
        <f>T("9791137013551")</f>
        <v>9791137013551</v>
      </c>
      <c r="BF1624" t="str">
        <f>T("N214956")</f>
        <v>N214956</v>
      </c>
      <c r="BG1624" t="str">
        <f>T("판타지 웹소설 &gt; 퓨전 판타지")</f>
        <v>판타지 웹소설 &gt; 퓨전 판타지</v>
      </c>
    </row>
    <row r="1625" spans="1:59">
      <c r="A1625" t="s">
        <v>60</v>
      </c>
      <c r="B1625" s="1">
        <v>46130</v>
      </c>
      <c r="C1625">
        <v>2378044483</v>
      </c>
      <c r="D1625">
        <v>2378044615</v>
      </c>
      <c r="E1625" t="str">
        <f>T("내 눈에만 아공간이 보여 132화")</f>
        <v>내 눈에만 아공간이 보여 132화</v>
      </c>
      <c r="F1625">
        <v>133</v>
      </c>
      <c r="G1625" t="str">
        <f>T("지누아빠")</f>
        <v>지누아빠</v>
      </c>
      <c r="J1625" t="str">
        <f>T("매드햇")</f>
        <v>매드햇</v>
      </c>
      <c r="K1625" t="str">
        <f>T("내 눈에만 아공간이 보여")</f>
        <v>내 눈에만 아공간이 보여</v>
      </c>
      <c r="L1625">
        <v>100</v>
      </c>
      <c r="M1625">
        <v>100</v>
      </c>
      <c r="N1625">
        <v>1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100</v>
      </c>
      <c r="AJ1625">
        <v>1</v>
      </c>
      <c r="AK1625">
        <v>0</v>
      </c>
      <c r="AL1625">
        <v>0</v>
      </c>
      <c r="AM1625">
        <v>100</v>
      </c>
      <c r="AN1625">
        <v>0</v>
      </c>
      <c r="AO1625">
        <v>0</v>
      </c>
      <c r="AP1625">
        <v>0</v>
      </c>
      <c r="AQ1625">
        <v>0</v>
      </c>
      <c r="AS1625">
        <v>0</v>
      </c>
      <c r="AT1625">
        <v>0</v>
      </c>
      <c r="AV1625">
        <v>0</v>
      </c>
      <c r="AW1625">
        <v>0</v>
      </c>
      <c r="AY1625">
        <v>0</v>
      </c>
      <c r="AZ1625">
        <v>0</v>
      </c>
      <c r="BA1625">
        <v>70</v>
      </c>
      <c r="BE1625" t="str">
        <f>T("9791137013551")</f>
        <v>9791137013551</v>
      </c>
      <c r="BF1625" t="str">
        <f>T("N214957")</f>
        <v>N214957</v>
      </c>
      <c r="BG1625" t="str">
        <f>T("판타지 웹소설 &gt; 퓨전 판타지")</f>
        <v>판타지 웹소설 &gt; 퓨전 판타지</v>
      </c>
    </row>
    <row r="1626" spans="1:59">
      <c r="A1626" t="s">
        <v>60</v>
      </c>
      <c r="B1626" s="1">
        <v>46130</v>
      </c>
      <c r="C1626">
        <v>2378044483</v>
      </c>
      <c r="D1626">
        <v>2378044616</v>
      </c>
      <c r="E1626" t="str">
        <f>T("내 눈에만 아공간이 보여 133화")</f>
        <v>내 눈에만 아공간이 보여 133화</v>
      </c>
      <c r="F1626">
        <v>134</v>
      </c>
      <c r="G1626" t="str">
        <f>T("지누아빠")</f>
        <v>지누아빠</v>
      </c>
      <c r="J1626" t="str">
        <f>T("매드햇")</f>
        <v>매드햇</v>
      </c>
      <c r="K1626" t="str">
        <f>T("내 눈에만 아공간이 보여")</f>
        <v>내 눈에만 아공간이 보여</v>
      </c>
      <c r="L1626">
        <v>100</v>
      </c>
      <c r="M1626">
        <v>100</v>
      </c>
      <c r="N1626">
        <v>1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0</v>
      </c>
      <c r="AH1626">
        <v>0</v>
      </c>
      <c r="AI1626">
        <v>100</v>
      </c>
      <c r="AJ1626">
        <v>1</v>
      </c>
      <c r="AK1626">
        <v>0</v>
      </c>
      <c r="AL1626">
        <v>0</v>
      </c>
      <c r="AM1626">
        <v>100</v>
      </c>
      <c r="AN1626">
        <v>0</v>
      </c>
      <c r="AO1626">
        <v>0</v>
      </c>
      <c r="AP1626">
        <v>0</v>
      </c>
      <c r="AQ1626">
        <v>0</v>
      </c>
      <c r="AS1626">
        <v>0</v>
      </c>
      <c r="AT1626">
        <v>0</v>
      </c>
      <c r="AV1626">
        <v>0</v>
      </c>
      <c r="AW1626">
        <v>0</v>
      </c>
      <c r="AY1626">
        <v>0</v>
      </c>
      <c r="AZ1626">
        <v>0</v>
      </c>
      <c r="BA1626">
        <v>70</v>
      </c>
      <c r="BE1626" t="str">
        <f>T("9791137013551")</f>
        <v>9791137013551</v>
      </c>
      <c r="BF1626" t="str">
        <f>T("N214958")</f>
        <v>N214958</v>
      </c>
      <c r="BG1626" t="str">
        <f>T("판타지 웹소설 &gt; 퓨전 판타지")</f>
        <v>판타지 웹소설 &gt; 퓨전 판타지</v>
      </c>
    </row>
    <row r="1627" spans="1:59">
      <c r="A1627" t="s">
        <v>60</v>
      </c>
      <c r="B1627" s="1">
        <v>46130</v>
      </c>
      <c r="C1627">
        <v>2378044483</v>
      </c>
      <c r="D1627">
        <v>2378044617</v>
      </c>
      <c r="E1627" t="str">
        <f>T("내 눈에만 아공간이 보여 134화")</f>
        <v>내 눈에만 아공간이 보여 134화</v>
      </c>
      <c r="F1627">
        <v>135</v>
      </c>
      <c r="G1627" t="str">
        <f>T("지누아빠")</f>
        <v>지누아빠</v>
      </c>
      <c r="J1627" t="str">
        <f>T("매드햇")</f>
        <v>매드햇</v>
      </c>
      <c r="K1627" t="str">
        <f>T("내 눈에만 아공간이 보여")</f>
        <v>내 눈에만 아공간이 보여</v>
      </c>
      <c r="L1627">
        <v>100</v>
      </c>
      <c r="M1627">
        <v>100</v>
      </c>
      <c r="N1627">
        <v>1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0</v>
      </c>
      <c r="AH1627">
        <v>0</v>
      </c>
      <c r="AI1627">
        <v>100</v>
      </c>
      <c r="AJ1627">
        <v>1</v>
      </c>
      <c r="AK1627">
        <v>0</v>
      </c>
      <c r="AL1627">
        <v>0</v>
      </c>
      <c r="AM1627">
        <v>100</v>
      </c>
      <c r="AN1627">
        <v>0</v>
      </c>
      <c r="AO1627">
        <v>0</v>
      </c>
      <c r="AP1627">
        <v>0</v>
      </c>
      <c r="AQ1627">
        <v>0</v>
      </c>
      <c r="AS1627">
        <v>0</v>
      </c>
      <c r="AT1627">
        <v>0</v>
      </c>
      <c r="AV1627">
        <v>0</v>
      </c>
      <c r="AW1627">
        <v>0</v>
      </c>
      <c r="AY1627">
        <v>0</v>
      </c>
      <c r="AZ1627">
        <v>0</v>
      </c>
      <c r="BA1627">
        <v>70</v>
      </c>
      <c r="BE1627" t="str">
        <f>T("9791137013551")</f>
        <v>9791137013551</v>
      </c>
      <c r="BF1627" t="str">
        <f>T("N216768")</f>
        <v>N216768</v>
      </c>
      <c r="BG1627" t="str">
        <f>T("판타지 웹소설 &gt; 퓨전 판타지")</f>
        <v>판타지 웹소설 &gt; 퓨전 판타지</v>
      </c>
    </row>
    <row r="1628" spans="1:59">
      <c r="A1628" t="s">
        <v>60</v>
      </c>
      <c r="B1628" s="1">
        <v>46130</v>
      </c>
      <c r="C1628">
        <v>2378044483</v>
      </c>
      <c r="D1628">
        <v>2378044618</v>
      </c>
      <c r="E1628" t="str">
        <f>T("내 눈에만 아공간이 보여 135화")</f>
        <v>내 눈에만 아공간이 보여 135화</v>
      </c>
      <c r="F1628">
        <v>136</v>
      </c>
      <c r="G1628" t="str">
        <f>T("지누아빠")</f>
        <v>지누아빠</v>
      </c>
      <c r="J1628" t="str">
        <f>T("매드햇")</f>
        <v>매드햇</v>
      </c>
      <c r="K1628" t="str">
        <f>T("내 눈에만 아공간이 보여")</f>
        <v>내 눈에만 아공간이 보여</v>
      </c>
      <c r="L1628">
        <v>100</v>
      </c>
      <c r="M1628">
        <v>100</v>
      </c>
      <c r="N1628">
        <v>1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0</v>
      </c>
      <c r="AH1628">
        <v>0</v>
      </c>
      <c r="AI1628">
        <v>100</v>
      </c>
      <c r="AJ1628">
        <v>1</v>
      </c>
      <c r="AK1628">
        <v>0</v>
      </c>
      <c r="AL1628">
        <v>0</v>
      </c>
      <c r="AM1628">
        <v>100</v>
      </c>
      <c r="AN1628">
        <v>0</v>
      </c>
      <c r="AO1628">
        <v>0</v>
      </c>
      <c r="AP1628">
        <v>0</v>
      </c>
      <c r="AQ1628">
        <v>0</v>
      </c>
      <c r="AS1628">
        <v>0</v>
      </c>
      <c r="AT1628">
        <v>0</v>
      </c>
      <c r="AV1628">
        <v>0</v>
      </c>
      <c r="AW1628">
        <v>0</v>
      </c>
      <c r="AY1628">
        <v>0</v>
      </c>
      <c r="AZ1628">
        <v>0</v>
      </c>
      <c r="BA1628">
        <v>70</v>
      </c>
      <c r="BE1628" t="str">
        <f>T("9791137013551")</f>
        <v>9791137013551</v>
      </c>
      <c r="BF1628" t="str">
        <f>T("N216769")</f>
        <v>N216769</v>
      </c>
      <c r="BG1628" t="str">
        <f>T("판타지 웹소설 &gt; 퓨전 판타지")</f>
        <v>판타지 웹소설 &gt; 퓨전 판타지</v>
      </c>
    </row>
    <row r="1629" spans="1:59">
      <c r="A1629" t="s">
        <v>60</v>
      </c>
      <c r="B1629" s="1">
        <v>46130</v>
      </c>
      <c r="C1629">
        <v>2378044483</v>
      </c>
      <c r="D1629">
        <v>2378044619</v>
      </c>
      <c r="E1629" t="str">
        <f>T("내 눈에만 아공간이 보여 136화")</f>
        <v>내 눈에만 아공간이 보여 136화</v>
      </c>
      <c r="F1629">
        <v>137</v>
      </c>
      <c r="G1629" t="str">
        <f>T("지누아빠")</f>
        <v>지누아빠</v>
      </c>
      <c r="J1629" t="str">
        <f>T("매드햇")</f>
        <v>매드햇</v>
      </c>
      <c r="K1629" t="str">
        <f>T("내 눈에만 아공간이 보여")</f>
        <v>내 눈에만 아공간이 보여</v>
      </c>
      <c r="L1629">
        <v>100</v>
      </c>
      <c r="M1629">
        <v>100</v>
      </c>
      <c r="N1629">
        <v>1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100</v>
      </c>
      <c r="AJ1629">
        <v>1</v>
      </c>
      <c r="AK1629">
        <v>0</v>
      </c>
      <c r="AL1629">
        <v>0</v>
      </c>
      <c r="AM1629">
        <v>100</v>
      </c>
      <c r="AN1629">
        <v>0</v>
      </c>
      <c r="AO1629">
        <v>0</v>
      </c>
      <c r="AP1629">
        <v>0</v>
      </c>
      <c r="AQ1629">
        <v>0</v>
      </c>
      <c r="AS1629">
        <v>0</v>
      </c>
      <c r="AT1629">
        <v>0</v>
      </c>
      <c r="AV1629">
        <v>0</v>
      </c>
      <c r="AW1629">
        <v>0</v>
      </c>
      <c r="AY1629">
        <v>0</v>
      </c>
      <c r="AZ1629">
        <v>0</v>
      </c>
      <c r="BA1629">
        <v>70</v>
      </c>
      <c r="BE1629" t="str">
        <f>T("9791137013551")</f>
        <v>9791137013551</v>
      </c>
      <c r="BF1629" t="str">
        <f>T("N216770")</f>
        <v>N216770</v>
      </c>
      <c r="BG1629" t="str">
        <f>T("판타지 웹소설 &gt; 퓨전 판타지")</f>
        <v>판타지 웹소설 &gt; 퓨전 판타지</v>
      </c>
    </row>
    <row r="1630" spans="1:59">
      <c r="A1630" t="s">
        <v>60</v>
      </c>
      <c r="B1630" s="1">
        <v>46130</v>
      </c>
      <c r="C1630">
        <v>2378044483</v>
      </c>
      <c r="D1630">
        <v>2378044620</v>
      </c>
      <c r="E1630" t="str">
        <f>T("내 눈에만 아공간이 보여 137화")</f>
        <v>내 눈에만 아공간이 보여 137화</v>
      </c>
      <c r="F1630">
        <v>138</v>
      </c>
      <c r="G1630" t="str">
        <f>T("지누아빠")</f>
        <v>지누아빠</v>
      </c>
      <c r="J1630" t="str">
        <f>T("매드햇")</f>
        <v>매드햇</v>
      </c>
      <c r="K1630" t="str">
        <f>T("내 눈에만 아공간이 보여")</f>
        <v>내 눈에만 아공간이 보여</v>
      </c>
      <c r="L1630">
        <v>100</v>
      </c>
      <c r="M1630">
        <v>100</v>
      </c>
      <c r="N1630">
        <v>1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0</v>
      </c>
      <c r="AH1630">
        <v>0</v>
      </c>
      <c r="AI1630">
        <v>100</v>
      </c>
      <c r="AJ1630">
        <v>1</v>
      </c>
      <c r="AK1630">
        <v>0</v>
      </c>
      <c r="AL1630">
        <v>0</v>
      </c>
      <c r="AM1630">
        <v>100</v>
      </c>
      <c r="AN1630">
        <v>0</v>
      </c>
      <c r="AO1630">
        <v>0</v>
      </c>
      <c r="AP1630">
        <v>0</v>
      </c>
      <c r="AQ1630">
        <v>0</v>
      </c>
      <c r="AS1630">
        <v>0</v>
      </c>
      <c r="AT1630">
        <v>0</v>
      </c>
      <c r="AV1630">
        <v>0</v>
      </c>
      <c r="AW1630">
        <v>0</v>
      </c>
      <c r="AY1630">
        <v>0</v>
      </c>
      <c r="AZ1630">
        <v>0</v>
      </c>
      <c r="BA1630">
        <v>70</v>
      </c>
      <c r="BE1630" t="str">
        <f>T("9791137013551")</f>
        <v>9791137013551</v>
      </c>
      <c r="BF1630" t="str">
        <f>T("N216771")</f>
        <v>N216771</v>
      </c>
      <c r="BG1630" t="str">
        <f>T("판타지 웹소설 &gt; 퓨전 판타지")</f>
        <v>판타지 웹소설 &gt; 퓨전 판타지</v>
      </c>
    </row>
    <row r="1631" spans="1:59">
      <c r="A1631" t="s">
        <v>60</v>
      </c>
      <c r="B1631" s="1">
        <v>46130</v>
      </c>
      <c r="C1631">
        <v>2378044483</v>
      </c>
      <c r="D1631">
        <v>2378044621</v>
      </c>
      <c r="E1631" t="str">
        <f>T("내 눈에만 아공간이 보여 138화")</f>
        <v>내 눈에만 아공간이 보여 138화</v>
      </c>
      <c r="F1631">
        <v>139</v>
      </c>
      <c r="G1631" t="str">
        <f>T("지누아빠")</f>
        <v>지누아빠</v>
      </c>
      <c r="J1631" t="str">
        <f>T("매드햇")</f>
        <v>매드햇</v>
      </c>
      <c r="K1631" t="str">
        <f>T("내 눈에만 아공간이 보여")</f>
        <v>내 눈에만 아공간이 보여</v>
      </c>
      <c r="L1631">
        <v>100</v>
      </c>
      <c r="M1631">
        <v>100</v>
      </c>
      <c r="N1631">
        <v>1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0</v>
      </c>
      <c r="AH1631">
        <v>0</v>
      </c>
      <c r="AI1631">
        <v>100</v>
      </c>
      <c r="AJ1631">
        <v>1</v>
      </c>
      <c r="AK1631">
        <v>0</v>
      </c>
      <c r="AL1631">
        <v>0</v>
      </c>
      <c r="AM1631">
        <v>100</v>
      </c>
      <c r="AN1631">
        <v>0</v>
      </c>
      <c r="AO1631">
        <v>0</v>
      </c>
      <c r="AP1631">
        <v>0</v>
      </c>
      <c r="AQ1631">
        <v>0</v>
      </c>
      <c r="AS1631">
        <v>0</v>
      </c>
      <c r="AT1631">
        <v>0</v>
      </c>
      <c r="AV1631">
        <v>0</v>
      </c>
      <c r="AW1631">
        <v>0</v>
      </c>
      <c r="AY1631">
        <v>0</v>
      </c>
      <c r="AZ1631">
        <v>0</v>
      </c>
      <c r="BA1631">
        <v>70</v>
      </c>
      <c r="BE1631" t="str">
        <f>T("9791137013551")</f>
        <v>9791137013551</v>
      </c>
      <c r="BF1631" t="str">
        <f>T("N216772")</f>
        <v>N216772</v>
      </c>
      <c r="BG1631" t="str">
        <f>T("판타지 웹소설 &gt; 퓨전 판타지")</f>
        <v>판타지 웹소설 &gt; 퓨전 판타지</v>
      </c>
    </row>
    <row r="1632" spans="1:59">
      <c r="A1632" t="s">
        <v>60</v>
      </c>
      <c r="B1632" s="1">
        <v>46130</v>
      </c>
      <c r="C1632">
        <v>2378044483</v>
      </c>
      <c r="D1632">
        <v>2378044622</v>
      </c>
      <c r="E1632" t="str">
        <f>T("내 눈에만 아공간이 보여 139화")</f>
        <v>내 눈에만 아공간이 보여 139화</v>
      </c>
      <c r="F1632">
        <v>140</v>
      </c>
      <c r="G1632" t="str">
        <f>T("지누아빠")</f>
        <v>지누아빠</v>
      </c>
      <c r="J1632" t="str">
        <f>T("매드햇")</f>
        <v>매드햇</v>
      </c>
      <c r="K1632" t="str">
        <f>T("내 눈에만 아공간이 보여")</f>
        <v>내 눈에만 아공간이 보여</v>
      </c>
      <c r="L1632">
        <v>100</v>
      </c>
      <c r="M1632">
        <v>100</v>
      </c>
      <c r="N1632">
        <v>1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0</v>
      </c>
      <c r="AH1632">
        <v>0</v>
      </c>
      <c r="AI1632">
        <v>100</v>
      </c>
      <c r="AJ1632">
        <v>1</v>
      </c>
      <c r="AK1632">
        <v>0</v>
      </c>
      <c r="AL1632">
        <v>0</v>
      </c>
      <c r="AM1632">
        <v>100</v>
      </c>
      <c r="AN1632">
        <v>0</v>
      </c>
      <c r="AO1632">
        <v>0</v>
      </c>
      <c r="AP1632">
        <v>0</v>
      </c>
      <c r="AQ1632">
        <v>0</v>
      </c>
      <c r="AS1632">
        <v>0</v>
      </c>
      <c r="AT1632">
        <v>0</v>
      </c>
      <c r="AV1632">
        <v>0</v>
      </c>
      <c r="AW1632">
        <v>0</v>
      </c>
      <c r="AY1632">
        <v>0</v>
      </c>
      <c r="AZ1632">
        <v>0</v>
      </c>
      <c r="BA1632">
        <v>70</v>
      </c>
      <c r="BE1632" t="str">
        <f>T("9791137013551")</f>
        <v>9791137013551</v>
      </c>
      <c r="BF1632" t="str">
        <f>T("N218664")</f>
        <v>N218664</v>
      </c>
      <c r="BG1632" t="str">
        <f>T("판타지 웹소설 &gt; 퓨전 판타지")</f>
        <v>판타지 웹소설 &gt; 퓨전 판타지</v>
      </c>
    </row>
    <row r="1633" spans="1:59">
      <c r="A1633" t="s">
        <v>60</v>
      </c>
      <c r="B1633" s="1">
        <v>46130</v>
      </c>
      <c r="C1633">
        <v>2378044483</v>
      </c>
      <c r="D1633">
        <v>2378044623</v>
      </c>
      <c r="E1633" t="str">
        <f>T("내 눈에만 아공간이 보여 140화")</f>
        <v>내 눈에만 아공간이 보여 140화</v>
      </c>
      <c r="F1633">
        <v>141</v>
      </c>
      <c r="G1633" t="str">
        <f>T("지누아빠")</f>
        <v>지누아빠</v>
      </c>
      <c r="J1633" t="str">
        <f>T("매드햇")</f>
        <v>매드햇</v>
      </c>
      <c r="K1633" t="str">
        <f>T("내 눈에만 아공간이 보여")</f>
        <v>내 눈에만 아공간이 보여</v>
      </c>
      <c r="L1633">
        <v>100</v>
      </c>
      <c r="M1633">
        <v>100</v>
      </c>
      <c r="N1633">
        <v>1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100</v>
      </c>
      <c r="AJ1633">
        <v>1</v>
      </c>
      <c r="AK1633">
        <v>0</v>
      </c>
      <c r="AL1633">
        <v>0</v>
      </c>
      <c r="AM1633">
        <v>100</v>
      </c>
      <c r="AN1633">
        <v>0</v>
      </c>
      <c r="AO1633">
        <v>0</v>
      </c>
      <c r="AP1633">
        <v>0</v>
      </c>
      <c r="AQ1633">
        <v>0</v>
      </c>
      <c r="AS1633">
        <v>0</v>
      </c>
      <c r="AT1633">
        <v>0</v>
      </c>
      <c r="AV1633">
        <v>0</v>
      </c>
      <c r="AW1633">
        <v>0</v>
      </c>
      <c r="AY1633">
        <v>0</v>
      </c>
      <c r="AZ1633">
        <v>0</v>
      </c>
      <c r="BA1633">
        <v>70</v>
      </c>
      <c r="BE1633" t="str">
        <f>T("9791137013551")</f>
        <v>9791137013551</v>
      </c>
      <c r="BF1633" t="str">
        <f>T("N218665")</f>
        <v>N218665</v>
      </c>
      <c r="BG1633" t="str">
        <f>T("판타지 웹소설 &gt; 퓨전 판타지")</f>
        <v>판타지 웹소설 &gt; 퓨전 판타지</v>
      </c>
    </row>
    <row r="1634" spans="1:59">
      <c r="A1634" t="s">
        <v>60</v>
      </c>
      <c r="B1634" s="1">
        <v>46130</v>
      </c>
      <c r="C1634">
        <v>2378044483</v>
      </c>
      <c r="D1634">
        <v>2378044624</v>
      </c>
      <c r="E1634" t="str">
        <f>T("내 눈에만 아공간이 보여 141화")</f>
        <v>내 눈에만 아공간이 보여 141화</v>
      </c>
      <c r="F1634">
        <v>142</v>
      </c>
      <c r="G1634" t="str">
        <f>T("지누아빠")</f>
        <v>지누아빠</v>
      </c>
      <c r="J1634" t="str">
        <f>T("매드햇")</f>
        <v>매드햇</v>
      </c>
      <c r="K1634" t="str">
        <f>T("내 눈에만 아공간이 보여")</f>
        <v>내 눈에만 아공간이 보여</v>
      </c>
      <c r="L1634">
        <v>100</v>
      </c>
      <c r="M1634">
        <v>100</v>
      </c>
      <c r="N1634">
        <v>1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0</v>
      </c>
      <c r="AH1634">
        <v>0</v>
      </c>
      <c r="AI1634">
        <v>100</v>
      </c>
      <c r="AJ1634">
        <v>1</v>
      </c>
      <c r="AK1634">
        <v>0</v>
      </c>
      <c r="AL1634">
        <v>0</v>
      </c>
      <c r="AM1634">
        <v>100</v>
      </c>
      <c r="AN1634">
        <v>0</v>
      </c>
      <c r="AO1634">
        <v>0</v>
      </c>
      <c r="AP1634">
        <v>0</v>
      </c>
      <c r="AQ1634">
        <v>0</v>
      </c>
      <c r="AS1634">
        <v>0</v>
      </c>
      <c r="AT1634">
        <v>0</v>
      </c>
      <c r="AV1634">
        <v>0</v>
      </c>
      <c r="AW1634">
        <v>0</v>
      </c>
      <c r="AY1634">
        <v>0</v>
      </c>
      <c r="AZ1634">
        <v>0</v>
      </c>
      <c r="BA1634">
        <v>70</v>
      </c>
      <c r="BE1634" t="str">
        <f>T("9791137013551")</f>
        <v>9791137013551</v>
      </c>
      <c r="BF1634" t="str">
        <f>T("N218666")</f>
        <v>N218666</v>
      </c>
      <c r="BG1634" t="str">
        <f>T("판타지 웹소설 &gt; 퓨전 판타지")</f>
        <v>판타지 웹소설 &gt; 퓨전 판타지</v>
      </c>
    </row>
    <row r="1635" spans="1:59">
      <c r="A1635" t="s">
        <v>60</v>
      </c>
      <c r="B1635" s="1">
        <v>46130</v>
      </c>
      <c r="C1635">
        <v>2378044483</v>
      </c>
      <c r="D1635">
        <v>2378044625</v>
      </c>
      <c r="E1635" t="str">
        <f>T("내 눈에만 아공간이 보여 142화")</f>
        <v>내 눈에만 아공간이 보여 142화</v>
      </c>
      <c r="F1635">
        <v>143</v>
      </c>
      <c r="G1635" t="str">
        <f>T("지누아빠")</f>
        <v>지누아빠</v>
      </c>
      <c r="J1635" t="str">
        <f>T("매드햇")</f>
        <v>매드햇</v>
      </c>
      <c r="K1635" t="str">
        <f>T("내 눈에만 아공간이 보여")</f>
        <v>내 눈에만 아공간이 보여</v>
      </c>
      <c r="L1635">
        <v>100</v>
      </c>
      <c r="M1635">
        <v>100</v>
      </c>
      <c r="N1635">
        <v>1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0</v>
      </c>
      <c r="AH1635">
        <v>0</v>
      </c>
      <c r="AI1635">
        <v>100</v>
      </c>
      <c r="AJ1635">
        <v>1</v>
      </c>
      <c r="AK1635">
        <v>0</v>
      </c>
      <c r="AL1635">
        <v>0</v>
      </c>
      <c r="AM1635">
        <v>100</v>
      </c>
      <c r="AN1635">
        <v>0</v>
      </c>
      <c r="AO1635">
        <v>0</v>
      </c>
      <c r="AP1635">
        <v>0</v>
      </c>
      <c r="AQ1635">
        <v>0</v>
      </c>
      <c r="AS1635">
        <v>0</v>
      </c>
      <c r="AT1635">
        <v>0</v>
      </c>
      <c r="AV1635">
        <v>0</v>
      </c>
      <c r="AW1635">
        <v>0</v>
      </c>
      <c r="AY1635">
        <v>0</v>
      </c>
      <c r="AZ1635">
        <v>0</v>
      </c>
      <c r="BA1635">
        <v>70</v>
      </c>
      <c r="BE1635" t="str">
        <f>T("9791137013551")</f>
        <v>9791137013551</v>
      </c>
      <c r="BF1635" t="str">
        <f>T("N218667")</f>
        <v>N218667</v>
      </c>
      <c r="BG1635" t="str">
        <f>T("판타지 웹소설 &gt; 퓨전 판타지")</f>
        <v>판타지 웹소설 &gt; 퓨전 판타지</v>
      </c>
    </row>
    <row r="1636" spans="1:59">
      <c r="A1636" t="s">
        <v>60</v>
      </c>
      <c r="B1636" s="1">
        <v>46130</v>
      </c>
      <c r="C1636">
        <v>2378044483</v>
      </c>
      <c r="D1636">
        <v>2378044626</v>
      </c>
      <c r="E1636" t="str">
        <f>T("내 눈에만 아공간이 보여 143화")</f>
        <v>내 눈에만 아공간이 보여 143화</v>
      </c>
      <c r="F1636">
        <v>144</v>
      </c>
      <c r="G1636" t="str">
        <f>T("지누아빠")</f>
        <v>지누아빠</v>
      </c>
      <c r="J1636" t="str">
        <f>T("매드햇")</f>
        <v>매드햇</v>
      </c>
      <c r="K1636" t="str">
        <f>T("내 눈에만 아공간이 보여")</f>
        <v>내 눈에만 아공간이 보여</v>
      </c>
      <c r="L1636">
        <v>100</v>
      </c>
      <c r="M1636">
        <v>100</v>
      </c>
      <c r="N1636">
        <v>1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0</v>
      </c>
      <c r="AH1636">
        <v>0</v>
      </c>
      <c r="AI1636">
        <v>100</v>
      </c>
      <c r="AJ1636">
        <v>1</v>
      </c>
      <c r="AK1636">
        <v>0</v>
      </c>
      <c r="AL1636">
        <v>0</v>
      </c>
      <c r="AM1636">
        <v>100</v>
      </c>
      <c r="AN1636">
        <v>0</v>
      </c>
      <c r="AO1636">
        <v>0</v>
      </c>
      <c r="AP1636">
        <v>0</v>
      </c>
      <c r="AQ1636">
        <v>0</v>
      </c>
      <c r="AS1636">
        <v>0</v>
      </c>
      <c r="AT1636">
        <v>0</v>
      </c>
      <c r="AV1636">
        <v>0</v>
      </c>
      <c r="AW1636">
        <v>0</v>
      </c>
      <c r="AY1636">
        <v>0</v>
      </c>
      <c r="AZ1636">
        <v>0</v>
      </c>
      <c r="BA1636">
        <v>70</v>
      </c>
      <c r="BE1636" t="str">
        <f>T("9791137013551")</f>
        <v>9791137013551</v>
      </c>
      <c r="BF1636" t="str">
        <f>T("N218668")</f>
        <v>N218668</v>
      </c>
      <c r="BG1636" t="str">
        <f>T("판타지 웹소설 &gt; 퓨전 판타지")</f>
        <v>판타지 웹소설 &gt; 퓨전 판타지</v>
      </c>
    </row>
    <row r="1637" spans="1:59">
      <c r="A1637" t="s">
        <v>60</v>
      </c>
      <c r="B1637" s="1">
        <v>46130</v>
      </c>
      <c r="C1637">
        <v>2378044483</v>
      </c>
      <c r="D1637">
        <v>2378044627</v>
      </c>
      <c r="E1637" t="str">
        <f>T("내 눈에만 아공간이 보여 144화")</f>
        <v>내 눈에만 아공간이 보여 144화</v>
      </c>
      <c r="F1637">
        <v>145</v>
      </c>
      <c r="G1637" t="str">
        <f>T("지누아빠")</f>
        <v>지누아빠</v>
      </c>
      <c r="J1637" t="str">
        <f>T("매드햇")</f>
        <v>매드햇</v>
      </c>
      <c r="K1637" t="str">
        <f>T("내 눈에만 아공간이 보여")</f>
        <v>내 눈에만 아공간이 보여</v>
      </c>
      <c r="L1637">
        <v>100</v>
      </c>
      <c r="M1637">
        <v>100</v>
      </c>
      <c r="N1637">
        <v>1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0</v>
      </c>
      <c r="AH1637">
        <v>0</v>
      </c>
      <c r="AI1637">
        <v>100</v>
      </c>
      <c r="AJ1637">
        <v>1</v>
      </c>
      <c r="AK1637">
        <v>0</v>
      </c>
      <c r="AL1637">
        <v>0</v>
      </c>
      <c r="AM1637">
        <v>100</v>
      </c>
      <c r="AN1637">
        <v>0</v>
      </c>
      <c r="AO1637">
        <v>0</v>
      </c>
      <c r="AP1637">
        <v>0</v>
      </c>
      <c r="AQ1637">
        <v>0</v>
      </c>
      <c r="AS1637">
        <v>0</v>
      </c>
      <c r="AT1637">
        <v>0</v>
      </c>
      <c r="AV1637">
        <v>0</v>
      </c>
      <c r="AW1637">
        <v>0</v>
      </c>
      <c r="AY1637">
        <v>0</v>
      </c>
      <c r="AZ1637">
        <v>0</v>
      </c>
      <c r="BA1637">
        <v>70</v>
      </c>
      <c r="BE1637" t="str">
        <f>T("9791137013551")</f>
        <v>9791137013551</v>
      </c>
      <c r="BF1637" t="str">
        <f>T("N222426")</f>
        <v>N222426</v>
      </c>
      <c r="BG1637" t="str">
        <f>T("판타지 웹소설 &gt; 퓨전 판타지")</f>
        <v>판타지 웹소설 &gt; 퓨전 판타지</v>
      </c>
    </row>
    <row r="1638" spans="1:59">
      <c r="A1638" t="s">
        <v>60</v>
      </c>
      <c r="B1638" s="1">
        <v>46130</v>
      </c>
      <c r="C1638">
        <v>2378044483</v>
      </c>
      <c r="D1638">
        <v>2378044628</v>
      </c>
      <c r="E1638" t="str">
        <f>T("내 눈에만 아공간이 보여 145화")</f>
        <v>내 눈에만 아공간이 보여 145화</v>
      </c>
      <c r="F1638">
        <v>146</v>
      </c>
      <c r="G1638" t="str">
        <f>T("지누아빠")</f>
        <v>지누아빠</v>
      </c>
      <c r="J1638" t="str">
        <f>T("매드햇")</f>
        <v>매드햇</v>
      </c>
      <c r="K1638" t="str">
        <f>T("내 눈에만 아공간이 보여")</f>
        <v>내 눈에만 아공간이 보여</v>
      </c>
      <c r="L1638">
        <v>100</v>
      </c>
      <c r="M1638">
        <v>100</v>
      </c>
      <c r="N1638">
        <v>1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0</v>
      </c>
      <c r="AH1638">
        <v>0</v>
      </c>
      <c r="AI1638">
        <v>100</v>
      </c>
      <c r="AJ1638">
        <v>1</v>
      </c>
      <c r="AK1638">
        <v>0</v>
      </c>
      <c r="AL1638">
        <v>0</v>
      </c>
      <c r="AM1638">
        <v>100</v>
      </c>
      <c r="AN1638">
        <v>0</v>
      </c>
      <c r="AO1638">
        <v>0</v>
      </c>
      <c r="AP1638">
        <v>0</v>
      </c>
      <c r="AQ1638">
        <v>0</v>
      </c>
      <c r="AS1638">
        <v>0</v>
      </c>
      <c r="AT1638">
        <v>0</v>
      </c>
      <c r="AV1638">
        <v>0</v>
      </c>
      <c r="AW1638">
        <v>0</v>
      </c>
      <c r="AY1638">
        <v>0</v>
      </c>
      <c r="AZ1638">
        <v>0</v>
      </c>
      <c r="BA1638">
        <v>70</v>
      </c>
      <c r="BE1638" t="str">
        <f>T("9791137013551")</f>
        <v>9791137013551</v>
      </c>
      <c r="BF1638" t="str">
        <f>T("N222427")</f>
        <v>N222427</v>
      </c>
      <c r="BG1638" t="str">
        <f>T("판타지 웹소설 &gt; 퓨전 판타지")</f>
        <v>판타지 웹소설 &gt; 퓨전 판타지</v>
      </c>
    </row>
    <row r="1639" spans="1:59">
      <c r="A1639" t="s">
        <v>60</v>
      </c>
      <c r="B1639" s="1">
        <v>46130</v>
      </c>
      <c r="C1639">
        <v>2378044483</v>
      </c>
      <c r="D1639">
        <v>2378044629</v>
      </c>
      <c r="E1639" t="str">
        <f>T("내 눈에만 아공간이 보여 146화")</f>
        <v>내 눈에만 아공간이 보여 146화</v>
      </c>
      <c r="F1639">
        <v>147</v>
      </c>
      <c r="G1639" t="str">
        <f>T("지누아빠")</f>
        <v>지누아빠</v>
      </c>
      <c r="J1639" t="str">
        <f>T("매드햇")</f>
        <v>매드햇</v>
      </c>
      <c r="K1639" t="str">
        <f>T("내 눈에만 아공간이 보여")</f>
        <v>내 눈에만 아공간이 보여</v>
      </c>
      <c r="L1639">
        <v>100</v>
      </c>
      <c r="M1639">
        <v>100</v>
      </c>
      <c r="N1639">
        <v>1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0</v>
      </c>
      <c r="AH1639">
        <v>0</v>
      </c>
      <c r="AI1639">
        <v>100</v>
      </c>
      <c r="AJ1639">
        <v>1</v>
      </c>
      <c r="AK1639">
        <v>0</v>
      </c>
      <c r="AL1639">
        <v>0</v>
      </c>
      <c r="AM1639">
        <v>100</v>
      </c>
      <c r="AN1639">
        <v>0</v>
      </c>
      <c r="AO1639">
        <v>0</v>
      </c>
      <c r="AP1639">
        <v>0</v>
      </c>
      <c r="AQ1639">
        <v>0</v>
      </c>
      <c r="AS1639">
        <v>0</v>
      </c>
      <c r="AT1639">
        <v>0</v>
      </c>
      <c r="AV1639">
        <v>0</v>
      </c>
      <c r="AW1639">
        <v>0</v>
      </c>
      <c r="AY1639">
        <v>0</v>
      </c>
      <c r="AZ1639">
        <v>0</v>
      </c>
      <c r="BA1639">
        <v>70</v>
      </c>
      <c r="BE1639" t="str">
        <f>T("9791137013551")</f>
        <v>9791137013551</v>
      </c>
      <c r="BF1639" t="str">
        <f>T("N222428")</f>
        <v>N222428</v>
      </c>
      <c r="BG1639" t="str">
        <f>T("판타지 웹소설 &gt; 퓨전 판타지")</f>
        <v>판타지 웹소설 &gt; 퓨전 판타지</v>
      </c>
    </row>
    <row r="1640" spans="1:59">
      <c r="A1640" t="s">
        <v>60</v>
      </c>
      <c r="B1640" s="1">
        <v>46130</v>
      </c>
      <c r="C1640">
        <v>2378044483</v>
      </c>
      <c r="D1640">
        <v>2378044630</v>
      </c>
      <c r="E1640" t="str">
        <f>T("내 눈에만 아공간이 보여 147화")</f>
        <v>내 눈에만 아공간이 보여 147화</v>
      </c>
      <c r="F1640">
        <v>148</v>
      </c>
      <c r="G1640" t="str">
        <f>T("지누아빠")</f>
        <v>지누아빠</v>
      </c>
      <c r="J1640" t="str">
        <f>T("매드햇")</f>
        <v>매드햇</v>
      </c>
      <c r="K1640" t="str">
        <f>T("내 눈에만 아공간이 보여")</f>
        <v>내 눈에만 아공간이 보여</v>
      </c>
      <c r="L1640">
        <v>100</v>
      </c>
      <c r="M1640">
        <v>100</v>
      </c>
      <c r="N1640">
        <v>1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0</v>
      </c>
      <c r="AH1640">
        <v>0</v>
      </c>
      <c r="AI1640">
        <v>100</v>
      </c>
      <c r="AJ1640">
        <v>1</v>
      </c>
      <c r="AK1640">
        <v>0</v>
      </c>
      <c r="AL1640">
        <v>0</v>
      </c>
      <c r="AM1640">
        <v>100</v>
      </c>
      <c r="AN1640">
        <v>0</v>
      </c>
      <c r="AO1640">
        <v>0</v>
      </c>
      <c r="AP1640">
        <v>0</v>
      </c>
      <c r="AQ1640">
        <v>0</v>
      </c>
      <c r="AS1640">
        <v>0</v>
      </c>
      <c r="AT1640">
        <v>0</v>
      </c>
      <c r="AV1640">
        <v>0</v>
      </c>
      <c r="AW1640">
        <v>0</v>
      </c>
      <c r="AY1640">
        <v>0</v>
      </c>
      <c r="AZ1640">
        <v>0</v>
      </c>
      <c r="BA1640">
        <v>70</v>
      </c>
      <c r="BE1640" t="str">
        <f>T("9791137013551")</f>
        <v>9791137013551</v>
      </c>
      <c r="BF1640" t="str">
        <f>T("N222429")</f>
        <v>N222429</v>
      </c>
      <c r="BG1640" t="str">
        <f>T("판타지 웹소설 &gt; 퓨전 판타지")</f>
        <v>판타지 웹소설 &gt; 퓨전 판타지</v>
      </c>
    </row>
    <row r="1641" spans="1:59">
      <c r="A1641" t="s">
        <v>60</v>
      </c>
      <c r="B1641" s="1">
        <v>46130</v>
      </c>
      <c r="C1641">
        <v>2378044483</v>
      </c>
      <c r="D1641">
        <v>2378044631</v>
      </c>
      <c r="E1641" t="str">
        <f>T("내 눈에만 아공간이 보여 148화")</f>
        <v>내 눈에만 아공간이 보여 148화</v>
      </c>
      <c r="F1641">
        <v>149</v>
      </c>
      <c r="G1641" t="str">
        <f>T("지누아빠")</f>
        <v>지누아빠</v>
      </c>
      <c r="J1641" t="str">
        <f>T("매드햇")</f>
        <v>매드햇</v>
      </c>
      <c r="K1641" t="str">
        <f>T("내 눈에만 아공간이 보여")</f>
        <v>내 눈에만 아공간이 보여</v>
      </c>
      <c r="L1641">
        <v>100</v>
      </c>
      <c r="M1641">
        <v>100</v>
      </c>
      <c r="N1641">
        <v>1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0</v>
      </c>
      <c r="AH1641">
        <v>0</v>
      </c>
      <c r="AI1641">
        <v>100</v>
      </c>
      <c r="AJ1641">
        <v>1</v>
      </c>
      <c r="AK1641">
        <v>0</v>
      </c>
      <c r="AL1641">
        <v>0</v>
      </c>
      <c r="AM1641">
        <v>100</v>
      </c>
      <c r="AN1641">
        <v>0</v>
      </c>
      <c r="AO1641">
        <v>0</v>
      </c>
      <c r="AP1641">
        <v>0</v>
      </c>
      <c r="AQ1641">
        <v>0</v>
      </c>
      <c r="AS1641">
        <v>0</v>
      </c>
      <c r="AT1641">
        <v>0</v>
      </c>
      <c r="AV1641">
        <v>0</v>
      </c>
      <c r="AW1641">
        <v>0</v>
      </c>
      <c r="AY1641">
        <v>0</v>
      </c>
      <c r="AZ1641">
        <v>0</v>
      </c>
      <c r="BA1641">
        <v>70</v>
      </c>
      <c r="BE1641" t="str">
        <f>T("9791137013551")</f>
        <v>9791137013551</v>
      </c>
      <c r="BF1641" t="str">
        <f>T("N222430")</f>
        <v>N222430</v>
      </c>
      <c r="BG1641" t="str">
        <f>T("판타지 웹소설 &gt; 퓨전 판타지")</f>
        <v>판타지 웹소설 &gt; 퓨전 판타지</v>
      </c>
    </row>
    <row r="1642" spans="1:59">
      <c r="A1642" t="s">
        <v>60</v>
      </c>
      <c r="B1642" s="1">
        <v>46130</v>
      </c>
      <c r="C1642">
        <v>2378044483</v>
      </c>
      <c r="D1642">
        <v>2378044632</v>
      </c>
      <c r="E1642" t="str">
        <f>T("내 눈에만 아공간이 보여 149화")</f>
        <v>내 눈에만 아공간이 보여 149화</v>
      </c>
      <c r="F1642">
        <v>150</v>
      </c>
      <c r="G1642" t="str">
        <f>T("지누아빠")</f>
        <v>지누아빠</v>
      </c>
      <c r="J1642" t="str">
        <f>T("매드햇")</f>
        <v>매드햇</v>
      </c>
      <c r="K1642" t="str">
        <f>T("내 눈에만 아공간이 보여")</f>
        <v>내 눈에만 아공간이 보여</v>
      </c>
      <c r="L1642">
        <v>100</v>
      </c>
      <c r="M1642">
        <v>100</v>
      </c>
      <c r="N1642">
        <v>1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0</v>
      </c>
      <c r="AH1642">
        <v>0</v>
      </c>
      <c r="AI1642">
        <v>100</v>
      </c>
      <c r="AJ1642">
        <v>1</v>
      </c>
      <c r="AK1642">
        <v>0</v>
      </c>
      <c r="AL1642">
        <v>0</v>
      </c>
      <c r="AM1642">
        <v>100</v>
      </c>
      <c r="AN1642">
        <v>0</v>
      </c>
      <c r="AO1642">
        <v>0</v>
      </c>
      <c r="AP1642">
        <v>0</v>
      </c>
      <c r="AQ1642">
        <v>0</v>
      </c>
      <c r="AS1642">
        <v>0</v>
      </c>
      <c r="AT1642">
        <v>0</v>
      </c>
      <c r="AV1642">
        <v>0</v>
      </c>
      <c r="AW1642">
        <v>0</v>
      </c>
      <c r="AY1642">
        <v>0</v>
      </c>
      <c r="AZ1642">
        <v>0</v>
      </c>
      <c r="BA1642">
        <v>70</v>
      </c>
      <c r="BE1642" t="str">
        <f>T("9791137013551")</f>
        <v>9791137013551</v>
      </c>
      <c r="BF1642" t="str">
        <f>T("N228057")</f>
        <v>N228057</v>
      </c>
      <c r="BG1642" t="str">
        <f>T("판타지 웹소설 &gt; 퓨전 판타지")</f>
        <v>판타지 웹소설 &gt; 퓨전 판타지</v>
      </c>
    </row>
    <row r="1643" spans="1:59">
      <c r="A1643" t="s">
        <v>60</v>
      </c>
      <c r="B1643" s="1">
        <v>46130</v>
      </c>
      <c r="C1643">
        <v>2378044483</v>
      </c>
      <c r="D1643">
        <v>2378044633</v>
      </c>
      <c r="E1643" t="str">
        <f>T("내 눈에만 아공간이 보여 150화")</f>
        <v>내 눈에만 아공간이 보여 150화</v>
      </c>
      <c r="F1643">
        <v>151</v>
      </c>
      <c r="G1643" t="str">
        <f>T("지누아빠")</f>
        <v>지누아빠</v>
      </c>
      <c r="J1643" t="str">
        <f>T("매드햇")</f>
        <v>매드햇</v>
      </c>
      <c r="K1643" t="str">
        <f>T("내 눈에만 아공간이 보여")</f>
        <v>내 눈에만 아공간이 보여</v>
      </c>
      <c r="L1643">
        <v>100</v>
      </c>
      <c r="M1643">
        <v>100</v>
      </c>
      <c r="N1643">
        <v>1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0</v>
      </c>
      <c r="AH1643">
        <v>0</v>
      </c>
      <c r="AI1643">
        <v>100</v>
      </c>
      <c r="AJ1643">
        <v>1</v>
      </c>
      <c r="AK1643">
        <v>0</v>
      </c>
      <c r="AL1643">
        <v>0</v>
      </c>
      <c r="AM1643">
        <v>100</v>
      </c>
      <c r="AN1643">
        <v>0</v>
      </c>
      <c r="AO1643">
        <v>0</v>
      </c>
      <c r="AP1643">
        <v>0</v>
      </c>
      <c r="AQ1643">
        <v>0</v>
      </c>
      <c r="AS1643">
        <v>0</v>
      </c>
      <c r="AT1643">
        <v>0</v>
      </c>
      <c r="AV1643">
        <v>0</v>
      </c>
      <c r="AW1643">
        <v>0</v>
      </c>
      <c r="AY1643">
        <v>0</v>
      </c>
      <c r="AZ1643">
        <v>0</v>
      </c>
      <c r="BA1643">
        <v>70</v>
      </c>
      <c r="BE1643" t="str">
        <f>T("9791137013551")</f>
        <v>9791137013551</v>
      </c>
      <c r="BF1643" t="str">
        <f>T("N228058")</f>
        <v>N228058</v>
      </c>
      <c r="BG1643" t="str">
        <f>T("판타지 웹소설 &gt; 퓨전 판타지")</f>
        <v>판타지 웹소설 &gt; 퓨전 판타지</v>
      </c>
    </row>
    <row r="1644" spans="1:59">
      <c r="A1644" t="s">
        <v>60</v>
      </c>
      <c r="B1644" s="1">
        <v>46130</v>
      </c>
      <c r="C1644">
        <v>2378044483</v>
      </c>
      <c r="D1644">
        <v>2378044634</v>
      </c>
      <c r="E1644" t="str">
        <f>T("내 눈에만 아공간이 보여 151화")</f>
        <v>내 눈에만 아공간이 보여 151화</v>
      </c>
      <c r="F1644">
        <v>152</v>
      </c>
      <c r="G1644" t="str">
        <f>T("지누아빠")</f>
        <v>지누아빠</v>
      </c>
      <c r="J1644" t="str">
        <f>T("매드햇")</f>
        <v>매드햇</v>
      </c>
      <c r="K1644" t="str">
        <f>T("내 눈에만 아공간이 보여")</f>
        <v>내 눈에만 아공간이 보여</v>
      </c>
      <c r="L1644">
        <v>100</v>
      </c>
      <c r="M1644">
        <v>100</v>
      </c>
      <c r="N1644">
        <v>1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100</v>
      </c>
      <c r="AJ1644">
        <v>1</v>
      </c>
      <c r="AK1644">
        <v>0</v>
      </c>
      <c r="AL1644">
        <v>0</v>
      </c>
      <c r="AM1644">
        <v>100</v>
      </c>
      <c r="AN1644">
        <v>0</v>
      </c>
      <c r="AO1644">
        <v>0</v>
      </c>
      <c r="AP1644">
        <v>0</v>
      </c>
      <c r="AQ1644">
        <v>0</v>
      </c>
      <c r="AS1644">
        <v>0</v>
      </c>
      <c r="AT1644">
        <v>0</v>
      </c>
      <c r="AV1644">
        <v>0</v>
      </c>
      <c r="AW1644">
        <v>0</v>
      </c>
      <c r="AY1644">
        <v>0</v>
      </c>
      <c r="AZ1644">
        <v>0</v>
      </c>
      <c r="BA1644">
        <v>70</v>
      </c>
      <c r="BE1644" t="str">
        <f>T("9791137013551")</f>
        <v>9791137013551</v>
      </c>
      <c r="BF1644" t="str">
        <f>T("N228059")</f>
        <v>N228059</v>
      </c>
      <c r="BG1644" t="str">
        <f>T("판타지 웹소설 &gt; 퓨전 판타지")</f>
        <v>판타지 웹소설 &gt; 퓨전 판타지</v>
      </c>
    </row>
    <row r="1645" spans="1:59">
      <c r="A1645" t="s">
        <v>60</v>
      </c>
      <c r="B1645" s="1">
        <v>46130</v>
      </c>
      <c r="C1645">
        <v>2378044483</v>
      </c>
      <c r="D1645">
        <v>2378044757</v>
      </c>
      <c r="E1645" t="str">
        <f>T("내 눈에만 아공간이 보여 152화")</f>
        <v>내 눈에만 아공간이 보여 152화</v>
      </c>
      <c r="F1645">
        <v>153</v>
      </c>
      <c r="G1645" t="str">
        <f>T("지누아빠")</f>
        <v>지누아빠</v>
      </c>
      <c r="J1645" t="str">
        <f>T("매드햇")</f>
        <v>매드햇</v>
      </c>
      <c r="K1645" t="str">
        <f>T("내 눈에만 아공간이 보여")</f>
        <v>내 눈에만 아공간이 보여</v>
      </c>
      <c r="L1645">
        <v>100</v>
      </c>
      <c r="M1645">
        <v>100</v>
      </c>
      <c r="N1645">
        <v>1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0</v>
      </c>
      <c r="AH1645">
        <v>0</v>
      </c>
      <c r="AI1645">
        <v>100</v>
      </c>
      <c r="AJ1645">
        <v>1</v>
      </c>
      <c r="AK1645">
        <v>0</v>
      </c>
      <c r="AL1645">
        <v>0</v>
      </c>
      <c r="AM1645">
        <v>100</v>
      </c>
      <c r="AN1645">
        <v>0</v>
      </c>
      <c r="AO1645">
        <v>0</v>
      </c>
      <c r="AP1645">
        <v>0</v>
      </c>
      <c r="AQ1645">
        <v>0</v>
      </c>
      <c r="AS1645">
        <v>0</v>
      </c>
      <c r="AT1645">
        <v>0</v>
      </c>
      <c r="AV1645">
        <v>0</v>
      </c>
      <c r="AW1645">
        <v>0</v>
      </c>
      <c r="AY1645">
        <v>0</v>
      </c>
      <c r="AZ1645">
        <v>0</v>
      </c>
      <c r="BA1645">
        <v>70</v>
      </c>
      <c r="BE1645" t="str">
        <f>T("9791137013551")</f>
        <v>9791137013551</v>
      </c>
      <c r="BF1645" t="str">
        <f>T("N228060")</f>
        <v>N228060</v>
      </c>
      <c r="BG1645" t="str">
        <f>T("판타지 웹소설 &gt; 퓨전 판타지")</f>
        <v>판타지 웹소설 &gt; 퓨전 판타지</v>
      </c>
    </row>
    <row r="1646" spans="1:59">
      <c r="A1646" t="s">
        <v>60</v>
      </c>
      <c r="B1646" s="1">
        <v>46130</v>
      </c>
      <c r="C1646">
        <v>2378044483</v>
      </c>
      <c r="D1646">
        <v>2378044764</v>
      </c>
      <c r="E1646" t="str">
        <f>T("내 눈에만 아공간이 보여 153화")</f>
        <v>내 눈에만 아공간이 보여 153화</v>
      </c>
      <c r="F1646">
        <v>154</v>
      </c>
      <c r="G1646" t="str">
        <f>T("지누아빠")</f>
        <v>지누아빠</v>
      </c>
      <c r="J1646" t="str">
        <f>T("매드햇")</f>
        <v>매드햇</v>
      </c>
      <c r="K1646" t="str">
        <f>T("내 눈에만 아공간이 보여")</f>
        <v>내 눈에만 아공간이 보여</v>
      </c>
      <c r="L1646">
        <v>100</v>
      </c>
      <c r="M1646">
        <v>100</v>
      </c>
      <c r="N1646">
        <v>1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0</v>
      </c>
      <c r="AH1646">
        <v>0</v>
      </c>
      <c r="AI1646">
        <v>100</v>
      </c>
      <c r="AJ1646">
        <v>1</v>
      </c>
      <c r="AK1646">
        <v>0</v>
      </c>
      <c r="AL1646">
        <v>0</v>
      </c>
      <c r="AM1646">
        <v>100</v>
      </c>
      <c r="AN1646">
        <v>0</v>
      </c>
      <c r="AO1646">
        <v>0</v>
      </c>
      <c r="AP1646">
        <v>0</v>
      </c>
      <c r="AQ1646">
        <v>0</v>
      </c>
      <c r="AS1646">
        <v>0</v>
      </c>
      <c r="AT1646">
        <v>0</v>
      </c>
      <c r="AV1646">
        <v>0</v>
      </c>
      <c r="AW1646">
        <v>0</v>
      </c>
      <c r="AY1646">
        <v>0</v>
      </c>
      <c r="AZ1646">
        <v>0</v>
      </c>
      <c r="BA1646">
        <v>70</v>
      </c>
      <c r="BE1646" t="str">
        <f>T("9791137013551")</f>
        <v>9791137013551</v>
      </c>
      <c r="BF1646" t="str">
        <f>T("N228061")</f>
        <v>N228061</v>
      </c>
      <c r="BG1646" t="str">
        <f>T("판타지 웹소설 &gt; 퓨전 판타지")</f>
        <v>판타지 웹소설 &gt; 퓨전 판타지</v>
      </c>
    </row>
    <row r="1647" spans="1:59">
      <c r="A1647" t="s">
        <v>60</v>
      </c>
      <c r="B1647" s="1">
        <v>46130</v>
      </c>
      <c r="C1647">
        <v>2378044483</v>
      </c>
      <c r="D1647">
        <v>2378044777</v>
      </c>
      <c r="E1647" t="str">
        <f>T("내 눈에만 아공간이 보여 154화")</f>
        <v>내 눈에만 아공간이 보여 154화</v>
      </c>
      <c r="F1647">
        <v>155</v>
      </c>
      <c r="G1647" t="str">
        <f>T("지누아빠")</f>
        <v>지누아빠</v>
      </c>
      <c r="J1647" t="str">
        <f>T("매드햇")</f>
        <v>매드햇</v>
      </c>
      <c r="K1647" t="str">
        <f>T("내 눈에만 아공간이 보여")</f>
        <v>내 눈에만 아공간이 보여</v>
      </c>
      <c r="L1647">
        <v>100</v>
      </c>
      <c r="M1647">
        <v>100</v>
      </c>
      <c r="N1647">
        <v>1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100</v>
      </c>
      <c r="AJ1647">
        <v>1</v>
      </c>
      <c r="AK1647">
        <v>0</v>
      </c>
      <c r="AL1647">
        <v>0</v>
      </c>
      <c r="AM1647">
        <v>100</v>
      </c>
      <c r="AN1647">
        <v>0</v>
      </c>
      <c r="AO1647">
        <v>0</v>
      </c>
      <c r="AP1647">
        <v>0</v>
      </c>
      <c r="AQ1647">
        <v>0</v>
      </c>
      <c r="AS1647">
        <v>0</v>
      </c>
      <c r="AT1647">
        <v>0</v>
      </c>
      <c r="AV1647">
        <v>0</v>
      </c>
      <c r="AW1647">
        <v>0</v>
      </c>
      <c r="AY1647">
        <v>0</v>
      </c>
      <c r="AZ1647">
        <v>0</v>
      </c>
      <c r="BA1647">
        <v>70</v>
      </c>
      <c r="BE1647" t="str">
        <f>T("9791137013551")</f>
        <v>9791137013551</v>
      </c>
      <c r="BF1647" t="str">
        <f>T("N231926")</f>
        <v>N231926</v>
      </c>
      <c r="BG1647" t="str">
        <f>T("판타지 웹소설 &gt; 퓨전 판타지")</f>
        <v>판타지 웹소설 &gt; 퓨전 판타지</v>
      </c>
    </row>
    <row r="1648" spans="1:59">
      <c r="A1648" t="s">
        <v>60</v>
      </c>
      <c r="B1648" s="1">
        <v>46130</v>
      </c>
      <c r="C1648">
        <v>2378044483</v>
      </c>
      <c r="D1648">
        <v>2378044781</v>
      </c>
      <c r="E1648" t="str">
        <f>T("내 눈에만 아공간이 보여 155화")</f>
        <v>내 눈에만 아공간이 보여 155화</v>
      </c>
      <c r="F1648">
        <v>156</v>
      </c>
      <c r="G1648" t="str">
        <f>T("지누아빠")</f>
        <v>지누아빠</v>
      </c>
      <c r="J1648" t="str">
        <f>T("매드햇")</f>
        <v>매드햇</v>
      </c>
      <c r="K1648" t="str">
        <f>T("내 눈에만 아공간이 보여")</f>
        <v>내 눈에만 아공간이 보여</v>
      </c>
      <c r="L1648">
        <v>100</v>
      </c>
      <c r="M1648">
        <v>100</v>
      </c>
      <c r="N1648">
        <v>1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0</v>
      </c>
      <c r="AH1648">
        <v>0</v>
      </c>
      <c r="AI1648">
        <v>100</v>
      </c>
      <c r="AJ1648">
        <v>1</v>
      </c>
      <c r="AK1648">
        <v>0</v>
      </c>
      <c r="AL1648">
        <v>0</v>
      </c>
      <c r="AM1648">
        <v>100</v>
      </c>
      <c r="AN1648">
        <v>0</v>
      </c>
      <c r="AO1648">
        <v>0</v>
      </c>
      <c r="AP1648">
        <v>0</v>
      </c>
      <c r="AQ1648">
        <v>0</v>
      </c>
      <c r="AS1648">
        <v>0</v>
      </c>
      <c r="AT1648">
        <v>0</v>
      </c>
      <c r="AV1648">
        <v>0</v>
      </c>
      <c r="AW1648">
        <v>0</v>
      </c>
      <c r="AY1648">
        <v>0</v>
      </c>
      <c r="AZ1648">
        <v>0</v>
      </c>
      <c r="BA1648">
        <v>70</v>
      </c>
      <c r="BE1648" t="str">
        <f>T("9791137013551")</f>
        <v>9791137013551</v>
      </c>
      <c r="BF1648" t="str">
        <f>T("N231927")</f>
        <v>N231927</v>
      </c>
      <c r="BG1648" t="str">
        <f>T("판타지 웹소설 &gt; 퓨전 판타지")</f>
        <v>판타지 웹소설 &gt; 퓨전 판타지</v>
      </c>
    </row>
    <row r="1649" spans="1:59">
      <c r="A1649" t="s">
        <v>60</v>
      </c>
      <c r="B1649" s="1">
        <v>46130</v>
      </c>
      <c r="C1649">
        <v>2378044483</v>
      </c>
      <c r="D1649">
        <v>2378044785</v>
      </c>
      <c r="E1649" t="str">
        <f>T("내 눈에만 아공간이 보여 156화")</f>
        <v>내 눈에만 아공간이 보여 156화</v>
      </c>
      <c r="F1649">
        <v>157</v>
      </c>
      <c r="G1649" t="str">
        <f>T("지누아빠")</f>
        <v>지누아빠</v>
      </c>
      <c r="J1649" t="str">
        <f>T("매드햇")</f>
        <v>매드햇</v>
      </c>
      <c r="K1649" t="str">
        <f>T("내 눈에만 아공간이 보여")</f>
        <v>내 눈에만 아공간이 보여</v>
      </c>
      <c r="L1649">
        <v>100</v>
      </c>
      <c r="M1649">
        <v>100</v>
      </c>
      <c r="N1649">
        <v>1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100</v>
      </c>
      <c r="AJ1649">
        <v>1</v>
      </c>
      <c r="AK1649">
        <v>0</v>
      </c>
      <c r="AL1649">
        <v>0</v>
      </c>
      <c r="AM1649">
        <v>100</v>
      </c>
      <c r="AN1649">
        <v>0</v>
      </c>
      <c r="AO1649">
        <v>0</v>
      </c>
      <c r="AP1649">
        <v>0</v>
      </c>
      <c r="AQ1649">
        <v>0</v>
      </c>
      <c r="AS1649">
        <v>0</v>
      </c>
      <c r="AT1649">
        <v>0</v>
      </c>
      <c r="AV1649">
        <v>0</v>
      </c>
      <c r="AW1649">
        <v>0</v>
      </c>
      <c r="AY1649">
        <v>0</v>
      </c>
      <c r="AZ1649">
        <v>0</v>
      </c>
      <c r="BA1649">
        <v>70</v>
      </c>
      <c r="BE1649" t="str">
        <f>T("9791137013551")</f>
        <v>9791137013551</v>
      </c>
      <c r="BF1649" t="str">
        <f>T("N231928")</f>
        <v>N231928</v>
      </c>
      <c r="BG1649" t="str">
        <f>T("판타지 웹소설 &gt; 퓨전 판타지")</f>
        <v>판타지 웹소설 &gt; 퓨전 판타지</v>
      </c>
    </row>
    <row r="1650" spans="1:59">
      <c r="A1650" t="s">
        <v>60</v>
      </c>
      <c r="B1650" s="1">
        <v>46130</v>
      </c>
      <c r="C1650">
        <v>2378044483</v>
      </c>
      <c r="D1650">
        <v>2378044798</v>
      </c>
      <c r="E1650" t="str">
        <f>T("내 눈에만 아공간이 보여 157화")</f>
        <v>내 눈에만 아공간이 보여 157화</v>
      </c>
      <c r="F1650">
        <v>158</v>
      </c>
      <c r="G1650" t="str">
        <f>T("지누아빠")</f>
        <v>지누아빠</v>
      </c>
      <c r="J1650" t="str">
        <f>T("매드햇")</f>
        <v>매드햇</v>
      </c>
      <c r="K1650" t="str">
        <f>T("내 눈에만 아공간이 보여")</f>
        <v>내 눈에만 아공간이 보여</v>
      </c>
      <c r="L1650">
        <v>100</v>
      </c>
      <c r="M1650">
        <v>100</v>
      </c>
      <c r="N1650">
        <v>1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100</v>
      </c>
      <c r="AJ1650">
        <v>1</v>
      </c>
      <c r="AK1650">
        <v>0</v>
      </c>
      <c r="AL1650">
        <v>0</v>
      </c>
      <c r="AM1650">
        <v>100</v>
      </c>
      <c r="AN1650">
        <v>0</v>
      </c>
      <c r="AO1650">
        <v>0</v>
      </c>
      <c r="AP1650">
        <v>0</v>
      </c>
      <c r="AQ1650">
        <v>0</v>
      </c>
      <c r="AS1650">
        <v>0</v>
      </c>
      <c r="AT1650">
        <v>0</v>
      </c>
      <c r="AV1650">
        <v>0</v>
      </c>
      <c r="AW1650">
        <v>0</v>
      </c>
      <c r="AY1650">
        <v>0</v>
      </c>
      <c r="AZ1650">
        <v>0</v>
      </c>
      <c r="BA1650">
        <v>70</v>
      </c>
      <c r="BE1650" t="str">
        <f>T("9791137013551")</f>
        <v>9791137013551</v>
      </c>
      <c r="BF1650" t="str">
        <f>T("N231929")</f>
        <v>N231929</v>
      </c>
      <c r="BG1650" t="str">
        <f>T("판타지 웹소설 &gt; 퓨전 판타지")</f>
        <v>판타지 웹소설 &gt; 퓨전 판타지</v>
      </c>
    </row>
    <row r="1651" spans="1:59">
      <c r="A1651" t="s">
        <v>60</v>
      </c>
      <c r="B1651" s="1">
        <v>46130</v>
      </c>
      <c r="C1651">
        <v>2378044483</v>
      </c>
      <c r="D1651">
        <v>2378044799</v>
      </c>
      <c r="E1651" t="str">
        <f>T("내 눈에만 아공간이 보여 158화")</f>
        <v>내 눈에만 아공간이 보여 158화</v>
      </c>
      <c r="F1651">
        <v>159</v>
      </c>
      <c r="G1651" t="str">
        <f>T("지누아빠")</f>
        <v>지누아빠</v>
      </c>
      <c r="J1651" t="str">
        <f>T("매드햇")</f>
        <v>매드햇</v>
      </c>
      <c r="K1651" t="str">
        <f>T("내 눈에만 아공간이 보여")</f>
        <v>내 눈에만 아공간이 보여</v>
      </c>
      <c r="L1651">
        <v>100</v>
      </c>
      <c r="M1651">
        <v>100</v>
      </c>
      <c r="N1651">
        <v>1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100</v>
      </c>
      <c r="AJ1651">
        <v>1</v>
      </c>
      <c r="AK1651">
        <v>0</v>
      </c>
      <c r="AL1651">
        <v>0</v>
      </c>
      <c r="AM1651">
        <v>100</v>
      </c>
      <c r="AN1651">
        <v>0</v>
      </c>
      <c r="AO1651">
        <v>0</v>
      </c>
      <c r="AP1651">
        <v>0</v>
      </c>
      <c r="AQ1651">
        <v>0</v>
      </c>
      <c r="AS1651">
        <v>0</v>
      </c>
      <c r="AT1651">
        <v>0</v>
      </c>
      <c r="AV1651">
        <v>0</v>
      </c>
      <c r="AW1651">
        <v>0</v>
      </c>
      <c r="AY1651">
        <v>0</v>
      </c>
      <c r="AZ1651">
        <v>0</v>
      </c>
      <c r="BA1651">
        <v>70</v>
      </c>
      <c r="BE1651" t="str">
        <f>T("9791137013551")</f>
        <v>9791137013551</v>
      </c>
      <c r="BF1651" t="str">
        <f>T("N231930")</f>
        <v>N231930</v>
      </c>
      <c r="BG1651" t="str">
        <f>T("판타지 웹소설 &gt; 퓨전 판타지")</f>
        <v>판타지 웹소설 &gt; 퓨전 판타지</v>
      </c>
    </row>
    <row r="1652" spans="1:59">
      <c r="A1652" t="s">
        <v>60</v>
      </c>
      <c r="B1652" s="1">
        <v>46130</v>
      </c>
      <c r="C1652">
        <v>2378044483</v>
      </c>
      <c r="D1652">
        <v>2378044812</v>
      </c>
      <c r="E1652" t="str">
        <f>T("내 눈에만 아공간이 보여 159화")</f>
        <v>내 눈에만 아공간이 보여 159화</v>
      </c>
      <c r="F1652">
        <v>160</v>
      </c>
      <c r="G1652" t="str">
        <f>T("지누아빠")</f>
        <v>지누아빠</v>
      </c>
      <c r="J1652" t="str">
        <f>T("매드햇")</f>
        <v>매드햇</v>
      </c>
      <c r="K1652" t="str">
        <f>T("내 눈에만 아공간이 보여")</f>
        <v>내 눈에만 아공간이 보여</v>
      </c>
      <c r="L1652">
        <v>100</v>
      </c>
      <c r="M1652">
        <v>100</v>
      </c>
      <c r="N1652">
        <v>1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100</v>
      </c>
      <c r="AJ1652">
        <v>1</v>
      </c>
      <c r="AK1652">
        <v>0</v>
      </c>
      <c r="AL1652">
        <v>0</v>
      </c>
      <c r="AM1652">
        <v>100</v>
      </c>
      <c r="AN1652">
        <v>0</v>
      </c>
      <c r="AO1652">
        <v>0</v>
      </c>
      <c r="AP1652">
        <v>0</v>
      </c>
      <c r="AQ1652">
        <v>0</v>
      </c>
      <c r="AS1652">
        <v>0</v>
      </c>
      <c r="AT1652">
        <v>0</v>
      </c>
      <c r="AV1652">
        <v>0</v>
      </c>
      <c r="AW1652">
        <v>0</v>
      </c>
      <c r="AY1652">
        <v>0</v>
      </c>
      <c r="AZ1652">
        <v>0</v>
      </c>
      <c r="BA1652">
        <v>70</v>
      </c>
      <c r="BE1652" t="str">
        <f>T("9791137013551")</f>
        <v>9791137013551</v>
      </c>
      <c r="BF1652" t="str">
        <f>T("k000023")</f>
        <v>k000023</v>
      </c>
      <c r="BG1652" t="str">
        <f>T("판타지 웹소설 &gt; 퓨전 판타지")</f>
        <v>판타지 웹소설 &gt; 퓨전 판타지</v>
      </c>
    </row>
    <row r="1653" spans="1:59">
      <c r="A1653" t="s">
        <v>60</v>
      </c>
      <c r="B1653" s="1">
        <v>46130</v>
      </c>
      <c r="C1653">
        <v>2378044483</v>
      </c>
      <c r="D1653">
        <v>2378044821</v>
      </c>
      <c r="E1653" t="str">
        <f>T("내 눈에만 아공간이 보여 160화")</f>
        <v>내 눈에만 아공간이 보여 160화</v>
      </c>
      <c r="F1653">
        <v>161</v>
      </c>
      <c r="G1653" t="str">
        <f>T("지누아빠")</f>
        <v>지누아빠</v>
      </c>
      <c r="J1653" t="str">
        <f>T("매드햇")</f>
        <v>매드햇</v>
      </c>
      <c r="K1653" t="str">
        <f>T("내 눈에만 아공간이 보여")</f>
        <v>내 눈에만 아공간이 보여</v>
      </c>
      <c r="L1653">
        <v>100</v>
      </c>
      <c r="M1653">
        <v>100</v>
      </c>
      <c r="N1653">
        <v>1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0</v>
      </c>
      <c r="AH1653">
        <v>0</v>
      </c>
      <c r="AI1653">
        <v>100</v>
      </c>
      <c r="AJ1653">
        <v>1</v>
      </c>
      <c r="AK1653">
        <v>0</v>
      </c>
      <c r="AL1653">
        <v>0</v>
      </c>
      <c r="AM1653">
        <v>100</v>
      </c>
      <c r="AN1653">
        <v>0</v>
      </c>
      <c r="AO1653">
        <v>0</v>
      </c>
      <c r="AP1653">
        <v>0</v>
      </c>
      <c r="AQ1653">
        <v>0</v>
      </c>
      <c r="AS1653">
        <v>0</v>
      </c>
      <c r="AT1653">
        <v>0</v>
      </c>
      <c r="AV1653">
        <v>0</v>
      </c>
      <c r="AW1653">
        <v>0</v>
      </c>
      <c r="AY1653">
        <v>0</v>
      </c>
      <c r="AZ1653">
        <v>0</v>
      </c>
      <c r="BA1653">
        <v>70</v>
      </c>
      <c r="BE1653" t="str">
        <f>T("9791137013551")</f>
        <v>9791137013551</v>
      </c>
      <c r="BF1653" t="str">
        <f>T("k000024")</f>
        <v>k000024</v>
      </c>
      <c r="BG1653" t="str">
        <f>T("판타지 웹소설 &gt; 퓨전 판타지")</f>
        <v>판타지 웹소설 &gt; 퓨전 판타지</v>
      </c>
    </row>
    <row r="1654" spans="1:59">
      <c r="A1654" t="s">
        <v>60</v>
      </c>
      <c r="B1654" s="1">
        <v>46130</v>
      </c>
      <c r="C1654">
        <v>2378044483</v>
      </c>
      <c r="D1654">
        <v>2378044823</v>
      </c>
      <c r="E1654" t="str">
        <f>T("내 눈에만 아공간이 보여 161화")</f>
        <v>내 눈에만 아공간이 보여 161화</v>
      </c>
      <c r="F1654">
        <v>162</v>
      </c>
      <c r="G1654" t="str">
        <f>T("지누아빠")</f>
        <v>지누아빠</v>
      </c>
      <c r="J1654" t="str">
        <f>T("매드햇")</f>
        <v>매드햇</v>
      </c>
      <c r="K1654" t="str">
        <f>T("내 눈에만 아공간이 보여")</f>
        <v>내 눈에만 아공간이 보여</v>
      </c>
      <c r="L1654">
        <v>100</v>
      </c>
      <c r="M1654">
        <v>100</v>
      </c>
      <c r="N1654">
        <v>1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0</v>
      </c>
      <c r="AH1654">
        <v>0</v>
      </c>
      <c r="AI1654">
        <v>100</v>
      </c>
      <c r="AJ1654">
        <v>1</v>
      </c>
      <c r="AK1654">
        <v>0</v>
      </c>
      <c r="AL1654">
        <v>0</v>
      </c>
      <c r="AM1654">
        <v>100</v>
      </c>
      <c r="AN1654">
        <v>0</v>
      </c>
      <c r="AO1654">
        <v>0</v>
      </c>
      <c r="AP1654">
        <v>0</v>
      </c>
      <c r="AQ1654">
        <v>0</v>
      </c>
      <c r="AS1654">
        <v>0</v>
      </c>
      <c r="AT1654">
        <v>0</v>
      </c>
      <c r="AV1654">
        <v>0</v>
      </c>
      <c r="AW1654">
        <v>0</v>
      </c>
      <c r="AY1654">
        <v>0</v>
      </c>
      <c r="AZ1654">
        <v>0</v>
      </c>
      <c r="BA1654">
        <v>70</v>
      </c>
      <c r="BE1654" t="str">
        <f>T("9791137013551")</f>
        <v>9791137013551</v>
      </c>
      <c r="BF1654" t="str">
        <f>T("k000025")</f>
        <v>k000025</v>
      </c>
      <c r="BG1654" t="str">
        <f>T("판타지 웹소설 &gt; 퓨전 판타지")</f>
        <v>판타지 웹소설 &gt; 퓨전 판타지</v>
      </c>
    </row>
    <row r="1655" spans="1:59">
      <c r="A1655" t="s">
        <v>60</v>
      </c>
      <c r="B1655" s="1">
        <v>46130</v>
      </c>
      <c r="C1655">
        <v>2378044483</v>
      </c>
      <c r="D1655">
        <v>2378044825</v>
      </c>
      <c r="E1655" t="str">
        <f>T("내 눈에만 아공간이 보여 162화")</f>
        <v>내 눈에만 아공간이 보여 162화</v>
      </c>
      <c r="F1655">
        <v>163</v>
      </c>
      <c r="G1655" t="str">
        <f>T("지누아빠")</f>
        <v>지누아빠</v>
      </c>
      <c r="J1655" t="str">
        <f>T("매드햇")</f>
        <v>매드햇</v>
      </c>
      <c r="K1655" t="str">
        <f>T("내 눈에만 아공간이 보여")</f>
        <v>내 눈에만 아공간이 보여</v>
      </c>
      <c r="L1655">
        <v>100</v>
      </c>
      <c r="M1655">
        <v>100</v>
      </c>
      <c r="N1655">
        <v>1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100</v>
      </c>
      <c r="AJ1655">
        <v>1</v>
      </c>
      <c r="AK1655">
        <v>0</v>
      </c>
      <c r="AL1655">
        <v>0</v>
      </c>
      <c r="AM1655">
        <v>100</v>
      </c>
      <c r="AN1655">
        <v>0</v>
      </c>
      <c r="AO1655">
        <v>0</v>
      </c>
      <c r="AP1655">
        <v>0</v>
      </c>
      <c r="AQ1655">
        <v>0</v>
      </c>
      <c r="AS1655">
        <v>0</v>
      </c>
      <c r="AT1655">
        <v>0</v>
      </c>
      <c r="AV1655">
        <v>0</v>
      </c>
      <c r="AW1655">
        <v>0</v>
      </c>
      <c r="AY1655">
        <v>0</v>
      </c>
      <c r="AZ1655">
        <v>0</v>
      </c>
      <c r="BA1655">
        <v>70</v>
      </c>
      <c r="BE1655" t="str">
        <f>T("9791137013551")</f>
        <v>9791137013551</v>
      </c>
      <c r="BF1655" t="str">
        <f>T("k000026")</f>
        <v>k000026</v>
      </c>
      <c r="BG1655" t="str">
        <f>T("판타지 웹소설 &gt; 퓨전 판타지")</f>
        <v>판타지 웹소설 &gt; 퓨전 판타지</v>
      </c>
    </row>
    <row r="1656" spans="1:59">
      <c r="A1656" t="s">
        <v>60</v>
      </c>
      <c r="B1656" s="1">
        <v>46130</v>
      </c>
      <c r="C1656">
        <v>2378044483</v>
      </c>
      <c r="D1656">
        <v>2378045019</v>
      </c>
      <c r="E1656" t="str">
        <f>T("내 눈에만 아공간이 보여 163화")</f>
        <v>내 눈에만 아공간이 보여 163화</v>
      </c>
      <c r="F1656">
        <v>164</v>
      </c>
      <c r="G1656" t="str">
        <f>T("지누아빠")</f>
        <v>지누아빠</v>
      </c>
      <c r="J1656" t="str">
        <f>T("매드햇")</f>
        <v>매드햇</v>
      </c>
      <c r="K1656" t="str">
        <f>T("내 눈에만 아공간이 보여")</f>
        <v>내 눈에만 아공간이 보여</v>
      </c>
      <c r="L1656">
        <v>100</v>
      </c>
      <c r="M1656">
        <v>100</v>
      </c>
      <c r="N1656">
        <v>1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0</v>
      </c>
      <c r="AH1656">
        <v>0</v>
      </c>
      <c r="AI1656">
        <v>100</v>
      </c>
      <c r="AJ1656">
        <v>1</v>
      </c>
      <c r="AK1656">
        <v>0</v>
      </c>
      <c r="AL1656">
        <v>0</v>
      </c>
      <c r="AM1656">
        <v>100</v>
      </c>
      <c r="AN1656">
        <v>0</v>
      </c>
      <c r="AO1656">
        <v>0</v>
      </c>
      <c r="AP1656">
        <v>0</v>
      </c>
      <c r="AQ1656">
        <v>0</v>
      </c>
      <c r="AS1656">
        <v>0</v>
      </c>
      <c r="AT1656">
        <v>0</v>
      </c>
      <c r="AV1656">
        <v>0</v>
      </c>
      <c r="AW1656">
        <v>0</v>
      </c>
      <c r="AY1656">
        <v>0</v>
      </c>
      <c r="AZ1656">
        <v>0</v>
      </c>
      <c r="BA1656">
        <v>70</v>
      </c>
      <c r="BE1656" t="str">
        <f>T("9791137013551")</f>
        <v>9791137013551</v>
      </c>
      <c r="BF1656" t="str">
        <f>T("k000027")</f>
        <v>k000027</v>
      </c>
      <c r="BG1656" t="str">
        <f>T("판타지 웹소설 &gt; 퓨전 판타지")</f>
        <v>판타지 웹소설 &gt; 퓨전 판타지</v>
      </c>
    </row>
    <row r="1657" spans="1:59">
      <c r="A1657" t="s">
        <v>60</v>
      </c>
      <c r="B1657" s="1">
        <v>46130</v>
      </c>
      <c r="C1657">
        <v>2378044483</v>
      </c>
      <c r="D1657">
        <v>2378045424</v>
      </c>
      <c r="E1657" t="str">
        <f>T("내 눈에만 아공간이 보여 164화")</f>
        <v>내 눈에만 아공간이 보여 164화</v>
      </c>
      <c r="F1657">
        <v>165</v>
      </c>
      <c r="G1657" t="str">
        <f>T("지누아빠")</f>
        <v>지누아빠</v>
      </c>
      <c r="J1657" t="str">
        <f>T("매드햇")</f>
        <v>매드햇</v>
      </c>
      <c r="K1657" t="str">
        <f>T("내 눈에만 아공간이 보여")</f>
        <v>내 눈에만 아공간이 보여</v>
      </c>
      <c r="L1657">
        <v>100</v>
      </c>
      <c r="M1657">
        <v>100</v>
      </c>
      <c r="N1657">
        <v>1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0</v>
      </c>
      <c r="AH1657">
        <v>0</v>
      </c>
      <c r="AI1657">
        <v>100</v>
      </c>
      <c r="AJ1657">
        <v>1</v>
      </c>
      <c r="AK1657">
        <v>0</v>
      </c>
      <c r="AL1657">
        <v>0</v>
      </c>
      <c r="AM1657">
        <v>100</v>
      </c>
      <c r="AN1657">
        <v>0</v>
      </c>
      <c r="AO1657">
        <v>0</v>
      </c>
      <c r="AP1657">
        <v>0</v>
      </c>
      <c r="AQ1657">
        <v>0</v>
      </c>
      <c r="AS1657">
        <v>0</v>
      </c>
      <c r="AT1657">
        <v>0</v>
      </c>
      <c r="AV1657">
        <v>0</v>
      </c>
      <c r="AW1657">
        <v>0</v>
      </c>
      <c r="AY1657">
        <v>0</v>
      </c>
      <c r="AZ1657">
        <v>0</v>
      </c>
      <c r="BA1657">
        <v>70</v>
      </c>
      <c r="BE1657" t="str">
        <f>T("9791137013551")</f>
        <v>9791137013551</v>
      </c>
      <c r="BF1657" t="str">
        <f>T("k003673")</f>
        <v>k003673</v>
      </c>
      <c r="BG1657" t="str">
        <f>T("판타지 웹소설 &gt; 퓨전 판타지")</f>
        <v>판타지 웹소설 &gt; 퓨전 판타지</v>
      </c>
    </row>
    <row r="1658" spans="1:59">
      <c r="A1658" t="s">
        <v>60</v>
      </c>
      <c r="B1658" s="1">
        <v>46130</v>
      </c>
      <c r="C1658">
        <v>2378044483</v>
      </c>
      <c r="D1658">
        <v>2378045425</v>
      </c>
      <c r="E1658" t="str">
        <f>T("내 눈에만 아공간이 보여 165화")</f>
        <v>내 눈에만 아공간이 보여 165화</v>
      </c>
      <c r="F1658">
        <v>166</v>
      </c>
      <c r="G1658" t="str">
        <f>T("지누아빠")</f>
        <v>지누아빠</v>
      </c>
      <c r="J1658" t="str">
        <f>T("매드햇")</f>
        <v>매드햇</v>
      </c>
      <c r="K1658" t="str">
        <f>T("내 눈에만 아공간이 보여")</f>
        <v>내 눈에만 아공간이 보여</v>
      </c>
      <c r="L1658">
        <v>100</v>
      </c>
      <c r="M1658">
        <v>100</v>
      </c>
      <c r="N1658">
        <v>1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100</v>
      </c>
      <c r="AJ1658">
        <v>1</v>
      </c>
      <c r="AK1658">
        <v>0</v>
      </c>
      <c r="AL1658">
        <v>0</v>
      </c>
      <c r="AM1658">
        <v>100</v>
      </c>
      <c r="AN1658">
        <v>0</v>
      </c>
      <c r="AO1658">
        <v>0</v>
      </c>
      <c r="AP1658">
        <v>0</v>
      </c>
      <c r="AQ1658">
        <v>0</v>
      </c>
      <c r="AS1658">
        <v>0</v>
      </c>
      <c r="AT1658">
        <v>0</v>
      </c>
      <c r="AV1658">
        <v>0</v>
      </c>
      <c r="AW1658">
        <v>0</v>
      </c>
      <c r="AY1658">
        <v>0</v>
      </c>
      <c r="AZ1658">
        <v>0</v>
      </c>
      <c r="BA1658">
        <v>70</v>
      </c>
      <c r="BE1658" t="str">
        <f>T("9791137013551")</f>
        <v>9791137013551</v>
      </c>
      <c r="BF1658" t="str">
        <f>T("k003674")</f>
        <v>k003674</v>
      </c>
      <c r="BG1658" t="str">
        <f>T("판타지 웹소설 &gt; 퓨전 판타지")</f>
        <v>판타지 웹소설 &gt; 퓨전 판타지</v>
      </c>
    </row>
    <row r="1659" spans="1:59">
      <c r="A1659" t="s">
        <v>60</v>
      </c>
      <c r="B1659" s="1">
        <v>46130</v>
      </c>
      <c r="C1659">
        <v>2378044483</v>
      </c>
      <c r="D1659">
        <v>2378045435</v>
      </c>
      <c r="E1659" t="str">
        <f>T("내 눈에만 아공간이 보여 166화")</f>
        <v>내 눈에만 아공간이 보여 166화</v>
      </c>
      <c r="F1659">
        <v>167</v>
      </c>
      <c r="G1659" t="str">
        <f>T("지누아빠")</f>
        <v>지누아빠</v>
      </c>
      <c r="J1659" t="str">
        <f>T("매드햇")</f>
        <v>매드햇</v>
      </c>
      <c r="K1659" t="str">
        <f>T("내 눈에만 아공간이 보여")</f>
        <v>내 눈에만 아공간이 보여</v>
      </c>
      <c r="L1659">
        <v>100</v>
      </c>
      <c r="M1659">
        <v>100</v>
      </c>
      <c r="N1659">
        <v>1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0</v>
      </c>
      <c r="AH1659">
        <v>0</v>
      </c>
      <c r="AI1659">
        <v>100</v>
      </c>
      <c r="AJ1659">
        <v>1</v>
      </c>
      <c r="AK1659">
        <v>0</v>
      </c>
      <c r="AL1659">
        <v>0</v>
      </c>
      <c r="AM1659">
        <v>100</v>
      </c>
      <c r="AN1659">
        <v>0</v>
      </c>
      <c r="AO1659">
        <v>0</v>
      </c>
      <c r="AP1659">
        <v>0</v>
      </c>
      <c r="AQ1659">
        <v>0</v>
      </c>
      <c r="AS1659">
        <v>0</v>
      </c>
      <c r="AT1659">
        <v>0</v>
      </c>
      <c r="AV1659">
        <v>0</v>
      </c>
      <c r="AW1659">
        <v>0</v>
      </c>
      <c r="AY1659">
        <v>0</v>
      </c>
      <c r="AZ1659">
        <v>0</v>
      </c>
      <c r="BA1659">
        <v>70</v>
      </c>
      <c r="BE1659" t="str">
        <f>T("9791137013551")</f>
        <v>9791137013551</v>
      </c>
      <c r="BF1659" t="str">
        <f>T("k003675")</f>
        <v>k003675</v>
      </c>
      <c r="BG1659" t="str">
        <f>T("판타지 웹소설 &gt; 퓨전 판타지")</f>
        <v>판타지 웹소설 &gt; 퓨전 판타지</v>
      </c>
    </row>
    <row r="1660" spans="1:59">
      <c r="A1660" t="s">
        <v>60</v>
      </c>
      <c r="B1660" s="1">
        <v>46130</v>
      </c>
      <c r="C1660">
        <v>2378044483</v>
      </c>
      <c r="D1660">
        <v>2378045877</v>
      </c>
      <c r="E1660" t="str">
        <f>T("내 눈에만 아공간이 보여 167화")</f>
        <v>내 눈에만 아공간이 보여 167화</v>
      </c>
      <c r="F1660">
        <v>168</v>
      </c>
      <c r="G1660" t="str">
        <f>T("지누아빠")</f>
        <v>지누아빠</v>
      </c>
      <c r="J1660" t="str">
        <f>T("매드햇")</f>
        <v>매드햇</v>
      </c>
      <c r="K1660" t="str">
        <f>T("내 눈에만 아공간이 보여")</f>
        <v>내 눈에만 아공간이 보여</v>
      </c>
      <c r="L1660">
        <v>100</v>
      </c>
      <c r="M1660">
        <v>100</v>
      </c>
      <c r="N1660">
        <v>1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100</v>
      </c>
      <c r="AJ1660">
        <v>1</v>
      </c>
      <c r="AK1660">
        <v>0</v>
      </c>
      <c r="AL1660">
        <v>0</v>
      </c>
      <c r="AM1660">
        <v>100</v>
      </c>
      <c r="AN1660">
        <v>0</v>
      </c>
      <c r="AO1660">
        <v>0</v>
      </c>
      <c r="AP1660">
        <v>0</v>
      </c>
      <c r="AQ1660">
        <v>0</v>
      </c>
      <c r="AS1660">
        <v>0</v>
      </c>
      <c r="AT1660">
        <v>0</v>
      </c>
      <c r="AV1660">
        <v>0</v>
      </c>
      <c r="AW1660">
        <v>0</v>
      </c>
      <c r="AY1660">
        <v>0</v>
      </c>
      <c r="AZ1660">
        <v>0</v>
      </c>
      <c r="BA1660">
        <v>70</v>
      </c>
      <c r="BE1660" t="str">
        <f>T("9791137013551")</f>
        <v>9791137013551</v>
      </c>
      <c r="BF1660" t="str">
        <f>T("k003676")</f>
        <v>k003676</v>
      </c>
      <c r="BG1660" t="str">
        <f>T("판타지 웹소설 &gt; 퓨전 판타지")</f>
        <v>판타지 웹소설 &gt; 퓨전 판타지</v>
      </c>
    </row>
    <row r="1661" spans="1:59">
      <c r="A1661" t="s">
        <v>60</v>
      </c>
      <c r="B1661" s="1">
        <v>46130</v>
      </c>
      <c r="C1661">
        <v>2378044483</v>
      </c>
      <c r="D1661">
        <v>2378045885</v>
      </c>
      <c r="E1661" t="str">
        <f>T("내 눈에만 아공간이 보여 168화")</f>
        <v>내 눈에만 아공간이 보여 168화</v>
      </c>
      <c r="F1661">
        <v>169</v>
      </c>
      <c r="G1661" t="str">
        <f>T("지누아빠")</f>
        <v>지누아빠</v>
      </c>
      <c r="J1661" t="str">
        <f>T("매드햇")</f>
        <v>매드햇</v>
      </c>
      <c r="K1661" t="str">
        <f>T("내 눈에만 아공간이 보여")</f>
        <v>내 눈에만 아공간이 보여</v>
      </c>
      <c r="L1661">
        <v>100</v>
      </c>
      <c r="M1661">
        <v>100</v>
      </c>
      <c r="N1661">
        <v>1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100</v>
      </c>
      <c r="AJ1661">
        <v>1</v>
      </c>
      <c r="AK1661">
        <v>0</v>
      </c>
      <c r="AL1661">
        <v>0</v>
      </c>
      <c r="AM1661">
        <v>100</v>
      </c>
      <c r="AN1661">
        <v>0</v>
      </c>
      <c r="AO1661">
        <v>0</v>
      </c>
      <c r="AP1661">
        <v>0</v>
      </c>
      <c r="AQ1661">
        <v>0</v>
      </c>
      <c r="AS1661">
        <v>0</v>
      </c>
      <c r="AT1661">
        <v>0</v>
      </c>
      <c r="AV1661">
        <v>0</v>
      </c>
      <c r="AW1661">
        <v>0</v>
      </c>
      <c r="AY1661">
        <v>0</v>
      </c>
      <c r="AZ1661">
        <v>0</v>
      </c>
      <c r="BA1661">
        <v>70</v>
      </c>
      <c r="BE1661" t="str">
        <f>T("9791137013551")</f>
        <v>9791137013551</v>
      </c>
      <c r="BF1661" t="str">
        <f>T("k003677")</f>
        <v>k003677</v>
      </c>
      <c r="BG1661" t="str">
        <f>T("판타지 웹소설 &gt; 퓨전 판타지")</f>
        <v>판타지 웹소설 &gt; 퓨전 판타지</v>
      </c>
    </row>
    <row r="1662" spans="1:59">
      <c r="A1662" t="s">
        <v>60</v>
      </c>
      <c r="B1662" s="1">
        <v>46130</v>
      </c>
      <c r="C1662">
        <v>2378044483</v>
      </c>
      <c r="D1662">
        <v>2378045914</v>
      </c>
      <c r="E1662" t="str">
        <f>T("내 눈에만 아공간이 보여 169화")</f>
        <v>내 눈에만 아공간이 보여 169화</v>
      </c>
      <c r="F1662">
        <v>170</v>
      </c>
      <c r="G1662" t="str">
        <f>T("지누아빠")</f>
        <v>지누아빠</v>
      </c>
      <c r="J1662" t="str">
        <f>T("매드햇")</f>
        <v>매드햇</v>
      </c>
      <c r="K1662" t="str">
        <f>T("내 눈에만 아공간이 보여")</f>
        <v>내 눈에만 아공간이 보여</v>
      </c>
      <c r="L1662">
        <v>100</v>
      </c>
      <c r="M1662">
        <v>100</v>
      </c>
      <c r="N1662">
        <v>1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100</v>
      </c>
      <c r="AJ1662">
        <v>1</v>
      </c>
      <c r="AK1662">
        <v>0</v>
      </c>
      <c r="AL1662">
        <v>0</v>
      </c>
      <c r="AM1662">
        <v>100</v>
      </c>
      <c r="AN1662">
        <v>0</v>
      </c>
      <c r="AO1662">
        <v>0</v>
      </c>
      <c r="AP1662">
        <v>0</v>
      </c>
      <c r="AQ1662">
        <v>0</v>
      </c>
      <c r="AS1662">
        <v>0</v>
      </c>
      <c r="AT1662">
        <v>0</v>
      </c>
      <c r="AV1662">
        <v>0</v>
      </c>
      <c r="AW1662">
        <v>0</v>
      </c>
      <c r="AY1662">
        <v>0</v>
      </c>
      <c r="AZ1662">
        <v>0</v>
      </c>
      <c r="BA1662">
        <v>70</v>
      </c>
      <c r="BE1662" t="str">
        <f>T("9791137013551")</f>
        <v>9791137013551</v>
      </c>
      <c r="BF1662" t="str">
        <f>T("k008351")</f>
        <v>k008351</v>
      </c>
      <c r="BG1662" t="str">
        <f>T("판타지 웹소설 &gt; 퓨전 판타지")</f>
        <v>판타지 웹소설 &gt; 퓨전 판타지</v>
      </c>
    </row>
    <row r="1663" spans="1:59">
      <c r="A1663" t="s">
        <v>60</v>
      </c>
      <c r="B1663" s="1">
        <v>46130</v>
      </c>
      <c r="C1663">
        <v>2378044483</v>
      </c>
      <c r="D1663">
        <v>2378045916</v>
      </c>
      <c r="E1663" t="str">
        <f>T("내 눈에만 아공간이 보여 170화")</f>
        <v>내 눈에만 아공간이 보여 170화</v>
      </c>
      <c r="F1663">
        <v>171</v>
      </c>
      <c r="G1663" t="str">
        <f>T("지누아빠")</f>
        <v>지누아빠</v>
      </c>
      <c r="J1663" t="str">
        <f>T("매드햇")</f>
        <v>매드햇</v>
      </c>
      <c r="K1663" t="str">
        <f>T("내 눈에만 아공간이 보여")</f>
        <v>내 눈에만 아공간이 보여</v>
      </c>
      <c r="L1663">
        <v>100</v>
      </c>
      <c r="M1663">
        <v>100</v>
      </c>
      <c r="N1663">
        <v>1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0</v>
      </c>
      <c r="AH1663">
        <v>0</v>
      </c>
      <c r="AI1663">
        <v>100</v>
      </c>
      <c r="AJ1663">
        <v>1</v>
      </c>
      <c r="AK1663">
        <v>0</v>
      </c>
      <c r="AL1663">
        <v>0</v>
      </c>
      <c r="AM1663">
        <v>100</v>
      </c>
      <c r="AN1663">
        <v>0</v>
      </c>
      <c r="AO1663">
        <v>0</v>
      </c>
      <c r="AP1663">
        <v>0</v>
      </c>
      <c r="AQ1663">
        <v>0</v>
      </c>
      <c r="AS1663">
        <v>0</v>
      </c>
      <c r="AT1663">
        <v>0</v>
      </c>
      <c r="AV1663">
        <v>0</v>
      </c>
      <c r="AW1663">
        <v>0</v>
      </c>
      <c r="AY1663">
        <v>0</v>
      </c>
      <c r="AZ1663">
        <v>0</v>
      </c>
      <c r="BA1663">
        <v>70</v>
      </c>
      <c r="BE1663" t="str">
        <f>T("9791137013551")</f>
        <v>9791137013551</v>
      </c>
      <c r="BF1663" t="str">
        <f>T("k008352")</f>
        <v>k008352</v>
      </c>
      <c r="BG1663" t="str">
        <f>T("판타지 웹소설 &gt; 퓨전 판타지")</f>
        <v>판타지 웹소설 &gt; 퓨전 판타지</v>
      </c>
    </row>
    <row r="1664" spans="1:59">
      <c r="A1664" t="s">
        <v>60</v>
      </c>
      <c r="B1664" s="1">
        <v>46130</v>
      </c>
      <c r="C1664">
        <v>2378044483</v>
      </c>
      <c r="D1664">
        <v>2378046259</v>
      </c>
      <c r="E1664" t="str">
        <f>T("내 눈에만 아공간이 보여 171화")</f>
        <v>내 눈에만 아공간이 보여 171화</v>
      </c>
      <c r="F1664">
        <v>172</v>
      </c>
      <c r="G1664" t="str">
        <f>T("지누아빠")</f>
        <v>지누아빠</v>
      </c>
      <c r="J1664" t="str">
        <f>T("매드햇")</f>
        <v>매드햇</v>
      </c>
      <c r="K1664" t="str">
        <f>T("내 눈에만 아공간이 보여")</f>
        <v>내 눈에만 아공간이 보여</v>
      </c>
      <c r="L1664">
        <v>100</v>
      </c>
      <c r="M1664">
        <v>100</v>
      </c>
      <c r="N1664">
        <v>1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0</v>
      </c>
      <c r="AH1664">
        <v>0</v>
      </c>
      <c r="AI1664">
        <v>100</v>
      </c>
      <c r="AJ1664">
        <v>1</v>
      </c>
      <c r="AK1664">
        <v>0</v>
      </c>
      <c r="AL1664">
        <v>0</v>
      </c>
      <c r="AM1664">
        <v>100</v>
      </c>
      <c r="AN1664">
        <v>0</v>
      </c>
      <c r="AO1664">
        <v>0</v>
      </c>
      <c r="AP1664">
        <v>0</v>
      </c>
      <c r="AQ1664">
        <v>0</v>
      </c>
      <c r="AS1664">
        <v>0</v>
      </c>
      <c r="AT1664">
        <v>0</v>
      </c>
      <c r="AV1664">
        <v>0</v>
      </c>
      <c r="AW1664">
        <v>0</v>
      </c>
      <c r="AY1664">
        <v>0</v>
      </c>
      <c r="AZ1664">
        <v>0</v>
      </c>
      <c r="BA1664">
        <v>70</v>
      </c>
      <c r="BE1664" t="str">
        <f>T("9791137013551")</f>
        <v>9791137013551</v>
      </c>
      <c r="BF1664" t="str">
        <f>T("k008353")</f>
        <v>k008353</v>
      </c>
      <c r="BG1664" t="str">
        <f>T("판타지 웹소설 &gt; 퓨전 판타지")</f>
        <v>판타지 웹소설 &gt; 퓨전 판타지</v>
      </c>
    </row>
    <row r="1665" spans="1:59">
      <c r="A1665" t="s">
        <v>60</v>
      </c>
      <c r="B1665" s="1">
        <v>46130</v>
      </c>
      <c r="C1665">
        <v>2378044483</v>
      </c>
      <c r="D1665">
        <v>2378046267</v>
      </c>
      <c r="E1665" t="str">
        <f>T("내 눈에만 아공간이 보여 172화")</f>
        <v>내 눈에만 아공간이 보여 172화</v>
      </c>
      <c r="F1665">
        <v>173</v>
      </c>
      <c r="G1665" t="str">
        <f>T("지누아빠")</f>
        <v>지누아빠</v>
      </c>
      <c r="J1665" t="str">
        <f>T("매드햇")</f>
        <v>매드햇</v>
      </c>
      <c r="K1665" t="str">
        <f>T("내 눈에만 아공간이 보여")</f>
        <v>내 눈에만 아공간이 보여</v>
      </c>
      <c r="L1665">
        <v>100</v>
      </c>
      <c r="M1665">
        <v>100</v>
      </c>
      <c r="N1665">
        <v>1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0</v>
      </c>
      <c r="AH1665">
        <v>0</v>
      </c>
      <c r="AI1665">
        <v>100</v>
      </c>
      <c r="AJ1665">
        <v>1</v>
      </c>
      <c r="AK1665">
        <v>0</v>
      </c>
      <c r="AL1665">
        <v>0</v>
      </c>
      <c r="AM1665">
        <v>100</v>
      </c>
      <c r="AN1665">
        <v>0</v>
      </c>
      <c r="AO1665">
        <v>0</v>
      </c>
      <c r="AP1665">
        <v>0</v>
      </c>
      <c r="AQ1665">
        <v>0</v>
      </c>
      <c r="AS1665">
        <v>0</v>
      </c>
      <c r="AT1665">
        <v>0</v>
      </c>
      <c r="AV1665">
        <v>0</v>
      </c>
      <c r="AW1665">
        <v>0</v>
      </c>
      <c r="AY1665">
        <v>0</v>
      </c>
      <c r="AZ1665">
        <v>0</v>
      </c>
      <c r="BA1665">
        <v>70</v>
      </c>
      <c r="BE1665" t="str">
        <f>T("9791137013551")</f>
        <v>9791137013551</v>
      </c>
      <c r="BF1665" t="str">
        <f>T("k008354")</f>
        <v>k008354</v>
      </c>
      <c r="BG1665" t="str">
        <f>T("판타지 웹소설 &gt; 퓨전 판타지")</f>
        <v>판타지 웹소설 &gt; 퓨전 판타지</v>
      </c>
    </row>
    <row r="1666" spans="1:59">
      <c r="A1666" t="s">
        <v>60</v>
      </c>
      <c r="B1666" s="1">
        <v>46130</v>
      </c>
      <c r="C1666">
        <v>2378044483</v>
      </c>
      <c r="D1666">
        <v>2378046269</v>
      </c>
      <c r="E1666" t="str">
        <f>T("내 눈에만 아공간이 보여 173화")</f>
        <v>내 눈에만 아공간이 보여 173화</v>
      </c>
      <c r="F1666">
        <v>174</v>
      </c>
      <c r="G1666" t="str">
        <f>T("지누아빠")</f>
        <v>지누아빠</v>
      </c>
      <c r="J1666" t="str">
        <f>T("매드햇")</f>
        <v>매드햇</v>
      </c>
      <c r="K1666" t="str">
        <f>T("내 눈에만 아공간이 보여")</f>
        <v>내 눈에만 아공간이 보여</v>
      </c>
      <c r="L1666">
        <v>100</v>
      </c>
      <c r="M1666">
        <v>100</v>
      </c>
      <c r="N1666">
        <v>1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100</v>
      </c>
      <c r="AJ1666">
        <v>1</v>
      </c>
      <c r="AK1666">
        <v>0</v>
      </c>
      <c r="AL1666">
        <v>0</v>
      </c>
      <c r="AM1666">
        <v>100</v>
      </c>
      <c r="AN1666">
        <v>0</v>
      </c>
      <c r="AO1666">
        <v>0</v>
      </c>
      <c r="AP1666">
        <v>0</v>
      </c>
      <c r="AQ1666">
        <v>0</v>
      </c>
      <c r="AS1666">
        <v>0</v>
      </c>
      <c r="AT1666">
        <v>0</v>
      </c>
      <c r="AV1666">
        <v>0</v>
      </c>
      <c r="AW1666">
        <v>0</v>
      </c>
      <c r="AY1666">
        <v>0</v>
      </c>
      <c r="AZ1666">
        <v>0</v>
      </c>
      <c r="BA1666">
        <v>70</v>
      </c>
      <c r="BE1666" t="str">
        <f>T("9791137013551")</f>
        <v>9791137013551</v>
      </c>
      <c r="BF1666" t="str">
        <f>T("k008355")</f>
        <v>k008355</v>
      </c>
      <c r="BG1666" t="str">
        <f>T("판타지 웹소설 &gt; 퓨전 판타지")</f>
        <v>판타지 웹소설 &gt; 퓨전 판타지</v>
      </c>
    </row>
    <row r="1667" spans="1:59">
      <c r="A1667" t="s">
        <v>60</v>
      </c>
      <c r="B1667" s="1">
        <v>46130</v>
      </c>
      <c r="C1667">
        <v>2378044483</v>
      </c>
      <c r="D1667">
        <v>2378046270</v>
      </c>
      <c r="E1667" t="str">
        <f>T("내 눈에만 아공간이 보여 174화")</f>
        <v>내 눈에만 아공간이 보여 174화</v>
      </c>
      <c r="F1667">
        <v>175</v>
      </c>
      <c r="G1667" t="str">
        <f>T("지누아빠")</f>
        <v>지누아빠</v>
      </c>
      <c r="J1667" t="str">
        <f>T("매드햇")</f>
        <v>매드햇</v>
      </c>
      <c r="K1667" t="str">
        <f>T("내 눈에만 아공간이 보여")</f>
        <v>내 눈에만 아공간이 보여</v>
      </c>
      <c r="L1667">
        <v>100</v>
      </c>
      <c r="M1667">
        <v>100</v>
      </c>
      <c r="N1667">
        <v>1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100</v>
      </c>
      <c r="AJ1667">
        <v>1</v>
      </c>
      <c r="AK1667">
        <v>0</v>
      </c>
      <c r="AL1667">
        <v>0</v>
      </c>
      <c r="AM1667">
        <v>100</v>
      </c>
      <c r="AN1667">
        <v>0</v>
      </c>
      <c r="AO1667">
        <v>0</v>
      </c>
      <c r="AP1667">
        <v>0</v>
      </c>
      <c r="AQ1667">
        <v>0</v>
      </c>
      <c r="AS1667">
        <v>0</v>
      </c>
      <c r="AT1667">
        <v>0</v>
      </c>
      <c r="AV1667">
        <v>0</v>
      </c>
      <c r="AW1667">
        <v>0</v>
      </c>
      <c r="AY1667">
        <v>0</v>
      </c>
      <c r="AZ1667">
        <v>0</v>
      </c>
      <c r="BA1667">
        <v>70</v>
      </c>
      <c r="BE1667" t="str">
        <f>T("9791137013551")</f>
        <v>9791137013551</v>
      </c>
      <c r="BF1667" t="str">
        <f>T("k014507")</f>
        <v>k014507</v>
      </c>
      <c r="BG1667" t="str">
        <f>T("판타지 웹소설 &gt; 퓨전 판타지")</f>
        <v>판타지 웹소설 &gt; 퓨전 판타지</v>
      </c>
    </row>
    <row r="1668" spans="1:59">
      <c r="A1668" t="s">
        <v>60</v>
      </c>
      <c r="B1668" s="1">
        <v>46130</v>
      </c>
      <c r="C1668">
        <v>2378044483</v>
      </c>
      <c r="D1668">
        <v>2378046271</v>
      </c>
      <c r="E1668" t="str">
        <f>T("내 눈에만 아공간이 보여 175화")</f>
        <v>내 눈에만 아공간이 보여 175화</v>
      </c>
      <c r="F1668">
        <v>176</v>
      </c>
      <c r="G1668" t="str">
        <f>T("지누아빠")</f>
        <v>지누아빠</v>
      </c>
      <c r="J1668" t="str">
        <f>T("매드햇")</f>
        <v>매드햇</v>
      </c>
      <c r="K1668" t="str">
        <f>T("내 눈에만 아공간이 보여")</f>
        <v>내 눈에만 아공간이 보여</v>
      </c>
      <c r="L1668">
        <v>100</v>
      </c>
      <c r="M1668">
        <v>100</v>
      </c>
      <c r="N1668">
        <v>1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0</v>
      </c>
      <c r="AI1668">
        <v>100</v>
      </c>
      <c r="AJ1668">
        <v>1</v>
      </c>
      <c r="AK1668">
        <v>0</v>
      </c>
      <c r="AL1668">
        <v>0</v>
      </c>
      <c r="AM1668">
        <v>100</v>
      </c>
      <c r="AN1668">
        <v>0</v>
      </c>
      <c r="AO1668">
        <v>0</v>
      </c>
      <c r="AP1668">
        <v>0</v>
      </c>
      <c r="AQ1668">
        <v>0</v>
      </c>
      <c r="AS1668">
        <v>0</v>
      </c>
      <c r="AT1668">
        <v>0</v>
      </c>
      <c r="AV1668">
        <v>0</v>
      </c>
      <c r="AW1668">
        <v>0</v>
      </c>
      <c r="AY1668">
        <v>0</v>
      </c>
      <c r="AZ1668">
        <v>0</v>
      </c>
      <c r="BA1668">
        <v>70</v>
      </c>
      <c r="BE1668" t="str">
        <f>T("9791137013551")</f>
        <v>9791137013551</v>
      </c>
      <c r="BF1668" t="str">
        <f>T("k014508")</f>
        <v>k014508</v>
      </c>
      <c r="BG1668" t="str">
        <f>T("판타지 웹소설 &gt; 퓨전 판타지")</f>
        <v>판타지 웹소설 &gt; 퓨전 판타지</v>
      </c>
    </row>
    <row r="1669" spans="1:59">
      <c r="A1669" t="s">
        <v>60</v>
      </c>
      <c r="B1669" s="1">
        <v>46130</v>
      </c>
      <c r="C1669">
        <v>2378044483</v>
      </c>
      <c r="D1669">
        <v>2378046293</v>
      </c>
      <c r="E1669" t="str">
        <f>T("내 눈에만 아공간이 보여 176화")</f>
        <v>내 눈에만 아공간이 보여 176화</v>
      </c>
      <c r="F1669">
        <v>177</v>
      </c>
      <c r="G1669" t="str">
        <f>T("지누아빠")</f>
        <v>지누아빠</v>
      </c>
      <c r="J1669" t="str">
        <f>T("매드햇")</f>
        <v>매드햇</v>
      </c>
      <c r="K1669" t="str">
        <f>T("내 눈에만 아공간이 보여")</f>
        <v>내 눈에만 아공간이 보여</v>
      </c>
      <c r="L1669">
        <v>100</v>
      </c>
      <c r="M1669">
        <v>100</v>
      </c>
      <c r="N1669">
        <v>1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100</v>
      </c>
      <c r="AJ1669">
        <v>1</v>
      </c>
      <c r="AK1669">
        <v>0</v>
      </c>
      <c r="AL1669">
        <v>0</v>
      </c>
      <c r="AM1669">
        <v>100</v>
      </c>
      <c r="AN1669">
        <v>0</v>
      </c>
      <c r="AO1669">
        <v>0</v>
      </c>
      <c r="AP1669">
        <v>0</v>
      </c>
      <c r="AQ1669">
        <v>0</v>
      </c>
      <c r="AS1669">
        <v>0</v>
      </c>
      <c r="AT1669">
        <v>0</v>
      </c>
      <c r="AV1669">
        <v>0</v>
      </c>
      <c r="AW1669">
        <v>0</v>
      </c>
      <c r="AY1669">
        <v>0</v>
      </c>
      <c r="AZ1669">
        <v>0</v>
      </c>
      <c r="BA1669">
        <v>70</v>
      </c>
      <c r="BE1669" t="str">
        <f>T("9791137013551")</f>
        <v>9791137013551</v>
      </c>
      <c r="BF1669" t="str">
        <f>T("k014509")</f>
        <v>k014509</v>
      </c>
      <c r="BG1669" t="str">
        <f>T("판타지 웹소설 &gt; 퓨전 판타지")</f>
        <v>판타지 웹소설 &gt; 퓨전 판타지</v>
      </c>
    </row>
    <row r="1670" spans="1:59">
      <c r="A1670" t="s">
        <v>60</v>
      </c>
      <c r="B1670" s="1">
        <v>46130</v>
      </c>
      <c r="C1670">
        <v>2378044483</v>
      </c>
      <c r="D1670">
        <v>2378046816</v>
      </c>
      <c r="E1670" t="str">
        <f>T("내 눈에만 아공간이 보여 177화")</f>
        <v>내 눈에만 아공간이 보여 177화</v>
      </c>
      <c r="F1670">
        <v>178</v>
      </c>
      <c r="G1670" t="str">
        <f>T("지누아빠")</f>
        <v>지누아빠</v>
      </c>
      <c r="J1670" t="str">
        <f>T("매드햇")</f>
        <v>매드햇</v>
      </c>
      <c r="K1670" t="str">
        <f>T("내 눈에만 아공간이 보여")</f>
        <v>내 눈에만 아공간이 보여</v>
      </c>
      <c r="L1670">
        <v>100</v>
      </c>
      <c r="M1670">
        <v>100</v>
      </c>
      <c r="N1670">
        <v>1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100</v>
      </c>
      <c r="AJ1670">
        <v>1</v>
      </c>
      <c r="AK1670">
        <v>0</v>
      </c>
      <c r="AL1670">
        <v>0</v>
      </c>
      <c r="AM1670">
        <v>100</v>
      </c>
      <c r="AN1670">
        <v>0</v>
      </c>
      <c r="AO1670">
        <v>0</v>
      </c>
      <c r="AP1670">
        <v>0</v>
      </c>
      <c r="AQ1670">
        <v>0</v>
      </c>
      <c r="AS1670">
        <v>0</v>
      </c>
      <c r="AT1670">
        <v>0</v>
      </c>
      <c r="AV1670">
        <v>0</v>
      </c>
      <c r="AW1670">
        <v>0</v>
      </c>
      <c r="AY1670">
        <v>0</v>
      </c>
      <c r="AZ1670">
        <v>0</v>
      </c>
      <c r="BA1670">
        <v>70</v>
      </c>
      <c r="BE1670" t="str">
        <f>T("9791137013551")</f>
        <v>9791137013551</v>
      </c>
      <c r="BF1670" t="str">
        <f>T("k014510")</f>
        <v>k014510</v>
      </c>
      <c r="BG1670" t="str">
        <f>T("판타지 웹소설 &gt; 퓨전 판타지")</f>
        <v>판타지 웹소설 &gt; 퓨전 판타지</v>
      </c>
    </row>
    <row r="1671" spans="1:59">
      <c r="A1671" t="s">
        <v>60</v>
      </c>
      <c r="B1671" s="1">
        <v>46130</v>
      </c>
      <c r="C1671">
        <v>2378044483</v>
      </c>
      <c r="D1671">
        <v>2378046849</v>
      </c>
      <c r="E1671" t="str">
        <f>T("내 눈에만 아공간이 보여 178화")</f>
        <v>내 눈에만 아공간이 보여 178화</v>
      </c>
      <c r="F1671">
        <v>179</v>
      </c>
      <c r="G1671" t="str">
        <f>T("지누아빠")</f>
        <v>지누아빠</v>
      </c>
      <c r="J1671" t="str">
        <f>T("매드햇")</f>
        <v>매드햇</v>
      </c>
      <c r="K1671" t="str">
        <f>T("내 눈에만 아공간이 보여")</f>
        <v>내 눈에만 아공간이 보여</v>
      </c>
      <c r="L1671">
        <v>100</v>
      </c>
      <c r="M1671">
        <v>100</v>
      </c>
      <c r="N1671">
        <v>1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0</v>
      </c>
      <c r="AH1671">
        <v>0</v>
      </c>
      <c r="AI1671">
        <v>100</v>
      </c>
      <c r="AJ1671">
        <v>1</v>
      </c>
      <c r="AK1671">
        <v>0</v>
      </c>
      <c r="AL1671">
        <v>0</v>
      </c>
      <c r="AM1671">
        <v>100</v>
      </c>
      <c r="AN1671">
        <v>0</v>
      </c>
      <c r="AO1671">
        <v>0</v>
      </c>
      <c r="AP1671">
        <v>0</v>
      </c>
      <c r="AQ1671">
        <v>0</v>
      </c>
      <c r="AS1671">
        <v>0</v>
      </c>
      <c r="AT1671">
        <v>0</v>
      </c>
      <c r="AV1671">
        <v>0</v>
      </c>
      <c r="AW1671">
        <v>0</v>
      </c>
      <c r="AY1671">
        <v>0</v>
      </c>
      <c r="AZ1671">
        <v>0</v>
      </c>
      <c r="BA1671">
        <v>70</v>
      </c>
      <c r="BE1671" t="str">
        <f>T("9791137013551")</f>
        <v>9791137013551</v>
      </c>
      <c r="BF1671" t="str">
        <f>T("k014511")</f>
        <v>k014511</v>
      </c>
      <c r="BG1671" t="str">
        <f>T("판타지 웹소설 &gt; 퓨전 판타지")</f>
        <v>판타지 웹소설 &gt; 퓨전 판타지</v>
      </c>
    </row>
    <row r="1672" spans="1:59">
      <c r="A1672" t="s">
        <v>60</v>
      </c>
      <c r="B1672" s="1">
        <v>46130</v>
      </c>
      <c r="C1672">
        <v>2378044483</v>
      </c>
      <c r="D1672">
        <v>2378046858</v>
      </c>
      <c r="E1672" t="str">
        <f>T("내 눈에만 아공간이 보여 179화")</f>
        <v>내 눈에만 아공간이 보여 179화</v>
      </c>
      <c r="F1672">
        <v>180</v>
      </c>
      <c r="G1672" t="str">
        <f>T("지누아빠")</f>
        <v>지누아빠</v>
      </c>
      <c r="J1672" t="str">
        <f>T("매드햇")</f>
        <v>매드햇</v>
      </c>
      <c r="K1672" t="str">
        <f>T("내 눈에만 아공간이 보여")</f>
        <v>내 눈에만 아공간이 보여</v>
      </c>
      <c r="L1672">
        <v>100</v>
      </c>
      <c r="M1672">
        <v>100</v>
      </c>
      <c r="N1672">
        <v>1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100</v>
      </c>
      <c r="AJ1672">
        <v>1</v>
      </c>
      <c r="AK1672">
        <v>0</v>
      </c>
      <c r="AL1672">
        <v>0</v>
      </c>
      <c r="AM1672">
        <v>100</v>
      </c>
      <c r="AN1672">
        <v>0</v>
      </c>
      <c r="AO1672">
        <v>0</v>
      </c>
      <c r="AP1672">
        <v>0</v>
      </c>
      <c r="AQ1672">
        <v>0</v>
      </c>
      <c r="AS1672">
        <v>0</v>
      </c>
      <c r="AT1672">
        <v>0</v>
      </c>
      <c r="AV1672">
        <v>0</v>
      </c>
      <c r="AW1672">
        <v>0</v>
      </c>
      <c r="AY1672">
        <v>0</v>
      </c>
      <c r="AZ1672">
        <v>0</v>
      </c>
      <c r="BA1672">
        <v>70</v>
      </c>
      <c r="BE1672" t="str">
        <f>T("9791137013551")</f>
        <v>9791137013551</v>
      </c>
      <c r="BF1672" t="str">
        <f>T("k019892")</f>
        <v>k019892</v>
      </c>
      <c r="BG1672" t="str">
        <f>T("판타지 웹소설 &gt; 퓨전 판타지")</f>
        <v>판타지 웹소설 &gt; 퓨전 판타지</v>
      </c>
    </row>
    <row r="1673" spans="1:59">
      <c r="A1673" t="s">
        <v>60</v>
      </c>
      <c r="B1673" s="1">
        <v>46130</v>
      </c>
      <c r="C1673">
        <v>2378044483</v>
      </c>
      <c r="D1673">
        <v>2378046865</v>
      </c>
      <c r="E1673" t="str">
        <f>T("내 눈에만 아공간이 보여 180화")</f>
        <v>내 눈에만 아공간이 보여 180화</v>
      </c>
      <c r="F1673">
        <v>181</v>
      </c>
      <c r="G1673" t="str">
        <f>T("지누아빠")</f>
        <v>지누아빠</v>
      </c>
      <c r="J1673" t="str">
        <f>T("매드햇")</f>
        <v>매드햇</v>
      </c>
      <c r="K1673" t="str">
        <f>T("내 눈에만 아공간이 보여")</f>
        <v>내 눈에만 아공간이 보여</v>
      </c>
      <c r="L1673">
        <v>100</v>
      </c>
      <c r="M1673">
        <v>100</v>
      </c>
      <c r="N1673">
        <v>1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100</v>
      </c>
      <c r="AJ1673">
        <v>1</v>
      </c>
      <c r="AK1673">
        <v>0</v>
      </c>
      <c r="AL1673">
        <v>0</v>
      </c>
      <c r="AM1673">
        <v>100</v>
      </c>
      <c r="AN1673">
        <v>0</v>
      </c>
      <c r="AO1673">
        <v>0</v>
      </c>
      <c r="AP1673">
        <v>0</v>
      </c>
      <c r="AQ1673">
        <v>0</v>
      </c>
      <c r="AS1673">
        <v>0</v>
      </c>
      <c r="AT1673">
        <v>0</v>
      </c>
      <c r="AV1673">
        <v>0</v>
      </c>
      <c r="AW1673">
        <v>0</v>
      </c>
      <c r="AY1673">
        <v>0</v>
      </c>
      <c r="AZ1673">
        <v>0</v>
      </c>
      <c r="BA1673">
        <v>70</v>
      </c>
      <c r="BE1673" t="str">
        <f>T("9791137013551")</f>
        <v>9791137013551</v>
      </c>
      <c r="BF1673" t="str">
        <f>T("k019893")</f>
        <v>k019893</v>
      </c>
      <c r="BG1673" t="str">
        <f>T("판타지 웹소설 &gt; 퓨전 판타지")</f>
        <v>판타지 웹소설 &gt; 퓨전 판타지</v>
      </c>
    </row>
    <row r="1674" spans="1:59">
      <c r="A1674" t="s">
        <v>60</v>
      </c>
      <c r="B1674" s="1">
        <v>46130</v>
      </c>
      <c r="C1674">
        <v>2378044483</v>
      </c>
      <c r="D1674">
        <v>2378046876</v>
      </c>
      <c r="E1674" t="str">
        <f>T("내 눈에만 아공간이 보여 181화")</f>
        <v>내 눈에만 아공간이 보여 181화</v>
      </c>
      <c r="F1674">
        <v>182</v>
      </c>
      <c r="G1674" t="str">
        <f>T("지누아빠")</f>
        <v>지누아빠</v>
      </c>
      <c r="J1674" t="str">
        <f>T("매드햇")</f>
        <v>매드햇</v>
      </c>
      <c r="K1674" t="str">
        <f>T("내 눈에만 아공간이 보여")</f>
        <v>내 눈에만 아공간이 보여</v>
      </c>
      <c r="L1674">
        <v>100</v>
      </c>
      <c r="M1674">
        <v>100</v>
      </c>
      <c r="N1674">
        <v>1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100</v>
      </c>
      <c r="AJ1674">
        <v>1</v>
      </c>
      <c r="AK1674">
        <v>0</v>
      </c>
      <c r="AL1674">
        <v>0</v>
      </c>
      <c r="AM1674">
        <v>100</v>
      </c>
      <c r="AN1674">
        <v>0</v>
      </c>
      <c r="AO1674">
        <v>0</v>
      </c>
      <c r="AP1674">
        <v>0</v>
      </c>
      <c r="AQ1674">
        <v>0</v>
      </c>
      <c r="AS1674">
        <v>0</v>
      </c>
      <c r="AT1674">
        <v>0</v>
      </c>
      <c r="AV1674">
        <v>0</v>
      </c>
      <c r="AW1674">
        <v>0</v>
      </c>
      <c r="AY1674">
        <v>0</v>
      </c>
      <c r="AZ1674">
        <v>0</v>
      </c>
      <c r="BA1674">
        <v>70</v>
      </c>
      <c r="BE1674" t="str">
        <f>T("9791137013551")</f>
        <v>9791137013551</v>
      </c>
      <c r="BF1674" t="str">
        <f>T("k019894")</f>
        <v>k019894</v>
      </c>
      <c r="BG1674" t="str">
        <f>T("판타지 웹소설 &gt; 퓨전 판타지")</f>
        <v>판타지 웹소설 &gt; 퓨전 판타지</v>
      </c>
    </row>
    <row r="1675" spans="1:59">
      <c r="A1675" t="s">
        <v>60</v>
      </c>
      <c r="B1675" s="1">
        <v>46130</v>
      </c>
      <c r="C1675">
        <v>2378044483</v>
      </c>
      <c r="D1675">
        <v>2378046888</v>
      </c>
      <c r="E1675" t="str">
        <f>T("내 눈에만 아공간이 보여 182화")</f>
        <v>내 눈에만 아공간이 보여 182화</v>
      </c>
      <c r="F1675">
        <v>183</v>
      </c>
      <c r="G1675" t="str">
        <f>T("지누아빠")</f>
        <v>지누아빠</v>
      </c>
      <c r="J1675" t="str">
        <f>T("매드햇")</f>
        <v>매드햇</v>
      </c>
      <c r="K1675" t="str">
        <f>T("내 눈에만 아공간이 보여")</f>
        <v>내 눈에만 아공간이 보여</v>
      </c>
      <c r="L1675">
        <v>100</v>
      </c>
      <c r="M1675">
        <v>100</v>
      </c>
      <c r="N1675">
        <v>1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100</v>
      </c>
      <c r="AJ1675">
        <v>1</v>
      </c>
      <c r="AK1675">
        <v>0</v>
      </c>
      <c r="AL1675">
        <v>0</v>
      </c>
      <c r="AM1675">
        <v>100</v>
      </c>
      <c r="AN1675">
        <v>0</v>
      </c>
      <c r="AO1675">
        <v>0</v>
      </c>
      <c r="AP1675">
        <v>0</v>
      </c>
      <c r="AQ1675">
        <v>0</v>
      </c>
      <c r="AS1675">
        <v>0</v>
      </c>
      <c r="AT1675">
        <v>0</v>
      </c>
      <c r="AV1675">
        <v>0</v>
      </c>
      <c r="AW1675">
        <v>0</v>
      </c>
      <c r="AY1675">
        <v>0</v>
      </c>
      <c r="AZ1675">
        <v>0</v>
      </c>
      <c r="BA1675">
        <v>70</v>
      </c>
      <c r="BE1675" t="str">
        <f>T("9791137013551")</f>
        <v>9791137013551</v>
      </c>
      <c r="BF1675" t="str">
        <f>T("k019895")</f>
        <v>k019895</v>
      </c>
      <c r="BG1675" t="str">
        <f>T("판타지 웹소설 &gt; 퓨전 판타지")</f>
        <v>판타지 웹소설 &gt; 퓨전 판타지</v>
      </c>
    </row>
    <row r="1676" spans="1:59">
      <c r="A1676" t="s">
        <v>60</v>
      </c>
      <c r="B1676" s="1">
        <v>46130</v>
      </c>
      <c r="C1676">
        <v>2378044483</v>
      </c>
      <c r="D1676">
        <v>2378047259</v>
      </c>
      <c r="E1676" t="str">
        <f>T("내 눈에만 아공간이 보여 183화")</f>
        <v>내 눈에만 아공간이 보여 183화</v>
      </c>
      <c r="F1676">
        <v>184</v>
      </c>
      <c r="G1676" t="str">
        <f>T("지누아빠")</f>
        <v>지누아빠</v>
      </c>
      <c r="J1676" t="str">
        <f>T("매드햇")</f>
        <v>매드햇</v>
      </c>
      <c r="K1676" t="str">
        <f>T("내 눈에만 아공간이 보여")</f>
        <v>내 눈에만 아공간이 보여</v>
      </c>
      <c r="L1676">
        <v>100</v>
      </c>
      <c r="M1676">
        <v>100</v>
      </c>
      <c r="N1676">
        <v>1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100</v>
      </c>
      <c r="AJ1676">
        <v>1</v>
      </c>
      <c r="AK1676">
        <v>0</v>
      </c>
      <c r="AL1676">
        <v>0</v>
      </c>
      <c r="AM1676">
        <v>100</v>
      </c>
      <c r="AN1676">
        <v>0</v>
      </c>
      <c r="AO1676">
        <v>0</v>
      </c>
      <c r="AP1676">
        <v>0</v>
      </c>
      <c r="AQ1676">
        <v>0</v>
      </c>
      <c r="AS1676">
        <v>0</v>
      </c>
      <c r="AT1676">
        <v>0</v>
      </c>
      <c r="AV1676">
        <v>0</v>
      </c>
      <c r="AW1676">
        <v>0</v>
      </c>
      <c r="AY1676">
        <v>0</v>
      </c>
      <c r="AZ1676">
        <v>0</v>
      </c>
      <c r="BA1676">
        <v>70</v>
      </c>
      <c r="BE1676" t="str">
        <f>T("9791137013551")</f>
        <v>9791137013551</v>
      </c>
      <c r="BF1676" t="str">
        <f>T("k019896")</f>
        <v>k019896</v>
      </c>
      <c r="BG1676" t="str">
        <f>T("판타지 웹소설 &gt; 퓨전 판타지")</f>
        <v>판타지 웹소설 &gt; 퓨전 판타지</v>
      </c>
    </row>
    <row r="1677" spans="1:59">
      <c r="A1677" t="s">
        <v>60</v>
      </c>
      <c r="B1677" s="1">
        <v>46130</v>
      </c>
      <c r="C1677">
        <v>2378044483</v>
      </c>
      <c r="D1677">
        <v>2378047705</v>
      </c>
      <c r="E1677" t="str">
        <f>T("내 눈에만 아공간이 보여 184화")</f>
        <v>내 눈에만 아공간이 보여 184화</v>
      </c>
      <c r="F1677">
        <v>185</v>
      </c>
      <c r="G1677" t="str">
        <f>T("지누아빠")</f>
        <v>지누아빠</v>
      </c>
      <c r="J1677" t="str">
        <f>T("매드햇")</f>
        <v>매드햇</v>
      </c>
      <c r="K1677" t="str">
        <f>T("내 눈에만 아공간이 보여")</f>
        <v>내 눈에만 아공간이 보여</v>
      </c>
      <c r="L1677">
        <v>100</v>
      </c>
      <c r="M1677">
        <v>100</v>
      </c>
      <c r="N1677">
        <v>1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100</v>
      </c>
      <c r="AJ1677">
        <v>1</v>
      </c>
      <c r="AK1677">
        <v>0</v>
      </c>
      <c r="AL1677">
        <v>0</v>
      </c>
      <c r="AM1677">
        <v>100</v>
      </c>
      <c r="AN1677">
        <v>0</v>
      </c>
      <c r="AO1677">
        <v>0</v>
      </c>
      <c r="AP1677">
        <v>0</v>
      </c>
      <c r="AQ1677">
        <v>0</v>
      </c>
      <c r="AS1677">
        <v>0</v>
      </c>
      <c r="AT1677">
        <v>0</v>
      </c>
      <c r="AV1677">
        <v>0</v>
      </c>
      <c r="AW1677">
        <v>0</v>
      </c>
      <c r="AY1677">
        <v>0</v>
      </c>
      <c r="AZ1677">
        <v>0</v>
      </c>
      <c r="BA1677">
        <v>70</v>
      </c>
      <c r="BE1677" t="str">
        <f>T("9791137013551")</f>
        <v>9791137013551</v>
      </c>
      <c r="BF1677" t="str">
        <f>T("k022877")</f>
        <v>k022877</v>
      </c>
      <c r="BG1677" t="str">
        <f>T("판타지 웹소설 &gt; 퓨전 판타지")</f>
        <v>판타지 웹소설 &gt; 퓨전 판타지</v>
      </c>
    </row>
    <row r="1678" spans="1:59">
      <c r="A1678" t="s">
        <v>60</v>
      </c>
      <c r="B1678" s="1">
        <v>46130</v>
      </c>
      <c r="C1678">
        <v>2378044483</v>
      </c>
      <c r="D1678">
        <v>2378047851</v>
      </c>
      <c r="E1678" t="str">
        <f>T("내 눈에만 아공간이 보여 185화")</f>
        <v>내 눈에만 아공간이 보여 185화</v>
      </c>
      <c r="F1678">
        <v>186</v>
      </c>
      <c r="G1678" t="str">
        <f>T("지누아빠")</f>
        <v>지누아빠</v>
      </c>
      <c r="J1678" t="str">
        <f>T("매드햇")</f>
        <v>매드햇</v>
      </c>
      <c r="K1678" t="str">
        <f>T("내 눈에만 아공간이 보여")</f>
        <v>내 눈에만 아공간이 보여</v>
      </c>
      <c r="L1678">
        <v>100</v>
      </c>
      <c r="M1678">
        <v>100</v>
      </c>
      <c r="N1678">
        <v>1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100</v>
      </c>
      <c r="AJ1678">
        <v>1</v>
      </c>
      <c r="AK1678">
        <v>0</v>
      </c>
      <c r="AL1678">
        <v>0</v>
      </c>
      <c r="AM1678">
        <v>100</v>
      </c>
      <c r="AN1678">
        <v>0</v>
      </c>
      <c r="AO1678">
        <v>0</v>
      </c>
      <c r="AP1678">
        <v>0</v>
      </c>
      <c r="AQ1678">
        <v>0</v>
      </c>
      <c r="AS1678">
        <v>0</v>
      </c>
      <c r="AT1678">
        <v>0</v>
      </c>
      <c r="AV1678">
        <v>0</v>
      </c>
      <c r="AW1678">
        <v>0</v>
      </c>
      <c r="AY1678">
        <v>0</v>
      </c>
      <c r="AZ1678">
        <v>0</v>
      </c>
      <c r="BA1678">
        <v>70</v>
      </c>
      <c r="BE1678" t="str">
        <f>T("9791137013551")</f>
        <v>9791137013551</v>
      </c>
      <c r="BF1678" t="str">
        <f>T("k022878")</f>
        <v>k022878</v>
      </c>
      <c r="BG1678" t="str">
        <f>T("판타지 웹소설 &gt; 퓨전 판타지")</f>
        <v>판타지 웹소설 &gt; 퓨전 판타지</v>
      </c>
    </row>
    <row r="1679" spans="1:59">
      <c r="A1679" t="s">
        <v>60</v>
      </c>
      <c r="B1679" s="1">
        <v>46130</v>
      </c>
      <c r="C1679">
        <v>2378044483</v>
      </c>
      <c r="D1679">
        <v>2378047856</v>
      </c>
      <c r="E1679" t="str">
        <f>T("내 눈에만 아공간이 보여 186화")</f>
        <v>내 눈에만 아공간이 보여 186화</v>
      </c>
      <c r="F1679">
        <v>187</v>
      </c>
      <c r="G1679" t="str">
        <f>T("지누아빠")</f>
        <v>지누아빠</v>
      </c>
      <c r="J1679" t="str">
        <f>T("매드햇")</f>
        <v>매드햇</v>
      </c>
      <c r="K1679" t="str">
        <f>T("내 눈에만 아공간이 보여")</f>
        <v>내 눈에만 아공간이 보여</v>
      </c>
      <c r="L1679">
        <v>100</v>
      </c>
      <c r="M1679">
        <v>100</v>
      </c>
      <c r="N1679">
        <v>1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100</v>
      </c>
      <c r="AJ1679">
        <v>1</v>
      </c>
      <c r="AK1679">
        <v>0</v>
      </c>
      <c r="AL1679">
        <v>0</v>
      </c>
      <c r="AM1679">
        <v>100</v>
      </c>
      <c r="AN1679">
        <v>0</v>
      </c>
      <c r="AO1679">
        <v>0</v>
      </c>
      <c r="AP1679">
        <v>0</v>
      </c>
      <c r="AQ1679">
        <v>0</v>
      </c>
      <c r="AS1679">
        <v>0</v>
      </c>
      <c r="AT1679">
        <v>0</v>
      </c>
      <c r="AV1679">
        <v>0</v>
      </c>
      <c r="AW1679">
        <v>0</v>
      </c>
      <c r="AY1679">
        <v>0</v>
      </c>
      <c r="AZ1679">
        <v>0</v>
      </c>
      <c r="BA1679">
        <v>70</v>
      </c>
      <c r="BE1679" t="str">
        <f>T("9791137013551")</f>
        <v>9791137013551</v>
      </c>
      <c r="BF1679" t="str">
        <f>T("k022879")</f>
        <v>k022879</v>
      </c>
      <c r="BG1679" t="str">
        <f>T("판타지 웹소설 &gt; 퓨전 판타지")</f>
        <v>판타지 웹소설 &gt; 퓨전 판타지</v>
      </c>
    </row>
    <row r="1680" spans="1:59">
      <c r="A1680" t="s">
        <v>60</v>
      </c>
      <c r="B1680" s="1">
        <v>46130</v>
      </c>
      <c r="C1680">
        <v>2378044483</v>
      </c>
      <c r="D1680">
        <v>2378047979</v>
      </c>
      <c r="E1680" t="str">
        <f>T("내 눈에만 아공간이 보여 187화")</f>
        <v>내 눈에만 아공간이 보여 187화</v>
      </c>
      <c r="F1680">
        <v>188</v>
      </c>
      <c r="G1680" t="str">
        <f>T("지누아빠")</f>
        <v>지누아빠</v>
      </c>
      <c r="J1680" t="str">
        <f>T("매드햇")</f>
        <v>매드햇</v>
      </c>
      <c r="K1680" t="str">
        <f>T("내 눈에만 아공간이 보여")</f>
        <v>내 눈에만 아공간이 보여</v>
      </c>
      <c r="L1680">
        <v>100</v>
      </c>
      <c r="M1680">
        <v>100</v>
      </c>
      <c r="N1680">
        <v>1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100</v>
      </c>
      <c r="AJ1680">
        <v>1</v>
      </c>
      <c r="AK1680">
        <v>0</v>
      </c>
      <c r="AL1680">
        <v>0</v>
      </c>
      <c r="AM1680">
        <v>100</v>
      </c>
      <c r="AN1680">
        <v>0</v>
      </c>
      <c r="AO1680">
        <v>0</v>
      </c>
      <c r="AP1680">
        <v>0</v>
      </c>
      <c r="AQ1680">
        <v>0</v>
      </c>
      <c r="AS1680">
        <v>0</v>
      </c>
      <c r="AT1680">
        <v>0</v>
      </c>
      <c r="AV1680">
        <v>0</v>
      </c>
      <c r="AW1680">
        <v>0</v>
      </c>
      <c r="AY1680">
        <v>0</v>
      </c>
      <c r="AZ1680">
        <v>0</v>
      </c>
      <c r="BA1680">
        <v>70</v>
      </c>
      <c r="BE1680" t="str">
        <f>T("9791137013551")</f>
        <v>9791137013551</v>
      </c>
      <c r="BF1680" t="str">
        <f>T("k022880")</f>
        <v>k022880</v>
      </c>
      <c r="BG1680" t="str">
        <f>T("판타지 웹소설 &gt; 퓨전 판타지")</f>
        <v>판타지 웹소설 &gt; 퓨전 판타지</v>
      </c>
    </row>
    <row r="1681" spans="1:59">
      <c r="A1681" t="s">
        <v>60</v>
      </c>
      <c r="B1681" s="1">
        <v>46130</v>
      </c>
      <c r="C1681">
        <v>2378044483</v>
      </c>
      <c r="D1681">
        <v>2378048147</v>
      </c>
      <c r="E1681" t="str">
        <f>T("내 눈에만 아공간이 보여 188화")</f>
        <v>내 눈에만 아공간이 보여 188화</v>
      </c>
      <c r="F1681">
        <v>189</v>
      </c>
      <c r="G1681" t="str">
        <f>T("지누아빠")</f>
        <v>지누아빠</v>
      </c>
      <c r="J1681" t="str">
        <f>T("매드햇")</f>
        <v>매드햇</v>
      </c>
      <c r="K1681" t="str">
        <f>T("내 눈에만 아공간이 보여")</f>
        <v>내 눈에만 아공간이 보여</v>
      </c>
      <c r="L1681">
        <v>100</v>
      </c>
      <c r="M1681">
        <v>100</v>
      </c>
      <c r="N1681">
        <v>1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100</v>
      </c>
      <c r="AJ1681">
        <v>1</v>
      </c>
      <c r="AK1681">
        <v>0</v>
      </c>
      <c r="AL1681">
        <v>0</v>
      </c>
      <c r="AM1681">
        <v>100</v>
      </c>
      <c r="AN1681">
        <v>0</v>
      </c>
      <c r="AO1681">
        <v>0</v>
      </c>
      <c r="AP1681">
        <v>0</v>
      </c>
      <c r="AQ1681">
        <v>0</v>
      </c>
      <c r="AS1681">
        <v>0</v>
      </c>
      <c r="AT1681">
        <v>0</v>
      </c>
      <c r="AV1681">
        <v>0</v>
      </c>
      <c r="AW1681">
        <v>0</v>
      </c>
      <c r="AY1681">
        <v>0</v>
      </c>
      <c r="AZ1681">
        <v>0</v>
      </c>
      <c r="BA1681">
        <v>70</v>
      </c>
      <c r="BE1681" t="str">
        <f>T("9791137013551")</f>
        <v>9791137013551</v>
      </c>
      <c r="BF1681" t="str">
        <f>T("k022881")</f>
        <v>k022881</v>
      </c>
      <c r="BG1681" t="str">
        <f>T("판타지 웹소설 &gt; 퓨전 판타지")</f>
        <v>판타지 웹소설 &gt; 퓨전 판타지</v>
      </c>
    </row>
    <row r="1682" spans="1:59">
      <c r="A1682" t="s">
        <v>60</v>
      </c>
      <c r="B1682" s="1">
        <v>46130</v>
      </c>
      <c r="C1682">
        <v>2378044483</v>
      </c>
      <c r="D1682">
        <v>2378049669</v>
      </c>
      <c r="E1682" t="str">
        <f>T("내 눈에만 아공간이 보여 189화")</f>
        <v>내 눈에만 아공간이 보여 189화</v>
      </c>
      <c r="F1682">
        <v>190</v>
      </c>
      <c r="G1682" t="str">
        <f>T("지누아빠")</f>
        <v>지누아빠</v>
      </c>
      <c r="J1682" t="str">
        <f>T("매드햇")</f>
        <v>매드햇</v>
      </c>
      <c r="K1682" t="str">
        <f>T("내 눈에만 아공간이 보여")</f>
        <v>내 눈에만 아공간이 보여</v>
      </c>
      <c r="L1682">
        <v>100</v>
      </c>
      <c r="M1682">
        <v>100</v>
      </c>
      <c r="N1682">
        <v>1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100</v>
      </c>
      <c r="AJ1682">
        <v>1</v>
      </c>
      <c r="AK1682">
        <v>0</v>
      </c>
      <c r="AL1682">
        <v>0</v>
      </c>
      <c r="AM1682">
        <v>100</v>
      </c>
      <c r="AN1682">
        <v>0</v>
      </c>
      <c r="AO1682">
        <v>0</v>
      </c>
      <c r="AP1682">
        <v>0</v>
      </c>
      <c r="AQ1682">
        <v>0</v>
      </c>
      <c r="AS1682">
        <v>0</v>
      </c>
      <c r="AT1682">
        <v>0</v>
      </c>
      <c r="AV1682">
        <v>0</v>
      </c>
      <c r="AW1682">
        <v>0</v>
      </c>
      <c r="AY1682">
        <v>0</v>
      </c>
      <c r="AZ1682">
        <v>0</v>
      </c>
      <c r="BA1682">
        <v>70</v>
      </c>
      <c r="BE1682" t="str">
        <f>T("9791137013551")</f>
        <v>9791137013551</v>
      </c>
      <c r="BF1682" t="str">
        <f>T("k025306")</f>
        <v>k025306</v>
      </c>
      <c r="BG1682" t="str">
        <f>T("판타지 웹소설 &gt; 퓨전 판타지")</f>
        <v>판타지 웹소설 &gt; 퓨전 판타지</v>
      </c>
    </row>
    <row r="1683" spans="1:59">
      <c r="A1683" t="s">
        <v>60</v>
      </c>
      <c r="B1683" s="1">
        <v>46130</v>
      </c>
      <c r="C1683">
        <v>2378044483</v>
      </c>
      <c r="D1683">
        <v>2378049689</v>
      </c>
      <c r="E1683" t="str">
        <f>T("내 눈에만 아공간이 보여 190화")</f>
        <v>내 눈에만 아공간이 보여 190화</v>
      </c>
      <c r="F1683">
        <v>191</v>
      </c>
      <c r="G1683" t="str">
        <f>T("지누아빠")</f>
        <v>지누아빠</v>
      </c>
      <c r="J1683" t="str">
        <f>T("매드햇")</f>
        <v>매드햇</v>
      </c>
      <c r="K1683" t="str">
        <f>T("내 눈에만 아공간이 보여")</f>
        <v>내 눈에만 아공간이 보여</v>
      </c>
      <c r="L1683">
        <v>100</v>
      </c>
      <c r="M1683">
        <v>100</v>
      </c>
      <c r="N1683">
        <v>1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100</v>
      </c>
      <c r="AJ1683">
        <v>1</v>
      </c>
      <c r="AK1683">
        <v>0</v>
      </c>
      <c r="AL1683">
        <v>0</v>
      </c>
      <c r="AM1683">
        <v>100</v>
      </c>
      <c r="AN1683">
        <v>0</v>
      </c>
      <c r="AO1683">
        <v>0</v>
      </c>
      <c r="AP1683">
        <v>0</v>
      </c>
      <c r="AQ1683">
        <v>0</v>
      </c>
      <c r="AS1683">
        <v>0</v>
      </c>
      <c r="AT1683">
        <v>0</v>
      </c>
      <c r="AV1683">
        <v>0</v>
      </c>
      <c r="AW1683">
        <v>0</v>
      </c>
      <c r="AY1683">
        <v>0</v>
      </c>
      <c r="AZ1683">
        <v>0</v>
      </c>
      <c r="BA1683">
        <v>70</v>
      </c>
      <c r="BE1683" t="str">
        <f>T("9791137013551")</f>
        <v>9791137013551</v>
      </c>
      <c r="BF1683" t="str">
        <f>T("k025307")</f>
        <v>k025307</v>
      </c>
      <c r="BG1683" t="str">
        <f>T("판타지 웹소설 &gt; 퓨전 판타지")</f>
        <v>판타지 웹소설 &gt; 퓨전 판타지</v>
      </c>
    </row>
    <row r="1684" spans="1:59">
      <c r="A1684" t="s">
        <v>60</v>
      </c>
      <c r="B1684" s="1">
        <v>46130</v>
      </c>
      <c r="C1684">
        <v>2378044483</v>
      </c>
      <c r="D1684">
        <v>2378049709</v>
      </c>
      <c r="E1684" t="str">
        <f>T("내 눈에만 아공간이 보여 191화")</f>
        <v>내 눈에만 아공간이 보여 191화</v>
      </c>
      <c r="F1684">
        <v>192</v>
      </c>
      <c r="G1684" t="str">
        <f>T("지누아빠")</f>
        <v>지누아빠</v>
      </c>
      <c r="J1684" t="str">
        <f>T("매드햇")</f>
        <v>매드햇</v>
      </c>
      <c r="K1684" t="str">
        <f>T("내 눈에만 아공간이 보여")</f>
        <v>내 눈에만 아공간이 보여</v>
      </c>
      <c r="L1684">
        <v>100</v>
      </c>
      <c r="M1684">
        <v>100</v>
      </c>
      <c r="N1684">
        <v>1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100</v>
      </c>
      <c r="AJ1684">
        <v>1</v>
      </c>
      <c r="AK1684">
        <v>0</v>
      </c>
      <c r="AL1684">
        <v>0</v>
      </c>
      <c r="AM1684">
        <v>100</v>
      </c>
      <c r="AN1684">
        <v>0</v>
      </c>
      <c r="AO1684">
        <v>0</v>
      </c>
      <c r="AP1684">
        <v>0</v>
      </c>
      <c r="AQ1684">
        <v>0</v>
      </c>
      <c r="AS1684">
        <v>0</v>
      </c>
      <c r="AT1684">
        <v>0</v>
      </c>
      <c r="AV1684">
        <v>0</v>
      </c>
      <c r="AW1684">
        <v>0</v>
      </c>
      <c r="AY1684">
        <v>0</v>
      </c>
      <c r="AZ1684">
        <v>0</v>
      </c>
      <c r="BA1684">
        <v>70</v>
      </c>
      <c r="BE1684" t="str">
        <f>T("9791137013551")</f>
        <v>9791137013551</v>
      </c>
      <c r="BF1684" t="str">
        <f>T("k025308")</f>
        <v>k025308</v>
      </c>
      <c r="BG1684" t="str">
        <f>T("판타지 웹소설 &gt; 퓨전 판타지")</f>
        <v>판타지 웹소설 &gt; 퓨전 판타지</v>
      </c>
    </row>
    <row r="1685" spans="1:59">
      <c r="A1685" t="s">
        <v>60</v>
      </c>
      <c r="B1685" s="1">
        <v>46130</v>
      </c>
      <c r="C1685">
        <v>2378044483</v>
      </c>
      <c r="D1685">
        <v>2378049719</v>
      </c>
      <c r="E1685" t="str">
        <f>T("내 눈에만 아공간이 보여 192화")</f>
        <v>내 눈에만 아공간이 보여 192화</v>
      </c>
      <c r="F1685">
        <v>193</v>
      </c>
      <c r="G1685" t="str">
        <f>T("지누아빠")</f>
        <v>지누아빠</v>
      </c>
      <c r="J1685" t="str">
        <f>T("매드햇")</f>
        <v>매드햇</v>
      </c>
      <c r="K1685" t="str">
        <f>T("내 눈에만 아공간이 보여")</f>
        <v>내 눈에만 아공간이 보여</v>
      </c>
      <c r="L1685">
        <v>100</v>
      </c>
      <c r="M1685">
        <v>100</v>
      </c>
      <c r="N1685">
        <v>1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100</v>
      </c>
      <c r="AJ1685">
        <v>1</v>
      </c>
      <c r="AK1685">
        <v>0</v>
      </c>
      <c r="AL1685">
        <v>0</v>
      </c>
      <c r="AM1685">
        <v>100</v>
      </c>
      <c r="AN1685">
        <v>0</v>
      </c>
      <c r="AO1685">
        <v>0</v>
      </c>
      <c r="AP1685">
        <v>0</v>
      </c>
      <c r="AQ1685">
        <v>0</v>
      </c>
      <c r="AS1685">
        <v>0</v>
      </c>
      <c r="AT1685">
        <v>0</v>
      </c>
      <c r="AV1685">
        <v>0</v>
      </c>
      <c r="AW1685">
        <v>0</v>
      </c>
      <c r="AY1685">
        <v>0</v>
      </c>
      <c r="AZ1685">
        <v>0</v>
      </c>
      <c r="BA1685">
        <v>70</v>
      </c>
      <c r="BE1685" t="str">
        <f>T("9791137013551")</f>
        <v>9791137013551</v>
      </c>
      <c r="BF1685" t="str">
        <f>T("k025309")</f>
        <v>k025309</v>
      </c>
      <c r="BG1685" t="str">
        <f>T("판타지 웹소설 &gt; 퓨전 판타지")</f>
        <v>판타지 웹소설 &gt; 퓨전 판타지</v>
      </c>
    </row>
    <row r="1686" spans="1:59">
      <c r="A1686" t="s">
        <v>60</v>
      </c>
      <c r="B1686" s="1">
        <v>46130</v>
      </c>
      <c r="C1686">
        <v>2378044483</v>
      </c>
      <c r="D1686">
        <v>2378049738</v>
      </c>
      <c r="E1686" t="str">
        <f>T("내 눈에만 아공간이 보여 193화")</f>
        <v>내 눈에만 아공간이 보여 193화</v>
      </c>
      <c r="F1686">
        <v>194</v>
      </c>
      <c r="G1686" t="str">
        <f>T("지누아빠")</f>
        <v>지누아빠</v>
      </c>
      <c r="J1686" t="str">
        <f>T("매드햇")</f>
        <v>매드햇</v>
      </c>
      <c r="K1686" t="str">
        <f>T("내 눈에만 아공간이 보여")</f>
        <v>내 눈에만 아공간이 보여</v>
      </c>
      <c r="L1686">
        <v>100</v>
      </c>
      <c r="M1686">
        <v>100</v>
      </c>
      <c r="N1686">
        <v>1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100</v>
      </c>
      <c r="AJ1686">
        <v>1</v>
      </c>
      <c r="AK1686">
        <v>0</v>
      </c>
      <c r="AL1686">
        <v>0</v>
      </c>
      <c r="AM1686">
        <v>100</v>
      </c>
      <c r="AN1686">
        <v>0</v>
      </c>
      <c r="AO1686">
        <v>0</v>
      </c>
      <c r="AP1686">
        <v>0</v>
      </c>
      <c r="AQ1686">
        <v>0</v>
      </c>
      <c r="AS1686">
        <v>0</v>
      </c>
      <c r="AT1686">
        <v>0</v>
      </c>
      <c r="AV1686">
        <v>0</v>
      </c>
      <c r="AW1686">
        <v>0</v>
      </c>
      <c r="AY1686">
        <v>0</v>
      </c>
      <c r="AZ1686">
        <v>0</v>
      </c>
      <c r="BA1686">
        <v>70</v>
      </c>
      <c r="BE1686" t="str">
        <f>T("9791137013551")</f>
        <v>9791137013551</v>
      </c>
      <c r="BF1686" t="str">
        <f>T("k025310")</f>
        <v>k025310</v>
      </c>
      <c r="BG1686" t="str">
        <f>T("판타지 웹소설 &gt; 퓨전 판타지")</f>
        <v>판타지 웹소설 &gt; 퓨전 판타지</v>
      </c>
    </row>
    <row r="1687" spans="1:59">
      <c r="A1687" t="s">
        <v>60</v>
      </c>
      <c r="B1687" s="1">
        <v>46130</v>
      </c>
      <c r="C1687">
        <v>2378044483</v>
      </c>
      <c r="D1687">
        <v>2378049762</v>
      </c>
      <c r="E1687" t="str">
        <f>T("내 눈에만 아공간이 보여 194화")</f>
        <v>내 눈에만 아공간이 보여 194화</v>
      </c>
      <c r="F1687">
        <v>195</v>
      </c>
      <c r="G1687" t="str">
        <f>T("지누아빠")</f>
        <v>지누아빠</v>
      </c>
      <c r="J1687" t="str">
        <f>T("매드햇")</f>
        <v>매드햇</v>
      </c>
      <c r="K1687" t="str">
        <f>T("내 눈에만 아공간이 보여")</f>
        <v>내 눈에만 아공간이 보여</v>
      </c>
      <c r="L1687">
        <v>100</v>
      </c>
      <c r="M1687">
        <v>100</v>
      </c>
      <c r="N1687">
        <v>1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100</v>
      </c>
      <c r="AJ1687">
        <v>1</v>
      </c>
      <c r="AK1687">
        <v>0</v>
      </c>
      <c r="AL1687">
        <v>0</v>
      </c>
      <c r="AM1687">
        <v>100</v>
      </c>
      <c r="AN1687">
        <v>0</v>
      </c>
      <c r="AO1687">
        <v>0</v>
      </c>
      <c r="AP1687">
        <v>0</v>
      </c>
      <c r="AQ1687">
        <v>0</v>
      </c>
      <c r="AS1687">
        <v>0</v>
      </c>
      <c r="AT1687">
        <v>0</v>
      </c>
      <c r="AV1687">
        <v>0</v>
      </c>
      <c r="AW1687">
        <v>0</v>
      </c>
      <c r="AY1687">
        <v>0</v>
      </c>
      <c r="AZ1687">
        <v>0</v>
      </c>
      <c r="BA1687">
        <v>70</v>
      </c>
      <c r="BE1687" t="str">
        <f>T("9791137013551")</f>
        <v>9791137013551</v>
      </c>
      <c r="BF1687" t="str">
        <f>T("k032738")</f>
        <v>k032738</v>
      </c>
      <c r="BG1687" t="str">
        <f>T("판타지 웹소설 &gt; 퓨전 판타지")</f>
        <v>판타지 웹소설 &gt; 퓨전 판타지</v>
      </c>
    </row>
    <row r="1688" spans="1:59">
      <c r="A1688" t="s">
        <v>60</v>
      </c>
      <c r="B1688" s="1">
        <v>46130</v>
      </c>
      <c r="C1688">
        <v>2378044483</v>
      </c>
      <c r="D1688">
        <v>2378049788</v>
      </c>
      <c r="E1688" t="str">
        <f>T("내 눈에만 아공간이 보여 195화")</f>
        <v>내 눈에만 아공간이 보여 195화</v>
      </c>
      <c r="F1688">
        <v>196</v>
      </c>
      <c r="G1688" t="str">
        <f>T("지누아빠")</f>
        <v>지누아빠</v>
      </c>
      <c r="J1688" t="str">
        <f>T("매드햇")</f>
        <v>매드햇</v>
      </c>
      <c r="K1688" t="str">
        <f>T("내 눈에만 아공간이 보여")</f>
        <v>내 눈에만 아공간이 보여</v>
      </c>
      <c r="L1688">
        <v>100</v>
      </c>
      <c r="M1688">
        <v>100</v>
      </c>
      <c r="N1688">
        <v>1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100</v>
      </c>
      <c r="AJ1688">
        <v>1</v>
      </c>
      <c r="AK1688">
        <v>0</v>
      </c>
      <c r="AL1688">
        <v>0</v>
      </c>
      <c r="AM1688">
        <v>100</v>
      </c>
      <c r="AN1688">
        <v>0</v>
      </c>
      <c r="AO1688">
        <v>0</v>
      </c>
      <c r="AP1688">
        <v>0</v>
      </c>
      <c r="AQ1688">
        <v>0</v>
      </c>
      <c r="AS1688">
        <v>0</v>
      </c>
      <c r="AT1688">
        <v>0</v>
      </c>
      <c r="AV1688">
        <v>0</v>
      </c>
      <c r="AW1688">
        <v>0</v>
      </c>
      <c r="AY1688">
        <v>0</v>
      </c>
      <c r="AZ1688">
        <v>0</v>
      </c>
      <c r="BA1688">
        <v>70</v>
      </c>
      <c r="BE1688" t="str">
        <f>T("9791137013551")</f>
        <v>9791137013551</v>
      </c>
      <c r="BF1688" t="str">
        <f>T("k032739")</f>
        <v>k032739</v>
      </c>
      <c r="BG1688" t="str">
        <f>T("판타지 웹소설 &gt; 퓨전 판타지")</f>
        <v>판타지 웹소설 &gt; 퓨전 판타지</v>
      </c>
    </row>
    <row r="1689" spans="1:59">
      <c r="A1689" t="s">
        <v>60</v>
      </c>
      <c r="B1689" s="1">
        <v>46130</v>
      </c>
      <c r="C1689">
        <v>2378044483</v>
      </c>
      <c r="D1689">
        <v>2378049814</v>
      </c>
      <c r="E1689" t="str">
        <f>T("내 눈에만 아공간이 보여 196화")</f>
        <v>내 눈에만 아공간이 보여 196화</v>
      </c>
      <c r="F1689">
        <v>197</v>
      </c>
      <c r="G1689" t="str">
        <f>T("지누아빠")</f>
        <v>지누아빠</v>
      </c>
      <c r="J1689" t="str">
        <f>T("매드햇")</f>
        <v>매드햇</v>
      </c>
      <c r="K1689" t="str">
        <f>T("내 눈에만 아공간이 보여")</f>
        <v>내 눈에만 아공간이 보여</v>
      </c>
      <c r="L1689">
        <v>100</v>
      </c>
      <c r="M1689">
        <v>100</v>
      </c>
      <c r="N1689">
        <v>1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100</v>
      </c>
      <c r="AJ1689">
        <v>1</v>
      </c>
      <c r="AK1689">
        <v>0</v>
      </c>
      <c r="AL1689">
        <v>0</v>
      </c>
      <c r="AM1689">
        <v>100</v>
      </c>
      <c r="AN1689">
        <v>0</v>
      </c>
      <c r="AO1689">
        <v>0</v>
      </c>
      <c r="AP1689">
        <v>0</v>
      </c>
      <c r="AQ1689">
        <v>0</v>
      </c>
      <c r="AS1689">
        <v>0</v>
      </c>
      <c r="AT1689">
        <v>0</v>
      </c>
      <c r="AV1689">
        <v>0</v>
      </c>
      <c r="AW1689">
        <v>0</v>
      </c>
      <c r="AY1689">
        <v>0</v>
      </c>
      <c r="AZ1689">
        <v>0</v>
      </c>
      <c r="BA1689">
        <v>70</v>
      </c>
      <c r="BE1689" t="str">
        <f>T("9791137013551")</f>
        <v>9791137013551</v>
      </c>
      <c r="BF1689" t="str">
        <f>T("k032740")</f>
        <v>k032740</v>
      </c>
      <c r="BG1689" t="str">
        <f>T("판타지 웹소설 &gt; 퓨전 판타지")</f>
        <v>판타지 웹소설 &gt; 퓨전 판타지</v>
      </c>
    </row>
    <row r="1690" spans="1:59">
      <c r="A1690" t="s">
        <v>60</v>
      </c>
      <c r="B1690" s="1">
        <v>46130</v>
      </c>
      <c r="C1690">
        <v>2378044483</v>
      </c>
      <c r="D1690">
        <v>2378049819</v>
      </c>
      <c r="E1690" t="str">
        <f>T("내 눈에만 아공간이 보여 197화")</f>
        <v>내 눈에만 아공간이 보여 197화</v>
      </c>
      <c r="F1690">
        <v>198</v>
      </c>
      <c r="G1690" t="str">
        <f>T("지누아빠")</f>
        <v>지누아빠</v>
      </c>
      <c r="J1690" t="str">
        <f>T("매드햇")</f>
        <v>매드햇</v>
      </c>
      <c r="K1690" t="str">
        <f>T("내 눈에만 아공간이 보여")</f>
        <v>내 눈에만 아공간이 보여</v>
      </c>
      <c r="L1690">
        <v>100</v>
      </c>
      <c r="M1690">
        <v>100</v>
      </c>
      <c r="N1690">
        <v>1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100</v>
      </c>
      <c r="AJ1690">
        <v>1</v>
      </c>
      <c r="AK1690">
        <v>0</v>
      </c>
      <c r="AL1690">
        <v>0</v>
      </c>
      <c r="AM1690">
        <v>100</v>
      </c>
      <c r="AN1690">
        <v>0</v>
      </c>
      <c r="AO1690">
        <v>0</v>
      </c>
      <c r="AP1690">
        <v>0</v>
      </c>
      <c r="AQ1690">
        <v>0</v>
      </c>
      <c r="AS1690">
        <v>0</v>
      </c>
      <c r="AT1690">
        <v>0</v>
      </c>
      <c r="AV1690">
        <v>0</v>
      </c>
      <c r="AW1690">
        <v>0</v>
      </c>
      <c r="AY1690">
        <v>0</v>
      </c>
      <c r="AZ1690">
        <v>0</v>
      </c>
      <c r="BA1690">
        <v>70</v>
      </c>
      <c r="BE1690" t="str">
        <f>T("9791137013551")</f>
        <v>9791137013551</v>
      </c>
      <c r="BF1690" t="str">
        <f>T("k032741")</f>
        <v>k032741</v>
      </c>
      <c r="BG1690" t="str">
        <f>T("판타지 웹소설 &gt; 퓨전 판타지")</f>
        <v>판타지 웹소설 &gt; 퓨전 판타지</v>
      </c>
    </row>
    <row r="1691" spans="1:59">
      <c r="A1691" t="s">
        <v>60</v>
      </c>
      <c r="B1691" s="1">
        <v>46130</v>
      </c>
      <c r="C1691">
        <v>2378044483</v>
      </c>
      <c r="D1691">
        <v>2378049837</v>
      </c>
      <c r="E1691" t="str">
        <f>T("내 눈에만 아공간이 보여 198화")</f>
        <v>내 눈에만 아공간이 보여 198화</v>
      </c>
      <c r="F1691">
        <v>199</v>
      </c>
      <c r="G1691" t="str">
        <f>T("지누아빠")</f>
        <v>지누아빠</v>
      </c>
      <c r="J1691" t="str">
        <f>T("매드햇")</f>
        <v>매드햇</v>
      </c>
      <c r="K1691" t="str">
        <f>T("내 눈에만 아공간이 보여")</f>
        <v>내 눈에만 아공간이 보여</v>
      </c>
      <c r="L1691">
        <v>100</v>
      </c>
      <c r="M1691">
        <v>100</v>
      </c>
      <c r="N1691">
        <v>1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100</v>
      </c>
      <c r="AJ1691">
        <v>1</v>
      </c>
      <c r="AK1691">
        <v>0</v>
      </c>
      <c r="AL1691">
        <v>0</v>
      </c>
      <c r="AM1691">
        <v>100</v>
      </c>
      <c r="AN1691">
        <v>0</v>
      </c>
      <c r="AO1691">
        <v>0</v>
      </c>
      <c r="AP1691">
        <v>0</v>
      </c>
      <c r="AQ1691">
        <v>0</v>
      </c>
      <c r="AS1691">
        <v>0</v>
      </c>
      <c r="AT1691">
        <v>0</v>
      </c>
      <c r="AV1691">
        <v>0</v>
      </c>
      <c r="AW1691">
        <v>0</v>
      </c>
      <c r="AY1691">
        <v>0</v>
      </c>
      <c r="AZ1691">
        <v>0</v>
      </c>
      <c r="BA1691">
        <v>70</v>
      </c>
      <c r="BE1691" t="str">
        <f>T("9791137013551")</f>
        <v>9791137013551</v>
      </c>
      <c r="BF1691" t="str">
        <f>T("k032742")</f>
        <v>k032742</v>
      </c>
      <c r="BG1691" t="str">
        <f>T("판타지 웹소설 &gt; 퓨전 판타지")</f>
        <v>판타지 웹소설 &gt; 퓨전 판타지</v>
      </c>
    </row>
    <row r="1692" spans="1:59">
      <c r="A1692" t="s">
        <v>60</v>
      </c>
      <c r="B1692" s="1">
        <v>46130</v>
      </c>
      <c r="C1692">
        <v>2378044483</v>
      </c>
      <c r="D1692">
        <v>2378049845</v>
      </c>
      <c r="E1692" t="str">
        <f>T("내 눈에만 아공간이 보여 199화")</f>
        <v>내 눈에만 아공간이 보여 199화</v>
      </c>
      <c r="F1692">
        <v>200</v>
      </c>
      <c r="G1692" t="str">
        <f>T("지누아빠")</f>
        <v>지누아빠</v>
      </c>
      <c r="J1692" t="str">
        <f>T("매드햇")</f>
        <v>매드햇</v>
      </c>
      <c r="K1692" t="str">
        <f>T("내 눈에만 아공간이 보여")</f>
        <v>내 눈에만 아공간이 보여</v>
      </c>
      <c r="L1692">
        <v>100</v>
      </c>
      <c r="M1692">
        <v>100</v>
      </c>
      <c r="N1692">
        <v>1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100</v>
      </c>
      <c r="AJ1692">
        <v>1</v>
      </c>
      <c r="AK1692">
        <v>0</v>
      </c>
      <c r="AL1692">
        <v>0</v>
      </c>
      <c r="AM1692">
        <v>100</v>
      </c>
      <c r="AN1692">
        <v>0</v>
      </c>
      <c r="AO1692">
        <v>0</v>
      </c>
      <c r="AP1692">
        <v>0</v>
      </c>
      <c r="AQ1692">
        <v>0</v>
      </c>
      <c r="AS1692">
        <v>0</v>
      </c>
      <c r="AT1692">
        <v>0</v>
      </c>
      <c r="AV1692">
        <v>0</v>
      </c>
      <c r="AW1692">
        <v>0</v>
      </c>
      <c r="AY1692">
        <v>0</v>
      </c>
      <c r="AZ1692">
        <v>0</v>
      </c>
      <c r="BA1692">
        <v>70</v>
      </c>
      <c r="BE1692" t="str">
        <f>T("9791137013551")</f>
        <v>9791137013551</v>
      </c>
      <c r="BF1692" t="str">
        <f>T("k035207")</f>
        <v>k035207</v>
      </c>
      <c r="BG1692" t="str">
        <f>T("판타지 웹소설 &gt; 퓨전 판타지")</f>
        <v>판타지 웹소설 &gt; 퓨전 판타지</v>
      </c>
    </row>
    <row r="1693" spans="1:59">
      <c r="A1693" t="s">
        <v>60</v>
      </c>
      <c r="B1693" s="1">
        <v>46130</v>
      </c>
      <c r="C1693">
        <v>2378044483</v>
      </c>
      <c r="D1693">
        <v>2378050093</v>
      </c>
      <c r="E1693" t="str">
        <f>T("내 눈에만 아공간이 보여 200화")</f>
        <v>내 눈에만 아공간이 보여 200화</v>
      </c>
      <c r="F1693">
        <v>201</v>
      </c>
      <c r="G1693" t="str">
        <f>T("지누아빠")</f>
        <v>지누아빠</v>
      </c>
      <c r="J1693" t="str">
        <f>T("매드햇")</f>
        <v>매드햇</v>
      </c>
      <c r="K1693" t="str">
        <f>T("내 눈에만 아공간이 보여")</f>
        <v>내 눈에만 아공간이 보여</v>
      </c>
      <c r="L1693">
        <v>100</v>
      </c>
      <c r="M1693">
        <v>100</v>
      </c>
      <c r="N1693">
        <v>1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100</v>
      </c>
      <c r="AJ1693">
        <v>1</v>
      </c>
      <c r="AK1693">
        <v>0</v>
      </c>
      <c r="AL1693">
        <v>0</v>
      </c>
      <c r="AM1693">
        <v>100</v>
      </c>
      <c r="AN1693">
        <v>0</v>
      </c>
      <c r="AO1693">
        <v>0</v>
      </c>
      <c r="AP1693">
        <v>0</v>
      </c>
      <c r="AQ1693">
        <v>0</v>
      </c>
      <c r="AS1693">
        <v>0</v>
      </c>
      <c r="AT1693">
        <v>0</v>
      </c>
      <c r="AV1693">
        <v>0</v>
      </c>
      <c r="AW1693">
        <v>0</v>
      </c>
      <c r="AY1693">
        <v>0</v>
      </c>
      <c r="AZ1693">
        <v>0</v>
      </c>
      <c r="BA1693">
        <v>70</v>
      </c>
      <c r="BE1693" t="str">
        <f>T("9791137013551")</f>
        <v>9791137013551</v>
      </c>
      <c r="BF1693" t="str">
        <f>T("k035208")</f>
        <v>k035208</v>
      </c>
      <c r="BG1693" t="str">
        <f>T("판타지 웹소설 &gt; 퓨전 판타지")</f>
        <v>판타지 웹소설 &gt; 퓨전 판타지</v>
      </c>
    </row>
    <row r="1694" spans="1:59">
      <c r="A1694" t="s">
        <v>60</v>
      </c>
      <c r="B1694" s="1">
        <v>46130</v>
      </c>
      <c r="C1694">
        <v>2378044483</v>
      </c>
      <c r="D1694">
        <v>2378050101</v>
      </c>
      <c r="E1694" t="str">
        <f>T("내 눈에만 아공간이 보여 201화")</f>
        <v>내 눈에만 아공간이 보여 201화</v>
      </c>
      <c r="F1694">
        <v>202</v>
      </c>
      <c r="G1694" t="str">
        <f>T("지누아빠")</f>
        <v>지누아빠</v>
      </c>
      <c r="J1694" t="str">
        <f>T("매드햇")</f>
        <v>매드햇</v>
      </c>
      <c r="K1694" t="str">
        <f>T("내 눈에만 아공간이 보여")</f>
        <v>내 눈에만 아공간이 보여</v>
      </c>
      <c r="L1694">
        <v>100</v>
      </c>
      <c r="M1694">
        <v>100</v>
      </c>
      <c r="N1694">
        <v>1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100</v>
      </c>
      <c r="AJ1694">
        <v>1</v>
      </c>
      <c r="AK1694">
        <v>0</v>
      </c>
      <c r="AL1694">
        <v>0</v>
      </c>
      <c r="AM1694">
        <v>100</v>
      </c>
      <c r="AN1694">
        <v>0</v>
      </c>
      <c r="AO1694">
        <v>0</v>
      </c>
      <c r="AP1694">
        <v>0</v>
      </c>
      <c r="AQ1694">
        <v>0</v>
      </c>
      <c r="AS1694">
        <v>0</v>
      </c>
      <c r="AT1694">
        <v>0</v>
      </c>
      <c r="AV1694">
        <v>0</v>
      </c>
      <c r="AW1694">
        <v>0</v>
      </c>
      <c r="AY1694">
        <v>0</v>
      </c>
      <c r="AZ1694">
        <v>0</v>
      </c>
      <c r="BA1694">
        <v>70</v>
      </c>
      <c r="BE1694" t="str">
        <f>T("9791137013551")</f>
        <v>9791137013551</v>
      </c>
      <c r="BF1694" t="str">
        <f>T("k035209")</f>
        <v>k035209</v>
      </c>
      <c r="BG1694" t="str">
        <f>T("판타지 웹소설 &gt; 퓨전 판타지")</f>
        <v>판타지 웹소설 &gt; 퓨전 판타지</v>
      </c>
    </row>
    <row r="1695" spans="1:59">
      <c r="A1695" t="s">
        <v>60</v>
      </c>
      <c r="B1695" s="1">
        <v>46130</v>
      </c>
      <c r="C1695">
        <v>2378044483</v>
      </c>
      <c r="D1695">
        <v>2378050120</v>
      </c>
      <c r="E1695" t="str">
        <f>T("내 눈에만 아공간이 보여 202화 (완결)")</f>
        <v>내 눈에만 아공간이 보여 202화 (완결)</v>
      </c>
      <c r="F1695">
        <v>203</v>
      </c>
      <c r="G1695" t="str">
        <f>T("지누아빠")</f>
        <v>지누아빠</v>
      </c>
      <c r="J1695" t="str">
        <f>T("매드햇")</f>
        <v>매드햇</v>
      </c>
      <c r="K1695" t="str">
        <f>T("내 눈에만 아공간이 보여")</f>
        <v>내 눈에만 아공간이 보여</v>
      </c>
      <c r="L1695">
        <v>100</v>
      </c>
      <c r="M1695">
        <v>100</v>
      </c>
      <c r="N1695">
        <v>1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100</v>
      </c>
      <c r="AJ1695">
        <v>1</v>
      </c>
      <c r="AK1695">
        <v>0</v>
      </c>
      <c r="AL1695">
        <v>0</v>
      </c>
      <c r="AM1695">
        <v>100</v>
      </c>
      <c r="AN1695">
        <v>0</v>
      </c>
      <c r="AO1695">
        <v>0</v>
      </c>
      <c r="AP1695">
        <v>0</v>
      </c>
      <c r="AQ1695">
        <v>0</v>
      </c>
      <c r="AS1695">
        <v>0</v>
      </c>
      <c r="AT1695">
        <v>0</v>
      </c>
      <c r="AV1695">
        <v>0</v>
      </c>
      <c r="AW1695">
        <v>0</v>
      </c>
      <c r="AY1695">
        <v>0</v>
      </c>
      <c r="AZ1695">
        <v>0</v>
      </c>
      <c r="BA1695">
        <v>70</v>
      </c>
      <c r="BE1695" t="str">
        <f>T("9791137013551")</f>
        <v>9791137013551</v>
      </c>
      <c r="BF1695" t="str">
        <f>T("k035210")</f>
        <v>k035210</v>
      </c>
      <c r="BG1695" t="str">
        <f>T("판타지 웹소설 &gt; 퓨전 판타지")</f>
        <v>판타지 웹소설 &gt; 퓨전 판타지</v>
      </c>
    </row>
    <row r="1696" spans="1:59">
      <c r="A1696" t="s">
        <v>60</v>
      </c>
      <c r="B1696" s="1">
        <v>46130</v>
      </c>
      <c r="C1696">
        <v>2378005427</v>
      </c>
      <c r="D1696">
        <v>2378005427</v>
      </c>
      <c r="E1696" t="str">
        <f>T("대물 스카우터 1화")</f>
        <v>대물 스카우터 1화</v>
      </c>
      <c r="F1696">
        <v>1</v>
      </c>
      <c r="G1696" t="str">
        <f>T("휴도")</f>
        <v>휴도</v>
      </c>
      <c r="J1696" t="str">
        <f>T("매드햇")</f>
        <v>매드햇</v>
      </c>
      <c r="K1696" t="str">
        <f>T("대물 스카우터")</f>
        <v>대물 스카우터</v>
      </c>
      <c r="L1696">
        <v>0</v>
      </c>
      <c r="M1696">
        <v>0</v>
      </c>
      <c r="N1696">
        <v>0</v>
      </c>
      <c r="O1696">
        <v>1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0</v>
      </c>
      <c r="AH1696">
        <v>0</v>
      </c>
      <c r="AI1696">
        <v>0</v>
      </c>
      <c r="AJ1696">
        <v>1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S1696">
        <v>0</v>
      </c>
      <c r="AT1696">
        <v>0</v>
      </c>
      <c r="AV1696">
        <v>0</v>
      </c>
      <c r="AW1696">
        <v>0</v>
      </c>
      <c r="AY1696">
        <v>0</v>
      </c>
      <c r="AZ1696">
        <v>0</v>
      </c>
      <c r="BA1696">
        <v>0</v>
      </c>
      <c r="BE1696" t="str">
        <f>T("9791162585900")</f>
        <v>9791162585900</v>
      </c>
      <c r="BF1696" t="str">
        <f>T("E349723")</f>
        <v>E349723</v>
      </c>
      <c r="BG1696" t="str">
        <f>T("판타지 웹소설 &gt; 현대 판타지")</f>
        <v>판타지 웹소설 &gt; 현대 판타지</v>
      </c>
    </row>
    <row r="1697" spans="1:59">
      <c r="A1697" t="s">
        <v>60</v>
      </c>
      <c r="B1697" s="1">
        <v>46129</v>
      </c>
      <c r="C1697">
        <v>2378080895</v>
      </c>
      <c r="D1697">
        <v>2378081011</v>
      </c>
      <c r="E1697" t="str">
        <f>T("더 고스트(The Ghost) 65화 (완결)")</f>
        <v>더 고스트(The Ghost) 65화 (완결)</v>
      </c>
      <c r="F1697">
        <v>65</v>
      </c>
      <c r="G1697" t="str">
        <f>T("윤산")</f>
        <v>윤산</v>
      </c>
      <c r="J1697" t="str">
        <f>T("하트퀸")</f>
        <v>하트퀸</v>
      </c>
      <c r="K1697" t="str">
        <f>T("더 고스트(The Ghost)")</f>
        <v>더 고스트(The Ghost)</v>
      </c>
      <c r="L1697">
        <v>100</v>
      </c>
      <c r="M1697">
        <v>400</v>
      </c>
      <c r="N1697">
        <v>4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400</v>
      </c>
      <c r="AJ1697">
        <v>4</v>
      </c>
      <c r="AK1697">
        <v>0</v>
      </c>
      <c r="AL1697">
        <v>0</v>
      </c>
      <c r="AM1697">
        <v>300</v>
      </c>
      <c r="AN1697">
        <v>0</v>
      </c>
      <c r="AO1697">
        <v>120</v>
      </c>
      <c r="AP1697">
        <v>-12</v>
      </c>
      <c r="AQ1697">
        <v>0</v>
      </c>
      <c r="AS1697">
        <v>0</v>
      </c>
      <c r="AT1697">
        <v>0</v>
      </c>
      <c r="AU1697">
        <v>120</v>
      </c>
      <c r="AV1697">
        <v>-12</v>
      </c>
      <c r="AW1697">
        <v>0</v>
      </c>
      <c r="AY1697">
        <v>0</v>
      </c>
      <c r="AZ1697">
        <v>0</v>
      </c>
      <c r="BA1697">
        <v>244.8</v>
      </c>
      <c r="BF1697" t="str">
        <f>T("D236070")</f>
        <v>D236070</v>
      </c>
      <c r="BG1697" t="str">
        <f>T("로맨스 웹소설 &gt; 현대물")</f>
        <v>로맨스 웹소설 &gt; 현대물</v>
      </c>
    </row>
    <row r="1698" spans="1:59">
      <c r="A1698" t="s">
        <v>60</v>
      </c>
      <c r="B1698" s="1">
        <v>46129</v>
      </c>
      <c r="C1698">
        <v>2378080895</v>
      </c>
      <c r="D1698">
        <v>2378080895</v>
      </c>
      <c r="E1698" t="str">
        <f>T("더 고스트(The Ghost) 1화")</f>
        <v>더 고스트(The Ghost) 1화</v>
      </c>
      <c r="F1698">
        <v>1</v>
      </c>
      <c r="G1698" t="str">
        <f>T("윤산")</f>
        <v>윤산</v>
      </c>
      <c r="J1698" t="str">
        <f>T("하트퀸")</f>
        <v>하트퀸</v>
      </c>
      <c r="K1698" t="str">
        <f>T("더 고스트(The Ghost)")</f>
        <v>더 고스트(The Ghost)</v>
      </c>
      <c r="L1698">
        <v>0</v>
      </c>
      <c r="M1698">
        <v>0</v>
      </c>
      <c r="N1698">
        <v>0</v>
      </c>
      <c r="O1698">
        <v>5</v>
      </c>
      <c r="P1698">
        <v>0</v>
      </c>
      <c r="Q1698">
        <v>0</v>
      </c>
      <c r="R1698">
        <v>14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0</v>
      </c>
      <c r="AH1698">
        <v>0</v>
      </c>
      <c r="AI1698">
        <v>0</v>
      </c>
      <c r="AJ1698">
        <v>19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S1698">
        <v>0</v>
      </c>
      <c r="AT1698">
        <v>0</v>
      </c>
      <c r="AV1698">
        <v>0</v>
      </c>
      <c r="AW1698">
        <v>0</v>
      </c>
      <c r="AY1698">
        <v>0</v>
      </c>
      <c r="AZ1698">
        <v>0</v>
      </c>
      <c r="BA1698">
        <v>0</v>
      </c>
      <c r="BF1698" t="str">
        <f>T("D235949")</f>
        <v>D235949</v>
      </c>
      <c r="BG1698" t="str">
        <f>T("로맨스 웹소설 &gt; 현대물")</f>
        <v>로맨스 웹소설 &gt; 현대물</v>
      </c>
    </row>
    <row r="1699" spans="1:59">
      <c r="A1699" t="s">
        <v>60</v>
      </c>
      <c r="B1699" s="1">
        <v>46129</v>
      </c>
      <c r="C1699">
        <v>2378080895</v>
      </c>
      <c r="D1699">
        <v>2378080896</v>
      </c>
      <c r="E1699" t="str">
        <f>T("더 고스트(The Ghost) 2화")</f>
        <v>더 고스트(The Ghost) 2화</v>
      </c>
      <c r="F1699">
        <v>2</v>
      </c>
      <c r="G1699" t="str">
        <f>T("윤산")</f>
        <v>윤산</v>
      </c>
      <c r="J1699" t="str">
        <f>T("하트퀸")</f>
        <v>하트퀸</v>
      </c>
      <c r="K1699" t="str">
        <f>T("더 고스트(The Ghost)")</f>
        <v>더 고스트(The Ghost)</v>
      </c>
      <c r="L1699">
        <v>0</v>
      </c>
      <c r="M1699">
        <v>0</v>
      </c>
      <c r="N1699">
        <v>0</v>
      </c>
      <c r="O1699">
        <v>3</v>
      </c>
      <c r="P1699">
        <v>0</v>
      </c>
      <c r="Q1699">
        <v>0</v>
      </c>
      <c r="R1699">
        <v>9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12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S1699">
        <v>0</v>
      </c>
      <c r="AT1699">
        <v>0</v>
      </c>
      <c r="AV1699">
        <v>0</v>
      </c>
      <c r="AW1699">
        <v>0</v>
      </c>
      <c r="AY1699">
        <v>0</v>
      </c>
      <c r="AZ1699">
        <v>0</v>
      </c>
      <c r="BA1699">
        <v>0</v>
      </c>
      <c r="BF1699" t="str">
        <f>T("D235950")</f>
        <v>D235950</v>
      </c>
      <c r="BG1699" t="str">
        <f>T("로맨스 웹소설 &gt; 현대물")</f>
        <v>로맨스 웹소설 &gt; 현대물</v>
      </c>
    </row>
    <row r="1700" spans="1:59">
      <c r="A1700" t="s">
        <v>60</v>
      </c>
      <c r="B1700" s="1">
        <v>46129</v>
      </c>
      <c r="C1700">
        <v>2378080895</v>
      </c>
      <c r="D1700">
        <v>2378080897</v>
      </c>
      <c r="E1700" t="str">
        <f>T("더 고스트(The Ghost) 3화")</f>
        <v>더 고스트(The Ghost) 3화</v>
      </c>
      <c r="F1700">
        <v>3</v>
      </c>
      <c r="G1700" t="str">
        <f>T("윤산")</f>
        <v>윤산</v>
      </c>
      <c r="J1700" t="str">
        <f>T("하트퀸")</f>
        <v>하트퀸</v>
      </c>
      <c r="K1700" t="str">
        <f>T("더 고스트(The Ghost)")</f>
        <v>더 고스트(The Ghost)</v>
      </c>
      <c r="L1700">
        <v>0</v>
      </c>
      <c r="M1700">
        <v>0</v>
      </c>
      <c r="N1700">
        <v>0</v>
      </c>
      <c r="O1700">
        <v>3</v>
      </c>
      <c r="P1700">
        <v>0</v>
      </c>
      <c r="Q1700">
        <v>0</v>
      </c>
      <c r="R1700">
        <v>8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0</v>
      </c>
      <c r="AJ1700">
        <v>11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S1700">
        <v>0</v>
      </c>
      <c r="AT1700">
        <v>0</v>
      </c>
      <c r="AV1700">
        <v>0</v>
      </c>
      <c r="AW1700">
        <v>0</v>
      </c>
      <c r="AY1700">
        <v>0</v>
      </c>
      <c r="AZ1700">
        <v>0</v>
      </c>
      <c r="BA1700">
        <v>0</v>
      </c>
      <c r="BF1700" t="str">
        <f>T("D235951")</f>
        <v>D235951</v>
      </c>
      <c r="BG1700" t="str">
        <f>T("로맨스 웹소설 &gt; 현대물")</f>
        <v>로맨스 웹소설 &gt; 현대물</v>
      </c>
    </row>
    <row r="1701" spans="1:59">
      <c r="A1701" t="s">
        <v>60</v>
      </c>
      <c r="B1701" s="1">
        <v>46129</v>
      </c>
      <c r="C1701">
        <v>2378080895</v>
      </c>
      <c r="D1701">
        <v>2378080898</v>
      </c>
      <c r="E1701" t="str">
        <f>T("더 고스트(The Ghost) 4화")</f>
        <v>더 고스트(The Ghost) 4화</v>
      </c>
      <c r="F1701">
        <v>4</v>
      </c>
      <c r="G1701" t="str">
        <f>T("윤산")</f>
        <v>윤산</v>
      </c>
      <c r="J1701" t="str">
        <f>T("하트퀸")</f>
        <v>하트퀸</v>
      </c>
      <c r="K1701" t="str">
        <f>T("더 고스트(The Ghost)")</f>
        <v>더 고스트(The Ghost)</v>
      </c>
      <c r="L1701">
        <v>100</v>
      </c>
      <c r="M1701">
        <v>100</v>
      </c>
      <c r="N1701">
        <v>1</v>
      </c>
      <c r="O1701">
        <v>0</v>
      </c>
      <c r="P1701">
        <v>0</v>
      </c>
      <c r="Q1701">
        <v>0</v>
      </c>
      <c r="R1701">
        <v>10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100</v>
      </c>
      <c r="AJ1701">
        <v>11</v>
      </c>
      <c r="AK1701">
        <v>0</v>
      </c>
      <c r="AL1701">
        <v>0</v>
      </c>
      <c r="AM1701">
        <v>100</v>
      </c>
      <c r="AN1701">
        <v>0</v>
      </c>
      <c r="AO1701">
        <v>0</v>
      </c>
      <c r="AP1701">
        <v>0</v>
      </c>
      <c r="AQ1701">
        <v>0</v>
      </c>
      <c r="AS1701">
        <v>0</v>
      </c>
      <c r="AT1701">
        <v>0</v>
      </c>
      <c r="AV1701">
        <v>0</v>
      </c>
      <c r="AW1701">
        <v>0</v>
      </c>
      <c r="AY1701">
        <v>0</v>
      </c>
      <c r="AZ1701">
        <v>0</v>
      </c>
      <c r="BA1701">
        <v>60</v>
      </c>
      <c r="BF1701" t="str">
        <f>T("D235952")</f>
        <v>D235952</v>
      </c>
      <c r="BG1701" t="str">
        <f>T("로맨스 웹소설 &gt; 현대물")</f>
        <v>로맨스 웹소설 &gt; 현대물</v>
      </c>
    </row>
    <row r="1702" spans="1:59">
      <c r="A1702" t="s">
        <v>60</v>
      </c>
      <c r="B1702" s="1">
        <v>46129</v>
      </c>
      <c r="C1702">
        <v>2378080895</v>
      </c>
      <c r="D1702">
        <v>2378080899</v>
      </c>
      <c r="E1702" t="str">
        <f>T("더 고스트(The Ghost) 5화")</f>
        <v>더 고스트(The Ghost) 5화</v>
      </c>
      <c r="F1702">
        <v>5</v>
      </c>
      <c r="G1702" t="str">
        <f>T("윤산")</f>
        <v>윤산</v>
      </c>
      <c r="J1702" t="str">
        <f>T("하트퀸")</f>
        <v>하트퀸</v>
      </c>
      <c r="K1702" t="str">
        <f>T("더 고스트(The Ghost)")</f>
        <v>더 고스트(The Ghost)</v>
      </c>
      <c r="L1702">
        <v>100</v>
      </c>
      <c r="M1702">
        <v>200</v>
      </c>
      <c r="N1702">
        <v>2</v>
      </c>
      <c r="O1702">
        <v>0</v>
      </c>
      <c r="P1702">
        <v>0</v>
      </c>
      <c r="Q1702">
        <v>0</v>
      </c>
      <c r="R1702">
        <v>10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200</v>
      </c>
      <c r="AJ1702">
        <v>12</v>
      </c>
      <c r="AK1702">
        <v>0</v>
      </c>
      <c r="AL1702">
        <v>0</v>
      </c>
      <c r="AM1702">
        <v>200</v>
      </c>
      <c r="AN1702">
        <v>0</v>
      </c>
      <c r="AO1702">
        <v>0</v>
      </c>
      <c r="AP1702">
        <v>0</v>
      </c>
      <c r="AQ1702">
        <v>0</v>
      </c>
      <c r="AS1702">
        <v>0</v>
      </c>
      <c r="AT1702">
        <v>0</v>
      </c>
      <c r="AV1702">
        <v>0</v>
      </c>
      <c r="AW1702">
        <v>0</v>
      </c>
      <c r="AY1702">
        <v>0</v>
      </c>
      <c r="AZ1702">
        <v>0</v>
      </c>
      <c r="BA1702">
        <v>120</v>
      </c>
      <c r="BF1702" t="str">
        <f>T("D235953")</f>
        <v>D235953</v>
      </c>
      <c r="BG1702" t="str">
        <f>T("로맨스 웹소설 &gt; 현대물")</f>
        <v>로맨스 웹소설 &gt; 현대물</v>
      </c>
    </row>
    <row r="1703" spans="1:59">
      <c r="A1703" t="s">
        <v>60</v>
      </c>
      <c r="B1703" s="1">
        <v>46129</v>
      </c>
      <c r="C1703">
        <v>2378080895</v>
      </c>
      <c r="D1703">
        <v>2378080900</v>
      </c>
      <c r="E1703" t="str">
        <f>T("더 고스트(The Ghost) 6화")</f>
        <v>더 고스트(The Ghost) 6화</v>
      </c>
      <c r="F1703">
        <v>6</v>
      </c>
      <c r="G1703" t="str">
        <f>T("윤산")</f>
        <v>윤산</v>
      </c>
      <c r="J1703" t="str">
        <f>T("하트퀸")</f>
        <v>하트퀸</v>
      </c>
      <c r="K1703" t="str">
        <f>T("더 고스트(The Ghost)")</f>
        <v>더 고스트(The Ghost)</v>
      </c>
      <c r="L1703">
        <v>100</v>
      </c>
      <c r="M1703">
        <v>300</v>
      </c>
      <c r="N1703">
        <v>3</v>
      </c>
      <c r="O1703">
        <v>0</v>
      </c>
      <c r="P1703">
        <v>0</v>
      </c>
      <c r="Q1703">
        <v>0</v>
      </c>
      <c r="R1703">
        <v>11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300</v>
      </c>
      <c r="AJ1703">
        <v>14</v>
      </c>
      <c r="AK1703">
        <v>0</v>
      </c>
      <c r="AL1703">
        <v>0</v>
      </c>
      <c r="AM1703">
        <v>300</v>
      </c>
      <c r="AN1703">
        <v>0</v>
      </c>
      <c r="AO1703">
        <v>0</v>
      </c>
      <c r="AP1703">
        <v>0</v>
      </c>
      <c r="AQ1703">
        <v>0</v>
      </c>
      <c r="AS1703">
        <v>0</v>
      </c>
      <c r="AT1703">
        <v>0</v>
      </c>
      <c r="AV1703">
        <v>0</v>
      </c>
      <c r="AW1703">
        <v>0</v>
      </c>
      <c r="AY1703">
        <v>0</v>
      </c>
      <c r="AZ1703">
        <v>0</v>
      </c>
      <c r="BA1703">
        <v>180</v>
      </c>
      <c r="BF1703" t="str">
        <f>T("D235954")</f>
        <v>D235954</v>
      </c>
      <c r="BG1703" t="str">
        <f>T("로맨스 웹소설 &gt; 현대물")</f>
        <v>로맨스 웹소설 &gt; 현대물</v>
      </c>
    </row>
    <row r="1704" spans="1:59">
      <c r="A1704" t="s">
        <v>60</v>
      </c>
      <c r="B1704" s="1">
        <v>46129</v>
      </c>
      <c r="C1704">
        <v>2378080895</v>
      </c>
      <c r="D1704">
        <v>2378080901</v>
      </c>
      <c r="E1704" t="str">
        <f>T("더 고스트(The Ghost) 7화")</f>
        <v>더 고스트(The Ghost) 7화</v>
      </c>
      <c r="F1704">
        <v>7</v>
      </c>
      <c r="G1704" t="str">
        <f>T("윤산")</f>
        <v>윤산</v>
      </c>
      <c r="J1704" t="str">
        <f>T("하트퀸")</f>
        <v>하트퀸</v>
      </c>
      <c r="K1704" t="str">
        <f>T("더 고스트(The Ghost)")</f>
        <v>더 고스트(The Ghost)</v>
      </c>
      <c r="L1704">
        <v>100</v>
      </c>
      <c r="M1704">
        <v>100</v>
      </c>
      <c r="N1704">
        <v>1</v>
      </c>
      <c r="O1704">
        <v>0</v>
      </c>
      <c r="P1704">
        <v>0</v>
      </c>
      <c r="Q1704">
        <v>0</v>
      </c>
      <c r="R1704">
        <v>13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100</v>
      </c>
      <c r="AJ1704">
        <v>14</v>
      </c>
      <c r="AK1704">
        <v>0</v>
      </c>
      <c r="AL1704">
        <v>0</v>
      </c>
      <c r="AM1704">
        <v>100</v>
      </c>
      <c r="AN1704">
        <v>0</v>
      </c>
      <c r="AO1704">
        <v>0</v>
      </c>
      <c r="AP1704">
        <v>0</v>
      </c>
      <c r="AQ1704">
        <v>0</v>
      </c>
      <c r="AS1704">
        <v>0</v>
      </c>
      <c r="AT1704">
        <v>0</v>
      </c>
      <c r="AV1704">
        <v>0</v>
      </c>
      <c r="AW1704">
        <v>0</v>
      </c>
      <c r="AY1704">
        <v>0</v>
      </c>
      <c r="AZ1704">
        <v>0</v>
      </c>
      <c r="BA1704">
        <v>60</v>
      </c>
      <c r="BF1704" t="str">
        <f>T("D235955")</f>
        <v>D235955</v>
      </c>
      <c r="BG1704" t="str">
        <f>T("로맨스 웹소설 &gt; 현대물")</f>
        <v>로맨스 웹소설 &gt; 현대물</v>
      </c>
    </row>
    <row r="1705" spans="1:59">
      <c r="A1705" t="s">
        <v>60</v>
      </c>
      <c r="B1705" s="1">
        <v>46129</v>
      </c>
      <c r="C1705">
        <v>2378080895</v>
      </c>
      <c r="D1705">
        <v>2378080902</v>
      </c>
      <c r="E1705" t="str">
        <f>T("더 고스트(The Ghost) 8화")</f>
        <v>더 고스트(The Ghost) 8화</v>
      </c>
      <c r="F1705">
        <v>8</v>
      </c>
      <c r="G1705" t="str">
        <f>T("윤산")</f>
        <v>윤산</v>
      </c>
      <c r="J1705" t="str">
        <f>T("하트퀸")</f>
        <v>하트퀸</v>
      </c>
      <c r="K1705" t="str">
        <f>T("더 고스트(The Ghost)")</f>
        <v>더 고스트(The Ghost)</v>
      </c>
      <c r="L1705">
        <v>100</v>
      </c>
      <c r="M1705">
        <v>100</v>
      </c>
      <c r="N1705">
        <v>1</v>
      </c>
      <c r="O1705">
        <v>0</v>
      </c>
      <c r="P1705">
        <v>0</v>
      </c>
      <c r="Q1705">
        <v>0</v>
      </c>
      <c r="R1705">
        <v>13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100</v>
      </c>
      <c r="AJ1705">
        <v>14</v>
      </c>
      <c r="AK1705">
        <v>0</v>
      </c>
      <c r="AL1705">
        <v>0</v>
      </c>
      <c r="AM1705">
        <v>100</v>
      </c>
      <c r="AN1705">
        <v>0</v>
      </c>
      <c r="AO1705">
        <v>0</v>
      </c>
      <c r="AP1705">
        <v>0</v>
      </c>
      <c r="AQ1705">
        <v>0</v>
      </c>
      <c r="AS1705">
        <v>0</v>
      </c>
      <c r="AT1705">
        <v>0</v>
      </c>
      <c r="AV1705">
        <v>0</v>
      </c>
      <c r="AW1705">
        <v>0</v>
      </c>
      <c r="AY1705">
        <v>0</v>
      </c>
      <c r="AZ1705">
        <v>0</v>
      </c>
      <c r="BA1705">
        <v>60</v>
      </c>
      <c r="BF1705" t="str">
        <f>T("D235956")</f>
        <v>D235956</v>
      </c>
      <c r="BG1705" t="str">
        <f>T("로맨스 웹소설 &gt; 현대물")</f>
        <v>로맨스 웹소설 &gt; 현대물</v>
      </c>
    </row>
    <row r="1706" spans="1:59">
      <c r="A1706" t="s">
        <v>60</v>
      </c>
      <c r="B1706" s="1">
        <v>46129</v>
      </c>
      <c r="C1706">
        <v>2378080895</v>
      </c>
      <c r="D1706">
        <v>2378080903</v>
      </c>
      <c r="E1706" t="str">
        <f>T("더 고스트(The Ghost) 9화")</f>
        <v>더 고스트(The Ghost) 9화</v>
      </c>
      <c r="F1706">
        <v>9</v>
      </c>
      <c r="G1706" t="str">
        <f>T("윤산")</f>
        <v>윤산</v>
      </c>
      <c r="J1706" t="str">
        <f>T("하트퀸")</f>
        <v>하트퀸</v>
      </c>
      <c r="K1706" t="str">
        <f>T("더 고스트(The Ghost)")</f>
        <v>더 고스트(The Ghost)</v>
      </c>
      <c r="L1706">
        <v>100</v>
      </c>
      <c r="M1706">
        <v>100</v>
      </c>
      <c r="N1706">
        <v>1</v>
      </c>
      <c r="O1706">
        <v>0</v>
      </c>
      <c r="P1706">
        <v>0</v>
      </c>
      <c r="Q1706">
        <v>0</v>
      </c>
      <c r="R1706">
        <v>15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100</v>
      </c>
      <c r="AJ1706">
        <v>16</v>
      </c>
      <c r="AK1706">
        <v>0</v>
      </c>
      <c r="AL1706">
        <v>0</v>
      </c>
      <c r="AM1706">
        <v>100</v>
      </c>
      <c r="AN1706">
        <v>0</v>
      </c>
      <c r="AO1706">
        <v>0</v>
      </c>
      <c r="AP1706">
        <v>0</v>
      </c>
      <c r="AQ1706">
        <v>0</v>
      </c>
      <c r="AS1706">
        <v>0</v>
      </c>
      <c r="AT1706">
        <v>0</v>
      </c>
      <c r="AV1706">
        <v>0</v>
      </c>
      <c r="AW1706">
        <v>0</v>
      </c>
      <c r="AY1706">
        <v>0</v>
      </c>
      <c r="AZ1706">
        <v>0</v>
      </c>
      <c r="BA1706">
        <v>60</v>
      </c>
      <c r="BF1706" t="str">
        <f>T("D235957")</f>
        <v>D235957</v>
      </c>
      <c r="BG1706" t="str">
        <f>T("로맨스 웹소설 &gt; 현대물")</f>
        <v>로맨스 웹소설 &gt; 현대물</v>
      </c>
    </row>
    <row r="1707" spans="1:59">
      <c r="A1707" t="s">
        <v>60</v>
      </c>
      <c r="B1707" s="1">
        <v>46129</v>
      </c>
      <c r="C1707">
        <v>2378080895</v>
      </c>
      <c r="D1707">
        <v>2378080904</v>
      </c>
      <c r="E1707" t="str">
        <f>T("더 고스트(The Ghost) 10화")</f>
        <v>더 고스트(The Ghost) 10화</v>
      </c>
      <c r="F1707">
        <v>10</v>
      </c>
      <c r="G1707" t="str">
        <f>T("윤산")</f>
        <v>윤산</v>
      </c>
      <c r="J1707" t="str">
        <f>T("하트퀸")</f>
        <v>하트퀸</v>
      </c>
      <c r="K1707" t="str">
        <f>T("더 고스트(The Ghost)")</f>
        <v>더 고스트(The Ghost)</v>
      </c>
      <c r="L1707">
        <v>100</v>
      </c>
      <c r="M1707">
        <v>100</v>
      </c>
      <c r="N1707">
        <v>1</v>
      </c>
      <c r="O1707">
        <v>0</v>
      </c>
      <c r="P1707">
        <v>0</v>
      </c>
      <c r="Q1707">
        <v>0</v>
      </c>
      <c r="R1707">
        <v>15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0</v>
      </c>
      <c r="AI1707">
        <v>100</v>
      </c>
      <c r="AJ1707">
        <v>16</v>
      </c>
      <c r="AK1707">
        <v>0</v>
      </c>
      <c r="AL1707">
        <v>0</v>
      </c>
      <c r="AM1707">
        <v>100</v>
      </c>
      <c r="AN1707">
        <v>0</v>
      </c>
      <c r="AO1707">
        <v>0</v>
      </c>
      <c r="AP1707">
        <v>0</v>
      </c>
      <c r="AQ1707">
        <v>0</v>
      </c>
      <c r="AS1707">
        <v>0</v>
      </c>
      <c r="AT1707">
        <v>0</v>
      </c>
      <c r="AV1707">
        <v>0</v>
      </c>
      <c r="AW1707">
        <v>0</v>
      </c>
      <c r="AY1707">
        <v>0</v>
      </c>
      <c r="AZ1707">
        <v>0</v>
      </c>
      <c r="BA1707">
        <v>60</v>
      </c>
      <c r="BF1707" t="str">
        <f>T("D235958")</f>
        <v>D235958</v>
      </c>
      <c r="BG1707" t="str">
        <f>T("로맨스 웹소설 &gt; 현대물")</f>
        <v>로맨스 웹소설 &gt; 현대물</v>
      </c>
    </row>
    <row r="1708" spans="1:59">
      <c r="A1708" t="s">
        <v>60</v>
      </c>
      <c r="B1708" s="1">
        <v>46129</v>
      </c>
      <c r="C1708">
        <v>2378080895</v>
      </c>
      <c r="D1708">
        <v>2378080905</v>
      </c>
      <c r="E1708" t="str">
        <f>T("더 고스트(The Ghost) 11화")</f>
        <v>더 고스트(The Ghost) 11화</v>
      </c>
      <c r="F1708">
        <v>11</v>
      </c>
      <c r="G1708" t="str">
        <f>T("윤산")</f>
        <v>윤산</v>
      </c>
      <c r="J1708" t="str">
        <f>T("하트퀸")</f>
        <v>하트퀸</v>
      </c>
      <c r="K1708" t="str">
        <f>T("더 고스트(The Ghost)")</f>
        <v>더 고스트(The Ghost)</v>
      </c>
      <c r="L1708">
        <v>100</v>
      </c>
      <c r="M1708">
        <v>200</v>
      </c>
      <c r="N1708">
        <v>2</v>
      </c>
      <c r="O1708">
        <v>0</v>
      </c>
      <c r="P1708">
        <v>0</v>
      </c>
      <c r="Q1708">
        <v>0</v>
      </c>
      <c r="R1708">
        <v>1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200</v>
      </c>
      <c r="AJ1708">
        <v>3</v>
      </c>
      <c r="AK1708">
        <v>0</v>
      </c>
      <c r="AL1708">
        <v>0</v>
      </c>
      <c r="AM1708">
        <v>100</v>
      </c>
      <c r="AN1708">
        <v>0</v>
      </c>
      <c r="AO1708">
        <v>120</v>
      </c>
      <c r="AP1708">
        <v>-36</v>
      </c>
      <c r="AQ1708">
        <v>0</v>
      </c>
      <c r="AR1708">
        <v>120</v>
      </c>
      <c r="AS1708">
        <v>-36</v>
      </c>
      <c r="AT1708">
        <v>0</v>
      </c>
      <c r="AV1708">
        <v>0</v>
      </c>
      <c r="AW1708">
        <v>0</v>
      </c>
      <c r="AY1708">
        <v>0</v>
      </c>
      <c r="AZ1708">
        <v>0</v>
      </c>
      <c r="BA1708">
        <v>110.4</v>
      </c>
      <c r="BF1708" t="str">
        <f>T("D235959")</f>
        <v>D235959</v>
      </c>
      <c r="BG1708" t="str">
        <f>T("로맨스 웹소설 &gt; 현대물")</f>
        <v>로맨스 웹소설 &gt; 현대물</v>
      </c>
    </row>
    <row r="1709" spans="1:59">
      <c r="A1709" t="s">
        <v>60</v>
      </c>
      <c r="B1709" s="1">
        <v>46129</v>
      </c>
      <c r="C1709">
        <v>2378080895</v>
      </c>
      <c r="D1709">
        <v>2378080906</v>
      </c>
      <c r="E1709" t="str">
        <f>T("더 고스트(The Ghost) 12화")</f>
        <v>더 고스트(The Ghost) 12화</v>
      </c>
      <c r="F1709">
        <v>12</v>
      </c>
      <c r="G1709" t="str">
        <f>T("윤산")</f>
        <v>윤산</v>
      </c>
      <c r="J1709" t="str">
        <f>T("하트퀸")</f>
        <v>하트퀸</v>
      </c>
      <c r="K1709" t="str">
        <f>T("더 고스트(The Ghost)")</f>
        <v>더 고스트(The Ghost)</v>
      </c>
      <c r="L1709">
        <v>100</v>
      </c>
      <c r="M1709">
        <v>200</v>
      </c>
      <c r="N1709">
        <v>2</v>
      </c>
      <c r="O1709">
        <v>0</v>
      </c>
      <c r="P1709">
        <v>0</v>
      </c>
      <c r="Q1709">
        <v>0</v>
      </c>
      <c r="R1709">
        <v>2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200</v>
      </c>
      <c r="AJ1709">
        <v>4</v>
      </c>
      <c r="AK1709">
        <v>0</v>
      </c>
      <c r="AL1709">
        <v>0</v>
      </c>
      <c r="AM1709">
        <v>200</v>
      </c>
      <c r="AN1709">
        <v>0</v>
      </c>
      <c r="AO1709">
        <v>0</v>
      </c>
      <c r="AP1709">
        <v>0</v>
      </c>
      <c r="AQ1709">
        <v>0</v>
      </c>
      <c r="AS1709">
        <v>0</v>
      </c>
      <c r="AT1709">
        <v>0</v>
      </c>
      <c r="AV1709">
        <v>0</v>
      </c>
      <c r="AW1709">
        <v>0</v>
      </c>
      <c r="AY1709">
        <v>0</v>
      </c>
      <c r="AZ1709">
        <v>0</v>
      </c>
      <c r="BA1709">
        <v>120</v>
      </c>
      <c r="BF1709" t="str">
        <f>T("D235960")</f>
        <v>D235960</v>
      </c>
      <c r="BG1709" t="str">
        <f>T("로맨스 웹소설 &gt; 현대물")</f>
        <v>로맨스 웹소설 &gt; 현대물</v>
      </c>
    </row>
    <row r="1710" spans="1:59">
      <c r="A1710" t="s">
        <v>60</v>
      </c>
      <c r="B1710" s="1">
        <v>46129</v>
      </c>
      <c r="C1710">
        <v>2378080895</v>
      </c>
      <c r="D1710">
        <v>2378080907</v>
      </c>
      <c r="E1710" t="str">
        <f>T("더 고스트(The Ghost) 13화")</f>
        <v>더 고스트(The Ghost) 13화</v>
      </c>
      <c r="F1710">
        <v>13</v>
      </c>
      <c r="G1710" t="str">
        <f>T("윤산")</f>
        <v>윤산</v>
      </c>
      <c r="J1710" t="str">
        <f>T("하트퀸")</f>
        <v>하트퀸</v>
      </c>
      <c r="K1710" t="str">
        <f>T("더 고스트(The Ghost)")</f>
        <v>더 고스트(The Ghost)</v>
      </c>
      <c r="L1710">
        <v>100</v>
      </c>
      <c r="M1710">
        <v>200</v>
      </c>
      <c r="N1710">
        <v>2</v>
      </c>
      <c r="O1710">
        <v>0</v>
      </c>
      <c r="P1710">
        <v>0</v>
      </c>
      <c r="Q1710">
        <v>0</v>
      </c>
      <c r="R1710">
        <v>1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200</v>
      </c>
      <c r="AJ1710">
        <v>3</v>
      </c>
      <c r="AK1710">
        <v>0</v>
      </c>
      <c r="AL1710">
        <v>0</v>
      </c>
      <c r="AM1710">
        <v>200</v>
      </c>
      <c r="AN1710">
        <v>0</v>
      </c>
      <c r="AO1710">
        <v>0</v>
      </c>
      <c r="AP1710">
        <v>0</v>
      </c>
      <c r="AQ1710">
        <v>0</v>
      </c>
      <c r="AS1710">
        <v>0</v>
      </c>
      <c r="AT1710">
        <v>0</v>
      </c>
      <c r="AV1710">
        <v>0</v>
      </c>
      <c r="AW1710">
        <v>0</v>
      </c>
      <c r="AY1710">
        <v>0</v>
      </c>
      <c r="AZ1710">
        <v>0</v>
      </c>
      <c r="BA1710">
        <v>120</v>
      </c>
      <c r="BF1710" t="str">
        <f>T("D235961")</f>
        <v>D235961</v>
      </c>
      <c r="BG1710" t="str">
        <f>T("로맨스 웹소설 &gt; 현대물")</f>
        <v>로맨스 웹소설 &gt; 현대물</v>
      </c>
    </row>
    <row r="1711" spans="1:59">
      <c r="A1711" t="s">
        <v>60</v>
      </c>
      <c r="B1711" s="1">
        <v>46129</v>
      </c>
      <c r="C1711">
        <v>2378080895</v>
      </c>
      <c r="D1711">
        <v>2378080908</v>
      </c>
      <c r="E1711" t="str">
        <f>T("더 고스트(The Ghost) 14화")</f>
        <v>더 고스트(The Ghost) 14화</v>
      </c>
      <c r="F1711">
        <v>14</v>
      </c>
      <c r="G1711" t="str">
        <f>T("윤산")</f>
        <v>윤산</v>
      </c>
      <c r="J1711" t="str">
        <f>T("하트퀸")</f>
        <v>하트퀸</v>
      </c>
      <c r="K1711" t="str">
        <f>T("더 고스트(The Ghost)")</f>
        <v>더 고스트(The Ghost)</v>
      </c>
      <c r="L1711">
        <v>100</v>
      </c>
      <c r="M1711">
        <v>200</v>
      </c>
      <c r="N1711">
        <v>2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0</v>
      </c>
      <c r="AI1711">
        <v>200</v>
      </c>
      <c r="AJ1711">
        <v>2</v>
      </c>
      <c r="AK1711">
        <v>0</v>
      </c>
      <c r="AL1711">
        <v>0</v>
      </c>
      <c r="AM1711">
        <v>200</v>
      </c>
      <c r="AN1711">
        <v>0</v>
      </c>
      <c r="AO1711">
        <v>0</v>
      </c>
      <c r="AP1711">
        <v>0</v>
      </c>
      <c r="AQ1711">
        <v>0</v>
      </c>
      <c r="AS1711">
        <v>0</v>
      </c>
      <c r="AT1711">
        <v>0</v>
      </c>
      <c r="AV1711">
        <v>0</v>
      </c>
      <c r="AW1711">
        <v>0</v>
      </c>
      <c r="AY1711">
        <v>0</v>
      </c>
      <c r="AZ1711">
        <v>0</v>
      </c>
      <c r="BA1711">
        <v>120</v>
      </c>
      <c r="BF1711" t="str">
        <f>T("D235962")</f>
        <v>D235962</v>
      </c>
      <c r="BG1711" t="str">
        <f>T("로맨스 웹소설 &gt; 현대물")</f>
        <v>로맨스 웹소설 &gt; 현대물</v>
      </c>
    </row>
    <row r="1712" spans="1:59">
      <c r="A1712" t="s">
        <v>60</v>
      </c>
      <c r="B1712" s="1">
        <v>46129</v>
      </c>
      <c r="C1712">
        <v>2378080895</v>
      </c>
      <c r="D1712">
        <v>2378080909</v>
      </c>
      <c r="E1712" t="str">
        <f>T("더 고스트(The Ghost) 15화")</f>
        <v>더 고스트(The Ghost) 15화</v>
      </c>
      <c r="F1712">
        <v>15</v>
      </c>
      <c r="G1712" t="str">
        <f>T("윤산")</f>
        <v>윤산</v>
      </c>
      <c r="J1712" t="str">
        <f>T("하트퀸")</f>
        <v>하트퀸</v>
      </c>
      <c r="K1712" t="str">
        <f>T("더 고스트(The Ghost)")</f>
        <v>더 고스트(The Ghost)</v>
      </c>
      <c r="L1712">
        <v>100</v>
      </c>
      <c r="M1712">
        <v>200</v>
      </c>
      <c r="N1712">
        <v>2</v>
      </c>
      <c r="O1712">
        <v>0</v>
      </c>
      <c r="P1712">
        <v>0</v>
      </c>
      <c r="Q1712">
        <v>0</v>
      </c>
      <c r="R1712">
        <v>1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200</v>
      </c>
      <c r="AJ1712">
        <v>3</v>
      </c>
      <c r="AK1712">
        <v>0</v>
      </c>
      <c r="AL1712">
        <v>0</v>
      </c>
      <c r="AM1712">
        <v>200</v>
      </c>
      <c r="AN1712">
        <v>0</v>
      </c>
      <c r="AO1712">
        <v>0</v>
      </c>
      <c r="AP1712">
        <v>0</v>
      </c>
      <c r="AQ1712">
        <v>0</v>
      </c>
      <c r="AS1712">
        <v>0</v>
      </c>
      <c r="AT1712">
        <v>0</v>
      </c>
      <c r="AV1712">
        <v>0</v>
      </c>
      <c r="AW1712">
        <v>0</v>
      </c>
      <c r="AY1712">
        <v>0</v>
      </c>
      <c r="AZ1712">
        <v>0</v>
      </c>
      <c r="BA1712">
        <v>120</v>
      </c>
      <c r="BF1712" t="str">
        <f>T("D235963")</f>
        <v>D235963</v>
      </c>
      <c r="BG1712" t="str">
        <f>T("로맨스 웹소설 &gt; 현대물")</f>
        <v>로맨스 웹소설 &gt; 현대물</v>
      </c>
    </row>
    <row r="1713" spans="1:59">
      <c r="A1713" t="s">
        <v>60</v>
      </c>
      <c r="B1713" s="1">
        <v>46129</v>
      </c>
      <c r="C1713">
        <v>2378080895</v>
      </c>
      <c r="D1713">
        <v>2378080910</v>
      </c>
      <c r="E1713" t="str">
        <f>T("더 고스트(The Ghost) 16화")</f>
        <v>더 고스트(The Ghost) 16화</v>
      </c>
      <c r="F1713">
        <v>16</v>
      </c>
      <c r="G1713" t="str">
        <f>T("윤산")</f>
        <v>윤산</v>
      </c>
      <c r="J1713" t="str">
        <f>T("하트퀸")</f>
        <v>하트퀸</v>
      </c>
      <c r="K1713" t="str">
        <f>T("더 고스트(The Ghost)")</f>
        <v>더 고스트(The Ghost)</v>
      </c>
      <c r="L1713">
        <v>100</v>
      </c>
      <c r="M1713">
        <v>200</v>
      </c>
      <c r="N1713">
        <v>2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200</v>
      </c>
      <c r="AJ1713">
        <v>2</v>
      </c>
      <c r="AK1713">
        <v>0</v>
      </c>
      <c r="AL1713">
        <v>0</v>
      </c>
      <c r="AM1713">
        <v>200</v>
      </c>
      <c r="AN1713">
        <v>0</v>
      </c>
      <c r="AO1713">
        <v>0</v>
      </c>
      <c r="AP1713">
        <v>0</v>
      </c>
      <c r="AQ1713">
        <v>0</v>
      </c>
      <c r="AS1713">
        <v>0</v>
      </c>
      <c r="AT1713">
        <v>0</v>
      </c>
      <c r="AV1713">
        <v>0</v>
      </c>
      <c r="AW1713">
        <v>0</v>
      </c>
      <c r="AY1713">
        <v>0</v>
      </c>
      <c r="AZ1713">
        <v>0</v>
      </c>
      <c r="BA1713">
        <v>120</v>
      </c>
      <c r="BF1713" t="str">
        <f>T("D235964")</f>
        <v>D235964</v>
      </c>
      <c r="BG1713" t="str">
        <f>T("로맨스 웹소설 &gt; 현대물")</f>
        <v>로맨스 웹소설 &gt; 현대물</v>
      </c>
    </row>
    <row r="1714" spans="1:59">
      <c r="A1714" t="s">
        <v>60</v>
      </c>
      <c r="B1714" s="1">
        <v>46129</v>
      </c>
      <c r="C1714">
        <v>2378080895</v>
      </c>
      <c r="D1714">
        <v>2378080911</v>
      </c>
      <c r="E1714" t="str">
        <f>T("더 고스트(The Ghost) 17화")</f>
        <v>더 고스트(The Ghost) 17화</v>
      </c>
      <c r="F1714">
        <v>17</v>
      </c>
      <c r="G1714" t="str">
        <f>T("윤산")</f>
        <v>윤산</v>
      </c>
      <c r="J1714" t="str">
        <f>T("하트퀸")</f>
        <v>하트퀸</v>
      </c>
      <c r="K1714" t="str">
        <f>T("더 고스트(The Ghost)")</f>
        <v>더 고스트(The Ghost)</v>
      </c>
      <c r="L1714">
        <v>100</v>
      </c>
      <c r="M1714">
        <v>300</v>
      </c>
      <c r="N1714">
        <v>3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300</v>
      </c>
      <c r="AJ1714">
        <v>3</v>
      </c>
      <c r="AK1714">
        <v>0</v>
      </c>
      <c r="AL1714">
        <v>0</v>
      </c>
      <c r="AM1714">
        <v>200</v>
      </c>
      <c r="AN1714">
        <v>0</v>
      </c>
      <c r="AO1714">
        <v>120</v>
      </c>
      <c r="AP1714">
        <v>-12</v>
      </c>
      <c r="AQ1714">
        <v>0</v>
      </c>
      <c r="AS1714">
        <v>0</v>
      </c>
      <c r="AT1714">
        <v>0</v>
      </c>
      <c r="AU1714">
        <v>120</v>
      </c>
      <c r="AV1714">
        <v>-12</v>
      </c>
      <c r="AW1714">
        <v>0</v>
      </c>
      <c r="AY1714">
        <v>0</v>
      </c>
      <c r="AZ1714">
        <v>0</v>
      </c>
      <c r="BA1714">
        <v>184.8</v>
      </c>
      <c r="BF1714" t="str">
        <f>T("D235965")</f>
        <v>D235965</v>
      </c>
      <c r="BG1714" t="str">
        <f>T("로맨스 웹소설 &gt; 현대물")</f>
        <v>로맨스 웹소설 &gt; 현대물</v>
      </c>
    </row>
    <row r="1715" spans="1:59">
      <c r="A1715" t="s">
        <v>60</v>
      </c>
      <c r="B1715" s="1">
        <v>46129</v>
      </c>
      <c r="C1715">
        <v>2378080895</v>
      </c>
      <c r="D1715">
        <v>2378080912</v>
      </c>
      <c r="E1715" t="str">
        <f>T("더 고스트(The Ghost) 18화")</f>
        <v>더 고스트(The Ghost) 18화</v>
      </c>
      <c r="F1715">
        <v>18</v>
      </c>
      <c r="G1715" t="str">
        <f>T("윤산")</f>
        <v>윤산</v>
      </c>
      <c r="J1715" t="str">
        <f>T("하트퀸")</f>
        <v>하트퀸</v>
      </c>
      <c r="K1715" t="str">
        <f>T("더 고스트(The Ghost)")</f>
        <v>더 고스트(The Ghost)</v>
      </c>
      <c r="L1715">
        <v>100</v>
      </c>
      <c r="M1715">
        <v>200</v>
      </c>
      <c r="N1715">
        <v>2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200</v>
      </c>
      <c r="AJ1715">
        <v>2</v>
      </c>
      <c r="AK1715">
        <v>0</v>
      </c>
      <c r="AL1715">
        <v>0</v>
      </c>
      <c r="AM1715">
        <v>200</v>
      </c>
      <c r="AN1715">
        <v>0</v>
      </c>
      <c r="AO1715">
        <v>0</v>
      </c>
      <c r="AP1715">
        <v>0</v>
      </c>
      <c r="AQ1715">
        <v>0</v>
      </c>
      <c r="AS1715">
        <v>0</v>
      </c>
      <c r="AT1715">
        <v>0</v>
      </c>
      <c r="AV1715">
        <v>0</v>
      </c>
      <c r="AW1715">
        <v>0</v>
      </c>
      <c r="AY1715">
        <v>0</v>
      </c>
      <c r="AZ1715">
        <v>0</v>
      </c>
      <c r="BA1715">
        <v>120</v>
      </c>
      <c r="BF1715" t="str">
        <f>T("D235966")</f>
        <v>D235966</v>
      </c>
      <c r="BG1715" t="str">
        <f>T("로맨스 웹소설 &gt; 현대물")</f>
        <v>로맨스 웹소설 &gt; 현대물</v>
      </c>
    </row>
    <row r="1716" spans="1:59">
      <c r="A1716" t="s">
        <v>60</v>
      </c>
      <c r="B1716" s="1">
        <v>46129</v>
      </c>
      <c r="C1716">
        <v>2378080895</v>
      </c>
      <c r="D1716">
        <v>2378080913</v>
      </c>
      <c r="E1716" t="str">
        <f>T("더 고스트(The Ghost) 19화")</f>
        <v>더 고스트(The Ghost) 19화</v>
      </c>
      <c r="F1716">
        <v>19</v>
      </c>
      <c r="G1716" t="str">
        <f>T("윤산")</f>
        <v>윤산</v>
      </c>
      <c r="J1716" t="str">
        <f>T("하트퀸")</f>
        <v>하트퀸</v>
      </c>
      <c r="K1716" t="str">
        <f>T("더 고스트(The Ghost)")</f>
        <v>더 고스트(The Ghost)</v>
      </c>
      <c r="L1716">
        <v>100</v>
      </c>
      <c r="M1716">
        <v>200</v>
      </c>
      <c r="N1716">
        <v>2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200</v>
      </c>
      <c r="AJ1716">
        <v>2</v>
      </c>
      <c r="AK1716">
        <v>0</v>
      </c>
      <c r="AL1716">
        <v>0</v>
      </c>
      <c r="AM1716">
        <v>200</v>
      </c>
      <c r="AN1716">
        <v>0</v>
      </c>
      <c r="AO1716">
        <v>0</v>
      </c>
      <c r="AP1716">
        <v>0</v>
      </c>
      <c r="AQ1716">
        <v>0</v>
      </c>
      <c r="AS1716">
        <v>0</v>
      </c>
      <c r="AT1716">
        <v>0</v>
      </c>
      <c r="AV1716">
        <v>0</v>
      </c>
      <c r="AW1716">
        <v>0</v>
      </c>
      <c r="AY1716">
        <v>0</v>
      </c>
      <c r="AZ1716">
        <v>0</v>
      </c>
      <c r="BA1716">
        <v>120</v>
      </c>
      <c r="BF1716" t="str">
        <f>T("D235967")</f>
        <v>D235967</v>
      </c>
      <c r="BG1716" t="str">
        <f>T("로맨스 웹소설 &gt; 현대물")</f>
        <v>로맨스 웹소설 &gt; 현대물</v>
      </c>
    </row>
    <row r="1717" spans="1:59">
      <c r="A1717" t="s">
        <v>60</v>
      </c>
      <c r="B1717" s="1">
        <v>46129</v>
      </c>
      <c r="C1717">
        <v>2378080895</v>
      </c>
      <c r="D1717">
        <v>2378080914</v>
      </c>
      <c r="E1717" t="str">
        <f>T("더 고스트(The Ghost) 20화")</f>
        <v>더 고스트(The Ghost) 20화</v>
      </c>
      <c r="F1717">
        <v>20</v>
      </c>
      <c r="G1717" t="str">
        <f>T("윤산")</f>
        <v>윤산</v>
      </c>
      <c r="J1717" t="str">
        <f>T("하트퀸")</f>
        <v>하트퀸</v>
      </c>
      <c r="K1717" t="str">
        <f>T("더 고스트(The Ghost)")</f>
        <v>더 고스트(The Ghost)</v>
      </c>
      <c r="L1717">
        <v>100</v>
      </c>
      <c r="M1717">
        <v>300</v>
      </c>
      <c r="N1717">
        <v>3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300</v>
      </c>
      <c r="AJ1717">
        <v>3</v>
      </c>
      <c r="AK1717">
        <v>0</v>
      </c>
      <c r="AL1717">
        <v>0</v>
      </c>
      <c r="AM1717">
        <v>200</v>
      </c>
      <c r="AN1717">
        <v>0</v>
      </c>
      <c r="AO1717">
        <v>120</v>
      </c>
      <c r="AP1717">
        <v>-12</v>
      </c>
      <c r="AQ1717">
        <v>0</v>
      </c>
      <c r="AS1717">
        <v>0</v>
      </c>
      <c r="AT1717">
        <v>0</v>
      </c>
      <c r="AU1717">
        <v>120</v>
      </c>
      <c r="AV1717">
        <v>-12</v>
      </c>
      <c r="AW1717">
        <v>0</v>
      </c>
      <c r="AY1717">
        <v>0</v>
      </c>
      <c r="AZ1717">
        <v>0</v>
      </c>
      <c r="BA1717">
        <v>184.8</v>
      </c>
      <c r="BF1717" t="str">
        <f>T("D235968")</f>
        <v>D235968</v>
      </c>
      <c r="BG1717" t="str">
        <f>T("로맨스 웹소설 &gt; 현대물")</f>
        <v>로맨스 웹소설 &gt; 현대물</v>
      </c>
    </row>
    <row r="1718" spans="1:59">
      <c r="A1718" t="s">
        <v>60</v>
      </c>
      <c r="B1718" s="1">
        <v>46129</v>
      </c>
      <c r="C1718">
        <v>2378080895</v>
      </c>
      <c r="D1718">
        <v>2378080915</v>
      </c>
      <c r="E1718" t="str">
        <f>T("더 고스트(The Ghost) 21화")</f>
        <v>더 고스트(The Ghost) 21화</v>
      </c>
      <c r="F1718">
        <v>21</v>
      </c>
      <c r="G1718" t="str">
        <f>T("윤산")</f>
        <v>윤산</v>
      </c>
      <c r="J1718" t="str">
        <f>T("하트퀸")</f>
        <v>하트퀸</v>
      </c>
      <c r="K1718" t="str">
        <f>T("더 고스트(The Ghost)")</f>
        <v>더 고스트(The Ghost)</v>
      </c>
      <c r="L1718">
        <v>100</v>
      </c>
      <c r="M1718">
        <v>300</v>
      </c>
      <c r="N1718">
        <v>3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0</v>
      </c>
      <c r="AH1718">
        <v>0</v>
      </c>
      <c r="AI1718">
        <v>300</v>
      </c>
      <c r="AJ1718">
        <v>3</v>
      </c>
      <c r="AK1718">
        <v>0</v>
      </c>
      <c r="AL1718">
        <v>0</v>
      </c>
      <c r="AM1718">
        <v>200</v>
      </c>
      <c r="AN1718">
        <v>0</v>
      </c>
      <c r="AO1718">
        <v>120</v>
      </c>
      <c r="AP1718">
        <v>-12</v>
      </c>
      <c r="AQ1718">
        <v>0</v>
      </c>
      <c r="AS1718">
        <v>0</v>
      </c>
      <c r="AT1718">
        <v>0</v>
      </c>
      <c r="AU1718">
        <v>120</v>
      </c>
      <c r="AV1718">
        <v>-12</v>
      </c>
      <c r="AW1718">
        <v>0</v>
      </c>
      <c r="AY1718">
        <v>0</v>
      </c>
      <c r="AZ1718">
        <v>0</v>
      </c>
      <c r="BA1718">
        <v>184.8</v>
      </c>
      <c r="BF1718" t="str">
        <f>T("D235969")</f>
        <v>D235969</v>
      </c>
      <c r="BG1718" t="str">
        <f>T("로맨스 웹소설 &gt; 현대물")</f>
        <v>로맨스 웹소설 &gt; 현대물</v>
      </c>
    </row>
    <row r="1719" spans="1:59">
      <c r="A1719" t="s">
        <v>60</v>
      </c>
      <c r="B1719" s="1">
        <v>46129</v>
      </c>
      <c r="C1719">
        <v>2378080895</v>
      </c>
      <c r="D1719">
        <v>2378080916</v>
      </c>
      <c r="E1719" t="str">
        <f>T("더 고스트(The Ghost) 22화")</f>
        <v>더 고스트(The Ghost) 22화</v>
      </c>
      <c r="F1719">
        <v>22</v>
      </c>
      <c r="G1719" t="str">
        <f>T("윤산")</f>
        <v>윤산</v>
      </c>
      <c r="J1719" t="str">
        <f>T("하트퀸")</f>
        <v>하트퀸</v>
      </c>
      <c r="K1719" t="str">
        <f>T("더 고스트(The Ghost)")</f>
        <v>더 고스트(The Ghost)</v>
      </c>
      <c r="L1719">
        <v>100</v>
      </c>
      <c r="M1719">
        <v>300</v>
      </c>
      <c r="N1719">
        <v>3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300</v>
      </c>
      <c r="AJ1719">
        <v>3</v>
      </c>
      <c r="AK1719">
        <v>0</v>
      </c>
      <c r="AL1719">
        <v>0</v>
      </c>
      <c r="AM1719">
        <v>200</v>
      </c>
      <c r="AN1719">
        <v>0</v>
      </c>
      <c r="AO1719">
        <v>120</v>
      </c>
      <c r="AP1719">
        <v>-12</v>
      </c>
      <c r="AQ1719">
        <v>0</v>
      </c>
      <c r="AS1719">
        <v>0</v>
      </c>
      <c r="AT1719">
        <v>0</v>
      </c>
      <c r="AU1719">
        <v>120</v>
      </c>
      <c r="AV1719">
        <v>-12</v>
      </c>
      <c r="AW1719">
        <v>0</v>
      </c>
      <c r="AY1719">
        <v>0</v>
      </c>
      <c r="AZ1719">
        <v>0</v>
      </c>
      <c r="BA1719">
        <v>184.8</v>
      </c>
      <c r="BF1719" t="str">
        <f>T("D235970")</f>
        <v>D235970</v>
      </c>
      <c r="BG1719" t="str">
        <f>T("로맨스 웹소설 &gt; 현대물")</f>
        <v>로맨스 웹소설 &gt; 현대물</v>
      </c>
    </row>
    <row r="1720" spans="1:59">
      <c r="A1720" t="s">
        <v>60</v>
      </c>
      <c r="B1720" s="1">
        <v>46129</v>
      </c>
      <c r="C1720">
        <v>2378080895</v>
      </c>
      <c r="D1720">
        <v>2378080917</v>
      </c>
      <c r="E1720" t="str">
        <f>T("더 고스트(The Ghost) 23화")</f>
        <v>더 고스트(The Ghost) 23화</v>
      </c>
      <c r="F1720">
        <v>23</v>
      </c>
      <c r="G1720" t="str">
        <f>T("윤산")</f>
        <v>윤산</v>
      </c>
      <c r="J1720" t="str">
        <f>T("하트퀸")</f>
        <v>하트퀸</v>
      </c>
      <c r="K1720" t="str">
        <f>T("더 고스트(The Ghost)")</f>
        <v>더 고스트(The Ghost)</v>
      </c>
      <c r="L1720">
        <v>100</v>
      </c>
      <c r="M1720">
        <v>300</v>
      </c>
      <c r="N1720">
        <v>3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300</v>
      </c>
      <c r="AJ1720">
        <v>3</v>
      </c>
      <c r="AK1720">
        <v>0</v>
      </c>
      <c r="AL1720">
        <v>0</v>
      </c>
      <c r="AM1720">
        <v>200</v>
      </c>
      <c r="AN1720">
        <v>0</v>
      </c>
      <c r="AO1720">
        <v>120</v>
      </c>
      <c r="AP1720">
        <v>-12</v>
      </c>
      <c r="AQ1720">
        <v>0</v>
      </c>
      <c r="AS1720">
        <v>0</v>
      </c>
      <c r="AT1720">
        <v>0</v>
      </c>
      <c r="AU1720">
        <v>120</v>
      </c>
      <c r="AV1720">
        <v>-12</v>
      </c>
      <c r="AW1720">
        <v>0</v>
      </c>
      <c r="AY1720">
        <v>0</v>
      </c>
      <c r="AZ1720">
        <v>0</v>
      </c>
      <c r="BA1720">
        <v>184.8</v>
      </c>
      <c r="BF1720" t="str">
        <f>T("D235971")</f>
        <v>D235971</v>
      </c>
      <c r="BG1720" t="str">
        <f>T("로맨스 웹소설 &gt; 현대물")</f>
        <v>로맨스 웹소설 &gt; 현대물</v>
      </c>
    </row>
    <row r="1721" spans="1:59">
      <c r="A1721" t="s">
        <v>60</v>
      </c>
      <c r="B1721" s="1">
        <v>46129</v>
      </c>
      <c r="C1721">
        <v>2378080895</v>
      </c>
      <c r="D1721">
        <v>2378080918</v>
      </c>
      <c r="E1721" t="str">
        <f>T("더 고스트(The Ghost) 24화")</f>
        <v>더 고스트(The Ghost) 24화</v>
      </c>
      <c r="F1721">
        <v>24</v>
      </c>
      <c r="G1721" t="str">
        <f>T("윤산")</f>
        <v>윤산</v>
      </c>
      <c r="J1721" t="str">
        <f>T("하트퀸")</f>
        <v>하트퀸</v>
      </c>
      <c r="K1721" t="str">
        <f>T("더 고스트(The Ghost)")</f>
        <v>더 고스트(The Ghost)</v>
      </c>
      <c r="L1721">
        <v>100</v>
      </c>
      <c r="M1721">
        <v>300</v>
      </c>
      <c r="N1721">
        <v>3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300</v>
      </c>
      <c r="AJ1721">
        <v>3</v>
      </c>
      <c r="AK1721">
        <v>0</v>
      </c>
      <c r="AL1721">
        <v>0</v>
      </c>
      <c r="AM1721">
        <v>200</v>
      </c>
      <c r="AN1721">
        <v>0</v>
      </c>
      <c r="AO1721">
        <v>120</v>
      </c>
      <c r="AP1721">
        <v>-12</v>
      </c>
      <c r="AQ1721">
        <v>0</v>
      </c>
      <c r="AS1721">
        <v>0</v>
      </c>
      <c r="AT1721">
        <v>0</v>
      </c>
      <c r="AU1721">
        <v>120</v>
      </c>
      <c r="AV1721">
        <v>-12</v>
      </c>
      <c r="AW1721">
        <v>0</v>
      </c>
      <c r="AY1721">
        <v>0</v>
      </c>
      <c r="AZ1721">
        <v>0</v>
      </c>
      <c r="BA1721">
        <v>184.8</v>
      </c>
      <c r="BF1721" t="str">
        <f>T("D235972")</f>
        <v>D235972</v>
      </c>
      <c r="BG1721" t="str">
        <f>T("로맨스 웹소설 &gt; 현대물")</f>
        <v>로맨스 웹소설 &gt; 현대물</v>
      </c>
    </row>
    <row r="1722" spans="1:59">
      <c r="A1722" t="s">
        <v>60</v>
      </c>
      <c r="B1722" s="1">
        <v>46129</v>
      </c>
      <c r="C1722">
        <v>2378080895</v>
      </c>
      <c r="D1722">
        <v>2378080919</v>
      </c>
      <c r="E1722" t="str">
        <f>T("더 고스트(The Ghost) 25화")</f>
        <v>더 고스트(The Ghost) 25화</v>
      </c>
      <c r="F1722">
        <v>25</v>
      </c>
      <c r="G1722" t="str">
        <f>T("윤산")</f>
        <v>윤산</v>
      </c>
      <c r="J1722" t="str">
        <f>T("하트퀸")</f>
        <v>하트퀸</v>
      </c>
      <c r="K1722" t="str">
        <f>T("더 고스트(The Ghost)")</f>
        <v>더 고스트(The Ghost)</v>
      </c>
      <c r="L1722">
        <v>100</v>
      </c>
      <c r="M1722">
        <v>300</v>
      </c>
      <c r="N1722">
        <v>3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300</v>
      </c>
      <c r="AJ1722">
        <v>3</v>
      </c>
      <c r="AK1722">
        <v>0</v>
      </c>
      <c r="AL1722">
        <v>0</v>
      </c>
      <c r="AM1722">
        <v>200</v>
      </c>
      <c r="AN1722">
        <v>0</v>
      </c>
      <c r="AO1722">
        <v>120</v>
      </c>
      <c r="AP1722">
        <v>-12</v>
      </c>
      <c r="AQ1722">
        <v>0</v>
      </c>
      <c r="AS1722">
        <v>0</v>
      </c>
      <c r="AT1722">
        <v>0</v>
      </c>
      <c r="AU1722">
        <v>120</v>
      </c>
      <c r="AV1722">
        <v>-12</v>
      </c>
      <c r="AW1722">
        <v>0</v>
      </c>
      <c r="AY1722">
        <v>0</v>
      </c>
      <c r="AZ1722">
        <v>0</v>
      </c>
      <c r="BA1722">
        <v>184.8</v>
      </c>
      <c r="BF1722" t="str">
        <f>T("D235973")</f>
        <v>D235973</v>
      </c>
      <c r="BG1722" t="str">
        <f>T("로맨스 웹소설 &gt; 현대물")</f>
        <v>로맨스 웹소설 &gt; 현대물</v>
      </c>
    </row>
    <row r="1723" spans="1:59">
      <c r="A1723" t="s">
        <v>60</v>
      </c>
      <c r="B1723" s="1">
        <v>46129</v>
      </c>
      <c r="C1723">
        <v>2378080895</v>
      </c>
      <c r="D1723">
        <v>2378080920</v>
      </c>
      <c r="E1723" t="str">
        <f>T("더 고스트(The Ghost) 26화")</f>
        <v>더 고스트(The Ghost) 26화</v>
      </c>
      <c r="F1723">
        <v>26</v>
      </c>
      <c r="G1723" t="str">
        <f>T("윤산")</f>
        <v>윤산</v>
      </c>
      <c r="J1723" t="str">
        <f>T("하트퀸")</f>
        <v>하트퀸</v>
      </c>
      <c r="K1723" t="str">
        <f>T("더 고스트(The Ghost)")</f>
        <v>더 고스트(The Ghost)</v>
      </c>
      <c r="L1723">
        <v>100</v>
      </c>
      <c r="M1723">
        <v>200</v>
      </c>
      <c r="N1723">
        <v>2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200</v>
      </c>
      <c r="AJ1723">
        <v>2</v>
      </c>
      <c r="AK1723">
        <v>0</v>
      </c>
      <c r="AL1723">
        <v>0</v>
      </c>
      <c r="AM1723">
        <v>200</v>
      </c>
      <c r="AN1723">
        <v>0</v>
      </c>
      <c r="AO1723">
        <v>0</v>
      </c>
      <c r="AP1723">
        <v>0</v>
      </c>
      <c r="AQ1723">
        <v>0</v>
      </c>
      <c r="AS1723">
        <v>0</v>
      </c>
      <c r="AT1723">
        <v>0</v>
      </c>
      <c r="AV1723">
        <v>0</v>
      </c>
      <c r="AW1723">
        <v>0</v>
      </c>
      <c r="AY1723">
        <v>0</v>
      </c>
      <c r="AZ1723">
        <v>0</v>
      </c>
      <c r="BA1723">
        <v>120</v>
      </c>
      <c r="BF1723" t="str">
        <f>T("D235974")</f>
        <v>D235974</v>
      </c>
      <c r="BG1723" t="str">
        <f>T("로맨스 웹소설 &gt; 현대물")</f>
        <v>로맨스 웹소설 &gt; 현대물</v>
      </c>
    </row>
    <row r="1724" spans="1:59">
      <c r="A1724" t="s">
        <v>60</v>
      </c>
      <c r="B1724" s="1">
        <v>46129</v>
      </c>
      <c r="C1724">
        <v>2378080895</v>
      </c>
      <c r="D1724">
        <v>2378080921</v>
      </c>
      <c r="E1724" t="str">
        <f>T("더 고스트(The Ghost) 27화")</f>
        <v>더 고스트(The Ghost) 27화</v>
      </c>
      <c r="F1724">
        <v>27</v>
      </c>
      <c r="G1724" t="str">
        <f>T("윤산")</f>
        <v>윤산</v>
      </c>
      <c r="J1724" t="str">
        <f>T("하트퀸")</f>
        <v>하트퀸</v>
      </c>
      <c r="K1724" t="str">
        <f>T("더 고스트(The Ghost)")</f>
        <v>더 고스트(The Ghost)</v>
      </c>
      <c r="L1724">
        <v>100</v>
      </c>
      <c r="M1724">
        <v>200</v>
      </c>
      <c r="N1724">
        <v>2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0</v>
      </c>
      <c r="AH1724">
        <v>0</v>
      </c>
      <c r="AI1724">
        <v>200</v>
      </c>
      <c r="AJ1724">
        <v>2</v>
      </c>
      <c r="AK1724">
        <v>0</v>
      </c>
      <c r="AL1724">
        <v>0</v>
      </c>
      <c r="AM1724">
        <v>200</v>
      </c>
      <c r="AN1724">
        <v>0</v>
      </c>
      <c r="AO1724">
        <v>0</v>
      </c>
      <c r="AP1724">
        <v>0</v>
      </c>
      <c r="AQ1724">
        <v>0</v>
      </c>
      <c r="AS1724">
        <v>0</v>
      </c>
      <c r="AT1724">
        <v>0</v>
      </c>
      <c r="AV1724">
        <v>0</v>
      </c>
      <c r="AW1724">
        <v>0</v>
      </c>
      <c r="AY1724">
        <v>0</v>
      </c>
      <c r="AZ1724">
        <v>0</v>
      </c>
      <c r="BA1724">
        <v>120</v>
      </c>
      <c r="BF1724" t="str">
        <f>T("D235975")</f>
        <v>D235975</v>
      </c>
      <c r="BG1724" t="str">
        <f>T("로맨스 웹소설 &gt; 현대물")</f>
        <v>로맨스 웹소설 &gt; 현대물</v>
      </c>
    </row>
    <row r="1725" spans="1:59">
      <c r="A1725" t="s">
        <v>60</v>
      </c>
      <c r="B1725" s="1">
        <v>46129</v>
      </c>
      <c r="C1725">
        <v>2378080895</v>
      </c>
      <c r="D1725">
        <v>2378080922</v>
      </c>
      <c r="E1725" t="str">
        <f>T("더 고스트(The Ghost) 28화")</f>
        <v>더 고스트(The Ghost) 28화</v>
      </c>
      <c r="F1725">
        <v>28</v>
      </c>
      <c r="G1725" t="str">
        <f>T("윤산")</f>
        <v>윤산</v>
      </c>
      <c r="J1725" t="str">
        <f>T("하트퀸")</f>
        <v>하트퀸</v>
      </c>
      <c r="K1725" t="str">
        <f>T("더 고스트(The Ghost)")</f>
        <v>더 고스트(The Ghost)</v>
      </c>
      <c r="L1725">
        <v>100</v>
      </c>
      <c r="M1725">
        <v>300</v>
      </c>
      <c r="N1725">
        <v>3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300</v>
      </c>
      <c r="AJ1725">
        <v>3</v>
      </c>
      <c r="AK1725">
        <v>0</v>
      </c>
      <c r="AL1725">
        <v>0</v>
      </c>
      <c r="AM1725">
        <v>200</v>
      </c>
      <c r="AN1725">
        <v>0</v>
      </c>
      <c r="AO1725">
        <v>120</v>
      </c>
      <c r="AP1725">
        <v>-12</v>
      </c>
      <c r="AQ1725">
        <v>0</v>
      </c>
      <c r="AS1725">
        <v>0</v>
      </c>
      <c r="AT1725">
        <v>0</v>
      </c>
      <c r="AU1725">
        <v>120</v>
      </c>
      <c r="AV1725">
        <v>-12</v>
      </c>
      <c r="AW1725">
        <v>0</v>
      </c>
      <c r="AY1725">
        <v>0</v>
      </c>
      <c r="AZ1725">
        <v>0</v>
      </c>
      <c r="BA1725">
        <v>184.8</v>
      </c>
      <c r="BF1725" t="str">
        <f>T("D235976")</f>
        <v>D235976</v>
      </c>
      <c r="BG1725" t="str">
        <f>T("로맨스 웹소설 &gt; 현대물")</f>
        <v>로맨스 웹소설 &gt; 현대물</v>
      </c>
    </row>
    <row r="1726" spans="1:59">
      <c r="A1726" t="s">
        <v>60</v>
      </c>
      <c r="B1726" s="1">
        <v>46129</v>
      </c>
      <c r="C1726">
        <v>2378080895</v>
      </c>
      <c r="D1726">
        <v>2378080923</v>
      </c>
      <c r="E1726" t="str">
        <f>T("더 고스트(The Ghost) 29화")</f>
        <v>더 고스트(The Ghost) 29화</v>
      </c>
      <c r="F1726">
        <v>29</v>
      </c>
      <c r="G1726" t="str">
        <f>T("윤산")</f>
        <v>윤산</v>
      </c>
      <c r="J1726" t="str">
        <f>T("하트퀸")</f>
        <v>하트퀸</v>
      </c>
      <c r="K1726" t="str">
        <f>T("더 고스트(The Ghost)")</f>
        <v>더 고스트(The Ghost)</v>
      </c>
      <c r="L1726">
        <v>100</v>
      </c>
      <c r="M1726">
        <v>200</v>
      </c>
      <c r="N1726">
        <v>2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0</v>
      </c>
      <c r="AC1726">
        <v>0</v>
      </c>
      <c r="AD1726">
        <v>0</v>
      </c>
      <c r="AE1726">
        <v>0</v>
      </c>
      <c r="AF1726">
        <v>0</v>
      </c>
      <c r="AG1726">
        <v>0</v>
      </c>
      <c r="AH1726">
        <v>0</v>
      </c>
      <c r="AI1726">
        <v>200</v>
      </c>
      <c r="AJ1726">
        <v>2</v>
      </c>
      <c r="AK1726">
        <v>0</v>
      </c>
      <c r="AL1726">
        <v>0</v>
      </c>
      <c r="AM1726">
        <v>200</v>
      </c>
      <c r="AN1726">
        <v>0</v>
      </c>
      <c r="AO1726">
        <v>0</v>
      </c>
      <c r="AP1726">
        <v>0</v>
      </c>
      <c r="AQ1726">
        <v>0</v>
      </c>
      <c r="AS1726">
        <v>0</v>
      </c>
      <c r="AT1726">
        <v>0</v>
      </c>
      <c r="AV1726">
        <v>0</v>
      </c>
      <c r="AW1726">
        <v>0</v>
      </c>
      <c r="AY1726">
        <v>0</v>
      </c>
      <c r="AZ1726">
        <v>0</v>
      </c>
      <c r="BA1726">
        <v>120</v>
      </c>
      <c r="BF1726" t="str">
        <f>T("D235977")</f>
        <v>D235977</v>
      </c>
      <c r="BG1726" t="str">
        <f>T("로맨스 웹소설 &gt; 현대물")</f>
        <v>로맨스 웹소설 &gt; 현대물</v>
      </c>
    </row>
    <row r="1727" spans="1:59">
      <c r="A1727" t="s">
        <v>60</v>
      </c>
      <c r="B1727" s="1">
        <v>46129</v>
      </c>
      <c r="C1727">
        <v>2378080895</v>
      </c>
      <c r="D1727">
        <v>2378080924</v>
      </c>
      <c r="E1727" t="str">
        <f>T("더 고스트(The Ghost) 30화")</f>
        <v>더 고스트(The Ghost) 30화</v>
      </c>
      <c r="F1727">
        <v>30</v>
      </c>
      <c r="G1727" t="str">
        <f>T("윤산")</f>
        <v>윤산</v>
      </c>
      <c r="J1727" t="str">
        <f>T("하트퀸")</f>
        <v>하트퀸</v>
      </c>
      <c r="K1727" t="str">
        <f>T("더 고스트(The Ghost)")</f>
        <v>더 고스트(The Ghost)</v>
      </c>
      <c r="L1727">
        <v>100</v>
      </c>
      <c r="M1727">
        <v>300</v>
      </c>
      <c r="N1727">
        <v>3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300</v>
      </c>
      <c r="AJ1727">
        <v>3</v>
      </c>
      <c r="AK1727">
        <v>0</v>
      </c>
      <c r="AL1727">
        <v>0</v>
      </c>
      <c r="AM1727">
        <v>200</v>
      </c>
      <c r="AN1727">
        <v>0</v>
      </c>
      <c r="AO1727">
        <v>120</v>
      </c>
      <c r="AP1727">
        <v>-12</v>
      </c>
      <c r="AQ1727">
        <v>0</v>
      </c>
      <c r="AS1727">
        <v>0</v>
      </c>
      <c r="AT1727">
        <v>0</v>
      </c>
      <c r="AU1727">
        <v>120</v>
      </c>
      <c r="AV1727">
        <v>-12</v>
      </c>
      <c r="AW1727">
        <v>0</v>
      </c>
      <c r="AY1727">
        <v>0</v>
      </c>
      <c r="AZ1727">
        <v>0</v>
      </c>
      <c r="BA1727">
        <v>184.8</v>
      </c>
      <c r="BF1727" t="str">
        <f>T("D235978")</f>
        <v>D235978</v>
      </c>
      <c r="BG1727" t="str">
        <f>T("로맨스 웹소설 &gt; 현대물")</f>
        <v>로맨스 웹소설 &gt; 현대물</v>
      </c>
    </row>
    <row r="1728" spans="1:59">
      <c r="A1728" t="s">
        <v>60</v>
      </c>
      <c r="B1728" s="1">
        <v>46129</v>
      </c>
      <c r="C1728">
        <v>2378080895</v>
      </c>
      <c r="D1728">
        <v>2378080925</v>
      </c>
      <c r="E1728" t="str">
        <f>T("더 고스트(The Ghost) 31화")</f>
        <v>더 고스트(The Ghost) 31화</v>
      </c>
      <c r="F1728">
        <v>31</v>
      </c>
      <c r="G1728" t="str">
        <f>T("윤산")</f>
        <v>윤산</v>
      </c>
      <c r="J1728" t="str">
        <f>T("하트퀸")</f>
        <v>하트퀸</v>
      </c>
      <c r="K1728" t="str">
        <f>T("더 고스트(The Ghost)")</f>
        <v>더 고스트(The Ghost)</v>
      </c>
      <c r="L1728">
        <v>100</v>
      </c>
      <c r="M1728">
        <v>200</v>
      </c>
      <c r="N1728">
        <v>2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200</v>
      </c>
      <c r="AJ1728">
        <v>2</v>
      </c>
      <c r="AK1728">
        <v>0</v>
      </c>
      <c r="AL1728">
        <v>0</v>
      </c>
      <c r="AM1728">
        <v>200</v>
      </c>
      <c r="AN1728">
        <v>0</v>
      </c>
      <c r="AO1728">
        <v>0</v>
      </c>
      <c r="AP1728">
        <v>0</v>
      </c>
      <c r="AQ1728">
        <v>0</v>
      </c>
      <c r="AS1728">
        <v>0</v>
      </c>
      <c r="AT1728">
        <v>0</v>
      </c>
      <c r="AV1728">
        <v>0</v>
      </c>
      <c r="AW1728">
        <v>0</v>
      </c>
      <c r="AY1728">
        <v>0</v>
      </c>
      <c r="AZ1728">
        <v>0</v>
      </c>
      <c r="BA1728">
        <v>120</v>
      </c>
      <c r="BF1728" t="str">
        <f>T("D235979")</f>
        <v>D235979</v>
      </c>
      <c r="BG1728" t="str">
        <f>T("로맨스 웹소설 &gt; 현대물")</f>
        <v>로맨스 웹소설 &gt; 현대물</v>
      </c>
    </row>
    <row r="1729" spans="1:59">
      <c r="A1729" t="s">
        <v>60</v>
      </c>
      <c r="B1729" s="1">
        <v>46129</v>
      </c>
      <c r="C1729">
        <v>2378080895</v>
      </c>
      <c r="D1729">
        <v>2378080926</v>
      </c>
      <c r="E1729" t="str">
        <f>T("더 고스트(The Ghost) 32화")</f>
        <v>더 고스트(The Ghost) 32화</v>
      </c>
      <c r="F1729">
        <v>32</v>
      </c>
      <c r="G1729" t="str">
        <f>T("윤산")</f>
        <v>윤산</v>
      </c>
      <c r="J1729" t="str">
        <f>T("하트퀸")</f>
        <v>하트퀸</v>
      </c>
      <c r="K1729" t="str">
        <f>T("더 고스트(The Ghost)")</f>
        <v>더 고스트(The Ghost)</v>
      </c>
      <c r="L1729">
        <v>100</v>
      </c>
      <c r="M1729">
        <v>200</v>
      </c>
      <c r="N1729">
        <v>2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200</v>
      </c>
      <c r="AJ1729">
        <v>2</v>
      </c>
      <c r="AK1729">
        <v>0</v>
      </c>
      <c r="AL1729">
        <v>0</v>
      </c>
      <c r="AM1729">
        <v>200</v>
      </c>
      <c r="AN1729">
        <v>0</v>
      </c>
      <c r="AO1729">
        <v>0</v>
      </c>
      <c r="AP1729">
        <v>0</v>
      </c>
      <c r="AQ1729">
        <v>0</v>
      </c>
      <c r="AS1729">
        <v>0</v>
      </c>
      <c r="AT1729">
        <v>0</v>
      </c>
      <c r="AV1729">
        <v>0</v>
      </c>
      <c r="AW1729">
        <v>0</v>
      </c>
      <c r="AY1729">
        <v>0</v>
      </c>
      <c r="AZ1729">
        <v>0</v>
      </c>
      <c r="BA1729">
        <v>120</v>
      </c>
      <c r="BF1729" t="str">
        <f>T("D235980")</f>
        <v>D235980</v>
      </c>
      <c r="BG1729" t="str">
        <f>T("로맨스 웹소설 &gt; 현대물")</f>
        <v>로맨스 웹소설 &gt; 현대물</v>
      </c>
    </row>
    <row r="1730" spans="1:59">
      <c r="A1730" t="s">
        <v>60</v>
      </c>
      <c r="B1730" s="1">
        <v>46129</v>
      </c>
      <c r="C1730">
        <v>2378080895</v>
      </c>
      <c r="D1730">
        <v>2378080927</v>
      </c>
      <c r="E1730" t="str">
        <f>T("더 고스트(The Ghost) 33화")</f>
        <v>더 고스트(The Ghost) 33화</v>
      </c>
      <c r="F1730">
        <v>33</v>
      </c>
      <c r="G1730" t="str">
        <f>T("윤산")</f>
        <v>윤산</v>
      </c>
      <c r="J1730" t="str">
        <f>T("하트퀸")</f>
        <v>하트퀸</v>
      </c>
      <c r="K1730" t="str">
        <f>T("더 고스트(The Ghost)")</f>
        <v>더 고스트(The Ghost)</v>
      </c>
      <c r="L1730">
        <v>100</v>
      </c>
      <c r="M1730">
        <v>300</v>
      </c>
      <c r="N1730">
        <v>3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300</v>
      </c>
      <c r="AJ1730">
        <v>3</v>
      </c>
      <c r="AK1730">
        <v>0</v>
      </c>
      <c r="AL1730">
        <v>0</v>
      </c>
      <c r="AM1730">
        <v>200</v>
      </c>
      <c r="AN1730">
        <v>0</v>
      </c>
      <c r="AO1730">
        <v>120</v>
      </c>
      <c r="AP1730">
        <v>-12</v>
      </c>
      <c r="AQ1730">
        <v>0</v>
      </c>
      <c r="AS1730">
        <v>0</v>
      </c>
      <c r="AT1730">
        <v>0</v>
      </c>
      <c r="AU1730">
        <v>120</v>
      </c>
      <c r="AV1730">
        <v>-12</v>
      </c>
      <c r="AW1730">
        <v>0</v>
      </c>
      <c r="AY1730">
        <v>0</v>
      </c>
      <c r="AZ1730">
        <v>0</v>
      </c>
      <c r="BA1730">
        <v>184.8</v>
      </c>
      <c r="BF1730" t="str">
        <f>T("D235981")</f>
        <v>D235981</v>
      </c>
      <c r="BG1730" t="str">
        <f>T("로맨스 웹소설 &gt; 현대물")</f>
        <v>로맨스 웹소설 &gt; 현대물</v>
      </c>
    </row>
    <row r="1731" spans="1:59">
      <c r="A1731" t="s">
        <v>60</v>
      </c>
      <c r="B1731" s="1">
        <v>46129</v>
      </c>
      <c r="C1731">
        <v>2378080895</v>
      </c>
      <c r="D1731">
        <v>2378080928</v>
      </c>
      <c r="E1731" t="str">
        <f>T("더 고스트(The Ghost) 34화")</f>
        <v>더 고스트(The Ghost) 34화</v>
      </c>
      <c r="F1731">
        <v>34</v>
      </c>
      <c r="G1731" t="str">
        <f>T("윤산")</f>
        <v>윤산</v>
      </c>
      <c r="J1731" t="str">
        <f>T("하트퀸")</f>
        <v>하트퀸</v>
      </c>
      <c r="K1731" t="str">
        <f>T("더 고스트(The Ghost)")</f>
        <v>더 고스트(The Ghost)</v>
      </c>
      <c r="L1731">
        <v>100</v>
      </c>
      <c r="M1731">
        <v>200</v>
      </c>
      <c r="N1731">
        <v>2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200</v>
      </c>
      <c r="AJ1731">
        <v>2</v>
      </c>
      <c r="AK1731">
        <v>0</v>
      </c>
      <c r="AL1731">
        <v>0</v>
      </c>
      <c r="AM1731">
        <v>200</v>
      </c>
      <c r="AN1731">
        <v>0</v>
      </c>
      <c r="AO1731">
        <v>0</v>
      </c>
      <c r="AP1731">
        <v>0</v>
      </c>
      <c r="AQ1731">
        <v>0</v>
      </c>
      <c r="AS1731">
        <v>0</v>
      </c>
      <c r="AT1731">
        <v>0</v>
      </c>
      <c r="AV1731">
        <v>0</v>
      </c>
      <c r="AW1731">
        <v>0</v>
      </c>
      <c r="AY1731">
        <v>0</v>
      </c>
      <c r="AZ1731">
        <v>0</v>
      </c>
      <c r="BA1731">
        <v>120</v>
      </c>
      <c r="BF1731" t="str">
        <f>T("D235982")</f>
        <v>D235982</v>
      </c>
      <c r="BG1731" t="str">
        <f>T("로맨스 웹소설 &gt; 현대물")</f>
        <v>로맨스 웹소설 &gt; 현대물</v>
      </c>
    </row>
    <row r="1732" spans="1:59">
      <c r="A1732" t="s">
        <v>60</v>
      </c>
      <c r="B1732" s="1">
        <v>46129</v>
      </c>
      <c r="C1732">
        <v>2378080895</v>
      </c>
      <c r="D1732">
        <v>2378080929</v>
      </c>
      <c r="E1732" t="str">
        <f>T("더 고스트(The Ghost) 35화")</f>
        <v>더 고스트(The Ghost) 35화</v>
      </c>
      <c r="F1732">
        <v>35</v>
      </c>
      <c r="G1732" t="str">
        <f>T("윤산")</f>
        <v>윤산</v>
      </c>
      <c r="J1732" t="str">
        <f>T("하트퀸")</f>
        <v>하트퀸</v>
      </c>
      <c r="K1732" t="str">
        <f>T("더 고스트(The Ghost)")</f>
        <v>더 고스트(The Ghost)</v>
      </c>
      <c r="L1732">
        <v>100</v>
      </c>
      <c r="M1732">
        <v>300</v>
      </c>
      <c r="N1732">
        <v>3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0</v>
      </c>
      <c r="AH1732">
        <v>0</v>
      </c>
      <c r="AI1732">
        <v>300</v>
      </c>
      <c r="AJ1732">
        <v>3</v>
      </c>
      <c r="AK1732">
        <v>0</v>
      </c>
      <c r="AL1732">
        <v>0</v>
      </c>
      <c r="AM1732">
        <v>200</v>
      </c>
      <c r="AN1732">
        <v>0</v>
      </c>
      <c r="AO1732">
        <v>120</v>
      </c>
      <c r="AP1732">
        <v>-12</v>
      </c>
      <c r="AQ1732">
        <v>0</v>
      </c>
      <c r="AS1732">
        <v>0</v>
      </c>
      <c r="AT1732">
        <v>0</v>
      </c>
      <c r="AU1732">
        <v>120</v>
      </c>
      <c r="AV1732">
        <v>-12</v>
      </c>
      <c r="AW1732">
        <v>0</v>
      </c>
      <c r="AY1732">
        <v>0</v>
      </c>
      <c r="AZ1732">
        <v>0</v>
      </c>
      <c r="BA1732">
        <v>184.8</v>
      </c>
      <c r="BF1732" t="str">
        <f>T("D235983")</f>
        <v>D235983</v>
      </c>
      <c r="BG1732" t="str">
        <f>T("로맨스 웹소설 &gt; 현대물")</f>
        <v>로맨스 웹소설 &gt; 현대물</v>
      </c>
    </row>
    <row r="1733" spans="1:59">
      <c r="A1733" t="s">
        <v>60</v>
      </c>
      <c r="B1733" s="1">
        <v>46129</v>
      </c>
      <c r="C1733">
        <v>2378080895</v>
      </c>
      <c r="D1733">
        <v>2378080930</v>
      </c>
      <c r="E1733" t="str">
        <f>T("더 고스트(The Ghost) 36화")</f>
        <v>더 고스트(The Ghost) 36화</v>
      </c>
      <c r="F1733">
        <v>36</v>
      </c>
      <c r="G1733" t="str">
        <f>T("윤산")</f>
        <v>윤산</v>
      </c>
      <c r="J1733" t="str">
        <f>T("하트퀸")</f>
        <v>하트퀸</v>
      </c>
      <c r="K1733" t="str">
        <f>T("더 고스트(The Ghost)")</f>
        <v>더 고스트(The Ghost)</v>
      </c>
      <c r="L1733">
        <v>100</v>
      </c>
      <c r="M1733">
        <v>300</v>
      </c>
      <c r="N1733">
        <v>3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0</v>
      </c>
      <c r="AH1733">
        <v>0</v>
      </c>
      <c r="AI1733">
        <v>300</v>
      </c>
      <c r="AJ1733">
        <v>3</v>
      </c>
      <c r="AK1733">
        <v>0</v>
      </c>
      <c r="AL1733">
        <v>0</v>
      </c>
      <c r="AM1733">
        <v>200</v>
      </c>
      <c r="AN1733">
        <v>0</v>
      </c>
      <c r="AO1733">
        <v>120</v>
      </c>
      <c r="AP1733">
        <v>-12</v>
      </c>
      <c r="AQ1733">
        <v>0</v>
      </c>
      <c r="AS1733">
        <v>0</v>
      </c>
      <c r="AT1733">
        <v>0</v>
      </c>
      <c r="AU1733">
        <v>120</v>
      </c>
      <c r="AV1733">
        <v>-12</v>
      </c>
      <c r="AW1733">
        <v>0</v>
      </c>
      <c r="AY1733">
        <v>0</v>
      </c>
      <c r="AZ1733">
        <v>0</v>
      </c>
      <c r="BA1733">
        <v>184.8</v>
      </c>
      <c r="BF1733" t="str">
        <f>T("D235984")</f>
        <v>D235984</v>
      </c>
      <c r="BG1733" t="str">
        <f>T("로맨스 웹소설 &gt; 현대물")</f>
        <v>로맨스 웹소설 &gt; 현대물</v>
      </c>
    </row>
    <row r="1734" spans="1:59">
      <c r="A1734" t="s">
        <v>60</v>
      </c>
      <c r="B1734" s="1">
        <v>46129</v>
      </c>
      <c r="C1734">
        <v>2378080895</v>
      </c>
      <c r="D1734">
        <v>2378080931</v>
      </c>
      <c r="E1734" t="str">
        <f>T("더 고스트(The Ghost) 37화")</f>
        <v>더 고스트(The Ghost) 37화</v>
      </c>
      <c r="F1734">
        <v>37</v>
      </c>
      <c r="G1734" t="str">
        <f>T("윤산")</f>
        <v>윤산</v>
      </c>
      <c r="J1734" t="str">
        <f>T("하트퀸")</f>
        <v>하트퀸</v>
      </c>
      <c r="K1734" t="str">
        <f>T("더 고스트(The Ghost)")</f>
        <v>더 고스트(The Ghost)</v>
      </c>
      <c r="L1734">
        <v>100</v>
      </c>
      <c r="M1734">
        <v>200</v>
      </c>
      <c r="N1734">
        <v>2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200</v>
      </c>
      <c r="AJ1734">
        <v>2</v>
      </c>
      <c r="AK1734">
        <v>0</v>
      </c>
      <c r="AL1734">
        <v>0</v>
      </c>
      <c r="AM1734">
        <v>200</v>
      </c>
      <c r="AN1734">
        <v>0</v>
      </c>
      <c r="AO1734">
        <v>0</v>
      </c>
      <c r="AP1734">
        <v>0</v>
      </c>
      <c r="AQ1734">
        <v>0</v>
      </c>
      <c r="AS1734">
        <v>0</v>
      </c>
      <c r="AT1734">
        <v>0</v>
      </c>
      <c r="AV1734">
        <v>0</v>
      </c>
      <c r="AW1734">
        <v>0</v>
      </c>
      <c r="AY1734">
        <v>0</v>
      </c>
      <c r="AZ1734">
        <v>0</v>
      </c>
      <c r="BA1734">
        <v>120</v>
      </c>
      <c r="BF1734" t="str">
        <f>T("D235985")</f>
        <v>D235985</v>
      </c>
      <c r="BG1734" t="str">
        <f>T("로맨스 웹소설 &gt; 현대물")</f>
        <v>로맨스 웹소설 &gt; 현대물</v>
      </c>
    </row>
    <row r="1735" spans="1:59">
      <c r="A1735" t="s">
        <v>60</v>
      </c>
      <c r="B1735" s="1">
        <v>46129</v>
      </c>
      <c r="C1735">
        <v>2378080895</v>
      </c>
      <c r="D1735">
        <v>2378080932</v>
      </c>
      <c r="E1735" t="str">
        <f>T("더 고스트(The Ghost) 38화")</f>
        <v>더 고스트(The Ghost) 38화</v>
      </c>
      <c r="F1735">
        <v>38</v>
      </c>
      <c r="G1735" t="str">
        <f>T("윤산")</f>
        <v>윤산</v>
      </c>
      <c r="J1735" t="str">
        <f>T("하트퀸")</f>
        <v>하트퀸</v>
      </c>
      <c r="K1735" t="str">
        <f>T("더 고스트(The Ghost)")</f>
        <v>더 고스트(The Ghost)</v>
      </c>
      <c r="L1735">
        <v>100</v>
      </c>
      <c r="M1735">
        <v>300</v>
      </c>
      <c r="N1735">
        <v>3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300</v>
      </c>
      <c r="AJ1735">
        <v>3</v>
      </c>
      <c r="AK1735">
        <v>0</v>
      </c>
      <c r="AL1735">
        <v>0</v>
      </c>
      <c r="AM1735">
        <v>200</v>
      </c>
      <c r="AN1735">
        <v>0</v>
      </c>
      <c r="AO1735">
        <v>120</v>
      </c>
      <c r="AP1735">
        <v>-12</v>
      </c>
      <c r="AQ1735">
        <v>0</v>
      </c>
      <c r="AS1735">
        <v>0</v>
      </c>
      <c r="AT1735">
        <v>0</v>
      </c>
      <c r="AU1735">
        <v>120</v>
      </c>
      <c r="AV1735">
        <v>-12</v>
      </c>
      <c r="AW1735">
        <v>0</v>
      </c>
      <c r="AY1735">
        <v>0</v>
      </c>
      <c r="AZ1735">
        <v>0</v>
      </c>
      <c r="BA1735">
        <v>184.8</v>
      </c>
      <c r="BF1735" t="str">
        <f>T("D235986")</f>
        <v>D235986</v>
      </c>
      <c r="BG1735" t="str">
        <f>T("로맨스 웹소설 &gt; 현대물")</f>
        <v>로맨스 웹소설 &gt; 현대물</v>
      </c>
    </row>
    <row r="1736" spans="1:59">
      <c r="A1736" t="s">
        <v>60</v>
      </c>
      <c r="B1736" s="1">
        <v>46129</v>
      </c>
      <c r="C1736">
        <v>2378080895</v>
      </c>
      <c r="D1736">
        <v>2378080933</v>
      </c>
      <c r="E1736" t="str">
        <f>T("더 고스트(The Ghost) 39화")</f>
        <v>더 고스트(The Ghost) 39화</v>
      </c>
      <c r="F1736">
        <v>39</v>
      </c>
      <c r="G1736" t="str">
        <f>T("윤산")</f>
        <v>윤산</v>
      </c>
      <c r="J1736" t="str">
        <f>T("하트퀸")</f>
        <v>하트퀸</v>
      </c>
      <c r="K1736" t="str">
        <f>T("더 고스트(The Ghost)")</f>
        <v>더 고스트(The Ghost)</v>
      </c>
      <c r="L1736">
        <v>100</v>
      </c>
      <c r="M1736">
        <v>300</v>
      </c>
      <c r="N1736">
        <v>3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300</v>
      </c>
      <c r="AJ1736">
        <v>3</v>
      </c>
      <c r="AK1736">
        <v>0</v>
      </c>
      <c r="AL1736">
        <v>0</v>
      </c>
      <c r="AM1736">
        <v>200</v>
      </c>
      <c r="AN1736">
        <v>0</v>
      </c>
      <c r="AO1736">
        <v>120</v>
      </c>
      <c r="AP1736">
        <v>-12</v>
      </c>
      <c r="AQ1736">
        <v>0</v>
      </c>
      <c r="AS1736">
        <v>0</v>
      </c>
      <c r="AT1736">
        <v>0</v>
      </c>
      <c r="AU1736">
        <v>120</v>
      </c>
      <c r="AV1736">
        <v>-12</v>
      </c>
      <c r="AW1736">
        <v>0</v>
      </c>
      <c r="AY1736">
        <v>0</v>
      </c>
      <c r="AZ1736">
        <v>0</v>
      </c>
      <c r="BA1736">
        <v>184.8</v>
      </c>
      <c r="BF1736" t="str">
        <f>T("D235987")</f>
        <v>D235987</v>
      </c>
      <c r="BG1736" t="str">
        <f>T("로맨스 웹소설 &gt; 현대물")</f>
        <v>로맨스 웹소설 &gt; 현대물</v>
      </c>
    </row>
    <row r="1737" spans="1:59">
      <c r="A1737" t="s">
        <v>60</v>
      </c>
      <c r="B1737" s="1">
        <v>46129</v>
      </c>
      <c r="C1737">
        <v>2378080895</v>
      </c>
      <c r="D1737">
        <v>2378080934</v>
      </c>
      <c r="E1737" t="str">
        <f>T("더 고스트(The Ghost) 40화")</f>
        <v>더 고스트(The Ghost) 40화</v>
      </c>
      <c r="F1737">
        <v>40</v>
      </c>
      <c r="G1737" t="str">
        <f>T("윤산")</f>
        <v>윤산</v>
      </c>
      <c r="J1737" t="str">
        <f>T("하트퀸")</f>
        <v>하트퀸</v>
      </c>
      <c r="K1737" t="str">
        <f>T("더 고스트(The Ghost)")</f>
        <v>더 고스트(The Ghost)</v>
      </c>
      <c r="L1737">
        <v>100</v>
      </c>
      <c r="M1737">
        <v>300</v>
      </c>
      <c r="N1737">
        <v>3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300</v>
      </c>
      <c r="AJ1737">
        <v>3</v>
      </c>
      <c r="AK1737">
        <v>0</v>
      </c>
      <c r="AL1737">
        <v>0</v>
      </c>
      <c r="AM1737">
        <v>200</v>
      </c>
      <c r="AN1737">
        <v>0</v>
      </c>
      <c r="AO1737">
        <v>120</v>
      </c>
      <c r="AP1737">
        <v>-12</v>
      </c>
      <c r="AQ1737">
        <v>0</v>
      </c>
      <c r="AS1737">
        <v>0</v>
      </c>
      <c r="AT1737">
        <v>0</v>
      </c>
      <c r="AU1737">
        <v>120</v>
      </c>
      <c r="AV1737">
        <v>-12</v>
      </c>
      <c r="AW1737">
        <v>0</v>
      </c>
      <c r="AY1737">
        <v>0</v>
      </c>
      <c r="AZ1737">
        <v>0</v>
      </c>
      <c r="BA1737">
        <v>184.8</v>
      </c>
      <c r="BF1737" t="str">
        <f>T("D235988")</f>
        <v>D235988</v>
      </c>
      <c r="BG1737" t="str">
        <f>T("로맨스 웹소설 &gt; 현대물")</f>
        <v>로맨스 웹소설 &gt; 현대물</v>
      </c>
    </row>
    <row r="1738" spans="1:59">
      <c r="A1738" t="s">
        <v>60</v>
      </c>
      <c r="B1738" s="1">
        <v>46129</v>
      </c>
      <c r="C1738">
        <v>2378080895</v>
      </c>
      <c r="D1738">
        <v>2378080935</v>
      </c>
      <c r="E1738" t="str">
        <f>T("더 고스트(The Ghost) 41화")</f>
        <v>더 고스트(The Ghost) 41화</v>
      </c>
      <c r="F1738">
        <v>41</v>
      </c>
      <c r="G1738" t="str">
        <f>T("윤산")</f>
        <v>윤산</v>
      </c>
      <c r="J1738" t="str">
        <f>T("하트퀸")</f>
        <v>하트퀸</v>
      </c>
      <c r="K1738" t="str">
        <f>T("더 고스트(The Ghost)")</f>
        <v>더 고스트(The Ghost)</v>
      </c>
      <c r="L1738">
        <v>100</v>
      </c>
      <c r="M1738">
        <v>300</v>
      </c>
      <c r="N1738">
        <v>3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300</v>
      </c>
      <c r="AJ1738">
        <v>3</v>
      </c>
      <c r="AK1738">
        <v>0</v>
      </c>
      <c r="AL1738">
        <v>0</v>
      </c>
      <c r="AM1738">
        <v>200</v>
      </c>
      <c r="AN1738">
        <v>0</v>
      </c>
      <c r="AO1738">
        <v>120</v>
      </c>
      <c r="AP1738">
        <v>-12</v>
      </c>
      <c r="AQ1738">
        <v>0</v>
      </c>
      <c r="AS1738">
        <v>0</v>
      </c>
      <c r="AT1738">
        <v>0</v>
      </c>
      <c r="AU1738">
        <v>120</v>
      </c>
      <c r="AV1738">
        <v>-12</v>
      </c>
      <c r="AW1738">
        <v>0</v>
      </c>
      <c r="AY1738">
        <v>0</v>
      </c>
      <c r="AZ1738">
        <v>0</v>
      </c>
      <c r="BA1738">
        <v>184.8</v>
      </c>
      <c r="BF1738" t="str">
        <f>T("D235989")</f>
        <v>D235989</v>
      </c>
      <c r="BG1738" t="str">
        <f>T("로맨스 웹소설 &gt; 현대물")</f>
        <v>로맨스 웹소설 &gt; 현대물</v>
      </c>
    </row>
    <row r="1739" spans="1:59">
      <c r="A1739" t="s">
        <v>60</v>
      </c>
      <c r="B1739" s="1">
        <v>46129</v>
      </c>
      <c r="C1739">
        <v>2378080895</v>
      </c>
      <c r="D1739">
        <v>2378080936</v>
      </c>
      <c r="E1739" t="str">
        <f>T("더 고스트(The Ghost) 42화")</f>
        <v>더 고스트(The Ghost) 42화</v>
      </c>
      <c r="F1739">
        <v>42</v>
      </c>
      <c r="G1739" t="str">
        <f>T("윤산")</f>
        <v>윤산</v>
      </c>
      <c r="J1739" t="str">
        <f>T("하트퀸")</f>
        <v>하트퀸</v>
      </c>
      <c r="K1739" t="str">
        <f>T("더 고스트(The Ghost)")</f>
        <v>더 고스트(The Ghost)</v>
      </c>
      <c r="L1739">
        <v>100</v>
      </c>
      <c r="M1739">
        <v>300</v>
      </c>
      <c r="N1739">
        <v>3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300</v>
      </c>
      <c r="AJ1739">
        <v>3</v>
      </c>
      <c r="AK1739">
        <v>0</v>
      </c>
      <c r="AL1739">
        <v>0</v>
      </c>
      <c r="AM1739">
        <v>200</v>
      </c>
      <c r="AN1739">
        <v>0</v>
      </c>
      <c r="AO1739">
        <v>120</v>
      </c>
      <c r="AP1739">
        <v>-12</v>
      </c>
      <c r="AQ1739">
        <v>0</v>
      </c>
      <c r="AS1739">
        <v>0</v>
      </c>
      <c r="AT1739">
        <v>0</v>
      </c>
      <c r="AU1739">
        <v>120</v>
      </c>
      <c r="AV1739">
        <v>-12</v>
      </c>
      <c r="AW1739">
        <v>0</v>
      </c>
      <c r="AY1739">
        <v>0</v>
      </c>
      <c r="AZ1739">
        <v>0</v>
      </c>
      <c r="BA1739">
        <v>184.8</v>
      </c>
      <c r="BF1739" t="str">
        <f>T("D235990")</f>
        <v>D235990</v>
      </c>
      <c r="BG1739" t="str">
        <f>T("로맨스 웹소설 &gt; 현대물")</f>
        <v>로맨스 웹소설 &gt; 현대물</v>
      </c>
    </row>
    <row r="1740" spans="1:59">
      <c r="A1740" t="s">
        <v>60</v>
      </c>
      <c r="B1740" s="1">
        <v>46129</v>
      </c>
      <c r="C1740">
        <v>2378080895</v>
      </c>
      <c r="D1740">
        <v>2378080937</v>
      </c>
      <c r="E1740" t="str">
        <f>T("더 고스트(The Ghost) 43화")</f>
        <v>더 고스트(The Ghost) 43화</v>
      </c>
      <c r="F1740">
        <v>43</v>
      </c>
      <c r="G1740" t="str">
        <f>T("윤산")</f>
        <v>윤산</v>
      </c>
      <c r="J1740" t="str">
        <f>T("하트퀸")</f>
        <v>하트퀸</v>
      </c>
      <c r="K1740" t="str">
        <f>T("더 고스트(The Ghost)")</f>
        <v>더 고스트(The Ghost)</v>
      </c>
      <c r="L1740">
        <v>100</v>
      </c>
      <c r="M1740">
        <v>300</v>
      </c>
      <c r="N1740">
        <v>3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0</v>
      </c>
      <c r="AH1740">
        <v>0</v>
      </c>
      <c r="AI1740">
        <v>300</v>
      </c>
      <c r="AJ1740">
        <v>3</v>
      </c>
      <c r="AK1740">
        <v>0</v>
      </c>
      <c r="AL1740">
        <v>0</v>
      </c>
      <c r="AM1740">
        <v>200</v>
      </c>
      <c r="AN1740">
        <v>0</v>
      </c>
      <c r="AO1740">
        <v>120</v>
      </c>
      <c r="AP1740">
        <v>-12</v>
      </c>
      <c r="AQ1740">
        <v>0</v>
      </c>
      <c r="AS1740">
        <v>0</v>
      </c>
      <c r="AT1740">
        <v>0</v>
      </c>
      <c r="AU1740">
        <v>120</v>
      </c>
      <c r="AV1740">
        <v>-12</v>
      </c>
      <c r="AW1740">
        <v>0</v>
      </c>
      <c r="AY1740">
        <v>0</v>
      </c>
      <c r="AZ1740">
        <v>0</v>
      </c>
      <c r="BA1740">
        <v>184.8</v>
      </c>
      <c r="BF1740" t="str">
        <f>T("D235991")</f>
        <v>D235991</v>
      </c>
      <c r="BG1740" t="str">
        <f>T("로맨스 웹소설 &gt; 현대물")</f>
        <v>로맨스 웹소설 &gt; 현대물</v>
      </c>
    </row>
    <row r="1741" spans="1:59">
      <c r="A1741" t="s">
        <v>60</v>
      </c>
      <c r="B1741" s="1">
        <v>46129</v>
      </c>
      <c r="C1741">
        <v>2378080895</v>
      </c>
      <c r="D1741">
        <v>2378080938</v>
      </c>
      <c r="E1741" t="str">
        <f>T("더 고스트(The Ghost) 44화")</f>
        <v>더 고스트(The Ghost) 44화</v>
      </c>
      <c r="F1741">
        <v>44</v>
      </c>
      <c r="G1741" t="str">
        <f>T("윤산")</f>
        <v>윤산</v>
      </c>
      <c r="J1741" t="str">
        <f>T("하트퀸")</f>
        <v>하트퀸</v>
      </c>
      <c r="K1741" t="str">
        <f>T("더 고스트(The Ghost)")</f>
        <v>더 고스트(The Ghost)</v>
      </c>
      <c r="L1741">
        <v>100</v>
      </c>
      <c r="M1741">
        <v>300</v>
      </c>
      <c r="N1741">
        <v>3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300</v>
      </c>
      <c r="AJ1741">
        <v>3</v>
      </c>
      <c r="AK1741">
        <v>0</v>
      </c>
      <c r="AL1741">
        <v>0</v>
      </c>
      <c r="AM1741">
        <v>200</v>
      </c>
      <c r="AN1741">
        <v>0</v>
      </c>
      <c r="AO1741">
        <v>120</v>
      </c>
      <c r="AP1741">
        <v>-12</v>
      </c>
      <c r="AQ1741">
        <v>0</v>
      </c>
      <c r="AS1741">
        <v>0</v>
      </c>
      <c r="AT1741">
        <v>0</v>
      </c>
      <c r="AU1741">
        <v>120</v>
      </c>
      <c r="AV1741">
        <v>-12</v>
      </c>
      <c r="AW1741">
        <v>0</v>
      </c>
      <c r="AY1741">
        <v>0</v>
      </c>
      <c r="AZ1741">
        <v>0</v>
      </c>
      <c r="BA1741">
        <v>184.8</v>
      </c>
      <c r="BF1741" t="str">
        <f>T("D235992")</f>
        <v>D235992</v>
      </c>
      <c r="BG1741" t="str">
        <f>T("로맨스 웹소설 &gt; 현대물")</f>
        <v>로맨스 웹소설 &gt; 현대물</v>
      </c>
    </row>
    <row r="1742" spans="1:59">
      <c r="A1742" t="s">
        <v>60</v>
      </c>
      <c r="B1742" s="1">
        <v>46129</v>
      </c>
      <c r="C1742">
        <v>2378080895</v>
      </c>
      <c r="D1742">
        <v>2378080939</v>
      </c>
      <c r="E1742" t="str">
        <f>T("더 고스트(The Ghost) 45화")</f>
        <v>더 고스트(The Ghost) 45화</v>
      </c>
      <c r="F1742">
        <v>45</v>
      </c>
      <c r="G1742" t="str">
        <f>T("윤산")</f>
        <v>윤산</v>
      </c>
      <c r="J1742" t="str">
        <f>T("하트퀸")</f>
        <v>하트퀸</v>
      </c>
      <c r="K1742" t="str">
        <f>T("더 고스트(The Ghost)")</f>
        <v>더 고스트(The Ghost)</v>
      </c>
      <c r="L1742">
        <v>100</v>
      </c>
      <c r="M1742">
        <v>200</v>
      </c>
      <c r="N1742">
        <v>2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200</v>
      </c>
      <c r="AJ1742">
        <v>2</v>
      </c>
      <c r="AK1742">
        <v>0</v>
      </c>
      <c r="AL1742">
        <v>0</v>
      </c>
      <c r="AM1742">
        <v>200</v>
      </c>
      <c r="AN1742">
        <v>0</v>
      </c>
      <c r="AO1742">
        <v>0</v>
      </c>
      <c r="AP1742">
        <v>0</v>
      </c>
      <c r="AQ1742">
        <v>0</v>
      </c>
      <c r="AS1742">
        <v>0</v>
      </c>
      <c r="AT1742">
        <v>0</v>
      </c>
      <c r="AV1742">
        <v>0</v>
      </c>
      <c r="AW1742">
        <v>0</v>
      </c>
      <c r="AY1742">
        <v>0</v>
      </c>
      <c r="AZ1742">
        <v>0</v>
      </c>
      <c r="BA1742">
        <v>120</v>
      </c>
      <c r="BF1742" t="str">
        <f>T("D235993")</f>
        <v>D235993</v>
      </c>
      <c r="BG1742" t="str">
        <f>T("로맨스 웹소설 &gt; 현대물")</f>
        <v>로맨스 웹소설 &gt; 현대물</v>
      </c>
    </row>
    <row r="1743" spans="1:59">
      <c r="A1743" t="s">
        <v>60</v>
      </c>
      <c r="B1743" s="1">
        <v>46129</v>
      </c>
      <c r="C1743">
        <v>2378080895</v>
      </c>
      <c r="D1743">
        <v>2378080940</v>
      </c>
      <c r="E1743" t="str">
        <f>T("더 고스트(The Ghost) 46화")</f>
        <v>더 고스트(The Ghost) 46화</v>
      </c>
      <c r="F1743">
        <v>46</v>
      </c>
      <c r="G1743" t="str">
        <f>T("윤산")</f>
        <v>윤산</v>
      </c>
      <c r="J1743" t="str">
        <f>T("하트퀸")</f>
        <v>하트퀸</v>
      </c>
      <c r="K1743" t="str">
        <f>T("더 고스트(The Ghost)")</f>
        <v>더 고스트(The Ghost)</v>
      </c>
      <c r="L1743">
        <v>100</v>
      </c>
      <c r="M1743">
        <v>300</v>
      </c>
      <c r="N1743">
        <v>3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300</v>
      </c>
      <c r="AJ1743">
        <v>3</v>
      </c>
      <c r="AK1743">
        <v>0</v>
      </c>
      <c r="AL1743">
        <v>0</v>
      </c>
      <c r="AM1743">
        <v>300</v>
      </c>
      <c r="AN1743">
        <v>0</v>
      </c>
      <c r="AO1743">
        <v>0</v>
      </c>
      <c r="AP1743">
        <v>0</v>
      </c>
      <c r="AQ1743">
        <v>0</v>
      </c>
      <c r="AS1743">
        <v>0</v>
      </c>
      <c r="AT1743">
        <v>0</v>
      </c>
      <c r="AV1743">
        <v>0</v>
      </c>
      <c r="AW1743">
        <v>0</v>
      </c>
      <c r="AY1743">
        <v>0</v>
      </c>
      <c r="AZ1743">
        <v>0</v>
      </c>
      <c r="BA1743">
        <v>180</v>
      </c>
      <c r="BF1743" t="str">
        <f>T("D235994")</f>
        <v>D235994</v>
      </c>
      <c r="BG1743" t="str">
        <f>T("로맨스 웹소설 &gt; 현대물")</f>
        <v>로맨스 웹소설 &gt; 현대물</v>
      </c>
    </row>
    <row r="1744" spans="1:59">
      <c r="A1744" t="s">
        <v>60</v>
      </c>
      <c r="B1744" s="1">
        <v>46129</v>
      </c>
      <c r="C1744">
        <v>2378080895</v>
      </c>
      <c r="D1744">
        <v>2378080941</v>
      </c>
      <c r="E1744" t="str">
        <f>T("더 고스트(The Ghost) 47화")</f>
        <v>더 고스트(The Ghost) 47화</v>
      </c>
      <c r="F1744">
        <v>47</v>
      </c>
      <c r="G1744" t="str">
        <f>T("윤산")</f>
        <v>윤산</v>
      </c>
      <c r="J1744" t="str">
        <f>T("하트퀸")</f>
        <v>하트퀸</v>
      </c>
      <c r="K1744" t="str">
        <f>T("더 고스트(The Ghost)")</f>
        <v>더 고스트(The Ghost)</v>
      </c>
      <c r="L1744">
        <v>100</v>
      </c>
      <c r="M1744">
        <v>400</v>
      </c>
      <c r="N1744">
        <v>4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0</v>
      </c>
      <c r="AC1744">
        <v>0</v>
      </c>
      <c r="AD1744">
        <v>0</v>
      </c>
      <c r="AE1744">
        <v>0</v>
      </c>
      <c r="AF1744">
        <v>0</v>
      </c>
      <c r="AG1744">
        <v>0</v>
      </c>
      <c r="AH1744">
        <v>0</v>
      </c>
      <c r="AI1744">
        <v>400</v>
      </c>
      <c r="AJ1744">
        <v>4</v>
      </c>
      <c r="AK1744">
        <v>0</v>
      </c>
      <c r="AL1744">
        <v>0</v>
      </c>
      <c r="AM1744">
        <v>300</v>
      </c>
      <c r="AN1744">
        <v>0</v>
      </c>
      <c r="AO1744">
        <v>120</v>
      </c>
      <c r="AP1744">
        <v>-12</v>
      </c>
      <c r="AQ1744">
        <v>0</v>
      </c>
      <c r="AS1744">
        <v>0</v>
      </c>
      <c r="AT1744">
        <v>0</v>
      </c>
      <c r="AU1744">
        <v>120</v>
      </c>
      <c r="AV1744">
        <v>-12</v>
      </c>
      <c r="AW1744">
        <v>0</v>
      </c>
      <c r="AY1744">
        <v>0</v>
      </c>
      <c r="AZ1744">
        <v>0</v>
      </c>
      <c r="BA1744">
        <v>244.8</v>
      </c>
      <c r="BF1744" t="str">
        <f>T("D235995")</f>
        <v>D235995</v>
      </c>
      <c r="BG1744" t="str">
        <f>T("로맨스 웹소설 &gt; 현대물")</f>
        <v>로맨스 웹소설 &gt; 현대물</v>
      </c>
    </row>
    <row r="1745" spans="1:59">
      <c r="A1745" t="s">
        <v>60</v>
      </c>
      <c r="B1745" s="1">
        <v>46129</v>
      </c>
      <c r="C1745">
        <v>2378080895</v>
      </c>
      <c r="D1745">
        <v>2378080942</v>
      </c>
      <c r="E1745" t="str">
        <f>T("더 고스트(The Ghost) 48화")</f>
        <v>더 고스트(The Ghost) 48화</v>
      </c>
      <c r="F1745">
        <v>48</v>
      </c>
      <c r="G1745" t="str">
        <f>T("윤산")</f>
        <v>윤산</v>
      </c>
      <c r="J1745" t="str">
        <f>T("하트퀸")</f>
        <v>하트퀸</v>
      </c>
      <c r="K1745" t="str">
        <f>T("더 고스트(The Ghost)")</f>
        <v>더 고스트(The Ghost)</v>
      </c>
      <c r="L1745">
        <v>100</v>
      </c>
      <c r="M1745">
        <v>300</v>
      </c>
      <c r="N1745">
        <v>3</v>
      </c>
      <c r="O1745">
        <v>0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300</v>
      </c>
      <c r="AJ1745">
        <v>3</v>
      </c>
      <c r="AK1745">
        <v>0</v>
      </c>
      <c r="AL1745">
        <v>0</v>
      </c>
      <c r="AM1745">
        <v>300</v>
      </c>
      <c r="AN1745">
        <v>0</v>
      </c>
      <c r="AO1745">
        <v>0</v>
      </c>
      <c r="AP1745">
        <v>0</v>
      </c>
      <c r="AQ1745">
        <v>0</v>
      </c>
      <c r="AS1745">
        <v>0</v>
      </c>
      <c r="AT1745">
        <v>0</v>
      </c>
      <c r="AV1745">
        <v>0</v>
      </c>
      <c r="AW1745">
        <v>0</v>
      </c>
      <c r="AY1745">
        <v>0</v>
      </c>
      <c r="AZ1745">
        <v>0</v>
      </c>
      <c r="BA1745">
        <v>180</v>
      </c>
      <c r="BF1745" t="str">
        <f>T("D235996")</f>
        <v>D235996</v>
      </c>
      <c r="BG1745" t="str">
        <f>T("로맨스 웹소설 &gt; 현대물")</f>
        <v>로맨스 웹소설 &gt; 현대물</v>
      </c>
    </row>
    <row r="1746" spans="1:59">
      <c r="A1746" t="s">
        <v>60</v>
      </c>
      <c r="B1746" s="1">
        <v>46129</v>
      </c>
      <c r="C1746">
        <v>2378080895</v>
      </c>
      <c r="D1746">
        <v>2378080943</v>
      </c>
      <c r="E1746" t="str">
        <f>T("더 고스트(The Ghost) 49화")</f>
        <v>더 고스트(The Ghost) 49화</v>
      </c>
      <c r="F1746">
        <v>49</v>
      </c>
      <c r="G1746" t="str">
        <f>T("윤산")</f>
        <v>윤산</v>
      </c>
      <c r="J1746" t="str">
        <f>T("하트퀸")</f>
        <v>하트퀸</v>
      </c>
      <c r="K1746" t="str">
        <f>T("더 고스트(The Ghost)")</f>
        <v>더 고스트(The Ghost)</v>
      </c>
      <c r="L1746">
        <v>100</v>
      </c>
      <c r="M1746">
        <v>300</v>
      </c>
      <c r="N1746">
        <v>3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0</v>
      </c>
      <c r="AH1746">
        <v>0</v>
      </c>
      <c r="AI1746">
        <v>300</v>
      </c>
      <c r="AJ1746">
        <v>3</v>
      </c>
      <c r="AK1746">
        <v>0</v>
      </c>
      <c r="AL1746">
        <v>0</v>
      </c>
      <c r="AM1746">
        <v>300</v>
      </c>
      <c r="AN1746">
        <v>0</v>
      </c>
      <c r="AO1746">
        <v>0</v>
      </c>
      <c r="AP1746">
        <v>0</v>
      </c>
      <c r="AQ1746">
        <v>0</v>
      </c>
      <c r="AS1746">
        <v>0</v>
      </c>
      <c r="AT1746">
        <v>0</v>
      </c>
      <c r="AV1746">
        <v>0</v>
      </c>
      <c r="AW1746">
        <v>0</v>
      </c>
      <c r="AY1746">
        <v>0</v>
      </c>
      <c r="AZ1746">
        <v>0</v>
      </c>
      <c r="BA1746">
        <v>180</v>
      </c>
      <c r="BF1746" t="str">
        <f>T("D235997")</f>
        <v>D235997</v>
      </c>
      <c r="BG1746" t="str">
        <f>T("로맨스 웹소설 &gt; 현대물")</f>
        <v>로맨스 웹소설 &gt; 현대물</v>
      </c>
    </row>
    <row r="1747" spans="1:59">
      <c r="A1747" t="s">
        <v>60</v>
      </c>
      <c r="B1747" s="1">
        <v>46129</v>
      </c>
      <c r="C1747">
        <v>2378080895</v>
      </c>
      <c r="D1747">
        <v>2378080944</v>
      </c>
      <c r="E1747" t="str">
        <f>T("더 고스트(The Ghost) 50화")</f>
        <v>더 고스트(The Ghost) 50화</v>
      </c>
      <c r="F1747">
        <v>50</v>
      </c>
      <c r="G1747" t="str">
        <f>T("윤산")</f>
        <v>윤산</v>
      </c>
      <c r="J1747" t="str">
        <f>T("하트퀸")</f>
        <v>하트퀸</v>
      </c>
      <c r="K1747" t="str">
        <f>T("더 고스트(The Ghost)")</f>
        <v>더 고스트(The Ghost)</v>
      </c>
      <c r="L1747">
        <v>100</v>
      </c>
      <c r="M1747">
        <v>500</v>
      </c>
      <c r="N1747">
        <v>5</v>
      </c>
      <c r="O1747">
        <v>0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500</v>
      </c>
      <c r="AJ1747">
        <v>5</v>
      </c>
      <c r="AK1747">
        <v>0</v>
      </c>
      <c r="AL1747">
        <v>0</v>
      </c>
      <c r="AM1747">
        <v>400</v>
      </c>
      <c r="AN1747">
        <v>0</v>
      </c>
      <c r="AO1747">
        <v>120</v>
      </c>
      <c r="AP1747">
        <v>-12</v>
      </c>
      <c r="AQ1747">
        <v>0</v>
      </c>
      <c r="AS1747">
        <v>0</v>
      </c>
      <c r="AT1747">
        <v>0</v>
      </c>
      <c r="AU1747">
        <v>120</v>
      </c>
      <c r="AV1747">
        <v>-12</v>
      </c>
      <c r="AW1747">
        <v>0</v>
      </c>
      <c r="AY1747">
        <v>0</v>
      </c>
      <c r="AZ1747">
        <v>0</v>
      </c>
      <c r="BA1747">
        <v>304.8</v>
      </c>
      <c r="BF1747" t="str">
        <f>T("D235998")</f>
        <v>D235998</v>
      </c>
      <c r="BG1747" t="str">
        <f>T("로맨스 웹소설 &gt; 현대물")</f>
        <v>로맨스 웹소설 &gt; 현대물</v>
      </c>
    </row>
    <row r="1748" spans="1:59">
      <c r="A1748" t="s">
        <v>60</v>
      </c>
      <c r="B1748" s="1">
        <v>46129</v>
      </c>
      <c r="C1748">
        <v>2378080895</v>
      </c>
      <c r="D1748">
        <v>2378080945</v>
      </c>
      <c r="E1748" t="str">
        <f>T("더 고스트(The Ghost) 51화")</f>
        <v>더 고스트(The Ghost) 51화</v>
      </c>
      <c r="F1748">
        <v>51</v>
      </c>
      <c r="G1748" t="str">
        <f>T("윤산")</f>
        <v>윤산</v>
      </c>
      <c r="J1748" t="str">
        <f>T("하트퀸")</f>
        <v>하트퀸</v>
      </c>
      <c r="K1748" t="str">
        <f>T("더 고스트(The Ghost)")</f>
        <v>더 고스트(The Ghost)</v>
      </c>
      <c r="L1748">
        <v>100</v>
      </c>
      <c r="M1748">
        <v>400</v>
      </c>
      <c r="N1748">
        <v>4</v>
      </c>
      <c r="O1748">
        <v>0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400</v>
      </c>
      <c r="AJ1748">
        <v>4</v>
      </c>
      <c r="AK1748">
        <v>0</v>
      </c>
      <c r="AL1748">
        <v>0</v>
      </c>
      <c r="AM1748">
        <v>300</v>
      </c>
      <c r="AN1748">
        <v>0</v>
      </c>
      <c r="AO1748">
        <v>120</v>
      </c>
      <c r="AP1748">
        <v>-12</v>
      </c>
      <c r="AQ1748">
        <v>0</v>
      </c>
      <c r="AS1748">
        <v>0</v>
      </c>
      <c r="AT1748">
        <v>0</v>
      </c>
      <c r="AU1748">
        <v>120</v>
      </c>
      <c r="AV1748">
        <v>-12</v>
      </c>
      <c r="AW1748">
        <v>0</v>
      </c>
      <c r="AY1748">
        <v>0</v>
      </c>
      <c r="AZ1748">
        <v>0</v>
      </c>
      <c r="BA1748">
        <v>244.8</v>
      </c>
      <c r="BF1748" t="str">
        <f>T("D235999")</f>
        <v>D235999</v>
      </c>
      <c r="BG1748" t="str">
        <f>T("로맨스 웹소설 &gt; 현대물")</f>
        <v>로맨스 웹소설 &gt; 현대물</v>
      </c>
    </row>
    <row r="1749" spans="1:59">
      <c r="A1749" t="s">
        <v>60</v>
      </c>
      <c r="B1749" s="1">
        <v>46129</v>
      </c>
      <c r="C1749">
        <v>2378080895</v>
      </c>
      <c r="D1749">
        <v>2378080946</v>
      </c>
      <c r="E1749" t="str">
        <f>T("더 고스트(The Ghost) 52화")</f>
        <v>더 고스트(The Ghost) 52화</v>
      </c>
      <c r="F1749">
        <v>52</v>
      </c>
      <c r="G1749" t="str">
        <f>T("윤산")</f>
        <v>윤산</v>
      </c>
      <c r="J1749" t="str">
        <f>T("하트퀸")</f>
        <v>하트퀸</v>
      </c>
      <c r="K1749" t="str">
        <f>T("더 고스트(The Ghost)")</f>
        <v>더 고스트(The Ghost)</v>
      </c>
      <c r="L1749">
        <v>100</v>
      </c>
      <c r="M1749">
        <v>300</v>
      </c>
      <c r="N1749">
        <v>3</v>
      </c>
      <c r="O1749">
        <v>0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300</v>
      </c>
      <c r="AJ1749">
        <v>3</v>
      </c>
      <c r="AK1749">
        <v>0</v>
      </c>
      <c r="AL1749">
        <v>0</v>
      </c>
      <c r="AM1749">
        <v>300</v>
      </c>
      <c r="AN1749">
        <v>0</v>
      </c>
      <c r="AO1749">
        <v>0</v>
      </c>
      <c r="AP1749">
        <v>0</v>
      </c>
      <c r="AQ1749">
        <v>0</v>
      </c>
      <c r="AS1749">
        <v>0</v>
      </c>
      <c r="AT1749">
        <v>0</v>
      </c>
      <c r="AV1749">
        <v>0</v>
      </c>
      <c r="AW1749">
        <v>0</v>
      </c>
      <c r="AY1749">
        <v>0</v>
      </c>
      <c r="AZ1749">
        <v>0</v>
      </c>
      <c r="BA1749">
        <v>180</v>
      </c>
      <c r="BF1749" t="str">
        <f>T("D236000")</f>
        <v>D236000</v>
      </c>
      <c r="BG1749" t="str">
        <f>T("로맨스 웹소설 &gt; 현대물")</f>
        <v>로맨스 웹소설 &gt; 현대물</v>
      </c>
    </row>
    <row r="1750" spans="1:59">
      <c r="A1750" t="s">
        <v>60</v>
      </c>
      <c r="B1750" s="1">
        <v>46129</v>
      </c>
      <c r="C1750">
        <v>2378080895</v>
      </c>
      <c r="D1750">
        <v>2378080947</v>
      </c>
      <c r="E1750" t="str">
        <f>T("더 고스트(The Ghost) 53화")</f>
        <v>더 고스트(The Ghost) 53화</v>
      </c>
      <c r="F1750">
        <v>53</v>
      </c>
      <c r="G1750" t="str">
        <f>T("윤산")</f>
        <v>윤산</v>
      </c>
      <c r="J1750" t="str">
        <f>T("하트퀸")</f>
        <v>하트퀸</v>
      </c>
      <c r="K1750" t="str">
        <f>T("더 고스트(The Ghost)")</f>
        <v>더 고스트(The Ghost)</v>
      </c>
      <c r="L1750">
        <v>100</v>
      </c>
      <c r="M1750">
        <v>300</v>
      </c>
      <c r="N1750">
        <v>3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300</v>
      </c>
      <c r="AJ1750">
        <v>3</v>
      </c>
      <c r="AK1750">
        <v>0</v>
      </c>
      <c r="AL1750">
        <v>0</v>
      </c>
      <c r="AM1750">
        <v>300</v>
      </c>
      <c r="AN1750">
        <v>0</v>
      </c>
      <c r="AO1750">
        <v>0</v>
      </c>
      <c r="AP1750">
        <v>0</v>
      </c>
      <c r="AQ1750">
        <v>0</v>
      </c>
      <c r="AS1750">
        <v>0</v>
      </c>
      <c r="AT1750">
        <v>0</v>
      </c>
      <c r="AV1750">
        <v>0</v>
      </c>
      <c r="AW1750">
        <v>0</v>
      </c>
      <c r="AY1750">
        <v>0</v>
      </c>
      <c r="AZ1750">
        <v>0</v>
      </c>
      <c r="BA1750">
        <v>180</v>
      </c>
      <c r="BF1750" t="str">
        <f>T("D236001")</f>
        <v>D236001</v>
      </c>
      <c r="BG1750" t="str">
        <f>T("로맨스 웹소설 &gt; 현대물")</f>
        <v>로맨스 웹소설 &gt; 현대물</v>
      </c>
    </row>
    <row r="1751" spans="1:59">
      <c r="A1751" t="s">
        <v>60</v>
      </c>
      <c r="B1751" s="1">
        <v>46129</v>
      </c>
      <c r="C1751">
        <v>2378080895</v>
      </c>
      <c r="D1751">
        <v>2378080948</v>
      </c>
      <c r="E1751" t="str">
        <f>T("더 고스트(The Ghost) 54화")</f>
        <v>더 고스트(The Ghost) 54화</v>
      </c>
      <c r="F1751">
        <v>54</v>
      </c>
      <c r="G1751" t="str">
        <f>T("윤산")</f>
        <v>윤산</v>
      </c>
      <c r="J1751" t="str">
        <f>T("하트퀸")</f>
        <v>하트퀸</v>
      </c>
      <c r="K1751" t="str">
        <f>T("더 고스트(The Ghost)")</f>
        <v>더 고스트(The Ghost)</v>
      </c>
      <c r="L1751">
        <v>100</v>
      </c>
      <c r="M1751">
        <v>300</v>
      </c>
      <c r="N1751">
        <v>3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300</v>
      </c>
      <c r="AJ1751">
        <v>3</v>
      </c>
      <c r="AK1751">
        <v>0</v>
      </c>
      <c r="AL1751">
        <v>0</v>
      </c>
      <c r="AM1751">
        <v>300</v>
      </c>
      <c r="AN1751">
        <v>0</v>
      </c>
      <c r="AO1751">
        <v>0</v>
      </c>
      <c r="AP1751">
        <v>0</v>
      </c>
      <c r="AQ1751">
        <v>0</v>
      </c>
      <c r="AS1751">
        <v>0</v>
      </c>
      <c r="AT1751">
        <v>0</v>
      </c>
      <c r="AV1751">
        <v>0</v>
      </c>
      <c r="AW1751">
        <v>0</v>
      </c>
      <c r="AY1751">
        <v>0</v>
      </c>
      <c r="AZ1751">
        <v>0</v>
      </c>
      <c r="BA1751">
        <v>180</v>
      </c>
      <c r="BF1751" t="str">
        <f>T("D236002")</f>
        <v>D236002</v>
      </c>
      <c r="BG1751" t="str">
        <f>T("로맨스 웹소설 &gt; 현대물")</f>
        <v>로맨스 웹소설 &gt; 현대물</v>
      </c>
    </row>
    <row r="1752" spans="1:59">
      <c r="A1752" t="s">
        <v>60</v>
      </c>
      <c r="B1752" s="1">
        <v>46129</v>
      </c>
      <c r="C1752">
        <v>2378080895</v>
      </c>
      <c r="D1752">
        <v>2378080949</v>
      </c>
      <c r="E1752" t="str">
        <f>T("더 고스트(The Ghost) 55화")</f>
        <v>더 고스트(The Ghost) 55화</v>
      </c>
      <c r="F1752">
        <v>55</v>
      </c>
      <c r="G1752" t="str">
        <f>T("윤산")</f>
        <v>윤산</v>
      </c>
      <c r="J1752" t="str">
        <f>T("하트퀸")</f>
        <v>하트퀸</v>
      </c>
      <c r="K1752" t="str">
        <f>T("더 고스트(The Ghost)")</f>
        <v>더 고스트(The Ghost)</v>
      </c>
      <c r="L1752">
        <v>100</v>
      </c>
      <c r="M1752">
        <v>300</v>
      </c>
      <c r="N1752">
        <v>3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300</v>
      </c>
      <c r="AJ1752">
        <v>3</v>
      </c>
      <c r="AK1752">
        <v>0</v>
      </c>
      <c r="AL1752">
        <v>0</v>
      </c>
      <c r="AM1752">
        <v>300</v>
      </c>
      <c r="AN1752">
        <v>0</v>
      </c>
      <c r="AO1752">
        <v>0</v>
      </c>
      <c r="AP1752">
        <v>0</v>
      </c>
      <c r="AQ1752">
        <v>0</v>
      </c>
      <c r="AS1752">
        <v>0</v>
      </c>
      <c r="AT1752">
        <v>0</v>
      </c>
      <c r="AV1752">
        <v>0</v>
      </c>
      <c r="AW1752">
        <v>0</v>
      </c>
      <c r="AY1752">
        <v>0</v>
      </c>
      <c r="AZ1752">
        <v>0</v>
      </c>
      <c r="BA1752">
        <v>180</v>
      </c>
      <c r="BF1752" t="str">
        <f>T("D236003")</f>
        <v>D236003</v>
      </c>
      <c r="BG1752" t="str">
        <f>T("로맨스 웹소설 &gt; 현대물")</f>
        <v>로맨스 웹소설 &gt; 현대물</v>
      </c>
    </row>
    <row r="1753" spans="1:59">
      <c r="A1753" t="s">
        <v>60</v>
      </c>
      <c r="B1753" s="1">
        <v>46129</v>
      </c>
      <c r="C1753">
        <v>2378080895</v>
      </c>
      <c r="D1753">
        <v>2378080950</v>
      </c>
      <c r="E1753" t="str">
        <f>T("더 고스트(The Ghost) 56화")</f>
        <v>더 고스트(The Ghost) 56화</v>
      </c>
      <c r="F1753">
        <v>56</v>
      </c>
      <c r="G1753" t="str">
        <f>T("윤산")</f>
        <v>윤산</v>
      </c>
      <c r="J1753" t="str">
        <f>T("하트퀸")</f>
        <v>하트퀸</v>
      </c>
      <c r="K1753" t="str">
        <f>T("더 고스트(The Ghost)")</f>
        <v>더 고스트(The Ghost)</v>
      </c>
      <c r="L1753">
        <v>100</v>
      </c>
      <c r="M1753">
        <v>200</v>
      </c>
      <c r="N1753">
        <v>2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200</v>
      </c>
      <c r="AJ1753">
        <v>2</v>
      </c>
      <c r="AK1753">
        <v>0</v>
      </c>
      <c r="AL1753">
        <v>0</v>
      </c>
      <c r="AM1753">
        <v>200</v>
      </c>
      <c r="AN1753">
        <v>0</v>
      </c>
      <c r="AO1753">
        <v>0</v>
      </c>
      <c r="AP1753">
        <v>0</v>
      </c>
      <c r="AQ1753">
        <v>0</v>
      </c>
      <c r="AS1753">
        <v>0</v>
      </c>
      <c r="AT1753">
        <v>0</v>
      </c>
      <c r="AV1753">
        <v>0</v>
      </c>
      <c r="AW1753">
        <v>0</v>
      </c>
      <c r="AY1753">
        <v>0</v>
      </c>
      <c r="AZ1753">
        <v>0</v>
      </c>
      <c r="BA1753">
        <v>120</v>
      </c>
      <c r="BF1753" t="str">
        <f>T("D236004")</f>
        <v>D236004</v>
      </c>
      <c r="BG1753" t="str">
        <f>T("로맨스 웹소설 &gt; 현대물")</f>
        <v>로맨스 웹소설 &gt; 현대물</v>
      </c>
    </row>
    <row r="1754" spans="1:59">
      <c r="A1754" t="s">
        <v>60</v>
      </c>
      <c r="B1754" s="1">
        <v>46129</v>
      </c>
      <c r="C1754">
        <v>2378080895</v>
      </c>
      <c r="D1754">
        <v>2378080951</v>
      </c>
      <c r="E1754" t="str">
        <f>T("더 고스트(The Ghost) 57화")</f>
        <v>더 고스트(The Ghost) 57화</v>
      </c>
      <c r="F1754">
        <v>57</v>
      </c>
      <c r="G1754" t="str">
        <f>T("윤산")</f>
        <v>윤산</v>
      </c>
      <c r="J1754" t="str">
        <f>T("하트퀸")</f>
        <v>하트퀸</v>
      </c>
      <c r="K1754" t="str">
        <f>T("더 고스트(The Ghost)")</f>
        <v>더 고스트(The Ghost)</v>
      </c>
      <c r="L1754">
        <v>100</v>
      </c>
      <c r="M1754">
        <v>300</v>
      </c>
      <c r="N1754">
        <v>3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300</v>
      </c>
      <c r="AJ1754">
        <v>3</v>
      </c>
      <c r="AK1754">
        <v>0</v>
      </c>
      <c r="AL1754">
        <v>0</v>
      </c>
      <c r="AM1754">
        <v>200</v>
      </c>
      <c r="AN1754">
        <v>0</v>
      </c>
      <c r="AO1754">
        <v>120</v>
      </c>
      <c r="AP1754">
        <v>-12</v>
      </c>
      <c r="AQ1754">
        <v>0</v>
      </c>
      <c r="AS1754">
        <v>0</v>
      </c>
      <c r="AT1754">
        <v>0</v>
      </c>
      <c r="AU1754">
        <v>120</v>
      </c>
      <c r="AV1754">
        <v>-12</v>
      </c>
      <c r="AW1754">
        <v>0</v>
      </c>
      <c r="AY1754">
        <v>0</v>
      </c>
      <c r="AZ1754">
        <v>0</v>
      </c>
      <c r="BA1754">
        <v>184.8</v>
      </c>
      <c r="BF1754" t="str">
        <f>T("D236005")</f>
        <v>D236005</v>
      </c>
      <c r="BG1754" t="str">
        <f>T("로맨스 웹소설 &gt; 현대물")</f>
        <v>로맨스 웹소설 &gt; 현대물</v>
      </c>
    </row>
    <row r="1755" spans="1:59">
      <c r="A1755" t="s">
        <v>60</v>
      </c>
      <c r="B1755" s="1">
        <v>46129</v>
      </c>
      <c r="C1755">
        <v>2378080895</v>
      </c>
      <c r="D1755">
        <v>2378080952</v>
      </c>
      <c r="E1755" t="str">
        <f>T("더 고스트(The Ghost) 58화")</f>
        <v>더 고스트(The Ghost) 58화</v>
      </c>
      <c r="F1755">
        <v>58</v>
      </c>
      <c r="G1755" t="str">
        <f>T("윤산")</f>
        <v>윤산</v>
      </c>
      <c r="J1755" t="str">
        <f>T("하트퀸")</f>
        <v>하트퀸</v>
      </c>
      <c r="K1755" t="str">
        <f>T("더 고스트(The Ghost)")</f>
        <v>더 고스트(The Ghost)</v>
      </c>
      <c r="L1755">
        <v>100</v>
      </c>
      <c r="M1755">
        <v>300</v>
      </c>
      <c r="N1755">
        <v>3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300</v>
      </c>
      <c r="AJ1755">
        <v>3</v>
      </c>
      <c r="AK1755">
        <v>0</v>
      </c>
      <c r="AL1755">
        <v>0</v>
      </c>
      <c r="AM1755">
        <v>200</v>
      </c>
      <c r="AN1755">
        <v>0</v>
      </c>
      <c r="AO1755">
        <v>120</v>
      </c>
      <c r="AP1755">
        <v>-12</v>
      </c>
      <c r="AQ1755">
        <v>0</v>
      </c>
      <c r="AS1755">
        <v>0</v>
      </c>
      <c r="AT1755">
        <v>0</v>
      </c>
      <c r="AU1755">
        <v>120</v>
      </c>
      <c r="AV1755">
        <v>-12</v>
      </c>
      <c r="AW1755">
        <v>0</v>
      </c>
      <c r="AY1755">
        <v>0</v>
      </c>
      <c r="AZ1755">
        <v>0</v>
      </c>
      <c r="BA1755">
        <v>184.8</v>
      </c>
      <c r="BF1755" t="str">
        <f>T("D236006")</f>
        <v>D236006</v>
      </c>
      <c r="BG1755" t="str">
        <f>T("로맨스 웹소설 &gt; 현대물")</f>
        <v>로맨스 웹소설 &gt; 현대물</v>
      </c>
    </row>
    <row r="1756" spans="1:59">
      <c r="A1756" t="s">
        <v>60</v>
      </c>
      <c r="B1756" s="1">
        <v>46129</v>
      </c>
      <c r="C1756">
        <v>2378080895</v>
      </c>
      <c r="D1756">
        <v>2378080953</v>
      </c>
      <c r="E1756" t="str">
        <f>T("더 고스트(The Ghost) 59화")</f>
        <v>더 고스트(The Ghost) 59화</v>
      </c>
      <c r="F1756">
        <v>59</v>
      </c>
      <c r="G1756" t="str">
        <f>T("윤산")</f>
        <v>윤산</v>
      </c>
      <c r="J1756" t="str">
        <f>T("하트퀸")</f>
        <v>하트퀸</v>
      </c>
      <c r="K1756" t="str">
        <f>T("더 고스트(The Ghost)")</f>
        <v>더 고스트(The Ghost)</v>
      </c>
      <c r="L1756">
        <v>100</v>
      </c>
      <c r="M1756">
        <v>400</v>
      </c>
      <c r="N1756">
        <v>4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400</v>
      </c>
      <c r="AJ1756">
        <v>4</v>
      </c>
      <c r="AK1756">
        <v>0</v>
      </c>
      <c r="AL1756">
        <v>0</v>
      </c>
      <c r="AM1756">
        <v>300</v>
      </c>
      <c r="AN1756">
        <v>0</v>
      </c>
      <c r="AO1756">
        <v>120</v>
      </c>
      <c r="AP1756">
        <v>-12</v>
      </c>
      <c r="AQ1756">
        <v>0</v>
      </c>
      <c r="AS1756">
        <v>0</v>
      </c>
      <c r="AT1756">
        <v>0</v>
      </c>
      <c r="AU1756">
        <v>120</v>
      </c>
      <c r="AV1756">
        <v>-12</v>
      </c>
      <c r="AW1756">
        <v>0</v>
      </c>
      <c r="AY1756">
        <v>0</v>
      </c>
      <c r="AZ1756">
        <v>0</v>
      </c>
      <c r="BA1756">
        <v>244.8</v>
      </c>
      <c r="BF1756" t="str">
        <f>T("D236007")</f>
        <v>D236007</v>
      </c>
      <c r="BG1756" t="str">
        <f>T("로맨스 웹소설 &gt; 현대물")</f>
        <v>로맨스 웹소설 &gt; 현대물</v>
      </c>
    </row>
    <row r="1757" spans="1:59">
      <c r="A1757" t="s">
        <v>60</v>
      </c>
      <c r="B1757" s="1">
        <v>46129</v>
      </c>
      <c r="C1757">
        <v>2378080895</v>
      </c>
      <c r="D1757">
        <v>2378080954</v>
      </c>
      <c r="E1757" t="str">
        <f>T("더 고스트(The Ghost) 60화")</f>
        <v>더 고스트(The Ghost) 60화</v>
      </c>
      <c r="F1757">
        <v>60</v>
      </c>
      <c r="G1757" t="str">
        <f>T("윤산")</f>
        <v>윤산</v>
      </c>
      <c r="J1757" t="str">
        <f>T("하트퀸")</f>
        <v>하트퀸</v>
      </c>
      <c r="K1757" t="str">
        <f>T("더 고스트(The Ghost)")</f>
        <v>더 고스트(The Ghost)</v>
      </c>
      <c r="L1757">
        <v>100</v>
      </c>
      <c r="M1757">
        <v>400</v>
      </c>
      <c r="N1757">
        <v>4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0</v>
      </c>
      <c r="AG1757">
        <v>0</v>
      </c>
      <c r="AH1757">
        <v>0</v>
      </c>
      <c r="AI1757">
        <v>400</v>
      </c>
      <c r="AJ1757">
        <v>4</v>
      </c>
      <c r="AK1757">
        <v>0</v>
      </c>
      <c r="AL1757">
        <v>0</v>
      </c>
      <c r="AM1757">
        <v>300</v>
      </c>
      <c r="AN1757">
        <v>0</v>
      </c>
      <c r="AO1757">
        <v>120</v>
      </c>
      <c r="AP1757">
        <v>-12</v>
      </c>
      <c r="AQ1757">
        <v>0</v>
      </c>
      <c r="AS1757">
        <v>0</v>
      </c>
      <c r="AT1757">
        <v>0</v>
      </c>
      <c r="AU1757">
        <v>120</v>
      </c>
      <c r="AV1757">
        <v>-12</v>
      </c>
      <c r="AW1757">
        <v>0</v>
      </c>
      <c r="AY1757">
        <v>0</v>
      </c>
      <c r="AZ1757">
        <v>0</v>
      </c>
      <c r="BA1757">
        <v>244.8</v>
      </c>
      <c r="BF1757" t="str">
        <f>T("D236008")</f>
        <v>D236008</v>
      </c>
      <c r="BG1757" t="str">
        <f>T("로맨스 웹소설 &gt; 현대물")</f>
        <v>로맨스 웹소설 &gt; 현대물</v>
      </c>
    </row>
    <row r="1758" spans="1:59">
      <c r="A1758" t="s">
        <v>60</v>
      </c>
      <c r="B1758" s="1">
        <v>46129</v>
      </c>
      <c r="C1758">
        <v>2378080895</v>
      </c>
      <c r="D1758">
        <v>2378081007</v>
      </c>
      <c r="E1758" t="str">
        <f>T("더 고스트(The Ghost) 61화")</f>
        <v>더 고스트(The Ghost) 61화</v>
      </c>
      <c r="F1758">
        <v>61</v>
      </c>
      <c r="G1758" t="str">
        <f>T("윤산")</f>
        <v>윤산</v>
      </c>
      <c r="J1758" t="str">
        <f>T("하트퀸")</f>
        <v>하트퀸</v>
      </c>
      <c r="K1758" t="str">
        <f>T("더 고스트(The Ghost)")</f>
        <v>더 고스트(The Ghost)</v>
      </c>
      <c r="L1758">
        <v>100</v>
      </c>
      <c r="M1758">
        <v>400</v>
      </c>
      <c r="N1758">
        <v>4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400</v>
      </c>
      <c r="AJ1758">
        <v>4</v>
      </c>
      <c r="AK1758">
        <v>0</v>
      </c>
      <c r="AL1758">
        <v>0</v>
      </c>
      <c r="AM1758">
        <v>300</v>
      </c>
      <c r="AN1758">
        <v>0</v>
      </c>
      <c r="AO1758">
        <v>120</v>
      </c>
      <c r="AP1758">
        <v>-12</v>
      </c>
      <c r="AQ1758">
        <v>0</v>
      </c>
      <c r="AS1758">
        <v>0</v>
      </c>
      <c r="AT1758">
        <v>0</v>
      </c>
      <c r="AU1758">
        <v>120</v>
      </c>
      <c r="AV1758">
        <v>-12</v>
      </c>
      <c r="AW1758">
        <v>0</v>
      </c>
      <c r="AY1758">
        <v>0</v>
      </c>
      <c r="AZ1758">
        <v>0</v>
      </c>
      <c r="BA1758">
        <v>244.8</v>
      </c>
      <c r="BF1758" t="str">
        <f>T("D236009")</f>
        <v>D236009</v>
      </c>
      <c r="BG1758" t="str">
        <f>T("로맨스 웹소설 &gt; 현대물")</f>
        <v>로맨스 웹소설 &gt; 현대물</v>
      </c>
    </row>
    <row r="1759" spans="1:59">
      <c r="A1759" t="s">
        <v>60</v>
      </c>
      <c r="B1759" s="1">
        <v>46129</v>
      </c>
      <c r="C1759">
        <v>2378080895</v>
      </c>
      <c r="D1759">
        <v>2378081008</v>
      </c>
      <c r="E1759" t="str">
        <f>T("더 고스트(The Ghost) 62화")</f>
        <v>더 고스트(The Ghost) 62화</v>
      </c>
      <c r="F1759">
        <v>62</v>
      </c>
      <c r="G1759" t="str">
        <f>T("윤산")</f>
        <v>윤산</v>
      </c>
      <c r="J1759" t="str">
        <f>T("하트퀸")</f>
        <v>하트퀸</v>
      </c>
      <c r="K1759" t="str">
        <f>T("더 고스트(The Ghost)")</f>
        <v>더 고스트(The Ghost)</v>
      </c>
      <c r="L1759">
        <v>100</v>
      </c>
      <c r="M1759">
        <v>400</v>
      </c>
      <c r="N1759">
        <v>4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400</v>
      </c>
      <c r="AJ1759">
        <v>4</v>
      </c>
      <c r="AK1759">
        <v>0</v>
      </c>
      <c r="AL1759">
        <v>0</v>
      </c>
      <c r="AM1759">
        <v>300</v>
      </c>
      <c r="AN1759">
        <v>0</v>
      </c>
      <c r="AO1759">
        <v>120</v>
      </c>
      <c r="AP1759">
        <v>-12</v>
      </c>
      <c r="AQ1759">
        <v>0</v>
      </c>
      <c r="AS1759">
        <v>0</v>
      </c>
      <c r="AT1759">
        <v>0</v>
      </c>
      <c r="AU1759">
        <v>120</v>
      </c>
      <c r="AV1759">
        <v>-12</v>
      </c>
      <c r="AW1759">
        <v>0</v>
      </c>
      <c r="AY1759">
        <v>0</v>
      </c>
      <c r="AZ1759">
        <v>0</v>
      </c>
      <c r="BA1759">
        <v>244.8</v>
      </c>
      <c r="BF1759" t="str">
        <f>T("D236010")</f>
        <v>D236010</v>
      </c>
      <c r="BG1759" t="str">
        <f>T("로맨스 웹소설 &gt; 현대물")</f>
        <v>로맨스 웹소설 &gt; 현대물</v>
      </c>
    </row>
    <row r="1760" spans="1:59">
      <c r="A1760" t="s">
        <v>60</v>
      </c>
      <c r="B1760" s="1">
        <v>46129</v>
      </c>
      <c r="C1760">
        <v>2378080895</v>
      </c>
      <c r="D1760">
        <v>2378081009</v>
      </c>
      <c r="E1760" t="str">
        <f>T("더 고스트(The Ghost) 63화")</f>
        <v>더 고스트(The Ghost) 63화</v>
      </c>
      <c r="F1760">
        <v>63</v>
      </c>
      <c r="G1760" t="str">
        <f>T("윤산")</f>
        <v>윤산</v>
      </c>
      <c r="J1760" t="str">
        <f>T("하트퀸")</f>
        <v>하트퀸</v>
      </c>
      <c r="K1760" t="str">
        <f>T("더 고스트(The Ghost)")</f>
        <v>더 고스트(The Ghost)</v>
      </c>
      <c r="L1760">
        <v>100</v>
      </c>
      <c r="M1760">
        <v>400</v>
      </c>
      <c r="N1760">
        <v>4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0</v>
      </c>
      <c r="AG1760">
        <v>0</v>
      </c>
      <c r="AH1760">
        <v>0</v>
      </c>
      <c r="AI1760">
        <v>400</v>
      </c>
      <c r="AJ1760">
        <v>4</v>
      </c>
      <c r="AK1760">
        <v>0</v>
      </c>
      <c r="AL1760">
        <v>0</v>
      </c>
      <c r="AM1760">
        <v>300</v>
      </c>
      <c r="AN1760">
        <v>0</v>
      </c>
      <c r="AO1760">
        <v>120</v>
      </c>
      <c r="AP1760">
        <v>-12</v>
      </c>
      <c r="AQ1760">
        <v>0</v>
      </c>
      <c r="AS1760">
        <v>0</v>
      </c>
      <c r="AT1760">
        <v>0</v>
      </c>
      <c r="AU1760">
        <v>120</v>
      </c>
      <c r="AV1760">
        <v>-12</v>
      </c>
      <c r="AW1760">
        <v>0</v>
      </c>
      <c r="AY1760">
        <v>0</v>
      </c>
      <c r="AZ1760">
        <v>0</v>
      </c>
      <c r="BA1760">
        <v>244.8</v>
      </c>
      <c r="BF1760" t="str">
        <f>T("D236011")</f>
        <v>D236011</v>
      </c>
      <c r="BG1760" t="str">
        <f>T("로맨스 웹소설 &gt; 현대물")</f>
        <v>로맨스 웹소설 &gt; 현대물</v>
      </c>
    </row>
    <row r="1761" spans="1:59">
      <c r="A1761" t="s">
        <v>60</v>
      </c>
      <c r="B1761" s="1">
        <v>46129</v>
      </c>
      <c r="C1761">
        <v>2378080895</v>
      </c>
      <c r="D1761">
        <v>2378081010</v>
      </c>
      <c r="E1761" t="str">
        <f>T("더 고스트(The Ghost) 64화")</f>
        <v>더 고스트(The Ghost) 64화</v>
      </c>
      <c r="F1761">
        <v>64</v>
      </c>
      <c r="G1761" t="str">
        <f>T("윤산")</f>
        <v>윤산</v>
      </c>
      <c r="J1761" t="str">
        <f>T("하트퀸")</f>
        <v>하트퀸</v>
      </c>
      <c r="K1761" t="str">
        <f>T("더 고스트(The Ghost)")</f>
        <v>더 고스트(The Ghost)</v>
      </c>
      <c r="L1761">
        <v>100</v>
      </c>
      <c r="M1761">
        <v>400</v>
      </c>
      <c r="N1761">
        <v>4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0</v>
      </c>
      <c r="AG1761">
        <v>0</v>
      </c>
      <c r="AH1761">
        <v>0</v>
      </c>
      <c r="AI1761">
        <v>400</v>
      </c>
      <c r="AJ1761">
        <v>4</v>
      </c>
      <c r="AK1761">
        <v>0</v>
      </c>
      <c r="AL1761">
        <v>0</v>
      </c>
      <c r="AM1761">
        <v>300</v>
      </c>
      <c r="AN1761">
        <v>0</v>
      </c>
      <c r="AO1761">
        <v>120</v>
      </c>
      <c r="AP1761">
        <v>-12</v>
      </c>
      <c r="AQ1761">
        <v>0</v>
      </c>
      <c r="AS1761">
        <v>0</v>
      </c>
      <c r="AT1761">
        <v>0</v>
      </c>
      <c r="AU1761">
        <v>120</v>
      </c>
      <c r="AV1761">
        <v>-12</v>
      </c>
      <c r="AW1761">
        <v>0</v>
      </c>
      <c r="AY1761">
        <v>0</v>
      </c>
      <c r="AZ1761">
        <v>0</v>
      </c>
      <c r="BA1761">
        <v>244.8</v>
      </c>
      <c r="BF1761" t="str">
        <f>T("D236069")</f>
        <v>D236069</v>
      </c>
      <c r="BG1761" t="str">
        <f>T("로맨스 웹소설 &gt; 현대물")</f>
        <v>로맨스 웹소설 &gt; 현대물</v>
      </c>
    </row>
    <row r="1762" spans="1:59">
      <c r="A1762" t="s">
        <v>60</v>
      </c>
      <c r="B1762" s="1">
        <v>46130</v>
      </c>
      <c r="C1762">
        <v>2378080895</v>
      </c>
      <c r="D1762">
        <v>2378081011</v>
      </c>
      <c r="E1762" t="str">
        <f>T("더 고스트(The Ghost) 65화 (완결)")</f>
        <v>더 고스트(The Ghost) 65화 (완결)</v>
      </c>
      <c r="F1762">
        <v>65</v>
      </c>
      <c r="G1762" t="str">
        <f>T("윤산")</f>
        <v>윤산</v>
      </c>
      <c r="J1762" t="str">
        <f>T("하트퀸")</f>
        <v>하트퀸</v>
      </c>
      <c r="K1762" t="str">
        <f>T("더 고스트(The Ghost)")</f>
        <v>더 고스트(The Ghost)</v>
      </c>
      <c r="L1762">
        <v>100</v>
      </c>
      <c r="M1762">
        <v>800</v>
      </c>
      <c r="N1762">
        <v>8</v>
      </c>
      <c r="O1762">
        <v>0</v>
      </c>
      <c r="P1762">
        <v>0</v>
      </c>
      <c r="Q1762">
        <v>0</v>
      </c>
      <c r="R1762">
        <v>1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800</v>
      </c>
      <c r="AJ1762">
        <v>9</v>
      </c>
      <c r="AK1762">
        <v>0</v>
      </c>
      <c r="AL1762">
        <v>0</v>
      </c>
      <c r="AM1762">
        <v>700</v>
      </c>
      <c r="AN1762">
        <v>0</v>
      </c>
      <c r="AO1762">
        <v>120</v>
      </c>
      <c r="AP1762">
        <v>-12</v>
      </c>
      <c r="AQ1762">
        <v>0</v>
      </c>
      <c r="AS1762">
        <v>0</v>
      </c>
      <c r="AT1762">
        <v>0</v>
      </c>
      <c r="AU1762">
        <v>120</v>
      </c>
      <c r="AV1762">
        <v>-12</v>
      </c>
      <c r="AW1762">
        <v>0</v>
      </c>
      <c r="AY1762">
        <v>0</v>
      </c>
      <c r="AZ1762">
        <v>0</v>
      </c>
      <c r="BA1762">
        <v>484.8</v>
      </c>
      <c r="BF1762" t="str">
        <f>T("D236070")</f>
        <v>D236070</v>
      </c>
      <c r="BG1762" t="str">
        <f>T("로맨스 웹소설 &gt; 현대물")</f>
        <v>로맨스 웹소설 &gt; 현대물</v>
      </c>
    </row>
    <row r="1763" spans="1:59">
      <c r="A1763" t="s">
        <v>60</v>
      </c>
      <c r="B1763" s="1">
        <v>46130</v>
      </c>
      <c r="C1763">
        <v>2378080895</v>
      </c>
      <c r="D1763">
        <v>2378080901</v>
      </c>
      <c r="E1763" t="str">
        <f>T("더 고스트(The Ghost) 7화")</f>
        <v>더 고스트(The Ghost) 7화</v>
      </c>
      <c r="F1763">
        <v>7</v>
      </c>
      <c r="G1763" t="str">
        <f>T("윤산")</f>
        <v>윤산</v>
      </c>
      <c r="J1763" t="str">
        <f>T("하트퀸")</f>
        <v>하트퀸</v>
      </c>
      <c r="K1763" t="str">
        <f>T("더 고스트(The Ghost)")</f>
        <v>더 고스트(The Ghost)</v>
      </c>
      <c r="L1763">
        <v>100</v>
      </c>
      <c r="M1763">
        <v>400</v>
      </c>
      <c r="N1763">
        <v>4</v>
      </c>
      <c r="O1763">
        <v>0</v>
      </c>
      <c r="P1763">
        <v>0</v>
      </c>
      <c r="Q1763">
        <v>0</v>
      </c>
      <c r="R1763">
        <v>15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400</v>
      </c>
      <c r="AJ1763">
        <v>19</v>
      </c>
      <c r="AK1763">
        <v>0</v>
      </c>
      <c r="AL1763">
        <v>0</v>
      </c>
      <c r="AM1763">
        <v>400</v>
      </c>
      <c r="AN1763">
        <v>0</v>
      </c>
      <c r="AO1763">
        <v>0</v>
      </c>
      <c r="AP1763">
        <v>0</v>
      </c>
      <c r="AQ1763">
        <v>0</v>
      </c>
      <c r="AS1763">
        <v>0</v>
      </c>
      <c r="AT1763">
        <v>0</v>
      </c>
      <c r="AV1763">
        <v>0</v>
      </c>
      <c r="AW1763">
        <v>0</v>
      </c>
      <c r="AY1763">
        <v>0</v>
      </c>
      <c r="AZ1763">
        <v>0</v>
      </c>
      <c r="BA1763">
        <v>240</v>
      </c>
      <c r="BF1763" t="str">
        <f>T("D235955")</f>
        <v>D235955</v>
      </c>
      <c r="BG1763" t="str">
        <f>T("로맨스 웹소설 &gt; 현대물")</f>
        <v>로맨스 웹소설 &gt; 현대물</v>
      </c>
    </row>
    <row r="1764" spans="1:59">
      <c r="A1764" t="s">
        <v>60</v>
      </c>
      <c r="B1764" s="1">
        <v>46130</v>
      </c>
      <c r="C1764">
        <v>2378080895</v>
      </c>
      <c r="D1764">
        <v>2378080896</v>
      </c>
      <c r="E1764" t="str">
        <f>T("더 고스트(The Ghost) 2화")</f>
        <v>더 고스트(The Ghost) 2화</v>
      </c>
      <c r="F1764">
        <v>2</v>
      </c>
      <c r="G1764" t="str">
        <f>T("윤산")</f>
        <v>윤산</v>
      </c>
      <c r="J1764" t="str">
        <f>T("하트퀸")</f>
        <v>하트퀸</v>
      </c>
      <c r="K1764" t="str">
        <f>T("더 고스트(The Ghost)")</f>
        <v>더 고스트(The Ghost)</v>
      </c>
      <c r="L1764">
        <v>0</v>
      </c>
      <c r="M1764">
        <v>0</v>
      </c>
      <c r="N1764">
        <v>0</v>
      </c>
      <c r="O1764">
        <v>4</v>
      </c>
      <c r="P1764">
        <v>0</v>
      </c>
      <c r="Q1764">
        <v>0</v>
      </c>
      <c r="R1764">
        <v>13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17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S1764">
        <v>0</v>
      </c>
      <c r="AT1764">
        <v>0</v>
      </c>
      <c r="AV1764">
        <v>0</v>
      </c>
      <c r="AW1764">
        <v>0</v>
      </c>
      <c r="AY1764">
        <v>0</v>
      </c>
      <c r="AZ1764">
        <v>0</v>
      </c>
      <c r="BA1764">
        <v>0</v>
      </c>
      <c r="BF1764" t="str">
        <f>T("D235950")</f>
        <v>D235950</v>
      </c>
      <c r="BG1764" t="str">
        <f>T("로맨스 웹소설 &gt; 현대물")</f>
        <v>로맨스 웹소설 &gt; 현대물</v>
      </c>
    </row>
    <row r="1765" spans="1:59">
      <c r="A1765" t="s">
        <v>60</v>
      </c>
      <c r="B1765" s="1">
        <v>46130</v>
      </c>
      <c r="C1765">
        <v>2378080895</v>
      </c>
      <c r="D1765">
        <v>2378080897</v>
      </c>
      <c r="E1765" t="str">
        <f>T("더 고스트(The Ghost) 3화")</f>
        <v>더 고스트(The Ghost) 3화</v>
      </c>
      <c r="F1765">
        <v>3</v>
      </c>
      <c r="G1765" t="str">
        <f>T("윤산")</f>
        <v>윤산</v>
      </c>
      <c r="J1765" t="str">
        <f>T("하트퀸")</f>
        <v>하트퀸</v>
      </c>
      <c r="K1765" t="str">
        <f>T("더 고스트(The Ghost)")</f>
        <v>더 고스트(The Ghost)</v>
      </c>
      <c r="L1765">
        <v>0</v>
      </c>
      <c r="M1765">
        <v>0</v>
      </c>
      <c r="N1765">
        <v>0</v>
      </c>
      <c r="O1765">
        <v>4</v>
      </c>
      <c r="P1765">
        <v>0</v>
      </c>
      <c r="Q1765">
        <v>0</v>
      </c>
      <c r="R1765">
        <v>12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16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S1765">
        <v>0</v>
      </c>
      <c r="AT1765">
        <v>0</v>
      </c>
      <c r="AV1765">
        <v>0</v>
      </c>
      <c r="AW1765">
        <v>0</v>
      </c>
      <c r="AY1765">
        <v>0</v>
      </c>
      <c r="AZ1765">
        <v>0</v>
      </c>
      <c r="BA1765">
        <v>0</v>
      </c>
      <c r="BF1765" t="str">
        <f>T("D235951")</f>
        <v>D235951</v>
      </c>
      <c r="BG1765" t="str">
        <f>T("로맨스 웹소설 &gt; 현대물")</f>
        <v>로맨스 웹소설 &gt; 현대물</v>
      </c>
    </row>
    <row r="1766" spans="1:59">
      <c r="A1766" t="s">
        <v>60</v>
      </c>
      <c r="B1766" s="1">
        <v>46130</v>
      </c>
      <c r="C1766">
        <v>2378080895</v>
      </c>
      <c r="D1766">
        <v>2378080898</v>
      </c>
      <c r="E1766" t="str">
        <f>T("더 고스트(The Ghost) 4화")</f>
        <v>더 고스트(The Ghost) 4화</v>
      </c>
      <c r="F1766">
        <v>4</v>
      </c>
      <c r="G1766" t="str">
        <f>T("윤산")</f>
        <v>윤산</v>
      </c>
      <c r="J1766" t="str">
        <f>T("하트퀸")</f>
        <v>하트퀸</v>
      </c>
      <c r="K1766" t="str">
        <f>T("더 고스트(The Ghost)")</f>
        <v>더 고스트(The Ghost)</v>
      </c>
      <c r="L1766">
        <v>100</v>
      </c>
      <c r="M1766">
        <v>300</v>
      </c>
      <c r="N1766">
        <v>3</v>
      </c>
      <c r="O1766">
        <v>0</v>
      </c>
      <c r="P1766">
        <v>0</v>
      </c>
      <c r="Q1766">
        <v>0</v>
      </c>
      <c r="R1766">
        <v>14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300</v>
      </c>
      <c r="AJ1766">
        <v>17</v>
      </c>
      <c r="AK1766">
        <v>0</v>
      </c>
      <c r="AL1766">
        <v>0</v>
      </c>
      <c r="AM1766">
        <v>300</v>
      </c>
      <c r="AN1766">
        <v>0</v>
      </c>
      <c r="AO1766">
        <v>0</v>
      </c>
      <c r="AP1766">
        <v>0</v>
      </c>
      <c r="AQ1766">
        <v>0</v>
      </c>
      <c r="AS1766">
        <v>0</v>
      </c>
      <c r="AT1766">
        <v>0</v>
      </c>
      <c r="AV1766">
        <v>0</v>
      </c>
      <c r="AW1766">
        <v>0</v>
      </c>
      <c r="AY1766">
        <v>0</v>
      </c>
      <c r="AZ1766">
        <v>0</v>
      </c>
      <c r="BA1766">
        <v>180</v>
      </c>
      <c r="BF1766" t="str">
        <f>T("D235952")</f>
        <v>D235952</v>
      </c>
      <c r="BG1766" t="str">
        <f>T("로맨스 웹소설 &gt; 현대물")</f>
        <v>로맨스 웹소설 &gt; 현대물</v>
      </c>
    </row>
    <row r="1767" spans="1:59">
      <c r="A1767" t="s">
        <v>60</v>
      </c>
      <c r="B1767" s="1">
        <v>46130</v>
      </c>
      <c r="C1767">
        <v>2378080895</v>
      </c>
      <c r="D1767">
        <v>2378080899</v>
      </c>
      <c r="E1767" t="str">
        <f>T("더 고스트(The Ghost) 5화")</f>
        <v>더 고스트(The Ghost) 5화</v>
      </c>
      <c r="F1767">
        <v>5</v>
      </c>
      <c r="G1767" t="str">
        <f>T("윤산")</f>
        <v>윤산</v>
      </c>
      <c r="J1767" t="str">
        <f>T("하트퀸")</f>
        <v>하트퀸</v>
      </c>
      <c r="K1767" t="str">
        <f>T("더 고스트(The Ghost)")</f>
        <v>더 고스트(The Ghost)</v>
      </c>
      <c r="L1767">
        <v>100</v>
      </c>
      <c r="M1767">
        <v>300</v>
      </c>
      <c r="N1767">
        <v>3</v>
      </c>
      <c r="O1767">
        <v>0</v>
      </c>
      <c r="P1767">
        <v>0</v>
      </c>
      <c r="Q1767">
        <v>0</v>
      </c>
      <c r="R1767">
        <v>14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0</v>
      </c>
      <c r="AF1767">
        <v>0</v>
      </c>
      <c r="AG1767">
        <v>0</v>
      </c>
      <c r="AH1767">
        <v>0</v>
      </c>
      <c r="AI1767">
        <v>300</v>
      </c>
      <c r="AJ1767">
        <v>17</v>
      </c>
      <c r="AK1767">
        <v>0</v>
      </c>
      <c r="AL1767">
        <v>0</v>
      </c>
      <c r="AM1767">
        <v>300</v>
      </c>
      <c r="AN1767">
        <v>0</v>
      </c>
      <c r="AO1767">
        <v>0</v>
      </c>
      <c r="AP1767">
        <v>0</v>
      </c>
      <c r="AQ1767">
        <v>0</v>
      </c>
      <c r="AS1767">
        <v>0</v>
      </c>
      <c r="AT1767">
        <v>0</v>
      </c>
      <c r="AV1767">
        <v>0</v>
      </c>
      <c r="AW1767">
        <v>0</v>
      </c>
      <c r="AY1767">
        <v>0</v>
      </c>
      <c r="AZ1767">
        <v>0</v>
      </c>
      <c r="BA1767">
        <v>180</v>
      </c>
      <c r="BF1767" t="str">
        <f>T("D235953")</f>
        <v>D235953</v>
      </c>
      <c r="BG1767" t="str">
        <f>T("로맨스 웹소설 &gt; 현대물")</f>
        <v>로맨스 웹소설 &gt; 현대물</v>
      </c>
    </row>
    <row r="1768" spans="1:59">
      <c r="A1768" t="s">
        <v>60</v>
      </c>
      <c r="B1768" s="1">
        <v>46130</v>
      </c>
      <c r="C1768">
        <v>2378080895</v>
      </c>
      <c r="D1768">
        <v>2378080900</v>
      </c>
      <c r="E1768" t="str">
        <f>T("더 고스트(The Ghost) 6화")</f>
        <v>더 고스트(The Ghost) 6화</v>
      </c>
      <c r="F1768">
        <v>6</v>
      </c>
      <c r="G1768" t="str">
        <f>T("윤산")</f>
        <v>윤산</v>
      </c>
      <c r="J1768" t="str">
        <f>T("하트퀸")</f>
        <v>하트퀸</v>
      </c>
      <c r="K1768" t="str">
        <f>T("더 고스트(The Ghost)")</f>
        <v>더 고스트(The Ghost)</v>
      </c>
      <c r="L1768">
        <v>100</v>
      </c>
      <c r="M1768">
        <v>300</v>
      </c>
      <c r="N1768">
        <v>3</v>
      </c>
      <c r="O1768">
        <v>0</v>
      </c>
      <c r="P1768">
        <v>0</v>
      </c>
      <c r="Q1768">
        <v>0</v>
      </c>
      <c r="R1768">
        <v>14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300</v>
      </c>
      <c r="AJ1768">
        <v>17</v>
      </c>
      <c r="AK1768">
        <v>0</v>
      </c>
      <c r="AL1768">
        <v>0</v>
      </c>
      <c r="AM1768">
        <v>300</v>
      </c>
      <c r="AN1768">
        <v>0</v>
      </c>
      <c r="AO1768">
        <v>0</v>
      </c>
      <c r="AP1768">
        <v>0</v>
      </c>
      <c r="AQ1768">
        <v>0</v>
      </c>
      <c r="AS1768">
        <v>0</v>
      </c>
      <c r="AT1768">
        <v>0</v>
      </c>
      <c r="AV1768">
        <v>0</v>
      </c>
      <c r="AW1768">
        <v>0</v>
      </c>
      <c r="AY1768">
        <v>0</v>
      </c>
      <c r="AZ1768">
        <v>0</v>
      </c>
      <c r="BA1768">
        <v>180</v>
      </c>
      <c r="BF1768" t="str">
        <f>T("D235954")</f>
        <v>D235954</v>
      </c>
      <c r="BG1768" t="str">
        <f>T("로맨스 웹소설 &gt; 현대물")</f>
        <v>로맨스 웹소설 &gt; 현대물</v>
      </c>
    </row>
    <row r="1769" spans="1:59">
      <c r="A1769" t="s">
        <v>60</v>
      </c>
      <c r="B1769" s="1">
        <v>46130</v>
      </c>
      <c r="C1769">
        <v>2378080895</v>
      </c>
      <c r="D1769">
        <v>2378080902</v>
      </c>
      <c r="E1769" t="str">
        <f>T("더 고스트(The Ghost) 8화")</f>
        <v>더 고스트(The Ghost) 8화</v>
      </c>
      <c r="F1769">
        <v>8</v>
      </c>
      <c r="G1769" t="str">
        <f>T("윤산")</f>
        <v>윤산</v>
      </c>
      <c r="J1769" t="str">
        <f>T("하트퀸")</f>
        <v>하트퀸</v>
      </c>
      <c r="K1769" t="str">
        <f>T("더 고스트(The Ghost)")</f>
        <v>더 고스트(The Ghost)</v>
      </c>
      <c r="L1769">
        <v>100</v>
      </c>
      <c r="M1769">
        <v>300</v>
      </c>
      <c r="N1769">
        <v>3</v>
      </c>
      <c r="O1769">
        <v>0</v>
      </c>
      <c r="P1769">
        <v>0</v>
      </c>
      <c r="Q1769">
        <v>0</v>
      </c>
      <c r="R1769">
        <v>16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300</v>
      </c>
      <c r="AJ1769">
        <v>19</v>
      </c>
      <c r="AK1769">
        <v>0</v>
      </c>
      <c r="AL1769">
        <v>0</v>
      </c>
      <c r="AM1769">
        <v>300</v>
      </c>
      <c r="AN1769">
        <v>0</v>
      </c>
      <c r="AO1769">
        <v>0</v>
      </c>
      <c r="AP1769">
        <v>0</v>
      </c>
      <c r="AQ1769">
        <v>0</v>
      </c>
      <c r="AS1769">
        <v>0</v>
      </c>
      <c r="AT1769">
        <v>0</v>
      </c>
      <c r="AV1769">
        <v>0</v>
      </c>
      <c r="AW1769">
        <v>0</v>
      </c>
      <c r="AY1769">
        <v>0</v>
      </c>
      <c r="AZ1769">
        <v>0</v>
      </c>
      <c r="BA1769">
        <v>180</v>
      </c>
      <c r="BF1769" t="str">
        <f>T("D235956")</f>
        <v>D235956</v>
      </c>
      <c r="BG1769" t="str">
        <f>T("로맨스 웹소설 &gt; 현대물")</f>
        <v>로맨스 웹소설 &gt; 현대물</v>
      </c>
    </row>
    <row r="1770" spans="1:59">
      <c r="A1770" t="s">
        <v>60</v>
      </c>
      <c r="B1770" s="1">
        <v>46130</v>
      </c>
      <c r="C1770">
        <v>2378080895</v>
      </c>
      <c r="D1770">
        <v>2378080903</v>
      </c>
      <c r="E1770" t="str">
        <f>T("더 고스트(The Ghost) 9화")</f>
        <v>더 고스트(The Ghost) 9화</v>
      </c>
      <c r="F1770">
        <v>9</v>
      </c>
      <c r="G1770" t="str">
        <f>T("윤산")</f>
        <v>윤산</v>
      </c>
      <c r="J1770" t="str">
        <f>T("하트퀸")</f>
        <v>하트퀸</v>
      </c>
      <c r="K1770" t="str">
        <f>T("더 고스트(The Ghost)")</f>
        <v>더 고스트(The Ghost)</v>
      </c>
      <c r="L1770">
        <v>100</v>
      </c>
      <c r="M1770">
        <v>300</v>
      </c>
      <c r="N1770">
        <v>3</v>
      </c>
      <c r="O1770">
        <v>0</v>
      </c>
      <c r="P1770">
        <v>0</v>
      </c>
      <c r="Q1770">
        <v>0</v>
      </c>
      <c r="R1770">
        <v>16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300</v>
      </c>
      <c r="AJ1770">
        <v>19</v>
      </c>
      <c r="AK1770">
        <v>0</v>
      </c>
      <c r="AL1770">
        <v>0</v>
      </c>
      <c r="AM1770">
        <v>300</v>
      </c>
      <c r="AN1770">
        <v>0</v>
      </c>
      <c r="AO1770">
        <v>0</v>
      </c>
      <c r="AP1770">
        <v>0</v>
      </c>
      <c r="AQ1770">
        <v>0</v>
      </c>
      <c r="AS1770">
        <v>0</v>
      </c>
      <c r="AT1770">
        <v>0</v>
      </c>
      <c r="AV1770">
        <v>0</v>
      </c>
      <c r="AW1770">
        <v>0</v>
      </c>
      <c r="AY1770">
        <v>0</v>
      </c>
      <c r="AZ1770">
        <v>0</v>
      </c>
      <c r="BA1770">
        <v>180</v>
      </c>
      <c r="BF1770" t="str">
        <f>T("D235957")</f>
        <v>D235957</v>
      </c>
      <c r="BG1770" t="str">
        <f>T("로맨스 웹소설 &gt; 현대물")</f>
        <v>로맨스 웹소설 &gt; 현대물</v>
      </c>
    </row>
    <row r="1771" spans="1:59">
      <c r="A1771" t="s">
        <v>60</v>
      </c>
      <c r="B1771" s="1">
        <v>46130</v>
      </c>
      <c r="C1771">
        <v>2378080895</v>
      </c>
      <c r="D1771">
        <v>2378080904</v>
      </c>
      <c r="E1771" t="str">
        <f>T("더 고스트(The Ghost) 10화")</f>
        <v>더 고스트(The Ghost) 10화</v>
      </c>
      <c r="F1771">
        <v>10</v>
      </c>
      <c r="G1771" t="str">
        <f>T("윤산")</f>
        <v>윤산</v>
      </c>
      <c r="J1771" t="str">
        <f>T("하트퀸")</f>
        <v>하트퀸</v>
      </c>
      <c r="K1771" t="str">
        <f>T("더 고스트(The Ghost)")</f>
        <v>더 고스트(The Ghost)</v>
      </c>
      <c r="L1771">
        <v>100</v>
      </c>
      <c r="M1771">
        <v>300</v>
      </c>
      <c r="N1771">
        <v>3</v>
      </c>
      <c r="O1771">
        <v>0</v>
      </c>
      <c r="P1771">
        <v>0</v>
      </c>
      <c r="Q1771">
        <v>0</v>
      </c>
      <c r="R1771">
        <v>16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300</v>
      </c>
      <c r="AJ1771">
        <v>19</v>
      </c>
      <c r="AK1771">
        <v>0</v>
      </c>
      <c r="AL1771">
        <v>0</v>
      </c>
      <c r="AM1771">
        <v>300</v>
      </c>
      <c r="AN1771">
        <v>0</v>
      </c>
      <c r="AO1771">
        <v>0</v>
      </c>
      <c r="AP1771">
        <v>0</v>
      </c>
      <c r="AQ1771">
        <v>0</v>
      </c>
      <c r="AS1771">
        <v>0</v>
      </c>
      <c r="AT1771">
        <v>0</v>
      </c>
      <c r="AV1771">
        <v>0</v>
      </c>
      <c r="AW1771">
        <v>0</v>
      </c>
      <c r="AY1771">
        <v>0</v>
      </c>
      <c r="AZ1771">
        <v>0</v>
      </c>
      <c r="BA1771">
        <v>180</v>
      </c>
      <c r="BF1771" t="str">
        <f>T("D235958")</f>
        <v>D235958</v>
      </c>
      <c r="BG1771" t="str">
        <f>T("로맨스 웹소설 &gt; 현대물")</f>
        <v>로맨스 웹소설 &gt; 현대물</v>
      </c>
    </row>
    <row r="1772" spans="1:59">
      <c r="A1772" t="s">
        <v>60</v>
      </c>
      <c r="B1772" s="1">
        <v>46130</v>
      </c>
      <c r="C1772">
        <v>2378080895</v>
      </c>
      <c r="D1772">
        <v>2378080905</v>
      </c>
      <c r="E1772" t="str">
        <f>T("더 고스트(The Ghost) 11화")</f>
        <v>더 고스트(The Ghost) 11화</v>
      </c>
      <c r="F1772">
        <v>11</v>
      </c>
      <c r="G1772" t="str">
        <f>T("윤산")</f>
        <v>윤산</v>
      </c>
      <c r="J1772" t="str">
        <f>T("하트퀸")</f>
        <v>하트퀸</v>
      </c>
      <c r="K1772" t="str">
        <f>T("더 고스트(The Ghost)")</f>
        <v>더 고스트(The Ghost)</v>
      </c>
      <c r="L1772">
        <v>100</v>
      </c>
      <c r="M1772">
        <v>400</v>
      </c>
      <c r="N1772">
        <v>4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400</v>
      </c>
      <c r="AJ1772">
        <v>4</v>
      </c>
      <c r="AK1772">
        <v>0</v>
      </c>
      <c r="AL1772">
        <v>0</v>
      </c>
      <c r="AM1772">
        <v>400</v>
      </c>
      <c r="AN1772">
        <v>0</v>
      </c>
      <c r="AO1772">
        <v>0</v>
      </c>
      <c r="AP1772">
        <v>0</v>
      </c>
      <c r="AQ1772">
        <v>0</v>
      </c>
      <c r="AS1772">
        <v>0</v>
      </c>
      <c r="AT1772">
        <v>0</v>
      </c>
      <c r="AV1772">
        <v>0</v>
      </c>
      <c r="AW1772">
        <v>0</v>
      </c>
      <c r="AY1772">
        <v>0</v>
      </c>
      <c r="AZ1772">
        <v>0</v>
      </c>
      <c r="BA1772">
        <v>240</v>
      </c>
      <c r="BF1772" t="str">
        <f>T("D235959")</f>
        <v>D235959</v>
      </c>
      <c r="BG1772" t="str">
        <f>T("로맨스 웹소설 &gt; 현대물")</f>
        <v>로맨스 웹소설 &gt; 현대물</v>
      </c>
    </row>
    <row r="1773" spans="1:59">
      <c r="A1773" t="s">
        <v>60</v>
      </c>
      <c r="B1773" s="1">
        <v>46130</v>
      </c>
      <c r="C1773">
        <v>2378080895</v>
      </c>
      <c r="D1773">
        <v>2378080906</v>
      </c>
      <c r="E1773" t="str">
        <f>T("더 고스트(The Ghost) 12화")</f>
        <v>더 고스트(The Ghost) 12화</v>
      </c>
      <c r="F1773">
        <v>12</v>
      </c>
      <c r="G1773" t="str">
        <f>T("윤산")</f>
        <v>윤산</v>
      </c>
      <c r="J1773" t="str">
        <f>T("하트퀸")</f>
        <v>하트퀸</v>
      </c>
      <c r="K1773" t="str">
        <f>T("더 고스트(The Ghost)")</f>
        <v>더 고스트(The Ghost)</v>
      </c>
      <c r="L1773">
        <v>100</v>
      </c>
      <c r="M1773">
        <v>600</v>
      </c>
      <c r="N1773">
        <v>6</v>
      </c>
      <c r="O1773">
        <v>0</v>
      </c>
      <c r="P1773">
        <v>0</v>
      </c>
      <c r="Q1773">
        <v>0</v>
      </c>
      <c r="R1773">
        <v>3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600</v>
      </c>
      <c r="AJ1773">
        <v>9</v>
      </c>
      <c r="AK1773">
        <v>0</v>
      </c>
      <c r="AL1773">
        <v>0</v>
      </c>
      <c r="AM1773">
        <v>600</v>
      </c>
      <c r="AN1773">
        <v>0</v>
      </c>
      <c r="AO1773">
        <v>0</v>
      </c>
      <c r="AP1773">
        <v>0</v>
      </c>
      <c r="AQ1773">
        <v>0</v>
      </c>
      <c r="AS1773">
        <v>0</v>
      </c>
      <c r="AT1773">
        <v>0</v>
      </c>
      <c r="AV1773">
        <v>0</v>
      </c>
      <c r="AW1773">
        <v>0</v>
      </c>
      <c r="AY1773">
        <v>0</v>
      </c>
      <c r="AZ1773">
        <v>0</v>
      </c>
      <c r="BA1773">
        <v>360</v>
      </c>
      <c r="BF1773" t="str">
        <f>T("D235960")</f>
        <v>D235960</v>
      </c>
      <c r="BG1773" t="str">
        <f>T("로맨스 웹소설 &gt; 현대물")</f>
        <v>로맨스 웹소설 &gt; 현대물</v>
      </c>
    </row>
    <row r="1774" spans="1:59">
      <c r="A1774" t="s">
        <v>60</v>
      </c>
      <c r="B1774" s="1">
        <v>46130</v>
      </c>
      <c r="C1774">
        <v>2378080895</v>
      </c>
      <c r="D1774">
        <v>2378080907</v>
      </c>
      <c r="E1774" t="str">
        <f>T("더 고스트(The Ghost) 13화")</f>
        <v>더 고스트(The Ghost) 13화</v>
      </c>
      <c r="F1774">
        <v>13</v>
      </c>
      <c r="G1774" t="str">
        <f>T("윤산")</f>
        <v>윤산</v>
      </c>
      <c r="J1774" t="str">
        <f>T("하트퀸")</f>
        <v>하트퀸</v>
      </c>
      <c r="K1774" t="str">
        <f>T("더 고스트(The Ghost)")</f>
        <v>더 고스트(The Ghost)</v>
      </c>
      <c r="L1774">
        <v>100</v>
      </c>
      <c r="M1774">
        <v>800</v>
      </c>
      <c r="N1774">
        <v>8</v>
      </c>
      <c r="O1774">
        <v>0</v>
      </c>
      <c r="P1774">
        <v>0</v>
      </c>
      <c r="Q1774">
        <v>0</v>
      </c>
      <c r="R1774">
        <v>1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800</v>
      </c>
      <c r="AJ1774">
        <v>9</v>
      </c>
      <c r="AK1774">
        <v>0</v>
      </c>
      <c r="AL1774">
        <v>0</v>
      </c>
      <c r="AM1774">
        <v>800</v>
      </c>
      <c r="AN1774">
        <v>0</v>
      </c>
      <c r="AO1774">
        <v>0</v>
      </c>
      <c r="AP1774">
        <v>0</v>
      </c>
      <c r="AQ1774">
        <v>0</v>
      </c>
      <c r="AS1774">
        <v>0</v>
      </c>
      <c r="AT1774">
        <v>0</v>
      </c>
      <c r="AV1774">
        <v>0</v>
      </c>
      <c r="AW1774">
        <v>0</v>
      </c>
      <c r="AY1774">
        <v>0</v>
      </c>
      <c r="AZ1774">
        <v>0</v>
      </c>
      <c r="BA1774">
        <v>480</v>
      </c>
      <c r="BF1774" t="str">
        <f>T("D235961")</f>
        <v>D235961</v>
      </c>
      <c r="BG1774" t="str">
        <f>T("로맨스 웹소설 &gt; 현대물")</f>
        <v>로맨스 웹소설 &gt; 현대물</v>
      </c>
    </row>
    <row r="1775" spans="1:59">
      <c r="A1775" t="s">
        <v>60</v>
      </c>
      <c r="B1775" s="1">
        <v>46130</v>
      </c>
      <c r="C1775">
        <v>2378080895</v>
      </c>
      <c r="D1775">
        <v>2378080908</v>
      </c>
      <c r="E1775" t="str">
        <f>T("더 고스트(The Ghost) 14화")</f>
        <v>더 고스트(The Ghost) 14화</v>
      </c>
      <c r="F1775">
        <v>14</v>
      </c>
      <c r="G1775" t="str">
        <f>T("윤산")</f>
        <v>윤산</v>
      </c>
      <c r="J1775" t="str">
        <f>T("하트퀸")</f>
        <v>하트퀸</v>
      </c>
      <c r="K1775" t="str">
        <f>T("더 고스트(The Ghost)")</f>
        <v>더 고스트(The Ghost)</v>
      </c>
      <c r="L1775">
        <v>100</v>
      </c>
      <c r="M1775">
        <v>800</v>
      </c>
      <c r="N1775">
        <v>8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800</v>
      </c>
      <c r="AJ1775">
        <v>8</v>
      </c>
      <c r="AK1775">
        <v>0</v>
      </c>
      <c r="AL1775">
        <v>0</v>
      </c>
      <c r="AM1775">
        <v>800</v>
      </c>
      <c r="AN1775">
        <v>0</v>
      </c>
      <c r="AO1775">
        <v>0</v>
      </c>
      <c r="AP1775">
        <v>0</v>
      </c>
      <c r="AQ1775">
        <v>0</v>
      </c>
      <c r="AS1775">
        <v>0</v>
      </c>
      <c r="AT1775">
        <v>0</v>
      </c>
      <c r="AV1775">
        <v>0</v>
      </c>
      <c r="AW1775">
        <v>0</v>
      </c>
      <c r="AY1775">
        <v>0</v>
      </c>
      <c r="AZ1775">
        <v>0</v>
      </c>
      <c r="BA1775">
        <v>480</v>
      </c>
      <c r="BF1775" t="str">
        <f>T("D235962")</f>
        <v>D235962</v>
      </c>
      <c r="BG1775" t="str">
        <f>T("로맨스 웹소설 &gt; 현대물")</f>
        <v>로맨스 웹소설 &gt; 현대물</v>
      </c>
    </row>
    <row r="1776" spans="1:59">
      <c r="A1776" t="s">
        <v>60</v>
      </c>
      <c r="B1776" s="1">
        <v>46130</v>
      </c>
      <c r="C1776">
        <v>2378080895</v>
      </c>
      <c r="D1776">
        <v>2378080909</v>
      </c>
      <c r="E1776" t="str">
        <f>T("더 고스트(The Ghost) 15화")</f>
        <v>더 고스트(The Ghost) 15화</v>
      </c>
      <c r="F1776">
        <v>15</v>
      </c>
      <c r="G1776" t="str">
        <f>T("윤산")</f>
        <v>윤산</v>
      </c>
      <c r="J1776" t="str">
        <f>T("하트퀸")</f>
        <v>하트퀸</v>
      </c>
      <c r="K1776" t="str">
        <f>T("더 고스트(The Ghost)")</f>
        <v>더 고스트(The Ghost)</v>
      </c>
      <c r="L1776">
        <v>100</v>
      </c>
      <c r="M1776">
        <v>800</v>
      </c>
      <c r="N1776">
        <v>8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800</v>
      </c>
      <c r="AJ1776">
        <v>8</v>
      </c>
      <c r="AK1776">
        <v>0</v>
      </c>
      <c r="AL1776">
        <v>0</v>
      </c>
      <c r="AM1776">
        <v>800</v>
      </c>
      <c r="AN1776">
        <v>0</v>
      </c>
      <c r="AO1776">
        <v>0</v>
      </c>
      <c r="AP1776">
        <v>0</v>
      </c>
      <c r="AQ1776">
        <v>0</v>
      </c>
      <c r="AS1776">
        <v>0</v>
      </c>
      <c r="AT1776">
        <v>0</v>
      </c>
      <c r="AV1776">
        <v>0</v>
      </c>
      <c r="AW1776">
        <v>0</v>
      </c>
      <c r="AY1776">
        <v>0</v>
      </c>
      <c r="AZ1776">
        <v>0</v>
      </c>
      <c r="BA1776">
        <v>480</v>
      </c>
      <c r="BF1776" t="str">
        <f>T("D235963")</f>
        <v>D235963</v>
      </c>
      <c r="BG1776" t="str">
        <f>T("로맨스 웹소설 &gt; 현대물")</f>
        <v>로맨스 웹소설 &gt; 현대물</v>
      </c>
    </row>
    <row r="1777" spans="1:59">
      <c r="A1777" t="s">
        <v>60</v>
      </c>
      <c r="B1777" s="1">
        <v>46130</v>
      </c>
      <c r="C1777">
        <v>2378080895</v>
      </c>
      <c r="D1777">
        <v>2378080910</v>
      </c>
      <c r="E1777" t="str">
        <f>T("더 고스트(The Ghost) 16화")</f>
        <v>더 고스트(The Ghost) 16화</v>
      </c>
      <c r="F1777">
        <v>16</v>
      </c>
      <c r="G1777" t="str">
        <f>T("윤산")</f>
        <v>윤산</v>
      </c>
      <c r="J1777" t="str">
        <f>T("하트퀸")</f>
        <v>하트퀸</v>
      </c>
      <c r="K1777" t="str">
        <f>T("더 고스트(The Ghost)")</f>
        <v>더 고스트(The Ghost)</v>
      </c>
      <c r="L1777">
        <v>100</v>
      </c>
      <c r="M1777">
        <v>800</v>
      </c>
      <c r="N1777">
        <v>8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800</v>
      </c>
      <c r="AJ1777">
        <v>8</v>
      </c>
      <c r="AK1777">
        <v>0</v>
      </c>
      <c r="AL1777">
        <v>0</v>
      </c>
      <c r="AM1777">
        <v>800</v>
      </c>
      <c r="AN1777">
        <v>0</v>
      </c>
      <c r="AO1777">
        <v>0</v>
      </c>
      <c r="AP1777">
        <v>0</v>
      </c>
      <c r="AQ1777">
        <v>0</v>
      </c>
      <c r="AS1777">
        <v>0</v>
      </c>
      <c r="AT1777">
        <v>0</v>
      </c>
      <c r="AV1777">
        <v>0</v>
      </c>
      <c r="AW1777">
        <v>0</v>
      </c>
      <c r="AY1777">
        <v>0</v>
      </c>
      <c r="AZ1777">
        <v>0</v>
      </c>
      <c r="BA1777">
        <v>480</v>
      </c>
      <c r="BF1777" t="str">
        <f>T("D235964")</f>
        <v>D235964</v>
      </c>
      <c r="BG1777" t="str">
        <f>T("로맨스 웹소설 &gt; 현대물")</f>
        <v>로맨스 웹소설 &gt; 현대물</v>
      </c>
    </row>
    <row r="1778" spans="1:59">
      <c r="A1778" t="s">
        <v>60</v>
      </c>
      <c r="B1778" s="1">
        <v>46130</v>
      </c>
      <c r="C1778">
        <v>2378080895</v>
      </c>
      <c r="D1778">
        <v>2378080911</v>
      </c>
      <c r="E1778" t="str">
        <f>T("더 고스트(The Ghost) 17화")</f>
        <v>더 고스트(The Ghost) 17화</v>
      </c>
      <c r="F1778">
        <v>17</v>
      </c>
      <c r="G1778" t="str">
        <f>T("윤산")</f>
        <v>윤산</v>
      </c>
      <c r="J1778" t="str">
        <f>T("하트퀸")</f>
        <v>하트퀸</v>
      </c>
      <c r="K1778" t="str">
        <f>T("더 고스트(The Ghost)")</f>
        <v>더 고스트(The Ghost)</v>
      </c>
      <c r="L1778">
        <v>100</v>
      </c>
      <c r="M1778">
        <v>800</v>
      </c>
      <c r="N1778">
        <v>8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800</v>
      </c>
      <c r="AJ1778">
        <v>8</v>
      </c>
      <c r="AK1778">
        <v>0</v>
      </c>
      <c r="AL1778">
        <v>0</v>
      </c>
      <c r="AM1778">
        <v>800</v>
      </c>
      <c r="AN1778">
        <v>0</v>
      </c>
      <c r="AO1778">
        <v>0</v>
      </c>
      <c r="AP1778">
        <v>0</v>
      </c>
      <c r="AQ1778">
        <v>0</v>
      </c>
      <c r="AS1778">
        <v>0</v>
      </c>
      <c r="AT1778">
        <v>0</v>
      </c>
      <c r="AV1778">
        <v>0</v>
      </c>
      <c r="AW1778">
        <v>0</v>
      </c>
      <c r="AY1778">
        <v>0</v>
      </c>
      <c r="AZ1778">
        <v>0</v>
      </c>
      <c r="BA1778">
        <v>480</v>
      </c>
      <c r="BF1778" t="str">
        <f>T("D235965")</f>
        <v>D235965</v>
      </c>
      <c r="BG1778" t="str">
        <f>T("로맨스 웹소설 &gt; 현대물")</f>
        <v>로맨스 웹소설 &gt; 현대물</v>
      </c>
    </row>
    <row r="1779" spans="1:59">
      <c r="A1779" t="s">
        <v>60</v>
      </c>
      <c r="B1779" s="1">
        <v>46130</v>
      </c>
      <c r="C1779">
        <v>2378080895</v>
      </c>
      <c r="D1779">
        <v>2378080912</v>
      </c>
      <c r="E1779" t="str">
        <f>T("더 고스트(The Ghost) 18화")</f>
        <v>더 고스트(The Ghost) 18화</v>
      </c>
      <c r="F1779">
        <v>18</v>
      </c>
      <c r="G1779" t="str">
        <f>T("윤산")</f>
        <v>윤산</v>
      </c>
      <c r="J1779" t="str">
        <f>T("하트퀸")</f>
        <v>하트퀸</v>
      </c>
      <c r="K1779" t="str">
        <f>T("더 고스트(The Ghost)")</f>
        <v>더 고스트(The Ghost)</v>
      </c>
      <c r="L1779">
        <v>100</v>
      </c>
      <c r="M1779">
        <v>800</v>
      </c>
      <c r="N1779">
        <v>8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800</v>
      </c>
      <c r="AJ1779">
        <v>8</v>
      </c>
      <c r="AK1779">
        <v>0</v>
      </c>
      <c r="AL1779">
        <v>0</v>
      </c>
      <c r="AM1779">
        <v>800</v>
      </c>
      <c r="AN1779">
        <v>0</v>
      </c>
      <c r="AO1779">
        <v>0</v>
      </c>
      <c r="AP1779">
        <v>0</v>
      </c>
      <c r="AQ1779">
        <v>0</v>
      </c>
      <c r="AS1779">
        <v>0</v>
      </c>
      <c r="AT1779">
        <v>0</v>
      </c>
      <c r="AV1779">
        <v>0</v>
      </c>
      <c r="AW1779">
        <v>0</v>
      </c>
      <c r="AY1779">
        <v>0</v>
      </c>
      <c r="AZ1779">
        <v>0</v>
      </c>
      <c r="BA1779">
        <v>480</v>
      </c>
      <c r="BF1779" t="str">
        <f>T("D235966")</f>
        <v>D235966</v>
      </c>
      <c r="BG1779" t="str">
        <f>T("로맨스 웹소설 &gt; 현대물")</f>
        <v>로맨스 웹소설 &gt; 현대물</v>
      </c>
    </row>
    <row r="1780" spans="1:59">
      <c r="A1780" t="s">
        <v>60</v>
      </c>
      <c r="B1780" s="1">
        <v>46130</v>
      </c>
      <c r="C1780">
        <v>2378080895</v>
      </c>
      <c r="D1780">
        <v>2378080913</v>
      </c>
      <c r="E1780" t="str">
        <f>T("더 고스트(The Ghost) 19화")</f>
        <v>더 고스트(The Ghost) 19화</v>
      </c>
      <c r="F1780">
        <v>19</v>
      </c>
      <c r="G1780" t="str">
        <f>T("윤산")</f>
        <v>윤산</v>
      </c>
      <c r="J1780" t="str">
        <f>T("하트퀸")</f>
        <v>하트퀸</v>
      </c>
      <c r="K1780" t="str">
        <f>T("더 고스트(The Ghost)")</f>
        <v>더 고스트(The Ghost)</v>
      </c>
      <c r="L1780">
        <v>100</v>
      </c>
      <c r="M1780">
        <v>800</v>
      </c>
      <c r="N1780">
        <v>8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800</v>
      </c>
      <c r="AJ1780">
        <v>8</v>
      </c>
      <c r="AK1780">
        <v>0</v>
      </c>
      <c r="AL1780">
        <v>0</v>
      </c>
      <c r="AM1780">
        <v>800</v>
      </c>
      <c r="AN1780">
        <v>0</v>
      </c>
      <c r="AO1780">
        <v>0</v>
      </c>
      <c r="AP1780">
        <v>0</v>
      </c>
      <c r="AQ1780">
        <v>0</v>
      </c>
      <c r="AS1780">
        <v>0</v>
      </c>
      <c r="AT1780">
        <v>0</v>
      </c>
      <c r="AV1780">
        <v>0</v>
      </c>
      <c r="AW1780">
        <v>0</v>
      </c>
      <c r="AY1780">
        <v>0</v>
      </c>
      <c r="AZ1780">
        <v>0</v>
      </c>
      <c r="BA1780">
        <v>480</v>
      </c>
      <c r="BF1780" t="str">
        <f>T("D235967")</f>
        <v>D235967</v>
      </c>
      <c r="BG1780" t="str">
        <f>T("로맨스 웹소설 &gt; 현대물")</f>
        <v>로맨스 웹소설 &gt; 현대물</v>
      </c>
    </row>
    <row r="1781" spans="1:59">
      <c r="A1781" t="s">
        <v>60</v>
      </c>
      <c r="B1781" s="1">
        <v>46130</v>
      </c>
      <c r="C1781">
        <v>2378080895</v>
      </c>
      <c r="D1781">
        <v>2378080914</v>
      </c>
      <c r="E1781" t="str">
        <f>T("더 고스트(The Ghost) 20화")</f>
        <v>더 고스트(The Ghost) 20화</v>
      </c>
      <c r="F1781">
        <v>20</v>
      </c>
      <c r="G1781" t="str">
        <f>T("윤산")</f>
        <v>윤산</v>
      </c>
      <c r="J1781" t="str">
        <f>T("하트퀸")</f>
        <v>하트퀸</v>
      </c>
      <c r="K1781" t="str">
        <f>T("더 고스트(The Ghost)")</f>
        <v>더 고스트(The Ghost)</v>
      </c>
      <c r="L1781">
        <v>100</v>
      </c>
      <c r="M1781">
        <v>800</v>
      </c>
      <c r="N1781">
        <v>8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800</v>
      </c>
      <c r="AJ1781">
        <v>8</v>
      </c>
      <c r="AK1781">
        <v>0</v>
      </c>
      <c r="AL1781">
        <v>0</v>
      </c>
      <c r="AM1781">
        <v>800</v>
      </c>
      <c r="AN1781">
        <v>0</v>
      </c>
      <c r="AO1781">
        <v>0</v>
      </c>
      <c r="AP1781">
        <v>0</v>
      </c>
      <c r="AQ1781">
        <v>0</v>
      </c>
      <c r="AS1781">
        <v>0</v>
      </c>
      <c r="AT1781">
        <v>0</v>
      </c>
      <c r="AV1781">
        <v>0</v>
      </c>
      <c r="AW1781">
        <v>0</v>
      </c>
      <c r="AY1781">
        <v>0</v>
      </c>
      <c r="AZ1781">
        <v>0</v>
      </c>
      <c r="BA1781">
        <v>480</v>
      </c>
      <c r="BF1781" t="str">
        <f>T("D235968")</f>
        <v>D235968</v>
      </c>
      <c r="BG1781" t="str">
        <f>T("로맨스 웹소설 &gt; 현대물")</f>
        <v>로맨스 웹소설 &gt; 현대물</v>
      </c>
    </row>
    <row r="1782" spans="1:59">
      <c r="A1782" t="s">
        <v>60</v>
      </c>
      <c r="B1782" s="1">
        <v>46130</v>
      </c>
      <c r="C1782">
        <v>2378080895</v>
      </c>
      <c r="D1782">
        <v>2378080915</v>
      </c>
      <c r="E1782" t="str">
        <f>T("더 고스트(The Ghost) 21화")</f>
        <v>더 고스트(The Ghost) 21화</v>
      </c>
      <c r="F1782">
        <v>21</v>
      </c>
      <c r="G1782" t="str">
        <f>T("윤산")</f>
        <v>윤산</v>
      </c>
      <c r="J1782" t="str">
        <f>T("하트퀸")</f>
        <v>하트퀸</v>
      </c>
      <c r="K1782" t="str">
        <f>T("더 고스트(The Ghost)")</f>
        <v>더 고스트(The Ghost)</v>
      </c>
      <c r="L1782">
        <v>100</v>
      </c>
      <c r="M1782">
        <v>700</v>
      </c>
      <c r="N1782">
        <v>7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700</v>
      </c>
      <c r="AJ1782">
        <v>7</v>
      </c>
      <c r="AK1782">
        <v>0</v>
      </c>
      <c r="AL1782">
        <v>0</v>
      </c>
      <c r="AM1782">
        <v>700</v>
      </c>
      <c r="AN1782">
        <v>0</v>
      </c>
      <c r="AO1782">
        <v>0</v>
      </c>
      <c r="AP1782">
        <v>0</v>
      </c>
      <c r="AQ1782">
        <v>0</v>
      </c>
      <c r="AS1782">
        <v>0</v>
      </c>
      <c r="AT1782">
        <v>0</v>
      </c>
      <c r="AV1782">
        <v>0</v>
      </c>
      <c r="AW1782">
        <v>0</v>
      </c>
      <c r="AY1782">
        <v>0</v>
      </c>
      <c r="AZ1782">
        <v>0</v>
      </c>
      <c r="BA1782">
        <v>420</v>
      </c>
      <c r="BF1782" t="str">
        <f>T("D235969")</f>
        <v>D235969</v>
      </c>
      <c r="BG1782" t="str">
        <f>T("로맨스 웹소설 &gt; 현대물")</f>
        <v>로맨스 웹소설 &gt; 현대물</v>
      </c>
    </row>
    <row r="1783" spans="1:59">
      <c r="A1783" t="s">
        <v>60</v>
      </c>
      <c r="B1783" s="1">
        <v>46130</v>
      </c>
      <c r="C1783">
        <v>2378080895</v>
      </c>
      <c r="D1783">
        <v>2378080916</v>
      </c>
      <c r="E1783" t="str">
        <f>T("더 고스트(The Ghost) 22화")</f>
        <v>더 고스트(The Ghost) 22화</v>
      </c>
      <c r="F1783">
        <v>22</v>
      </c>
      <c r="G1783" t="str">
        <f>T("윤산")</f>
        <v>윤산</v>
      </c>
      <c r="J1783" t="str">
        <f>T("하트퀸")</f>
        <v>하트퀸</v>
      </c>
      <c r="K1783" t="str">
        <f>T("더 고스트(The Ghost)")</f>
        <v>더 고스트(The Ghost)</v>
      </c>
      <c r="L1783">
        <v>100</v>
      </c>
      <c r="M1783">
        <v>700</v>
      </c>
      <c r="N1783">
        <v>7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700</v>
      </c>
      <c r="AJ1783">
        <v>7</v>
      </c>
      <c r="AK1783">
        <v>0</v>
      </c>
      <c r="AL1783">
        <v>0</v>
      </c>
      <c r="AM1783">
        <v>700</v>
      </c>
      <c r="AN1783">
        <v>0</v>
      </c>
      <c r="AO1783">
        <v>0</v>
      </c>
      <c r="AP1783">
        <v>0</v>
      </c>
      <c r="AQ1783">
        <v>0</v>
      </c>
      <c r="AS1783">
        <v>0</v>
      </c>
      <c r="AT1783">
        <v>0</v>
      </c>
      <c r="AV1783">
        <v>0</v>
      </c>
      <c r="AW1783">
        <v>0</v>
      </c>
      <c r="AY1783">
        <v>0</v>
      </c>
      <c r="AZ1783">
        <v>0</v>
      </c>
      <c r="BA1783">
        <v>420</v>
      </c>
      <c r="BF1783" t="str">
        <f>T("D235970")</f>
        <v>D235970</v>
      </c>
      <c r="BG1783" t="str">
        <f>T("로맨스 웹소설 &gt; 현대물")</f>
        <v>로맨스 웹소설 &gt; 현대물</v>
      </c>
    </row>
    <row r="1784" spans="1:59">
      <c r="A1784" t="s">
        <v>60</v>
      </c>
      <c r="B1784" s="1">
        <v>46130</v>
      </c>
      <c r="C1784">
        <v>2378080895</v>
      </c>
      <c r="D1784">
        <v>2378080917</v>
      </c>
      <c r="E1784" t="str">
        <f>T("더 고스트(The Ghost) 23화")</f>
        <v>더 고스트(The Ghost) 23화</v>
      </c>
      <c r="F1784">
        <v>23</v>
      </c>
      <c r="G1784" t="str">
        <f>T("윤산")</f>
        <v>윤산</v>
      </c>
      <c r="J1784" t="str">
        <f>T("하트퀸")</f>
        <v>하트퀸</v>
      </c>
      <c r="K1784" t="str">
        <f>T("더 고스트(The Ghost)")</f>
        <v>더 고스트(The Ghost)</v>
      </c>
      <c r="L1784">
        <v>100</v>
      </c>
      <c r="M1784">
        <v>700</v>
      </c>
      <c r="N1784">
        <v>7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700</v>
      </c>
      <c r="AJ1784">
        <v>7</v>
      </c>
      <c r="AK1784">
        <v>0</v>
      </c>
      <c r="AL1784">
        <v>0</v>
      </c>
      <c r="AM1784">
        <v>700</v>
      </c>
      <c r="AN1784">
        <v>0</v>
      </c>
      <c r="AO1784">
        <v>0</v>
      </c>
      <c r="AP1784">
        <v>0</v>
      </c>
      <c r="AQ1784">
        <v>0</v>
      </c>
      <c r="AS1784">
        <v>0</v>
      </c>
      <c r="AT1784">
        <v>0</v>
      </c>
      <c r="AV1784">
        <v>0</v>
      </c>
      <c r="AW1784">
        <v>0</v>
      </c>
      <c r="AY1784">
        <v>0</v>
      </c>
      <c r="AZ1784">
        <v>0</v>
      </c>
      <c r="BA1784">
        <v>420</v>
      </c>
      <c r="BF1784" t="str">
        <f>T("D235971")</f>
        <v>D235971</v>
      </c>
      <c r="BG1784" t="str">
        <f>T("로맨스 웹소설 &gt; 현대물")</f>
        <v>로맨스 웹소설 &gt; 현대물</v>
      </c>
    </row>
    <row r="1785" spans="1:59">
      <c r="A1785" t="s">
        <v>60</v>
      </c>
      <c r="B1785" s="1">
        <v>46130</v>
      </c>
      <c r="C1785">
        <v>2378080895</v>
      </c>
      <c r="D1785">
        <v>2378080918</v>
      </c>
      <c r="E1785" t="str">
        <f>T("더 고스트(The Ghost) 24화")</f>
        <v>더 고스트(The Ghost) 24화</v>
      </c>
      <c r="F1785">
        <v>24</v>
      </c>
      <c r="G1785" t="str">
        <f>T("윤산")</f>
        <v>윤산</v>
      </c>
      <c r="J1785" t="str">
        <f>T("하트퀸")</f>
        <v>하트퀸</v>
      </c>
      <c r="K1785" t="str">
        <f>T("더 고스트(The Ghost)")</f>
        <v>더 고스트(The Ghost)</v>
      </c>
      <c r="L1785">
        <v>100</v>
      </c>
      <c r="M1785">
        <v>700</v>
      </c>
      <c r="N1785">
        <v>7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700</v>
      </c>
      <c r="AJ1785">
        <v>7</v>
      </c>
      <c r="AK1785">
        <v>0</v>
      </c>
      <c r="AL1785">
        <v>0</v>
      </c>
      <c r="AM1785">
        <v>700</v>
      </c>
      <c r="AN1785">
        <v>0</v>
      </c>
      <c r="AO1785">
        <v>0</v>
      </c>
      <c r="AP1785">
        <v>0</v>
      </c>
      <c r="AQ1785">
        <v>0</v>
      </c>
      <c r="AS1785">
        <v>0</v>
      </c>
      <c r="AT1785">
        <v>0</v>
      </c>
      <c r="AV1785">
        <v>0</v>
      </c>
      <c r="AW1785">
        <v>0</v>
      </c>
      <c r="AY1785">
        <v>0</v>
      </c>
      <c r="AZ1785">
        <v>0</v>
      </c>
      <c r="BA1785">
        <v>420</v>
      </c>
      <c r="BF1785" t="str">
        <f>T("D235972")</f>
        <v>D235972</v>
      </c>
      <c r="BG1785" t="str">
        <f>T("로맨스 웹소설 &gt; 현대물")</f>
        <v>로맨스 웹소설 &gt; 현대물</v>
      </c>
    </row>
    <row r="1786" spans="1:59">
      <c r="A1786" t="s">
        <v>60</v>
      </c>
      <c r="B1786" s="1">
        <v>46130</v>
      </c>
      <c r="C1786">
        <v>2378080895</v>
      </c>
      <c r="D1786">
        <v>2378080919</v>
      </c>
      <c r="E1786" t="str">
        <f>T("더 고스트(The Ghost) 25화")</f>
        <v>더 고스트(The Ghost) 25화</v>
      </c>
      <c r="F1786">
        <v>25</v>
      </c>
      <c r="G1786" t="str">
        <f>T("윤산")</f>
        <v>윤산</v>
      </c>
      <c r="J1786" t="str">
        <f>T("하트퀸")</f>
        <v>하트퀸</v>
      </c>
      <c r="K1786" t="str">
        <f>T("더 고스트(The Ghost)")</f>
        <v>더 고스트(The Ghost)</v>
      </c>
      <c r="L1786">
        <v>100</v>
      </c>
      <c r="M1786">
        <v>700</v>
      </c>
      <c r="N1786">
        <v>7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700</v>
      </c>
      <c r="AJ1786">
        <v>7</v>
      </c>
      <c r="AK1786">
        <v>0</v>
      </c>
      <c r="AL1786">
        <v>0</v>
      </c>
      <c r="AM1786">
        <v>700</v>
      </c>
      <c r="AN1786">
        <v>0</v>
      </c>
      <c r="AO1786">
        <v>0</v>
      </c>
      <c r="AP1786">
        <v>0</v>
      </c>
      <c r="AQ1786">
        <v>0</v>
      </c>
      <c r="AS1786">
        <v>0</v>
      </c>
      <c r="AT1786">
        <v>0</v>
      </c>
      <c r="AV1786">
        <v>0</v>
      </c>
      <c r="AW1786">
        <v>0</v>
      </c>
      <c r="AY1786">
        <v>0</v>
      </c>
      <c r="AZ1786">
        <v>0</v>
      </c>
      <c r="BA1786">
        <v>420</v>
      </c>
      <c r="BF1786" t="str">
        <f>T("D235973")</f>
        <v>D235973</v>
      </c>
      <c r="BG1786" t="str">
        <f>T("로맨스 웹소설 &gt; 현대물")</f>
        <v>로맨스 웹소설 &gt; 현대물</v>
      </c>
    </row>
    <row r="1787" spans="1:59">
      <c r="A1787" t="s">
        <v>60</v>
      </c>
      <c r="B1787" s="1">
        <v>46130</v>
      </c>
      <c r="C1787">
        <v>2378080895</v>
      </c>
      <c r="D1787">
        <v>2378080920</v>
      </c>
      <c r="E1787" t="str">
        <f>T("더 고스트(The Ghost) 26화")</f>
        <v>더 고스트(The Ghost) 26화</v>
      </c>
      <c r="F1787">
        <v>26</v>
      </c>
      <c r="G1787" t="str">
        <f>T("윤산")</f>
        <v>윤산</v>
      </c>
      <c r="J1787" t="str">
        <f>T("하트퀸")</f>
        <v>하트퀸</v>
      </c>
      <c r="K1787" t="str">
        <f>T("더 고스트(The Ghost)")</f>
        <v>더 고스트(The Ghost)</v>
      </c>
      <c r="L1787">
        <v>100</v>
      </c>
      <c r="M1787">
        <v>700</v>
      </c>
      <c r="N1787">
        <v>7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700</v>
      </c>
      <c r="AJ1787">
        <v>7</v>
      </c>
      <c r="AK1787">
        <v>0</v>
      </c>
      <c r="AL1787">
        <v>0</v>
      </c>
      <c r="AM1787">
        <v>700</v>
      </c>
      <c r="AN1787">
        <v>0</v>
      </c>
      <c r="AO1787">
        <v>0</v>
      </c>
      <c r="AP1787">
        <v>0</v>
      </c>
      <c r="AQ1787">
        <v>0</v>
      </c>
      <c r="AS1787">
        <v>0</v>
      </c>
      <c r="AT1787">
        <v>0</v>
      </c>
      <c r="AV1787">
        <v>0</v>
      </c>
      <c r="AW1787">
        <v>0</v>
      </c>
      <c r="AY1787">
        <v>0</v>
      </c>
      <c r="AZ1787">
        <v>0</v>
      </c>
      <c r="BA1787">
        <v>420</v>
      </c>
      <c r="BF1787" t="str">
        <f>T("D235974")</f>
        <v>D235974</v>
      </c>
      <c r="BG1787" t="str">
        <f>T("로맨스 웹소설 &gt; 현대물")</f>
        <v>로맨스 웹소설 &gt; 현대물</v>
      </c>
    </row>
    <row r="1788" spans="1:59">
      <c r="A1788" t="s">
        <v>60</v>
      </c>
      <c r="B1788" s="1">
        <v>46130</v>
      </c>
      <c r="C1788">
        <v>2378080895</v>
      </c>
      <c r="D1788">
        <v>2378080921</v>
      </c>
      <c r="E1788" t="str">
        <f>T("더 고스트(The Ghost) 27화")</f>
        <v>더 고스트(The Ghost) 27화</v>
      </c>
      <c r="F1788">
        <v>27</v>
      </c>
      <c r="G1788" t="str">
        <f>T("윤산")</f>
        <v>윤산</v>
      </c>
      <c r="J1788" t="str">
        <f>T("하트퀸")</f>
        <v>하트퀸</v>
      </c>
      <c r="K1788" t="str">
        <f>T("더 고스트(The Ghost)")</f>
        <v>더 고스트(The Ghost)</v>
      </c>
      <c r="L1788">
        <v>100</v>
      </c>
      <c r="M1788">
        <v>700</v>
      </c>
      <c r="N1788">
        <v>7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700</v>
      </c>
      <c r="AJ1788">
        <v>7</v>
      </c>
      <c r="AK1788">
        <v>0</v>
      </c>
      <c r="AL1788">
        <v>0</v>
      </c>
      <c r="AM1788">
        <v>700</v>
      </c>
      <c r="AN1788">
        <v>0</v>
      </c>
      <c r="AO1788">
        <v>0</v>
      </c>
      <c r="AP1788">
        <v>0</v>
      </c>
      <c r="AQ1788">
        <v>0</v>
      </c>
      <c r="AS1788">
        <v>0</v>
      </c>
      <c r="AT1788">
        <v>0</v>
      </c>
      <c r="AV1788">
        <v>0</v>
      </c>
      <c r="AW1788">
        <v>0</v>
      </c>
      <c r="AY1788">
        <v>0</v>
      </c>
      <c r="AZ1788">
        <v>0</v>
      </c>
      <c r="BA1788">
        <v>420</v>
      </c>
      <c r="BF1788" t="str">
        <f>T("D235975")</f>
        <v>D235975</v>
      </c>
      <c r="BG1788" t="str">
        <f>T("로맨스 웹소설 &gt; 현대물")</f>
        <v>로맨스 웹소설 &gt; 현대물</v>
      </c>
    </row>
    <row r="1789" spans="1:59">
      <c r="A1789" t="s">
        <v>60</v>
      </c>
      <c r="B1789" s="1">
        <v>46130</v>
      </c>
      <c r="C1789">
        <v>2378080895</v>
      </c>
      <c r="D1789">
        <v>2378080922</v>
      </c>
      <c r="E1789" t="str">
        <f>T("더 고스트(The Ghost) 28화")</f>
        <v>더 고스트(The Ghost) 28화</v>
      </c>
      <c r="F1789">
        <v>28</v>
      </c>
      <c r="G1789" t="str">
        <f>T("윤산")</f>
        <v>윤산</v>
      </c>
      <c r="J1789" t="str">
        <f>T("하트퀸")</f>
        <v>하트퀸</v>
      </c>
      <c r="K1789" t="str">
        <f>T("더 고스트(The Ghost)")</f>
        <v>더 고스트(The Ghost)</v>
      </c>
      <c r="L1789">
        <v>100</v>
      </c>
      <c r="M1789">
        <v>700</v>
      </c>
      <c r="N1789">
        <v>7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700</v>
      </c>
      <c r="AJ1789">
        <v>7</v>
      </c>
      <c r="AK1789">
        <v>0</v>
      </c>
      <c r="AL1789">
        <v>0</v>
      </c>
      <c r="AM1789">
        <v>700</v>
      </c>
      <c r="AN1789">
        <v>0</v>
      </c>
      <c r="AO1789">
        <v>0</v>
      </c>
      <c r="AP1789">
        <v>0</v>
      </c>
      <c r="AQ1789">
        <v>0</v>
      </c>
      <c r="AS1789">
        <v>0</v>
      </c>
      <c r="AT1789">
        <v>0</v>
      </c>
      <c r="AV1789">
        <v>0</v>
      </c>
      <c r="AW1789">
        <v>0</v>
      </c>
      <c r="AY1789">
        <v>0</v>
      </c>
      <c r="AZ1789">
        <v>0</v>
      </c>
      <c r="BA1789">
        <v>420</v>
      </c>
      <c r="BF1789" t="str">
        <f>T("D235976")</f>
        <v>D235976</v>
      </c>
      <c r="BG1789" t="str">
        <f>T("로맨스 웹소설 &gt; 현대물")</f>
        <v>로맨스 웹소설 &gt; 현대물</v>
      </c>
    </row>
    <row r="1790" spans="1:59">
      <c r="A1790" t="s">
        <v>60</v>
      </c>
      <c r="B1790" s="1">
        <v>46130</v>
      </c>
      <c r="C1790">
        <v>2378080895</v>
      </c>
      <c r="D1790">
        <v>2378080923</v>
      </c>
      <c r="E1790" t="str">
        <f>T("더 고스트(The Ghost) 29화")</f>
        <v>더 고스트(The Ghost) 29화</v>
      </c>
      <c r="F1790">
        <v>29</v>
      </c>
      <c r="G1790" t="str">
        <f>T("윤산")</f>
        <v>윤산</v>
      </c>
      <c r="J1790" t="str">
        <f>T("하트퀸")</f>
        <v>하트퀸</v>
      </c>
      <c r="K1790" t="str">
        <f>T("더 고스트(The Ghost)")</f>
        <v>더 고스트(The Ghost)</v>
      </c>
      <c r="L1790">
        <v>100</v>
      </c>
      <c r="M1790">
        <v>700</v>
      </c>
      <c r="N1790">
        <v>7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700</v>
      </c>
      <c r="AJ1790">
        <v>7</v>
      </c>
      <c r="AK1790">
        <v>0</v>
      </c>
      <c r="AL1790">
        <v>0</v>
      </c>
      <c r="AM1790">
        <v>700</v>
      </c>
      <c r="AN1790">
        <v>0</v>
      </c>
      <c r="AO1790">
        <v>0</v>
      </c>
      <c r="AP1790">
        <v>0</v>
      </c>
      <c r="AQ1790">
        <v>0</v>
      </c>
      <c r="AS1790">
        <v>0</v>
      </c>
      <c r="AT1790">
        <v>0</v>
      </c>
      <c r="AV1790">
        <v>0</v>
      </c>
      <c r="AW1790">
        <v>0</v>
      </c>
      <c r="AY1790">
        <v>0</v>
      </c>
      <c r="AZ1790">
        <v>0</v>
      </c>
      <c r="BA1790">
        <v>420</v>
      </c>
      <c r="BF1790" t="str">
        <f>T("D235977")</f>
        <v>D235977</v>
      </c>
      <c r="BG1790" t="str">
        <f>T("로맨스 웹소설 &gt; 현대물")</f>
        <v>로맨스 웹소설 &gt; 현대물</v>
      </c>
    </row>
    <row r="1791" spans="1:59">
      <c r="A1791" t="s">
        <v>60</v>
      </c>
      <c r="B1791" s="1">
        <v>46130</v>
      </c>
      <c r="C1791">
        <v>2378080895</v>
      </c>
      <c r="D1791">
        <v>2378080924</v>
      </c>
      <c r="E1791" t="str">
        <f>T("더 고스트(The Ghost) 30화")</f>
        <v>더 고스트(The Ghost) 30화</v>
      </c>
      <c r="F1791">
        <v>30</v>
      </c>
      <c r="G1791" t="str">
        <f>T("윤산")</f>
        <v>윤산</v>
      </c>
      <c r="J1791" t="str">
        <f>T("하트퀸")</f>
        <v>하트퀸</v>
      </c>
      <c r="K1791" t="str">
        <f>T("더 고스트(The Ghost)")</f>
        <v>더 고스트(The Ghost)</v>
      </c>
      <c r="L1791">
        <v>100</v>
      </c>
      <c r="M1791">
        <v>800</v>
      </c>
      <c r="N1791">
        <v>8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800</v>
      </c>
      <c r="AJ1791">
        <v>8</v>
      </c>
      <c r="AK1791">
        <v>0</v>
      </c>
      <c r="AL1791">
        <v>0</v>
      </c>
      <c r="AM1791">
        <v>800</v>
      </c>
      <c r="AN1791">
        <v>0</v>
      </c>
      <c r="AO1791">
        <v>0</v>
      </c>
      <c r="AP1791">
        <v>0</v>
      </c>
      <c r="AQ1791">
        <v>0</v>
      </c>
      <c r="AS1791">
        <v>0</v>
      </c>
      <c r="AT1791">
        <v>0</v>
      </c>
      <c r="AV1791">
        <v>0</v>
      </c>
      <c r="AW1791">
        <v>0</v>
      </c>
      <c r="AY1791">
        <v>0</v>
      </c>
      <c r="AZ1791">
        <v>0</v>
      </c>
      <c r="BA1791">
        <v>480</v>
      </c>
      <c r="BF1791" t="str">
        <f>T("D235978")</f>
        <v>D235978</v>
      </c>
      <c r="BG1791" t="str">
        <f>T("로맨스 웹소설 &gt; 현대물")</f>
        <v>로맨스 웹소설 &gt; 현대물</v>
      </c>
    </row>
    <row r="1792" spans="1:59">
      <c r="A1792" t="s">
        <v>60</v>
      </c>
      <c r="B1792" s="1">
        <v>46130</v>
      </c>
      <c r="C1792">
        <v>2378080895</v>
      </c>
      <c r="D1792">
        <v>2378080925</v>
      </c>
      <c r="E1792" t="str">
        <f>T("더 고스트(The Ghost) 31화")</f>
        <v>더 고스트(The Ghost) 31화</v>
      </c>
      <c r="F1792">
        <v>31</v>
      </c>
      <c r="G1792" t="str">
        <f>T("윤산")</f>
        <v>윤산</v>
      </c>
      <c r="J1792" t="str">
        <f>T("하트퀸")</f>
        <v>하트퀸</v>
      </c>
      <c r="K1792" t="str">
        <f>T("더 고스트(The Ghost)")</f>
        <v>더 고스트(The Ghost)</v>
      </c>
      <c r="L1792">
        <v>100</v>
      </c>
      <c r="M1792">
        <v>700</v>
      </c>
      <c r="N1792">
        <v>7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700</v>
      </c>
      <c r="AJ1792">
        <v>7</v>
      </c>
      <c r="AK1792">
        <v>0</v>
      </c>
      <c r="AL1792">
        <v>0</v>
      </c>
      <c r="AM1792">
        <v>700</v>
      </c>
      <c r="AN1792">
        <v>0</v>
      </c>
      <c r="AO1792">
        <v>0</v>
      </c>
      <c r="AP1792">
        <v>0</v>
      </c>
      <c r="AQ1792">
        <v>0</v>
      </c>
      <c r="AS1792">
        <v>0</v>
      </c>
      <c r="AT1792">
        <v>0</v>
      </c>
      <c r="AV1792">
        <v>0</v>
      </c>
      <c r="AW1792">
        <v>0</v>
      </c>
      <c r="AY1792">
        <v>0</v>
      </c>
      <c r="AZ1792">
        <v>0</v>
      </c>
      <c r="BA1792">
        <v>420</v>
      </c>
      <c r="BF1792" t="str">
        <f>T("D235979")</f>
        <v>D235979</v>
      </c>
      <c r="BG1792" t="str">
        <f>T("로맨스 웹소설 &gt; 현대물")</f>
        <v>로맨스 웹소설 &gt; 현대물</v>
      </c>
    </row>
    <row r="1793" spans="1:59">
      <c r="A1793" t="s">
        <v>60</v>
      </c>
      <c r="B1793" s="1">
        <v>46130</v>
      </c>
      <c r="C1793">
        <v>2378080895</v>
      </c>
      <c r="D1793">
        <v>2378080926</v>
      </c>
      <c r="E1793" t="str">
        <f>T("더 고스트(The Ghost) 32화")</f>
        <v>더 고스트(The Ghost) 32화</v>
      </c>
      <c r="F1793">
        <v>32</v>
      </c>
      <c r="G1793" t="str">
        <f>T("윤산")</f>
        <v>윤산</v>
      </c>
      <c r="J1793" t="str">
        <f>T("하트퀸")</f>
        <v>하트퀸</v>
      </c>
      <c r="K1793" t="str">
        <f>T("더 고스트(The Ghost)")</f>
        <v>더 고스트(The Ghost)</v>
      </c>
      <c r="L1793">
        <v>100</v>
      </c>
      <c r="M1793">
        <v>800</v>
      </c>
      <c r="N1793">
        <v>8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800</v>
      </c>
      <c r="AJ1793">
        <v>8</v>
      </c>
      <c r="AK1793">
        <v>0</v>
      </c>
      <c r="AL1793">
        <v>0</v>
      </c>
      <c r="AM1793">
        <v>800</v>
      </c>
      <c r="AN1793">
        <v>0</v>
      </c>
      <c r="AO1793">
        <v>0</v>
      </c>
      <c r="AP1793">
        <v>0</v>
      </c>
      <c r="AQ1793">
        <v>0</v>
      </c>
      <c r="AS1793">
        <v>0</v>
      </c>
      <c r="AT1793">
        <v>0</v>
      </c>
      <c r="AV1793">
        <v>0</v>
      </c>
      <c r="AW1793">
        <v>0</v>
      </c>
      <c r="AY1793">
        <v>0</v>
      </c>
      <c r="AZ1793">
        <v>0</v>
      </c>
      <c r="BA1793">
        <v>480</v>
      </c>
      <c r="BF1793" t="str">
        <f>T("D235980")</f>
        <v>D235980</v>
      </c>
      <c r="BG1793" t="str">
        <f>T("로맨스 웹소설 &gt; 현대물")</f>
        <v>로맨스 웹소설 &gt; 현대물</v>
      </c>
    </row>
    <row r="1794" spans="1:59">
      <c r="A1794" t="s">
        <v>60</v>
      </c>
      <c r="B1794" s="1">
        <v>46130</v>
      </c>
      <c r="C1794">
        <v>2378080895</v>
      </c>
      <c r="D1794">
        <v>2378080927</v>
      </c>
      <c r="E1794" t="str">
        <f>T("더 고스트(The Ghost) 33화")</f>
        <v>더 고스트(The Ghost) 33화</v>
      </c>
      <c r="F1794">
        <v>33</v>
      </c>
      <c r="G1794" t="str">
        <f>T("윤산")</f>
        <v>윤산</v>
      </c>
      <c r="J1794" t="str">
        <f>T("하트퀸")</f>
        <v>하트퀸</v>
      </c>
      <c r="K1794" t="str">
        <f>T("더 고스트(The Ghost)")</f>
        <v>더 고스트(The Ghost)</v>
      </c>
      <c r="L1794">
        <v>100</v>
      </c>
      <c r="M1794">
        <v>800</v>
      </c>
      <c r="N1794">
        <v>8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800</v>
      </c>
      <c r="AJ1794">
        <v>8</v>
      </c>
      <c r="AK1794">
        <v>0</v>
      </c>
      <c r="AL1794">
        <v>0</v>
      </c>
      <c r="AM1794">
        <v>800</v>
      </c>
      <c r="AN1794">
        <v>0</v>
      </c>
      <c r="AO1794">
        <v>0</v>
      </c>
      <c r="AP1794">
        <v>0</v>
      </c>
      <c r="AQ1794">
        <v>0</v>
      </c>
      <c r="AS1794">
        <v>0</v>
      </c>
      <c r="AT1794">
        <v>0</v>
      </c>
      <c r="AV1794">
        <v>0</v>
      </c>
      <c r="AW1794">
        <v>0</v>
      </c>
      <c r="AY1794">
        <v>0</v>
      </c>
      <c r="AZ1794">
        <v>0</v>
      </c>
      <c r="BA1794">
        <v>480</v>
      </c>
      <c r="BF1794" t="str">
        <f>T("D235981")</f>
        <v>D235981</v>
      </c>
      <c r="BG1794" t="str">
        <f>T("로맨스 웹소설 &gt; 현대물")</f>
        <v>로맨스 웹소설 &gt; 현대물</v>
      </c>
    </row>
    <row r="1795" spans="1:59">
      <c r="A1795" t="s">
        <v>60</v>
      </c>
      <c r="B1795" s="1">
        <v>46130</v>
      </c>
      <c r="C1795">
        <v>2378080895</v>
      </c>
      <c r="D1795">
        <v>2378080928</v>
      </c>
      <c r="E1795" t="str">
        <f>T("더 고스트(The Ghost) 34화")</f>
        <v>더 고스트(The Ghost) 34화</v>
      </c>
      <c r="F1795">
        <v>34</v>
      </c>
      <c r="G1795" t="str">
        <f>T("윤산")</f>
        <v>윤산</v>
      </c>
      <c r="J1795" t="str">
        <f>T("하트퀸")</f>
        <v>하트퀸</v>
      </c>
      <c r="K1795" t="str">
        <f>T("더 고스트(The Ghost)")</f>
        <v>더 고스트(The Ghost)</v>
      </c>
      <c r="L1795">
        <v>100</v>
      </c>
      <c r="M1795">
        <v>700</v>
      </c>
      <c r="N1795">
        <v>7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700</v>
      </c>
      <c r="AJ1795">
        <v>7</v>
      </c>
      <c r="AK1795">
        <v>0</v>
      </c>
      <c r="AL1795">
        <v>0</v>
      </c>
      <c r="AM1795">
        <v>700</v>
      </c>
      <c r="AN1795">
        <v>0</v>
      </c>
      <c r="AO1795">
        <v>0</v>
      </c>
      <c r="AP1795">
        <v>0</v>
      </c>
      <c r="AQ1795">
        <v>0</v>
      </c>
      <c r="AS1795">
        <v>0</v>
      </c>
      <c r="AT1795">
        <v>0</v>
      </c>
      <c r="AV1795">
        <v>0</v>
      </c>
      <c r="AW1795">
        <v>0</v>
      </c>
      <c r="AY1795">
        <v>0</v>
      </c>
      <c r="AZ1795">
        <v>0</v>
      </c>
      <c r="BA1795">
        <v>420</v>
      </c>
      <c r="BF1795" t="str">
        <f>T("D235982")</f>
        <v>D235982</v>
      </c>
      <c r="BG1795" t="str">
        <f>T("로맨스 웹소설 &gt; 현대물")</f>
        <v>로맨스 웹소설 &gt; 현대물</v>
      </c>
    </row>
    <row r="1796" spans="1:59">
      <c r="A1796" t="s">
        <v>60</v>
      </c>
      <c r="B1796" s="1">
        <v>46130</v>
      </c>
      <c r="C1796">
        <v>2378080895</v>
      </c>
      <c r="D1796">
        <v>2378080930</v>
      </c>
      <c r="E1796" t="str">
        <f>T("더 고스트(The Ghost) 36화")</f>
        <v>더 고스트(The Ghost) 36화</v>
      </c>
      <c r="F1796">
        <v>36</v>
      </c>
      <c r="G1796" t="str">
        <f>T("윤산")</f>
        <v>윤산</v>
      </c>
      <c r="J1796" t="str">
        <f>T("하트퀸")</f>
        <v>하트퀸</v>
      </c>
      <c r="K1796" t="str">
        <f>T("더 고스트(The Ghost)")</f>
        <v>더 고스트(The Ghost)</v>
      </c>
      <c r="L1796">
        <v>100</v>
      </c>
      <c r="M1796">
        <v>800</v>
      </c>
      <c r="N1796">
        <v>8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0</v>
      </c>
      <c r="AC1796">
        <v>0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800</v>
      </c>
      <c r="AJ1796">
        <v>8</v>
      </c>
      <c r="AK1796">
        <v>0</v>
      </c>
      <c r="AL1796">
        <v>0</v>
      </c>
      <c r="AM1796">
        <v>800</v>
      </c>
      <c r="AN1796">
        <v>0</v>
      </c>
      <c r="AO1796">
        <v>0</v>
      </c>
      <c r="AP1796">
        <v>0</v>
      </c>
      <c r="AQ1796">
        <v>0</v>
      </c>
      <c r="AS1796">
        <v>0</v>
      </c>
      <c r="AT1796">
        <v>0</v>
      </c>
      <c r="AV1796">
        <v>0</v>
      </c>
      <c r="AW1796">
        <v>0</v>
      </c>
      <c r="AY1796">
        <v>0</v>
      </c>
      <c r="AZ1796">
        <v>0</v>
      </c>
      <c r="BA1796">
        <v>480</v>
      </c>
      <c r="BF1796" t="str">
        <f>T("D235984")</f>
        <v>D235984</v>
      </c>
      <c r="BG1796" t="str">
        <f>T("로맨스 웹소설 &gt; 현대물")</f>
        <v>로맨스 웹소설 &gt; 현대물</v>
      </c>
    </row>
    <row r="1797" spans="1:59">
      <c r="A1797" t="s">
        <v>60</v>
      </c>
      <c r="B1797" s="1">
        <v>46130</v>
      </c>
      <c r="C1797">
        <v>2378080895</v>
      </c>
      <c r="D1797">
        <v>2378080931</v>
      </c>
      <c r="E1797" t="str">
        <f>T("더 고스트(The Ghost) 37화")</f>
        <v>더 고스트(The Ghost) 37화</v>
      </c>
      <c r="F1797">
        <v>37</v>
      </c>
      <c r="G1797" t="str">
        <f>T("윤산")</f>
        <v>윤산</v>
      </c>
      <c r="J1797" t="str">
        <f>T("하트퀸")</f>
        <v>하트퀸</v>
      </c>
      <c r="K1797" t="str">
        <f>T("더 고스트(The Ghost)")</f>
        <v>더 고스트(The Ghost)</v>
      </c>
      <c r="L1797">
        <v>100</v>
      </c>
      <c r="M1797">
        <v>700</v>
      </c>
      <c r="N1797">
        <v>7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0</v>
      </c>
      <c r="AC1797">
        <v>0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700</v>
      </c>
      <c r="AJ1797">
        <v>7</v>
      </c>
      <c r="AK1797">
        <v>0</v>
      </c>
      <c r="AL1797">
        <v>0</v>
      </c>
      <c r="AM1797">
        <v>700</v>
      </c>
      <c r="AN1797">
        <v>0</v>
      </c>
      <c r="AO1797">
        <v>0</v>
      </c>
      <c r="AP1797">
        <v>0</v>
      </c>
      <c r="AQ1797">
        <v>0</v>
      </c>
      <c r="AS1797">
        <v>0</v>
      </c>
      <c r="AT1797">
        <v>0</v>
      </c>
      <c r="AV1797">
        <v>0</v>
      </c>
      <c r="AW1797">
        <v>0</v>
      </c>
      <c r="AY1797">
        <v>0</v>
      </c>
      <c r="AZ1797">
        <v>0</v>
      </c>
      <c r="BA1797">
        <v>420</v>
      </c>
      <c r="BF1797" t="str">
        <f>T("D235985")</f>
        <v>D235985</v>
      </c>
      <c r="BG1797" t="str">
        <f>T("로맨스 웹소설 &gt; 현대물")</f>
        <v>로맨스 웹소설 &gt; 현대물</v>
      </c>
    </row>
    <row r="1798" spans="1:59">
      <c r="A1798" t="s">
        <v>60</v>
      </c>
      <c r="B1798" s="1">
        <v>46130</v>
      </c>
      <c r="C1798">
        <v>2378080895</v>
      </c>
      <c r="D1798">
        <v>2378080932</v>
      </c>
      <c r="E1798" t="str">
        <f>T("더 고스트(The Ghost) 38화")</f>
        <v>더 고스트(The Ghost) 38화</v>
      </c>
      <c r="F1798">
        <v>38</v>
      </c>
      <c r="G1798" t="str">
        <f>T("윤산")</f>
        <v>윤산</v>
      </c>
      <c r="J1798" t="str">
        <f>T("하트퀸")</f>
        <v>하트퀸</v>
      </c>
      <c r="K1798" t="str">
        <f>T("더 고스트(The Ghost)")</f>
        <v>더 고스트(The Ghost)</v>
      </c>
      <c r="L1798">
        <v>100</v>
      </c>
      <c r="M1798">
        <v>700</v>
      </c>
      <c r="N1798">
        <v>7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700</v>
      </c>
      <c r="AJ1798">
        <v>7</v>
      </c>
      <c r="AK1798">
        <v>0</v>
      </c>
      <c r="AL1798">
        <v>0</v>
      </c>
      <c r="AM1798">
        <v>700</v>
      </c>
      <c r="AN1798">
        <v>0</v>
      </c>
      <c r="AO1798">
        <v>0</v>
      </c>
      <c r="AP1798">
        <v>0</v>
      </c>
      <c r="AQ1798">
        <v>0</v>
      </c>
      <c r="AS1798">
        <v>0</v>
      </c>
      <c r="AT1798">
        <v>0</v>
      </c>
      <c r="AV1798">
        <v>0</v>
      </c>
      <c r="AW1798">
        <v>0</v>
      </c>
      <c r="AY1798">
        <v>0</v>
      </c>
      <c r="AZ1798">
        <v>0</v>
      </c>
      <c r="BA1798">
        <v>420</v>
      </c>
      <c r="BF1798" t="str">
        <f>T("D235986")</f>
        <v>D235986</v>
      </c>
      <c r="BG1798" t="str">
        <f>T("로맨스 웹소설 &gt; 현대물")</f>
        <v>로맨스 웹소설 &gt; 현대물</v>
      </c>
    </row>
    <row r="1799" spans="1:59">
      <c r="A1799" t="s">
        <v>60</v>
      </c>
      <c r="B1799" s="1">
        <v>46130</v>
      </c>
      <c r="C1799">
        <v>2378080895</v>
      </c>
      <c r="D1799">
        <v>2378080933</v>
      </c>
      <c r="E1799" t="str">
        <f>T("더 고스트(The Ghost) 39화")</f>
        <v>더 고스트(The Ghost) 39화</v>
      </c>
      <c r="F1799">
        <v>39</v>
      </c>
      <c r="G1799" t="str">
        <f>T("윤산")</f>
        <v>윤산</v>
      </c>
      <c r="J1799" t="str">
        <f>T("하트퀸")</f>
        <v>하트퀸</v>
      </c>
      <c r="K1799" t="str">
        <f>T("더 고스트(The Ghost)")</f>
        <v>더 고스트(The Ghost)</v>
      </c>
      <c r="L1799">
        <v>100</v>
      </c>
      <c r="M1799">
        <v>700</v>
      </c>
      <c r="N1799">
        <v>7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700</v>
      </c>
      <c r="AJ1799">
        <v>7</v>
      </c>
      <c r="AK1799">
        <v>0</v>
      </c>
      <c r="AL1799">
        <v>0</v>
      </c>
      <c r="AM1799">
        <v>700</v>
      </c>
      <c r="AN1799">
        <v>0</v>
      </c>
      <c r="AO1799">
        <v>0</v>
      </c>
      <c r="AP1799">
        <v>0</v>
      </c>
      <c r="AQ1799">
        <v>0</v>
      </c>
      <c r="AS1799">
        <v>0</v>
      </c>
      <c r="AT1799">
        <v>0</v>
      </c>
      <c r="AV1799">
        <v>0</v>
      </c>
      <c r="AW1799">
        <v>0</v>
      </c>
      <c r="AY1799">
        <v>0</v>
      </c>
      <c r="AZ1799">
        <v>0</v>
      </c>
      <c r="BA1799">
        <v>420</v>
      </c>
      <c r="BF1799" t="str">
        <f>T("D235987")</f>
        <v>D235987</v>
      </c>
      <c r="BG1799" t="str">
        <f>T("로맨스 웹소설 &gt; 현대물")</f>
        <v>로맨스 웹소설 &gt; 현대물</v>
      </c>
    </row>
    <row r="1800" spans="1:59">
      <c r="A1800" t="s">
        <v>60</v>
      </c>
      <c r="B1800" s="1">
        <v>46130</v>
      </c>
      <c r="C1800">
        <v>2378080895</v>
      </c>
      <c r="D1800">
        <v>2378080934</v>
      </c>
      <c r="E1800" t="str">
        <f>T("더 고스트(The Ghost) 40화")</f>
        <v>더 고스트(The Ghost) 40화</v>
      </c>
      <c r="F1800">
        <v>40</v>
      </c>
      <c r="G1800" t="str">
        <f>T("윤산")</f>
        <v>윤산</v>
      </c>
      <c r="J1800" t="str">
        <f>T("하트퀸")</f>
        <v>하트퀸</v>
      </c>
      <c r="K1800" t="str">
        <f>T("더 고스트(The Ghost)")</f>
        <v>더 고스트(The Ghost)</v>
      </c>
      <c r="L1800">
        <v>100</v>
      </c>
      <c r="M1800">
        <v>700</v>
      </c>
      <c r="N1800">
        <v>7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700</v>
      </c>
      <c r="AJ1800">
        <v>7</v>
      </c>
      <c r="AK1800">
        <v>0</v>
      </c>
      <c r="AL1800">
        <v>0</v>
      </c>
      <c r="AM1800">
        <v>700</v>
      </c>
      <c r="AN1800">
        <v>0</v>
      </c>
      <c r="AO1800">
        <v>0</v>
      </c>
      <c r="AP1800">
        <v>0</v>
      </c>
      <c r="AQ1800">
        <v>0</v>
      </c>
      <c r="AS1800">
        <v>0</v>
      </c>
      <c r="AT1800">
        <v>0</v>
      </c>
      <c r="AV1800">
        <v>0</v>
      </c>
      <c r="AW1800">
        <v>0</v>
      </c>
      <c r="AY1800">
        <v>0</v>
      </c>
      <c r="AZ1800">
        <v>0</v>
      </c>
      <c r="BA1800">
        <v>420</v>
      </c>
      <c r="BF1800" t="str">
        <f>T("D235988")</f>
        <v>D235988</v>
      </c>
      <c r="BG1800" t="str">
        <f>T("로맨스 웹소설 &gt; 현대물")</f>
        <v>로맨스 웹소설 &gt; 현대물</v>
      </c>
    </row>
    <row r="1801" spans="1:59">
      <c r="A1801" t="s">
        <v>60</v>
      </c>
      <c r="B1801" s="1">
        <v>46130</v>
      </c>
      <c r="C1801">
        <v>2378080895</v>
      </c>
      <c r="D1801">
        <v>2378080935</v>
      </c>
      <c r="E1801" t="str">
        <f>T("더 고스트(The Ghost) 41화")</f>
        <v>더 고스트(The Ghost) 41화</v>
      </c>
      <c r="F1801">
        <v>41</v>
      </c>
      <c r="G1801" t="str">
        <f>T("윤산")</f>
        <v>윤산</v>
      </c>
      <c r="J1801" t="str">
        <f>T("하트퀸")</f>
        <v>하트퀸</v>
      </c>
      <c r="K1801" t="str">
        <f>T("더 고스트(The Ghost)")</f>
        <v>더 고스트(The Ghost)</v>
      </c>
      <c r="L1801">
        <v>100</v>
      </c>
      <c r="M1801">
        <v>700</v>
      </c>
      <c r="N1801">
        <v>7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700</v>
      </c>
      <c r="AJ1801">
        <v>7</v>
      </c>
      <c r="AK1801">
        <v>0</v>
      </c>
      <c r="AL1801">
        <v>0</v>
      </c>
      <c r="AM1801">
        <v>700</v>
      </c>
      <c r="AN1801">
        <v>0</v>
      </c>
      <c r="AO1801">
        <v>0</v>
      </c>
      <c r="AP1801">
        <v>0</v>
      </c>
      <c r="AQ1801">
        <v>0</v>
      </c>
      <c r="AS1801">
        <v>0</v>
      </c>
      <c r="AT1801">
        <v>0</v>
      </c>
      <c r="AV1801">
        <v>0</v>
      </c>
      <c r="AW1801">
        <v>0</v>
      </c>
      <c r="AY1801">
        <v>0</v>
      </c>
      <c r="AZ1801">
        <v>0</v>
      </c>
      <c r="BA1801">
        <v>420</v>
      </c>
      <c r="BF1801" t="str">
        <f>T("D235989")</f>
        <v>D235989</v>
      </c>
      <c r="BG1801" t="str">
        <f>T("로맨스 웹소설 &gt; 현대물")</f>
        <v>로맨스 웹소설 &gt; 현대물</v>
      </c>
    </row>
    <row r="1802" spans="1:59">
      <c r="A1802" t="s">
        <v>60</v>
      </c>
      <c r="B1802" s="1">
        <v>46130</v>
      </c>
      <c r="C1802">
        <v>2378080895</v>
      </c>
      <c r="D1802">
        <v>2378080936</v>
      </c>
      <c r="E1802" t="str">
        <f>T("더 고스트(The Ghost) 42화")</f>
        <v>더 고스트(The Ghost) 42화</v>
      </c>
      <c r="F1802">
        <v>42</v>
      </c>
      <c r="G1802" t="str">
        <f>T("윤산")</f>
        <v>윤산</v>
      </c>
      <c r="J1802" t="str">
        <f>T("하트퀸")</f>
        <v>하트퀸</v>
      </c>
      <c r="K1802" t="str">
        <f>T("더 고스트(The Ghost)")</f>
        <v>더 고스트(The Ghost)</v>
      </c>
      <c r="L1802">
        <v>100</v>
      </c>
      <c r="M1802">
        <v>700</v>
      </c>
      <c r="N1802">
        <v>7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700</v>
      </c>
      <c r="AJ1802">
        <v>7</v>
      </c>
      <c r="AK1802">
        <v>0</v>
      </c>
      <c r="AL1802">
        <v>0</v>
      </c>
      <c r="AM1802">
        <v>700</v>
      </c>
      <c r="AN1802">
        <v>0</v>
      </c>
      <c r="AO1802">
        <v>0</v>
      </c>
      <c r="AP1802">
        <v>0</v>
      </c>
      <c r="AQ1802">
        <v>0</v>
      </c>
      <c r="AS1802">
        <v>0</v>
      </c>
      <c r="AT1802">
        <v>0</v>
      </c>
      <c r="AV1802">
        <v>0</v>
      </c>
      <c r="AW1802">
        <v>0</v>
      </c>
      <c r="AY1802">
        <v>0</v>
      </c>
      <c r="AZ1802">
        <v>0</v>
      </c>
      <c r="BA1802">
        <v>420</v>
      </c>
      <c r="BF1802" t="str">
        <f>T("D235990")</f>
        <v>D235990</v>
      </c>
      <c r="BG1802" t="str">
        <f>T("로맨스 웹소설 &gt; 현대물")</f>
        <v>로맨스 웹소설 &gt; 현대물</v>
      </c>
    </row>
    <row r="1803" spans="1:59">
      <c r="A1803" t="s">
        <v>60</v>
      </c>
      <c r="B1803" s="1">
        <v>46130</v>
      </c>
      <c r="C1803">
        <v>2378080895</v>
      </c>
      <c r="D1803">
        <v>2378080937</v>
      </c>
      <c r="E1803" t="str">
        <f>T("더 고스트(The Ghost) 43화")</f>
        <v>더 고스트(The Ghost) 43화</v>
      </c>
      <c r="F1803">
        <v>43</v>
      </c>
      <c r="G1803" t="str">
        <f>T("윤산")</f>
        <v>윤산</v>
      </c>
      <c r="J1803" t="str">
        <f>T("하트퀸")</f>
        <v>하트퀸</v>
      </c>
      <c r="K1803" t="str">
        <f>T("더 고스트(The Ghost)")</f>
        <v>더 고스트(The Ghost)</v>
      </c>
      <c r="L1803">
        <v>100</v>
      </c>
      <c r="M1803">
        <v>700</v>
      </c>
      <c r="N1803">
        <v>7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700</v>
      </c>
      <c r="AJ1803">
        <v>7</v>
      </c>
      <c r="AK1803">
        <v>0</v>
      </c>
      <c r="AL1803">
        <v>0</v>
      </c>
      <c r="AM1803">
        <v>700</v>
      </c>
      <c r="AN1803">
        <v>0</v>
      </c>
      <c r="AO1803">
        <v>0</v>
      </c>
      <c r="AP1803">
        <v>0</v>
      </c>
      <c r="AQ1803">
        <v>0</v>
      </c>
      <c r="AS1803">
        <v>0</v>
      </c>
      <c r="AT1803">
        <v>0</v>
      </c>
      <c r="AV1803">
        <v>0</v>
      </c>
      <c r="AW1803">
        <v>0</v>
      </c>
      <c r="AY1803">
        <v>0</v>
      </c>
      <c r="AZ1803">
        <v>0</v>
      </c>
      <c r="BA1803">
        <v>420</v>
      </c>
      <c r="BF1803" t="str">
        <f>T("D235991")</f>
        <v>D235991</v>
      </c>
      <c r="BG1803" t="str">
        <f>T("로맨스 웹소설 &gt; 현대물")</f>
        <v>로맨스 웹소설 &gt; 현대물</v>
      </c>
    </row>
    <row r="1804" spans="1:59">
      <c r="A1804" t="s">
        <v>60</v>
      </c>
      <c r="B1804" s="1">
        <v>46130</v>
      </c>
      <c r="C1804">
        <v>2378080895</v>
      </c>
      <c r="D1804">
        <v>2378080938</v>
      </c>
      <c r="E1804" t="str">
        <f>T("더 고스트(The Ghost) 44화")</f>
        <v>더 고스트(The Ghost) 44화</v>
      </c>
      <c r="F1804">
        <v>44</v>
      </c>
      <c r="G1804" t="str">
        <f>T("윤산")</f>
        <v>윤산</v>
      </c>
      <c r="J1804" t="str">
        <f>T("하트퀸")</f>
        <v>하트퀸</v>
      </c>
      <c r="K1804" t="str">
        <f>T("더 고스트(The Ghost)")</f>
        <v>더 고스트(The Ghost)</v>
      </c>
      <c r="L1804">
        <v>100</v>
      </c>
      <c r="M1804">
        <v>700</v>
      </c>
      <c r="N1804">
        <v>7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700</v>
      </c>
      <c r="AJ1804">
        <v>7</v>
      </c>
      <c r="AK1804">
        <v>0</v>
      </c>
      <c r="AL1804">
        <v>0</v>
      </c>
      <c r="AM1804">
        <v>700</v>
      </c>
      <c r="AN1804">
        <v>0</v>
      </c>
      <c r="AO1804">
        <v>0</v>
      </c>
      <c r="AP1804">
        <v>0</v>
      </c>
      <c r="AQ1804">
        <v>0</v>
      </c>
      <c r="AS1804">
        <v>0</v>
      </c>
      <c r="AT1804">
        <v>0</v>
      </c>
      <c r="AV1804">
        <v>0</v>
      </c>
      <c r="AW1804">
        <v>0</v>
      </c>
      <c r="AY1804">
        <v>0</v>
      </c>
      <c r="AZ1804">
        <v>0</v>
      </c>
      <c r="BA1804">
        <v>420</v>
      </c>
      <c r="BF1804" t="str">
        <f>T("D235992")</f>
        <v>D235992</v>
      </c>
      <c r="BG1804" t="str">
        <f>T("로맨스 웹소설 &gt; 현대물")</f>
        <v>로맨스 웹소설 &gt; 현대물</v>
      </c>
    </row>
    <row r="1805" spans="1:59">
      <c r="A1805" t="s">
        <v>60</v>
      </c>
      <c r="B1805" s="1">
        <v>46130</v>
      </c>
      <c r="C1805">
        <v>2378080895</v>
      </c>
      <c r="D1805">
        <v>2378080939</v>
      </c>
      <c r="E1805" t="str">
        <f>T("더 고스트(The Ghost) 45화")</f>
        <v>더 고스트(The Ghost) 45화</v>
      </c>
      <c r="F1805">
        <v>45</v>
      </c>
      <c r="G1805" t="str">
        <f>T("윤산")</f>
        <v>윤산</v>
      </c>
      <c r="J1805" t="str">
        <f>T("하트퀸")</f>
        <v>하트퀸</v>
      </c>
      <c r="K1805" t="str">
        <f>T("더 고스트(The Ghost)")</f>
        <v>더 고스트(The Ghost)</v>
      </c>
      <c r="L1805">
        <v>100</v>
      </c>
      <c r="M1805">
        <v>700</v>
      </c>
      <c r="N1805">
        <v>7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700</v>
      </c>
      <c r="AJ1805">
        <v>7</v>
      </c>
      <c r="AK1805">
        <v>0</v>
      </c>
      <c r="AL1805">
        <v>0</v>
      </c>
      <c r="AM1805">
        <v>700</v>
      </c>
      <c r="AN1805">
        <v>0</v>
      </c>
      <c r="AO1805">
        <v>0</v>
      </c>
      <c r="AP1805">
        <v>0</v>
      </c>
      <c r="AQ1805">
        <v>0</v>
      </c>
      <c r="AS1805">
        <v>0</v>
      </c>
      <c r="AT1805">
        <v>0</v>
      </c>
      <c r="AV1805">
        <v>0</v>
      </c>
      <c r="AW1805">
        <v>0</v>
      </c>
      <c r="AY1805">
        <v>0</v>
      </c>
      <c r="AZ1805">
        <v>0</v>
      </c>
      <c r="BA1805">
        <v>420</v>
      </c>
      <c r="BF1805" t="str">
        <f>T("D235993")</f>
        <v>D235993</v>
      </c>
      <c r="BG1805" t="str">
        <f>T("로맨스 웹소설 &gt; 현대물")</f>
        <v>로맨스 웹소설 &gt; 현대물</v>
      </c>
    </row>
    <row r="1806" spans="1:59">
      <c r="A1806" t="s">
        <v>60</v>
      </c>
      <c r="B1806" s="1">
        <v>46130</v>
      </c>
      <c r="C1806">
        <v>2378080895</v>
      </c>
      <c r="D1806">
        <v>2378080940</v>
      </c>
      <c r="E1806" t="str">
        <f>T("더 고스트(The Ghost) 46화")</f>
        <v>더 고스트(The Ghost) 46화</v>
      </c>
      <c r="F1806">
        <v>46</v>
      </c>
      <c r="G1806" t="str">
        <f>T("윤산")</f>
        <v>윤산</v>
      </c>
      <c r="J1806" t="str">
        <f>T("하트퀸")</f>
        <v>하트퀸</v>
      </c>
      <c r="K1806" t="str">
        <f>T("더 고스트(The Ghost)")</f>
        <v>더 고스트(The Ghost)</v>
      </c>
      <c r="L1806">
        <v>100</v>
      </c>
      <c r="M1806">
        <v>700</v>
      </c>
      <c r="N1806">
        <v>7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700</v>
      </c>
      <c r="AJ1806">
        <v>7</v>
      </c>
      <c r="AK1806">
        <v>0</v>
      </c>
      <c r="AL1806">
        <v>0</v>
      </c>
      <c r="AM1806">
        <v>700</v>
      </c>
      <c r="AN1806">
        <v>0</v>
      </c>
      <c r="AO1806">
        <v>0</v>
      </c>
      <c r="AP1806">
        <v>0</v>
      </c>
      <c r="AQ1806">
        <v>0</v>
      </c>
      <c r="AS1806">
        <v>0</v>
      </c>
      <c r="AT1806">
        <v>0</v>
      </c>
      <c r="AV1806">
        <v>0</v>
      </c>
      <c r="AW1806">
        <v>0</v>
      </c>
      <c r="AY1806">
        <v>0</v>
      </c>
      <c r="AZ1806">
        <v>0</v>
      </c>
      <c r="BA1806">
        <v>420</v>
      </c>
      <c r="BF1806" t="str">
        <f>T("D235994")</f>
        <v>D235994</v>
      </c>
      <c r="BG1806" t="str">
        <f>T("로맨스 웹소설 &gt; 현대물")</f>
        <v>로맨스 웹소설 &gt; 현대물</v>
      </c>
    </row>
    <row r="1807" spans="1:59">
      <c r="A1807" t="s">
        <v>60</v>
      </c>
      <c r="B1807" s="1">
        <v>46130</v>
      </c>
      <c r="C1807">
        <v>2378080895</v>
      </c>
      <c r="D1807">
        <v>2378080941</v>
      </c>
      <c r="E1807" t="str">
        <f>T("더 고스트(The Ghost) 47화")</f>
        <v>더 고스트(The Ghost) 47화</v>
      </c>
      <c r="F1807">
        <v>47</v>
      </c>
      <c r="G1807" t="str">
        <f>T("윤산")</f>
        <v>윤산</v>
      </c>
      <c r="J1807" t="str">
        <f>T("하트퀸")</f>
        <v>하트퀸</v>
      </c>
      <c r="K1807" t="str">
        <f>T("더 고스트(The Ghost)")</f>
        <v>더 고스트(The Ghost)</v>
      </c>
      <c r="L1807">
        <v>100</v>
      </c>
      <c r="M1807">
        <v>600</v>
      </c>
      <c r="N1807">
        <v>6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600</v>
      </c>
      <c r="AJ1807">
        <v>6</v>
      </c>
      <c r="AK1807">
        <v>0</v>
      </c>
      <c r="AL1807">
        <v>0</v>
      </c>
      <c r="AM1807">
        <v>600</v>
      </c>
      <c r="AN1807">
        <v>0</v>
      </c>
      <c r="AO1807">
        <v>0</v>
      </c>
      <c r="AP1807">
        <v>0</v>
      </c>
      <c r="AQ1807">
        <v>0</v>
      </c>
      <c r="AS1807">
        <v>0</v>
      </c>
      <c r="AT1807">
        <v>0</v>
      </c>
      <c r="AV1807">
        <v>0</v>
      </c>
      <c r="AW1807">
        <v>0</v>
      </c>
      <c r="AY1807">
        <v>0</v>
      </c>
      <c r="AZ1807">
        <v>0</v>
      </c>
      <c r="BA1807">
        <v>360</v>
      </c>
      <c r="BF1807" t="str">
        <f>T("D235995")</f>
        <v>D235995</v>
      </c>
      <c r="BG1807" t="str">
        <f>T("로맨스 웹소설 &gt; 현대물")</f>
        <v>로맨스 웹소설 &gt; 현대물</v>
      </c>
    </row>
    <row r="1808" spans="1:59">
      <c r="A1808" t="s">
        <v>60</v>
      </c>
      <c r="B1808" s="1">
        <v>46130</v>
      </c>
      <c r="C1808">
        <v>2378080895</v>
      </c>
      <c r="D1808">
        <v>2378080942</v>
      </c>
      <c r="E1808" t="str">
        <f>T("더 고스트(The Ghost) 48화")</f>
        <v>더 고스트(The Ghost) 48화</v>
      </c>
      <c r="F1808">
        <v>48</v>
      </c>
      <c r="G1808" t="str">
        <f>T("윤산")</f>
        <v>윤산</v>
      </c>
      <c r="J1808" t="str">
        <f>T("하트퀸")</f>
        <v>하트퀸</v>
      </c>
      <c r="K1808" t="str">
        <f>T("더 고스트(The Ghost)")</f>
        <v>더 고스트(The Ghost)</v>
      </c>
      <c r="L1808">
        <v>100</v>
      </c>
      <c r="M1808">
        <v>600</v>
      </c>
      <c r="N1808">
        <v>6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600</v>
      </c>
      <c r="AJ1808">
        <v>6</v>
      </c>
      <c r="AK1808">
        <v>0</v>
      </c>
      <c r="AL1808">
        <v>0</v>
      </c>
      <c r="AM1808">
        <v>600</v>
      </c>
      <c r="AN1808">
        <v>0</v>
      </c>
      <c r="AO1808">
        <v>0</v>
      </c>
      <c r="AP1808">
        <v>0</v>
      </c>
      <c r="AQ1808">
        <v>0</v>
      </c>
      <c r="AS1808">
        <v>0</v>
      </c>
      <c r="AT1808">
        <v>0</v>
      </c>
      <c r="AV1808">
        <v>0</v>
      </c>
      <c r="AW1808">
        <v>0</v>
      </c>
      <c r="AY1808">
        <v>0</v>
      </c>
      <c r="AZ1808">
        <v>0</v>
      </c>
      <c r="BA1808">
        <v>360</v>
      </c>
      <c r="BF1808" t="str">
        <f>T("D235996")</f>
        <v>D235996</v>
      </c>
      <c r="BG1808" t="str">
        <f>T("로맨스 웹소설 &gt; 현대물")</f>
        <v>로맨스 웹소설 &gt; 현대물</v>
      </c>
    </row>
    <row r="1809" spans="1:59">
      <c r="A1809" t="s">
        <v>60</v>
      </c>
      <c r="B1809" s="1">
        <v>46130</v>
      </c>
      <c r="C1809">
        <v>2378080895</v>
      </c>
      <c r="D1809">
        <v>2378080943</v>
      </c>
      <c r="E1809" t="str">
        <f>T("더 고스트(The Ghost) 49화")</f>
        <v>더 고스트(The Ghost) 49화</v>
      </c>
      <c r="F1809">
        <v>49</v>
      </c>
      <c r="G1809" t="str">
        <f>T("윤산")</f>
        <v>윤산</v>
      </c>
      <c r="J1809" t="str">
        <f>T("하트퀸")</f>
        <v>하트퀸</v>
      </c>
      <c r="K1809" t="str">
        <f>T("더 고스트(The Ghost)")</f>
        <v>더 고스트(The Ghost)</v>
      </c>
      <c r="L1809">
        <v>100</v>
      </c>
      <c r="M1809">
        <v>600</v>
      </c>
      <c r="N1809">
        <v>6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600</v>
      </c>
      <c r="AJ1809">
        <v>6</v>
      </c>
      <c r="AK1809">
        <v>0</v>
      </c>
      <c r="AL1809">
        <v>0</v>
      </c>
      <c r="AM1809">
        <v>600</v>
      </c>
      <c r="AN1809">
        <v>0</v>
      </c>
      <c r="AO1809">
        <v>0</v>
      </c>
      <c r="AP1809">
        <v>0</v>
      </c>
      <c r="AQ1809">
        <v>0</v>
      </c>
      <c r="AS1809">
        <v>0</v>
      </c>
      <c r="AT1809">
        <v>0</v>
      </c>
      <c r="AV1809">
        <v>0</v>
      </c>
      <c r="AW1809">
        <v>0</v>
      </c>
      <c r="AY1809">
        <v>0</v>
      </c>
      <c r="AZ1809">
        <v>0</v>
      </c>
      <c r="BA1809">
        <v>360</v>
      </c>
      <c r="BF1809" t="str">
        <f>T("D235997")</f>
        <v>D235997</v>
      </c>
      <c r="BG1809" t="str">
        <f>T("로맨스 웹소설 &gt; 현대물")</f>
        <v>로맨스 웹소설 &gt; 현대물</v>
      </c>
    </row>
    <row r="1810" spans="1:59">
      <c r="A1810" t="s">
        <v>60</v>
      </c>
      <c r="B1810" s="1">
        <v>46130</v>
      </c>
      <c r="C1810">
        <v>2378080895</v>
      </c>
      <c r="D1810">
        <v>2378080944</v>
      </c>
      <c r="E1810" t="str">
        <f>T("더 고스트(The Ghost) 50화")</f>
        <v>더 고스트(The Ghost) 50화</v>
      </c>
      <c r="F1810">
        <v>50</v>
      </c>
      <c r="G1810" t="str">
        <f>T("윤산")</f>
        <v>윤산</v>
      </c>
      <c r="J1810" t="str">
        <f>T("하트퀸")</f>
        <v>하트퀸</v>
      </c>
      <c r="K1810" t="str">
        <f>T("더 고스트(The Ghost)")</f>
        <v>더 고스트(The Ghost)</v>
      </c>
      <c r="L1810">
        <v>100</v>
      </c>
      <c r="M1810">
        <v>600</v>
      </c>
      <c r="N1810">
        <v>6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600</v>
      </c>
      <c r="AJ1810">
        <v>6</v>
      </c>
      <c r="AK1810">
        <v>0</v>
      </c>
      <c r="AL1810">
        <v>0</v>
      </c>
      <c r="AM1810">
        <v>600</v>
      </c>
      <c r="AN1810">
        <v>0</v>
      </c>
      <c r="AO1810">
        <v>0</v>
      </c>
      <c r="AP1810">
        <v>0</v>
      </c>
      <c r="AQ1810">
        <v>0</v>
      </c>
      <c r="AS1810">
        <v>0</v>
      </c>
      <c r="AT1810">
        <v>0</v>
      </c>
      <c r="AV1810">
        <v>0</v>
      </c>
      <c r="AW1810">
        <v>0</v>
      </c>
      <c r="AY1810">
        <v>0</v>
      </c>
      <c r="AZ1810">
        <v>0</v>
      </c>
      <c r="BA1810">
        <v>360</v>
      </c>
      <c r="BF1810" t="str">
        <f>T("D235998")</f>
        <v>D235998</v>
      </c>
      <c r="BG1810" t="str">
        <f>T("로맨스 웹소설 &gt; 현대물")</f>
        <v>로맨스 웹소설 &gt; 현대물</v>
      </c>
    </row>
    <row r="1811" spans="1:59">
      <c r="A1811" t="s">
        <v>60</v>
      </c>
      <c r="B1811" s="1">
        <v>46130</v>
      </c>
      <c r="C1811">
        <v>2378080895</v>
      </c>
      <c r="D1811">
        <v>2378080945</v>
      </c>
      <c r="E1811" t="str">
        <f>T("더 고스트(The Ghost) 51화")</f>
        <v>더 고스트(The Ghost) 51화</v>
      </c>
      <c r="F1811">
        <v>51</v>
      </c>
      <c r="G1811" t="str">
        <f>T("윤산")</f>
        <v>윤산</v>
      </c>
      <c r="J1811" t="str">
        <f>T("하트퀸")</f>
        <v>하트퀸</v>
      </c>
      <c r="K1811" t="str">
        <f>T("더 고스트(The Ghost)")</f>
        <v>더 고스트(The Ghost)</v>
      </c>
      <c r="L1811">
        <v>100</v>
      </c>
      <c r="M1811">
        <v>700</v>
      </c>
      <c r="N1811">
        <v>7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0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700</v>
      </c>
      <c r="AJ1811">
        <v>7</v>
      </c>
      <c r="AK1811">
        <v>0</v>
      </c>
      <c r="AL1811">
        <v>0</v>
      </c>
      <c r="AM1811">
        <v>700</v>
      </c>
      <c r="AN1811">
        <v>0</v>
      </c>
      <c r="AO1811">
        <v>0</v>
      </c>
      <c r="AP1811">
        <v>0</v>
      </c>
      <c r="AQ1811">
        <v>0</v>
      </c>
      <c r="AS1811">
        <v>0</v>
      </c>
      <c r="AT1811">
        <v>0</v>
      </c>
      <c r="AV1811">
        <v>0</v>
      </c>
      <c r="AW1811">
        <v>0</v>
      </c>
      <c r="AY1811">
        <v>0</v>
      </c>
      <c r="AZ1811">
        <v>0</v>
      </c>
      <c r="BA1811">
        <v>420</v>
      </c>
      <c r="BF1811" t="str">
        <f>T("D235999")</f>
        <v>D235999</v>
      </c>
      <c r="BG1811" t="str">
        <f>T("로맨스 웹소설 &gt; 현대물")</f>
        <v>로맨스 웹소설 &gt; 현대물</v>
      </c>
    </row>
    <row r="1812" spans="1:59">
      <c r="A1812" t="s">
        <v>60</v>
      </c>
      <c r="B1812" s="1">
        <v>46130</v>
      </c>
      <c r="C1812">
        <v>2378080895</v>
      </c>
      <c r="D1812">
        <v>2378080946</v>
      </c>
      <c r="E1812" t="str">
        <f>T("더 고스트(The Ghost) 52화")</f>
        <v>더 고스트(The Ghost) 52화</v>
      </c>
      <c r="F1812">
        <v>52</v>
      </c>
      <c r="G1812" t="str">
        <f>T("윤산")</f>
        <v>윤산</v>
      </c>
      <c r="J1812" t="str">
        <f>T("하트퀸")</f>
        <v>하트퀸</v>
      </c>
      <c r="K1812" t="str">
        <f>T("더 고스트(The Ghost)")</f>
        <v>더 고스트(The Ghost)</v>
      </c>
      <c r="L1812">
        <v>100</v>
      </c>
      <c r="M1812">
        <v>600</v>
      </c>
      <c r="N1812">
        <v>6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600</v>
      </c>
      <c r="AJ1812">
        <v>6</v>
      </c>
      <c r="AK1812">
        <v>0</v>
      </c>
      <c r="AL1812">
        <v>0</v>
      </c>
      <c r="AM1812">
        <v>600</v>
      </c>
      <c r="AN1812">
        <v>0</v>
      </c>
      <c r="AO1812">
        <v>0</v>
      </c>
      <c r="AP1812">
        <v>0</v>
      </c>
      <c r="AQ1812">
        <v>0</v>
      </c>
      <c r="AS1812">
        <v>0</v>
      </c>
      <c r="AT1812">
        <v>0</v>
      </c>
      <c r="AV1812">
        <v>0</v>
      </c>
      <c r="AW1812">
        <v>0</v>
      </c>
      <c r="AY1812">
        <v>0</v>
      </c>
      <c r="AZ1812">
        <v>0</v>
      </c>
      <c r="BA1812">
        <v>360</v>
      </c>
      <c r="BF1812" t="str">
        <f>T("D236000")</f>
        <v>D236000</v>
      </c>
      <c r="BG1812" t="str">
        <f>T("로맨스 웹소설 &gt; 현대물")</f>
        <v>로맨스 웹소설 &gt; 현대물</v>
      </c>
    </row>
    <row r="1813" spans="1:59">
      <c r="A1813" t="s">
        <v>60</v>
      </c>
      <c r="B1813" s="1">
        <v>46130</v>
      </c>
      <c r="C1813">
        <v>2378080895</v>
      </c>
      <c r="D1813">
        <v>2378080947</v>
      </c>
      <c r="E1813" t="str">
        <f>T("더 고스트(The Ghost) 53화")</f>
        <v>더 고스트(The Ghost) 53화</v>
      </c>
      <c r="F1813">
        <v>53</v>
      </c>
      <c r="G1813" t="str">
        <f>T("윤산")</f>
        <v>윤산</v>
      </c>
      <c r="J1813" t="str">
        <f>T("하트퀸")</f>
        <v>하트퀸</v>
      </c>
      <c r="K1813" t="str">
        <f>T("더 고스트(The Ghost)")</f>
        <v>더 고스트(The Ghost)</v>
      </c>
      <c r="L1813">
        <v>100</v>
      </c>
      <c r="M1813">
        <v>600</v>
      </c>
      <c r="N1813">
        <v>6</v>
      </c>
      <c r="O1813">
        <v>0</v>
      </c>
      <c r="P1813">
        <v>0</v>
      </c>
      <c r="Q1813">
        <v>0</v>
      </c>
      <c r="R1813">
        <v>1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0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600</v>
      </c>
      <c r="AJ1813">
        <v>7</v>
      </c>
      <c r="AK1813">
        <v>0</v>
      </c>
      <c r="AL1813">
        <v>0</v>
      </c>
      <c r="AM1813">
        <v>600</v>
      </c>
      <c r="AN1813">
        <v>0</v>
      </c>
      <c r="AO1813">
        <v>0</v>
      </c>
      <c r="AP1813">
        <v>0</v>
      </c>
      <c r="AQ1813">
        <v>0</v>
      </c>
      <c r="AS1813">
        <v>0</v>
      </c>
      <c r="AT1813">
        <v>0</v>
      </c>
      <c r="AV1813">
        <v>0</v>
      </c>
      <c r="AW1813">
        <v>0</v>
      </c>
      <c r="AY1813">
        <v>0</v>
      </c>
      <c r="AZ1813">
        <v>0</v>
      </c>
      <c r="BA1813">
        <v>360</v>
      </c>
      <c r="BF1813" t="str">
        <f>T("D236001")</f>
        <v>D236001</v>
      </c>
      <c r="BG1813" t="str">
        <f>T("로맨스 웹소설 &gt; 현대물")</f>
        <v>로맨스 웹소설 &gt; 현대물</v>
      </c>
    </row>
    <row r="1814" spans="1:59">
      <c r="A1814" t="s">
        <v>60</v>
      </c>
      <c r="B1814" s="1">
        <v>46130</v>
      </c>
      <c r="C1814">
        <v>2378080895</v>
      </c>
      <c r="D1814">
        <v>2378080948</v>
      </c>
      <c r="E1814" t="str">
        <f>T("더 고스트(The Ghost) 54화")</f>
        <v>더 고스트(The Ghost) 54화</v>
      </c>
      <c r="F1814">
        <v>54</v>
      </c>
      <c r="G1814" t="str">
        <f>T("윤산")</f>
        <v>윤산</v>
      </c>
      <c r="J1814" t="str">
        <f>T("하트퀸")</f>
        <v>하트퀸</v>
      </c>
      <c r="K1814" t="str">
        <f>T("더 고스트(The Ghost)")</f>
        <v>더 고스트(The Ghost)</v>
      </c>
      <c r="L1814">
        <v>100</v>
      </c>
      <c r="M1814">
        <v>600</v>
      </c>
      <c r="N1814">
        <v>6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0</v>
      </c>
      <c r="AC1814">
        <v>0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600</v>
      </c>
      <c r="AJ1814">
        <v>6</v>
      </c>
      <c r="AK1814">
        <v>0</v>
      </c>
      <c r="AL1814">
        <v>0</v>
      </c>
      <c r="AM1814">
        <v>600</v>
      </c>
      <c r="AN1814">
        <v>0</v>
      </c>
      <c r="AO1814">
        <v>0</v>
      </c>
      <c r="AP1814">
        <v>0</v>
      </c>
      <c r="AQ1814">
        <v>0</v>
      </c>
      <c r="AS1814">
        <v>0</v>
      </c>
      <c r="AT1814">
        <v>0</v>
      </c>
      <c r="AV1814">
        <v>0</v>
      </c>
      <c r="AW1814">
        <v>0</v>
      </c>
      <c r="AY1814">
        <v>0</v>
      </c>
      <c r="AZ1814">
        <v>0</v>
      </c>
      <c r="BA1814">
        <v>360</v>
      </c>
      <c r="BF1814" t="str">
        <f>T("D236002")</f>
        <v>D236002</v>
      </c>
      <c r="BG1814" t="str">
        <f>T("로맨스 웹소설 &gt; 현대물")</f>
        <v>로맨스 웹소설 &gt; 현대물</v>
      </c>
    </row>
    <row r="1815" spans="1:59">
      <c r="A1815" t="s">
        <v>60</v>
      </c>
      <c r="B1815" s="1">
        <v>46130</v>
      </c>
      <c r="C1815">
        <v>2378080895</v>
      </c>
      <c r="D1815">
        <v>2378080949</v>
      </c>
      <c r="E1815" t="str">
        <f>T("더 고스트(The Ghost) 55화")</f>
        <v>더 고스트(The Ghost) 55화</v>
      </c>
      <c r="F1815">
        <v>55</v>
      </c>
      <c r="G1815" t="str">
        <f>T("윤산")</f>
        <v>윤산</v>
      </c>
      <c r="J1815" t="str">
        <f>T("하트퀸")</f>
        <v>하트퀸</v>
      </c>
      <c r="K1815" t="str">
        <f>T("더 고스트(The Ghost)")</f>
        <v>더 고스트(The Ghost)</v>
      </c>
      <c r="L1815">
        <v>100</v>
      </c>
      <c r="M1815">
        <v>600</v>
      </c>
      <c r="N1815">
        <v>6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600</v>
      </c>
      <c r="AJ1815">
        <v>6</v>
      </c>
      <c r="AK1815">
        <v>0</v>
      </c>
      <c r="AL1815">
        <v>0</v>
      </c>
      <c r="AM1815">
        <v>600</v>
      </c>
      <c r="AN1815">
        <v>0</v>
      </c>
      <c r="AO1815">
        <v>0</v>
      </c>
      <c r="AP1815">
        <v>0</v>
      </c>
      <c r="AQ1815">
        <v>0</v>
      </c>
      <c r="AS1815">
        <v>0</v>
      </c>
      <c r="AT1815">
        <v>0</v>
      </c>
      <c r="AV1815">
        <v>0</v>
      </c>
      <c r="AW1815">
        <v>0</v>
      </c>
      <c r="AY1815">
        <v>0</v>
      </c>
      <c r="AZ1815">
        <v>0</v>
      </c>
      <c r="BA1815">
        <v>360</v>
      </c>
      <c r="BF1815" t="str">
        <f>T("D236003")</f>
        <v>D236003</v>
      </c>
      <c r="BG1815" t="str">
        <f>T("로맨스 웹소설 &gt; 현대물")</f>
        <v>로맨스 웹소설 &gt; 현대물</v>
      </c>
    </row>
    <row r="1816" spans="1:59">
      <c r="A1816" t="s">
        <v>60</v>
      </c>
      <c r="B1816" s="1">
        <v>46130</v>
      </c>
      <c r="C1816">
        <v>2378080895</v>
      </c>
      <c r="D1816">
        <v>2378080950</v>
      </c>
      <c r="E1816" t="str">
        <f>T("더 고스트(The Ghost) 56화")</f>
        <v>더 고스트(The Ghost) 56화</v>
      </c>
      <c r="F1816">
        <v>56</v>
      </c>
      <c r="G1816" t="str">
        <f>T("윤산")</f>
        <v>윤산</v>
      </c>
      <c r="J1816" t="str">
        <f>T("하트퀸")</f>
        <v>하트퀸</v>
      </c>
      <c r="K1816" t="str">
        <f>T("더 고스트(The Ghost)")</f>
        <v>더 고스트(The Ghost)</v>
      </c>
      <c r="L1816">
        <v>100</v>
      </c>
      <c r="M1816">
        <v>600</v>
      </c>
      <c r="N1816">
        <v>6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600</v>
      </c>
      <c r="AJ1816">
        <v>6</v>
      </c>
      <c r="AK1816">
        <v>0</v>
      </c>
      <c r="AL1816">
        <v>0</v>
      </c>
      <c r="AM1816">
        <v>600</v>
      </c>
      <c r="AN1816">
        <v>0</v>
      </c>
      <c r="AO1816">
        <v>0</v>
      </c>
      <c r="AP1816">
        <v>0</v>
      </c>
      <c r="AQ1816">
        <v>0</v>
      </c>
      <c r="AS1816">
        <v>0</v>
      </c>
      <c r="AT1816">
        <v>0</v>
      </c>
      <c r="AV1816">
        <v>0</v>
      </c>
      <c r="AW1816">
        <v>0</v>
      </c>
      <c r="AY1816">
        <v>0</v>
      </c>
      <c r="AZ1816">
        <v>0</v>
      </c>
      <c r="BA1816">
        <v>360</v>
      </c>
      <c r="BF1816" t="str">
        <f>T("D236004")</f>
        <v>D236004</v>
      </c>
      <c r="BG1816" t="str">
        <f>T("로맨스 웹소설 &gt; 현대물")</f>
        <v>로맨스 웹소설 &gt; 현대물</v>
      </c>
    </row>
    <row r="1817" spans="1:59">
      <c r="A1817" t="s">
        <v>60</v>
      </c>
      <c r="B1817" s="1">
        <v>46130</v>
      </c>
      <c r="C1817">
        <v>2378080895</v>
      </c>
      <c r="D1817">
        <v>2378080951</v>
      </c>
      <c r="E1817" t="str">
        <f>T("더 고스트(The Ghost) 57화")</f>
        <v>더 고스트(The Ghost) 57화</v>
      </c>
      <c r="F1817">
        <v>57</v>
      </c>
      <c r="G1817" t="str">
        <f>T("윤산")</f>
        <v>윤산</v>
      </c>
      <c r="J1817" t="str">
        <f>T("하트퀸")</f>
        <v>하트퀸</v>
      </c>
      <c r="K1817" t="str">
        <f>T("더 고스트(The Ghost)")</f>
        <v>더 고스트(The Ghost)</v>
      </c>
      <c r="L1817">
        <v>100</v>
      </c>
      <c r="M1817">
        <v>600</v>
      </c>
      <c r="N1817">
        <v>6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600</v>
      </c>
      <c r="AJ1817">
        <v>6</v>
      </c>
      <c r="AK1817">
        <v>0</v>
      </c>
      <c r="AL1817">
        <v>0</v>
      </c>
      <c r="AM1817">
        <v>600</v>
      </c>
      <c r="AN1817">
        <v>0</v>
      </c>
      <c r="AO1817">
        <v>0</v>
      </c>
      <c r="AP1817">
        <v>0</v>
      </c>
      <c r="AQ1817">
        <v>0</v>
      </c>
      <c r="AS1817">
        <v>0</v>
      </c>
      <c r="AT1817">
        <v>0</v>
      </c>
      <c r="AV1817">
        <v>0</v>
      </c>
      <c r="AW1817">
        <v>0</v>
      </c>
      <c r="AY1817">
        <v>0</v>
      </c>
      <c r="AZ1817">
        <v>0</v>
      </c>
      <c r="BA1817">
        <v>360</v>
      </c>
      <c r="BF1817" t="str">
        <f>T("D236005")</f>
        <v>D236005</v>
      </c>
      <c r="BG1817" t="str">
        <f>T("로맨스 웹소설 &gt; 현대물")</f>
        <v>로맨스 웹소설 &gt; 현대물</v>
      </c>
    </row>
    <row r="1818" spans="1:59">
      <c r="A1818" t="s">
        <v>60</v>
      </c>
      <c r="B1818" s="1">
        <v>46130</v>
      </c>
      <c r="C1818">
        <v>2378080895</v>
      </c>
      <c r="D1818">
        <v>2378080952</v>
      </c>
      <c r="E1818" t="str">
        <f>T("더 고스트(The Ghost) 58화")</f>
        <v>더 고스트(The Ghost) 58화</v>
      </c>
      <c r="F1818">
        <v>58</v>
      </c>
      <c r="G1818" t="str">
        <f>T("윤산")</f>
        <v>윤산</v>
      </c>
      <c r="J1818" t="str">
        <f>T("하트퀸")</f>
        <v>하트퀸</v>
      </c>
      <c r="K1818" t="str">
        <f>T("더 고스트(The Ghost)")</f>
        <v>더 고스트(The Ghost)</v>
      </c>
      <c r="L1818">
        <v>100</v>
      </c>
      <c r="M1818">
        <v>600</v>
      </c>
      <c r="N1818">
        <v>6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600</v>
      </c>
      <c r="AJ1818">
        <v>6</v>
      </c>
      <c r="AK1818">
        <v>0</v>
      </c>
      <c r="AL1818">
        <v>0</v>
      </c>
      <c r="AM1818">
        <v>600</v>
      </c>
      <c r="AN1818">
        <v>0</v>
      </c>
      <c r="AO1818">
        <v>0</v>
      </c>
      <c r="AP1818">
        <v>0</v>
      </c>
      <c r="AQ1818">
        <v>0</v>
      </c>
      <c r="AS1818">
        <v>0</v>
      </c>
      <c r="AT1818">
        <v>0</v>
      </c>
      <c r="AV1818">
        <v>0</v>
      </c>
      <c r="AW1818">
        <v>0</v>
      </c>
      <c r="AY1818">
        <v>0</v>
      </c>
      <c r="AZ1818">
        <v>0</v>
      </c>
      <c r="BA1818">
        <v>360</v>
      </c>
      <c r="BF1818" t="str">
        <f>T("D236006")</f>
        <v>D236006</v>
      </c>
      <c r="BG1818" t="str">
        <f>T("로맨스 웹소설 &gt; 현대물")</f>
        <v>로맨스 웹소설 &gt; 현대물</v>
      </c>
    </row>
    <row r="1819" spans="1:59">
      <c r="A1819" t="s">
        <v>60</v>
      </c>
      <c r="B1819" s="1">
        <v>46130</v>
      </c>
      <c r="C1819">
        <v>2378080895</v>
      </c>
      <c r="D1819">
        <v>2378080953</v>
      </c>
      <c r="E1819" t="str">
        <f>T("더 고스트(The Ghost) 59화")</f>
        <v>더 고스트(The Ghost) 59화</v>
      </c>
      <c r="F1819">
        <v>59</v>
      </c>
      <c r="G1819" t="str">
        <f>T("윤산")</f>
        <v>윤산</v>
      </c>
      <c r="J1819" t="str">
        <f>T("하트퀸")</f>
        <v>하트퀸</v>
      </c>
      <c r="K1819" t="str">
        <f>T("더 고스트(The Ghost)")</f>
        <v>더 고스트(The Ghost)</v>
      </c>
      <c r="L1819">
        <v>100</v>
      </c>
      <c r="M1819">
        <v>600</v>
      </c>
      <c r="N1819">
        <v>6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600</v>
      </c>
      <c r="AJ1819">
        <v>6</v>
      </c>
      <c r="AK1819">
        <v>0</v>
      </c>
      <c r="AL1819">
        <v>0</v>
      </c>
      <c r="AM1819">
        <v>600</v>
      </c>
      <c r="AN1819">
        <v>0</v>
      </c>
      <c r="AO1819">
        <v>0</v>
      </c>
      <c r="AP1819">
        <v>0</v>
      </c>
      <c r="AQ1819">
        <v>0</v>
      </c>
      <c r="AS1819">
        <v>0</v>
      </c>
      <c r="AT1819">
        <v>0</v>
      </c>
      <c r="AV1819">
        <v>0</v>
      </c>
      <c r="AW1819">
        <v>0</v>
      </c>
      <c r="AY1819">
        <v>0</v>
      </c>
      <c r="AZ1819">
        <v>0</v>
      </c>
      <c r="BA1819">
        <v>360</v>
      </c>
      <c r="BF1819" t="str">
        <f>T("D236007")</f>
        <v>D236007</v>
      </c>
      <c r="BG1819" t="str">
        <f>T("로맨스 웹소설 &gt; 현대물")</f>
        <v>로맨스 웹소설 &gt; 현대물</v>
      </c>
    </row>
    <row r="1820" spans="1:59">
      <c r="A1820" t="s">
        <v>60</v>
      </c>
      <c r="B1820" s="1">
        <v>46130</v>
      </c>
      <c r="C1820">
        <v>2378080895</v>
      </c>
      <c r="D1820">
        <v>2378080954</v>
      </c>
      <c r="E1820" t="str">
        <f>T("더 고스트(The Ghost) 60화")</f>
        <v>더 고스트(The Ghost) 60화</v>
      </c>
      <c r="F1820">
        <v>60</v>
      </c>
      <c r="G1820" t="str">
        <f>T("윤산")</f>
        <v>윤산</v>
      </c>
      <c r="J1820" t="str">
        <f>T("하트퀸")</f>
        <v>하트퀸</v>
      </c>
      <c r="K1820" t="str">
        <f>T("더 고스트(The Ghost)")</f>
        <v>더 고스트(The Ghost)</v>
      </c>
      <c r="L1820">
        <v>100</v>
      </c>
      <c r="M1820">
        <v>700</v>
      </c>
      <c r="N1820">
        <v>7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700</v>
      </c>
      <c r="AJ1820">
        <v>7</v>
      </c>
      <c r="AK1820">
        <v>0</v>
      </c>
      <c r="AL1820">
        <v>0</v>
      </c>
      <c r="AM1820">
        <v>700</v>
      </c>
      <c r="AN1820">
        <v>0</v>
      </c>
      <c r="AO1820">
        <v>0</v>
      </c>
      <c r="AP1820">
        <v>0</v>
      </c>
      <c r="AQ1820">
        <v>0</v>
      </c>
      <c r="AS1820">
        <v>0</v>
      </c>
      <c r="AT1820">
        <v>0</v>
      </c>
      <c r="AV1820">
        <v>0</v>
      </c>
      <c r="AW1820">
        <v>0</v>
      </c>
      <c r="AY1820">
        <v>0</v>
      </c>
      <c r="AZ1820">
        <v>0</v>
      </c>
      <c r="BA1820">
        <v>420</v>
      </c>
      <c r="BF1820" t="str">
        <f>T("D236008")</f>
        <v>D236008</v>
      </c>
      <c r="BG1820" t="str">
        <f>T("로맨스 웹소설 &gt; 현대물")</f>
        <v>로맨스 웹소설 &gt; 현대물</v>
      </c>
    </row>
    <row r="1821" spans="1:59">
      <c r="A1821" t="s">
        <v>60</v>
      </c>
      <c r="B1821" s="1">
        <v>46130</v>
      </c>
      <c r="C1821">
        <v>2378080895</v>
      </c>
      <c r="D1821">
        <v>2378081007</v>
      </c>
      <c r="E1821" t="str">
        <f>T("더 고스트(The Ghost) 61화")</f>
        <v>더 고스트(The Ghost) 61화</v>
      </c>
      <c r="F1821">
        <v>61</v>
      </c>
      <c r="G1821" t="str">
        <f>T("윤산")</f>
        <v>윤산</v>
      </c>
      <c r="J1821" t="str">
        <f>T("하트퀸")</f>
        <v>하트퀸</v>
      </c>
      <c r="K1821" t="str">
        <f>T("더 고스트(The Ghost)")</f>
        <v>더 고스트(The Ghost)</v>
      </c>
      <c r="L1821">
        <v>100</v>
      </c>
      <c r="M1821">
        <v>600</v>
      </c>
      <c r="N1821">
        <v>6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600</v>
      </c>
      <c r="AJ1821">
        <v>6</v>
      </c>
      <c r="AK1821">
        <v>0</v>
      </c>
      <c r="AL1821">
        <v>0</v>
      </c>
      <c r="AM1821">
        <v>600</v>
      </c>
      <c r="AN1821">
        <v>0</v>
      </c>
      <c r="AO1821">
        <v>0</v>
      </c>
      <c r="AP1821">
        <v>0</v>
      </c>
      <c r="AQ1821">
        <v>0</v>
      </c>
      <c r="AS1821">
        <v>0</v>
      </c>
      <c r="AT1821">
        <v>0</v>
      </c>
      <c r="AV1821">
        <v>0</v>
      </c>
      <c r="AW1821">
        <v>0</v>
      </c>
      <c r="AY1821">
        <v>0</v>
      </c>
      <c r="AZ1821">
        <v>0</v>
      </c>
      <c r="BA1821">
        <v>360</v>
      </c>
      <c r="BF1821" t="str">
        <f>T("D236009")</f>
        <v>D236009</v>
      </c>
      <c r="BG1821" t="str">
        <f>T("로맨스 웹소설 &gt; 현대물")</f>
        <v>로맨스 웹소설 &gt; 현대물</v>
      </c>
    </row>
    <row r="1822" spans="1:59">
      <c r="A1822" t="s">
        <v>60</v>
      </c>
      <c r="B1822" s="1">
        <v>46130</v>
      </c>
      <c r="C1822">
        <v>2378080895</v>
      </c>
      <c r="D1822">
        <v>2378081008</v>
      </c>
      <c r="E1822" t="str">
        <f>T("더 고스트(The Ghost) 62화")</f>
        <v>더 고스트(The Ghost) 62화</v>
      </c>
      <c r="F1822">
        <v>62</v>
      </c>
      <c r="G1822" t="str">
        <f>T("윤산")</f>
        <v>윤산</v>
      </c>
      <c r="J1822" t="str">
        <f>T("하트퀸")</f>
        <v>하트퀸</v>
      </c>
      <c r="K1822" t="str">
        <f>T("더 고스트(The Ghost)")</f>
        <v>더 고스트(The Ghost)</v>
      </c>
      <c r="L1822">
        <v>100</v>
      </c>
      <c r="M1822">
        <v>600</v>
      </c>
      <c r="N1822">
        <v>6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600</v>
      </c>
      <c r="AJ1822">
        <v>6</v>
      </c>
      <c r="AK1822">
        <v>0</v>
      </c>
      <c r="AL1822">
        <v>0</v>
      </c>
      <c r="AM1822">
        <v>600</v>
      </c>
      <c r="AN1822">
        <v>0</v>
      </c>
      <c r="AO1822">
        <v>0</v>
      </c>
      <c r="AP1822">
        <v>0</v>
      </c>
      <c r="AQ1822">
        <v>0</v>
      </c>
      <c r="AS1822">
        <v>0</v>
      </c>
      <c r="AT1822">
        <v>0</v>
      </c>
      <c r="AV1822">
        <v>0</v>
      </c>
      <c r="AW1822">
        <v>0</v>
      </c>
      <c r="AY1822">
        <v>0</v>
      </c>
      <c r="AZ1822">
        <v>0</v>
      </c>
      <c r="BA1822">
        <v>360</v>
      </c>
      <c r="BF1822" t="str">
        <f>T("D236010")</f>
        <v>D236010</v>
      </c>
      <c r="BG1822" t="str">
        <f>T("로맨스 웹소설 &gt; 현대물")</f>
        <v>로맨스 웹소설 &gt; 현대물</v>
      </c>
    </row>
    <row r="1823" spans="1:59">
      <c r="A1823" t="s">
        <v>60</v>
      </c>
      <c r="B1823" s="1">
        <v>46130</v>
      </c>
      <c r="C1823">
        <v>2378080895</v>
      </c>
      <c r="D1823">
        <v>2378081009</v>
      </c>
      <c r="E1823" t="str">
        <f>T("더 고스트(The Ghost) 63화")</f>
        <v>더 고스트(The Ghost) 63화</v>
      </c>
      <c r="F1823">
        <v>63</v>
      </c>
      <c r="G1823" t="str">
        <f>T("윤산")</f>
        <v>윤산</v>
      </c>
      <c r="J1823" t="str">
        <f>T("하트퀸")</f>
        <v>하트퀸</v>
      </c>
      <c r="K1823" t="str">
        <f>T("더 고스트(The Ghost)")</f>
        <v>더 고스트(The Ghost)</v>
      </c>
      <c r="L1823">
        <v>100</v>
      </c>
      <c r="M1823">
        <v>600</v>
      </c>
      <c r="N1823">
        <v>6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600</v>
      </c>
      <c r="AJ1823">
        <v>6</v>
      </c>
      <c r="AK1823">
        <v>0</v>
      </c>
      <c r="AL1823">
        <v>0</v>
      </c>
      <c r="AM1823">
        <v>600</v>
      </c>
      <c r="AN1823">
        <v>0</v>
      </c>
      <c r="AO1823">
        <v>0</v>
      </c>
      <c r="AP1823">
        <v>0</v>
      </c>
      <c r="AQ1823">
        <v>0</v>
      </c>
      <c r="AS1823">
        <v>0</v>
      </c>
      <c r="AT1823">
        <v>0</v>
      </c>
      <c r="AV1823">
        <v>0</v>
      </c>
      <c r="AW1823">
        <v>0</v>
      </c>
      <c r="AY1823">
        <v>0</v>
      </c>
      <c r="AZ1823">
        <v>0</v>
      </c>
      <c r="BA1823">
        <v>360</v>
      </c>
      <c r="BF1823" t="str">
        <f>T("D236011")</f>
        <v>D236011</v>
      </c>
      <c r="BG1823" t="str">
        <f>T("로맨스 웹소설 &gt; 현대물")</f>
        <v>로맨스 웹소설 &gt; 현대물</v>
      </c>
    </row>
    <row r="1824" spans="1:59">
      <c r="A1824" t="s">
        <v>60</v>
      </c>
      <c r="B1824" s="1">
        <v>46130</v>
      </c>
      <c r="C1824">
        <v>2378080895</v>
      </c>
      <c r="D1824">
        <v>2378081010</v>
      </c>
      <c r="E1824" t="str">
        <f>T("더 고스트(The Ghost) 64화")</f>
        <v>더 고스트(The Ghost) 64화</v>
      </c>
      <c r="F1824">
        <v>64</v>
      </c>
      <c r="G1824" t="str">
        <f>T("윤산")</f>
        <v>윤산</v>
      </c>
      <c r="J1824" t="str">
        <f>T("하트퀸")</f>
        <v>하트퀸</v>
      </c>
      <c r="K1824" t="str">
        <f>T("더 고스트(The Ghost)")</f>
        <v>더 고스트(The Ghost)</v>
      </c>
      <c r="L1824">
        <v>100</v>
      </c>
      <c r="M1824">
        <v>800</v>
      </c>
      <c r="N1824">
        <v>8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800</v>
      </c>
      <c r="AJ1824">
        <v>8</v>
      </c>
      <c r="AK1824">
        <v>0</v>
      </c>
      <c r="AL1824">
        <v>0</v>
      </c>
      <c r="AM1824">
        <v>800</v>
      </c>
      <c r="AN1824">
        <v>0</v>
      </c>
      <c r="AO1824">
        <v>0</v>
      </c>
      <c r="AP1824">
        <v>0</v>
      </c>
      <c r="AQ1824">
        <v>0</v>
      </c>
      <c r="AS1824">
        <v>0</v>
      </c>
      <c r="AT1824">
        <v>0</v>
      </c>
      <c r="AV1824">
        <v>0</v>
      </c>
      <c r="AW1824">
        <v>0</v>
      </c>
      <c r="AY1824">
        <v>0</v>
      </c>
      <c r="AZ1824">
        <v>0</v>
      </c>
      <c r="BA1824">
        <v>480</v>
      </c>
      <c r="BF1824" t="str">
        <f>T("D236069")</f>
        <v>D236069</v>
      </c>
      <c r="BG1824" t="str">
        <f>T("로맨스 웹소설 &gt; 현대물")</f>
        <v>로맨스 웹소설 &gt; 현대물</v>
      </c>
    </row>
    <row r="1825" spans="1:59">
      <c r="A1825" t="s">
        <v>60</v>
      </c>
      <c r="B1825" s="1">
        <v>46130</v>
      </c>
      <c r="C1825">
        <v>2378080895</v>
      </c>
      <c r="D1825">
        <v>2378080929</v>
      </c>
      <c r="E1825" t="str">
        <f>T("더 고스트(The Ghost) 35화")</f>
        <v>더 고스트(The Ghost) 35화</v>
      </c>
      <c r="F1825">
        <v>35</v>
      </c>
      <c r="G1825" t="str">
        <f>T("윤산")</f>
        <v>윤산</v>
      </c>
      <c r="J1825" t="str">
        <f>T("하트퀸")</f>
        <v>하트퀸</v>
      </c>
      <c r="K1825" t="str">
        <f>T("더 고스트(The Ghost)")</f>
        <v>더 고스트(The Ghost)</v>
      </c>
      <c r="L1825">
        <v>100</v>
      </c>
      <c r="M1825">
        <v>700</v>
      </c>
      <c r="N1825">
        <v>7</v>
      </c>
      <c r="O1825">
        <v>0</v>
      </c>
      <c r="P1825">
        <v>0</v>
      </c>
      <c r="Q1825">
        <v>0</v>
      </c>
      <c r="R1825">
        <v>1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700</v>
      </c>
      <c r="AJ1825">
        <v>8</v>
      </c>
      <c r="AK1825">
        <v>0</v>
      </c>
      <c r="AL1825">
        <v>0</v>
      </c>
      <c r="AM1825">
        <v>700</v>
      </c>
      <c r="AN1825">
        <v>0</v>
      </c>
      <c r="AO1825">
        <v>0</v>
      </c>
      <c r="AP1825">
        <v>0</v>
      </c>
      <c r="AQ1825">
        <v>0</v>
      </c>
      <c r="AS1825">
        <v>0</v>
      </c>
      <c r="AT1825">
        <v>0</v>
      </c>
      <c r="AV1825">
        <v>0</v>
      </c>
      <c r="AW1825">
        <v>0</v>
      </c>
      <c r="AY1825">
        <v>0</v>
      </c>
      <c r="AZ1825">
        <v>0</v>
      </c>
      <c r="BA1825">
        <v>420</v>
      </c>
      <c r="BF1825" t="str">
        <f>T("D235983")</f>
        <v>D235983</v>
      </c>
      <c r="BG1825" t="str">
        <f>T("로맨스 웹소설 &gt; 현대물")</f>
        <v>로맨스 웹소설 &gt; 현대물</v>
      </c>
    </row>
    <row r="1826" spans="1:59">
      <c r="A1826" t="s">
        <v>60</v>
      </c>
      <c r="B1826" s="1">
        <v>46130</v>
      </c>
      <c r="C1826">
        <v>2378080895</v>
      </c>
      <c r="D1826">
        <v>2378080895</v>
      </c>
      <c r="E1826" t="str">
        <f>T("더 고스트(The Ghost) 1화")</f>
        <v>더 고스트(The Ghost) 1화</v>
      </c>
      <c r="F1826">
        <v>1</v>
      </c>
      <c r="G1826" t="str">
        <f>T("윤산")</f>
        <v>윤산</v>
      </c>
      <c r="J1826" t="str">
        <f>T("하트퀸")</f>
        <v>하트퀸</v>
      </c>
      <c r="K1826" t="str">
        <f>T("더 고스트(The Ghost)")</f>
        <v>더 고스트(The Ghost)</v>
      </c>
      <c r="L1826">
        <v>0</v>
      </c>
      <c r="M1826">
        <v>0</v>
      </c>
      <c r="N1826">
        <v>0</v>
      </c>
      <c r="O1826">
        <v>7</v>
      </c>
      <c r="P1826">
        <v>0</v>
      </c>
      <c r="Q1826">
        <v>0</v>
      </c>
      <c r="R1826">
        <v>12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19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S1826">
        <v>0</v>
      </c>
      <c r="AT1826">
        <v>0</v>
      </c>
      <c r="AV1826">
        <v>0</v>
      </c>
      <c r="AW1826">
        <v>0</v>
      </c>
      <c r="AY1826">
        <v>0</v>
      </c>
      <c r="AZ1826">
        <v>0</v>
      </c>
      <c r="BA1826">
        <v>0</v>
      </c>
      <c r="BF1826" t="str">
        <f>T("D235949")</f>
        <v>D235949</v>
      </c>
      <c r="BG1826" t="str">
        <f>T("로맨스 웹소설 &gt; 현대물")</f>
        <v>로맨스 웹소설 &gt; 현대물</v>
      </c>
    </row>
    <row r="1827" spans="1:59">
      <c r="A1827" t="s">
        <v>60</v>
      </c>
      <c r="B1827" s="1">
        <v>46131</v>
      </c>
      <c r="C1827">
        <v>2378080895</v>
      </c>
      <c r="D1827">
        <v>2378080915</v>
      </c>
      <c r="E1827" t="str">
        <f>T("더 고스트(The Ghost) 21화")</f>
        <v>더 고스트(The Ghost) 21화</v>
      </c>
      <c r="F1827">
        <v>21</v>
      </c>
      <c r="G1827" t="str">
        <f>T("윤산")</f>
        <v>윤산</v>
      </c>
      <c r="J1827" t="str">
        <f>T("하트퀸")</f>
        <v>하트퀸</v>
      </c>
      <c r="K1827" t="str">
        <f>T("더 고스트(The Ghost)")</f>
        <v>더 고스트(The Ghost)</v>
      </c>
      <c r="L1827">
        <v>100</v>
      </c>
      <c r="M1827">
        <v>600</v>
      </c>
      <c r="N1827">
        <v>6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600</v>
      </c>
      <c r="AJ1827">
        <v>6</v>
      </c>
      <c r="AK1827">
        <v>0</v>
      </c>
      <c r="AL1827">
        <v>0</v>
      </c>
      <c r="AM1827">
        <v>500</v>
      </c>
      <c r="AN1827">
        <v>0</v>
      </c>
      <c r="AO1827">
        <v>120</v>
      </c>
      <c r="AP1827">
        <v>-12</v>
      </c>
      <c r="AQ1827">
        <v>0</v>
      </c>
      <c r="AS1827">
        <v>0</v>
      </c>
      <c r="AT1827">
        <v>0</v>
      </c>
      <c r="AV1827">
        <v>0</v>
      </c>
      <c r="AW1827">
        <v>0</v>
      </c>
      <c r="AX1827">
        <v>120</v>
      </c>
      <c r="AY1827">
        <v>-12</v>
      </c>
      <c r="AZ1827">
        <v>0</v>
      </c>
      <c r="BA1827">
        <v>364.8</v>
      </c>
      <c r="BF1827" t="str">
        <f>T("D235969")</f>
        <v>D235969</v>
      </c>
      <c r="BG1827" t="str">
        <f>T("로맨스 웹소설 &gt; 현대물")</f>
        <v>로맨스 웹소설 &gt; 현대물</v>
      </c>
    </row>
    <row r="1828" spans="1:59">
      <c r="A1828" t="s">
        <v>60</v>
      </c>
      <c r="B1828" s="1">
        <v>46131</v>
      </c>
      <c r="C1828">
        <v>2378080895</v>
      </c>
      <c r="D1828">
        <v>2378080916</v>
      </c>
      <c r="E1828" t="str">
        <f>T("더 고스트(The Ghost) 22화")</f>
        <v>더 고스트(The Ghost) 22화</v>
      </c>
      <c r="F1828">
        <v>22</v>
      </c>
      <c r="G1828" t="str">
        <f>T("윤산")</f>
        <v>윤산</v>
      </c>
      <c r="J1828" t="str">
        <f>T("하트퀸")</f>
        <v>하트퀸</v>
      </c>
      <c r="K1828" t="str">
        <f>T("더 고스트(The Ghost)")</f>
        <v>더 고스트(The Ghost)</v>
      </c>
      <c r="L1828">
        <v>100</v>
      </c>
      <c r="M1828">
        <v>600</v>
      </c>
      <c r="N1828">
        <v>6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600</v>
      </c>
      <c r="AJ1828">
        <v>6</v>
      </c>
      <c r="AK1828">
        <v>0</v>
      </c>
      <c r="AL1828">
        <v>0</v>
      </c>
      <c r="AM1828">
        <v>500</v>
      </c>
      <c r="AN1828">
        <v>0</v>
      </c>
      <c r="AO1828">
        <v>120</v>
      </c>
      <c r="AP1828">
        <v>-12</v>
      </c>
      <c r="AQ1828">
        <v>0</v>
      </c>
      <c r="AS1828">
        <v>0</v>
      </c>
      <c r="AT1828">
        <v>0</v>
      </c>
      <c r="AV1828">
        <v>0</v>
      </c>
      <c r="AW1828">
        <v>0</v>
      </c>
      <c r="AX1828">
        <v>120</v>
      </c>
      <c r="AY1828">
        <v>-12</v>
      </c>
      <c r="AZ1828">
        <v>0</v>
      </c>
      <c r="BA1828">
        <v>364.8</v>
      </c>
      <c r="BF1828" t="str">
        <f>T("D235970")</f>
        <v>D235970</v>
      </c>
      <c r="BG1828" t="str">
        <f>T("로맨스 웹소설 &gt; 현대물")</f>
        <v>로맨스 웹소설 &gt; 현대물</v>
      </c>
    </row>
    <row r="1829" spans="1:59">
      <c r="A1829" t="s">
        <v>60</v>
      </c>
      <c r="B1829" s="1">
        <v>46131</v>
      </c>
      <c r="C1829">
        <v>2378080895</v>
      </c>
      <c r="D1829">
        <v>2378080917</v>
      </c>
      <c r="E1829" t="str">
        <f>T("더 고스트(The Ghost) 23화")</f>
        <v>더 고스트(The Ghost) 23화</v>
      </c>
      <c r="F1829">
        <v>23</v>
      </c>
      <c r="G1829" t="str">
        <f>T("윤산")</f>
        <v>윤산</v>
      </c>
      <c r="J1829" t="str">
        <f>T("하트퀸")</f>
        <v>하트퀸</v>
      </c>
      <c r="K1829" t="str">
        <f>T("더 고스트(The Ghost)")</f>
        <v>더 고스트(The Ghost)</v>
      </c>
      <c r="L1829">
        <v>100</v>
      </c>
      <c r="M1829">
        <v>600</v>
      </c>
      <c r="N1829">
        <v>6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600</v>
      </c>
      <c r="AJ1829">
        <v>6</v>
      </c>
      <c r="AK1829">
        <v>0</v>
      </c>
      <c r="AL1829">
        <v>0</v>
      </c>
      <c r="AM1829">
        <v>500</v>
      </c>
      <c r="AN1829">
        <v>0</v>
      </c>
      <c r="AO1829">
        <v>120</v>
      </c>
      <c r="AP1829">
        <v>-12</v>
      </c>
      <c r="AQ1829">
        <v>0</v>
      </c>
      <c r="AS1829">
        <v>0</v>
      </c>
      <c r="AT1829">
        <v>0</v>
      </c>
      <c r="AV1829">
        <v>0</v>
      </c>
      <c r="AW1829">
        <v>0</v>
      </c>
      <c r="AX1829">
        <v>120</v>
      </c>
      <c r="AY1829">
        <v>-12</v>
      </c>
      <c r="AZ1829">
        <v>0</v>
      </c>
      <c r="BA1829">
        <v>364.8</v>
      </c>
      <c r="BF1829" t="str">
        <f>T("D235971")</f>
        <v>D235971</v>
      </c>
      <c r="BG1829" t="str">
        <f>T("로맨스 웹소설 &gt; 현대물")</f>
        <v>로맨스 웹소설 &gt; 현대물</v>
      </c>
    </row>
    <row r="1830" spans="1:59">
      <c r="A1830" t="s">
        <v>60</v>
      </c>
      <c r="B1830" s="1">
        <v>46131</v>
      </c>
      <c r="C1830">
        <v>2378080895</v>
      </c>
      <c r="D1830">
        <v>2378080918</v>
      </c>
      <c r="E1830" t="str">
        <f>T("더 고스트(The Ghost) 24화")</f>
        <v>더 고스트(The Ghost) 24화</v>
      </c>
      <c r="F1830">
        <v>24</v>
      </c>
      <c r="G1830" t="str">
        <f>T("윤산")</f>
        <v>윤산</v>
      </c>
      <c r="J1830" t="str">
        <f>T("하트퀸")</f>
        <v>하트퀸</v>
      </c>
      <c r="K1830" t="str">
        <f>T("더 고스트(The Ghost)")</f>
        <v>더 고스트(The Ghost)</v>
      </c>
      <c r="L1830">
        <v>100</v>
      </c>
      <c r="M1830">
        <v>700</v>
      </c>
      <c r="N1830">
        <v>7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700</v>
      </c>
      <c r="AJ1830">
        <v>7</v>
      </c>
      <c r="AK1830">
        <v>0</v>
      </c>
      <c r="AL1830">
        <v>0</v>
      </c>
      <c r="AM1830">
        <v>500</v>
      </c>
      <c r="AN1830">
        <v>0</v>
      </c>
      <c r="AO1830">
        <v>240</v>
      </c>
      <c r="AP1830">
        <v>-24</v>
      </c>
      <c r="AQ1830">
        <v>0</v>
      </c>
      <c r="AS1830">
        <v>0</v>
      </c>
      <c r="AT1830">
        <v>0</v>
      </c>
      <c r="AU1830">
        <v>120</v>
      </c>
      <c r="AV1830">
        <v>-12</v>
      </c>
      <c r="AW1830">
        <v>0</v>
      </c>
      <c r="AX1830">
        <v>120</v>
      </c>
      <c r="AY1830">
        <v>-12</v>
      </c>
      <c r="AZ1830">
        <v>0</v>
      </c>
      <c r="BA1830">
        <v>429.6</v>
      </c>
      <c r="BF1830" t="str">
        <f>T("D235972")</f>
        <v>D235972</v>
      </c>
      <c r="BG1830" t="str">
        <f>T("로맨스 웹소설 &gt; 현대물")</f>
        <v>로맨스 웹소설 &gt; 현대물</v>
      </c>
    </row>
    <row r="1831" spans="1:59">
      <c r="A1831" t="s">
        <v>60</v>
      </c>
      <c r="B1831" s="1">
        <v>46131</v>
      </c>
      <c r="C1831">
        <v>2378080895</v>
      </c>
      <c r="D1831">
        <v>2378080919</v>
      </c>
      <c r="E1831" t="str">
        <f>T("더 고스트(The Ghost) 25화")</f>
        <v>더 고스트(The Ghost) 25화</v>
      </c>
      <c r="F1831">
        <v>25</v>
      </c>
      <c r="G1831" t="str">
        <f>T("윤산")</f>
        <v>윤산</v>
      </c>
      <c r="J1831" t="str">
        <f>T("하트퀸")</f>
        <v>하트퀸</v>
      </c>
      <c r="K1831" t="str">
        <f>T("더 고스트(The Ghost)")</f>
        <v>더 고스트(The Ghost)</v>
      </c>
      <c r="L1831">
        <v>100</v>
      </c>
      <c r="M1831">
        <v>600</v>
      </c>
      <c r="N1831">
        <v>6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600</v>
      </c>
      <c r="AJ1831">
        <v>6</v>
      </c>
      <c r="AK1831">
        <v>0</v>
      </c>
      <c r="AL1831">
        <v>0</v>
      </c>
      <c r="AM1831">
        <v>500</v>
      </c>
      <c r="AN1831">
        <v>0</v>
      </c>
      <c r="AO1831">
        <v>120</v>
      </c>
      <c r="AP1831">
        <v>-12</v>
      </c>
      <c r="AQ1831">
        <v>0</v>
      </c>
      <c r="AS1831">
        <v>0</v>
      </c>
      <c r="AT1831">
        <v>0</v>
      </c>
      <c r="AV1831">
        <v>0</v>
      </c>
      <c r="AW1831">
        <v>0</v>
      </c>
      <c r="AX1831">
        <v>120</v>
      </c>
      <c r="AY1831">
        <v>-12</v>
      </c>
      <c r="AZ1831">
        <v>0</v>
      </c>
      <c r="BA1831">
        <v>364.8</v>
      </c>
      <c r="BF1831" t="str">
        <f>T("D235973")</f>
        <v>D235973</v>
      </c>
      <c r="BG1831" t="str">
        <f>T("로맨스 웹소설 &gt; 현대물")</f>
        <v>로맨스 웹소설 &gt; 현대물</v>
      </c>
    </row>
    <row r="1832" spans="1:59">
      <c r="A1832" t="s">
        <v>60</v>
      </c>
      <c r="B1832" s="1">
        <v>46131</v>
      </c>
      <c r="C1832">
        <v>2378080895</v>
      </c>
      <c r="D1832">
        <v>2378080920</v>
      </c>
      <c r="E1832" t="str">
        <f>T("더 고스트(The Ghost) 26화")</f>
        <v>더 고스트(The Ghost) 26화</v>
      </c>
      <c r="F1832">
        <v>26</v>
      </c>
      <c r="G1832" t="str">
        <f>T("윤산")</f>
        <v>윤산</v>
      </c>
      <c r="J1832" t="str">
        <f>T("하트퀸")</f>
        <v>하트퀸</v>
      </c>
      <c r="K1832" t="str">
        <f>T("더 고스트(The Ghost)")</f>
        <v>더 고스트(The Ghost)</v>
      </c>
      <c r="L1832">
        <v>100</v>
      </c>
      <c r="M1832">
        <v>600</v>
      </c>
      <c r="N1832">
        <v>6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600</v>
      </c>
      <c r="AJ1832">
        <v>6</v>
      </c>
      <c r="AK1832">
        <v>0</v>
      </c>
      <c r="AL1832">
        <v>0</v>
      </c>
      <c r="AM1832">
        <v>500</v>
      </c>
      <c r="AN1832">
        <v>0</v>
      </c>
      <c r="AO1832">
        <v>120</v>
      </c>
      <c r="AP1832">
        <v>-12</v>
      </c>
      <c r="AQ1832">
        <v>0</v>
      </c>
      <c r="AS1832">
        <v>0</v>
      </c>
      <c r="AT1832">
        <v>0</v>
      </c>
      <c r="AV1832">
        <v>0</v>
      </c>
      <c r="AW1832">
        <v>0</v>
      </c>
      <c r="AX1832">
        <v>120</v>
      </c>
      <c r="AY1832">
        <v>-12</v>
      </c>
      <c r="AZ1832">
        <v>0</v>
      </c>
      <c r="BA1832">
        <v>364.8</v>
      </c>
      <c r="BF1832" t="str">
        <f>T("D235974")</f>
        <v>D235974</v>
      </c>
      <c r="BG1832" t="str">
        <f>T("로맨스 웹소설 &gt; 현대물")</f>
        <v>로맨스 웹소설 &gt; 현대물</v>
      </c>
    </row>
    <row r="1833" spans="1:59">
      <c r="A1833" t="s">
        <v>60</v>
      </c>
      <c r="B1833" s="1">
        <v>46131</v>
      </c>
      <c r="C1833">
        <v>2378080895</v>
      </c>
      <c r="D1833">
        <v>2378080921</v>
      </c>
      <c r="E1833" t="str">
        <f>T("더 고스트(The Ghost) 27화")</f>
        <v>더 고스트(The Ghost) 27화</v>
      </c>
      <c r="F1833">
        <v>27</v>
      </c>
      <c r="G1833" t="str">
        <f>T("윤산")</f>
        <v>윤산</v>
      </c>
      <c r="J1833" t="str">
        <f>T("하트퀸")</f>
        <v>하트퀸</v>
      </c>
      <c r="K1833" t="str">
        <f>T("더 고스트(The Ghost)")</f>
        <v>더 고스트(The Ghost)</v>
      </c>
      <c r="L1833">
        <v>100</v>
      </c>
      <c r="M1833">
        <v>600</v>
      </c>
      <c r="N1833">
        <v>6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0</v>
      </c>
      <c r="AC1833">
        <v>0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600</v>
      </c>
      <c r="AJ1833">
        <v>6</v>
      </c>
      <c r="AK1833">
        <v>0</v>
      </c>
      <c r="AL1833">
        <v>0</v>
      </c>
      <c r="AM1833">
        <v>500</v>
      </c>
      <c r="AN1833">
        <v>0</v>
      </c>
      <c r="AO1833">
        <v>120</v>
      </c>
      <c r="AP1833">
        <v>-12</v>
      </c>
      <c r="AQ1833">
        <v>0</v>
      </c>
      <c r="AS1833">
        <v>0</v>
      </c>
      <c r="AT1833">
        <v>0</v>
      </c>
      <c r="AV1833">
        <v>0</v>
      </c>
      <c r="AW1833">
        <v>0</v>
      </c>
      <c r="AX1833">
        <v>120</v>
      </c>
      <c r="AY1833">
        <v>-12</v>
      </c>
      <c r="AZ1833">
        <v>0</v>
      </c>
      <c r="BA1833">
        <v>364.8</v>
      </c>
      <c r="BF1833" t="str">
        <f>T("D235975")</f>
        <v>D235975</v>
      </c>
      <c r="BG1833" t="str">
        <f>T("로맨스 웹소설 &gt; 현대물")</f>
        <v>로맨스 웹소설 &gt; 현대물</v>
      </c>
    </row>
    <row r="1834" spans="1:59">
      <c r="A1834" t="s">
        <v>60</v>
      </c>
      <c r="B1834" s="1">
        <v>46131</v>
      </c>
      <c r="C1834">
        <v>2378080895</v>
      </c>
      <c r="D1834">
        <v>2378080922</v>
      </c>
      <c r="E1834" t="str">
        <f>T("더 고스트(The Ghost) 28화")</f>
        <v>더 고스트(The Ghost) 28화</v>
      </c>
      <c r="F1834">
        <v>28</v>
      </c>
      <c r="G1834" t="str">
        <f>T("윤산")</f>
        <v>윤산</v>
      </c>
      <c r="J1834" t="str">
        <f>T("하트퀸")</f>
        <v>하트퀸</v>
      </c>
      <c r="K1834" t="str">
        <f>T("더 고스트(The Ghost)")</f>
        <v>더 고스트(The Ghost)</v>
      </c>
      <c r="L1834">
        <v>100</v>
      </c>
      <c r="M1834">
        <v>500</v>
      </c>
      <c r="N1834">
        <v>5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500</v>
      </c>
      <c r="AJ1834">
        <v>5</v>
      </c>
      <c r="AK1834">
        <v>0</v>
      </c>
      <c r="AL1834">
        <v>0</v>
      </c>
      <c r="AM1834">
        <v>400</v>
      </c>
      <c r="AN1834">
        <v>0</v>
      </c>
      <c r="AO1834">
        <v>120</v>
      </c>
      <c r="AP1834">
        <v>-12</v>
      </c>
      <c r="AQ1834">
        <v>0</v>
      </c>
      <c r="AS1834">
        <v>0</v>
      </c>
      <c r="AT1834">
        <v>0</v>
      </c>
      <c r="AV1834">
        <v>0</v>
      </c>
      <c r="AW1834">
        <v>0</v>
      </c>
      <c r="AX1834">
        <v>120</v>
      </c>
      <c r="AY1834">
        <v>-12</v>
      </c>
      <c r="AZ1834">
        <v>0</v>
      </c>
      <c r="BA1834">
        <v>304.8</v>
      </c>
      <c r="BF1834" t="str">
        <f>T("D235976")</f>
        <v>D235976</v>
      </c>
      <c r="BG1834" t="str">
        <f>T("로맨스 웹소설 &gt; 현대물")</f>
        <v>로맨스 웹소설 &gt; 현대물</v>
      </c>
    </row>
    <row r="1835" spans="1:59">
      <c r="A1835" t="s">
        <v>60</v>
      </c>
      <c r="B1835" s="1">
        <v>46131</v>
      </c>
      <c r="C1835">
        <v>2378080895</v>
      </c>
      <c r="D1835">
        <v>2378080923</v>
      </c>
      <c r="E1835" t="str">
        <f>T("더 고스트(The Ghost) 29화")</f>
        <v>더 고스트(The Ghost) 29화</v>
      </c>
      <c r="F1835">
        <v>29</v>
      </c>
      <c r="G1835" t="str">
        <f>T("윤산")</f>
        <v>윤산</v>
      </c>
      <c r="J1835" t="str">
        <f>T("하트퀸")</f>
        <v>하트퀸</v>
      </c>
      <c r="K1835" t="str">
        <f>T("더 고스트(The Ghost)")</f>
        <v>더 고스트(The Ghost)</v>
      </c>
      <c r="L1835">
        <v>100</v>
      </c>
      <c r="M1835">
        <v>600</v>
      </c>
      <c r="N1835">
        <v>6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600</v>
      </c>
      <c r="AJ1835">
        <v>6</v>
      </c>
      <c r="AK1835">
        <v>0</v>
      </c>
      <c r="AL1835">
        <v>0</v>
      </c>
      <c r="AM1835">
        <v>400</v>
      </c>
      <c r="AN1835">
        <v>0</v>
      </c>
      <c r="AO1835">
        <v>240</v>
      </c>
      <c r="AP1835">
        <v>-24</v>
      </c>
      <c r="AQ1835">
        <v>0</v>
      </c>
      <c r="AS1835">
        <v>0</v>
      </c>
      <c r="AT1835">
        <v>0</v>
      </c>
      <c r="AU1835">
        <v>120</v>
      </c>
      <c r="AV1835">
        <v>-12</v>
      </c>
      <c r="AW1835">
        <v>0</v>
      </c>
      <c r="AX1835">
        <v>120</v>
      </c>
      <c r="AY1835">
        <v>-12</v>
      </c>
      <c r="AZ1835">
        <v>0</v>
      </c>
      <c r="BA1835">
        <v>369.6</v>
      </c>
      <c r="BF1835" t="str">
        <f>T("D235977")</f>
        <v>D235977</v>
      </c>
      <c r="BG1835" t="str">
        <f>T("로맨스 웹소설 &gt; 현대물")</f>
        <v>로맨스 웹소설 &gt; 현대물</v>
      </c>
    </row>
    <row r="1836" spans="1:59">
      <c r="A1836" t="s">
        <v>60</v>
      </c>
      <c r="B1836" s="1">
        <v>46131</v>
      </c>
      <c r="C1836">
        <v>2378080895</v>
      </c>
      <c r="D1836">
        <v>2378080924</v>
      </c>
      <c r="E1836" t="str">
        <f>T("더 고스트(The Ghost) 30화")</f>
        <v>더 고스트(The Ghost) 30화</v>
      </c>
      <c r="F1836">
        <v>30</v>
      </c>
      <c r="G1836" t="str">
        <f>T("윤산")</f>
        <v>윤산</v>
      </c>
      <c r="J1836" t="str">
        <f>T("하트퀸")</f>
        <v>하트퀸</v>
      </c>
      <c r="K1836" t="str">
        <f>T("더 고스트(The Ghost)")</f>
        <v>더 고스트(The Ghost)</v>
      </c>
      <c r="L1836">
        <v>100</v>
      </c>
      <c r="M1836">
        <v>500</v>
      </c>
      <c r="N1836">
        <v>5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500</v>
      </c>
      <c r="AJ1836">
        <v>5</v>
      </c>
      <c r="AK1836">
        <v>0</v>
      </c>
      <c r="AL1836">
        <v>0</v>
      </c>
      <c r="AM1836">
        <v>400</v>
      </c>
      <c r="AN1836">
        <v>0</v>
      </c>
      <c r="AO1836">
        <v>120</v>
      </c>
      <c r="AP1836">
        <v>-12</v>
      </c>
      <c r="AQ1836">
        <v>0</v>
      </c>
      <c r="AS1836">
        <v>0</v>
      </c>
      <c r="AT1836">
        <v>0</v>
      </c>
      <c r="AV1836">
        <v>0</v>
      </c>
      <c r="AW1836">
        <v>0</v>
      </c>
      <c r="AX1836">
        <v>120</v>
      </c>
      <c r="AY1836">
        <v>-12</v>
      </c>
      <c r="AZ1836">
        <v>0</v>
      </c>
      <c r="BA1836">
        <v>304.8</v>
      </c>
      <c r="BF1836" t="str">
        <f>T("D235978")</f>
        <v>D235978</v>
      </c>
      <c r="BG1836" t="str">
        <f>T("로맨스 웹소설 &gt; 현대물")</f>
        <v>로맨스 웹소설 &gt; 현대물</v>
      </c>
    </row>
    <row r="1837" spans="1:59">
      <c r="A1837" t="s">
        <v>60</v>
      </c>
      <c r="B1837" s="1">
        <v>46131</v>
      </c>
      <c r="C1837">
        <v>2378080895</v>
      </c>
      <c r="D1837">
        <v>2378080925</v>
      </c>
      <c r="E1837" t="str">
        <f>T("더 고스트(The Ghost) 31화")</f>
        <v>더 고스트(The Ghost) 31화</v>
      </c>
      <c r="F1837">
        <v>31</v>
      </c>
      <c r="G1837" t="str">
        <f>T("윤산")</f>
        <v>윤산</v>
      </c>
      <c r="J1837" t="str">
        <f>T("하트퀸")</f>
        <v>하트퀸</v>
      </c>
      <c r="K1837" t="str">
        <f>T("더 고스트(The Ghost)")</f>
        <v>더 고스트(The Ghost)</v>
      </c>
      <c r="L1837">
        <v>100</v>
      </c>
      <c r="M1837">
        <v>500</v>
      </c>
      <c r="N1837">
        <v>5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0</v>
      </c>
      <c r="AH1837">
        <v>0</v>
      </c>
      <c r="AI1837">
        <v>500</v>
      </c>
      <c r="AJ1837">
        <v>5</v>
      </c>
      <c r="AK1837">
        <v>0</v>
      </c>
      <c r="AL1837">
        <v>0</v>
      </c>
      <c r="AM1837">
        <v>400</v>
      </c>
      <c r="AN1837">
        <v>0</v>
      </c>
      <c r="AO1837">
        <v>120</v>
      </c>
      <c r="AP1837">
        <v>-12</v>
      </c>
      <c r="AQ1837">
        <v>0</v>
      </c>
      <c r="AS1837">
        <v>0</v>
      </c>
      <c r="AT1837">
        <v>0</v>
      </c>
      <c r="AV1837">
        <v>0</v>
      </c>
      <c r="AW1837">
        <v>0</v>
      </c>
      <c r="AX1837">
        <v>120</v>
      </c>
      <c r="AY1837">
        <v>-12</v>
      </c>
      <c r="AZ1837">
        <v>0</v>
      </c>
      <c r="BA1837">
        <v>304.8</v>
      </c>
      <c r="BF1837" t="str">
        <f>T("D235979")</f>
        <v>D235979</v>
      </c>
      <c r="BG1837" t="str">
        <f>T("로맨스 웹소설 &gt; 현대물")</f>
        <v>로맨스 웹소설 &gt; 현대물</v>
      </c>
    </row>
    <row r="1838" spans="1:59">
      <c r="A1838" t="s">
        <v>60</v>
      </c>
      <c r="B1838" s="1">
        <v>46131</v>
      </c>
      <c r="C1838">
        <v>2378080895</v>
      </c>
      <c r="D1838">
        <v>2378080926</v>
      </c>
      <c r="E1838" t="str">
        <f>T("더 고스트(The Ghost) 32화")</f>
        <v>더 고스트(The Ghost) 32화</v>
      </c>
      <c r="F1838">
        <v>32</v>
      </c>
      <c r="G1838" t="str">
        <f>T("윤산")</f>
        <v>윤산</v>
      </c>
      <c r="J1838" t="str">
        <f>T("하트퀸")</f>
        <v>하트퀸</v>
      </c>
      <c r="K1838" t="str">
        <f>T("더 고스트(The Ghost)")</f>
        <v>더 고스트(The Ghost)</v>
      </c>
      <c r="L1838">
        <v>100</v>
      </c>
      <c r="M1838">
        <v>500</v>
      </c>
      <c r="N1838">
        <v>5</v>
      </c>
      <c r="O1838">
        <v>0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500</v>
      </c>
      <c r="AJ1838">
        <v>5</v>
      </c>
      <c r="AK1838">
        <v>0</v>
      </c>
      <c r="AL1838">
        <v>0</v>
      </c>
      <c r="AM1838">
        <v>400</v>
      </c>
      <c r="AN1838">
        <v>0</v>
      </c>
      <c r="AO1838">
        <v>120</v>
      </c>
      <c r="AP1838">
        <v>-12</v>
      </c>
      <c r="AQ1838">
        <v>0</v>
      </c>
      <c r="AS1838">
        <v>0</v>
      </c>
      <c r="AT1838">
        <v>0</v>
      </c>
      <c r="AV1838">
        <v>0</v>
      </c>
      <c r="AW1838">
        <v>0</v>
      </c>
      <c r="AX1838">
        <v>120</v>
      </c>
      <c r="AY1838">
        <v>-12</v>
      </c>
      <c r="AZ1838">
        <v>0</v>
      </c>
      <c r="BA1838">
        <v>304.8</v>
      </c>
      <c r="BF1838" t="str">
        <f>T("D235980")</f>
        <v>D235980</v>
      </c>
      <c r="BG1838" t="str">
        <f>T("로맨스 웹소설 &gt; 현대물")</f>
        <v>로맨스 웹소설 &gt; 현대물</v>
      </c>
    </row>
    <row r="1839" spans="1:59">
      <c r="A1839" t="s">
        <v>60</v>
      </c>
      <c r="B1839" s="1">
        <v>46131</v>
      </c>
      <c r="C1839">
        <v>2378080895</v>
      </c>
      <c r="D1839">
        <v>2378080927</v>
      </c>
      <c r="E1839" t="str">
        <f>T("더 고스트(The Ghost) 33화")</f>
        <v>더 고스트(The Ghost) 33화</v>
      </c>
      <c r="F1839">
        <v>33</v>
      </c>
      <c r="G1839" t="str">
        <f>T("윤산")</f>
        <v>윤산</v>
      </c>
      <c r="J1839" t="str">
        <f>T("하트퀸")</f>
        <v>하트퀸</v>
      </c>
      <c r="K1839" t="str">
        <f>T("더 고스트(The Ghost)")</f>
        <v>더 고스트(The Ghost)</v>
      </c>
      <c r="L1839">
        <v>100</v>
      </c>
      <c r="M1839">
        <v>600</v>
      </c>
      <c r="N1839">
        <v>6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600</v>
      </c>
      <c r="AJ1839">
        <v>6</v>
      </c>
      <c r="AK1839">
        <v>0</v>
      </c>
      <c r="AL1839">
        <v>0</v>
      </c>
      <c r="AM1839">
        <v>400</v>
      </c>
      <c r="AN1839">
        <v>0</v>
      </c>
      <c r="AO1839">
        <v>240</v>
      </c>
      <c r="AP1839">
        <v>-24</v>
      </c>
      <c r="AQ1839">
        <v>0</v>
      </c>
      <c r="AS1839">
        <v>0</v>
      </c>
      <c r="AT1839">
        <v>0</v>
      </c>
      <c r="AU1839">
        <v>120</v>
      </c>
      <c r="AV1839">
        <v>-12</v>
      </c>
      <c r="AW1839">
        <v>0</v>
      </c>
      <c r="AX1839">
        <v>120</v>
      </c>
      <c r="AY1839">
        <v>-12</v>
      </c>
      <c r="AZ1839">
        <v>0</v>
      </c>
      <c r="BA1839">
        <v>369.6</v>
      </c>
      <c r="BF1839" t="str">
        <f>T("D235981")</f>
        <v>D235981</v>
      </c>
      <c r="BG1839" t="str">
        <f>T("로맨스 웹소설 &gt; 현대물")</f>
        <v>로맨스 웹소설 &gt; 현대물</v>
      </c>
    </row>
    <row r="1840" spans="1:59">
      <c r="A1840" t="s">
        <v>60</v>
      </c>
      <c r="B1840" s="1">
        <v>46131</v>
      </c>
      <c r="C1840">
        <v>2378080895</v>
      </c>
      <c r="D1840">
        <v>2378080928</v>
      </c>
      <c r="E1840" t="str">
        <f>T("더 고스트(The Ghost) 34화")</f>
        <v>더 고스트(The Ghost) 34화</v>
      </c>
      <c r="F1840">
        <v>34</v>
      </c>
      <c r="G1840" t="str">
        <f>T("윤산")</f>
        <v>윤산</v>
      </c>
      <c r="J1840" t="str">
        <f>T("하트퀸")</f>
        <v>하트퀸</v>
      </c>
      <c r="K1840" t="str">
        <f>T("더 고스트(The Ghost)")</f>
        <v>더 고스트(The Ghost)</v>
      </c>
      <c r="L1840">
        <v>100</v>
      </c>
      <c r="M1840">
        <v>500</v>
      </c>
      <c r="N1840">
        <v>5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0</v>
      </c>
      <c r="AH1840">
        <v>0</v>
      </c>
      <c r="AI1840">
        <v>500</v>
      </c>
      <c r="AJ1840">
        <v>5</v>
      </c>
      <c r="AK1840">
        <v>0</v>
      </c>
      <c r="AL1840">
        <v>0</v>
      </c>
      <c r="AM1840">
        <v>400</v>
      </c>
      <c r="AN1840">
        <v>0</v>
      </c>
      <c r="AO1840">
        <v>120</v>
      </c>
      <c r="AP1840">
        <v>-12</v>
      </c>
      <c r="AQ1840">
        <v>0</v>
      </c>
      <c r="AS1840">
        <v>0</v>
      </c>
      <c r="AT1840">
        <v>0</v>
      </c>
      <c r="AV1840">
        <v>0</v>
      </c>
      <c r="AW1840">
        <v>0</v>
      </c>
      <c r="AX1840">
        <v>120</v>
      </c>
      <c r="AY1840">
        <v>-12</v>
      </c>
      <c r="AZ1840">
        <v>0</v>
      </c>
      <c r="BA1840">
        <v>304.8</v>
      </c>
      <c r="BF1840" t="str">
        <f>T("D235982")</f>
        <v>D235982</v>
      </c>
      <c r="BG1840" t="str">
        <f>T("로맨스 웹소설 &gt; 현대물")</f>
        <v>로맨스 웹소설 &gt; 현대물</v>
      </c>
    </row>
    <row r="1841" spans="1:59">
      <c r="A1841" t="s">
        <v>60</v>
      </c>
      <c r="B1841" s="1">
        <v>46131</v>
      </c>
      <c r="C1841">
        <v>2378080895</v>
      </c>
      <c r="D1841">
        <v>2378080929</v>
      </c>
      <c r="E1841" t="str">
        <f>T("더 고스트(The Ghost) 35화")</f>
        <v>더 고스트(The Ghost) 35화</v>
      </c>
      <c r="F1841">
        <v>35</v>
      </c>
      <c r="G1841" t="str">
        <f>T("윤산")</f>
        <v>윤산</v>
      </c>
      <c r="J1841" t="str">
        <f>T("하트퀸")</f>
        <v>하트퀸</v>
      </c>
      <c r="K1841" t="str">
        <f>T("더 고스트(The Ghost)")</f>
        <v>더 고스트(The Ghost)</v>
      </c>
      <c r="L1841">
        <v>100</v>
      </c>
      <c r="M1841">
        <v>500</v>
      </c>
      <c r="N1841">
        <v>5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500</v>
      </c>
      <c r="AJ1841">
        <v>5</v>
      </c>
      <c r="AK1841">
        <v>0</v>
      </c>
      <c r="AL1841">
        <v>0</v>
      </c>
      <c r="AM1841">
        <v>400</v>
      </c>
      <c r="AN1841">
        <v>0</v>
      </c>
      <c r="AO1841">
        <v>120</v>
      </c>
      <c r="AP1841">
        <v>-12</v>
      </c>
      <c r="AQ1841">
        <v>0</v>
      </c>
      <c r="AS1841">
        <v>0</v>
      </c>
      <c r="AT1841">
        <v>0</v>
      </c>
      <c r="AV1841">
        <v>0</v>
      </c>
      <c r="AW1841">
        <v>0</v>
      </c>
      <c r="AX1841">
        <v>120</v>
      </c>
      <c r="AY1841">
        <v>-12</v>
      </c>
      <c r="AZ1841">
        <v>0</v>
      </c>
      <c r="BA1841">
        <v>304.8</v>
      </c>
      <c r="BF1841" t="str">
        <f>T("D235983")</f>
        <v>D235983</v>
      </c>
      <c r="BG1841" t="str">
        <f>T("로맨스 웹소설 &gt; 현대물")</f>
        <v>로맨스 웹소설 &gt; 현대물</v>
      </c>
    </row>
    <row r="1842" spans="1:59">
      <c r="A1842" t="s">
        <v>60</v>
      </c>
      <c r="B1842" s="1">
        <v>46131</v>
      </c>
      <c r="C1842">
        <v>2378080895</v>
      </c>
      <c r="D1842">
        <v>2378080930</v>
      </c>
      <c r="E1842" t="str">
        <f>T("더 고스트(The Ghost) 36화")</f>
        <v>더 고스트(The Ghost) 36화</v>
      </c>
      <c r="F1842">
        <v>36</v>
      </c>
      <c r="G1842" t="str">
        <f>T("윤산")</f>
        <v>윤산</v>
      </c>
      <c r="J1842" t="str">
        <f>T("하트퀸")</f>
        <v>하트퀸</v>
      </c>
      <c r="K1842" t="str">
        <f>T("더 고스트(The Ghost)")</f>
        <v>더 고스트(The Ghost)</v>
      </c>
      <c r="L1842">
        <v>100</v>
      </c>
      <c r="M1842">
        <v>500</v>
      </c>
      <c r="N1842">
        <v>5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500</v>
      </c>
      <c r="AJ1842">
        <v>5</v>
      </c>
      <c r="AK1842">
        <v>0</v>
      </c>
      <c r="AL1842">
        <v>0</v>
      </c>
      <c r="AM1842">
        <v>400</v>
      </c>
      <c r="AN1842">
        <v>0</v>
      </c>
      <c r="AO1842">
        <v>120</v>
      </c>
      <c r="AP1842">
        <v>-12</v>
      </c>
      <c r="AQ1842">
        <v>0</v>
      </c>
      <c r="AS1842">
        <v>0</v>
      </c>
      <c r="AT1842">
        <v>0</v>
      </c>
      <c r="AV1842">
        <v>0</v>
      </c>
      <c r="AW1842">
        <v>0</v>
      </c>
      <c r="AX1842">
        <v>120</v>
      </c>
      <c r="AY1842">
        <v>-12</v>
      </c>
      <c r="AZ1842">
        <v>0</v>
      </c>
      <c r="BA1842">
        <v>304.8</v>
      </c>
      <c r="BF1842" t="str">
        <f>T("D235984")</f>
        <v>D235984</v>
      </c>
      <c r="BG1842" t="str">
        <f>T("로맨스 웹소설 &gt; 현대물")</f>
        <v>로맨스 웹소설 &gt; 현대물</v>
      </c>
    </row>
    <row r="1843" spans="1:59">
      <c r="A1843" t="s">
        <v>60</v>
      </c>
      <c r="B1843" s="1">
        <v>46131</v>
      </c>
      <c r="C1843">
        <v>2378080895</v>
      </c>
      <c r="D1843">
        <v>2378080931</v>
      </c>
      <c r="E1843" t="str">
        <f>T("더 고스트(The Ghost) 37화")</f>
        <v>더 고스트(The Ghost) 37화</v>
      </c>
      <c r="F1843">
        <v>37</v>
      </c>
      <c r="G1843" t="str">
        <f>T("윤산")</f>
        <v>윤산</v>
      </c>
      <c r="J1843" t="str">
        <f>T("하트퀸")</f>
        <v>하트퀸</v>
      </c>
      <c r="K1843" t="str">
        <f>T("더 고스트(The Ghost)")</f>
        <v>더 고스트(The Ghost)</v>
      </c>
      <c r="L1843">
        <v>100</v>
      </c>
      <c r="M1843">
        <v>500</v>
      </c>
      <c r="N1843">
        <v>5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0</v>
      </c>
      <c r="AH1843">
        <v>0</v>
      </c>
      <c r="AI1843">
        <v>500</v>
      </c>
      <c r="AJ1843">
        <v>5</v>
      </c>
      <c r="AK1843">
        <v>0</v>
      </c>
      <c r="AL1843">
        <v>0</v>
      </c>
      <c r="AM1843">
        <v>400</v>
      </c>
      <c r="AN1843">
        <v>0</v>
      </c>
      <c r="AO1843">
        <v>120</v>
      </c>
      <c r="AP1843">
        <v>-12</v>
      </c>
      <c r="AQ1843">
        <v>0</v>
      </c>
      <c r="AS1843">
        <v>0</v>
      </c>
      <c r="AT1843">
        <v>0</v>
      </c>
      <c r="AV1843">
        <v>0</v>
      </c>
      <c r="AW1843">
        <v>0</v>
      </c>
      <c r="AX1843">
        <v>120</v>
      </c>
      <c r="AY1843">
        <v>-12</v>
      </c>
      <c r="AZ1843">
        <v>0</v>
      </c>
      <c r="BA1843">
        <v>304.8</v>
      </c>
      <c r="BF1843" t="str">
        <f>T("D235985")</f>
        <v>D235985</v>
      </c>
      <c r="BG1843" t="str">
        <f>T("로맨스 웹소설 &gt; 현대물")</f>
        <v>로맨스 웹소설 &gt; 현대물</v>
      </c>
    </row>
    <row r="1844" spans="1:59">
      <c r="A1844" t="s">
        <v>60</v>
      </c>
      <c r="B1844" s="1">
        <v>46131</v>
      </c>
      <c r="C1844">
        <v>2378080895</v>
      </c>
      <c r="D1844">
        <v>2378080905</v>
      </c>
      <c r="E1844" t="str">
        <f>T("더 고스트(The Ghost) 11화")</f>
        <v>더 고스트(The Ghost) 11화</v>
      </c>
      <c r="F1844">
        <v>11</v>
      </c>
      <c r="G1844" t="str">
        <f>T("윤산")</f>
        <v>윤산</v>
      </c>
      <c r="J1844" t="str">
        <f>T("하트퀸")</f>
        <v>하트퀸</v>
      </c>
      <c r="K1844" t="str">
        <f>T("더 고스트(The Ghost)")</f>
        <v>더 고스트(The Ghost)</v>
      </c>
      <c r="L1844">
        <v>100</v>
      </c>
      <c r="M1844">
        <v>100</v>
      </c>
      <c r="N1844">
        <v>1</v>
      </c>
      <c r="O1844">
        <v>0</v>
      </c>
      <c r="P1844">
        <v>0</v>
      </c>
      <c r="Q1844">
        <v>0</v>
      </c>
      <c r="R1844">
        <v>1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0</v>
      </c>
      <c r="AH1844">
        <v>0</v>
      </c>
      <c r="AI1844">
        <v>100</v>
      </c>
      <c r="AJ1844">
        <v>2</v>
      </c>
      <c r="AK1844">
        <v>0</v>
      </c>
      <c r="AL1844">
        <v>0</v>
      </c>
      <c r="AM1844">
        <v>0</v>
      </c>
      <c r="AN1844">
        <v>0</v>
      </c>
      <c r="AO1844">
        <v>120</v>
      </c>
      <c r="AP1844">
        <v>-12</v>
      </c>
      <c r="AQ1844">
        <v>0</v>
      </c>
      <c r="AS1844">
        <v>0</v>
      </c>
      <c r="AT1844">
        <v>0</v>
      </c>
      <c r="AV1844">
        <v>0</v>
      </c>
      <c r="AW1844">
        <v>0</v>
      </c>
      <c r="AX1844">
        <v>120</v>
      </c>
      <c r="AY1844">
        <v>-12</v>
      </c>
      <c r="AZ1844">
        <v>0</v>
      </c>
      <c r="BA1844">
        <v>64.8</v>
      </c>
      <c r="BF1844" t="str">
        <f>T("D235959")</f>
        <v>D235959</v>
      </c>
      <c r="BG1844" t="str">
        <f>T("로맨스 웹소설 &gt; 현대물")</f>
        <v>로맨스 웹소설 &gt; 현대물</v>
      </c>
    </row>
    <row r="1845" spans="1:59">
      <c r="A1845" t="s">
        <v>60</v>
      </c>
      <c r="B1845" s="1">
        <v>46131</v>
      </c>
      <c r="C1845">
        <v>2378080895</v>
      </c>
      <c r="D1845">
        <v>2378080932</v>
      </c>
      <c r="E1845" t="str">
        <f>T("더 고스트(The Ghost) 38화")</f>
        <v>더 고스트(The Ghost) 38화</v>
      </c>
      <c r="F1845">
        <v>38</v>
      </c>
      <c r="G1845" t="str">
        <f>T("윤산")</f>
        <v>윤산</v>
      </c>
      <c r="J1845" t="str">
        <f>T("하트퀸")</f>
        <v>하트퀸</v>
      </c>
      <c r="K1845" t="str">
        <f>T("더 고스트(The Ghost)")</f>
        <v>더 고스트(The Ghost)</v>
      </c>
      <c r="L1845">
        <v>100</v>
      </c>
      <c r="M1845">
        <v>600</v>
      </c>
      <c r="N1845">
        <v>6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0</v>
      </c>
      <c r="AH1845">
        <v>0</v>
      </c>
      <c r="AI1845">
        <v>600</v>
      </c>
      <c r="AJ1845">
        <v>6</v>
      </c>
      <c r="AK1845">
        <v>0</v>
      </c>
      <c r="AL1845">
        <v>0</v>
      </c>
      <c r="AM1845">
        <v>400</v>
      </c>
      <c r="AN1845">
        <v>0</v>
      </c>
      <c r="AO1845">
        <v>240</v>
      </c>
      <c r="AP1845">
        <v>-24</v>
      </c>
      <c r="AQ1845">
        <v>0</v>
      </c>
      <c r="AS1845">
        <v>0</v>
      </c>
      <c r="AT1845">
        <v>0</v>
      </c>
      <c r="AU1845">
        <v>120</v>
      </c>
      <c r="AV1845">
        <v>-12</v>
      </c>
      <c r="AW1845">
        <v>0</v>
      </c>
      <c r="AX1845">
        <v>120</v>
      </c>
      <c r="AY1845">
        <v>-12</v>
      </c>
      <c r="AZ1845">
        <v>0</v>
      </c>
      <c r="BA1845">
        <v>369.6</v>
      </c>
      <c r="BF1845" t="str">
        <f>T("D235986")</f>
        <v>D235986</v>
      </c>
      <c r="BG1845" t="str">
        <f>T("로맨스 웹소설 &gt; 현대물")</f>
        <v>로맨스 웹소설 &gt; 현대물</v>
      </c>
    </row>
    <row r="1846" spans="1:59">
      <c r="A1846" t="s">
        <v>60</v>
      </c>
      <c r="B1846" s="1">
        <v>46131</v>
      </c>
      <c r="C1846">
        <v>2378080895</v>
      </c>
      <c r="D1846">
        <v>2378080933</v>
      </c>
      <c r="E1846" t="str">
        <f>T("더 고스트(The Ghost) 39화")</f>
        <v>더 고스트(The Ghost) 39화</v>
      </c>
      <c r="F1846">
        <v>39</v>
      </c>
      <c r="G1846" t="str">
        <f>T("윤산")</f>
        <v>윤산</v>
      </c>
      <c r="J1846" t="str">
        <f>T("하트퀸")</f>
        <v>하트퀸</v>
      </c>
      <c r="K1846" t="str">
        <f>T("더 고스트(The Ghost)")</f>
        <v>더 고스트(The Ghost)</v>
      </c>
      <c r="L1846">
        <v>100</v>
      </c>
      <c r="M1846">
        <v>600</v>
      </c>
      <c r="N1846">
        <v>6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600</v>
      </c>
      <c r="AJ1846">
        <v>6</v>
      </c>
      <c r="AK1846">
        <v>0</v>
      </c>
      <c r="AL1846">
        <v>0</v>
      </c>
      <c r="AM1846">
        <v>400</v>
      </c>
      <c r="AN1846">
        <v>0</v>
      </c>
      <c r="AO1846">
        <v>240</v>
      </c>
      <c r="AP1846">
        <v>-24</v>
      </c>
      <c r="AQ1846">
        <v>0</v>
      </c>
      <c r="AS1846">
        <v>0</v>
      </c>
      <c r="AT1846">
        <v>0</v>
      </c>
      <c r="AU1846">
        <v>120</v>
      </c>
      <c r="AV1846">
        <v>-12</v>
      </c>
      <c r="AW1846">
        <v>0</v>
      </c>
      <c r="AX1846">
        <v>120</v>
      </c>
      <c r="AY1846">
        <v>-12</v>
      </c>
      <c r="AZ1846">
        <v>0</v>
      </c>
      <c r="BA1846">
        <v>369.6</v>
      </c>
      <c r="BF1846" t="str">
        <f>T("D235987")</f>
        <v>D235987</v>
      </c>
      <c r="BG1846" t="str">
        <f>T("로맨스 웹소설 &gt; 현대물")</f>
        <v>로맨스 웹소설 &gt; 현대물</v>
      </c>
    </row>
    <row r="1847" spans="1:59">
      <c r="A1847" t="s">
        <v>60</v>
      </c>
      <c r="B1847" s="1">
        <v>46131</v>
      </c>
      <c r="C1847">
        <v>2378080895</v>
      </c>
      <c r="D1847">
        <v>2378080895</v>
      </c>
      <c r="E1847" t="str">
        <f>T("더 고스트(The Ghost) 1화")</f>
        <v>더 고스트(The Ghost) 1화</v>
      </c>
      <c r="F1847">
        <v>1</v>
      </c>
      <c r="G1847" t="str">
        <f>T("윤산")</f>
        <v>윤산</v>
      </c>
      <c r="J1847" t="str">
        <f>T("하트퀸")</f>
        <v>하트퀸</v>
      </c>
      <c r="K1847" t="str">
        <f>T("더 고스트(The Ghost)")</f>
        <v>더 고스트(The Ghost)</v>
      </c>
      <c r="L1847">
        <v>0</v>
      </c>
      <c r="M1847">
        <v>0</v>
      </c>
      <c r="N1847">
        <v>0</v>
      </c>
      <c r="O1847">
        <v>9</v>
      </c>
      <c r="P1847">
        <v>0</v>
      </c>
      <c r="Q1847">
        <v>0</v>
      </c>
      <c r="R1847">
        <v>16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25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S1847">
        <v>0</v>
      </c>
      <c r="AT1847">
        <v>0</v>
      </c>
      <c r="AV1847">
        <v>0</v>
      </c>
      <c r="AW1847">
        <v>0</v>
      </c>
      <c r="AY1847">
        <v>0</v>
      </c>
      <c r="AZ1847">
        <v>0</v>
      </c>
      <c r="BA1847">
        <v>0</v>
      </c>
      <c r="BF1847" t="str">
        <f>T("D235949")</f>
        <v>D235949</v>
      </c>
      <c r="BG1847" t="str">
        <f>T("로맨스 웹소설 &gt; 현대물")</f>
        <v>로맨스 웹소설 &gt; 현대물</v>
      </c>
    </row>
    <row r="1848" spans="1:59">
      <c r="A1848" t="s">
        <v>60</v>
      </c>
      <c r="B1848" s="1">
        <v>46131</v>
      </c>
      <c r="C1848">
        <v>2378080895</v>
      </c>
      <c r="D1848">
        <v>2378080902</v>
      </c>
      <c r="E1848" t="str">
        <f>T("더 고스트(The Ghost) 8화")</f>
        <v>더 고스트(The Ghost) 8화</v>
      </c>
      <c r="F1848">
        <v>8</v>
      </c>
      <c r="G1848" t="str">
        <f>T("윤산")</f>
        <v>윤산</v>
      </c>
      <c r="J1848" t="str">
        <f>T("하트퀸")</f>
        <v>하트퀸</v>
      </c>
      <c r="K1848" t="str">
        <f>T("더 고스트(The Ghost)")</f>
        <v>더 고스트(The Ghost)</v>
      </c>
      <c r="L1848">
        <v>100</v>
      </c>
      <c r="M1848">
        <v>200</v>
      </c>
      <c r="N1848">
        <v>2</v>
      </c>
      <c r="O1848">
        <v>0</v>
      </c>
      <c r="P1848">
        <v>0</v>
      </c>
      <c r="Q1848">
        <v>0</v>
      </c>
      <c r="R1848">
        <v>14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200</v>
      </c>
      <c r="AJ1848">
        <v>16</v>
      </c>
      <c r="AK1848">
        <v>0</v>
      </c>
      <c r="AL1848">
        <v>0</v>
      </c>
      <c r="AM1848">
        <v>100</v>
      </c>
      <c r="AN1848">
        <v>0</v>
      </c>
      <c r="AO1848">
        <v>120</v>
      </c>
      <c r="AP1848">
        <v>-12</v>
      </c>
      <c r="AQ1848">
        <v>0</v>
      </c>
      <c r="AS1848">
        <v>0</v>
      </c>
      <c r="AT1848">
        <v>0</v>
      </c>
      <c r="AV1848">
        <v>0</v>
      </c>
      <c r="AW1848">
        <v>0</v>
      </c>
      <c r="AX1848">
        <v>120</v>
      </c>
      <c r="AY1848">
        <v>-12</v>
      </c>
      <c r="AZ1848">
        <v>0</v>
      </c>
      <c r="BA1848">
        <v>124.8</v>
      </c>
      <c r="BF1848" t="str">
        <f>T("D235956")</f>
        <v>D235956</v>
      </c>
      <c r="BG1848" t="str">
        <f>T("로맨스 웹소설 &gt; 현대물")</f>
        <v>로맨스 웹소설 &gt; 현대물</v>
      </c>
    </row>
    <row r="1849" spans="1:59">
      <c r="A1849" t="s">
        <v>60</v>
      </c>
      <c r="B1849" s="1">
        <v>46131</v>
      </c>
      <c r="C1849">
        <v>2378080895</v>
      </c>
      <c r="D1849">
        <v>2378080934</v>
      </c>
      <c r="E1849" t="str">
        <f>T("더 고스트(The Ghost) 40화")</f>
        <v>더 고스트(The Ghost) 40화</v>
      </c>
      <c r="F1849">
        <v>40</v>
      </c>
      <c r="G1849" t="str">
        <f>T("윤산")</f>
        <v>윤산</v>
      </c>
      <c r="J1849" t="str">
        <f>T("하트퀸")</f>
        <v>하트퀸</v>
      </c>
      <c r="K1849" t="str">
        <f>T("더 고스트(The Ghost)")</f>
        <v>더 고스트(The Ghost)</v>
      </c>
      <c r="L1849">
        <v>100</v>
      </c>
      <c r="M1849">
        <v>600</v>
      </c>
      <c r="N1849">
        <v>6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600</v>
      </c>
      <c r="AJ1849">
        <v>6</v>
      </c>
      <c r="AK1849">
        <v>0</v>
      </c>
      <c r="AL1849">
        <v>0</v>
      </c>
      <c r="AM1849">
        <v>400</v>
      </c>
      <c r="AN1849">
        <v>0</v>
      </c>
      <c r="AO1849">
        <v>240</v>
      </c>
      <c r="AP1849">
        <v>-24</v>
      </c>
      <c r="AQ1849">
        <v>0</v>
      </c>
      <c r="AS1849">
        <v>0</v>
      </c>
      <c r="AT1849">
        <v>0</v>
      </c>
      <c r="AU1849">
        <v>120</v>
      </c>
      <c r="AV1849">
        <v>-12</v>
      </c>
      <c r="AW1849">
        <v>0</v>
      </c>
      <c r="AX1849">
        <v>120</v>
      </c>
      <c r="AY1849">
        <v>-12</v>
      </c>
      <c r="AZ1849">
        <v>0</v>
      </c>
      <c r="BA1849">
        <v>369.6</v>
      </c>
      <c r="BF1849" t="str">
        <f>T("D235988")</f>
        <v>D235988</v>
      </c>
      <c r="BG1849" t="str">
        <f>T("로맨스 웹소설 &gt; 현대물")</f>
        <v>로맨스 웹소설 &gt; 현대물</v>
      </c>
    </row>
    <row r="1850" spans="1:59">
      <c r="A1850" t="s">
        <v>60</v>
      </c>
      <c r="B1850" s="1">
        <v>46131</v>
      </c>
      <c r="C1850">
        <v>2378080895</v>
      </c>
      <c r="D1850">
        <v>2378080935</v>
      </c>
      <c r="E1850" t="str">
        <f>T("더 고스트(The Ghost) 41화")</f>
        <v>더 고스트(The Ghost) 41화</v>
      </c>
      <c r="F1850">
        <v>41</v>
      </c>
      <c r="G1850" t="str">
        <f>T("윤산")</f>
        <v>윤산</v>
      </c>
      <c r="J1850" t="str">
        <f>T("하트퀸")</f>
        <v>하트퀸</v>
      </c>
      <c r="K1850" t="str">
        <f>T("더 고스트(The Ghost)")</f>
        <v>더 고스트(The Ghost)</v>
      </c>
      <c r="L1850">
        <v>100</v>
      </c>
      <c r="M1850">
        <v>600</v>
      </c>
      <c r="N1850">
        <v>6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600</v>
      </c>
      <c r="AJ1850">
        <v>6</v>
      </c>
      <c r="AK1850">
        <v>0</v>
      </c>
      <c r="AL1850">
        <v>0</v>
      </c>
      <c r="AM1850">
        <v>400</v>
      </c>
      <c r="AN1850">
        <v>0</v>
      </c>
      <c r="AO1850">
        <v>240</v>
      </c>
      <c r="AP1850">
        <v>-24</v>
      </c>
      <c r="AQ1850">
        <v>0</v>
      </c>
      <c r="AS1850">
        <v>0</v>
      </c>
      <c r="AT1850">
        <v>0</v>
      </c>
      <c r="AU1850">
        <v>120</v>
      </c>
      <c r="AV1850">
        <v>-12</v>
      </c>
      <c r="AW1850">
        <v>0</v>
      </c>
      <c r="AX1850">
        <v>120</v>
      </c>
      <c r="AY1850">
        <v>-12</v>
      </c>
      <c r="AZ1850">
        <v>0</v>
      </c>
      <c r="BA1850">
        <v>369.6</v>
      </c>
      <c r="BF1850" t="str">
        <f>T("D235989")</f>
        <v>D235989</v>
      </c>
      <c r="BG1850" t="str">
        <f>T("로맨스 웹소설 &gt; 현대물")</f>
        <v>로맨스 웹소설 &gt; 현대물</v>
      </c>
    </row>
    <row r="1851" spans="1:59">
      <c r="A1851" t="s">
        <v>60</v>
      </c>
      <c r="B1851" s="1">
        <v>46131</v>
      </c>
      <c r="C1851">
        <v>2378080895</v>
      </c>
      <c r="D1851">
        <v>2378080936</v>
      </c>
      <c r="E1851" t="str">
        <f>T("더 고스트(The Ghost) 42화")</f>
        <v>더 고스트(The Ghost) 42화</v>
      </c>
      <c r="F1851">
        <v>42</v>
      </c>
      <c r="G1851" t="str">
        <f>T("윤산")</f>
        <v>윤산</v>
      </c>
      <c r="J1851" t="str">
        <f>T("하트퀸")</f>
        <v>하트퀸</v>
      </c>
      <c r="K1851" t="str">
        <f>T("더 고스트(The Ghost)")</f>
        <v>더 고스트(The Ghost)</v>
      </c>
      <c r="L1851">
        <v>100</v>
      </c>
      <c r="M1851">
        <v>600</v>
      </c>
      <c r="N1851">
        <v>6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0</v>
      </c>
      <c r="AH1851">
        <v>0</v>
      </c>
      <c r="AI1851">
        <v>600</v>
      </c>
      <c r="AJ1851">
        <v>6</v>
      </c>
      <c r="AK1851">
        <v>0</v>
      </c>
      <c r="AL1851">
        <v>0</v>
      </c>
      <c r="AM1851">
        <v>400</v>
      </c>
      <c r="AN1851">
        <v>0</v>
      </c>
      <c r="AO1851">
        <v>240</v>
      </c>
      <c r="AP1851">
        <v>-24</v>
      </c>
      <c r="AQ1851">
        <v>0</v>
      </c>
      <c r="AS1851">
        <v>0</v>
      </c>
      <c r="AT1851">
        <v>0</v>
      </c>
      <c r="AU1851">
        <v>120</v>
      </c>
      <c r="AV1851">
        <v>-12</v>
      </c>
      <c r="AW1851">
        <v>0</v>
      </c>
      <c r="AX1851">
        <v>120</v>
      </c>
      <c r="AY1851">
        <v>-12</v>
      </c>
      <c r="AZ1851">
        <v>0</v>
      </c>
      <c r="BA1851">
        <v>369.6</v>
      </c>
      <c r="BF1851" t="str">
        <f>T("D235990")</f>
        <v>D235990</v>
      </c>
      <c r="BG1851" t="str">
        <f>T("로맨스 웹소설 &gt; 현대물")</f>
        <v>로맨스 웹소설 &gt; 현대물</v>
      </c>
    </row>
    <row r="1852" spans="1:59">
      <c r="A1852" t="s">
        <v>60</v>
      </c>
      <c r="B1852" s="1">
        <v>46131</v>
      </c>
      <c r="C1852">
        <v>2378080895</v>
      </c>
      <c r="D1852">
        <v>2378080937</v>
      </c>
      <c r="E1852" t="str">
        <f>T("더 고스트(The Ghost) 43화")</f>
        <v>더 고스트(The Ghost) 43화</v>
      </c>
      <c r="F1852">
        <v>43</v>
      </c>
      <c r="G1852" t="str">
        <f>T("윤산")</f>
        <v>윤산</v>
      </c>
      <c r="J1852" t="str">
        <f>T("하트퀸")</f>
        <v>하트퀸</v>
      </c>
      <c r="K1852" t="str">
        <f>T("더 고스트(The Ghost)")</f>
        <v>더 고스트(The Ghost)</v>
      </c>
      <c r="L1852">
        <v>100</v>
      </c>
      <c r="M1852">
        <v>600</v>
      </c>
      <c r="N1852">
        <v>6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600</v>
      </c>
      <c r="AJ1852">
        <v>6</v>
      </c>
      <c r="AK1852">
        <v>0</v>
      </c>
      <c r="AL1852">
        <v>0</v>
      </c>
      <c r="AM1852">
        <v>400</v>
      </c>
      <c r="AN1852">
        <v>0</v>
      </c>
      <c r="AO1852">
        <v>240</v>
      </c>
      <c r="AP1852">
        <v>-24</v>
      </c>
      <c r="AQ1852">
        <v>0</v>
      </c>
      <c r="AS1852">
        <v>0</v>
      </c>
      <c r="AT1852">
        <v>0</v>
      </c>
      <c r="AU1852">
        <v>120</v>
      </c>
      <c r="AV1852">
        <v>-12</v>
      </c>
      <c r="AW1852">
        <v>0</v>
      </c>
      <c r="AX1852">
        <v>120</v>
      </c>
      <c r="AY1852">
        <v>-12</v>
      </c>
      <c r="AZ1852">
        <v>0</v>
      </c>
      <c r="BA1852">
        <v>369.6</v>
      </c>
      <c r="BF1852" t="str">
        <f>T("D235991")</f>
        <v>D235991</v>
      </c>
      <c r="BG1852" t="str">
        <f>T("로맨스 웹소설 &gt; 현대물")</f>
        <v>로맨스 웹소설 &gt; 현대물</v>
      </c>
    </row>
    <row r="1853" spans="1:59">
      <c r="A1853" t="s">
        <v>60</v>
      </c>
      <c r="B1853" s="1">
        <v>46131</v>
      </c>
      <c r="C1853">
        <v>2378080895</v>
      </c>
      <c r="D1853">
        <v>2378080938</v>
      </c>
      <c r="E1853" t="str">
        <f>T("더 고스트(The Ghost) 44화")</f>
        <v>더 고스트(The Ghost) 44화</v>
      </c>
      <c r="F1853">
        <v>44</v>
      </c>
      <c r="G1853" t="str">
        <f>T("윤산")</f>
        <v>윤산</v>
      </c>
      <c r="J1853" t="str">
        <f>T("하트퀸")</f>
        <v>하트퀸</v>
      </c>
      <c r="K1853" t="str">
        <f>T("더 고스트(The Ghost)")</f>
        <v>더 고스트(The Ghost)</v>
      </c>
      <c r="L1853">
        <v>100</v>
      </c>
      <c r="M1853">
        <v>600</v>
      </c>
      <c r="N1853">
        <v>6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600</v>
      </c>
      <c r="AJ1853">
        <v>6</v>
      </c>
      <c r="AK1853">
        <v>0</v>
      </c>
      <c r="AL1853">
        <v>0</v>
      </c>
      <c r="AM1853">
        <v>400</v>
      </c>
      <c r="AN1853">
        <v>0</v>
      </c>
      <c r="AO1853">
        <v>240</v>
      </c>
      <c r="AP1853">
        <v>-24</v>
      </c>
      <c r="AQ1853">
        <v>0</v>
      </c>
      <c r="AS1853">
        <v>0</v>
      </c>
      <c r="AT1853">
        <v>0</v>
      </c>
      <c r="AU1853">
        <v>120</v>
      </c>
      <c r="AV1853">
        <v>-12</v>
      </c>
      <c r="AW1853">
        <v>0</v>
      </c>
      <c r="AX1853">
        <v>120</v>
      </c>
      <c r="AY1853">
        <v>-12</v>
      </c>
      <c r="AZ1853">
        <v>0</v>
      </c>
      <c r="BA1853">
        <v>369.6</v>
      </c>
      <c r="BF1853" t="str">
        <f>T("D235992")</f>
        <v>D235992</v>
      </c>
      <c r="BG1853" t="str">
        <f>T("로맨스 웹소설 &gt; 현대물")</f>
        <v>로맨스 웹소설 &gt; 현대물</v>
      </c>
    </row>
    <row r="1854" spans="1:59">
      <c r="A1854" t="s">
        <v>60</v>
      </c>
      <c r="B1854" s="1">
        <v>46131</v>
      </c>
      <c r="C1854">
        <v>2378080895</v>
      </c>
      <c r="D1854">
        <v>2378080939</v>
      </c>
      <c r="E1854" t="str">
        <f>T("더 고스트(The Ghost) 45화")</f>
        <v>더 고스트(The Ghost) 45화</v>
      </c>
      <c r="F1854">
        <v>45</v>
      </c>
      <c r="G1854" t="str">
        <f>T("윤산")</f>
        <v>윤산</v>
      </c>
      <c r="J1854" t="str">
        <f>T("하트퀸")</f>
        <v>하트퀸</v>
      </c>
      <c r="K1854" t="str">
        <f>T("더 고스트(The Ghost)")</f>
        <v>더 고스트(The Ghost)</v>
      </c>
      <c r="L1854">
        <v>100</v>
      </c>
      <c r="M1854">
        <v>500</v>
      </c>
      <c r="N1854">
        <v>5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0</v>
      </c>
      <c r="AI1854">
        <v>500</v>
      </c>
      <c r="AJ1854">
        <v>5</v>
      </c>
      <c r="AK1854">
        <v>0</v>
      </c>
      <c r="AL1854">
        <v>0</v>
      </c>
      <c r="AM1854">
        <v>300</v>
      </c>
      <c r="AN1854">
        <v>0</v>
      </c>
      <c r="AO1854">
        <v>240</v>
      </c>
      <c r="AP1854">
        <v>-24</v>
      </c>
      <c r="AQ1854">
        <v>0</v>
      </c>
      <c r="AS1854">
        <v>0</v>
      </c>
      <c r="AT1854">
        <v>0</v>
      </c>
      <c r="AU1854">
        <v>120</v>
      </c>
      <c r="AV1854">
        <v>-12</v>
      </c>
      <c r="AW1854">
        <v>0</v>
      </c>
      <c r="AX1854">
        <v>120</v>
      </c>
      <c r="AY1854">
        <v>-12</v>
      </c>
      <c r="AZ1854">
        <v>0</v>
      </c>
      <c r="BA1854">
        <v>309.60000000000002</v>
      </c>
      <c r="BF1854" t="str">
        <f>T("D235993")</f>
        <v>D235993</v>
      </c>
      <c r="BG1854" t="str">
        <f>T("로맨스 웹소설 &gt; 현대물")</f>
        <v>로맨스 웹소설 &gt; 현대물</v>
      </c>
    </row>
    <row r="1855" spans="1:59">
      <c r="A1855" t="s">
        <v>60</v>
      </c>
      <c r="B1855" s="1">
        <v>46131</v>
      </c>
      <c r="C1855">
        <v>2378080895</v>
      </c>
      <c r="D1855">
        <v>2378080940</v>
      </c>
      <c r="E1855" t="str">
        <f>T("더 고스트(The Ghost) 46화")</f>
        <v>더 고스트(The Ghost) 46화</v>
      </c>
      <c r="F1855">
        <v>46</v>
      </c>
      <c r="G1855" t="str">
        <f>T("윤산")</f>
        <v>윤산</v>
      </c>
      <c r="J1855" t="str">
        <f>T("하트퀸")</f>
        <v>하트퀸</v>
      </c>
      <c r="K1855" t="str">
        <f>T("더 고스트(The Ghost)")</f>
        <v>더 고스트(The Ghost)</v>
      </c>
      <c r="L1855">
        <v>100</v>
      </c>
      <c r="M1855">
        <v>400</v>
      </c>
      <c r="N1855">
        <v>4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400</v>
      </c>
      <c r="AJ1855">
        <v>4</v>
      </c>
      <c r="AK1855">
        <v>0</v>
      </c>
      <c r="AL1855">
        <v>0</v>
      </c>
      <c r="AM1855">
        <v>300</v>
      </c>
      <c r="AN1855">
        <v>0</v>
      </c>
      <c r="AO1855">
        <v>120</v>
      </c>
      <c r="AP1855">
        <v>-12</v>
      </c>
      <c r="AQ1855">
        <v>0</v>
      </c>
      <c r="AS1855">
        <v>0</v>
      </c>
      <c r="AT1855">
        <v>0</v>
      </c>
      <c r="AV1855">
        <v>0</v>
      </c>
      <c r="AW1855">
        <v>0</v>
      </c>
      <c r="AX1855">
        <v>120</v>
      </c>
      <c r="AY1855">
        <v>-12</v>
      </c>
      <c r="AZ1855">
        <v>0</v>
      </c>
      <c r="BA1855">
        <v>244.8</v>
      </c>
      <c r="BF1855" t="str">
        <f>T("D235994")</f>
        <v>D235994</v>
      </c>
      <c r="BG1855" t="str">
        <f>T("로맨스 웹소설 &gt; 현대물")</f>
        <v>로맨스 웹소설 &gt; 현대물</v>
      </c>
    </row>
    <row r="1856" spans="1:59">
      <c r="A1856" t="s">
        <v>60</v>
      </c>
      <c r="B1856" s="1">
        <v>46131</v>
      </c>
      <c r="C1856">
        <v>2378080895</v>
      </c>
      <c r="D1856">
        <v>2378080941</v>
      </c>
      <c r="E1856" t="str">
        <f>T("더 고스트(The Ghost) 47화")</f>
        <v>더 고스트(The Ghost) 47화</v>
      </c>
      <c r="F1856">
        <v>47</v>
      </c>
      <c r="G1856" t="str">
        <f>T("윤산")</f>
        <v>윤산</v>
      </c>
      <c r="J1856" t="str">
        <f>T("하트퀸")</f>
        <v>하트퀸</v>
      </c>
      <c r="K1856" t="str">
        <f>T("더 고스트(The Ghost)")</f>
        <v>더 고스트(The Ghost)</v>
      </c>
      <c r="L1856">
        <v>100</v>
      </c>
      <c r="M1856">
        <v>400</v>
      </c>
      <c r="N1856">
        <v>4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400</v>
      </c>
      <c r="AJ1856">
        <v>4</v>
      </c>
      <c r="AK1856">
        <v>0</v>
      </c>
      <c r="AL1856">
        <v>0</v>
      </c>
      <c r="AM1856">
        <v>300</v>
      </c>
      <c r="AN1856">
        <v>0</v>
      </c>
      <c r="AO1856">
        <v>120</v>
      </c>
      <c r="AP1856">
        <v>-12</v>
      </c>
      <c r="AQ1856">
        <v>0</v>
      </c>
      <c r="AS1856">
        <v>0</v>
      </c>
      <c r="AT1856">
        <v>0</v>
      </c>
      <c r="AV1856">
        <v>0</v>
      </c>
      <c r="AW1856">
        <v>0</v>
      </c>
      <c r="AX1856">
        <v>120</v>
      </c>
      <c r="AY1856">
        <v>-12</v>
      </c>
      <c r="AZ1856">
        <v>0</v>
      </c>
      <c r="BA1856">
        <v>244.8</v>
      </c>
      <c r="BF1856" t="str">
        <f>T("D235995")</f>
        <v>D235995</v>
      </c>
      <c r="BG1856" t="str">
        <f>T("로맨스 웹소설 &gt; 현대물")</f>
        <v>로맨스 웹소설 &gt; 현대물</v>
      </c>
    </row>
    <row r="1857" spans="1:59">
      <c r="A1857" t="s">
        <v>60</v>
      </c>
      <c r="B1857" s="1">
        <v>46131</v>
      </c>
      <c r="C1857">
        <v>2378080895</v>
      </c>
      <c r="D1857">
        <v>2378080942</v>
      </c>
      <c r="E1857" t="str">
        <f>T("더 고스트(The Ghost) 48화")</f>
        <v>더 고스트(The Ghost) 48화</v>
      </c>
      <c r="F1857">
        <v>48</v>
      </c>
      <c r="G1857" t="str">
        <f>T("윤산")</f>
        <v>윤산</v>
      </c>
      <c r="J1857" t="str">
        <f>T("하트퀸")</f>
        <v>하트퀸</v>
      </c>
      <c r="K1857" t="str">
        <f>T("더 고스트(The Ghost)")</f>
        <v>더 고스트(The Ghost)</v>
      </c>
      <c r="L1857">
        <v>100</v>
      </c>
      <c r="M1857">
        <v>400</v>
      </c>
      <c r="N1857">
        <v>4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0</v>
      </c>
      <c r="AI1857">
        <v>400</v>
      </c>
      <c r="AJ1857">
        <v>4</v>
      </c>
      <c r="AK1857">
        <v>0</v>
      </c>
      <c r="AL1857">
        <v>0</v>
      </c>
      <c r="AM1857">
        <v>300</v>
      </c>
      <c r="AN1857">
        <v>0</v>
      </c>
      <c r="AO1857">
        <v>120</v>
      </c>
      <c r="AP1857">
        <v>-12</v>
      </c>
      <c r="AQ1857">
        <v>0</v>
      </c>
      <c r="AS1857">
        <v>0</v>
      </c>
      <c r="AT1857">
        <v>0</v>
      </c>
      <c r="AV1857">
        <v>0</v>
      </c>
      <c r="AW1857">
        <v>0</v>
      </c>
      <c r="AX1857">
        <v>120</v>
      </c>
      <c r="AY1857">
        <v>-12</v>
      </c>
      <c r="AZ1857">
        <v>0</v>
      </c>
      <c r="BA1857">
        <v>244.8</v>
      </c>
      <c r="BF1857" t="str">
        <f>T("D235996")</f>
        <v>D235996</v>
      </c>
      <c r="BG1857" t="str">
        <f>T("로맨스 웹소설 &gt; 현대물")</f>
        <v>로맨스 웹소설 &gt; 현대물</v>
      </c>
    </row>
    <row r="1858" spans="1:59">
      <c r="A1858" t="s">
        <v>60</v>
      </c>
      <c r="B1858" s="1">
        <v>46131</v>
      </c>
      <c r="C1858">
        <v>2378080895</v>
      </c>
      <c r="D1858">
        <v>2378080943</v>
      </c>
      <c r="E1858" t="str">
        <f>T("더 고스트(The Ghost) 49화")</f>
        <v>더 고스트(The Ghost) 49화</v>
      </c>
      <c r="F1858">
        <v>49</v>
      </c>
      <c r="G1858" t="str">
        <f>T("윤산")</f>
        <v>윤산</v>
      </c>
      <c r="J1858" t="str">
        <f>T("하트퀸")</f>
        <v>하트퀸</v>
      </c>
      <c r="K1858" t="str">
        <f>T("더 고스트(The Ghost)")</f>
        <v>더 고스트(The Ghost)</v>
      </c>
      <c r="L1858">
        <v>100</v>
      </c>
      <c r="M1858">
        <v>500</v>
      </c>
      <c r="N1858">
        <v>5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500</v>
      </c>
      <c r="AJ1858">
        <v>5</v>
      </c>
      <c r="AK1858">
        <v>0</v>
      </c>
      <c r="AL1858">
        <v>0</v>
      </c>
      <c r="AM1858">
        <v>300</v>
      </c>
      <c r="AN1858">
        <v>0</v>
      </c>
      <c r="AO1858">
        <v>240</v>
      </c>
      <c r="AP1858">
        <v>-24</v>
      </c>
      <c r="AQ1858">
        <v>0</v>
      </c>
      <c r="AS1858">
        <v>0</v>
      </c>
      <c r="AT1858">
        <v>0</v>
      </c>
      <c r="AU1858">
        <v>120</v>
      </c>
      <c r="AV1858">
        <v>-12</v>
      </c>
      <c r="AW1858">
        <v>0</v>
      </c>
      <c r="AX1858">
        <v>120</v>
      </c>
      <c r="AY1858">
        <v>-12</v>
      </c>
      <c r="AZ1858">
        <v>0</v>
      </c>
      <c r="BA1858">
        <v>309.60000000000002</v>
      </c>
      <c r="BF1858" t="str">
        <f>T("D235997")</f>
        <v>D235997</v>
      </c>
      <c r="BG1858" t="str">
        <f>T("로맨스 웹소설 &gt; 현대물")</f>
        <v>로맨스 웹소설 &gt; 현대물</v>
      </c>
    </row>
    <row r="1859" spans="1:59">
      <c r="A1859" t="s">
        <v>60</v>
      </c>
      <c r="B1859" s="1">
        <v>46131</v>
      </c>
      <c r="C1859">
        <v>2378080895</v>
      </c>
      <c r="D1859">
        <v>2378080944</v>
      </c>
      <c r="E1859" t="str">
        <f>T("더 고스트(The Ghost) 50화")</f>
        <v>더 고스트(The Ghost) 50화</v>
      </c>
      <c r="F1859">
        <v>50</v>
      </c>
      <c r="G1859" t="str">
        <f>T("윤산")</f>
        <v>윤산</v>
      </c>
      <c r="J1859" t="str">
        <f>T("하트퀸")</f>
        <v>하트퀸</v>
      </c>
      <c r="K1859" t="str">
        <f>T("더 고스트(The Ghost)")</f>
        <v>더 고스트(The Ghost)</v>
      </c>
      <c r="L1859">
        <v>100</v>
      </c>
      <c r="M1859">
        <v>600</v>
      </c>
      <c r="N1859">
        <v>6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600</v>
      </c>
      <c r="AJ1859">
        <v>6</v>
      </c>
      <c r="AK1859">
        <v>0</v>
      </c>
      <c r="AL1859">
        <v>0</v>
      </c>
      <c r="AM1859">
        <v>400</v>
      </c>
      <c r="AN1859">
        <v>0</v>
      </c>
      <c r="AO1859">
        <v>240</v>
      </c>
      <c r="AP1859">
        <v>-24</v>
      </c>
      <c r="AQ1859">
        <v>0</v>
      </c>
      <c r="AS1859">
        <v>0</v>
      </c>
      <c r="AT1859">
        <v>0</v>
      </c>
      <c r="AU1859">
        <v>120</v>
      </c>
      <c r="AV1859">
        <v>-12</v>
      </c>
      <c r="AW1859">
        <v>0</v>
      </c>
      <c r="AX1859">
        <v>120</v>
      </c>
      <c r="AY1859">
        <v>-12</v>
      </c>
      <c r="AZ1859">
        <v>0</v>
      </c>
      <c r="BA1859">
        <v>369.6</v>
      </c>
      <c r="BF1859" t="str">
        <f>T("D235998")</f>
        <v>D235998</v>
      </c>
      <c r="BG1859" t="str">
        <f>T("로맨스 웹소설 &gt; 현대물")</f>
        <v>로맨스 웹소설 &gt; 현대물</v>
      </c>
    </row>
    <row r="1860" spans="1:59">
      <c r="A1860" t="s">
        <v>60</v>
      </c>
      <c r="B1860" s="1">
        <v>46131</v>
      </c>
      <c r="C1860">
        <v>2378080895</v>
      </c>
      <c r="D1860">
        <v>2378080945</v>
      </c>
      <c r="E1860" t="str">
        <f>T("더 고스트(The Ghost) 51화")</f>
        <v>더 고스트(The Ghost) 51화</v>
      </c>
      <c r="F1860">
        <v>51</v>
      </c>
      <c r="G1860" t="str">
        <f>T("윤산")</f>
        <v>윤산</v>
      </c>
      <c r="J1860" t="str">
        <f>T("하트퀸")</f>
        <v>하트퀸</v>
      </c>
      <c r="K1860" t="str">
        <f>T("더 고스트(The Ghost)")</f>
        <v>더 고스트(The Ghost)</v>
      </c>
      <c r="L1860">
        <v>100</v>
      </c>
      <c r="M1860">
        <v>500</v>
      </c>
      <c r="N1860">
        <v>5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500</v>
      </c>
      <c r="AJ1860">
        <v>5</v>
      </c>
      <c r="AK1860">
        <v>0</v>
      </c>
      <c r="AL1860">
        <v>0</v>
      </c>
      <c r="AM1860">
        <v>400</v>
      </c>
      <c r="AN1860">
        <v>0</v>
      </c>
      <c r="AO1860">
        <v>120</v>
      </c>
      <c r="AP1860">
        <v>-12</v>
      </c>
      <c r="AQ1860">
        <v>0</v>
      </c>
      <c r="AS1860">
        <v>0</v>
      </c>
      <c r="AT1860">
        <v>0</v>
      </c>
      <c r="AV1860">
        <v>0</v>
      </c>
      <c r="AW1860">
        <v>0</v>
      </c>
      <c r="AX1860">
        <v>120</v>
      </c>
      <c r="AY1860">
        <v>-12</v>
      </c>
      <c r="AZ1860">
        <v>0</v>
      </c>
      <c r="BA1860">
        <v>304.8</v>
      </c>
      <c r="BF1860" t="str">
        <f>T("D235999")</f>
        <v>D235999</v>
      </c>
      <c r="BG1860" t="str">
        <f>T("로맨스 웹소설 &gt; 현대물")</f>
        <v>로맨스 웹소설 &gt; 현대물</v>
      </c>
    </row>
    <row r="1861" spans="1:59">
      <c r="A1861" t="s">
        <v>60</v>
      </c>
      <c r="B1861" s="1">
        <v>46131</v>
      </c>
      <c r="C1861">
        <v>2378080895</v>
      </c>
      <c r="D1861">
        <v>2378080946</v>
      </c>
      <c r="E1861" t="str">
        <f>T("더 고스트(The Ghost) 52화")</f>
        <v>더 고스트(The Ghost) 52화</v>
      </c>
      <c r="F1861">
        <v>52</v>
      </c>
      <c r="G1861" t="str">
        <f>T("윤산")</f>
        <v>윤산</v>
      </c>
      <c r="J1861" t="str">
        <f>T("하트퀸")</f>
        <v>하트퀸</v>
      </c>
      <c r="K1861" t="str">
        <f>T("더 고스트(The Ghost)")</f>
        <v>더 고스트(The Ghost)</v>
      </c>
      <c r="L1861">
        <v>100</v>
      </c>
      <c r="M1861">
        <v>500</v>
      </c>
      <c r="N1861">
        <v>5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500</v>
      </c>
      <c r="AJ1861">
        <v>5</v>
      </c>
      <c r="AK1861">
        <v>0</v>
      </c>
      <c r="AL1861">
        <v>0</v>
      </c>
      <c r="AM1861">
        <v>400</v>
      </c>
      <c r="AN1861">
        <v>0</v>
      </c>
      <c r="AO1861">
        <v>120</v>
      </c>
      <c r="AP1861">
        <v>-12</v>
      </c>
      <c r="AQ1861">
        <v>0</v>
      </c>
      <c r="AS1861">
        <v>0</v>
      </c>
      <c r="AT1861">
        <v>0</v>
      </c>
      <c r="AV1861">
        <v>0</v>
      </c>
      <c r="AW1861">
        <v>0</v>
      </c>
      <c r="AX1861">
        <v>120</v>
      </c>
      <c r="AY1861">
        <v>-12</v>
      </c>
      <c r="AZ1861">
        <v>0</v>
      </c>
      <c r="BA1861">
        <v>304.8</v>
      </c>
      <c r="BF1861" t="str">
        <f>T("D236000")</f>
        <v>D236000</v>
      </c>
      <c r="BG1861" t="str">
        <f>T("로맨스 웹소설 &gt; 현대물")</f>
        <v>로맨스 웹소설 &gt; 현대물</v>
      </c>
    </row>
    <row r="1862" spans="1:59">
      <c r="A1862" t="s">
        <v>60</v>
      </c>
      <c r="B1862" s="1">
        <v>46131</v>
      </c>
      <c r="C1862">
        <v>2378080895</v>
      </c>
      <c r="D1862">
        <v>2378080947</v>
      </c>
      <c r="E1862" t="str">
        <f>T("더 고스트(The Ghost) 53화")</f>
        <v>더 고스트(The Ghost) 53화</v>
      </c>
      <c r="F1862">
        <v>53</v>
      </c>
      <c r="G1862" t="str">
        <f>T("윤산")</f>
        <v>윤산</v>
      </c>
      <c r="J1862" t="str">
        <f>T("하트퀸")</f>
        <v>하트퀸</v>
      </c>
      <c r="K1862" t="str">
        <f>T("더 고스트(The Ghost)")</f>
        <v>더 고스트(The Ghost)</v>
      </c>
      <c r="L1862">
        <v>100</v>
      </c>
      <c r="M1862">
        <v>300</v>
      </c>
      <c r="N1862">
        <v>3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300</v>
      </c>
      <c r="AJ1862">
        <v>3</v>
      </c>
      <c r="AK1862">
        <v>0</v>
      </c>
      <c r="AL1862">
        <v>0</v>
      </c>
      <c r="AM1862">
        <v>200</v>
      </c>
      <c r="AN1862">
        <v>0</v>
      </c>
      <c r="AO1862">
        <v>120</v>
      </c>
      <c r="AP1862">
        <v>-12</v>
      </c>
      <c r="AQ1862">
        <v>0</v>
      </c>
      <c r="AS1862">
        <v>0</v>
      </c>
      <c r="AT1862">
        <v>0</v>
      </c>
      <c r="AV1862">
        <v>0</v>
      </c>
      <c r="AW1862">
        <v>0</v>
      </c>
      <c r="AX1862">
        <v>120</v>
      </c>
      <c r="AY1862">
        <v>-12</v>
      </c>
      <c r="AZ1862">
        <v>0</v>
      </c>
      <c r="BA1862">
        <v>184.8</v>
      </c>
      <c r="BF1862" t="str">
        <f>T("D236001")</f>
        <v>D236001</v>
      </c>
      <c r="BG1862" t="str">
        <f>T("로맨스 웹소설 &gt; 현대물")</f>
        <v>로맨스 웹소설 &gt; 현대물</v>
      </c>
    </row>
    <row r="1863" spans="1:59">
      <c r="A1863" t="s">
        <v>60</v>
      </c>
      <c r="B1863" s="1">
        <v>46131</v>
      </c>
      <c r="C1863">
        <v>2378080895</v>
      </c>
      <c r="D1863">
        <v>2378080948</v>
      </c>
      <c r="E1863" t="str">
        <f>T("더 고스트(The Ghost) 54화")</f>
        <v>더 고스트(The Ghost) 54화</v>
      </c>
      <c r="F1863">
        <v>54</v>
      </c>
      <c r="G1863" t="str">
        <f>T("윤산")</f>
        <v>윤산</v>
      </c>
      <c r="J1863" t="str">
        <f>T("하트퀸")</f>
        <v>하트퀸</v>
      </c>
      <c r="K1863" t="str">
        <f>T("더 고스트(The Ghost)")</f>
        <v>더 고스트(The Ghost)</v>
      </c>
      <c r="L1863">
        <v>100</v>
      </c>
      <c r="M1863">
        <v>400</v>
      </c>
      <c r="N1863">
        <v>4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400</v>
      </c>
      <c r="AJ1863">
        <v>4</v>
      </c>
      <c r="AK1863">
        <v>0</v>
      </c>
      <c r="AL1863">
        <v>0</v>
      </c>
      <c r="AM1863">
        <v>200</v>
      </c>
      <c r="AN1863">
        <v>0</v>
      </c>
      <c r="AO1863">
        <v>240</v>
      </c>
      <c r="AP1863">
        <v>-24</v>
      </c>
      <c r="AQ1863">
        <v>0</v>
      </c>
      <c r="AS1863">
        <v>0</v>
      </c>
      <c r="AT1863">
        <v>0</v>
      </c>
      <c r="AU1863">
        <v>120</v>
      </c>
      <c r="AV1863">
        <v>-12</v>
      </c>
      <c r="AW1863">
        <v>0</v>
      </c>
      <c r="AX1863">
        <v>120</v>
      </c>
      <c r="AY1863">
        <v>-12</v>
      </c>
      <c r="AZ1863">
        <v>0</v>
      </c>
      <c r="BA1863">
        <v>249.6</v>
      </c>
      <c r="BF1863" t="str">
        <f>T("D236002")</f>
        <v>D236002</v>
      </c>
      <c r="BG1863" t="str">
        <f>T("로맨스 웹소설 &gt; 현대물")</f>
        <v>로맨스 웹소설 &gt; 현대물</v>
      </c>
    </row>
    <row r="1864" spans="1:59">
      <c r="A1864" t="s">
        <v>60</v>
      </c>
      <c r="B1864" s="1">
        <v>46131</v>
      </c>
      <c r="C1864">
        <v>2378080895</v>
      </c>
      <c r="D1864">
        <v>2378080949</v>
      </c>
      <c r="E1864" t="str">
        <f>T("더 고스트(The Ghost) 55화")</f>
        <v>더 고스트(The Ghost) 55화</v>
      </c>
      <c r="F1864">
        <v>55</v>
      </c>
      <c r="G1864" t="str">
        <f>T("윤산")</f>
        <v>윤산</v>
      </c>
      <c r="J1864" t="str">
        <f>T("하트퀸")</f>
        <v>하트퀸</v>
      </c>
      <c r="K1864" t="str">
        <f>T("더 고스트(The Ghost)")</f>
        <v>더 고스트(The Ghost)</v>
      </c>
      <c r="L1864">
        <v>100</v>
      </c>
      <c r="M1864">
        <v>300</v>
      </c>
      <c r="N1864">
        <v>3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0</v>
      </c>
      <c r="AH1864">
        <v>0</v>
      </c>
      <c r="AI1864">
        <v>300</v>
      </c>
      <c r="AJ1864">
        <v>3</v>
      </c>
      <c r="AK1864">
        <v>0</v>
      </c>
      <c r="AL1864">
        <v>0</v>
      </c>
      <c r="AM1864">
        <v>200</v>
      </c>
      <c r="AN1864">
        <v>0</v>
      </c>
      <c r="AO1864">
        <v>120</v>
      </c>
      <c r="AP1864">
        <v>-12</v>
      </c>
      <c r="AQ1864">
        <v>0</v>
      </c>
      <c r="AS1864">
        <v>0</v>
      </c>
      <c r="AT1864">
        <v>0</v>
      </c>
      <c r="AV1864">
        <v>0</v>
      </c>
      <c r="AW1864">
        <v>0</v>
      </c>
      <c r="AX1864">
        <v>120</v>
      </c>
      <c r="AY1864">
        <v>-12</v>
      </c>
      <c r="AZ1864">
        <v>0</v>
      </c>
      <c r="BA1864">
        <v>184.8</v>
      </c>
      <c r="BF1864" t="str">
        <f>T("D236003")</f>
        <v>D236003</v>
      </c>
      <c r="BG1864" t="str">
        <f>T("로맨스 웹소설 &gt; 현대물")</f>
        <v>로맨스 웹소설 &gt; 현대물</v>
      </c>
    </row>
    <row r="1865" spans="1:59">
      <c r="A1865" t="s">
        <v>60</v>
      </c>
      <c r="B1865" s="1">
        <v>46131</v>
      </c>
      <c r="C1865">
        <v>2378080895</v>
      </c>
      <c r="D1865">
        <v>2378080896</v>
      </c>
      <c r="E1865" t="str">
        <f>T("더 고스트(The Ghost) 2화")</f>
        <v>더 고스트(The Ghost) 2화</v>
      </c>
      <c r="F1865">
        <v>2</v>
      </c>
      <c r="G1865" t="str">
        <f>T("윤산")</f>
        <v>윤산</v>
      </c>
      <c r="J1865" t="str">
        <f>T("하트퀸")</f>
        <v>하트퀸</v>
      </c>
      <c r="K1865" t="str">
        <f>T("더 고스트(The Ghost)")</f>
        <v>더 고스트(The Ghost)</v>
      </c>
      <c r="L1865">
        <v>0</v>
      </c>
      <c r="M1865">
        <v>0</v>
      </c>
      <c r="N1865">
        <v>0</v>
      </c>
      <c r="O1865">
        <v>8</v>
      </c>
      <c r="P1865">
        <v>0</v>
      </c>
      <c r="Q1865">
        <v>0</v>
      </c>
      <c r="R1865">
        <v>11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0</v>
      </c>
      <c r="AJ1865">
        <v>19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S1865">
        <v>0</v>
      </c>
      <c r="AT1865">
        <v>0</v>
      </c>
      <c r="AV1865">
        <v>0</v>
      </c>
      <c r="AW1865">
        <v>0</v>
      </c>
      <c r="AY1865">
        <v>0</v>
      </c>
      <c r="AZ1865">
        <v>0</v>
      </c>
      <c r="BA1865">
        <v>0</v>
      </c>
      <c r="BF1865" t="str">
        <f>T("D235950")</f>
        <v>D235950</v>
      </c>
      <c r="BG1865" t="str">
        <f>T("로맨스 웹소설 &gt; 현대물")</f>
        <v>로맨스 웹소설 &gt; 현대물</v>
      </c>
    </row>
    <row r="1866" spans="1:59">
      <c r="A1866" t="s">
        <v>60</v>
      </c>
      <c r="B1866" s="1">
        <v>46131</v>
      </c>
      <c r="C1866">
        <v>2378080895</v>
      </c>
      <c r="D1866">
        <v>2378080897</v>
      </c>
      <c r="E1866" t="str">
        <f>T("더 고스트(The Ghost) 3화")</f>
        <v>더 고스트(The Ghost) 3화</v>
      </c>
      <c r="F1866">
        <v>3</v>
      </c>
      <c r="G1866" t="str">
        <f>T("윤산")</f>
        <v>윤산</v>
      </c>
      <c r="J1866" t="str">
        <f>T("하트퀸")</f>
        <v>하트퀸</v>
      </c>
      <c r="K1866" t="str">
        <f>T("더 고스트(The Ghost)")</f>
        <v>더 고스트(The Ghost)</v>
      </c>
      <c r="L1866">
        <v>0</v>
      </c>
      <c r="M1866">
        <v>0</v>
      </c>
      <c r="N1866">
        <v>0</v>
      </c>
      <c r="O1866">
        <v>6</v>
      </c>
      <c r="P1866">
        <v>0</v>
      </c>
      <c r="Q1866">
        <v>0</v>
      </c>
      <c r="R1866">
        <v>10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0</v>
      </c>
      <c r="AJ1866">
        <v>16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0</v>
      </c>
      <c r="AQ1866">
        <v>0</v>
      </c>
      <c r="AS1866">
        <v>0</v>
      </c>
      <c r="AT1866">
        <v>0</v>
      </c>
      <c r="AV1866">
        <v>0</v>
      </c>
      <c r="AW1866">
        <v>0</v>
      </c>
      <c r="AY1866">
        <v>0</v>
      </c>
      <c r="AZ1866">
        <v>0</v>
      </c>
      <c r="BA1866">
        <v>0</v>
      </c>
      <c r="BF1866" t="str">
        <f>T("D235951")</f>
        <v>D235951</v>
      </c>
      <c r="BG1866" t="str">
        <f>T("로맨스 웹소설 &gt; 현대물")</f>
        <v>로맨스 웹소설 &gt; 현대물</v>
      </c>
    </row>
    <row r="1867" spans="1:59">
      <c r="A1867" t="s">
        <v>60</v>
      </c>
      <c r="B1867" s="1">
        <v>46131</v>
      </c>
      <c r="C1867">
        <v>2378080895</v>
      </c>
      <c r="D1867">
        <v>2378080898</v>
      </c>
      <c r="E1867" t="str">
        <f>T("더 고스트(The Ghost) 4화")</f>
        <v>더 고스트(The Ghost) 4화</v>
      </c>
      <c r="F1867">
        <v>4</v>
      </c>
      <c r="G1867" t="str">
        <f>T("윤산")</f>
        <v>윤산</v>
      </c>
      <c r="J1867" t="str">
        <f>T("하트퀸")</f>
        <v>하트퀸</v>
      </c>
      <c r="K1867" t="str">
        <f>T("더 고스트(The Ghost)")</f>
        <v>더 고스트(The Ghost)</v>
      </c>
      <c r="L1867">
        <v>100</v>
      </c>
      <c r="M1867">
        <v>100</v>
      </c>
      <c r="N1867">
        <v>1</v>
      </c>
      <c r="O1867">
        <v>0</v>
      </c>
      <c r="P1867">
        <v>0</v>
      </c>
      <c r="Q1867">
        <v>0</v>
      </c>
      <c r="R1867">
        <v>16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100</v>
      </c>
      <c r="AJ1867">
        <v>17</v>
      </c>
      <c r="AK1867">
        <v>0</v>
      </c>
      <c r="AL1867">
        <v>0</v>
      </c>
      <c r="AM1867">
        <v>0</v>
      </c>
      <c r="AN1867">
        <v>0</v>
      </c>
      <c r="AO1867">
        <v>120</v>
      </c>
      <c r="AP1867">
        <v>-12</v>
      </c>
      <c r="AQ1867">
        <v>0</v>
      </c>
      <c r="AS1867">
        <v>0</v>
      </c>
      <c r="AT1867">
        <v>0</v>
      </c>
      <c r="AV1867">
        <v>0</v>
      </c>
      <c r="AW1867">
        <v>0</v>
      </c>
      <c r="AX1867">
        <v>120</v>
      </c>
      <c r="AY1867">
        <v>-12</v>
      </c>
      <c r="AZ1867">
        <v>0</v>
      </c>
      <c r="BA1867">
        <v>64.8</v>
      </c>
      <c r="BF1867" t="str">
        <f>T("D235952")</f>
        <v>D235952</v>
      </c>
      <c r="BG1867" t="str">
        <f>T("로맨스 웹소설 &gt; 현대물")</f>
        <v>로맨스 웹소설 &gt; 현대물</v>
      </c>
    </row>
    <row r="1868" spans="1:59">
      <c r="A1868" t="s">
        <v>60</v>
      </c>
      <c r="B1868" s="1">
        <v>46131</v>
      </c>
      <c r="C1868">
        <v>2378080895</v>
      </c>
      <c r="D1868">
        <v>2378080899</v>
      </c>
      <c r="E1868" t="str">
        <f>T("더 고스트(The Ghost) 5화")</f>
        <v>더 고스트(The Ghost) 5화</v>
      </c>
      <c r="F1868">
        <v>5</v>
      </c>
      <c r="G1868" t="str">
        <f>T("윤산")</f>
        <v>윤산</v>
      </c>
      <c r="J1868" t="str">
        <f>T("하트퀸")</f>
        <v>하트퀸</v>
      </c>
      <c r="K1868" t="str">
        <f>T("더 고스트(The Ghost)")</f>
        <v>더 고스트(The Ghost)</v>
      </c>
      <c r="L1868">
        <v>100</v>
      </c>
      <c r="M1868">
        <v>100</v>
      </c>
      <c r="N1868">
        <v>1</v>
      </c>
      <c r="O1868">
        <v>0</v>
      </c>
      <c r="P1868">
        <v>0</v>
      </c>
      <c r="Q1868">
        <v>0</v>
      </c>
      <c r="R1868">
        <v>15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100</v>
      </c>
      <c r="AJ1868">
        <v>16</v>
      </c>
      <c r="AK1868">
        <v>0</v>
      </c>
      <c r="AL1868">
        <v>0</v>
      </c>
      <c r="AM1868">
        <v>0</v>
      </c>
      <c r="AN1868">
        <v>0</v>
      </c>
      <c r="AO1868">
        <v>120</v>
      </c>
      <c r="AP1868">
        <v>-12</v>
      </c>
      <c r="AQ1868">
        <v>0</v>
      </c>
      <c r="AS1868">
        <v>0</v>
      </c>
      <c r="AT1868">
        <v>0</v>
      </c>
      <c r="AV1868">
        <v>0</v>
      </c>
      <c r="AW1868">
        <v>0</v>
      </c>
      <c r="AX1868">
        <v>120</v>
      </c>
      <c r="AY1868">
        <v>-12</v>
      </c>
      <c r="AZ1868">
        <v>0</v>
      </c>
      <c r="BA1868">
        <v>64.8</v>
      </c>
      <c r="BF1868" t="str">
        <f>T("D235953")</f>
        <v>D235953</v>
      </c>
      <c r="BG1868" t="str">
        <f>T("로맨스 웹소설 &gt; 현대물")</f>
        <v>로맨스 웹소설 &gt; 현대물</v>
      </c>
    </row>
    <row r="1869" spans="1:59">
      <c r="A1869" t="s">
        <v>60</v>
      </c>
      <c r="B1869" s="1">
        <v>46131</v>
      </c>
      <c r="C1869">
        <v>2378080895</v>
      </c>
      <c r="D1869">
        <v>2378080900</v>
      </c>
      <c r="E1869" t="str">
        <f>T("더 고스트(The Ghost) 6화")</f>
        <v>더 고스트(The Ghost) 6화</v>
      </c>
      <c r="F1869">
        <v>6</v>
      </c>
      <c r="G1869" t="str">
        <f>T("윤산")</f>
        <v>윤산</v>
      </c>
      <c r="J1869" t="str">
        <f>T("하트퀸")</f>
        <v>하트퀸</v>
      </c>
      <c r="K1869" t="str">
        <f>T("더 고스트(The Ghost)")</f>
        <v>더 고스트(The Ghost)</v>
      </c>
      <c r="L1869">
        <v>100</v>
      </c>
      <c r="M1869">
        <v>100</v>
      </c>
      <c r="N1869">
        <v>1</v>
      </c>
      <c r="O1869">
        <v>0</v>
      </c>
      <c r="P1869">
        <v>0</v>
      </c>
      <c r="Q1869">
        <v>0</v>
      </c>
      <c r="R1869">
        <v>13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100</v>
      </c>
      <c r="AJ1869">
        <v>14</v>
      </c>
      <c r="AK1869">
        <v>0</v>
      </c>
      <c r="AL1869">
        <v>0</v>
      </c>
      <c r="AM1869">
        <v>0</v>
      </c>
      <c r="AN1869">
        <v>0</v>
      </c>
      <c r="AO1869">
        <v>120</v>
      </c>
      <c r="AP1869">
        <v>-12</v>
      </c>
      <c r="AQ1869">
        <v>0</v>
      </c>
      <c r="AS1869">
        <v>0</v>
      </c>
      <c r="AT1869">
        <v>0</v>
      </c>
      <c r="AV1869">
        <v>0</v>
      </c>
      <c r="AW1869">
        <v>0</v>
      </c>
      <c r="AX1869">
        <v>120</v>
      </c>
      <c r="AY1869">
        <v>-12</v>
      </c>
      <c r="AZ1869">
        <v>0</v>
      </c>
      <c r="BA1869">
        <v>64.8</v>
      </c>
      <c r="BF1869" t="str">
        <f>T("D235954")</f>
        <v>D235954</v>
      </c>
      <c r="BG1869" t="str">
        <f>T("로맨스 웹소설 &gt; 현대물")</f>
        <v>로맨스 웹소설 &gt; 현대물</v>
      </c>
    </row>
    <row r="1870" spans="1:59">
      <c r="A1870" t="s">
        <v>60</v>
      </c>
      <c r="B1870" s="1">
        <v>46131</v>
      </c>
      <c r="C1870">
        <v>2378080895</v>
      </c>
      <c r="D1870">
        <v>2378080901</v>
      </c>
      <c r="E1870" t="str">
        <f>T("더 고스트(The Ghost) 7화")</f>
        <v>더 고스트(The Ghost) 7화</v>
      </c>
      <c r="F1870">
        <v>7</v>
      </c>
      <c r="G1870" t="str">
        <f>T("윤산")</f>
        <v>윤산</v>
      </c>
      <c r="J1870" t="str">
        <f>T("하트퀸")</f>
        <v>하트퀸</v>
      </c>
      <c r="K1870" t="str">
        <f>T("더 고스트(The Ghost)")</f>
        <v>더 고스트(The Ghost)</v>
      </c>
      <c r="L1870">
        <v>100</v>
      </c>
      <c r="M1870">
        <v>100</v>
      </c>
      <c r="N1870">
        <v>1</v>
      </c>
      <c r="O1870">
        <v>0</v>
      </c>
      <c r="P1870">
        <v>0</v>
      </c>
      <c r="Q1870">
        <v>0</v>
      </c>
      <c r="R1870">
        <v>13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100</v>
      </c>
      <c r="AJ1870">
        <v>14</v>
      </c>
      <c r="AK1870">
        <v>0</v>
      </c>
      <c r="AL1870">
        <v>0</v>
      </c>
      <c r="AM1870">
        <v>0</v>
      </c>
      <c r="AN1870">
        <v>0</v>
      </c>
      <c r="AO1870">
        <v>120</v>
      </c>
      <c r="AP1870">
        <v>-12</v>
      </c>
      <c r="AQ1870">
        <v>0</v>
      </c>
      <c r="AS1870">
        <v>0</v>
      </c>
      <c r="AT1870">
        <v>0</v>
      </c>
      <c r="AV1870">
        <v>0</v>
      </c>
      <c r="AW1870">
        <v>0</v>
      </c>
      <c r="AX1870">
        <v>120</v>
      </c>
      <c r="AY1870">
        <v>-12</v>
      </c>
      <c r="AZ1870">
        <v>0</v>
      </c>
      <c r="BA1870">
        <v>64.8</v>
      </c>
      <c r="BF1870" t="str">
        <f>T("D235955")</f>
        <v>D235955</v>
      </c>
      <c r="BG1870" t="str">
        <f>T("로맨스 웹소설 &gt; 현대물")</f>
        <v>로맨스 웹소설 &gt; 현대물</v>
      </c>
    </row>
    <row r="1871" spans="1:59">
      <c r="A1871" t="s">
        <v>60</v>
      </c>
      <c r="B1871" s="1">
        <v>46131</v>
      </c>
      <c r="C1871">
        <v>2378080895</v>
      </c>
      <c r="D1871">
        <v>2378080903</v>
      </c>
      <c r="E1871" t="str">
        <f>T("더 고스트(The Ghost) 9화")</f>
        <v>더 고스트(The Ghost) 9화</v>
      </c>
      <c r="F1871">
        <v>9</v>
      </c>
      <c r="G1871" t="str">
        <f>T("윤산")</f>
        <v>윤산</v>
      </c>
      <c r="J1871" t="str">
        <f>T("하트퀸")</f>
        <v>하트퀸</v>
      </c>
      <c r="K1871" t="str">
        <f>T("더 고스트(The Ghost)")</f>
        <v>더 고스트(The Ghost)</v>
      </c>
      <c r="L1871">
        <v>100</v>
      </c>
      <c r="M1871">
        <v>200</v>
      </c>
      <c r="N1871">
        <v>2</v>
      </c>
      <c r="O1871">
        <v>0</v>
      </c>
      <c r="P1871">
        <v>0</v>
      </c>
      <c r="Q1871">
        <v>0</v>
      </c>
      <c r="R1871">
        <v>14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200</v>
      </c>
      <c r="AJ1871">
        <v>16</v>
      </c>
      <c r="AK1871">
        <v>0</v>
      </c>
      <c r="AL1871">
        <v>0</v>
      </c>
      <c r="AM1871">
        <v>100</v>
      </c>
      <c r="AN1871">
        <v>0</v>
      </c>
      <c r="AO1871">
        <v>120</v>
      </c>
      <c r="AP1871">
        <v>-12</v>
      </c>
      <c r="AQ1871">
        <v>0</v>
      </c>
      <c r="AS1871">
        <v>0</v>
      </c>
      <c r="AT1871">
        <v>0</v>
      </c>
      <c r="AV1871">
        <v>0</v>
      </c>
      <c r="AW1871">
        <v>0</v>
      </c>
      <c r="AX1871">
        <v>120</v>
      </c>
      <c r="AY1871">
        <v>-12</v>
      </c>
      <c r="AZ1871">
        <v>0</v>
      </c>
      <c r="BA1871">
        <v>124.8</v>
      </c>
      <c r="BF1871" t="str">
        <f>T("D235957")</f>
        <v>D235957</v>
      </c>
      <c r="BG1871" t="str">
        <f>T("로맨스 웹소설 &gt; 현대물")</f>
        <v>로맨스 웹소설 &gt; 현대물</v>
      </c>
    </row>
    <row r="1872" spans="1:59">
      <c r="A1872" t="s">
        <v>60</v>
      </c>
      <c r="B1872" s="1">
        <v>46131</v>
      </c>
      <c r="C1872">
        <v>2378080895</v>
      </c>
      <c r="D1872">
        <v>2378080904</v>
      </c>
      <c r="E1872" t="str">
        <f>T("더 고스트(The Ghost) 10화")</f>
        <v>더 고스트(The Ghost) 10화</v>
      </c>
      <c r="F1872">
        <v>10</v>
      </c>
      <c r="G1872" t="str">
        <f>T("윤산")</f>
        <v>윤산</v>
      </c>
      <c r="J1872" t="str">
        <f>T("하트퀸")</f>
        <v>하트퀸</v>
      </c>
      <c r="K1872" t="str">
        <f>T("더 고스트(The Ghost)")</f>
        <v>더 고스트(The Ghost)</v>
      </c>
      <c r="L1872">
        <v>100</v>
      </c>
      <c r="M1872">
        <v>100</v>
      </c>
      <c r="N1872">
        <v>1</v>
      </c>
      <c r="O1872">
        <v>0</v>
      </c>
      <c r="P1872">
        <v>0</v>
      </c>
      <c r="Q1872">
        <v>0</v>
      </c>
      <c r="R1872">
        <v>13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100</v>
      </c>
      <c r="AJ1872">
        <v>14</v>
      </c>
      <c r="AK1872">
        <v>0</v>
      </c>
      <c r="AL1872">
        <v>0</v>
      </c>
      <c r="AM1872">
        <v>0</v>
      </c>
      <c r="AN1872">
        <v>0</v>
      </c>
      <c r="AO1872">
        <v>120</v>
      </c>
      <c r="AP1872">
        <v>-12</v>
      </c>
      <c r="AQ1872">
        <v>0</v>
      </c>
      <c r="AS1872">
        <v>0</v>
      </c>
      <c r="AT1872">
        <v>0</v>
      </c>
      <c r="AV1872">
        <v>0</v>
      </c>
      <c r="AW1872">
        <v>0</v>
      </c>
      <c r="AX1872">
        <v>120</v>
      </c>
      <c r="AY1872">
        <v>-12</v>
      </c>
      <c r="AZ1872">
        <v>0</v>
      </c>
      <c r="BA1872">
        <v>64.8</v>
      </c>
      <c r="BF1872" t="str">
        <f>T("D235958")</f>
        <v>D235958</v>
      </c>
      <c r="BG1872" t="str">
        <f>T("로맨스 웹소설 &gt; 현대물")</f>
        <v>로맨스 웹소설 &gt; 현대물</v>
      </c>
    </row>
    <row r="1873" spans="1:59">
      <c r="A1873" t="s">
        <v>60</v>
      </c>
      <c r="B1873" s="1">
        <v>46131</v>
      </c>
      <c r="C1873">
        <v>2378080895</v>
      </c>
      <c r="D1873">
        <v>2378080906</v>
      </c>
      <c r="E1873" t="str">
        <f>T("더 고스트(The Ghost) 12화")</f>
        <v>더 고스트(The Ghost) 12화</v>
      </c>
      <c r="F1873">
        <v>12</v>
      </c>
      <c r="G1873" t="str">
        <f>T("윤산")</f>
        <v>윤산</v>
      </c>
      <c r="J1873" t="str">
        <f>T("하트퀸")</f>
        <v>하트퀸</v>
      </c>
      <c r="K1873" t="str">
        <f>T("더 고스트(The Ghost)")</f>
        <v>더 고스트(The Ghost)</v>
      </c>
      <c r="L1873">
        <v>100</v>
      </c>
      <c r="M1873">
        <v>500</v>
      </c>
      <c r="N1873">
        <v>5</v>
      </c>
      <c r="O1873">
        <v>0</v>
      </c>
      <c r="P1873">
        <v>0</v>
      </c>
      <c r="Q1873">
        <v>0</v>
      </c>
      <c r="R1873">
        <v>5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500</v>
      </c>
      <c r="AJ1873">
        <v>10</v>
      </c>
      <c r="AK1873">
        <v>0</v>
      </c>
      <c r="AL1873">
        <v>0</v>
      </c>
      <c r="AM1873">
        <v>400</v>
      </c>
      <c r="AN1873">
        <v>0</v>
      </c>
      <c r="AO1873">
        <v>120</v>
      </c>
      <c r="AP1873">
        <v>-12</v>
      </c>
      <c r="AQ1873">
        <v>0</v>
      </c>
      <c r="AS1873">
        <v>0</v>
      </c>
      <c r="AT1873">
        <v>0</v>
      </c>
      <c r="AV1873">
        <v>0</v>
      </c>
      <c r="AW1873">
        <v>0</v>
      </c>
      <c r="AX1873">
        <v>120</v>
      </c>
      <c r="AY1873">
        <v>-12</v>
      </c>
      <c r="AZ1873">
        <v>0</v>
      </c>
      <c r="BA1873">
        <v>304.8</v>
      </c>
      <c r="BF1873" t="str">
        <f>T("D235960")</f>
        <v>D235960</v>
      </c>
      <c r="BG1873" t="str">
        <f>T("로맨스 웹소설 &gt; 현대물")</f>
        <v>로맨스 웹소설 &gt; 현대물</v>
      </c>
    </row>
    <row r="1874" spans="1:59">
      <c r="A1874" t="s">
        <v>60</v>
      </c>
      <c r="B1874" s="1">
        <v>46131</v>
      </c>
      <c r="C1874">
        <v>2378080895</v>
      </c>
      <c r="D1874">
        <v>2378081010</v>
      </c>
      <c r="E1874" t="str">
        <f>T("더 고스트(The Ghost) 64화")</f>
        <v>더 고스트(The Ghost) 64화</v>
      </c>
      <c r="F1874">
        <v>64</v>
      </c>
      <c r="G1874" t="str">
        <f>T("윤산")</f>
        <v>윤산</v>
      </c>
      <c r="J1874" t="str">
        <f>T("하트퀸")</f>
        <v>하트퀸</v>
      </c>
      <c r="K1874" t="str">
        <f>T("더 고스트(The Ghost)")</f>
        <v>더 고스트(The Ghost)</v>
      </c>
      <c r="L1874">
        <v>100</v>
      </c>
      <c r="M1874">
        <v>900</v>
      </c>
      <c r="N1874">
        <v>9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900</v>
      </c>
      <c r="AJ1874">
        <v>9</v>
      </c>
      <c r="AK1874">
        <v>0</v>
      </c>
      <c r="AL1874">
        <v>0</v>
      </c>
      <c r="AM1874">
        <v>700</v>
      </c>
      <c r="AN1874">
        <v>0</v>
      </c>
      <c r="AO1874">
        <v>240</v>
      </c>
      <c r="AP1874">
        <v>-24</v>
      </c>
      <c r="AQ1874">
        <v>0</v>
      </c>
      <c r="AS1874">
        <v>0</v>
      </c>
      <c r="AT1874">
        <v>0</v>
      </c>
      <c r="AU1874">
        <v>120</v>
      </c>
      <c r="AV1874">
        <v>-12</v>
      </c>
      <c r="AW1874">
        <v>0</v>
      </c>
      <c r="AX1874">
        <v>120</v>
      </c>
      <c r="AY1874">
        <v>-12</v>
      </c>
      <c r="AZ1874">
        <v>0</v>
      </c>
      <c r="BA1874">
        <v>549.6</v>
      </c>
      <c r="BF1874" t="str">
        <f>T("D236069")</f>
        <v>D236069</v>
      </c>
      <c r="BG1874" t="str">
        <f>T("로맨스 웹소설 &gt; 현대물")</f>
        <v>로맨스 웹소설 &gt; 현대물</v>
      </c>
    </row>
    <row r="1875" spans="1:59">
      <c r="A1875" t="s">
        <v>60</v>
      </c>
      <c r="B1875" s="1">
        <v>46131</v>
      </c>
      <c r="C1875">
        <v>2378080895</v>
      </c>
      <c r="D1875">
        <v>2378080907</v>
      </c>
      <c r="E1875" t="str">
        <f>T("더 고스트(The Ghost) 13화")</f>
        <v>더 고스트(The Ghost) 13화</v>
      </c>
      <c r="F1875">
        <v>13</v>
      </c>
      <c r="G1875" t="str">
        <f>T("윤산")</f>
        <v>윤산</v>
      </c>
      <c r="J1875" t="str">
        <f>T("하트퀸")</f>
        <v>하트퀸</v>
      </c>
      <c r="K1875" t="str">
        <f>T("더 고스트(The Ghost)")</f>
        <v>더 고스트(The Ghost)</v>
      </c>
      <c r="L1875">
        <v>100</v>
      </c>
      <c r="M1875">
        <v>500</v>
      </c>
      <c r="N1875">
        <v>5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500</v>
      </c>
      <c r="AJ1875">
        <v>5</v>
      </c>
      <c r="AK1875">
        <v>0</v>
      </c>
      <c r="AL1875">
        <v>0</v>
      </c>
      <c r="AM1875">
        <v>400</v>
      </c>
      <c r="AN1875">
        <v>0</v>
      </c>
      <c r="AO1875">
        <v>120</v>
      </c>
      <c r="AP1875">
        <v>-12</v>
      </c>
      <c r="AQ1875">
        <v>0</v>
      </c>
      <c r="AS1875">
        <v>0</v>
      </c>
      <c r="AT1875">
        <v>0</v>
      </c>
      <c r="AV1875">
        <v>0</v>
      </c>
      <c r="AW1875">
        <v>0</v>
      </c>
      <c r="AX1875">
        <v>120</v>
      </c>
      <c r="AY1875">
        <v>-12</v>
      </c>
      <c r="AZ1875">
        <v>0</v>
      </c>
      <c r="BA1875">
        <v>304.8</v>
      </c>
      <c r="BF1875" t="str">
        <f>T("D235961")</f>
        <v>D235961</v>
      </c>
      <c r="BG1875" t="str">
        <f>T("로맨스 웹소설 &gt; 현대물")</f>
        <v>로맨스 웹소설 &gt; 현대물</v>
      </c>
    </row>
    <row r="1876" spans="1:59">
      <c r="A1876" t="s">
        <v>60</v>
      </c>
      <c r="B1876" s="1">
        <v>46131</v>
      </c>
      <c r="C1876">
        <v>2378080895</v>
      </c>
      <c r="D1876">
        <v>2378080950</v>
      </c>
      <c r="E1876" t="str">
        <f>T("더 고스트(The Ghost) 56화")</f>
        <v>더 고스트(The Ghost) 56화</v>
      </c>
      <c r="F1876">
        <v>56</v>
      </c>
      <c r="G1876" t="str">
        <f>T("윤산")</f>
        <v>윤산</v>
      </c>
      <c r="J1876" t="str">
        <f>T("하트퀸")</f>
        <v>하트퀸</v>
      </c>
      <c r="K1876" t="str">
        <f>T("더 고스트(The Ghost)")</f>
        <v>더 고스트(The Ghost)</v>
      </c>
      <c r="L1876">
        <v>100</v>
      </c>
      <c r="M1876">
        <v>500</v>
      </c>
      <c r="N1876">
        <v>5</v>
      </c>
      <c r="O1876">
        <v>0</v>
      </c>
      <c r="P1876">
        <v>0</v>
      </c>
      <c r="Q1876">
        <v>0</v>
      </c>
      <c r="R1876">
        <v>1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500</v>
      </c>
      <c r="AJ1876">
        <v>6</v>
      </c>
      <c r="AK1876">
        <v>0</v>
      </c>
      <c r="AL1876">
        <v>0</v>
      </c>
      <c r="AM1876">
        <v>400</v>
      </c>
      <c r="AN1876">
        <v>0</v>
      </c>
      <c r="AO1876">
        <v>120</v>
      </c>
      <c r="AP1876">
        <v>-12</v>
      </c>
      <c r="AQ1876">
        <v>0</v>
      </c>
      <c r="AS1876">
        <v>0</v>
      </c>
      <c r="AT1876">
        <v>0</v>
      </c>
      <c r="AV1876">
        <v>0</v>
      </c>
      <c r="AW1876">
        <v>0</v>
      </c>
      <c r="AX1876">
        <v>120</v>
      </c>
      <c r="AY1876">
        <v>-12</v>
      </c>
      <c r="AZ1876">
        <v>0</v>
      </c>
      <c r="BA1876">
        <v>304.8</v>
      </c>
      <c r="BF1876" t="str">
        <f>T("D236004")</f>
        <v>D236004</v>
      </c>
      <c r="BG1876" t="str">
        <f>T("로맨스 웹소설 &gt; 현대물")</f>
        <v>로맨스 웹소설 &gt; 현대물</v>
      </c>
    </row>
    <row r="1877" spans="1:59">
      <c r="A1877" t="s">
        <v>60</v>
      </c>
      <c r="B1877" s="1">
        <v>46131</v>
      </c>
      <c r="C1877">
        <v>2378080895</v>
      </c>
      <c r="D1877">
        <v>2378080951</v>
      </c>
      <c r="E1877" t="str">
        <f>T("더 고스트(The Ghost) 57화")</f>
        <v>더 고스트(The Ghost) 57화</v>
      </c>
      <c r="F1877">
        <v>57</v>
      </c>
      <c r="G1877" t="str">
        <f>T("윤산")</f>
        <v>윤산</v>
      </c>
      <c r="J1877" t="str">
        <f>T("하트퀸")</f>
        <v>하트퀸</v>
      </c>
      <c r="K1877" t="str">
        <f>T("더 고스트(The Ghost)")</f>
        <v>더 고스트(The Ghost)</v>
      </c>
      <c r="L1877">
        <v>100</v>
      </c>
      <c r="M1877">
        <v>600</v>
      </c>
      <c r="N1877">
        <v>6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600</v>
      </c>
      <c r="AJ1877">
        <v>6</v>
      </c>
      <c r="AK1877">
        <v>0</v>
      </c>
      <c r="AL1877">
        <v>0</v>
      </c>
      <c r="AM1877">
        <v>400</v>
      </c>
      <c r="AN1877">
        <v>0</v>
      </c>
      <c r="AO1877">
        <v>240</v>
      </c>
      <c r="AP1877">
        <v>-24</v>
      </c>
      <c r="AQ1877">
        <v>0</v>
      </c>
      <c r="AS1877">
        <v>0</v>
      </c>
      <c r="AT1877">
        <v>0</v>
      </c>
      <c r="AU1877">
        <v>120</v>
      </c>
      <c r="AV1877">
        <v>-12</v>
      </c>
      <c r="AW1877">
        <v>0</v>
      </c>
      <c r="AX1877">
        <v>120</v>
      </c>
      <c r="AY1877">
        <v>-12</v>
      </c>
      <c r="AZ1877">
        <v>0</v>
      </c>
      <c r="BA1877">
        <v>369.6</v>
      </c>
      <c r="BF1877" t="str">
        <f>T("D236005")</f>
        <v>D236005</v>
      </c>
      <c r="BG1877" t="str">
        <f>T("로맨스 웹소설 &gt; 현대물")</f>
        <v>로맨스 웹소설 &gt; 현대물</v>
      </c>
    </row>
    <row r="1878" spans="1:59">
      <c r="A1878" t="s">
        <v>60</v>
      </c>
      <c r="B1878" s="1">
        <v>46131</v>
      </c>
      <c r="C1878">
        <v>2378080895</v>
      </c>
      <c r="D1878">
        <v>2378080952</v>
      </c>
      <c r="E1878" t="str">
        <f>T("더 고스트(The Ghost) 58화")</f>
        <v>더 고스트(The Ghost) 58화</v>
      </c>
      <c r="F1878">
        <v>58</v>
      </c>
      <c r="G1878" t="str">
        <f>T("윤산")</f>
        <v>윤산</v>
      </c>
      <c r="J1878" t="str">
        <f>T("하트퀸")</f>
        <v>하트퀸</v>
      </c>
      <c r="K1878" t="str">
        <f>T("더 고스트(The Ghost)")</f>
        <v>더 고스트(The Ghost)</v>
      </c>
      <c r="L1878">
        <v>100</v>
      </c>
      <c r="M1878">
        <v>500</v>
      </c>
      <c r="N1878">
        <v>5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500</v>
      </c>
      <c r="AJ1878">
        <v>5</v>
      </c>
      <c r="AK1878">
        <v>0</v>
      </c>
      <c r="AL1878">
        <v>0</v>
      </c>
      <c r="AM1878">
        <v>400</v>
      </c>
      <c r="AN1878">
        <v>0</v>
      </c>
      <c r="AO1878">
        <v>120</v>
      </c>
      <c r="AP1878">
        <v>-12</v>
      </c>
      <c r="AQ1878">
        <v>0</v>
      </c>
      <c r="AS1878">
        <v>0</v>
      </c>
      <c r="AT1878">
        <v>0</v>
      </c>
      <c r="AV1878">
        <v>0</v>
      </c>
      <c r="AW1878">
        <v>0</v>
      </c>
      <c r="AX1878">
        <v>120</v>
      </c>
      <c r="AY1878">
        <v>-12</v>
      </c>
      <c r="AZ1878">
        <v>0</v>
      </c>
      <c r="BA1878">
        <v>304.8</v>
      </c>
      <c r="BF1878" t="str">
        <f>T("D236006")</f>
        <v>D236006</v>
      </c>
      <c r="BG1878" t="str">
        <f>T("로맨스 웹소설 &gt; 현대물")</f>
        <v>로맨스 웹소설 &gt; 현대물</v>
      </c>
    </row>
    <row r="1879" spans="1:59">
      <c r="A1879" t="s">
        <v>60</v>
      </c>
      <c r="B1879" s="1">
        <v>46131</v>
      </c>
      <c r="C1879">
        <v>2378080895</v>
      </c>
      <c r="D1879">
        <v>2378080953</v>
      </c>
      <c r="E1879" t="str">
        <f>T("더 고스트(The Ghost) 59화")</f>
        <v>더 고스트(The Ghost) 59화</v>
      </c>
      <c r="F1879">
        <v>59</v>
      </c>
      <c r="G1879" t="str">
        <f>T("윤산")</f>
        <v>윤산</v>
      </c>
      <c r="J1879" t="str">
        <f>T("하트퀸")</f>
        <v>하트퀸</v>
      </c>
      <c r="K1879" t="str">
        <f>T("더 고스트(The Ghost)")</f>
        <v>더 고스트(The Ghost)</v>
      </c>
      <c r="L1879">
        <v>100</v>
      </c>
      <c r="M1879">
        <v>500</v>
      </c>
      <c r="N1879">
        <v>5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500</v>
      </c>
      <c r="AJ1879">
        <v>5</v>
      </c>
      <c r="AK1879">
        <v>0</v>
      </c>
      <c r="AL1879">
        <v>0</v>
      </c>
      <c r="AM1879">
        <v>400</v>
      </c>
      <c r="AN1879">
        <v>0</v>
      </c>
      <c r="AO1879">
        <v>120</v>
      </c>
      <c r="AP1879">
        <v>-12</v>
      </c>
      <c r="AQ1879">
        <v>0</v>
      </c>
      <c r="AS1879">
        <v>0</v>
      </c>
      <c r="AT1879">
        <v>0</v>
      </c>
      <c r="AV1879">
        <v>0</v>
      </c>
      <c r="AW1879">
        <v>0</v>
      </c>
      <c r="AX1879">
        <v>120</v>
      </c>
      <c r="AY1879">
        <v>-12</v>
      </c>
      <c r="AZ1879">
        <v>0</v>
      </c>
      <c r="BA1879">
        <v>304.8</v>
      </c>
      <c r="BF1879" t="str">
        <f>T("D236007")</f>
        <v>D236007</v>
      </c>
      <c r="BG1879" t="str">
        <f>T("로맨스 웹소설 &gt; 현대물")</f>
        <v>로맨스 웹소설 &gt; 현대물</v>
      </c>
    </row>
    <row r="1880" spans="1:59">
      <c r="A1880" t="s">
        <v>60</v>
      </c>
      <c r="B1880" s="1">
        <v>46131</v>
      </c>
      <c r="C1880">
        <v>2378080895</v>
      </c>
      <c r="D1880">
        <v>2378080954</v>
      </c>
      <c r="E1880" t="str">
        <f>T("더 고스트(The Ghost) 60화")</f>
        <v>더 고스트(The Ghost) 60화</v>
      </c>
      <c r="F1880">
        <v>60</v>
      </c>
      <c r="G1880" t="str">
        <f>T("윤산")</f>
        <v>윤산</v>
      </c>
      <c r="J1880" t="str">
        <f>T("하트퀸")</f>
        <v>하트퀸</v>
      </c>
      <c r="K1880" t="str">
        <f>T("더 고스트(The Ghost)")</f>
        <v>더 고스트(The Ghost)</v>
      </c>
      <c r="L1880">
        <v>100</v>
      </c>
      <c r="M1880">
        <v>700</v>
      </c>
      <c r="N1880">
        <v>7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700</v>
      </c>
      <c r="AJ1880">
        <v>7</v>
      </c>
      <c r="AK1880">
        <v>0</v>
      </c>
      <c r="AL1880">
        <v>0</v>
      </c>
      <c r="AM1880">
        <v>500</v>
      </c>
      <c r="AN1880">
        <v>0</v>
      </c>
      <c r="AO1880">
        <v>240</v>
      </c>
      <c r="AP1880">
        <v>-24</v>
      </c>
      <c r="AQ1880">
        <v>0</v>
      </c>
      <c r="AS1880">
        <v>0</v>
      </c>
      <c r="AT1880">
        <v>0</v>
      </c>
      <c r="AU1880">
        <v>120</v>
      </c>
      <c r="AV1880">
        <v>-12</v>
      </c>
      <c r="AW1880">
        <v>0</v>
      </c>
      <c r="AX1880">
        <v>120</v>
      </c>
      <c r="AY1880">
        <v>-12</v>
      </c>
      <c r="AZ1880">
        <v>0</v>
      </c>
      <c r="BA1880">
        <v>429.6</v>
      </c>
      <c r="BF1880" t="str">
        <f>T("D236008")</f>
        <v>D236008</v>
      </c>
      <c r="BG1880" t="str">
        <f>T("로맨스 웹소설 &gt; 현대물")</f>
        <v>로맨스 웹소설 &gt; 현대물</v>
      </c>
    </row>
    <row r="1881" spans="1:59">
      <c r="A1881" t="s">
        <v>60</v>
      </c>
      <c r="B1881" s="1">
        <v>46131</v>
      </c>
      <c r="C1881">
        <v>2378080895</v>
      </c>
      <c r="D1881">
        <v>2378081007</v>
      </c>
      <c r="E1881" t="str">
        <f>T("더 고스트(The Ghost) 61화")</f>
        <v>더 고스트(The Ghost) 61화</v>
      </c>
      <c r="F1881">
        <v>61</v>
      </c>
      <c r="G1881" t="str">
        <f>T("윤산")</f>
        <v>윤산</v>
      </c>
      <c r="J1881" t="str">
        <f>T("하트퀸")</f>
        <v>하트퀸</v>
      </c>
      <c r="K1881" t="str">
        <f>T("더 고스트(The Ghost)")</f>
        <v>더 고스트(The Ghost)</v>
      </c>
      <c r="L1881">
        <v>100</v>
      </c>
      <c r="M1881">
        <v>700</v>
      </c>
      <c r="N1881">
        <v>7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700</v>
      </c>
      <c r="AJ1881">
        <v>7</v>
      </c>
      <c r="AK1881">
        <v>0</v>
      </c>
      <c r="AL1881">
        <v>0</v>
      </c>
      <c r="AM1881">
        <v>500</v>
      </c>
      <c r="AN1881">
        <v>0</v>
      </c>
      <c r="AO1881">
        <v>240</v>
      </c>
      <c r="AP1881">
        <v>-24</v>
      </c>
      <c r="AQ1881">
        <v>0</v>
      </c>
      <c r="AS1881">
        <v>0</v>
      </c>
      <c r="AT1881">
        <v>0</v>
      </c>
      <c r="AU1881">
        <v>120</v>
      </c>
      <c r="AV1881">
        <v>-12</v>
      </c>
      <c r="AW1881">
        <v>0</v>
      </c>
      <c r="AX1881">
        <v>120</v>
      </c>
      <c r="AY1881">
        <v>-12</v>
      </c>
      <c r="AZ1881">
        <v>0</v>
      </c>
      <c r="BA1881">
        <v>429.6</v>
      </c>
      <c r="BF1881" t="str">
        <f>T("D236009")</f>
        <v>D236009</v>
      </c>
      <c r="BG1881" t="str">
        <f>T("로맨스 웹소설 &gt; 현대물")</f>
        <v>로맨스 웹소설 &gt; 현대물</v>
      </c>
    </row>
    <row r="1882" spans="1:59">
      <c r="A1882" t="s">
        <v>60</v>
      </c>
      <c r="B1882" s="1">
        <v>46131</v>
      </c>
      <c r="C1882">
        <v>2378080895</v>
      </c>
      <c r="D1882">
        <v>2378081008</v>
      </c>
      <c r="E1882" t="str">
        <f>T("더 고스트(The Ghost) 62화")</f>
        <v>더 고스트(The Ghost) 62화</v>
      </c>
      <c r="F1882">
        <v>62</v>
      </c>
      <c r="G1882" t="str">
        <f>T("윤산")</f>
        <v>윤산</v>
      </c>
      <c r="J1882" t="str">
        <f>T("하트퀸")</f>
        <v>하트퀸</v>
      </c>
      <c r="K1882" t="str">
        <f>T("더 고스트(The Ghost)")</f>
        <v>더 고스트(The Ghost)</v>
      </c>
      <c r="L1882">
        <v>100</v>
      </c>
      <c r="M1882">
        <v>800</v>
      </c>
      <c r="N1882">
        <v>8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0</v>
      </c>
      <c r="AH1882">
        <v>0</v>
      </c>
      <c r="AI1882">
        <v>800</v>
      </c>
      <c r="AJ1882">
        <v>8</v>
      </c>
      <c r="AK1882">
        <v>0</v>
      </c>
      <c r="AL1882">
        <v>0</v>
      </c>
      <c r="AM1882">
        <v>600</v>
      </c>
      <c r="AN1882">
        <v>0</v>
      </c>
      <c r="AO1882">
        <v>240</v>
      </c>
      <c r="AP1882">
        <v>-24</v>
      </c>
      <c r="AQ1882">
        <v>0</v>
      </c>
      <c r="AS1882">
        <v>0</v>
      </c>
      <c r="AT1882">
        <v>0</v>
      </c>
      <c r="AU1882">
        <v>120</v>
      </c>
      <c r="AV1882">
        <v>-12</v>
      </c>
      <c r="AW1882">
        <v>0</v>
      </c>
      <c r="AX1882">
        <v>120</v>
      </c>
      <c r="AY1882">
        <v>-12</v>
      </c>
      <c r="AZ1882">
        <v>0</v>
      </c>
      <c r="BA1882">
        <v>489.6</v>
      </c>
      <c r="BF1882" t="str">
        <f>T("D236010")</f>
        <v>D236010</v>
      </c>
      <c r="BG1882" t="str">
        <f>T("로맨스 웹소설 &gt; 현대물")</f>
        <v>로맨스 웹소설 &gt; 현대물</v>
      </c>
    </row>
    <row r="1883" spans="1:59">
      <c r="A1883" t="s">
        <v>60</v>
      </c>
      <c r="B1883" s="1">
        <v>46131</v>
      </c>
      <c r="C1883">
        <v>2378080895</v>
      </c>
      <c r="D1883">
        <v>2378081009</v>
      </c>
      <c r="E1883" t="str">
        <f>T("더 고스트(The Ghost) 63화")</f>
        <v>더 고스트(The Ghost) 63화</v>
      </c>
      <c r="F1883">
        <v>63</v>
      </c>
      <c r="G1883" t="str">
        <f>T("윤산")</f>
        <v>윤산</v>
      </c>
      <c r="J1883" t="str">
        <f>T("하트퀸")</f>
        <v>하트퀸</v>
      </c>
      <c r="K1883" t="str">
        <f>T("더 고스트(The Ghost)")</f>
        <v>더 고스트(The Ghost)</v>
      </c>
      <c r="L1883">
        <v>100</v>
      </c>
      <c r="M1883">
        <v>800</v>
      </c>
      <c r="N1883">
        <v>8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800</v>
      </c>
      <c r="AJ1883">
        <v>8</v>
      </c>
      <c r="AK1883">
        <v>0</v>
      </c>
      <c r="AL1883">
        <v>0</v>
      </c>
      <c r="AM1883">
        <v>600</v>
      </c>
      <c r="AN1883">
        <v>0</v>
      </c>
      <c r="AO1883">
        <v>240</v>
      </c>
      <c r="AP1883">
        <v>-24</v>
      </c>
      <c r="AQ1883">
        <v>0</v>
      </c>
      <c r="AS1883">
        <v>0</v>
      </c>
      <c r="AT1883">
        <v>0</v>
      </c>
      <c r="AU1883">
        <v>120</v>
      </c>
      <c r="AV1883">
        <v>-12</v>
      </c>
      <c r="AW1883">
        <v>0</v>
      </c>
      <c r="AX1883">
        <v>120</v>
      </c>
      <c r="AY1883">
        <v>-12</v>
      </c>
      <c r="AZ1883">
        <v>0</v>
      </c>
      <c r="BA1883">
        <v>489.6</v>
      </c>
      <c r="BF1883" t="str">
        <f>T("D236011")</f>
        <v>D236011</v>
      </c>
      <c r="BG1883" t="str">
        <f>T("로맨스 웹소설 &gt; 현대물")</f>
        <v>로맨스 웹소설 &gt; 현대물</v>
      </c>
    </row>
    <row r="1884" spans="1:59">
      <c r="A1884" t="s">
        <v>60</v>
      </c>
      <c r="B1884" s="1">
        <v>46131</v>
      </c>
      <c r="C1884">
        <v>2378080895</v>
      </c>
      <c r="D1884">
        <v>2378081011</v>
      </c>
      <c r="E1884" t="str">
        <f>T("더 고스트(The Ghost) 65화 (완결)")</f>
        <v>더 고스트(The Ghost) 65화 (완결)</v>
      </c>
      <c r="F1884">
        <v>65</v>
      </c>
      <c r="G1884" t="str">
        <f>T("윤산")</f>
        <v>윤산</v>
      </c>
      <c r="J1884" t="str">
        <f>T("하트퀸")</f>
        <v>하트퀸</v>
      </c>
      <c r="K1884" t="str">
        <f>T("더 고스트(The Ghost)")</f>
        <v>더 고스트(The Ghost)</v>
      </c>
      <c r="L1884">
        <v>100</v>
      </c>
      <c r="M1884">
        <v>800</v>
      </c>
      <c r="N1884">
        <v>8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800</v>
      </c>
      <c r="AJ1884">
        <v>8</v>
      </c>
      <c r="AK1884">
        <v>0</v>
      </c>
      <c r="AL1884">
        <v>0</v>
      </c>
      <c r="AM1884">
        <v>600</v>
      </c>
      <c r="AN1884">
        <v>0</v>
      </c>
      <c r="AO1884">
        <v>240</v>
      </c>
      <c r="AP1884">
        <v>-24</v>
      </c>
      <c r="AQ1884">
        <v>0</v>
      </c>
      <c r="AS1884">
        <v>0</v>
      </c>
      <c r="AT1884">
        <v>0</v>
      </c>
      <c r="AU1884">
        <v>120</v>
      </c>
      <c r="AV1884">
        <v>-12</v>
      </c>
      <c r="AW1884">
        <v>0</v>
      </c>
      <c r="AX1884">
        <v>120</v>
      </c>
      <c r="AY1884">
        <v>-12</v>
      </c>
      <c r="AZ1884">
        <v>0</v>
      </c>
      <c r="BA1884">
        <v>489.6</v>
      </c>
      <c r="BF1884" t="str">
        <f>T("D236070")</f>
        <v>D236070</v>
      </c>
      <c r="BG1884" t="str">
        <f>T("로맨스 웹소설 &gt; 현대물")</f>
        <v>로맨스 웹소설 &gt; 현대물</v>
      </c>
    </row>
    <row r="1885" spans="1:59">
      <c r="A1885" t="s">
        <v>60</v>
      </c>
      <c r="B1885" s="1">
        <v>46131</v>
      </c>
      <c r="C1885">
        <v>2378080895</v>
      </c>
      <c r="D1885">
        <v>2378080908</v>
      </c>
      <c r="E1885" t="str">
        <f>T("더 고스트(The Ghost) 14화")</f>
        <v>더 고스트(The Ghost) 14화</v>
      </c>
      <c r="F1885">
        <v>14</v>
      </c>
      <c r="G1885" t="str">
        <f>T("윤산")</f>
        <v>윤산</v>
      </c>
      <c r="J1885" t="str">
        <f>T("하트퀸")</f>
        <v>하트퀸</v>
      </c>
      <c r="K1885" t="str">
        <f>T("더 고스트(The Ghost)")</f>
        <v>더 고스트(The Ghost)</v>
      </c>
      <c r="L1885">
        <v>100</v>
      </c>
      <c r="M1885">
        <v>600</v>
      </c>
      <c r="N1885">
        <v>6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600</v>
      </c>
      <c r="AJ1885">
        <v>6</v>
      </c>
      <c r="AK1885">
        <v>0</v>
      </c>
      <c r="AL1885">
        <v>0</v>
      </c>
      <c r="AM1885">
        <v>500</v>
      </c>
      <c r="AN1885">
        <v>0</v>
      </c>
      <c r="AO1885">
        <v>120</v>
      </c>
      <c r="AP1885">
        <v>-12</v>
      </c>
      <c r="AQ1885">
        <v>0</v>
      </c>
      <c r="AS1885">
        <v>0</v>
      </c>
      <c r="AT1885">
        <v>0</v>
      </c>
      <c r="AV1885">
        <v>0</v>
      </c>
      <c r="AW1885">
        <v>0</v>
      </c>
      <c r="AX1885">
        <v>120</v>
      </c>
      <c r="AY1885">
        <v>-12</v>
      </c>
      <c r="AZ1885">
        <v>0</v>
      </c>
      <c r="BA1885">
        <v>364.8</v>
      </c>
      <c r="BF1885" t="str">
        <f>T("D235962")</f>
        <v>D235962</v>
      </c>
      <c r="BG1885" t="str">
        <f>T("로맨스 웹소설 &gt; 현대물")</f>
        <v>로맨스 웹소설 &gt; 현대물</v>
      </c>
    </row>
    <row r="1886" spans="1:59">
      <c r="A1886" t="s">
        <v>60</v>
      </c>
      <c r="B1886" s="1">
        <v>46131</v>
      </c>
      <c r="C1886">
        <v>2378080895</v>
      </c>
      <c r="D1886">
        <v>2378080909</v>
      </c>
      <c r="E1886" t="str">
        <f>T("더 고스트(The Ghost) 15화")</f>
        <v>더 고스트(The Ghost) 15화</v>
      </c>
      <c r="F1886">
        <v>15</v>
      </c>
      <c r="G1886" t="str">
        <f>T("윤산")</f>
        <v>윤산</v>
      </c>
      <c r="J1886" t="str">
        <f>T("하트퀸")</f>
        <v>하트퀸</v>
      </c>
      <c r="K1886" t="str">
        <f>T("더 고스트(The Ghost)")</f>
        <v>더 고스트(The Ghost)</v>
      </c>
      <c r="L1886">
        <v>100</v>
      </c>
      <c r="M1886">
        <v>600</v>
      </c>
      <c r="N1886">
        <v>6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600</v>
      </c>
      <c r="AJ1886">
        <v>6</v>
      </c>
      <c r="AK1886">
        <v>0</v>
      </c>
      <c r="AL1886">
        <v>0</v>
      </c>
      <c r="AM1886">
        <v>500</v>
      </c>
      <c r="AN1886">
        <v>0</v>
      </c>
      <c r="AO1886">
        <v>120</v>
      </c>
      <c r="AP1886">
        <v>-12</v>
      </c>
      <c r="AQ1886">
        <v>0</v>
      </c>
      <c r="AS1886">
        <v>0</v>
      </c>
      <c r="AT1886">
        <v>0</v>
      </c>
      <c r="AV1886">
        <v>0</v>
      </c>
      <c r="AW1886">
        <v>0</v>
      </c>
      <c r="AX1886">
        <v>120</v>
      </c>
      <c r="AY1886">
        <v>-12</v>
      </c>
      <c r="AZ1886">
        <v>0</v>
      </c>
      <c r="BA1886">
        <v>364.8</v>
      </c>
      <c r="BF1886" t="str">
        <f>T("D235963")</f>
        <v>D235963</v>
      </c>
      <c r="BG1886" t="str">
        <f>T("로맨스 웹소설 &gt; 현대물")</f>
        <v>로맨스 웹소설 &gt; 현대물</v>
      </c>
    </row>
    <row r="1887" spans="1:59">
      <c r="A1887" t="s">
        <v>60</v>
      </c>
      <c r="B1887" s="1">
        <v>46131</v>
      </c>
      <c r="C1887">
        <v>2378080895</v>
      </c>
      <c r="D1887">
        <v>2378080910</v>
      </c>
      <c r="E1887" t="str">
        <f>T("더 고스트(The Ghost) 16화")</f>
        <v>더 고스트(The Ghost) 16화</v>
      </c>
      <c r="F1887">
        <v>16</v>
      </c>
      <c r="G1887" t="str">
        <f>T("윤산")</f>
        <v>윤산</v>
      </c>
      <c r="J1887" t="str">
        <f>T("하트퀸")</f>
        <v>하트퀸</v>
      </c>
      <c r="K1887" t="str">
        <f>T("더 고스트(The Ghost)")</f>
        <v>더 고스트(The Ghost)</v>
      </c>
      <c r="L1887">
        <v>100</v>
      </c>
      <c r="M1887">
        <v>600</v>
      </c>
      <c r="N1887">
        <v>6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0</v>
      </c>
      <c r="AH1887">
        <v>0</v>
      </c>
      <c r="AI1887">
        <v>600</v>
      </c>
      <c r="AJ1887">
        <v>6</v>
      </c>
      <c r="AK1887">
        <v>0</v>
      </c>
      <c r="AL1887">
        <v>0</v>
      </c>
      <c r="AM1887">
        <v>400</v>
      </c>
      <c r="AN1887">
        <v>0</v>
      </c>
      <c r="AO1887">
        <v>240</v>
      </c>
      <c r="AP1887">
        <v>-24</v>
      </c>
      <c r="AQ1887">
        <v>0</v>
      </c>
      <c r="AS1887">
        <v>0</v>
      </c>
      <c r="AT1887">
        <v>0</v>
      </c>
      <c r="AU1887">
        <v>120</v>
      </c>
      <c r="AV1887">
        <v>-12</v>
      </c>
      <c r="AW1887">
        <v>0</v>
      </c>
      <c r="AX1887">
        <v>120</v>
      </c>
      <c r="AY1887">
        <v>-12</v>
      </c>
      <c r="AZ1887">
        <v>0</v>
      </c>
      <c r="BA1887">
        <v>369.6</v>
      </c>
      <c r="BF1887" t="str">
        <f>T("D235964")</f>
        <v>D235964</v>
      </c>
      <c r="BG1887" t="str">
        <f>T("로맨스 웹소설 &gt; 현대물")</f>
        <v>로맨스 웹소설 &gt; 현대물</v>
      </c>
    </row>
    <row r="1888" spans="1:59">
      <c r="A1888" t="s">
        <v>60</v>
      </c>
      <c r="B1888" s="1">
        <v>46131</v>
      </c>
      <c r="C1888">
        <v>2378080895</v>
      </c>
      <c r="D1888">
        <v>2378080911</v>
      </c>
      <c r="E1888" t="str">
        <f>T("더 고스트(The Ghost) 17화")</f>
        <v>더 고스트(The Ghost) 17화</v>
      </c>
      <c r="F1888">
        <v>17</v>
      </c>
      <c r="G1888" t="str">
        <f>T("윤산")</f>
        <v>윤산</v>
      </c>
      <c r="J1888" t="str">
        <f>T("하트퀸")</f>
        <v>하트퀸</v>
      </c>
      <c r="K1888" t="str">
        <f>T("더 고스트(The Ghost)")</f>
        <v>더 고스트(The Ghost)</v>
      </c>
      <c r="L1888">
        <v>100</v>
      </c>
      <c r="M1888">
        <v>500</v>
      </c>
      <c r="N1888">
        <v>5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500</v>
      </c>
      <c r="AJ1888">
        <v>5</v>
      </c>
      <c r="AK1888">
        <v>0</v>
      </c>
      <c r="AL1888">
        <v>0</v>
      </c>
      <c r="AM1888">
        <v>400</v>
      </c>
      <c r="AN1888">
        <v>0</v>
      </c>
      <c r="AO1888">
        <v>120</v>
      </c>
      <c r="AP1888">
        <v>-12</v>
      </c>
      <c r="AQ1888">
        <v>0</v>
      </c>
      <c r="AS1888">
        <v>0</v>
      </c>
      <c r="AT1888">
        <v>0</v>
      </c>
      <c r="AV1888">
        <v>0</v>
      </c>
      <c r="AW1888">
        <v>0</v>
      </c>
      <c r="AX1888">
        <v>120</v>
      </c>
      <c r="AY1888">
        <v>-12</v>
      </c>
      <c r="AZ1888">
        <v>0</v>
      </c>
      <c r="BA1888">
        <v>304.8</v>
      </c>
      <c r="BF1888" t="str">
        <f>T("D235965")</f>
        <v>D235965</v>
      </c>
      <c r="BG1888" t="str">
        <f>T("로맨스 웹소설 &gt; 현대물")</f>
        <v>로맨스 웹소설 &gt; 현대물</v>
      </c>
    </row>
    <row r="1889" spans="1:59">
      <c r="A1889" t="s">
        <v>60</v>
      </c>
      <c r="B1889" s="1">
        <v>46131</v>
      </c>
      <c r="C1889">
        <v>2378080895</v>
      </c>
      <c r="D1889">
        <v>2378080912</v>
      </c>
      <c r="E1889" t="str">
        <f>T("더 고스트(The Ghost) 18화")</f>
        <v>더 고스트(The Ghost) 18화</v>
      </c>
      <c r="F1889">
        <v>18</v>
      </c>
      <c r="G1889" t="str">
        <f>T("윤산")</f>
        <v>윤산</v>
      </c>
      <c r="J1889" t="str">
        <f>T("하트퀸")</f>
        <v>하트퀸</v>
      </c>
      <c r="K1889" t="str">
        <f>T("더 고스트(The Ghost)")</f>
        <v>더 고스트(The Ghost)</v>
      </c>
      <c r="L1889">
        <v>100</v>
      </c>
      <c r="M1889">
        <v>500</v>
      </c>
      <c r="N1889">
        <v>5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500</v>
      </c>
      <c r="AJ1889">
        <v>5</v>
      </c>
      <c r="AK1889">
        <v>0</v>
      </c>
      <c r="AL1889">
        <v>0</v>
      </c>
      <c r="AM1889">
        <v>400</v>
      </c>
      <c r="AN1889">
        <v>0</v>
      </c>
      <c r="AO1889">
        <v>120</v>
      </c>
      <c r="AP1889">
        <v>-12</v>
      </c>
      <c r="AQ1889">
        <v>0</v>
      </c>
      <c r="AS1889">
        <v>0</v>
      </c>
      <c r="AT1889">
        <v>0</v>
      </c>
      <c r="AV1889">
        <v>0</v>
      </c>
      <c r="AW1889">
        <v>0</v>
      </c>
      <c r="AX1889">
        <v>120</v>
      </c>
      <c r="AY1889">
        <v>-12</v>
      </c>
      <c r="AZ1889">
        <v>0</v>
      </c>
      <c r="BA1889">
        <v>304.8</v>
      </c>
      <c r="BF1889" t="str">
        <f>T("D235966")</f>
        <v>D235966</v>
      </c>
      <c r="BG1889" t="str">
        <f>T("로맨스 웹소설 &gt; 현대물")</f>
        <v>로맨스 웹소설 &gt; 현대물</v>
      </c>
    </row>
    <row r="1890" spans="1:59">
      <c r="A1890" t="s">
        <v>60</v>
      </c>
      <c r="B1890" s="1">
        <v>46131</v>
      </c>
      <c r="C1890">
        <v>2378080895</v>
      </c>
      <c r="D1890">
        <v>2378080913</v>
      </c>
      <c r="E1890" t="str">
        <f>T("더 고스트(The Ghost) 19화")</f>
        <v>더 고스트(The Ghost) 19화</v>
      </c>
      <c r="F1890">
        <v>19</v>
      </c>
      <c r="G1890" t="str">
        <f>T("윤산")</f>
        <v>윤산</v>
      </c>
      <c r="J1890" t="str">
        <f>T("하트퀸")</f>
        <v>하트퀸</v>
      </c>
      <c r="K1890" t="str">
        <f>T("더 고스트(The Ghost)")</f>
        <v>더 고스트(The Ghost)</v>
      </c>
      <c r="L1890">
        <v>100</v>
      </c>
      <c r="M1890">
        <v>500</v>
      </c>
      <c r="N1890">
        <v>5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500</v>
      </c>
      <c r="AJ1890">
        <v>5</v>
      </c>
      <c r="AK1890">
        <v>0</v>
      </c>
      <c r="AL1890">
        <v>0</v>
      </c>
      <c r="AM1890">
        <v>400</v>
      </c>
      <c r="AN1890">
        <v>0</v>
      </c>
      <c r="AO1890">
        <v>120</v>
      </c>
      <c r="AP1890">
        <v>-12</v>
      </c>
      <c r="AQ1890">
        <v>0</v>
      </c>
      <c r="AS1890">
        <v>0</v>
      </c>
      <c r="AT1890">
        <v>0</v>
      </c>
      <c r="AV1890">
        <v>0</v>
      </c>
      <c r="AW1890">
        <v>0</v>
      </c>
      <c r="AX1890">
        <v>120</v>
      </c>
      <c r="AY1890">
        <v>-12</v>
      </c>
      <c r="AZ1890">
        <v>0</v>
      </c>
      <c r="BA1890">
        <v>304.8</v>
      </c>
      <c r="BF1890" t="str">
        <f>T("D235967")</f>
        <v>D235967</v>
      </c>
      <c r="BG1890" t="str">
        <f>T("로맨스 웹소설 &gt; 현대물")</f>
        <v>로맨스 웹소설 &gt; 현대물</v>
      </c>
    </row>
    <row r="1891" spans="1:59">
      <c r="A1891" t="s">
        <v>60</v>
      </c>
      <c r="B1891" s="1">
        <v>46131</v>
      </c>
      <c r="C1891">
        <v>2378080895</v>
      </c>
      <c r="D1891">
        <v>2378080914</v>
      </c>
      <c r="E1891" t="str">
        <f>T("더 고스트(The Ghost) 20화")</f>
        <v>더 고스트(The Ghost) 20화</v>
      </c>
      <c r="F1891">
        <v>20</v>
      </c>
      <c r="G1891" t="str">
        <f>T("윤산")</f>
        <v>윤산</v>
      </c>
      <c r="J1891" t="str">
        <f>T("하트퀸")</f>
        <v>하트퀸</v>
      </c>
      <c r="K1891" t="str">
        <f>T("더 고스트(The Ghost)")</f>
        <v>더 고스트(The Ghost)</v>
      </c>
      <c r="L1891">
        <v>100</v>
      </c>
      <c r="M1891">
        <v>600</v>
      </c>
      <c r="N1891">
        <v>6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600</v>
      </c>
      <c r="AJ1891">
        <v>6</v>
      </c>
      <c r="AK1891">
        <v>0</v>
      </c>
      <c r="AL1891">
        <v>0</v>
      </c>
      <c r="AM1891">
        <v>400</v>
      </c>
      <c r="AN1891">
        <v>0</v>
      </c>
      <c r="AO1891">
        <v>240</v>
      </c>
      <c r="AP1891">
        <v>-24</v>
      </c>
      <c r="AQ1891">
        <v>0</v>
      </c>
      <c r="AS1891">
        <v>0</v>
      </c>
      <c r="AT1891">
        <v>0</v>
      </c>
      <c r="AU1891">
        <v>120</v>
      </c>
      <c r="AV1891">
        <v>-12</v>
      </c>
      <c r="AW1891">
        <v>0</v>
      </c>
      <c r="AX1891">
        <v>120</v>
      </c>
      <c r="AY1891">
        <v>-12</v>
      </c>
      <c r="AZ1891">
        <v>0</v>
      </c>
      <c r="BA1891">
        <v>369.6</v>
      </c>
      <c r="BF1891" t="str">
        <f>T("D235968")</f>
        <v>D235968</v>
      </c>
      <c r="BG1891" t="str">
        <f>T("로맨스 웹소설 &gt; 현대물")</f>
        <v>로맨스 웹소설 &gt; 현대물</v>
      </c>
    </row>
    <row r="1892" spans="1:59">
      <c r="A1892" t="s">
        <v>60</v>
      </c>
      <c r="B1892" s="1">
        <v>46129</v>
      </c>
      <c r="C1892">
        <v>2378080955</v>
      </c>
      <c r="D1892">
        <v>2378080955</v>
      </c>
      <c r="E1892" t="str">
        <f>T("더 고스트(The Ghost)(15세 개정판) 1화")</f>
        <v>더 고스트(The Ghost)(15세 개정판) 1화</v>
      </c>
      <c r="F1892">
        <v>1</v>
      </c>
      <c r="G1892" t="str">
        <f>T("윤산")</f>
        <v>윤산</v>
      </c>
      <c r="J1892" t="str">
        <f>T("하트퀸")</f>
        <v>하트퀸</v>
      </c>
      <c r="K1892" t="str">
        <f>T("더 고스트(The Ghost)(15세 개정판)")</f>
        <v>더 고스트(The Ghost)(15세 개정판)</v>
      </c>
      <c r="L1892">
        <v>0</v>
      </c>
      <c r="M1892">
        <v>0</v>
      </c>
      <c r="N1892">
        <v>0</v>
      </c>
      <c r="O1892">
        <v>2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2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S1892">
        <v>0</v>
      </c>
      <c r="AT1892">
        <v>0</v>
      </c>
      <c r="AV1892">
        <v>0</v>
      </c>
      <c r="AW1892">
        <v>0</v>
      </c>
      <c r="AY1892">
        <v>0</v>
      </c>
      <c r="AZ1892">
        <v>0</v>
      </c>
      <c r="BA1892">
        <v>0</v>
      </c>
      <c r="BF1892" t="str">
        <f>T("D236012")</f>
        <v>D236012</v>
      </c>
      <c r="BG1892" t="str">
        <f>T("로맨스 웹소설 &gt; 현대물")</f>
        <v>로맨스 웹소설 &gt; 현대물</v>
      </c>
    </row>
    <row r="1893" spans="1:59">
      <c r="A1893" t="s">
        <v>60</v>
      </c>
      <c r="B1893" s="1">
        <v>46130</v>
      </c>
      <c r="C1893">
        <v>2378080955</v>
      </c>
      <c r="D1893">
        <v>2378080956</v>
      </c>
      <c r="E1893" t="str">
        <f>T("더 고스트(The Ghost)(15세 개정판) 2화")</f>
        <v>더 고스트(The Ghost)(15세 개정판) 2화</v>
      </c>
      <c r="F1893">
        <v>2</v>
      </c>
      <c r="G1893" t="str">
        <f>T("윤산")</f>
        <v>윤산</v>
      </c>
      <c r="J1893" t="str">
        <f>T("하트퀸")</f>
        <v>하트퀸</v>
      </c>
      <c r="K1893" t="str">
        <f>T("더 고스트(The Ghost)(15세 개정판)")</f>
        <v>더 고스트(The Ghost)(15세 개정판)</v>
      </c>
      <c r="L1893">
        <v>0</v>
      </c>
      <c r="M1893">
        <v>0</v>
      </c>
      <c r="N1893">
        <v>0</v>
      </c>
      <c r="O1893">
        <v>1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1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S1893">
        <v>0</v>
      </c>
      <c r="AT1893">
        <v>0</v>
      </c>
      <c r="AV1893">
        <v>0</v>
      </c>
      <c r="AW1893">
        <v>0</v>
      </c>
      <c r="AY1893">
        <v>0</v>
      </c>
      <c r="AZ1893">
        <v>0</v>
      </c>
      <c r="BA1893">
        <v>0</v>
      </c>
      <c r="BF1893" t="str">
        <f>T("D236013")</f>
        <v>D236013</v>
      </c>
      <c r="BG1893" t="str">
        <f>T("로맨스 웹소설 &gt; 현대물")</f>
        <v>로맨스 웹소설 &gt; 현대물</v>
      </c>
    </row>
    <row r="1894" spans="1:59">
      <c r="A1894" t="s">
        <v>60</v>
      </c>
      <c r="B1894" s="1">
        <v>46130</v>
      </c>
      <c r="C1894">
        <v>2378080955</v>
      </c>
      <c r="D1894">
        <v>2378080957</v>
      </c>
      <c r="E1894" t="str">
        <f>T("더 고스트(The Ghost)(15세 개정판) 3화")</f>
        <v>더 고스트(The Ghost)(15세 개정판) 3화</v>
      </c>
      <c r="F1894">
        <v>3</v>
      </c>
      <c r="G1894" t="str">
        <f>T("윤산")</f>
        <v>윤산</v>
      </c>
      <c r="J1894" t="str">
        <f>T("하트퀸")</f>
        <v>하트퀸</v>
      </c>
      <c r="K1894" t="str">
        <f>T("더 고스트(The Ghost)(15세 개정판)")</f>
        <v>더 고스트(The Ghost)(15세 개정판)</v>
      </c>
      <c r="L1894">
        <v>0</v>
      </c>
      <c r="M1894">
        <v>0</v>
      </c>
      <c r="N1894">
        <v>0</v>
      </c>
      <c r="O1894">
        <v>1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1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S1894">
        <v>0</v>
      </c>
      <c r="AT1894">
        <v>0</v>
      </c>
      <c r="AV1894">
        <v>0</v>
      </c>
      <c r="AW1894">
        <v>0</v>
      </c>
      <c r="AY1894">
        <v>0</v>
      </c>
      <c r="AZ1894">
        <v>0</v>
      </c>
      <c r="BA1894">
        <v>0</v>
      </c>
      <c r="BF1894" t="str">
        <f>T("D236014")</f>
        <v>D236014</v>
      </c>
      <c r="BG1894" t="str">
        <f>T("로맨스 웹소설 &gt; 현대물")</f>
        <v>로맨스 웹소설 &gt; 현대물</v>
      </c>
    </row>
    <row r="1895" spans="1:59">
      <c r="A1895" t="s">
        <v>60</v>
      </c>
      <c r="B1895" s="1">
        <v>46130</v>
      </c>
      <c r="C1895">
        <v>2378080955</v>
      </c>
      <c r="D1895">
        <v>2378080959</v>
      </c>
      <c r="E1895" t="str">
        <f>T("더 고스트(The Ghost)(15세 개정판) 5화")</f>
        <v>더 고스트(The Ghost)(15세 개정판) 5화</v>
      </c>
      <c r="F1895">
        <v>5</v>
      </c>
      <c r="G1895" t="str">
        <f>T("윤산")</f>
        <v>윤산</v>
      </c>
      <c r="J1895" t="str">
        <f>T("하트퀸")</f>
        <v>하트퀸</v>
      </c>
      <c r="K1895" t="str">
        <f>T("더 고스트(The Ghost)(15세 개정판)")</f>
        <v>더 고스트(The Ghost)(15세 개정판)</v>
      </c>
      <c r="L1895">
        <v>100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1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1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S1895">
        <v>0</v>
      </c>
      <c r="AT1895">
        <v>0</v>
      </c>
      <c r="AV1895">
        <v>0</v>
      </c>
      <c r="AW1895">
        <v>0</v>
      </c>
      <c r="AY1895">
        <v>0</v>
      </c>
      <c r="AZ1895">
        <v>0</v>
      </c>
      <c r="BA1895">
        <v>0</v>
      </c>
      <c r="BF1895" t="str">
        <f>T("D236016")</f>
        <v>D236016</v>
      </c>
      <c r="BG1895" t="str">
        <f>T("로맨스 웹소설 &gt; 현대물")</f>
        <v>로맨스 웹소설 &gt; 현대물</v>
      </c>
    </row>
    <row r="1896" spans="1:59">
      <c r="A1896" t="s">
        <v>60</v>
      </c>
      <c r="B1896" s="1">
        <v>46130</v>
      </c>
      <c r="C1896">
        <v>2378080955</v>
      </c>
      <c r="D1896">
        <v>2378080960</v>
      </c>
      <c r="E1896" t="str">
        <f>T("더 고스트(The Ghost)(15세 개정판) 6화")</f>
        <v>더 고스트(The Ghost)(15세 개정판) 6화</v>
      </c>
      <c r="F1896">
        <v>6</v>
      </c>
      <c r="G1896" t="str">
        <f>T("윤산")</f>
        <v>윤산</v>
      </c>
      <c r="J1896" t="str">
        <f>T("하트퀸")</f>
        <v>하트퀸</v>
      </c>
      <c r="K1896" t="str">
        <f>T("더 고스트(The Ghost)(15세 개정판)")</f>
        <v>더 고스트(The Ghost)(15세 개정판)</v>
      </c>
      <c r="L1896">
        <v>100</v>
      </c>
      <c r="M1896">
        <v>100</v>
      </c>
      <c r="N1896">
        <v>1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100</v>
      </c>
      <c r="AJ1896">
        <v>1</v>
      </c>
      <c r="AK1896">
        <v>0</v>
      </c>
      <c r="AL1896">
        <v>0</v>
      </c>
      <c r="AM1896">
        <v>0</v>
      </c>
      <c r="AN1896">
        <v>0</v>
      </c>
      <c r="AO1896">
        <v>120</v>
      </c>
      <c r="AP1896">
        <v>-12</v>
      </c>
      <c r="AQ1896">
        <v>0</v>
      </c>
      <c r="AS1896">
        <v>0</v>
      </c>
      <c r="AT1896">
        <v>0</v>
      </c>
      <c r="AU1896">
        <v>120</v>
      </c>
      <c r="AV1896">
        <v>-12</v>
      </c>
      <c r="AW1896">
        <v>0</v>
      </c>
      <c r="AY1896">
        <v>0</v>
      </c>
      <c r="AZ1896">
        <v>0</v>
      </c>
      <c r="BA1896">
        <v>64.8</v>
      </c>
      <c r="BF1896" t="str">
        <f>T("D236017")</f>
        <v>D236017</v>
      </c>
      <c r="BG1896" t="str">
        <f>T("로맨스 웹소설 &gt; 현대물")</f>
        <v>로맨스 웹소설 &gt; 현대물</v>
      </c>
    </row>
    <row r="1897" spans="1:59">
      <c r="A1897" t="s">
        <v>60</v>
      </c>
      <c r="B1897" s="1">
        <v>46130</v>
      </c>
      <c r="C1897">
        <v>2378080955</v>
      </c>
      <c r="D1897">
        <v>2378080961</v>
      </c>
      <c r="E1897" t="str">
        <f>T("더 고스트(The Ghost)(15세 개정판) 7화")</f>
        <v>더 고스트(The Ghost)(15세 개정판) 7화</v>
      </c>
      <c r="F1897">
        <v>7</v>
      </c>
      <c r="G1897" t="str">
        <f>T("윤산")</f>
        <v>윤산</v>
      </c>
      <c r="J1897" t="str">
        <f>T("하트퀸")</f>
        <v>하트퀸</v>
      </c>
      <c r="K1897" t="str">
        <f>T("더 고스트(The Ghost)(15세 개정판)")</f>
        <v>더 고스트(The Ghost)(15세 개정판)</v>
      </c>
      <c r="L1897">
        <v>100</v>
      </c>
      <c r="M1897">
        <v>100</v>
      </c>
      <c r="N1897">
        <v>1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0</v>
      </c>
      <c r="AH1897">
        <v>0</v>
      </c>
      <c r="AI1897">
        <v>100</v>
      </c>
      <c r="AJ1897">
        <v>1</v>
      </c>
      <c r="AK1897">
        <v>0</v>
      </c>
      <c r="AL1897">
        <v>0</v>
      </c>
      <c r="AM1897">
        <v>0</v>
      </c>
      <c r="AN1897">
        <v>0</v>
      </c>
      <c r="AO1897">
        <v>120</v>
      </c>
      <c r="AP1897">
        <v>-12</v>
      </c>
      <c r="AQ1897">
        <v>0</v>
      </c>
      <c r="AS1897">
        <v>0</v>
      </c>
      <c r="AT1897">
        <v>0</v>
      </c>
      <c r="AU1897">
        <v>120</v>
      </c>
      <c r="AV1897">
        <v>-12</v>
      </c>
      <c r="AW1897">
        <v>0</v>
      </c>
      <c r="AY1897">
        <v>0</v>
      </c>
      <c r="AZ1897">
        <v>0</v>
      </c>
      <c r="BA1897">
        <v>64.8</v>
      </c>
      <c r="BF1897" t="str">
        <f>T("D236018")</f>
        <v>D236018</v>
      </c>
      <c r="BG1897" t="str">
        <f>T("로맨스 웹소설 &gt; 현대물")</f>
        <v>로맨스 웹소설 &gt; 현대물</v>
      </c>
    </row>
    <row r="1898" spans="1:59">
      <c r="A1898" t="s">
        <v>60</v>
      </c>
      <c r="B1898" s="1">
        <v>46130</v>
      </c>
      <c r="C1898">
        <v>2378080955</v>
      </c>
      <c r="D1898">
        <v>2378080962</v>
      </c>
      <c r="E1898" t="str">
        <f>T("더 고스트(The Ghost)(15세 개정판) 8화")</f>
        <v>더 고스트(The Ghost)(15세 개정판) 8화</v>
      </c>
      <c r="F1898">
        <v>8</v>
      </c>
      <c r="G1898" t="str">
        <f>T("윤산")</f>
        <v>윤산</v>
      </c>
      <c r="J1898" t="str">
        <f>T("하트퀸")</f>
        <v>하트퀸</v>
      </c>
      <c r="K1898" t="str">
        <f>T("더 고스트(The Ghost)(15세 개정판)")</f>
        <v>더 고스트(The Ghost)(15세 개정판)</v>
      </c>
      <c r="L1898">
        <v>100</v>
      </c>
      <c r="M1898">
        <v>100</v>
      </c>
      <c r="N1898">
        <v>1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100</v>
      </c>
      <c r="AJ1898">
        <v>1</v>
      </c>
      <c r="AK1898">
        <v>0</v>
      </c>
      <c r="AL1898">
        <v>0</v>
      </c>
      <c r="AM1898">
        <v>0</v>
      </c>
      <c r="AN1898">
        <v>0</v>
      </c>
      <c r="AO1898">
        <v>120</v>
      </c>
      <c r="AP1898">
        <v>-12</v>
      </c>
      <c r="AQ1898">
        <v>0</v>
      </c>
      <c r="AS1898">
        <v>0</v>
      </c>
      <c r="AT1898">
        <v>0</v>
      </c>
      <c r="AU1898">
        <v>120</v>
      </c>
      <c r="AV1898">
        <v>-12</v>
      </c>
      <c r="AW1898">
        <v>0</v>
      </c>
      <c r="AY1898">
        <v>0</v>
      </c>
      <c r="AZ1898">
        <v>0</v>
      </c>
      <c r="BA1898">
        <v>64.8</v>
      </c>
      <c r="BF1898" t="str">
        <f>T("D236019")</f>
        <v>D236019</v>
      </c>
      <c r="BG1898" t="str">
        <f>T("로맨스 웹소설 &gt; 현대물")</f>
        <v>로맨스 웹소설 &gt; 현대물</v>
      </c>
    </row>
    <row r="1899" spans="1:59">
      <c r="A1899" t="s">
        <v>60</v>
      </c>
      <c r="B1899" s="1">
        <v>46130</v>
      </c>
      <c r="C1899">
        <v>2378080955</v>
      </c>
      <c r="D1899">
        <v>2378080963</v>
      </c>
      <c r="E1899" t="str">
        <f>T("더 고스트(The Ghost)(15세 개정판) 9화")</f>
        <v>더 고스트(The Ghost)(15세 개정판) 9화</v>
      </c>
      <c r="F1899">
        <v>9</v>
      </c>
      <c r="G1899" t="str">
        <f>T("윤산")</f>
        <v>윤산</v>
      </c>
      <c r="J1899" t="str">
        <f>T("하트퀸")</f>
        <v>하트퀸</v>
      </c>
      <c r="K1899" t="str">
        <f>T("더 고스트(The Ghost)(15세 개정판)")</f>
        <v>더 고스트(The Ghost)(15세 개정판)</v>
      </c>
      <c r="L1899">
        <v>100</v>
      </c>
      <c r="M1899">
        <v>100</v>
      </c>
      <c r="N1899">
        <v>1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100</v>
      </c>
      <c r="AJ1899">
        <v>1</v>
      </c>
      <c r="AK1899">
        <v>0</v>
      </c>
      <c r="AL1899">
        <v>0</v>
      </c>
      <c r="AM1899">
        <v>0</v>
      </c>
      <c r="AN1899">
        <v>0</v>
      </c>
      <c r="AO1899">
        <v>120</v>
      </c>
      <c r="AP1899">
        <v>-12</v>
      </c>
      <c r="AQ1899">
        <v>0</v>
      </c>
      <c r="AS1899">
        <v>0</v>
      </c>
      <c r="AT1899">
        <v>0</v>
      </c>
      <c r="AU1899">
        <v>120</v>
      </c>
      <c r="AV1899">
        <v>-12</v>
      </c>
      <c r="AW1899">
        <v>0</v>
      </c>
      <c r="AY1899">
        <v>0</v>
      </c>
      <c r="AZ1899">
        <v>0</v>
      </c>
      <c r="BA1899">
        <v>64.8</v>
      </c>
      <c r="BF1899" t="str">
        <f>T("D236020")</f>
        <v>D236020</v>
      </c>
      <c r="BG1899" t="str">
        <f>T("로맨스 웹소설 &gt; 현대물")</f>
        <v>로맨스 웹소설 &gt; 현대물</v>
      </c>
    </row>
    <row r="1900" spans="1:59">
      <c r="A1900" t="s">
        <v>60</v>
      </c>
      <c r="B1900" s="1">
        <v>46130</v>
      </c>
      <c r="C1900">
        <v>2378080955</v>
      </c>
      <c r="D1900">
        <v>2378080964</v>
      </c>
      <c r="E1900" t="str">
        <f>T("더 고스트(The Ghost)(15세 개정판) 10화")</f>
        <v>더 고스트(The Ghost)(15세 개정판) 10화</v>
      </c>
      <c r="F1900">
        <v>10</v>
      </c>
      <c r="G1900" t="str">
        <f>T("윤산")</f>
        <v>윤산</v>
      </c>
      <c r="J1900" t="str">
        <f>T("하트퀸")</f>
        <v>하트퀸</v>
      </c>
      <c r="K1900" t="str">
        <f>T("더 고스트(The Ghost)(15세 개정판)")</f>
        <v>더 고스트(The Ghost)(15세 개정판)</v>
      </c>
      <c r="L1900">
        <v>100</v>
      </c>
      <c r="M1900">
        <v>100</v>
      </c>
      <c r="N1900">
        <v>1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100</v>
      </c>
      <c r="AJ1900">
        <v>1</v>
      </c>
      <c r="AK1900">
        <v>0</v>
      </c>
      <c r="AL1900">
        <v>0</v>
      </c>
      <c r="AM1900">
        <v>0</v>
      </c>
      <c r="AN1900">
        <v>0</v>
      </c>
      <c r="AO1900">
        <v>120</v>
      </c>
      <c r="AP1900">
        <v>-12</v>
      </c>
      <c r="AQ1900">
        <v>0</v>
      </c>
      <c r="AS1900">
        <v>0</v>
      </c>
      <c r="AT1900">
        <v>0</v>
      </c>
      <c r="AU1900">
        <v>120</v>
      </c>
      <c r="AV1900">
        <v>-12</v>
      </c>
      <c r="AW1900">
        <v>0</v>
      </c>
      <c r="AY1900">
        <v>0</v>
      </c>
      <c r="AZ1900">
        <v>0</v>
      </c>
      <c r="BA1900">
        <v>64.8</v>
      </c>
      <c r="BF1900" t="str">
        <f>T("D236021")</f>
        <v>D236021</v>
      </c>
      <c r="BG1900" t="str">
        <f>T("로맨스 웹소설 &gt; 현대물")</f>
        <v>로맨스 웹소설 &gt; 현대물</v>
      </c>
    </row>
    <row r="1901" spans="1:59">
      <c r="A1901" t="s">
        <v>60</v>
      </c>
      <c r="B1901" s="1">
        <v>46130</v>
      </c>
      <c r="C1901">
        <v>2378080955</v>
      </c>
      <c r="D1901">
        <v>2378080955</v>
      </c>
      <c r="E1901" t="str">
        <f>T("더 고스트(The Ghost)(15세 개정판) 1화")</f>
        <v>더 고스트(The Ghost)(15세 개정판) 1화</v>
      </c>
      <c r="F1901">
        <v>1</v>
      </c>
      <c r="G1901" t="str">
        <f>T("윤산")</f>
        <v>윤산</v>
      </c>
      <c r="J1901" t="str">
        <f>T("하트퀸")</f>
        <v>하트퀸</v>
      </c>
      <c r="K1901" t="str">
        <f>T("더 고스트(The Ghost)(15세 개정판)")</f>
        <v>더 고스트(The Ghost)(15세 개정판)</v>
      </c>
      <c r="L1901">
        <v>0</v>
      </c>
      <c r="M1901">
        <v>0</v>
      </c>
      <c r="N1901">
        <v>0</v>
      </c>
      <c r="O1901">
        <v>1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1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S1901">
        <v>0</v>
      </c>
      <c r="AT1901">
        <v>0</v>
      </c>
      <c r="AV1901">
        <v>0</v>
      </c>
      <c r="AW1901">
        <v>0</v>
      </c>
      <c r="AY1901">
        <v>0</v>
      </c>
      <c r="AZ1901">
        <v>0</v>
      </c>
      <c r="BA1901">
        <v>0</v>
      </c>
      <c r="BF1901" t="str">
        <f>T("D236012")</f>
        <v>D236012</v>
      </c>
      <c r="BG1901" t="str">
        <f>T("로맨스 웹소설 &gt; 현대물")</f>
        <v>로맨스 웹소설 &gt; 현대물</v>
      </c>
    </row>
    <row r="1902" spans="1:59">
      <c r="A1902" t="s">
        <v>60</v>
      </c>
      <c r="B1902" s="1">
        <v>46131</v>
      </c>
      <c r="C1902">
        <v>2378080955</v>
      </c>
      <c r="D1902">
        <v>2378081000</v>
      </c>
      <c r="E1902" t="str">
        <f>T("더 고스트(The Ghost)(15세 개정판) 46화")</f>
        <v>더 고스트(The Ghost)(15세 개정판) 46화</v>
      </c>
      <c r="F1902">
        <v>46</v>
      </c>
      <c r="G1902" t="str">
        <f>T("윤산")</f>
        <v>윤산</v>
      </c>
      <c r="J1902" t="str">
        <f>T("하트퀸")</f>
        <v>하트퀸</v>
      </c>
      <c r="K1902" t="str">
        <f>T("더 고스트(The Ghost)(15세 개정판)")</f>
        <v>더 고스트(The Ghost)(15세 개정판)</v>
      </c>
      <c r="L1902">
        <v>100</v>
      </c>
      <c r="M1902">
        <v>100</v>
      </c>
      <c r="N1902">
        <v>1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100</v>
      </c>
      <c r="AJ1902">
        <v>1</v>
      </c>
      <c r="AK1902">
        <v>0</v>
      </c>
      <c r="AL1902">
        <v>0</v>
      </c>
      <c r="AM1902">
        <v>100</v>
      </c>
      <c r="AN1902">
        <v>0</v>
      </c>
      <c r="AO1902">
        <v>0</v>
      </c>
      <c r="AP1902">
        <v>0</v>
      </c>
      <c r="AQ1902">
        <v>0</v>
      </c>
      <c r="AS1902">
        <v>0</v>
      </c>
      <c r="AT1902">
        <v>0</v>
      </c>
      <c r="AV1902">
        <v>0</v>
      </c>
      <c r="AW1902">
        <v>0</v>
      </c>
      <c r="AY1902">
        <v>0</v>
      </c>
      <c r="AZ1902">
        <v>0</v>
      </c>
      <c r="BA1902">
        <v>60</v>
      </c>
      <c r="BF1902" t="str">
        <f>T("D236057")</f>
        <v>D236057</v>
      </c>
      <c r="BG1902" t="str">
        <f>T("로맨스 웹소설 &gt; 현대물")</f>
        <v>로맨스 웹소설 &gt; 현대물</v>
      </c>
    </row>
    <row r="1903" spans="1:59">
      <c r="A1903" t="s">
        <v>60</v>
      </c>
      <c r="B1903" s="1">
        <v>46131</v>
      </c>
      <c r="C1903">
        <v>2378080955</v>
      </c>
      <c r="D1903">
        <v>2378080956</v>
      </c>
      <c r="E1903" t="str">
        <f>T("더 고스트(The Ghost)(15세 개정판) 2화")</f>
        <v>더 고스트(The Ghost)(15세 개정판) 2화</v>
      </c>
      <c r="F1903">
        <v>2</v>
      </c>
      <c r="G1903" t="str">
        <f>T("윤산")</f>
        <v>윤산</v>
      </c>
      <c r="J1903" t="str">
        <f>T("하트퀸")</f>
        <v>하트퀸</v>
      </c>
      <c r="K1903" t="str">
        <f>T("더 고스트(The Ghost)(15세 개정판)")</f>
        <v>더 고스트(The Ghost)(15세 개정판)</v>
      </c>
      <c r="L1903">
        <v>0</v>
      </c>
      <c r="M1903">
        <v>0</v>
      </c>
      <c r="N1903">
        <v>0</v>
      </c>
      <c r="O1903">
        <v>1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1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S1903">
        <v>0</v>
      </c>
      <c r="AT1903">
        <v>0</v>
      </c>
      <c r="AV1903">
        <v>0</v>
      </c>
      <c r="AW1903">
        <v>0</v>
      </c>
      <c r="AY1903">
        <v>0</v>
      </c>
      <c r="AZ1903">
        <v>0</v>
      </c>
      <c r="BA1903">
        <v>0</v>
      </c>
      <c r="BF1903" t="str">
        <f>T("D236013")</f>
        <v>D236013</v>
      </c>
      <c r="BG1903" t="str">
        <f>T("로맨스 웹소설 &gt; 현대물")</f>
        <v>로맨스 웹소설 &gt; 현대물</v>
      </c>
    </row>
    <row r="1904" spans="1:59">
      <c r="A1904" t="s">
        <v>60</v>
      </c>
      <c r="B1904" s="1">
        <v>46131</v>
      </c>
      <c r="C1904">
        <v>2378080955</v>
      </c>
      <c r="D1904">
        <v>2378080957</v>
      </c>
      <c r="E1904" t="str">
        <f>T("더 고스트(The Ghost)(15세 개정판) 3화")</f>
        <v>더 고스트(The Ghost)(15세 개정판) 3화</v>
      </c>
      <c r="F1904">
        <v>3</v>
      </c>
      <c r="G1904" t="str">
        <f>T("윤산")</f>
        <v>윤산</v>
      </c>
      <c r="J1904" t="str">
        <f>T("하트퀸")</f>
        <v>하트퀸</v>
      </c>
      <c r="K1904" t="str">
        <f>T("더 고스트(The Ghost)(15세 개정판)")</f>
        <v>더 고스트(The Ghost)(15세 개정판)</v>
      </c>
      <c r="L1904">
        <v>0</v>
      </c>
      <c r="M1904">
        <v>0</v>
      </c>
      <c r="N1904">
        <v>0</v>
      </c>
      <c r="O1904">
        <v>1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1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S1904">
        <v>0</v>
      </c>
      <c r="AT1904">
        <v>0</v>
      </c>
      <c r="AV1904">
        <v>0</v>
      </c>
      <c r="AW1904">
        <v>0</v>
      </c>
      <c r="AY1904">
        <v>0</v>
      </c>
      <c r="AZ1904">
        <v>0</v>
      </c>
      <c r="BA1904">
        <v>0</v>
      </c>
      <c r="BF1904" t="str">
        <f>T("D236014")</f>
        <v>D236014</v>
      </c>
      <c r="BG1904" t="str">
        <f>T("로맨스 웹소설 &gt; 현대물")</f>
        <v>로맨스 웹소설 &gt; 현대물</v>
      </c>
    </row>
    <row r="1905" spans="1:59">
      <c r="A1905" t="s">
        <v>60</v>
      </c>
      <c r="B1905" s="1">
        <v>46131</v>
      </c>
      <c r="C1905">
        <v>2378080955</v>
      </c>
      <c r="D1905">
        <v>2378080959</v>
      </c>
      <c r="E1905" t="str">
        <f>T("더 고스트(The Ghost)(15세 개정판) 5화")</f>
        <v>더 고스트(The Ghost)(15세 개정판) 5화</v>
      </c>
      <c r="F1905">
        <v>5</v>
      </c>
      <c r="G1905" t="str">
        <f>T("윤산")</f>
        <v>윤산</v>
      </c>
      <c r="J1905" t="str">
        <f>T("하트퀸")</f>
        <v>하트퀸</v>
      </c>
      <c r="K1905" t="str">
        <f>T("더 고스트(The Ghost)(15세 개정판)")</f>
        <v>더 고스트(The Ghost)(15세 개정판)</v>
      </c>
      <c r="L1905">
        <v>100</v>
      </c>
      <c r="M1905">
        <v>100</v>
      </c>
      <c r="N1905">
        <v>1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100</v>
      </c>
      <c r="AJ1905">
        <v>1</v>
      </c>
      <c r="AK1905">
        <v>0</v>
      </c>
      <c r="AL1905">
        <v>0</v>
      </c>
      <c r="AM1905">
        <v>0</v>
      </c>
      <c r="AN1905">
        <v>0</v>
      </c>
      <c r="AO1905">
        <v>120</v>
      </c>
      <c r="AP1905">
        <v>-12</v>
      </c>
      <c r="AQ1905">
        <v>0</v>
      </c>
      <c r="AS1905">
        <v>0</v>
      </c>
      <c r="AT1905">
        <v>0</v>
      </c>
      <c r="AU1905">
        <v>120</v>
      </c>
      <c r="AV1905">
        <v>-12</v>
      </c>
      <c r="AW1905">
        <v>0</v>
      </c>
      <c r="AY1905">
        <v>0</v>
      </c>
      <c r="AZ1905">
        <v>0</v>
      </c>
      <c r="BA1905">
        <v>64.8</v>
      </c>
      <c r="BF1905" t="str">
        <f>T("D236016")</f>
        <v>D236016</v>
      </c>
      <c r="BG1905" t="str">
        <f>T("로맨스 웹소설 &gt; 현대물")</f>
        <v>로맨스 웹소설 &gt; 현대물</v>
      </c>
    </row>
    <row r="1906" spans="1:59">
      <c r="A1906" t="s">
        <v>60</v>
      </c>
      <c r="B1906" s="1">
        <v>46131</v>
      </c>
      <c r="C1906">
        <v>2378080955</v>
      </c>
      <c r="D1906">
        <v>2378080960</v>
      </c>
      <c r="E1906" t="str">
        <f>T("더 고스트(The Ghost)(15세 개정판) 6화")</f>
        <v>더 고스트(The Ghost)(15세 개정판) 6화</v>
      </c>
      <c r="F1906">
        <v>6</v>
      </c>
      <c r="G1906" t="str">
        <f>T("윤산")</f>
        <v>윤산</v>
      </c>
      <c r="J1906" t="str">
        <f>T("하트퀸")</f>
        <v>하트퀸</v>
      </c>
      <c r="K1906" t="str">
        <f>T("더 고스트(The Ghost)(15세 개정판)")</f>
        <v>더 고스트(The Ghost)(15세 개정판)</v>
      </c>
      <c r="L1906">
        <v>100</v>
      </c>
      <c r="M1906">
        <v>100</v>
      </c>
      <c r="N1906">
        <v>1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100</v>
      </c>
      <c r="AJ1906">
        <v>1</v>
      </c>
      <c r="AK1906">
        <v>0</v>
      </c>
      <c r="AL1906">
        <v>0</v>
      </c>
      <c r="AM1906">
        <v>0</v>
      </c>
      <c r="AN1906">
        <v>0</v>
      </c>
      <c r="AO1906">
        <v>120</v>
      </c>
      <c r="AP1906">
        <v>-12</v>
      </c>
      <c r="AQ1906">
        <v>0</v>
      </c>
      <c r="AS1906">
        <v>0</v>
      </c>
      <c r="AT1906">
        <v>0</v>
      </c>
      <c r="AU1906">
        <v>120</v>
      </c>
      <c r="AV1906">
        <v>-12</v>
      </c>
      <c r="AW1906">
        <v>0</v>
      </c>
      <c r="AY1906">
        <v>0</v>
      </c>
      <c r="AZ1906">
        <v>0</v>
      </c>
      <c r="BA1906">
        <v>64.8</v>
      </c>
      <c r="BF1906" t="str">
        <f>T("D236017")</f>
        <v>D236017</v>
      </c>
      <c r="BG1906" t="str">
        <f>T("로맨스 웹소설 &gt; 현대물")</f>
        <v>로맨스 웹소설 &gt; 현대물</v>
      </c>
    </row>
    <row r="1907" spans="1:59">
      <c r="A1907" t="s">
        <v>60</v>
      </c>
      <c r="B1907" s="1">
        <v>46131</v>
      </c>
      <c r="C1907">
        <v>2378080955</v>
      </c>
      <c r="D1907">
        <v>2378080961</v>
      </c>
      <c r="E1907" t="str">
        <f>T("더 고스트(The Ghost)(15세 개정판) 7화")</f>
        <v>더 고스트(The Ghost)(15세 개정판) 7화</v>
      </c>
      <c r="F1907">
        <v>7</v>
      </c>
      <c r="G1907" t="str">
        <f>T("윤산")</f>
        <v>윤산</v>
      </c>
      <c r="J1907" t="str">
        <f>T("하트퀸")</f>
        <v>하트퀸</v>
      </c>
      <c r="K1907" t="str">
        <f>T("더 고스트(The Ghost)(15세 개정판)")</f>
        <v>더 고스트(The Ghost)(15세 개정판)</v>
      </c>
      <c r="L1907">
        <v>100</v>
      </c>
      <c r="M1907">
        <v>100</v>
      </c>
      <c r="N1907">
        <v>1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100</v>
      </c>
      <c r="AJ1907">
        <v>1</v>
      </c>
      <c r="AK1907">
        <v>0</v>
      </c>
      <c r="AL1907">
        <v>0</v>
      </c>
      <c r="AM1907">
        <v>0</v>
      </c>
      <c r="AN1907">
        <v>0</v>
      </c>
      <c r="AO1907">
        <v>120</v>
      </c>
      <c r="AP1907">
        <v>-12</v>
      </c>
      <c r="AQ1907">
        <v>0</v>
      </c>
      <c r="AS1907">
        <v>0</v>
      </c>
      <c r="AT1907">
        <v>0</v>
      </c>
      <c r="AU1907">
        <v>120</v>
      </c>
      <c r="AV1907">
        <v>-12</v>
      </c>
      <c r="AW1907">
        <v>0</v>
      </c>
      <c r="AY1907">
        <v>0</v>
      </c>
      <c r="AZ1907">
        <v>0</v>
      </c>
      <c r="BA1907">
        <v>64.8</v>
      </c>
      <c r="BF1907" t="str">
        <f>T("D236018")</f>
        <v>D236018</v>
      </c>
      <c r="BG1907" t="str">
        <f>T("로맨스 웹소설 &gt; 현대물")</f>
        <v>로맨스 웹소설 &gt; 현대물</v>
      </c>
    </row>
    <row r="1908" spans="1:59">
      <c r="A1908" t="s">
        <v>60</v>
      </c>
      <c r="B1908" s="1">
        <v>46131</v>
      </c>
      <c r="C1908">
        <v>2378080955</v>
      </c>
      <c r="D1908">
        <v>2378080962</v>
      </c>
      <c r="E1908" t="str">
        <f>T("더 고스트(The Ghost)(15세 개정판) 8화")</f>
        <v>더 고스트(The Ghost)(15세 개정판) 8화</v>
      </c>
      <c r="F1908">
        <v>8</v>
      </c>
      <c r="G1908" t="str">
        <f>T("윤산")</f>
        <v>윤산</v>
      </c>
      <c r="J1908" t="str">
        <f>T("하트퀸")</f>
        <v>하트퀸</v>
      </c>
      <c r="K1908" t="str">
        <f>T("더 고스트(The Ghost)(15세 개정판)")</f>
        <v>더 고스트(The Ghost)(15세 개정판)</v>
      </c>
      <c r="L1908">
        <v>100</v>
      </c>
      <c r="M1908">
        <v>100</v>
      </c>
      <c r="N1908">
        <v>1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100</v>
      </c>
      <c r="AJ1908">
        <v>1</v>
      </c>
      <c r="AK1908">
        <v>0</v>
      </c>
      <c r="AL1908">
        <v>0</v>
      </c>
      <c r="AM1908">
        <v>0</v>
      </c>
      <c r="AN1908">
        <v>0</v>
      </c>
      <c r="AO1908">
        <v>120</v>
      </c>
      <c r="AP1908">
        <v>-12</v>
      </c>
      <c r="AQ1908">
        <v>0</v>
      </c>
      <c r="AS1908">
        <v>0</v>
      </c>
      <c r="AT1908">
        <v>0</v>
      </c>
      <c r="AU1908">
        <v>120</v>
      </c>
      <c r="AV1908">
        <v>-12</v>
      </c>
      <c r="AW1908">
        <v>0</v>
      </c>
      <c r="AY1908">
        <v>0</v>
      </c>
      <c r="AZ1908">
        <v>0</v>
      </c>
      <c r="BA1908">
        <v>64.8</v>
      </c>
      <c r="BF1908" t="str">
        <f>T("D236019")</f>
        <v>D236019</v>
      </c>
      <c r="BG1908" t="str">
        <f>T("로맨스 웹소설 &gt; 현대물")</f>
        <v>로맨스 웹소설 &gt; 현대물</v>
      </c>
    </row>
    <row r="1909" spans="1:59">
      <c r="A1909" t="s">
        <v>60</v>
      </c>
      <c r="B1909" s="1">
        <v>46131</v>
      </c>
      <c r="C1909">
        <v>2378080955</v>
      </c>
      <c r="D1909">
        <v>2378080963</v>
      </c>
      <c r="E1909" t="str">
        <f>T("더 고스트(The Ghost)(15세 개정판) 9화")</f>
        <v>더 고스트(The Ghost)(15세 개정판) 9화</v>
      </c>
      <c r="F1909">
        <v>9</v>
      </c>
      <c r="G1909" t="str">
        <f>T("윤산")</f>
        <v>윤산</v>
      </c>
      <c r="J1909" t="str">
        <f>T("하트퀸")</f>
        <v>하트퀸</v>
      </c>
      <c r="K1909" t="str">
        <f>T("더 고스트(The Ghost)(15세 개정판)")</f>
        <v>더 고스트(The Ghost)(15세 개정판)</v>
      </c>
      <c r="L1909">
        <v>100</v>
      </c>
      <c r="M1909">
        <v>100</v>
      </c>
      <c r="N1909">
        <v>1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100</v>
      </c>
      <c r="AJ1909">
        <v>1</v>
      </c>
      <c r="AK1909">
        <v>0</v>
      </c>
      <c r="AL1909">
        <v>0</v>
      </c>
      <c r="AM1909">
        <v>0</v>
      </c>
      <c r="AN1909">
        <v>0</v>
      </c>
      <c r="AO1909">
        <v>120</v>
      </c>
      <c r="AP1909">
        <v>-12</v>
      </c>
      <c r="AQ1909">
        <v>0</v>
      </c>
      <c r="AS1909">
        <v>0</v>
      </c>
      <c r="AT1909">
        <v>0</v>
      </c>
      <c r="AU1909">
        <v>120</v>
      </c>
      <c r="AV1909">
        <v>-12</v>
      </c>
      <c r="AW1909">
        <v>0</v>
      </c>
      <c r="AY1909">
        <v>0</v>
      </c>
      <c r="AZ1909">
        <v>0</v>
      </c>
      <c r="BA1909">
        <v>64.8</v>
      </c>
      <c r="BF1909" t="str">
        <f>T("D236020")</f>
        <v>D236020</v>
      </c>
      <c r="BG1909" t="str">
        <f>T("로맨스 웹소설 &gt; 현대물")</f>
        <v>로맨스 웹소설 &gt; 현대물</v>
      </c>
    </row>
    <row r="1910" spans="1:59">
      <c r="A1910" t="s">
        <v>60</v>
      </c>
      <c r="B1910" s="1">
        <v>46131</v>
      </c>
      <c r="C1910">
        <v>2378080955</v>
      </c>
      <c r="D1910">
        <v>2378080964</v>
      </c>
      <c r="E1910" t="str">
        <f>T("더 고스트(The Ghost)(15세 개정판) 10화")</f>
        <v>더 고스트(The Ghost)(15세 개정판) 10화</v>
      </c>
      <c r="F1910">
        <v>10</v>
      </c>
      <c r="G1910" t="str">
        <f>T("윤산")</f>
        <v>윤산</v>
      </c>
      <c r="J1910" t="str">
        <f>T("하트퀸")</f>
        <v>하트퀸</v>
      </c>
      <c r="K1910" t="str">
        <f>T("더 고스트(The Ghost)(15세 개정판)")</f>
        <v>더 고스트(The Ghost)(15세 개정판)</v>
      </c>
      <c r="L1910">
        <v>100</v>
      </c>
      <c r="M1910">
        <v>100</v>
      </c>
      <c r="N1910">
        <v>1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100</v>
      </c>
      <c r="AJ1910">
        <v>1</v>
      </c>
      <c r="AK1910">
        <v>0</v>
      </c>
      <c r="AL1910">
        <v>0</v>
      </c>
      <c r="AM1910">
        <v>0</v>
      </c>
      <c r="AN1910">
        <v>0</v>
      </c>
      <c r="AO1910">
        <v>120</v>
      </c>
      <c r="AP1910">
        <v>-12</v>
      </c>
      <c r="AQ1910">
        <v>0</v>
      </c>
      <c r="AS1910">
        <v>0</v>
      </c>
      <c r="AT1910">
        <v>0</v>
      </c>
      <c r="AU1910">
        <v>120</v>
      </c>
      <c r="AV1910">
        <v>-12</v>
      </c>
      <c r="AW1910">
        <v>0</v>
      </c>
      <c r="AY1910">
        <v>0</v>
      </c>
      <c r="AZ1910">
        <v>0</v>
      </c>
      <c r="BA1910">
        <v>64.8</v>
      </c>
      <c r="BF1910" t="str">
        <f>T("D236021")</f>
        <v>D236021</v>
      </c>
      <c r="BG1910" t="str">
        <f>T("로맨스 웹소설 &gt; 현대물")</f>
        <v>로맨스 웹소설 &gt; 현대물</v>
      </c>
    </row>
    <row r="1911" spans="1:59">
      <c r="A1911" t="s">
        <v>60</v>
      </c>
      <c r="B1911" s="1">
        <v>46131</v>
      </c>
      <c r="C1911">
        <v>2378080955</v>
      </c>
      <c r="D1911">
        <v>2378080965</v>
      </c>
      <c r="E1911" t="str">
        <f>T("더 고스트(The Ghost)(15세 개정판) 11화")</f>
        <v>더 고스트(The Ghost)(15세 개정판) 11화</v>
      </c>
      <c r="F1911">
        <v>11</v>
      </c>
      <c r="G1911" t="str">
        <f>T("윤산")</f>
        <v>윤산</v>
      </c>
      <c r="J1911" t="str">
        <f>T("하트퀸")</f>
        <v>하트퀸</v>
      </c>
      <c r="K1911" t="str">
        <f>T("더 고스트(The Ghost)(15세 개정판)")</f>
        <v>더 고스트(The Ghost)(15세 개정판)</v>
      </c>
      <c r="L1911">
        <v>100</v>
      </c>
      <c r="M1911">
        <v>100</v>
      </c>
      <c r="N1911">
        <v>1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0</v>
      </c>
      <c r="AH1911">
        <v>0</v>
      </c>
      <c r="AI1911">
        <v>100</v>
      </c>
      <c r="AJ1911">
        <v>1</v>
      </c>
      <c r="AK1911">
        <v>0</v>
      </c>
      <c r="AL1911">
        <v>0</v>
      </c>
      <c r="AM1911">
        <v>0</v>
      </c>
      <c r="AN1911">
        <v>0</v>
      </c>
      <c r="AO1911">
        <v>120</v>
      </c>
      <c r="AP1911">
        <v>-12</v>
      </c>
      <c r="AQ1911">
        <v>0</v>
      </c>
      <c r="AS1911">
        <v>0</v>
      </c>
      <c r="AT1911">
        <v>0</v>
      </c>
      <c r="AU1911">
        <v>120</v>
      </c>
      <c r="AV1911">
        <v>-12</v>
      </c>
      <c r="AW1911">
        <v>0</v>
      </c>
      <c r="AY1911">
        <v>0</v>
      </c>
      <c r="AZ1911">
        <v>0</v>
      </c>
      <c r="BA1911">
        <v>64.8</v>
      </c>
      <c r="BF1911" t="str">
        <f>T("D236022")</f>
        <v>D236022</v>
      </c>
      <c r="BG1911" t="str">
        <f>T("로맨스 웹소설 &gt; 현대물")</f>
        <v>로맨스 웹소설 &gt; 현대물</v>
      </c>
    </row>
    <row r="1912" spans="1:59">
      <c r="A1912" t="s">
        <v>60</v>
      </c>
      <c r="B1912" s="1">
        <v>46131</v>
      </c>
      <c r="C1912">
        <v>2378080955</v>
      </c>
      <c r="D1912">
        <v>2378080966</v>
      </c>
      <c r="E1912" t="str">
        <f>T("더 고스트(The Ghost)(15세 개정판) 12화")</f>
        <v>더 고스트(The Ghost)(15세 개정판) 12화</v>
      </c>
      <c r="F1912">
        <v>12</v>
      </c>
      <c r="G1912" t="str">
        <f>T("윤산")</f>
        <v>윤산</v>
      </c>
      <c r="J1912" t="str">
        <f>T("하트퀸")</f>
        <v>하트퀸</v>
      </c>
      <c r="K1912" t="str">
        <f>T("더 고스트(The Ghost)(15세 개정판)")</f>
        <v>더 고스트(The Ghost)(15세 개정판)</v>
      </c>
      <c r="L1912">
        <v>100</v>
      </c>
      <c r="M1912">
        <v>100</v>
      </c>
      <c r="N1912">
        <v>1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100</v>
      </c>
      <c r="AJ1912">
        <v>1</v>
      </c>
      <c r="AK1912">
        <v>0</v>
      </c>
      <c r="AL1912">
        <v>0</v>
      </c>
      <c r="AM1912">
        <v>0</v>
      </c>
      <c r="AN1912">
        <v>0</v>
      </c>
      <c r="AO1912">
        <v>120</v>
      </c>
      <c r="AP1912">
        <v>-12</v>
      </c>
      <c r="AQ1912">
        <v>0</v>
      </c>
      <c r="AS1912">
        <v>0</v>
      </c>
      <c r="AT1912">
        <v>0</v>
      </c>
      <c r="AU1912">
        <v>120</v>
      </c>
      <c r="AV1912">
        <v>-12</v>
      </c>
      <c r="AW1912">
        <v>0</v>
      </c>
      <c r="AY1912">
        <v>0</v>
      </c>
      <c r="AZ1912">
        <v>0</v>
      </c>
      <c r="BA1912">
        <v>64.8</v>
      </c>
      <c r="BF1912" t="str">
        <f>T("D236023")</f>
        <v>D236023</v>
      </c>
      <c r="BG1912" t="str">
        <f>T("로맨스 웹소설 &gt; 현대물")</f>
        <v>로맨스 웹소설 &gt; 현대물</v>
      </c>
    </row>
    <row r="1913" spans="1:59">
      <c r="A1913" t="s">
        <v>60</v>
      </c>
      <c r="B1913" s="1">
        <v>46131</v>
      </c>
      <c r="C1913">
        <v>2378080955</v>
      </c>
      <c r="D1913">
        <v>2378081017</v>
      </c>
      <c r="E1913" t="str">
        <f>T("더 고스트(The Ghost)(15세 개정판) 56화")</f>
        <v>더 고스트(The Ghost)(15세 개정판) 56화</v>
      </c>
      <c r="F1913">
        <v>56</v>
      </c>
      <c r="G1913" t="str">
        <f>T("윤산")</f>
        <v>윤산</v>
      </c>
      <c r="J1913" t="str">
        <f>T("하트퀸")</f>
        <v>하트퀸</v>
      </c>
      <c r="K1913" t="str">
        <f>T("더 고스트(The Ghost)(15세 개정판)")</f>
        <v>더 고스트(The Ghost)(15세 개정판)</v>
      </c>
      <c r="L1913">
        <v>100</v>
      </c>
      <c r="M1913">
        <v>100</v>
      </c>
      <c r="N1913">
        <v>1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100</v>
      </c>
      <c r="AJ1913">
        <v>1</v>
      </c>
      <c r="AK1913">
        <v>0</v>
      </c>
      <c r="AL1913">
        <v>0</v>
      </c>
      <c r="AM1913">
        <v>0</v>
      </c>
      <c r="AN1913">
        <v>0</v>
      </c>
      <c r="AO1913">
        <v>120</v>
      </c>
      <c r="AP1913">
        <v>-12</v>
      </c>
      <c r="AQ1913">
        <v>0</v>
      </c>
      <c r="AS1913">
        <v>0</v>
      </c>
      <c r="AT1913">
        <v>0</v>
      </c>
      <c r="AU1913">
        <v>120</v>
      </c>
      <c r="AV1913">
        <v>-12</v>
      </c>
      <c r="AW1913">
        <v>0</v>
      </c>
      <c r="AY1913">
        <v>0</v>
      </c>
      <c r="AZ1913">
        <v>0</v>
      </c>
      <c r="BA1913">
        <v>64.8</v>
      </c>
      <c r="BF1913" t="str">
        <f>T("D236067")</f>
        <v>D236067</v>
      </c>
      <c r="BG1913" t="str">
        <f>T("로맨스 웹소설 &gt; 현대물")</f>
        <v>로맨스 웹소설 &gt; 현대물</v>
      </c>
    </row>
    <row r="1914" spans="1:59">
      <c r="A1914" t="s">
        <v>60</v>
      </c>
      <c r="B1914" s="1">
        <v>46131</v>
      </c>
      <c r="C1914">
        <v>2378080955</v>
      </c>
      <c r="D1914">
        <v>2378081018</v>
      </c>
      <c r="E1914" t="str">
        <f>T("더 고스트(The Ghost)(15세 개정판) 57화 (완결)")</f>
        <v>더 고스트(The Ghost)(15세 개정판) 57화 (완결)</v>
      </c>
      <c r="F1914">
        <v>57</v>
      </c>
      <c r="G1914" t="str">
        <f>T("윤산")</f>
        <v>윤산</v>
      </c>
      <c r="J1914" t="str">
        <f>T("하트퀸")</f>
        <v>하트퀸</v>
      </c>
      <c r="K1914" t="str">
        <f>T("더 고스트(The Ghost)(15세 개정판)")</f>
        <v>더 고스트(The Ghost)(15세 개정판)</v>
      </c>
      <c r="L1914">
        <v>100</v>
      </c>
      <c r="M1914">
        <v>100</v>
      </c>
      <c r="N1914">
        <v>1</v>
      </c>
      <c r="O1914">
        <v>0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0</v>
      </c>
      <c r="AH1914">
        <v>0</v>
      </c>
      <c r="AI1914">
        <v>100</v>
      </c>
      <c r="AJ1914">
        <v>1</v>
      </c>
      <c r="AK1914">
        <v>0</v>
      </c>
      <c r="AL1914">
        <v>0</v>
      </c>
      <c r="AM1914">
        <v>0</v>
      </c>
      <c r="AN1914">
        <v>0</v>
      </c>
      <c r="AO1914">
        <v>120</v>
      </c>
      <c r="AP1914">
        <v>-12</v>
      </c>
      <c r="AQ1914">
        <v>0</v>
      </c>
      <c r="AS1914">
        <v>0</v>
      </c>
      <c r="AT1914">
        <v>0</v>
      </c>
      <c r="AU1914">
        <v>120</v>
      </c>
      <c r="AV1914">
        <v>-12</v>
      </c>
      <c r="AW1914">
        <v>0</v>
      </c>
      <c r="AY1914">
        <v>0</v>
      </c>
      <c r="AZ1914">
        <v>0</v>
      </c>
      <c r="BA1914">
        <v>64.8</v>
      </c>
      <c r="BF1914" t="str">
        <f>T("D236068")</f>
        <v>D236068</v>
      </c>
      <c r="BG1914" t="str">
        <f>T("로맨스 웹소설 &gt; 현대물")</f>
        <v>로맨스 웹소설 &gt; 현대물</v>
      </c>
    </row>
    <row r="1915" spans="1:59">
      <c r="A1915" t="s">
        <v>60</v>
      </c>
      <c r="B1915" s="1">
        <v>46131</v>
      </c>
      <c r="C1915">
        <v>2378080955</v>
      </c>
      <c r="D1915">
        <v>2378080955</v>
      </c>
      <c r="E1915" t="str">
        <f>T("더 고스트(The Ghost)(15세 개정판) 1화")</f>
        <v>더 고스트(The Ghost)(15세 개정판) 1화</v>
      </c>
      <c r="F1915">
        <v>1</v>
      </c>
      <c r="G1915" t="str">
        <f>T("윤산")</f>
        <v>윤산</v>
      </c>
      <c r="J1915" t="str">
        <f>T("하트퀸")</f>
        <v>하트퀸</v>
      </c>
      <c r="K1915" t="str">
        <f>T("더 고스트(The Ghost)(15세 개정판)")</f>
        <v>더 고스트(The Ghost)(15세 개정판)</v>
      </c>
      <c r="L1915">
        <v>0</v>
      </c>
      <c r="M1915">
        <v>0</v>
      </c>
      <c r="N1915">
        <v>0</v>
      </c>
      <c r="O1915">
        <v>3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0</v>
      </c>
      <c r="AI1915">
        <v>0</v>
      </c>
      <c r="AJ1915">
        <v>3</v>
      </c>
      <c r="AK1915">
        <v>0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S1915">
        <v>0</v>
      </c>
      <c r="AT1915">
        <v>0</v>
      </c>
      <c r="AV1915">
        <v>0</v>
      </c>
      <c r="AW1915">
        <v>0</v>
      </c>
      <c r="AY1915">
        <v>0</v>
      </c>
      <c r="AZ1915">
        <v>0</v>
      </c>
      <c r="BA1915">
        <v>0</v>
      </c>
      <c r="BF1915" t="str">
        <f>T("D236012")</f>
        <v>D236012</v>
      </c>
      <c r="BG1915" t="str">
        <f>T("로맨스 웹소설 &gt; 현대물")</f>
        <v>로맨스 웹소설 &gt; 현대물</v>
      </c>
    </row>
    <row r="1916" spans="1:59">
      <c r="A1916" t="s">
        <v>60</v>
      </c>
      <c r="B1916" s="1">
        <v>46129</v>
      </c>
      <c r="C1916">
        <v>2378081114</v>
      </c>
      <c r="D1916">
        <v>2378081114</v>
      </c>
      <c r="E1916" t="str">
        <f>T("던전이 자꾸 이상한 짓을 시켜요 1화")</f>
        <v>던전이 자꾸 이상한 짓을 시켜요 1화</v>
      </c>
      <c r="F1916">
        <v>1</v>
      </c>
      <c r="G1916" t="str">
        <f>T("필밤")</f>
        <v>필밤</v>
      </c>
      <c r="J1916" t="str">
        <f>T("시계토끼")</f>
        <v>시계토끼</v>
      </c>
      <c r="K1916" t="str">
        <f>T("던전이 자꾸 이상한 짓을 시켜요")</f>
        <v>던전이 자꾸 이상한 짓을 시켜요</v>
      </c>
      <c r="L1916">
        <v>0</v>
      </c>
      <c r="M1916">
        <v>0</v>
      </c>
      <c r="N1916">
        <v>0</v>
      </c>
      <c r="O1916">
        <v>18</v>
      </c>
      <c r="P1916">
        <v>0</v>
      </c>
      <c r="Q1916">
        <v>0</v>
      </c>
      <c r="R1916">
        <v>54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72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S1916">
        <v>0</v>
      </c>
      <c r="AT1916">
        <v>0</v>
      </c>
      <c r="AV1916">
        <v>0</v>
      </c>
      <c r="AW1916">
        <v>0</v>
      </c>
      <c r="AY1916">
        <v>0</v>
      </c>
      <c r="AZ1916">
        <v>0</v>
      </c>
      <c r="BA1916">
        <v>0</v>
      </c>
      <c r="BF1916" t="str">
        <f>T("D268731")</f>
        <v>D268731</v>
      </c>
      <c r="BG1916" t="str">
        <f>T("로판 웹소설 &gt; 서양풍 로판")</f>
        <v>로판 웹소설 &gt; 서양풍 로판</v>
      </c>
    </row>
    <row r="1917" spans="1:59">
      <c r="A1917" t="s">
        <v>60</v>
      </c>
      <c r="B1917" s="1">
        <v>46129</v>
      </c>
      <c r="C1917">
        <v>2378081114</v>
      </c>
      <c r="D1917">
        <v>2378081115</v>
      </c>
      <c r="E1917" t="str">
        <f>T("던전이 자꾸 이상한 짓을 시켜요 2화")</f>
        <v>던전이 자꾸 이상한 짓을 시켜요 2화</v>
      </c>
      <c r="F1917">
        <v>2</v>
      </c>
      <c r="G1917" t="str">
        <f>T("필밤")</f>
        <v>필밤</v>
      </c>
      <c r="J1917" t="str">
        <f>T("시계토끼")</f>
        <v>시계토끼</v>
      </c>
      <c r="K1917" t="str">
        <f>T("던전이 자꾸 이상한 짓을 시켜요")</f>
        <v>던전이 자꾸 이상한 짓을 시켜요</v>
      </c>
      <c r="L1917">
        <v>0</v>
      </c>
      <c r="M1917">
        <v>0</v>
      </c>
      <c r="N1917">
        <v>0</v>
      </c>
      <c r="O1917">
        <v>16</v>
      </c>
      <c r="P1917">
        <v>0</v>
      </c>
      <c r="Q1917">
        <v>0</v>
      </c>
      <c r="R1917">
        <v>39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55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S1917">
        <v>0</v>
      </c>
      <c r="AT1917">
        <v>0</v>
      </c>
      <c r="AV1917">
        <v>0</v>
      </c>
      <c r="AW1917">
        <v>0</v>
      </c>
      <c r="AY1917">
        <v>0</v>
      </c>
      <c r="AZ1917">
        <v>0</v>
      </c>
      <c r="BA1917">
        <v>0</v>
      </c>
      <c r="BF1917" t="str">
        <f>T("D268732")</f>
        <v>D268732</v>
      </c>
      <c r="BG1917" t="str">
        <f>T("로판 웹소설 &gt; 서양풍 로판")</f>
        <v>로판 웹소설 &gt; 서양풍 로판</v>
      </c>
    </row>
    <row r="1918" spans="1:59">
      <c r="A1918" t="s">
        <v>60</v>
      </c>
      <c r="B1918" s="1">
        <v>46129</v>
      </c>
      <c r="C1918">
        <v>2378081114</v>
      </c>
      <c r="D1918">
        <v>2378081116</v>
      </c>
      <c r="E1918" t="str">
        <f>T("던전이 자꾸 이상한 짓을 시켜요 3화")</f>
        <v>던전이 자꾸 이상한 짓을 시켜요 3화</v>
      </c>
      <c r="F1918">
        <v>3</v>
      </c>
      <c r="G1918" t="str">
        <f>T("필밤")</f>
        <v>필밤</v>
      </c>
      <c r="J1918" t="str">
        <f>T("시계토끼")</f>
        <v>시계토끼</v>
      </c>
      <c r="K1918" t="str">
        <f>T("던전이 자꾸 이상한 짓을 시켜요")</f>
        <v>던전이 자꾸 이상한 짓을 시켜요</v>
      </c>
      <c r="L1918">
        <v>0</v>
      </c>
      <c r="M1918">
        <v>0</v>
      </c>
      <c r="N1918">
        <v>0</v>
      </c>
      <c r="O1918">
        <v>15</v>
      </c>
      <c r="P1918">
        <v>0</v>
      </c>
      <c r="Q1918">
        <v>0</v>
      </c>
      <c r="R1918">
        <v>31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46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S1918">
        <v>0</v>
      </c>
      <c r="AT1918">
        <v>0</v>
      </c>
      <c r="AV1918">
        <v>0</v>
      </c>
      <c r="AW1918">
        <v>0</v>
      </c>
      <c r="AY1918">
        <v>0</v>
      </c>
      <c r="AZ1918">
        <v>0</v>
      </c>
      <c r="BA1918">
        <v>0</v>
      </c>
      <c r="BF1918" t="str">
        <f>T("D268733")</f>
        <v>D268733</v>
      </c>
      <c r="BG1918" t="str">
        <f>T("로판 웹소설 &gt; 서양풍 로판")</f>
        <v>로판 웹소설 &gt; 서양풍 로판</v>
      </c>
    </row>
    <row r="1919" spans="1:59">
      <c r="A1919" t="s">
        <v>60</v>
      </c>
      <c r="B1919" s="1">
        <v>46129</v>
      </c>
      <c r="C1919">
        <v>2378081114</v>
      </c>
      <c r="D1919">
        <v>2378081117</v>
      </c>
      <c r="E1919" t="str">
        <f>T("던전이 자꾸 이상한 짓을 시켜요 4화")</f>
        <v>던전이 자꾸 이상한 짓을 시켜요 4화</v>
      </c>
      <c r="F1919">
        <v>4</v>
      </c>
      <c r="G1919" t="str">
        <f>T("필밤")</f>
        <v>필밤</v>
      </c>
      <c r="J1919" t="str">
        <f>T("시계토끼")</f>
        <v>시계토끼</v>
      </c>
      <c r="K1919" t="str">
        <f>T("던전이 자꾸 이상한 짓을 시켜요")</f>
        <v>던전이 자꾸 이상한 짓을 시켜요</v>
      </c>
      <c r="L1919">
        <v>0</v>
      </c>
      <c r="M1919">
        <v>0</v>
      </c>
      <c r="N1919">
        <v>0</v>
      </c>
      <c r="O1919">
        <v>15</v>
      </c>
      <c r="P1919">
        <v>0</v>
      </c>
      <c r="Q1919">
        <v>0</v>
      </c>
      <c r="R1919">
        <v>29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0</v>
      </c>
      <c r="AI1919">
        <v>0</v>
      </c>
      <c r="AJ1919">
        <v>44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S1919">
        <v>0</v>
      </c>
      <c r="AT1919">
        <v>0</v>
      </c>
      <c r="AV1919">
        <v>0</v>
      </c>
      <c r="AW1919">
        <v>0</v>
      </c>
      <c r="AY1919">
        <v>0</v>
      </c>
      <c r="AZ1919">
        <v>0</v>
      </c>
      <c r="BA1919">
        <v>0</v>
      </c>
      <c r="BF1919" t="str">
        <f>T("D268734")</f>
        <v>D268734</v>
      </c>
      <c r="BG1919" t="str">
        <f>T("로판 웹소설 &gt; 서양풍 로판")</f>
        <v>로판 웹소설 &gt; 서양풍 로판</v>
      </c>
    </row>
    <row r="1920" spans="1:59">
      <c r="A1920" t="s">
        <v>60</v>
      </c>
      <c r="B1920" s="1">
        <v>46129</v>
      </c>
      <c r="C1920">
        <v>2378081114</v>
      </c>
      <c r="D1920">
        <v>2378081118</v>
      </c>
      <c r="E1920" t="str">
        <f>T("던전이 자꾸 이상한 짓을 시켜요 5화")</f>
        <v>던전이 자꾸 이상한 짓을 시켜요 5화</v>
      </c>
      <c r="F1920">
        <v>5</v>
      </c>
      <c r="G1920" t="str">
        <f>T("필밤")</f>
        <v>필밤</v>
      </c>
      <c r="J1920" t="str">
        <f>T("시계토끼")</f>
        <v>시계토끼</v>
      </c>
      <c r="K1920" t="str">
        <f>T("던전이 자꾸 이상한 짓을 시켜요")</f>
        <v>던전이 자꾸 이상한 짓을 시켜요</v>
      </c>
      <c r="L1920">
        <v>0</v>
      </c>
      <c r="M1920">
        <v>0</v>
      </c>
      <c r="N1920">
        <v>0</v>
      </c>
      <c r="O1920">
        <v>13</v>
      </c>
      <c r="P1920">
        <v>0</v>
      </c>
      <c r="Q1920">
        <v>0</v>
      </c>
      <c r="R1920">
        <v>31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44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S1920">
        <v>0</v>
      </c>
      <c r="AT1920">
        <v>0</v>
      </c>
      <c r="AV1920">
        <v>0</v>
      </c>
      <c r="AW1920">
        <v>0</v>
      </c>
      <c r="AY1920">
        <v>0</v>
      </c>
      <c r="AZ1920">
        <v>0</v>
      </c>
      <c r="BA1920">
        <v>0</v>
      </c>
      <c r="BF1920" t="str">
        <f>T("D268735")</f>
        <v>D268735</v>
      </c>
      <c r="BG1920" t="str">
        <f>T("로판 웹소설 &gt; 서양풍 로판")</f>
        <v>로판 웹소설 &gt; 서양풍 로판</v>
      </c>
    </row>
    <row r="1921" spans="1:59">
      <c r="A1921" t="s">
        <v>60</v>
      </c>
      <c r="B1921" s="1">
        <v>46129</v>
      </c>
      <c r="C1921">
        <v>2378081114</v>
      </c>
      <c r="D1921">
        <v>2378081119</v>
      </c>
      <c r="E1921" t="str">
        <f>T("던전이 자꾸 이상한 짓을 시켜요 6화")</f>
        <v>던전이 자꾸 이상한 짓을 시켜요 6화</v>
      </c>
      <c r="F1921">
        <v>6</v>
      </c>
      <c r="G1921" t="str">
        <f>T("필밤")</f>
        <v>필밤</v>
      </c>
      <c r="J1921" t="str">
        <f>T("시계토끼")</f>
        <v>시계토끼</v>
      </c>
      <c r="K1921" t="str">
        <f>T("던전이 자꾸 이상한 짓을 시켜요")</f>
        <v>던전이 자꾸 이상한 짓을 시켜요</v>
      </c>
      <c r="L1921">
        <v>100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49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0</v>
      </c>
      <c r="AH1921">
        <v>0</v>
      </c>
      <c r="AI1921">
        <v>0</v>
      </c>
      <c r="AJ1921">
        <v>49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S1921">
        <v>0</v>
      </c>
      <c r="AT1921">
        <v>0</v>
      </c>
      <c r="AV1921">
        <v>0</v>
      </c>
      <c r="AW1921">
        <v>0</v>
      </c>
      <c r="AY1921">
        <v>0</v>
      </c>
      <c r="AZ1921">
        <v>0</v>
      </c>
      <c r="BA1921">
        <v>0</v>
      </c>
      <c r="BF1921" t="str">
        <f>T("D268736")</f>
        <v>D268736</v>
      </c>
      <c r="BG1921" t="str">
        <f>T("로판 웹소설 &gt; 서양풍 로판")</f>
        <v>로판 웹소설 &gt; 서양풍 로판</v>
      </c>
    </row>
    <row r="1922" spans="1:59">
      <c r="A1922" t="s">
        <v>60</v>
      </c>
      <c r="B1922" s="1">
        <v>46129</v>
      </c>
      <c r="C1922">
        <v>2378081114</v>
      </c>
      <c r="D1922">
        <v>2378081120</v>
      </c>
      <c r="E1922" t="str">
        <f>T("던전이 자꾸 이상한 짓을 시켜요 7화")</f>
        <v>던전이 자꾸 이상한 짓을 시켜요 7화</v>
      </c>
      <c r="F1922">
        <v>7</v>
      </c>
      <c r="G1922" t="str">
        <f>T("필밤")</f>
        <v>필밤</v>
      </c>
      <c r="J1922" t="str">
        <f>T("시계토끼")</f>
        <v>시계토끼</v>
      </c>
      <c r="K1922" t="str">
        <f>T("던전이 자꾸 이상한 짓을 시켜요")</f>
        <v>던전이 자꾸 이상한 짓을 시켜요</v>
      </c>
      <c r="L1922">
        <v>100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46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46</v>
      </c>
      <c r="AK1922">
        <v>0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S1922">
        <v>0</v>
      </c>
      <c r="AT1922">
        <v>0</v>
      </c>
      <c r="AV1922">
        <v>0</v>
      </c>
      <c r="AW1922">
        <v>0</v>
      </c>
      <c r="AY1922">
        <v>0</v>
      </c>
      <c r="AZ1922">
        <v>0</v>
      </c>
      <c r="BA1922">
        <v>0</v>
      </c>
      <c r="BF1922" t="str">
        <f>T("D268737")</f>
        <v>D268737</v>
      </c>
      <c r="BG1922" t="str">
        <f>T("로판 웹소설 &gt; 서양풍 로판")</f>
        <v>로판 웹소설 &gt; 서양풍 로판</v>
      </c>
    </row>
    <row r="1923" spans="1:59">
      <c r="A1923" t="s">
        <v>60</v>
      </c>
      <c r="B1923" s="1">
        <v>46129</v>
      </c>
      <c r="C1923">
        <v>2378081114</v>
      </c>
      <c r="D1923">
        <v>2378081121</v>
      </c>
      <c r="E1923" t="str">
        <f>T("던전이 자꾸 이상한 짓을 시켜요 8화")</f>
        <v>던전이 자꾸 이상한 짓을 시켜요 8화</v>
      </c>
      <c r="F1923">
        <v>8</v>
      </c>
      <c r="G1923" t="str">
        <f>T("필밤")</f>
        <v>필밤</v>
      </c>
      <c r="J1923" t="str">
        <f>T("시계토끼")</f>
        <v>시계토끼</v>
      </c>
      <c r="K1923" t="str">
        <f>T("던전이 자꾸 이상한 짓을 시켜요")</f>
        <v>던전이 자꾸 이상한 짓을 시켜요</v>
      </c>
      <c r="L1923">
        <v>100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44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44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S1923">
        <v>0</v>
      </c>
      <c r="AT1923">
        <v>0</v>
      </c>
      <c r="AV1923">
        <v>0</v>
      </c>
      <c r="AW1923">
        <v>0</v>
      </c>
      <c r="AY1923">
        <v>0</v>
      </c>
      <c r="AZ1923">
        <v>0</v>
      </c>
      <c r="BA1923">
        <v>0</v>
      </c>
      <c r="BF1923" t="str">
        <f>T("D268738")</f>
        <v>D268738</v>
      </c>
      <c r="BG1923" t="str">
        <f>T("로판 웹소설 &gt; 서양풍 로판")</f>
        <v>로판 웹소설 &gt; 서양풍 로판</v>
      </c>
    </row>
    <row r="1924" spans="1:59">
      <c r="A1924" t="s">
        <v>60</v>
      </c>
      <c r="B1924" s="1">
        <v>46129</v>
      </c>
      <c r="C1924">
        <v>2378081114</v>
      </c>
      <c r="D1924">
        <v>2378081122</v>
      </c>
      <c r="E1924" t="str">
        <f>T("던전이 자꾸 이상한 짓을 시켜요 9화")</f>
        <v>던전이 자꾸 이상한 짓을 시켜요 9화</v>
      </c>
      <c r="F1924">
        <v>9</v>
      </c>
      <c r="G1924" t="str">
        <f>T("필밤")</f>
        <v>필밤</v>
      </c>
      <c r="J1924" t="str">
        <f>T("시계토끼")</f>
        <v>시계토끼</v>
      </c>
      <c r="K1924" t="str">
        <f>T("던전이 자꾸 이상한 짓을 시켜요")</f>
        <v>던전이 자꾸 이상한 짓을 시켜요</v>
      </c>
      <c r="L1924">
        <v>100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43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0</v>
      </c>
      <c r="AI1924">
        <v>0</v>
      </c>
      <c r="AJ1924">
        <v>43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S1924">
        <v>0</v>
      </c>
      <c r="AT1924">
        <v>0</v>
      </c>
      <c r="AV1924">
        <v>0</v>
      </c>
      <c r="AW1924">
        <v>0</v>
      </c>
      <c r="AY1924">
        <v>0</v>
      </c>
      <c r="AZ1924">
        <v>0</v>
      </c>
      <c r="BA1924">
        <v>0</v>
      </c>
      <c r="BF1924" t="str">
        <f>T("D268739")</f>
        <v>D268739</v>
      </c>
      <c r="BG1924" t="str">
        <f>T("로판 웹소설 &gt; 서양풍 로판")</f>
        <v>로판 웹소설 &gt; 서양풍 로판</v>
      </c>
    </row>
    <row r="1925" spans="1:59">
      <c r="A1925" t="s">
        <v>60</v>
      </c>
      <c r="B1925" s="1">
        <v>46129</v>
      </c>
      <c r="C1925">
        <v>2378081114</v>
      </c>
      <c r="D1925">
        <v>2378081123</v>
      </c>
      <c r="E1925" t="str">
        <f>T("던전이 자꾸 이상한 짓을 시켜요 10화")</f>
        <v>던전이 자꾸 이상한 짓을 시켜요 10화</v>
      </c>
      <c r="F1925">
        <v>10</v>
      </c>
      <c r="G1925" t="str">
        <f>T("필밤")</f>
        <v>필밤</v>
      </c>
      <c r="J1925" t="str">
        <f>T("시계토끼")</f>
        <v>시계토끼</v>
      </c>
      <c r="K1925" t="str">
        <f>T("던전이 자꾸 이상한 짓을 시켜요")</f>
        <v>던전이 자꾸 이상한 짓을 시켜요</v>
      </c>
      <c r="L1925">
        <v>100</v>
      </c>
      <c r="M1925">
        <v>0</v>
      </c>
      <c r="N1925">
        <v>0</v>
      </c>
      <c r="O1925">
        <v>0</v>
      </c>
      <c r="P1925">
        <v>0</v>
      </c>
      <c r="Q1925">
        <v>0</v>
      </c>
      <c r="R1925">
        <v>46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46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S1925">
        <v>0</v>
      </c>
      <c r="AT1925">
        <v>0</v>
      </c>
      <c r="AV1925">
        <v>0</v>
      </c>
      <c r="AW1925">
        <v>0</v>
      </c>
      <c r="AY1925">
        <v>0</v>
      </c>
      <c r="AZ1925">
        <v>0</v>
      </c>
      <c r="BA1925">
        <v>0</v>
      </c>
      <c r="BF1925" t="str">
        <f>T("D268740")</f>
        <v>D268740</v>
      </c>
      <c r="BG1925" t="str">
        <f>T("로판 웹소설 &gt; 서양풍 로판")</f>
        <v>로판 웹소설 &gt; 서양풍 로판</v>
      </c>
    </row>
    <row r="1926" spans="1:59">
      <c r="A1926" t="s">
        <v>60</v>
      </c>
      <c r="B1926" s="1">
        <v>46129</v>
      </c>
      <c r="C1926">
        <v>2378081114</v>
      </c>
      <c r="D1926">
        <v>2378081124</v>
      </c>
      <c r="E1926" t="str">
        <f>T("던전이 자꾸 이상한 짓을 시켜요 11화")</f>
        <v>던전이 자꾸 이상한 짓을 시켜요 11화</v>
      </c>
      <c r="F1926">
        <v>11</v>
      </c>
      <c r="G1926" t="str">
        <f>T("필밤")</f>
        <v>필밤</v>
      </c>
      <c r="J1926" t="str">
        <f>T("시계토끼")</f>
        <v>시계토끼</v>
      </c>
      <c r="K1926" t="str">
        <f>T("던전이 자꾸 이상한 짓을 시켜요")</f>
        <v>던전이 자꾸 이상한 짓을 시켜요</v>
      </c>
      <c r="L1926">
        <v>100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54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54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S1926">
        <v>0</v>
      </c>
      <c r="AT1926">
        <v>0</v>
      </c>
      <c r="AV1926">
        <v>0</v>
      </c>
      <c r="AW1926">
        <v>0</v>
      </c>
      <c r="AY1926">
        <v>0</v>
      </c>
      <c r="AZ1926">
        <v>0</v>
      </c>
      <c r="BA1926">
        <v>0</v>
      </c>
      <c r="BF1926" t="str">
        <f>T("D268741")</f>
        <v>D268741</v>
      </c>
      <c r="BG1926" t="str">
        <f>T("로판 웹소설 &gt; 서양풍 로판")</f>
        <v>로판 웹소설 &gt; 서양풍 로판</v>
      </c>
    </row>
    <row r="1927" spans="1:59">
      <c r="A1927" t="s">
        <v>60</v>
      </c>
      <c r="B1927" s="1">
        <v>46129</v>
      </c>
      <c r="C1927">
        <v>2378081114</v>
      </c>
      <c r="D1927">
        <v>2378081125</v>
      </c>
      <c r="E1927" t="str">
        <f>T("던전이 자꾸 이상한 짓을 시켜요 12화")</f>
        <v>던전이 자꾸 이상한 짓을 시켜요 12화</v>
      </c>
      <c r="F1927">
        <v>12</v>
      </c>
      <c r="G1927" t="str">
        <f>T("필밤")</f>
        <v>필밤</v>
      </c>
      <c r="J1927" t="str">
        <f>T("시계토끼")</f>
        <v>시계토끼</v>
      </c>
      <c r="K1927" t="str">
        <f>T("던전이 자꾸 이상한 짓을 시켜요")</f>
        <v>던전이 자꾸 이상한 짓을 시켜요</v>
      </c>
      <c r="L1927">
        <v>100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52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52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S1927">
        <v>0</v>
      </c>
      <c r="AT1927">
        <v>0</v>
      </c>
      <c r="AV1927">
        <v>0</v>
      </c>
      <c r="AW1927">
        <v>0</v>
      </c>
      <c r="AY1927">
        <v>0</v>
      </c>
      <c r="AZ1927">
        <v>0</v>
      </c>
      <c r="BA1927">
        <v>0</v>
      </c>
      <c r="BF1927" t="str">
        <f>T("D268742")</f>
        <v>D268742</v>
      </c>
      <c r="BG1927" t="str">
        <f>T("로판 웹소설 &gt; 서양풍 로판")</f>
        <v>로판 웹소설 &gt; 서양풍 로판</v>
      </c>
    </row>
    <row r="1928" spans="1:59">
      <c r="A1928" t="s">
        <v>60</v>
      </c>
      <c r="B1928" s="1">
        <v>46129</v>
      </c>
      <c r="C1928">
        <v>2378081114</v>
      </c>
      <c r="D1928">
        <v>2378081126</v>
      </c>
      <c r="E1928" t="str">
        <f>T("던전이 자꾸 이상한 짓을 시켜요 13화")</f>
        <v>던전이 자꾸 이상한 짓을 시켜요 13화</v>
      </c>
      <c r="F1928">
        <v>13</v>
      </c>
      <c r="G1928" t="str">
        <f>T("필밤")</f>
        <v>필밤</v>
      </c>
      <c r="J1928" t="str">
        <f>T("시계토끼")</f>
        <v>시계토끼</v>
      </c>
      <c r="K1928" t="str">
        <f>T("던전이 자꾸 이상한 짓을 시켜요")</f>
        <v>던전이 자꾸 이상한 짓을 시켜요</v>
      </c>
      <c r="L1928">
        <v>100</v>
      </c>
      <c r="M1928">
        <v>0</v>
      </c>
      <c r="N1928">
        <v>0</v>
      </c>
      <c r="O1928">
        <v>0</v>
      </c>
      <c r="P1928">
        <v>0</v>
      </c>
      <c r="Q1928">
        <v>0</v>
      </c>
      <c r="R1928">
        <v>52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52</v>
      </c>
      <c r="AK1928">
        <v>0</v>
      </c>
      <c r="AL1928">
        <v>0</v>
      </c>
      <c r="AM1928">
        <v>0</v>
      </c>
      <c r="AN1928">
        <v>0</v>
      </c>
      <c r="AO1928">
        <v>0</v>
      </c>
      <c r="AP1928">
        <v>0</v>
      </c>
      <c r="AQ1928">
        <v>0</v>
      </c>
      <c r="AS1928">
        <v>0</v>
      </c>
      <c r="AT1928">
        <v>0</v>
      </c>
      <c r="AV1928">
        <v>0</v>
      </c>
      <c r="AW1928">
        <v>0</v>
      </c>
      <c r="AY1928">
        <v>0</v>
      </c>
      <c r="AZ1928">
        <v>0</v>
      </c>
      <c r="BA1928">
        <v>0</v>
      </c>
      <c r="BF1928" t="str">
        <f>T("D268743")</f>
        <v>D268743</v>
      </c>
      <c r="BG1928" t="str">
        <f>T("로판 웹소설 &gt; 서양풍 로판")</f>
        <v>로판 웹소설 &gt; 서양풍 로판</v>
      </c>
    </row>
    <row r="1929" spans="1:59">
      <c r="A1929" t="s">
        <v>60</v>
      </c>
      <c r="B1929" s="1">
        <v>46129</v>
      </c>
      <c r="C1929">
        <v>2378081114</v>
      </c>
      <c r="D1929">
        <v>2378081127</v>
      </c>
      <c r="E1929" t="str">
        <f>T("던전이 자꾸 이상한 짓을 시켜요 14화")</f>
        <v>던전이 자꾸 이상한 짓을 시켜요 14화</v>
      </c>
      <c r="F1929">
        <v>14</v>
      </c>
      <c r="G1929" t="str">
        <f>T("필밤")</f>
        <v>필밤</v>
      </c>
      <c r="J1929" t="str">
        <f>T("시계토끼")</f>
        <v>시계토끼</v>
      </c>
      <c r="K1929" t="str">
        <f>T("던전이 자꾸 이상한 짓을 시켜요")</f>
        <v>던전이 자꾸 이상한 짓을 시켜요</v>
      </c>
      <c r="L1929">
        <v>100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56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0</v>
      </c>
      <c r="AJ1929">
        <v>56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S1929">
        <v>0</v>
      </c>
      <c r="AT1929">
        <v>0</v>
      </c>
      <c r="AV1929">
        <v>0</v>
      </c>
      <c r="AW1929">
        <v>0</v>
      </c>
      <c r="AY1929">
        <v>0</v>
      </c>
      <c r="AZ1929">
        <v>0</v>
      </c>
      <c r="BA1929">
        <v>0</v>
      </c>
      <c r="BF1929" t="str">
        <f>T("D268744")</f>
        <v>D268744</v>
      </c>
      <c r="BG1929" t="str">
        <f>T("로판 웹소설 &gt; 서양풍 로판")</f>
        <v>로판 웹소설 &gt; 서양풍 로판</v>
      </c>
    </row>
    <row r="1930" spans="1:59">
      <c r="A1930" t="s">
        <v>60</v>
      </c>
      <c r="B1930" s="1">
        <v>46129</v>
      </c>
      <c r="C1930">
        <v>2378081114</v>
      </c>
      <c r="D1930">
        <v>2378081128</v>
      </c>
      <c r="E1930" t="str">
        <f>T("던전이 자꾸 이상한 짓을 시켜요 15화")</f>
        <v>던전이 자꾸 이상한 짓을 시켜요 15화</v>
      </c>
      <c r="F1930">
        <v>15</v>
      </c>
      <c r="G1930" t="str">
        <f>T("필밤")</f>
        <v>필밤</v>
      </c>
      <c r="J1930" t="str">
        <f>T("시계토끼")</f>
        <v>시계토끼</v>
      </c>
      <c r="K1930" t="str">
        <f>T("던전이 자꾸 이상한 짓을 시켜요")</f>
        <v>던전이 자꾸 이상한 짓을 시켜요</v>
      </c>
      <c r="L1930">
        <v>100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59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59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S1930">
        <v>0</v>
      </c>
      <c r="AT1930">
        <v>0</v>
      </c>
      <c r="AV1930">
        <v>0</v>
      </c>
      <c r="AW1930">
        <v>0</v>
      </c>
      <c r="AY1930">
        <v>0</v>
      </c>
      <c r="AZ1930">
        <v>0</v>
      </c>
      <c r="BA1930">
        <v>0</v>
      </c>
      <c r="BF1930" t="str">
        <f>T("D268745")</f>
        <v>D268745</v>
      </c>
      <c r="BG1930" t="str">
        <f>T("로판 웹소설 &gt; 서양풍 로판")</f>
        <v>로판 웹소설 &gt; 서양풍 로판</v>
      </c>
    </row>
    <row r="1931" spans="1:59">
      <c r="A1931" t="s">
        <v>60</v>
      </c>
      <c r="B1931" s="1">
        <v>46129</v>
      </c>
      <c r="C1931">
        <v>2378081114</v>
      </c>
      <c r="D1931">
        <v>2378081129</v>
      </c>
      <c r="E1931" t="str">
        <f>T("던전이 자꾸 이상한 짓을 시켜요 16화")</f>
        <v>던전이 자꾸 이상한 짓을 시켜요 16화</v>
      </c>
      <c r="F1931">
        <v>16</v>
      </c>
      <c r="G1931" t="str">
        <f>T("필밤")</f>
        <v>필밤</v>
      </c>
      <c r="J1931" t="str">
        <f>T("시계토끼")</f>
        <v>시계토끼</v>
      </c>
      <c r="K1931" t="str">
        <f>T("던전이 자꾸 이상한 짓을 시켜요")</f>
        <v>던전이 자꾸 이상한 짓을 시켜요</v>
      </c>
      <c r="L1931">
        <v>100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58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58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S1931">
        <v>0</v>
      </c>
      <c r="AT1931">
        <v>0</v>
      </c>
      <c r="AV1931">
        <v>0</v>
      </c>
      <c r="AW1931">
        <v>0</v>
      </c>
      <c r="AY1931">
        <v>0</v>
      </c>
      <c r="AZ1931">
        <v>0</v>
      </c>
      <c r="BA1931">
        <v>0</v>
      </c>
      <c r="BF1931" t="str">
        <f>T("D268746")</f>
        <v>D268746</v>
      </c>
      <c r="BG1931" t="str">
        <f>T("로판 웹소설 &gt; 서양풍 로판")</f>
        <v>로판 웹소설 &gt; 서양풍 로판</v>
      </c>
    </row>
    <row r="1932" spans="1:59">
      <c r="A1932" t="s">
        <v>60</v>
      </c>
      <c r="B1932" s="1">
        <v>46129</v>
      </c>
      <c r="C1932">
        <v>2378081114</v>
      </c>
      <c r="D1932">
        <v>2378081130</v>
      </c>
      <c r="E1932" t="str">
        <f>T("던전이 자꾸 이상한 짓을 시켜요 17화")</f>
        <v>던전이 자꾸 이상한 짓을 시켜요 17화</v>
      </c>
      <c r="F1932">
        <v>17</v>
      </c>
      <c r="G1932" t="str">
        <f>T("필밤")</f>
        <v>필밤</v>
      </c>
      <c r="J1932" t="str">
        <f>T("시계토끼")</f>
        <v>시계토끼</v>
      </c>
      <c r="K1932" t="str">
        <f>T("던전이 자꾸 이상한 짓을 시켜요")</f>
        <v>던전이 자꾸 이상한 짓을 시켜요</v>
      </c>
      <c r="L1932">
        <v>100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55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55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S1932">
        <v>0</v>
      </c>
      <c r="AT1932">
        <v>0</v>
      </c>
      <c r="AV1932">
        <v>0</v>
      </c>
      <c r="AW1932">
        <v>0</v>
      </c>
      <c r="AY1932">
        <v>0</v>
      </c>
      <c r="AZ1932">
        <v>0</v>
      </c>
      <c r="BA1932">
        <v>0</v>
      </c>
      <c r="BF1932" t="str">
        <f>T("D268747")</f>
        <v>D268747</v>
      </c>
      <c r="BG1932" t="str">
        <f>T("로판 웹소설 &gt; 서양풍 로판")</f>
        <v>로판 웹소설 &gt; 서양풍 로판</v>
      </c>
    </row>
    <row r="1933" spans="1:59">
      <c r="A1933" t="s">
        <v>60</v>
      </c>
      <c r="B1933" s="1">
        <v>46129</v>
      </c>
      <c r="C1933">
        <v>2378081114</v>
      </c>
      <c r="D1933">
        <v>2378081131</v>
      </c>
      <c r="E1933" t="str">
        <f>T("던전이 자꾸 이상한 짓을 시켜요 18화")</f>
        <v>던전이 자꾸 이상한 짓을 시켜요 18화</v>
      </c>
      <c r="F1933">
        <v>18</v>
      </c>
      <c r="G1933" t="str">
        <f>T("필밤")</f>
        <v>필밤</v>
      </c>
      <c r="J1933" t="str">
        <f>T("시계토끼")</f>
        <v>시계토끼</v>
      </c>
      <c r="K1933" t="str">
        <f>T("던전이 자꾸 이상한 짓을 시켜요")</f>
        <v>던전이 자꾸 이상한 짓을 시켜요</v>
      </c>
      <c r="L1933">
        <v>100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59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0</v>
      </c>
      <c r="AH1933">
        <v>0</v>
      </c>
      <c r="AI1933">
        <v>0</v>
      </c>
      <c r="AJ1933">
        <v>59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S1933">
        <v>0</v>
      </c>
      <c r="AT1933">
        <v>0</v>
      </c>
      <c r="AV1933">
        <v>0</v>
      </c>
      <c r="AW1933">
        <v>0</v>
      </c>
      <c r="AY1933">
        <v>0</v>
      </c>
      <c r="AZ1933">
        <v>0</v>
      </c>
      <c r="BA1933">
        <v>0</v>
      </c>
      <c r="BF1933" t="str">
        <f>T("D268748")</f>
        <v>D268748</v>
      </c>
      <c r="BG1933" t="str">
        <f>T("로판 웹소설 &gt; 서양풍 로판")</f>
        <v>로판 웹소설 &gt; 서양풍 로판</v>
      </c>
    </row>
    <row r="1934" spans="1:59">
      <c r="A1934" t="s">
        <v>60</v>
      </c>
      <c r="B1934" s="1">
        <v>46129</v>
      </c>
      <c r="C1934">
        <v>2378081114</v>
      </c>
      <c r="D1934">
        <v>2378081132</v>
      </c>
      <c r="E1934" t="str">
        <f>T("던전이 자꾸 이상한 짓을 시켜요 19화")</f>
        <v>던전이 자꾸 이상한 짓을 시켜요 19화</v>
      </c>
      <c r="F1934">
        <v>19</v>
      </c>
      <c r="G1934" t="str">
        <f>T("필밤")</f>
        <v>필밤</v>
      </c>
      <c r="J1934" t="str">
        <f>T("시계토끼")</f>
        <v>시계토끼</v>
      </c>
      <c r="K1934" t="str">
        <f>T("던전이 자꾸 이상한 짓을 시켜요")</f>
        <v>던전이 자꾸 이상한 짓을 시켜요</v>
      </c>
      <c r="L1934">
        <v>100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68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0</v>
      </c>
      <c r="AH1934">
        <v>0</v>
      </c>
      <c r="AI1934">
        <v>0</v>
      </c>
      <c r="AJ1934">
        <v>68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S1934">
        <v>0</v>
      </c>
      <c r="AT1934">
        <v>0</v>
      </c>
      <c r="AV1934">
        <v>0</v>
      </c>
      <c r="AW1934">
        <v>0</v>
      </c>
      <c r="AY1934">
        <v>0</v>
      </c>
      <c r="AZ1934">
        <v>0</v>
      </c>
      <c r="BA1934">
        <v>0</v>
      </c>
      <c r="BF1934" t="str">
        <f>T("D268749")</f>
        <v>D268749</v>
      </c>
      <c r="BG1934" t="str">
        <f>T("로판 웹소설 &gt; 서양풍 로판")</f>
        <v>로판 웹소설 &gt; 서양풍 로판</v>
      </c>
    </row>
    <row r="1935" spans="1:59">
      <c r="A1935" t="s">
        <v>60</v>
      </c>
      <c r="B1935" s="1">
        <v>46129</v>
      </c>
      <c r="C1935">
        <v>2378081114</v>
      </c>
      <c r="D1935">
        <v>2378081133</v>
      </c>
      <c r="E1935" t="str">
        <f>T("던전이 자꾸 이상한 짓을 시켜요 20화")</f>
        <v>던전이 자꾸 이상한 짓을 시켜요 20화</v>
      </c>
      <c r="F1935">
        <v>20</v>
      </c>
      <c r="G1935" t="str">
        <f>T("필밤")</f>
        <v>필밤</v>
      </c>
      <c r="J1935" t="str">
        <f>T("시계토끼")</f>
        <v>시계토끼</v>
      </c>
      <c r="K1935" t="str">
        <f>T("던전이 자꾸 이상한 짓을 시켜요")</f>
        <v>던전이 자꾸 이상한 짓을 시켜요</v>
      </c>
      <c r="L1935">
        <v>100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78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78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S1935">
        <v>0</v>
      </c>
      <c r="AT1935">
        <v>0</v>
      </c>
      <c r="AV1935">
        <v>0</v>
      </c>
      <c r="AW1935">
        <v>0</v>
      </c>
      <c r="AY1935">
        <v>0</v>
      </c>
      <c r="AZ1935">
        <v>0</v>
      </c>
      <c r="BA1935">
        <v>0</v>
      </c>
      <c r="BF1935" t="str">
        <f>T("D268750")</f>
        <v>D268750</v>
      </c>
      <c r="BG1935" t="str">
        <f>T("로판 웹소설 &gt; 서양풍 로판")</f>
        <v>로판 웹소설 &gt; 서양풍 로판</v>
      </c>
    </row>
    <row r="1936" spans="1:59">
      <c r="A1936" t="s">
        <v>60</v>
      </c>
      <c r="B1936" s="1">
        <v>46129</v>
      </c>
      <c r="C1936">
        <v>2378081114</v>
      </c>
      <c r="D1936">
        <v>2378081135</v>
      </c>
      <c r="E1936" t="str">
        <f>T("던전이 자꾸 이상한 짓을 시켜요 22화")</f>
        <v>던전이 자꾸 이상한 짓을 시켜요 22화</v>
      </c>
      <c r="F1936">
        <v>22</v>
      </c>
      <c r="G1936" t="str">
        <f>T("필밤")</f>
        <v>필밤</v>
      </c>
      <c r="J1936" t="str">
        <f>T("시계토끼")</f>
        <v>시계토끼</v>
      </c>
      <c r="K1936" t="str">
        <f>T("던전이 자꾸 이상한 짓을 시켜요")</f>
        <v>던전이 자꾸 이상한 짓을 시켜요</v>
      </c>
      <c r="L1936">
        <v>100</v>
      </c>
      <c r="M1936">
        <v>100</v>
      </c>
      <c r="N1936">
        <v>1</v>
      </c>
      <c r="O1936">
        <v>0</v>
      </c>
      <c r="P1936">
        <v>0</v>
      </c>
      <c r="Q1936">
        <v>0</v>
      </c>
      <c r="R1936">
        <v>6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100</v>
      </c>
      <c r="AJ1936">
        <v>7</v>
      </c>
      <c r="AK1936">
        <v>0</v>
      </c>
      <c r="AL1936">
        <v>0</v>
      </c>
      <c r="AM1936">
        <v>100</v>
      </c>
      <c r="AN1936">
        <v>0</v>
      </c>
      <c r="AO1936">
        <v>0</v>
      </c>
      <c r="AP1936">
        <v>0</v>
      </c>
      <c r="AQ1936">
        <v>0</v>
      </c>
      <c r="AS1936">
        <v>0</v>
      </c>
      <c r="AT1936">
        <v>0</v>
      </c>
      <c r="AV1936">
        <v>0</v>
      </c>
      <c r="AW1936">
        <v>0</v>
      </c>
      <c r="AY1936">
        <v>0</v>
      </c>
      <c r="AZ1936">
        <v>0</v>
      </c>
      <c r="BA1936">
        <v>60</v>
      </c>
      <c r="BF1936" t="str">
        <f>T("D268752")</f>
        <v>D268752</v>
      </c>
      <c r="BG1936" t="str">
        <f>T("로판 웹소설 &gt; 서양풍 로판")</f>
        <v>로판 웹소설 &gt; 서양풍 로판</v>
      </c>
    </row>
    <row r="1937" spans="1:59">
      <c r="A1937" t="s">
        <v>60</v>
      </c>
      <c r="B1937" s="1">
        <v>46129</v>
      </c>
      <c r="C1937">
        <v>2378081114</v>
      </c>
      <c r="D1937">
        <v>2378081136</v>
      </c>
      <c r="E1937" t="str">
        <f>T("던전이 자꾸 이상한 짓을 시켜요 23화")</f>
        <v>던전이 자꾸 이상한 짓을 시켜요 23화</v>
      </c>
      <c r="F1937">
        <v>23</v>
      </c>
      <c r="G1937" t="str">
        <f>T("필밤")</f>
        <v>필밤</v>
      </c>
      <c r="J1937" t="str">
        <f>T("시계토끼")</f>
        <v>시계토끼</v>
      </c>
      <c r="K1937" t="str">
        <f>T("던전이 자꾸 이상한 짓을 시켜요")</f>
        <v>던전이 자꾸 이상한 짓을 시켜요</v>
      </c>
      <c r="L1937">
        <v>100</v>
      </c>
      <c r="M1937">
        <v>100</v>
      </c>
      <c r="N1937">
        <v>1</v>
      </c>
      <c r="O1937">
        <v>0</v>
      </c>
      <c r="P1937">
        <v>0</v>
      </c>
      <c r="Q1937">
        <v>0</v>
      </c>
      <c r="R1937">
        <v>7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100</v>
      </c>
      <c r="AJ1937">
        <v>8</v>
      </c>
      <c r="AK1937">
        <v>0</v>
      </c>
      <c r="AL1937">
        <v>0</v>
      </c>
      <c r="AM1937">
        <v>100</v>
      </c>
      <c r="AN1937">
        <v>0</v>
      </c>
      <c r="AO1937">
        <v>0</v>
      </c>
      <c r="AP1937">
        <v>0</v>
      </c>
      <c r="AQ1937">
        <v>0</v>
      </c>
      <c r="AS1937">
        <v>0</v>
      </c>
      <c r="AT1937">
        <v>0</v>
      </c>
      <c r="AV1937">
        <v>0</v>
      </c>
      <c r="AW1937">
        <v>0</v>
      </c>
      <c r="AY1937">
        <v>0</v>
      </c>
      <c r="AZ1937">
        <v>0</v>
      </c>
      <c r="BA1937">
        <v>60</v>
      </c>
      <c r="BF1937" t="str">
        <f>T("D268753")</f>
        <v>D268753</v>
      </c>
      <c r="BG1937" t="str">
        <f>T("로판 웹소설 &gt; 서양풍 로판")</f>
        <v>로판 웹소설 &gt; 서양풍 로판</v>
      </c>
    </row>
    <row r="1938" spans="1:59">
      <c r="A1938" t="s">
        <v>60</v>
      </c>
      <c r="B1938" s="1">
        <v>46129</v>
      </c>
      <c r="C1938">
        <v>2378081114</v>
      </c>
      <c r="D1938">
        <v>2378081137</v>
      </c>
      <c r="E1938" t="str">
        <f>T("던전이 자꾸 이상한 짓을 시켜요 24화")</f>
        <v>던전이 자꾸 이상한 짓을 시켜요 24화</v>
      </c>
      <c r="F1938">
        <v>24</v>
      </c>
      <c r="G1938" t="str">
        <f>T("필밤")</f>
        <v>필밤</v>
      </c>
      <c r="J1938" t="str">
        <f>T("시계토끼")</f>
        <v>시계토끼</v>
      </c>
      <c r="K1938" t="str">
        <f>T("던전이 자꾸 이상한 짓을 시켜요")</f>
        <v>던전이 자꾸 이상한 짓을 시켜요</v>
      </c>
      <c r="L1938">
        <v>100</v>
      </c>
      <c r="M1938">
        <v>100</v>
      </c>
      <c r="N1938">
        <v>1</v>
      </c>
      <c r="O1938">
        <v>0</v>
      </c>
      <c r="P1938">
        <v>0</v>
      </c>
      <c r="Q1938">
        <v>0</v>
      </c>
      <c r="R1938">
        <v>4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0</v>
      </c>
      <c r="AH1938">
        <v>0</v>
      </c>
      <c r="AI1938">
        <v>100</v>
      </c>
      <c r="AJ1938">
        <v>5</v>
      </c>
      <c r="AK1938">
        <v>0</v>
      </c>
      <c r="AL1938">
        <v>0</v>
      </c>
      <c r="AM1938">
        <v>100</v>
      </c>
      <c r="AN1938">
        <v>0</v>
      </c>
      <c r="AO1938">
        <v>0</v>
      </c>
      <c r="AP1938">
        <v>0</v>
      </c>
      <c r="AQ1938">
        <v>0</v>
      </c>
      <c r="AS1938">
        <v>0</v>
      </c>
      <c r="AT1938">
        <v>0</v>
      </c>
      <c r="AV1938">
        <v>0</v>
      </c>
      <c r="AW1938">
        <v>0</v>
      </c>
      <c r="AY1938">
        <v>0</v>
      </c>
      <c r="AZ1938">
        <v>0</v>
      </c>
      <c r="BA1938">
        <v>60</v>
      </c>
      <c r="BF1938" t="str">
        <f>T("D268754")</f>
        <v>D268754</v>
      </c>
      <c r="BG1938" t="str">
        <f>T("로판 웹소설 &gt; 서양풍 로판")</f>
        <v>로판 웹소설 &gt; 서양풍 로판</v>
      </c>
    </row>
    <row r="1939" spans="1:59">
      <c r="A1939" t="s">
        <v>60</v>
      </c>
      <c r="B1939" s="1">
        <v>46129</v>
      </c>
      <c r="C1939">
        <v>2378081114</v>
      </c>
      <c r="D1939">
        <v>2378081138</v>
      </c>
      <c r="E1939" t="str">
        <f>T("던전이 자꾸 이상한 짓을 시켜요 25화")</f>
        <v>던전이 자꾸 이상한 짓을 시켜요 25화</v>
      </c>
      <c r="F1939">
        <v>25</v>
      </c>
      <c r="G1939" t="str">
        <f>T("필밤")</f>
        <v>필밤</v>
      </c>
      <c r="J1939" t="str">
        <f>T("시계토끼")</f>
        <v>시계토끼</v>
      </c>
      <c r="K1939" t="str">
        <f>T("던전이 자꾸 이상한 짓을 시켜요")</f>
        <v>던전이 자꾸 이상한 짓을 시켜요</v>
      </c>
      <c r="L1939">
        <v>100</v>
      </c>
      <c r="M1939">
        <v>400</v>
      </c>
      <c r="N1939">
        <v>4</v>
      </c>
      <c r="O1939">
        <v>0</v>
      </c>
      <c r="P1939">
        <v>0</v>
      </c>
      <c r="Q1939">
        <v>0</v>
      </c>
      <c r="R1939">
        <v>1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400</v>
      </c>
      <c r="AJ1939">
        <v>5</v>
      </c>
      <c r="AK1939">
        <v>0</v>
      </c>
      <c r="AL1939">
        <v>0</v>
      </c>
      <c r="AM1939">
        <v>400</v>
      </c>
      <c r="AN1939">
        <v>0</v>
      </c>
      <c r="AO1939">
        <v>0</v>
      </c>
      <c r="AP1939">
        <v>0</v>
      </c>
      <c r="AQ1939">
        <v>0</v>
      </c>
      <c r="AS1939">
        <v>0</v>
      </c>
      <c r="AT1939">
        <v>0</v>
      </c>
      <c r="AV1939">
        <v>0</v>
      </c>
      <c r="AW1939">
        <v>0</v>
      </c>
      <c r="AY1939">
        <v>0</v>
      </c>
      <c r="AZ1939">
        <v>0</v>
      </c>
      <c r="BA1939">
        <v>240</v>
      </c>
      <c r="BF1939" t="str">
        <f>T("D268755")</f>
        <v>D268755</v>
      </c>
      <c r="BG1939" t="str">
        <f>T("로판 웹소설 &gt; 서양풍 로판")</f>
        <v>로판 웹소설 &gt; 서양풍 로판</v>
      </c>
    </row>
    <row r="1940" spans="1:59">
      <c r="A1940" t="s">
        <v>60</v>
      </c>
      <c r="B1940" s="1">
        <v>46129</v>
      </c>
      <c r="C1940">
        <v>2378081114</v>
      </c>
      <c r="D1940">
        <v>2378081139</v>
      </c>
      <c r="E1940" t="str">
        <f>T("던전이 자꾸 이상한 짓을 시켜요 26화")</f>
        <v>던전이 자꾸 이상한 짓을 시켜요 26화</v>
      </c>
      <c r="F1940">
        <v>26</v>
      </c>
      <c r="G1940" t="str">
        <f>T("필밤")</f>
        <v>필밤</v>
      </c>
      <c r="J1940" t="str">
        <f>T("시계토끼")</f>
        <v>시계토끼</v>
      </c>
      <c r="K1940" t="str">
        <f>T("던전이 자꾸 이상한 짓을 시켜요")</f>
        <v>던전이 자꾸 이상한 짓을 시켜요</v>
      </c>
      <c r="L1940">
        <v>100</v>
      </c>
      <c r="M1940">
        <v>400</v>
      </c>
      <c r="N1940">
        <v>4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0</v>
      </c>
      <c r="AH1940">
        <v>0</v>
      </c>
      <c r="AI1940">
        <v>400</v>
      </c>
      <c r="AJ1940">
        <v>4</v>
      </c>
      <c r="AK1940">
        <v>0</v>
      </c>
      <c r="AL1940">
        <v>0</v>
      </c>
      <c r="AM1940">
        <v>400</v>
      </c>
      <c r="AN1940">
        <v>0</v>
      </c>
      <c r="AO1940">
        <v>0</v>
      </c>
      <c r="AP1940">
        <v>0</v>
      </c>
      <c r="AQ1940">
        <v>0</v>
      </c>
      <c r="AS1940">
        <v>0</v>
      </c>
      <c r="AT1940">
        <v>0</v>
      </c>
      <c r="AV1940">
        <v>0</v>
      </c>
      <c r="AW1940">
        <v>0</v>
      </c>
      <c r="AY1940">
        <v>0</v>
      </c>
      <c r="AZ1940">
        <v>0</v>
      </c>
      <c r="BA1940">
        <v>240</v>
      </c>
      <c r="BF1940" t="str">
        <f>T("D268756")</f>
        <v>D268756</v>
      </c>
      <c r="BG1940" t="str">
        <f>T("로판 웹소설 &gt; 서양풍 로판")</f>
        <v>로판 웹소설 &gt; 서양풍 로판</v>
      </c>
    </row>
    <row r="1941" spans="1:59">
      <c r="A1941" t="s">
        <v>60</v>
      </c>
      <c r="B1941" s="1">
        <v>46129</v>
      </c>
      <c r="C1941">
        <v>2378081114</v>
      </c>
      <c r="D1941">
        <v>2378081140</v>
      </c>
      <c r="E1941" t="str">
        <f>T("던전이 자꾸 이상한 짓을 시켜요 27화")</f>
        <v>던전이 자꾸 이상한 짓을 시켜요 27화</v>
      </c>
      <c r="F1941">
        <v>27</v>
      </c>
      <c r="G1941" t="str">
        <f>T("필밤")</f>
        <v>필밤</v>
      </c>
      <c r="J1941" t="str">
        <f>T("시계토끼")</f>
        <v>시계토끼</v>
      </c>
      <c r="K1941" t="str">
        <f>T("던전이 자꾸 이상한 짓을 시켜요")</f>
        <v>던전이 자꾸 이상한 짓을 시켜요</v>
      </c>
      <c r="L1941">
        <v>100</v>
      </c>
      <c r="M1941">
        <v>400</v>
      </c>
      <c r="N1941">
        <v>4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400</v>
      </c>
      <c r="AJ1941">
        <v>4</v>
      </c>
      <c r="AK1941">
        <v>0</v>
      </c>
      <c r="AL1941">
        <v>0</v>
      </c>
      <c r="AM1941">
        <v>400</v>
      </c>
      <c r="AN1941">
        <v>0</v>
      </c>
      <c r="AO1941">
        <v>0</v>
      </c>
      <c r="AP1941">
        <v>0</v>
      </c>
      <c r="AQ1941">
        <v>0</v>
      </c>
      <c r="AS1941">
        <v>0</v>
      </c>
      <c r="AT1941">
        <v>0</v>
      </c>
      <c r="AV1941">
        <v>0</v>
      </c>
      <c r="AW1941">
        <v>0</v>
      </c>
      <c r="AY1941">
        <v>0</v>
      </c>
      <c r="AZ1941">
        <v>0</v>
      </c>
      <c r="BA1941">
        <v>240</v>
      </c>
      <c r="BF1941" t="str">
        <f>T("D268757")</f>
        <v>D268757</v>
      </c>
      <c r="BG1941" t="str">
        <f>T("로판 웹소설 &gt; 서양풍 로판")</f>
        <v>로판 웹소설 &gt; 서양풍 로판</v>
      </c>
    </row>
    <row r="1942" spans="1:59">
      <c r="A1942" t="s">
        <v>60</v>
      </c>
      <c r="B1942" s="1">
        <v>46129</v>
      </c>
      <c r="C1942">
        <v>2378081114</v>
      </c>
      <c r="D1942">
        <v>2378081141</v>
      </c>
      <c r="E1942" t="str">
        <f>T("던전이 자꾸 이상한 짓을 시켜요 28화")</f>
        <v>던전이 자꾸 이상한 짓을 시켜요 28화</v>
      </c>
      <c r="F1942">
        <v>28</v>
      </c>
      <c r="G1942" t="str">
        <f>T("필밤")</f>
        <v>필밤</v>
      </c>
      <c r="J1942" t="str">
        <f>T("시계토끼")</f>
        <v>시계토끼</v>
      </c>
      <c r="K1942" t="str">
        <f>T("던전이 자꾸 이상한 짓을 시켜요")</f>
        <v>던전이 자꾸 이상한 짓을 시켜요</v>
      </c>
      <c r="L1942">
        <v>100</v>
      </c>
      <c r="M1942">
        <v>600</v>
      </c>
      <c r="N1942">
        <v>6</v>
      </c>
      <c r="O1942">
        <v>0</v>
      </c>
      <c r="P1942">
        <v>0</v>
      </c>
      <c r="Q1942">
        <v>0</v>
      </c>
      <c r="R1942">
        <v>1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600</v>
      </c>
      <c r="AJ1942">
        <v>7</v>
      </c>
      <c r="AK1942">
        <v>0</v>
      </c>
      <c r="AL1942">
        <v>0</v>
      </c>
      <c r="AM1942">
        <v>500</v>
      </c>
      <c r="AN1942">
        <v>0</v>
      </c>
      <c r="AO1942">
        <v>120</v>
      </c>
      <c r="AP1942">
        <v>-12</v>
      </c>
      <c r="AQ1942">
        <v>0</v>
      </c>
      <c r="AS1942">
        <v>0</v>
      </c>
      <c r="AT1942">
        <v>0</v>
      </c>
      <c r="AV1942">
        <v>0</v>
      </c>
      <c r="AW1942">
        <v>0</v>
      </c>
      <c r="AX1942">
        <v>120</v>
      </c>
      <c r="AY1942">
        <v>-12</v>
      </c>
      <c r="AZ1942">
        <v>0</v>
      </c>
      <c r="BA1942">
        <v>364.8</v>
      </c>
      <c r="BF1942" t="str">
        <f>T("D268758")</f>
        <v>D268758</v>
      </c>
      <c r="BG1942" t="str">
        <f>T("로판 웹소설 &gt; 서양풍 로판")</f>
        <v>로판 웹소설 &gt; 서양풍 로판</v>
      </c>
    </row>
    <row r="1943" spans="1:59">
      <c r="A1943" t="s">
        <v>60</v>
      </c>
      <c r="B1943" s="1">
        <v>46129</v>
      </c>
      <c r="C1943">
        <v>2378081114</v>
      </c>
      <c r="D1943">
        <v>2378081142</v>
      </c>
      <c r="E1943" t="str">
        <f>T("던전이 자꾸 이상한 짓을 시켜요 29화")</f>
        <v>던전이 자꾸 이상한 짓을 시켜요 29화</v>
      </c>
      <c r="F1943">
        <v>29</v>
      </c>
      <c r="G1943" t="str">
        <f>T("필밤")</f>
        <v>필밤</v>
      </c>
      <c r="J1943" t="str">
        <f>T("시계토끼")</f>
        <v>시계토끼</v>
      </c>
      <c r="K1943" t="str">
        <f>T("던전이 자꾸 이상한 짓을 시켜요")</f>
        <v>던전이 자꾸 이상한 짓을 시켜요</v>
      </c>
      <c r="L1943">
        <v>100</v>
      </c>
      <c r="M1943">
        <v>600</v>
      </c>
      <c r="N1943">
        <v>6</v>
      </c>
      <c r="O1943">
        <v>0</v>
      </c>
      <c r="P1943">
        <v>0</v>
      </c>
      <c r="Q1943">
        <v>0</v>
      </c>
      <c r="R1943">
        <v>1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600</v>
      </c>
      <c r="AJ1943">
        <v>7</v>
      </c>
      <c r="AK1943">
        <v>0</v>
      </c>
      <c r="AL1943">
        <v>0</v>
      </c>
      <c r="AM1943">
        <v>500</v>
      </c>
      <c r="AN1943">
        <v>0</v>
      </c>
      <c r="AO1943">
        <v>120</v>
      </c>
      <c r="AP1943">
        <v>-12</v>
      </c>
      <c r="AQ1943">
        <v>0</v>
      </c>
      <c r="AS1943">
        <v>0</v>
      </c>
      <c r="AT1943">
        <v>0</v>
      </c>
      <c r="AV1943">
        <v>0</v>
      </c>
      <c r="AW1943">
        <v>0</v>
      </c>
      <c r="AX1943">
        <v>120</v>
      </c>
      <c r="AY1943">
        <v>-12</v>
      </c>
      <c r="AZ1943">
        <v>0</v>
      </c>
      <c r="BA1943">
        <v>364.8</v>
      </c>
      <c r="BF1943" t="str">
        <f>T("D268759")</f>
        <v>D268759</v>
      </c>
      <c r="BG1943" t="str">
        <f>T("로판 웹소설 &gt; 서양풍 로판")</f>
        <v>로판 웹소설 &gt; 서양풍 로판</v>
      </c>
    </row>
    <row r="1944" spans="1:59">
      <c r="A1944" t="s">
        <v>60</v>
      </c>
      <c r="B1944" s="1">
        <v>46129</v>
      </c>
      <c r="C1944">
        <v>2378081114</v>
      </c>
      <c r="D1944">
        <v>2378081143</v>
      </c>
      <c r="E1944" t="str">
        <f>T("던전이 자꾸 이상한 짓을 시켜요 30화")</f>
        <v>던전이 자꾸 이상한 짓을 시켜요 30화</v>
      </c>
      <c r="F1944">
        <v>30</v>
      </c>
      <c r="G1944" t="str">
        <f>T("필밤")</f>
        <v>필밤</v>
      </c>
      <c r="J1944" t="str">
        <f>T("시계토끼")</f>
        <v>시계토끼</v>
      </c>
      <c r="K1944" t="str">
        <f>T("던전이 자꾸 이상한 짓을 시켜요")</f>
        <v>던전이 자꾸 이상한 짓을 시켜요</v>
      </c>
      <c r="L1944">
        <v>100</v>
      </c>
      <c r="M1944">
        <v>900</v>
      </c>
      <c r="N1944">
        <v>9</v>
      </c>
      <c r="O1944">
        <v>0</v>
      </c>
      <c r="P1944">
        <v>0</v>
      </c>
      <c r="Q1944">
        <v>0</v>
      </c>
      <c r="R1944">
        <v>1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900</v>
      </c>
      <c r="AJ1944">
        <v>10</v>
      </c>
      <c r="AK1944">
        <v>0</v>
      </c>
      <c r="AL1944">
        <v>0</v>
      </c>
      <c r="AM1944">
        <v>800</v>
      </c>
      <c r="AN1944">
        <v>0</v>
      </c>
      <c r="AO1944">
        <v>120</v>
      </c>
      <c r="AP1944">
        <v>-12</v>
      </c>
      <c r="AQ1944">
        <v>0</v>
      </c>
      <c r="AS1944">
        <v>0</v>
      </c>
      <c r="AT1944">
        <v>0</v>
      </c>
      <c r="AV1944">
        <v>0</v>
      </c>
      <c r="AW1944">
        <v>0</v>
      </c>
      <c r="AX1944">
        <v>120</v>
      </c>
      <c r="AY1944">
        <v>-12</v>
      </c>
      <c r="AZ1944">
        <v>0</v>
      </c>
      <c r="BA1944">
        <v>544.79999999999995</v>
      </c>
      <c r="BF1944" t="str">
        <f>T("D268760")</f>
        <v>D268760</v>
      </c>
      <c r="BG1944" t="str">
        <f>T("로판 웹소설 &gt; 서양풍 로판")</f>
        <v>로판 웹소설 &gt; 서양풍 로판</v>
      </c>
    </row>
    <row r="1945" spans="1:59">
      <c r="A1945" t="s">
        <v>60</v>
      </c>
      <c r="B1945" s="1">
        <v>46129</v>
      </c>
      <c r="C1945">
        <v>2378081114</v>
      </c>
      <c r="D1945">
        <v>2378081144</v>
      </c>
      <c r="E1945" t="str">
        <f>T("던전이 자꾸 이상한 짓을 시켜요 31화")</f>
        <v>던전이 자꾸 이상한 짓을 시켜요 31화</v>
      </c>
      <c r="F1945">
        <v>31</v>
      </c>
      <c r="G1945" t="str">
        <f>T("필밤")</f>
        <v>필밤</v>
      </c>
      <c r="J1945" t="str">
        <f>T("시계토끼")</f>
        <v>시계토끼</v>
      </c>
      <c r="K1945" t="str">
        <f>T("던전이 자꾸 이상한 짓을 시켜요")</f>
        <v>던전이 자꾸 이상한 짓을 시켜요</v>
      </c>
      <c r="L1945">
        <v>100</v>
      </c>
      <c r="M1945">
        <v>500</v>
      </c>
      <c r="N1945">
        <v>5</v>
      </c>
      <c r="O1945">
        <v>0</v>
      </c>
      <c r="P1945">
        <v>0</v>
      </c>
      <c r="Q1945">
        <v>0</v>
      </c>
      <c r="R1945">
        <v>1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500</v>
      </c>
      <c r="AJ1945">
        <v>6</v>
      </c>
      <c r="AK1945">
        <v>0</v>
      </c>
      <c r="AL1945">
        <v>0</v>
      </c>
      <c r="AM1945">
        <v>500</v>
      </c>
      <c r="AN1945">
        <v>0</v>
      </c>
      <c r="AO1945">
        <v>0</v>
      </c>
      <c r="AP1945">
        <v>0</v>
      </c>
      <c r="AQ1945">
        <v>0</v>
      </c>
      <c r="AS1945">
        <v>0</v>
      </c>
      <c r="AT1945">
        <v>0</v>
      </c>
      <c r="AV1945">
        <v>0</v>
      </c>
      <c r="AW1945">
        <v>0</v>
      </c>
      <c r="AY1945">
        <v>0</v>
      </c>
      <c r="AZ1945">
        <v>0</v>
      </c>
      <c r="BA1945">
        <v>300</v>
      </c>
      <c r="BF1945" t="str">
        <f>T("D268761")</f>
        <v>D268761</v>
      </c>
      <c r="BG1945" t="str">
        <f>T("로판 웹소설 &gt; 서양풍 로판")</f>
        <v>로판 웹소설 &gt; 서양풍 로판</v>
      </c>
    </row>
    <row r="1946" spans="1:59">
      <c r="A1946" t="s">
        <v>60</v>
      </c>
      <c r="B1946" s="1">
        <v>46129</v>
      </c>
      <c r="C1946">
        <v>2378081114</v>
      </c>
      <c r="D1946">
        <v>2378081145</v>
      </c>
      <c r="E1946" t="str">
        <f>T("던전이 자꾸 이상한 짓을 시켜요 32화")</f>
        <v>던전이 자꾸 이상한 짓을 시켜요 32화</v>
      </c>
      <c r="F1946">
        <v>32</v>
      </c>
      <c r="G1946" t="str">
        <f>T("필밤")</f>
        <v>필밤</v>
      </c>
      <c r="J1946" t="str">
        <f>T("시계토끼")</f>
        <v>시계토끼</v>
      </c>
      <c r="K1946" t="str">
        <f>T("던전이 자꾸 이상한 짓을 시켜요")</f>
        <v>던전이 자꾸 이상한 짓을 시켜요</v>
      </c>
      <c r="L1946">
        <v>100</v>
      </c>
      <c r="M1946">
        <v>700</v>
      </c>
      <c r="N1946">
        <v>7</v>
      </c>
      <c r="O1946">
        <v>0</v>
      </c>
      <c r="P1946">
        <v>0</v>
      </c>
      <c r="Q1946">
        <v>0</v>
      </c>
      <c r="R1946">
        <v>2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700</v>
      </c>
      <c r="AJ1946">
        <v>9</v>
      </c>
      <c r="AK1946">
        <v>0</v>
      </c>
      <c r="AL1946">
        <v>0</v>
      </c>
      <c r="AM1946">
        <v>700</v>
      </c>
      <c r="AN1946">
        <v>0</v>
      </c>
      <c r="AO1946">
        <v>0</v>
      </c>
      <c r="AP1946">
        <v>0</v>
      </c>
      <c r="AQ1946">
        <v>0</v>
      </c>
      <c r="AS1946">
        <v>0</v>
      </c>
      <c r="AT1946">
        <v>0</v>
      </c>
      <c r="AV1946">
        <v>0</v>
      </c>
      <c r="AW1946">
        <v>0</v>
      </c>
      <c r="AY1946">
        <v>0</v>
      </c>
      <c r="AZ1946">
        <v>0</v>
      </c>
      <c r="BA1946">
        <v>420</v>
      </c>
      <c r="BF1946" t="str">
        <f>T("D268762")</f>
        <v>D268762</v>
      </c>
      <c r="BG1946" t="str">
        <f>T("로판 웹소설 &gt; 서양풍 로판")</f>
        <v>로판 웹소설 &gt; 서양풍 로판</v>
      </c>
    </row>
    <row r="1947" spans="1:59">
      <c r="A1947" t="s">
        <v>60</v>
      </c>
      <c r="B1947" s="1">
        <v>46129</v>
      </c>
      <c r="C1947">
        <v>2378081114</v>
      </c>
      <c r="D1947">
        <v>2378081146</v>
      </c>
      <c r="E1947" t="str">
        <f>T("던전이 자꾸 이상한 짓을 시켜요 33화")</f>
        <v>던전이 자꾸 이상한 짓을 시켜요 33화</v>
      </c>
      <c r="F1947">
        <v>33</v>
      </c>
      <c r="G1947" t="str">
        <f>T("필밤")</f>
        <v>필밤</v>
      </c>
      <c r="J1947" t="str">
        <f>T("시계토끼")</f>
        <v>시계토끼</v>
      </c>
      <c r="K1947" t="str">
        <f>T("던전이 자꾸 이상한 짓을 시켜요")</f>
        <v>던전이 자꾸 이상한 짓을 시켜요</v>
      </c>
      <c r="L1947">
        <v>100</v>
      </c>
      <c r="M1947">
        <v>800</v>
      </c>
      <c r="N1947">
        <v>8</v>
      </c>
      <c r="O1947">
        <v>0</v>
      </c>
      <c r="P1947">
        <v>0</v>
      </c>
      <c r="Q1947">
        <v>0</v>
      </c>
      <c r="R1947">
        <v>1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800</v>
      </c>
      <c r="AJ1947">
        <v>9</v>
      </c>
      <c r="AK1947">
        <v>0</v>
      </c>
      <c r="AL1947">
        <v>0</v>
      </c>
      <c r="AM1947">
        <v>700</v>
      </c>
      <c r="AN1947">
        <v>0</v>
      </c>
      <c r="AO1947">
        <v>120</v>
      </c>
      <c r="AP1947">
        <v>-12</v>
      </c>
      <c r="AQ1947">
        <v>0</v>
      </c>
      <c r="AS1947">
        <v>0</v>
      </c>
      <c r="AT1947">
        <v>0</v>
      </c>
      <c r="AV1947">
        <v>0</v>
      </c>
      <c r="AW1947">
        <v>0</v>
      </c>
      <c r="AX1947">
        <v>120</v>
      </c>
      <c r="AY1947">
        <v>-12</v>
      </c>
      <c r="AZ1947">
        <v>0</v>
      </c>
      <c r="BA1947">
        <v>484.8</v>
      </c>
      <c r="BF1947" t="str">
        <f>T("D268763")</f>
        <v>D268763</v>
      </c>
      <c r="BG1947" t="str">
        <f>T("로판 웹소설 &gt; 서양풍 로판")</f>
        <v>로판 웹소설 &gt; 서양풍 로판</v>
      </c>
    </row>
    <row r="1948" spans="1:59">
      <c r="A1948" t="s">
        <v>60</v>
      </c>
      <c r="B1948" s="1">
        <v>46129</v>
      </c>
      <c r="C1948">
        <v>2378081114</v>
      </c>
      <c r="D1948">
        <v>2378081147</v>
      </c>
      <c r="E1948" t="str">
        <f>T("던전이 자꾸 이상한 짓을 시켜요 34화")</f>
        <v>던전이 자꾸 이상한 짓을 시켜요 34화</v>
      </c>
      <c r="F1948">
        <v>34</v>
      </c>
      <c r="G1948" t="str">
        <f>T("필밤")</f>
        <v>필밤</v>
      </c>
      <c r="J1948" t="str">
        <f>T("시계토끼")</f>
        <v>시계토끼</v>
      </c>
      <c r="K1948" t="str">
        <f>T("던전이 자꾸 이상한 짓을 시켜요")</f>
        <v>던전이 자꾸 이상한 짓을 시켜요</v>
      </c>
      <c r="L1948">
        <v>100</v>
      </c>
      <c r="M1948">
        <v>800</v>
      </c>
      <c r="N1948">
        <v>8</v>
      </c>
      <c r="O1948">
        <v>0</v>
      </c>
      <c r="P1948">
        <v>0</v>
      </c>
      <c r="Q1948">
        <v>0</v>
      </c>
      <c r="R1948">
        <v>2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800</v>
      </c>
      <c r="AJ1948">
        <v>10</v>
      </c>
      <c r="AK1948">
        <v>0</v>
      </c>
      <c r="AL1948">
        <v>0</v>
      </c>
      <c r="AM1948">
        <v>700</v>
      </c>
      <c r="AN1948">
        <v>0</v>
      </c>
      <c r="AO1948">
        <v>120</v>
      </c>
      <c r="AP1948">
        <v>-12</v>
      </c>
      <c r="AQ1948">
        <v>0</v>
      </c>
      <c r="AS1948">
        <v>0</v>
      </c>
      <c r="AT1948">
        <v>0</v>
      </c>
      <c r="AV1948">
        <v>0</v>
      </c>
      <c r="AW1948">
        <v>0</v>
      </c>
      <c r="AX1948">
        <v>120</v>
      </c>
      <c r="AY1948">
        <v>-12</v>
      </c>
      <c r="AZ1948">
        <v>0</v>
      </c>
      <c r="BA1948">
        <v>484.8</v>
      </c>
      <c r="BF1948" t="str">
        <f>T("D268764")</f>
        <v>D268764</v>
      </c>
      <c r="BG1948" t="str">
        <f>T("로판 웹소설 &gt; 서양풍 로판")</f>
        <v>로판 웹소설 &gt; 서양풍 로판</v>
      </c>
    </row>
    <row r="1949" spans="1:59">
      <c r="A1949" t="s">
        <v>60</v>
      </c>
      <c r="B1949" s="1">
        <v>46129</v>
      </c>
      <c r="C1949">
        <v>2378081114</v>
      </c>
      <c r="D1949">
        <v>2378081148</v>
      </c>
      <c r="E1949" t="str">
        <f>T("던전이 자꾸 이상한 짓을 시켜요 35화")</f>
        <v>던전이 자꾸 이상한 짓을 시켜요 35화</v>
      </c>
      <c r="F1949">
        <v>35</v>
      </c>
      <c r="G1949" t="str">
        <f>T("필밤")</f>
        <v>필밤</v>
      </c>
      <c r="J1949" t="str">
        <f>T("시계토끼")</f>
        <v>시계토끼</v>
      </c>
      <c r="K1949" t="str">
        <f>T("던전이 자꾸 이상한 짓을 시켜요")</f>
        <v>던전이 자꾸 이상한 짓을 시켜요</v>
      </c>
      <c r="L1949">
        <v>100</v>
      </c>
      <c r="M1949">
        <v>600</v>
      </c>
      <c r="N1949">
        <v>6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600</v>
      </c>
      <c r="AJ1949">
        <v>6</v>
      </c>
      <c r="AK1949">
        <v>0</v>
      </c>
      <c r="AL1949">
        <v>0</v>
      </c>
      <c r="AM1949">
        <v>600</v>
      </c>
      <c r="AN1949">
        <v>0</v>
      </c>
      <c r="AO1949">
        <v>0</v>
      </c>
      <c r="AP1949">
        <v>0</v>
      </c>
      <c r="AQ1949">
        <v>0</v>
      </c>
      <c r="AS1949">
        <v>0</v>
      </c>
      <c r="AT1949">
        <v>0</v>
      </c>
      <c r="AV1949">
        <v>0</v>
      </c>
      <c r="AW1949">
        <v>0</v>
      </c>
      <c r="AY1949">
        <v>0</v>
      </c>
      <c r="AZ1949">
        <v>0</v>
      </c>
      <c r="BA1949">
        <v>360</v>
      </c>
      <c r="BF1949" t="str">
        <f>T("D268765")</f>
        <v>D268765</v>
      </c>
      <c r="BG1949" t="str">
        <f>T("로판 웹소설 &gt; 서양풍 로판")</f>
        <v>로판 웹소설 &gt; 서양풍 로판</v>
      </c>
    </row>
    <row r="1950" spans="1:59">
      <c r="A1950" t="s">
        <v>60</v>
      </c>
      <c r="B1950" s="1">
        <v>46129</v>
      </c>
      <c r="C1950">
        <v>2378081114</v>
      </c>
      <c r="D1950">
        <v>2378081149</v>
      </c>
      <c r="E1950" t="str">
        <f>T("던전이 자꾸 이상한 짓을 시켜요 36화")</f>
        <v>던전이 자꾸 이상한 짓을 시켜요 36화</v>
      </c>
      <c r="F1950">
        <v>36</v>
      </c>
      <c r="G1950" t="str">
        <f>T("필밤")</f>
        <v>필밤</v>
      </c>
      <c r="J1950" t="str">
        <f>T("시계토끼")</f>
        <v>시계토끼</v>
      </c>
      <c r="K1950" t="str">
        <f>T("던전이 자꾸 이상한 짓을 시켜요")</f>
        <v>던전이 자꾸 이상한 짓을 시켜요</v>
      </c>
      <c r="L1950">
        <v>100</v>
      </c>
      <c r="M1950">
        <v>500</v>
      </c>
      <c r="N1950">
        <v>5</v>
      </c>
      <c r="O1950">
        <v>0</v>
      </c>
      <c r="P1950">
        <v>0</v>
      </c>
      <c r="Q1950">
        <v>0</v>
      </c>
      <c r="R1950">
        <v>1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500</v>
      </c>
      <c r="AJ1950">
        <v>6</v>
      </c>
      <c r="AK1950">
        <v>0</v>
      </c>
      <c r="AL1950">
        <v>0</v>
      </c>
      <c r="AM1950">
        <v>500</v>
      </c>
      <c r="AN1950">
        <v>0</v>
      </c>
      <c r="AO1950">
        <v>0</v>
      </c>
      <c r="AP1950">
        <v>0</v>
      </c>
      <c r="AQ1950">
        <v>0</v>
      </c>
      <c r="AS1950">
        <v>0</v>
      </c>
      <c r="AT1950">
        <v>0</v>
      </c>
      <c r="AV1950">
        <v>0</v>
      </c>
      <c r="AW1950">
        <v>0</v>
      </c>
      <c r="AY1950">
        <v>0</v>
      </c>
      <c r="AZ1950">
        <v>0</v>
      </c>
      <c r="BA1950">
        <v>300</v>
      </c>
      <c r="BF1950" t="str">
        <f>T("D268766")</f>
        <v>D268766</v>
      </c>
      <c r="BG1950" t="str">
        <f>T("로판 웹소설 &gt; 서양풍 로판")</f>
        <v>로판 웹소설 &gt; 서양풍 로판</v>
      </c>
    </row>
    <row r="1951" spans="1:59">
      <c r="A1951" t="s">
        <v>60</v>
      </c>
      <c r="B1951" s="1">
        <v>46129</v>
      </c>
      <c r="C1951">
        <v>2378081114</v>
      </c>
      <c r="D1951">
        <v>2378081150</v>
      </c>
      <c r="E1951" t="str">
        <f>T("던전이 자꾸 이상한 짓을 시켜요 37화")</f>
        <v>던전이 자꾸 이상한 짓을 시켜요 37화</v>
      </c>
      <c r="F1951">
        <v>37</v>
      </c>
      <c r="G1951" t="str">
        <f>T("필밤")</f>
        <v>필밤</v>
      </c>
      <c r="J1951" t="str">
        <f>T("시계토끼")</f>
        <v>시계토끼</v>
      </c>
      <c r="K1951" t="str">
        <f>T("던전이 자꾸 이상한 짓을 시켜요")</f>
        <v>던전이 자꾸 이상한 짓을 시켜요</v>
      </c>
      <c r="L1951">
        <v>100</v>
      </c>
      <c r="M1951">
        <v>400</v>
      </c>
      <c r="N1951">
        <v>4</v>
      </c>
      <c r="O1951">
        <v>0</v>
      </c>
      <c r="P1951">
        <v>0</v>
      </c>
      <c r="Q1951">
        <v>0</v>
      </c>
      <c r="R1951">
        <v>1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400</v>
      </c>
      <c r="AJ1951">
        <v>5</v>
      </c>
      <c r="AK1951">
        <v>0</v>
      </c>
      <c r="AL1951">
        <v>0</v>
      </c>
      <c r="AM1951">
        <v>400</v>
      </c>
      <c r="AN1951">
        <v>0</v>
      </c>
      <c r="AO1951">
        <v>0</v>
      </c>
      <c r="AP1951">
        <v>0</v>
      </c>
      <c r="AQ1951">
        <v>0</v>
      </c>
      <c r="AS1951">
        <v>0</v>
      </c>
      <c r="AT1951">
        <v>0</v>
      </c>
      <c r="AV1951">
        <v>0</v>
      </c>
      <c r="AW1951">
        <v>0</v>
      </c>
      <c r="AY1951">
        <v>0</v>
      </c>
      <c r="AZ1951">
        <v>0</v>
      </c>
      <c r="BA1951">
        <v>240</v>
      </c>
      <c r="BF1951" t="str">
        <f>T("D268767")</f>
        <v>D268767</v>
      </c>
      <c r="BG1951" t="str">
        <f>T("로판 웹소설 &gt; 서양풍 로판")</f>
        <v>로판 웹소설 &gt; 서양풍 로판</v>
      </c>
    </row>
    <row r="1952" spans="1:59">
      <c r="A1952" t="s">
        <v>60</v>
      </c>
      <c r="B1952" s="1">
        <v>46129</v>
      </c>
      <c r="C1952">
        <v>2378081114</v>
      </c>
      <c r="D1952">
        <v>2378081151</v>
      </c>
      <c r="E1952" t="str">
        <f>T("던전이 자꾸 이상한 짓을 시켜요 38화")</f>
        <v>던전이 자꾸 이상한 짓을 시켜요 38화</v>
      </c>
      <c r="F1952">
        <v>38</v>
      </c>
      <c r="G1952" t="str">
        <f>T("필밤")</f>
        <v>필밤</v>
      </c>
      <c r="J1952" t="str">
        <f>T("시계토끼")</f>
        <v>시계토끼</v>
      </c>
      <c r="K1952" t="str">
        <f>T("던전이 자꾸 이상한 짓을 시켜요")</f>
        <v>던전이 자꾸 이상한 짓을 시켜요</v>
      </c>
      <c r="L1952">
        <v>100</v>
      </c>
      <c r="M1952">
        <v>400</v>
      </c>
      <c r="N1952">
        <v>4</v>
      </c>
      <c r="O1952">
        <v>0</v>
      </c>
      <c r="P1952">
        <v>0</v>
      </c>
      <c r="Q1952">
        <v>0</v>
      </c>
      <c r="R1952">
        <v>1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400</v>
      </c>
      <c r="AJ1952">
        <v>5</v>
      </c>
      <c r="AK1952">
        <v>0</v>
      </c>
      <c r="AL1952">
        <v>0</v>
      </c>
      <c r="AM1952">
        <v>400</v>
      </c>
      <c r="AN1952">
        <v>0</v>
      </c>
      <c r="AO1952">
        <v>0</v>
      </c>
      <c r="AP1952">
        <v>0</v>
      </c>
      <c r="AQ1952">
        <v>0</v>
      </c>
      <c r="AS1952">
        <v>0</v>
      </c>
      <c r="AT1952">
        <v>0</v>
      </c>
      <c r="AV1952">
        <v>0</v>
      </c>
      <c r="AW1952">
        <v>0</v>
      </c>
      <c r="AY1952">
        <v>0</v>
      </c>
      <c r="AZ1952">
        <v>0</v>
      </c>
      <c r="BA1952">
        <v>240</v>
      </c>
      <c r="BF1952" t="str">
        <f>T("D268768")</f>
        <v>D268768</v>
      </c>
      <c r="BG1952" t="str">
        <f>T("로판 웹소설 &gt; 서양풍 로판")</f>
        <v>로판 웹소설 &gt; 서양풍 로판</v>
      </c>
    </row>
    <row r="1953" spans="1:59">
      <c r="A1953" t="s">
        <v>60</v>
      </c>
      <c r="B1953" s="1">
        <v>46129</v>
      </c>
      <c r="C1953">
        <v>2378081114</v>
      </c>
      <c r="D1953">
        <v>2378081152</v>
      </c>
      <c r="E1953" t="str">
        <f>T("던전이 자꾸 이상한 짓을 시켜요 39화")</f>
        <v>던전이 자꾸 이상한 짓을 시켜요 39화</v>
      </c>
      <c r="F1953">
        <v>39</v>
      </c>
      <c r="G1953" t="str">
        <f>T("필밤")</f>
        <v>필밤</v>
      </c>
      <c r="J1953" t="str">
        <f>T("시계토끼")</f>
        <v>시계토끼</v>
      </c>
      <c r="K1953" t="str">
        <f>T("던전이 자꾸 이상한 짓을 시켜요")</f>
        <v>던전이 자꾸 이상한 짓을 시켜요</v>
      </c>
      <c r="L1953">
        <v>100</v>
      </c>
      <c r="M1953">
        <v>500</v>
      </c>
      <c r="N1953">
        <v>5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500</v>
      </c>
      <c r="AJ1953">
        <v>5</v>
      </c>
      <c r="AK1953">
        <v>0</v>
      </c>
      <c r="AL1953">
        <v>0</v>
      </c>
      <c r="AM1953">
        <v>500</v>
      </c>
      <c r="AN1953">
        <v>0</v>
      </c>
      <c r="AO1953">
        <v>0</v>
      </c>
      <c r="AP1953">
        <v>0</v>
      </c>
      <c r="AQ1953">
        <v>0</v>
      </c>
      <c r="AS1953">
        <v>0</v>
      </c>
      <c r="AT1953">
        <v>0</v>
      </c>
      <c r="AV1953">
        <v>0</v>
      </c>
      <c r="AW1953">
        <v>0</v>
      </c>
      <c r="AY1953">
        <v>0</v>
      </c>
      <c r="AZ1953">
        <v>0</v>
      </c>
      <c r="BA1953">
        <v>300</v>
      </c>
      <c r="BF1953" t="str">
        <f>T("D268769")</f>
        <v>D268769</v>
      </c>
      <c r="BG1953" t="str">
        <f>T("로판 웹소설 &gt; 서양풍 로판")</f>
        <v>로판 웹소설 &gt; 서양풍 로판</v>
      </c>
    </row>
    <row r="1954" spans="1:59">
      <c r="A1954" t="s">
        <v>60</v>
      </c>
      <c r="B1954" s="1">
        <v>46129</v>
      </c>
      <c r="C1954">
        <v>2378081114</v>
      </c>
      <c r="D1954">
        <v>2378081153</v>
      </c>
      <c r="E1954" t="str">
        <f>T("던전이 자꾸 이상한 짓을 시켜요 40화")</f>
        <v>던전이 자꾸 이상한 짓을 시켜요 40화</v>
      </c>
      <c r="F1954">
        <v>40</v>
      </c>
      <c r="G1954" t="str">
        <f>T("필밤")</f>
        <v>필밤</v>
      </c>
      <c r="J1954" t="str">
        <f>T("시계토끼")</f>
        <v>시계토끼</v>
      </c>
      <c r="K1954" t="str">
        <f>T("던전이 자꾸 이상한 짓을 시켜요")</f>
        <v>던전이 자꾸 이상한 짓을 시켜요</v>
      </c>
      <c r="L1954">
        <v>100</v>
      </c>
      <c r="M1954">
        <v>400</v>
      </c>
      <c r="N1954">
        <v>4</v>
      </c>
      <c r="O1954">
        <v>0</v>
      </c>
      <c r="P1954">
        <v>0</v>
      </c>
      <c r="Q1954">
        <v>0</v>
      </c>
      <c r="R1954">
        <v>1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400</v>
      </c>
      <c r="AJ1954">
        <v>5</v>
      </c>
      <c r="AK1954">
        <v>0</v>
      </c>
      <c r="AL1954">
        <v>0</v>
      </c>
      <c r="AM1954">
        <v>400</v>
      </c>
      <c r="AN1954">
        <v>0</v>
      </c>
      <c r="AO1954">
        <v>0</v>
      </c>
      <c r="AP1954">
        <v>0</v>
      </c>
      <c r="AQ1954">
        <v>0</v>
      </c>
      <c r="AS1954">
        <v>0</v>
      </c>
      <c r="AT1954">
        <v>0</v>
      </c>
      <c r="AV1954">
        <v>0</v>
      </c>
      <c r="AW1954">
        <v>0</v>
      </c>
      <c r="AY1954">
        <v>0</v>
      </c>
      <c r="AZ1954">
        <v>0</v>
      </c>
      <c r="BA1954">
        <v>240</v>
      </c>
      <c r="BF1954" t="str">
        <f>T("D268770")</f>
        <v>D268770</v>
      </c>
      <c r="BG1954" t="str">
        <f>T("로판 웹소설 &gt; 서양풍 로판")</f>
        <v>로판 웹소설 &gt; 서양풍 로판</v>
      </c>
    </row>
    <row r="1955" spans="1:59">
      <c r="A1955" t="s">
        <v>60</v>
      </c>
      <c r="B1955" s="1">
        <v>46129</v>
      </c>
      <c r="C1955">
        <v>2378081114</v>
      </c>
      <c r="D1955">
        <v>2378081154</v>
      </c>
      <c r="E1955" t="str">
        <f>T("던전이 자꾸 이상한 짓을 시켜요 41화")</f>
        <v>던전이 자꾸 이상한 짓을 시켜요 41화</v>
      </c>
      <c r="F1955">
        <v>41</v>
      </c>
      <c r="G1955" t="str">
        <f>T("필밤")</f>
        <v>필밤</v>
      </c>
      <c r="J1955" t="str">
        <f>T("시계토끼")</f>
        <v>시계토끼</v>
      </c>
      <c r="K1955" t="str">
        <f>T("던전이 자꾸 이상한 짓을 시켜요")</f>
        <v>던전이 자꾸 이상한 짓을 시켜요</v>
      </c>
      <c r="L1955">
        <v>100</v>
      </c>
      <c r="M1955">
        <v>400</v>
      </c>
      <c r="N1955">
        <v>4</v>
      </c>
      <c r="O1955">
        <v>0</v>
      </c>
      <c r="P1955">
        <v>0</v>
      </c>
      <c r="Q1955">
        <v>0</v>
      </c>
      <c r="R1955">
        <v>2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400</v>
      </c>
      <c r="AJ1955">
        <v>6</v>
      </c>
      <c r="AK1955">
        <v>0</v>
      </c>
      <c r="AL1955">
        <v>0</v>
      </c>
      <c r="AM1955">
        <v>400</v>
      </c>
      <c r="AN1955">
        <v>0</v>
      </c>
      <c r="AO1955">
        <v>0</v>
      </c>
      <c r="AP1955">
        <v>0</v>
      </c>
      <c r="AQ1955">
        <v>0</v>
      </c>
      <c r="AS1955">
        <v>0</v>
      </c>
      <c r="AT1955">
        <v>0</v>
      </c>
      <c r="AV1955">
        <v>0</v>
      </c>
      <c r="AW1955">
        <v>0</v>
      </c>
      <c r="AY1955">
        <v>0</v>
      </c>
      <c r="AZ1955">
        <v>0</v>
      </c>
      <c r="BA1955">
        <v>240</v>
      </c>
      <c r="BF1955" t="str">
        <f>T("D268771")</f>
        <v>D268771</v>
      </c>
      <c r="BG1955" t="str">
        <f>T("로판 웹소설 &gt; 서양풍 로판")</f>
        <v>로판 웹소설 &gt; 서양풍 로판</v>
      </c>
    </row>
    <row r="1956" spans="1:59">
      <c r="A1956" t="s">
        <v>60</v>
      </c>
      <c r="B1956" s="1">
        <v>46129</v>
      </c>
      <c r="C1956">
        <v>2378081114</v>
      </c>
      <c r="D1956">
        <v>2378081155</v>
      </c>
      <c r="E1956" t="str">
        <f>T("던전이 자꾸 이상한 짓을 시켜요 42화")</f>
        <v>던전이 자꾸 이상한 짓을 시켜요 42화</v>
      </c>
      <c r="F1956">
        <v>42</v>
      </c>
      <c r="G1956" t="str">
        <f>T("필밤")</f>
        <v>필밤</v>
      </c>
      <c r="J1956" t="str">
        <f>T("시계토끼")</f>
        <v>시계토끼</v>
      </c>
      <c r="K1956" t="str">
        <f>T("던전이 자꾸 이상한 짓을 시켜요")</f>
        <v>던전이 자꾸 이상한 짓을 시켜요</v>
      </c>
      <c r="L1956">
        <v>100</v>
      </c>
      <c r="M1956">
        <v>400</v>
      </c>
      <c r="N1956">
        <v>4</v>
      </c>
      <c r="O1956">
        <v>0</v>
      </c>
      <c r="P1956">
        <v>0</v>
      </c>
      <c r="Q1956">
        <v>0</v>
      </c>
      <c r="R1956">
        <v>1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400</v>
      </c>
      <c r="AJ1956">
        <v>5</v>
      </c>
      <c r="AK1956">
        <v>0</v>
      </c>
      <c r="AL1956">
        <v>0</v>
      </c>
      <c r="AM1956">
        <v>400</v>
      </c>
      <c r="AN1956">
        <v>0</v>
      </c>
      <c r="AO1956">
        <v>0</v>
      </c>
      <c r="AP1956">
        <v>0</v>
      </c>
      <c r="AQ1956">
        <v>0</v>
      </c>
      <c r="AS1956">
        <v>0</v>
      </c>
      <c r="AT1956">
        <v>0</v>
      </c>
      <c r="AV1956">
        <v>0</v>
      </c>
      <c r="AW1956">
        <v>0</v>
      </c>
      <c r="AY1956">
        <v>0</v>
      </c>
      <c r="AZ1956">
        <v>0</v>
      </c>
      <c r="BA1956">
        <v>240</v>
      </c>
      <c r="BF1956" t="str">
        <f>T("D268772")</f>
        <v>D268772</v>
      </c>
      <c r="BG1956" t="str">
        <f>T("로판 웹소설 &gt; 서양풍 로판")</f>
        <v>로판 웹소설 &gt; 서양풍 로판</v>
      </c>
    </row>
    <row r="1957" spans="1:59">
      <c r="A1957" t="s">
        <v>60</v>
      </c>
      <c r="B1957" s="1">
        <v>46129</v>
      </c>
      <c r="C1957">
        <v>2378081114</v>
      </c>
      <c r="D1957">
        <v>2378081156</v>
      </c>
      <c r="E1957" t="str">
        <f>T("던전이 자꾸 이상한 짓을 시켜요 43화")</f>
        <v>던전이 자꾸 이상한 짓을 시켜요 43화</v>
      </c>
      <c r="F1957">
        <v>43</v>
      </c>
      <c r="G1957" t="str">
        <f>T("필밤")</f>
        <v>필밤</v>
      </c>
      <c r="J1957" t="str">
        <f>T("시계토끼")</f>
        <v>시계토끼</v>
      </c>
      <c r="K1957" t="str">
        <f>T("던전이 자꾸 이상한 짓을 시켜요")</f>
        <v>던전이 자꾸 이상한 짓을 시켜요</v>
      </c>
      <c r="L1957">
        <v>100</v>
      </c>
      <c r="M1957">
        <v>500</v>
      </c>
      <c r="N1957">
        <v>5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500</v>
      </c>
      <c r="AJ1957">
        <v>5</v>
      </c>
      <c r="AK1957">
        <v>0</v>
      </c>
      <c r="AL1957">
        <v>0</v>
      </c>
      <c r="AM1957">
        <v>500</v>
      </c>
      <c r="AN1957">
        <v>0</v>
      </c>
      <c r="AO1957">
        <v>0</v>
      </c>
      <c r="AP1957">
        <v>0</v>
      </c>
      <c r="AQ1957">
        <v>0</v>
      </c>
      <c r="AS1957">
        <v>0</v>
      </c>
      <c r="AT1957">
        <v>0</v>
      </c>
      <c r="AV1957">
        <v>0</v>
      </c>
      <c r="AW1957">
        <v>0</v>
      </c>
      <c r="AY1957">
        <v>0</v>
      </c>
      <c r="AZ1957">
        <v>0</v>
      </c>
      <c r="BA1957">
        <v>300</v>
      </c>
      <c r="BF1957" t="str">
        <f>T("D268773")</f>
        <v>D268773</v>
      </c>
      <c r="BG1957" t="str">
        <f>T("로판 웹소설 &gt; 서양풍 로판")</f>
        <v>로판 웹소설 &gt; 서양풍 로판</v>
      </c>
    </row>
    <row r="1958" spans="1:59">
      <c r="A1958" t="s">
        <v>60</v>
      </c>
      <c r="B1958" s="1">
        <v>46129</v>
      </c>
      <c r="C1958">
        <v>2378081114</v>
      </c>
      <c r="D1958">
        <v>2378081157</v>
      </c>
      <c r="E1958" t="str">
        <f>T("던전이 자꾸 이상한 짓을 시켜요 44화")</f>
        <v>던전이 자꾸 이상한 짓을 시켜요 44화</v>
      </c>
      <c r="F1958">
        <v>44</v>
      </c>
      <c r="G1958" t="str">
        <f>T("필밤")</f>
        <v>필밤</v>
      </c>
      <c r="J1958" t="str">
        <f>T("시계토끼")</f>
        <v>시계토끼</v>
      </c>
      <c r="K1958" t="str">
        <f>T("던전이 자꾸 이상한 짓을 시켜요")</f>
        <v>던전이 자꾸 이상한 짓을 시켜요</v>
      </c>
      <c r="L1958">
        <v>100</v>
      </c>
      <c r="M1958">
        <v>400</v>
      </c>
      <c r="N1958">
        <v>4</v>
      </c>
      <c r="O1958">
        <v>0</v>
      </c>
      <c r="P1958">
        <v>0</v>
      </c>
      <c r="Q1958">
        <v>0</v>
      </c>
      <c r="R1958">
        <v>1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400</v>
      </c>
      <c r="AJ1958">
        <v>5</v>
      </c>
      <c r="AK1958">
        <v>0</v>
      </c>
      <c r="AL1958">
        <v>0</v>
      </c>
      <c r="AM1958">
        <v>400</v>
      </c>
      <c r="AN1958">
        <v>0</v>
      </c>
      <c r="AO1958">
        <v>0</v>
      </c>
      <c r="AP1958">
        <v>0</v>
      </c>
      <c r="AQ1958">
        <v>0</v>
      </c>
      <c r="AS1958">
        <v>0</v>
      </c>
      <c r="AT1958">
        <v>0</v>
      </c>
      <c r="AV1958">
        <v>0</v>
      </c>
      <c r="AW1958">
        <v>0</v>
      </c>
      <c r="AY1958">
        <v>0</v>
      </c>
      <c r="AZ1958">
        <v>0</v>
      </c>
      <c r="BA1958">
        <v>240</v>
      </c>
      <c r="BF1958" t="str">
        <f>T("D268774")</f>
        <v>D268774</v>
      </c>
      <c r="BG1958" t="str">
        <f>T("로판 웹소설 &gt; 서양풍 로판")</f>
        <v>로판 웹소설 &gt; 서양풍 로판</v>
      </c>
    </row>
    <row r="1959" spans="1:59">
      <c r="A1959" t="s">
        <v>60</v>
      </c>
      <c r="B1959" s="1">
        <v>46129</v>
      </c>
      <c r="C1959">
        <v>2378081114</v>
      </c>
      <c r="D1959">
        <v>2378081158</v>
      </c>
      <c r="E1959" t="str">
        <f>T("던전이 자꾸 이상한 짓을 시켜요 45화")</f>
        <v>던전이 자꾸 이상한 짓을 시켜요 45화</v>
      </c>
      <c r="F1959">
        <v>45</v>
      </c>
      <c r="G1959" t="str">
        <f>T("필밤")</f>
        <v>필밤</v>
      </c>
      <c r="J1959" t="str">
        <f>T("시계토끼")</f>
        <v>시계토끼</v>
      </c>
      <c r="K1959" t="str">
        <f>T("던전이 자꾸 이상한 짓을 시켜요")</f>
        <v>던전이 자꾸 이상한 짓을 시켜요</v>
      </c>
      <c r="L1959">
        <v>100</v>
      </c>
      <c r="M1959">
        <v>600</v>
      </c>
      <c r="N1959">
        <v>6</v>
      </c>
      <c r="O1959">
        <v>0</v>
      </c>
      <c r="P1959">
        <v>0</v>
      </c>
      <c r="Q1959">
        <v>0</v>
      </c>
      <c r="R1959">
        <v>1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600</v>
      </c>
      <c r="AJ1959">
        <v>7</v>
      </c>
      <c r="AK1959">
        <v>0</v>
      </c>
      <c r="AL1959">
        <v>0</v>
      </c>
      <c r="AM1959">
        <v>600</v>
      </c>
      <c r="AN1959">
        <v>0</v>
      </c>
      <c r="AO1959">
        <v>0</v>
      </c>
      <c r="AP1959">
        <v>0</v>
      </c>
      <c r="AQ1959">
        <v>0</v>
      </c>
      <c r="AS1959">
        <v>0</v>
      </c>
      <c r="AT1959">
        <v>0</v>
      </c>
      <c r="AV1959">
        <v>0</v>
      </c>
      <c r="AW1959">
        <v>0</v>
      </c>
      <c r="AY1959">
        <v>0</v>
      </c>
      <c r="AZ1959">
        <v>0</v>
      </c>
      <c r="BA1959">
        <v>360</v>
      </c>
      <c r="BF1959" t="str">
        <f>T("D268775")</f>
        <v>D268775</v>
      </c>
      <c r="BG1959" t="str">
        <f>T("로판 웹소설 &gt; 서양풍 로판")</f>
        <v>로판 웹소설 &gt; 서양풍 로판</v>
      </c>
    </row>
    <row r="1960" spans="1:59">
      <c r="A1960" t="s">
        <v>60</v>
      </c>
      <c r="B1960" s="1">
        <v>46129</v>
      </c>
      <c r="C1960">
        <v>2378081114</v>
      </c>
      <c r="D1960">
        <v>2378081159</v>
      </c>
      <c r="E1960" t="str">
        <f>T("던전이 자꾸 이상한 짓을 시켜요 46화")</f>
        <v>던전이 자꾸 이상한 짓을 시켜요 46화</v>
      </c>
      <c r="F1960">
        <v>46</v>
      </c>
      <c r="G1960" t="str">
        <f>T("필밤")</f>
        <v>필밤</v>
      </c>
      <c r="J1960" t="str">
        <f>T("시계토끼")</f>
        <v>시계토끼</v>
      </c>
      <c r="K1960" t="str">
        <f>T("던전이 자꾸 이상한 짓을 시켜요")</f>
        <v>던전이 자꾸 이상한 짓을 시켜요</v>
      </c>
      <c r="L1960">
        <v>100</v>
      </c>
      <c r="M1960">
        <v>200</v>
      </c>
      <c r="N1960">
        <v>2</v>
      </c>
      <c r="O1960">
        <v>0</v>
      </c>
      <c r="P1960">
        <v>0</v>
      </c>
      <c r="Q1960">
        <v>0</v>
      </c>
      <c r="R1960">
        <v>1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0</v>
      </c>
      <c r="AH1960">
        <v>0</v>
      </c>
      <c r="AI1960">
        <v>200</v>
      </c>
      <c r="AJ1960">
        <v>3</v>
      </c>
      <c r="AK1960">
        <v>0</v>
      </c>
      <c r="AL1960">
        <v>0</v>
      </c>
      <c r="AM1960">
        <v>200</v>
      </c>
      <c r="AN1960">
        <v>0</v>
      </c>
      <c r="AO1960">
        <v>0</v>
      </c>
      <c r="AP1960">
        <v>0</v>
      </c>
      <c r="AQ1960">
        <v>0</v>
      </c>
      <c r="AS1960">
        <v>0</v>
      </c>
      <c r="AT1960">
        <v>0</v>
      </c>
      <c r="AV1960">
        <v>0</v>
      </c>
      <c r="AW1960">
        <v>0</v>
      </c>
      <c r="AY1960">
        <v>0</v>
      </c>
      <c r="AZ1960">
        <v>0</v>
      </c>
      <c r="BA1960">
        <v>120</v>
      </c>
      <c r="BF1960" t="str">
        <f>T("D268776")</f>
        <v>D268776</v>
      </c>
      <c r="BG1960" t="str">
        <f>T("로판 웹소설 &gt; 서양풍 로판")</f>
        <v>로판 웹소설 &gt; 서양풍 로판</v>
      </c>
    </row>
    <row r="1961" spans="1:59">
      <c r="A1961" t="s">
        <v>60</v>
      </c>
      <c r="B1961" s="1">
        <v>46129</v>
      </c>
      <c r="C1961">
        <v>2378081114</v>
      </c>
      <c r="D1961">
        <v>2378081160</v>
      </c>
      <c r="E1961" t="str">
        <f>T("던전이 자꾸 이상한 짓을 시켜요 47화")</f>
        <v>던전이 자꾸 이상한 짓을 시켜요 47화</v>
      </c>
      <c r="F1961">
        <v>47</v>
      </c>
      <c r="G1961" t="str">
        <f>T("필밤")</f>
        <v>필밤</v>
      </c>
      <c r="J1961" t="str">
        <f>T("시계토끼")</f>
        <v>시계토끼</v>
      </c>
      <c r="K1961" t="str">
        <f>T("던전이 자꾸 이상한 짓을 시켜요")</f>
        <v>던전이 자꾸 이상한 짓을 시켜요</v>
      </c>
      <c r="L1961">
        <v>100</v>
      </c>
      <c r="M1961">
        <v>500</v>
      </c>
      <c r="N1961">
        <v>5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0</v>
      </c>
      <c r="AH1961">
        <v>0</v>
      </c>
      <c r="AI1961">
        <v>500</v>
      </c>
      <c r="AJ1961">
        <v>5</v>
      </c>
      <c r="AK1961">
        <v>0</v>
      </c>
      <c r="AL1961">
        <v>0</v>
      </c>
      <c r="AM1961">
        <v>500</v>
      </c>
      <c r="AN1961">
        <v>0</v>
      </c>
      <c r="AO1961">
        <v>0</v>
      </c>
      <c r="AP1961">
        <v>0</v>
      </c>
      <c r="AQ1961">
        <v>0</v>
      </c>
      <c r="AS1961">
        <v>0</v>
      </c>
      <c r="AT1961">
        <v>0</v>
      </c>
      <c r="AV1961">
        <v>0</v>
      </c>
      <c r="AW1961">
        <v>0</v>
      </c>
      <c r="AY1961">
        <v>0</v>
      </c>
      <c r="AZ1961">
        <v>0</v>
      </c>
      <c r="BA1961">
        <v>300</v>
      </c>
      <c r="BF1961" t="str">
        <f>T("D268777")</f>
        <v>D268777</v>
      </c>
      <c r="BG1961" t="str">
        <f>T("로판 웹소설 &gt; 서양풍 로판")</f>
        <v>로판 웹소설 &gt; 서양풍 로판</v>
      </c>
    </row>
    <row r="1962" spans="1:59">
      <c r="A1962" t="s">
        <v>60</v>
      </c>
      <c r="B1962" s="1">
        <v>46129</v>
      </c>
      <c r="C1962">
        <v>2378081114</v>
      </c>
      <c r="D1962">
        <v>2378081161</v>
      </c>
      <c r="E1962" t="str">
        <f>T("던전이 자꾸 이상한 짓을 시켜요 48화")</f>
        <v>던전이 자꾸 이상한 짓을 시켜요 48화</v>
      </c>
      <c r="F1962">
        <v>48</v>
      </c>
      <c r="G1962" t="str">
        <f>T("필밤")</f>
        <v>필밤</v>
      </c>
      <c r="J1962" t="str">
        <f>T("시계토끼")</f>
        <v>시계토끼</v>
      </c>
      <c r="K1962" t="str">
        <f>T("던전이 자꾸 이상한 짓을 시켜요")</f>
        <v>던전이 자꾸 이상한 짓을 시켜요</v>
      </c>
      <c r="L1962">
        <v>100</v>
      </c>
      <c r="M1962">
        <v>400</v>
      </c>
      <c r="N1962">
        <v>4</v>
      </c>
      <c r="O1962">
        <v>0</v>
      </c>
      <c r="P1962">
        <v>0</v>
      </c>
      <c r="Q1962">
        <v>0</v>
      </c>
      <c r="R1962">
        <v>2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400</v>
      </c>
      <c r="AJ1962">
        <v>6</v>
      </c>
      <c r="AK1962">
        <v>0</v>
      </c>
      <c r="AL1962">
        <v>0</v>
      </c>
      <c r="AM1962">
        <v>400</v>
      </c>
      <c r="AN1962">
        <v>0</v>
      </c>
      <c r="AO1962">
        <v>0</v>
      </c>
      <c r="AP1962">
        <v>0</v>
      </c>
      <c r="AQ1962">
        <v>0</v>
      </c>
      <c r="AS1962">
        <v>0</v>
      </c>
      <c r="AT1962">
        <v>0</v>
      </c>
      <c r="AV1962">
        <v>0</v>
      </c>
      <c r="AW1962">
        <v>0</v>
      </c>
      <c r="AY1962">
        <v>0</v>
      </c>
      <c r="AZ1962">
        <v>0</v>
      </c>
      <c r="BA1962">
        <v>240</v>
      </c>
      <c r="BF1962" t="str">
        <f>T("D268778")</f>
        <v>D268778</v>
      </c>
      <c r="BG1962" t="str">
        <f>T("로판 웹소설 &gt; 서양풍 로판")</f>
        <v>로판 웹소설 &gt; 서양풍 로판</v>
      </c>
    </row>
    <row r="1963" spans="1:59">
      <c r="A1963" t="s">
        <v>60</v>
      </c>
      <c r="B1963" s="1">
        <v>46129</v>
      </c>
      <c r="C1963">
        <v>2378081114</v>
      </c>
      <c r="D1963">
        <v>2378081162</v>
      </c>
      <c r="E1963" t="str">
        <f>T("던전이 자꾸 이상한 짓을 시켜요 49화")</f>
        <v>던전이 자꾸 이상한 짓을 시켜요 49화</v>
      </c>
      <c r="F1963">
        <v>49</v>
      </c>
      <c r="G1963" t="str">
        <f>T("필밤")</f>
        <v>필밤</v>
      </c>
      <c r="J1963" t="str">
        <f>T("시계토끼")</f>
        <v>시계토끼</v>
      </c>
      <c r="K1963" t="str">
        <f>T("던전이 자꾸 이상한 짓을 시켜요")</f>
        <v>던전이 자꾸 이상한 짓을 시켜요</v>
      </c>
      <c r="L1963">
        <v>100</v>
      </c>
      <c r="M1963">
        <v>400</v>
      </c>
      <c r="N1963">
        <v>4</v>
      </c>
      <c r="O1963">
        <v>0</v>
      </c>
      <c r="P1963">
        <v>0</v>
      </c>
      <c r="Q1963">
        <v>0</v>
      </c>
      <c r="R1963">
        <v>1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400</v>
      </c>
      <c r="AJ1963">
        <v>5</v>
      </c>
      <c r="AK1963">
        <v>0</v>
      </c>
      <c r="AL1963">
        <v>0</v>
      </c>
      <c r="AM1963">
        <v>400</v>
      </c>
      <c r="AN1963">
        <v>0</v>
      </c>
      <c r="AO1963">
        <v>0</v>
      </c>
      <c r="AP1963">
        <v>0</v>
      </c>
      <c r="AQ1963">
        <v>0</v>
      </c>
      <c r="AS1963">
        <v>0</v>
      </c>
      <c r="AT1963">
        <v>0</v>
      </c>
      <c r="AV1963">
        <v>0</v>
      </c>
      <c r="AW1963">
        <v>0</v>
      </c>
      <c r="AY1963">
        <v>0</v>
      </c>
      <c r="AZ1963">
        <v>0</v>
      </c>
      <c r="BA1963">
        <v>240</v>
      </c>
      <c r="BF1963" t="str">
        <f>T("D268779")</f>
        <v>D268779</v>
      </c>
      <c r="BG1963" t="str">
        <f>T("로판 웹소설 &gt; 서양풍 로판")</f>
        <v>로판 웹소설 &gt; 서양풍 로판</v>
      </c>
    </row>
    <row r="1964" spans="1:59">
      <c r="A1964" t="s">
        <v>60</v>
      </c>
      <c r="B1964" s="1">
        <v>46129</v>
      </c>
      <c r="C1964">
        <v>2378081114</v>
      </c>
      <c r="D1964">
        <v>2378081163</v>
      </c>
      <c r="E1964" t="str">
        <f>T("던전이 자꾸 이상한 짓을 시켜요 50화")</f>
        <v>던전이 자꾸 이상한 짓을 시켜요 50화</v>
      </c>
      <c r="F1964">
        <v>50</v>
      </c>
      <c r="G1964" t="str">
        <f>T("필밤")</f>
        <v>필밤</v>
      </c>
      <c r="J1964" t="str">
        <f>T("시계토끼")</f>
        <v>시계토끼</v>
      </c>
      <c r="K1964" t="str">
        <f>T("던전이 자꾸 이상한 짓을 시켜요")</f>
        <v>던전이 자꾸 이상한 짓을 시켜요</v>
      </c>
      <c r="L1964">
        <v>100</v>
      </c>
      <c r="M1964">
        <v>600</v>
      </c>
      <c r="N1964">
        <v>6</v>
      </c>
      <c r="O1964">
        <v>0</v>
      </c>
      <c r="P1964">
        <v>0</v>
      </c>
      <c r="Q1964">
        <v>0</v>
      </c>
      <c r="R1964">
        <v>1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600</v>
      </c>
      <c r="AJ1964">
        <v>7</v>
      </c>
      <c r="AK1964">
        <v>0</v>
      </c>
      <c r="AL1964">
        <v>0</v>
      </c>
      <c r="AM1964">
        <v>600</v>
      </c>
      <c r="AN1964">
        <v>0</v>
      </c>
      <c r="AO1964">
        <v>0</v>
      </c>
      <c r="AP1964">
        <v>0</v>
      </c>
      <c r="AQ1964">
        <v>0</v>
      </c>
      <c r="AS1964">
        <v>0</v>
      </c>
      <c r="AT1964">
        <v>0</v>
      </c>
      <c r="AV1964">
        <v>0</v>
      </c>
      <c r="AW1964">
        <v>0</v>
      </c>
      <c r="AY1964">
        <v>0</v>
      </c>
      <c r="AZ1964">
        <v>0</v>
      </c>
      <c r="BA1964">
        <v>360</v>
      </c>
      <c r="BF1964" t="str">
        <f>T("D268780")</f>
        <v>D268780</v>
      </c>
      <c r="BG1964" t="str">
        <f>T("로판 웹소설 &gt; 서양풍 로판")</f>
        <v>로판 웹소설 &gt; 서양풍 로판</v>
      </c>
    </row>
    <row r="1965" spans="1:59">
      <c r="A1965" t="s">
        <v>60</v>
      </c>
      <c r="B1965" s="1">
        <v>46129</v>
      </c>
      <c r="C1965">
        <v>2378081114</v>
      </c>
      <c r="D1965">
        <v>2378081164</v>
      </c>
      <c r="E1965" t="str">
        <f>T("던전이 자꾸 이상한 짓을 시켜요 51화")</f>
        <v>던전이 자꾸 이상한 짓을 시켜요 51화</v>
      </c>
      <c r="F1965">
        <v>51</v>
      </c>
      <c r="G1965" t="str">
        <f>T("필밤")</f>
        <v>필밤</v>
      </c>
      <c r="J1965" t="str">
        <f>T("시계토끼")</f>
        <v>시계토끼</v>
      </c>
      <c r="K1965" t="str">
        <f>T("던전이 자꾸 이상한 짓을 시켜요")</f>
        <v>던전이 자꾸 이상한 짓을 시켜요</v>
      </c>
      <c r="L1965">
        <v>100</v>
      </c>
      <c r="M1965">
        <v>500</v>
      </c>
      <c r="N1965">
        <v>5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500</v>
      </c>
      <c r="AJ1965">
        <v>5</v>
      </c>
      <c r="AK1965">
        <v>0</v>
      </c>
      <c r="AL1965">
        <v>0</v>
      </c>
      <c r="AM1965">
        <v>500</v>
      </c>
      <c r="AN1965">
        <v>0</v>
      </c>
      <c r="AO1965">
        <v>0</v>
      </c>
      <c r="AP1965">
        <v>0</v>
      </c>
      <c r="AQ1965">
        <v>0</v>
      </c>
      <c r="AS1965">
        <v>0</v>
      </c>
      <c r="AT1965">
        <v>0</v>
      </c>
      <c r="AV1965">
        <v>0</v>
      </c>
      <c r="AW1965">
        <v>0</v>
      </c>
      <c r="AY1965">
        <v>0</v>
      </c>
      <c r="AZ1965">
        <v>0</v>
      </c>
      <c r="BA1965">
        <v>300</v>
      </c>
      <c r="BF1965" t="str">
        <f>T("D268781")</f>
        <v>D268781</v>
      </c>
      <c r="BG1965" t="str">
        <f>T("로판 웹소설 &gt; 서양풍 로판")</f>
        <v>로판 웹소설 &gt; 서양풍 로판</v>
      </c>
    </row>
    <row r="1966" spans="1:59">
      <c r="A1966" t="s">
        <v>60</v>
      </c>
      <c r="B1966" s="1">
        <v>46129</v>
      </c>
      <c r="C1966">
        <v>2378081114</v>
      </c>
      <c r="D1966">
        <v>2378081165</v>
      </c>
      <c r="E1966" t="str">
        <f>T("던전이 자꾸 이상한 짓을 시켜요 52화")</f>
        <v>던전이 자꾸 이상한 짓을 시켜요 52화</v>
      </c>
      <c r="F1966">
        <v>52</v>
      </c>
      <c r="G1966" t="str">
        <f>T("필밤")</f>
        <v>필밤</v>
      </c>
      <c r="J1966" t="str">
        <f>T("시계토끼")</f>
        <v>시계토끼</v>
      </c>
      <c r="K1966" t="str">
        <f>T("던전이 자꾸 이상한 짓을 시켜요")</f>
        <v>던전이 자꾸 이상한 짓을 시켜요</v>
      </c>
      <c r="L1966">
        <v>100</v>
      </c>
      <c r="M1966">
        <v>500</v>
      </c>
      <c r="N1966">
        <v>5</v>
      </c>
      <c r="O1966">
        <v>0</v>
      </c>
      <c r="P1966">
        <v>0</v>
      </c>
      <c r="Q1966">
        <v>0</v>
      </c>
      <c r="R1966">
        <v>1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500</v>
      </c>
      <c r="AJ1966">
        <v>6</v>
      </c>
      <c r="AK1966">
        <v>0</v>
      </c>
      <c r="AL1966">
        <v>0</v>
      </c>
      <c r="AM1966">
        <v>500</v>
      </c>
      <c r="AN1966">
        <v>0</v>
      </c>
      <c r="AO1966">
        <v>0</v>
      </c>
      <c r="AP1966">
        <v>0</v>
      </c>
      <c r="AQ1966">
        <v>0</v>
      </c>
      <c r="AS1966">
        <v>0</v>
      </c>
      <c r="AT1966">
        <v>0</v>
      </c>
      <c r="AV1966">
        <v>0</v>
      </c>
      <c r="AW1966">
        <v>0</v>
      </c>
      <c r="AY1966">
        <v>0</v>
      </c>
      <c r="AZ1966">
        <v>0</v>
      </c>
      <c r="BA1966">
        <v>300</v>
      </c>
      <c r="BF1966" t="str">
        <f>T("D268782")</f>
        <v>D268782</v>
      </c>
      <c r="BG1966" t="str">
        <f>T("로판 웹소설 &gt; 서양풍 로판")</f>
        <v>로판 웹소설 &gt; 서양풍 로판</v>
      </c>
    </row>
    <row r="1967" spans="1:59">
      <c r="A1967" t="s">
        <v>60</v>
      </c>
      <c r="B1967" s="1">
        <v>46129</v>
      </c>
      <c r="C1967">
        <v>2378081114</v>
      </c>
      <c r="D1967">
        <v>2378081166</v>
      </c>
      <c r="E1967" t="str">
        <f>T("던전이 자꾸 이상한 짓을 시켜요 53화")</f>
        <v>던전이 자꾸 이상한 짓을 시켜요 53화</v>
      </c>
      <c r="F1967">
        <v>53</v>
      </c>
      <c r="G1967" t="str">
        <f>T("필밤")</f>
        <v>필밤</v>
      </c>
      <c r="J1967" t="str">
        <f>T("시계토끼")</f>
        <v>시계토끼</v>
      </c>
      <c r="K1967" t="str">
        <f>T("던전이 자꾸 이상한 짓을 시켜요")</f>
        <v>던전이 자꾸 이상한 짓을 시켜요</v>
      </c>
      <c r="L1967">
        <v>100</v>
      </c>
      <c r="M1967">
        <v>500</v>
      </c>
      <c r="N1967">
        <v>5</v>
      </c>
      <c r="O1967">
        <v>0</v>
      </c>
      <c r="P1967">
        <v>0</v>
      </c>
      <c r="Q1967">
        <v>0</v>
      </c>
      <c r="R1967">
        <v>1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500</v>
      </c>
      <c r="AJ1967">
        <v>6</v>
      </c>
      <c r="AK1967">
        <v>0</v>
      </c>
      <c r="AL1967">
        <v>0</v>
      </c>
      <c r="AM1967">
        <v>400</v>
      </c>
      <c r="AN1967">
        <v>0</v>
      </c>
      <c r="AO1967">
        <v>120</v>
      </c>
      <c r="AP1967">
        <v>-12</v>
      </c>
      <c r="AQ1967">
        <v>0</v>
      </c>
      <c r="AS1967">
        <v>0</v>
      </c>
      <c r="AT1967">
        <v>0</v>
      </c>
      <c r="AV1967">
        <v>0</v>
      </c>
      <c r="AW1967">
        <v>0</v>
      </c>
      <c r="AX1967">
        <v>120</v>
      </c>
      <c r="AY1967">
        <v>-12</v>
      </c>
      <c r="AZ1967">
        <v>0</v>
      </c>
      <c r="BA1967">
        <v>304.8</v>
      </c>
      <c r="BF1967" t="str">
        <f>T("D268783")</f>
        <v>D268783</v>
      </c>
      <c r="BG1967" t="str">
        <f>T("로판 웹소설 &gt; 서양풍 로판")</f>
        <v>로판 웹소설 &gt; 서양풍 로판</v>
      </c>
    </row>
    <row r="1968" spans="1:59">
      <c r="A1968" t="s">
        <v>60</v>
      </c>
      <c r="B1968" s="1">
        <v>46129</v>
      </c>
      <c r="C1968">
        <v>2378081114</v>
      </c>
      <c r="D1968">
        <v>2378081167</v>
      </c>
      <c r="E1968" t="str">
        <f>T("던전이 자꾸 이상한 짓을 시켜요 54화")</f>
        <v>던전이 자꾸 이상한 짓을 시켜요 54화</v>
      </c>
      <c r="F1968">
        <v>54</v>
      </c>
      <c r="G1968" t="str">
        <f>T("필밤")</f>
        <v>필밤</v>
      </c>
      <c r="J1968" t="str">
        <f>T("시계토끼")</f>
        <v>시계토끼</v>
      </c>
      <c r="K1968" t="str">
        <f>T("던전이 자꾸 이상한 짓을 시켜요")</f>
        <v>던전이 자꾸 이상한 짓을 시켜요</v>
      </c>
      <c r="L1968">
        <v>100</v>
      </c>
      <c r="M1968">
        <v>200</v>
      </c>
      <c r="N1968">
        <v>2</v>
      </c>
      <c r="O1968">
        <v>0</v>
      </c>
      <c r="P1968">
        <v>0</v>
      </c>
      <c r="Q1968">
        <v>0</v>
      </c>
      <c r="R1968">
        <v>1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200</v>
      </c>
      <c r="AJ1968">
        <v>3</v>
      </c>
      <c r="AK1968">
        <v>0</v>
      </c>
      <c r="AL1968">
        <v>0</v>
      </c>
      <c r="AM1968">
        <v>200</v>
      </c>
      <c r="AN1968">
        <v>0</v>
      </c>
      <c r="AO1968">
        <v>0</v>
      </c>
      <c r="AP1968">
        <v>0</v>
      </c>
      <c r="AQ1968">
        <v>0</v>
      </c>
      <c r="AS1968">
        <v>0</v>
      </c>
      <c r="AT1968">
        <v>0</v>
      </c>
      <c r="AV1968">
        <v>0</v>
      </c>
      <c r="AW1968">
        <v>0</v>
      </c>
      <c r="AY1968">
        <v>0</v>
      </c>
      <c r="AZ1968">
        <v>0</v>
      </c>
      <c r="BA1968">
        <v>120</v>
      </c>
      <c r="BF1968" t="str">
        <f>T("D268784")</f>
        <v>D268784</v>
      </c>
      <c r="BG1968" t="str">
        <f>T("로판 웹소설 &gt; 서양풍 로판")</f>
        <v>로판 웹소설 &gt; 서양풍 로판</v>
      </c>
    </row>
    <row r="1969" spans="1:59">
      <c r="A1969" t="s">
        <v>60</v>
      </c>
      <c r="B1969" s="1">
        <v>46129</v>
      </c>
      <c r="C1969">
        <v>2378081114</v>
      </c>
      <c r="D1969">
        <v>2378081168</v>
      </c>
      <c r="E1969" t="str">
        <f>T("던전이 자꾸 이상한 짓을 시켜요 55화")</f>
        <v>던전이 자꾸 이상한 짓을 시켜요 55화</v>
      </c>
      <c r="F1969">
        <v>55</v>
      </c>
      <c r="G1969" t="str">
        <f>T("필밤")</f>
        <v>필밤</v>
      </c>
      <c r="J1969" t="str">
        <f>T("시계토끼")</f>
        <v>시계토끼</v>
      </c>
      <c r="K1969" t="str">
        <f>T("던전이 자꾸 이상한 짓을 시켜요")</f>
        <v>던전이 자꾸 이상한 짓을 시켜요</v>
      </c>
      <c r="L1969">
        <v>100</v>
      </c>
      <c r="M1969">
        <v>400</v>
      </c>
      <c r="N1969">
        <v>4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0</v>
      </c>
      <c r="AI1969">
        <v>400</v>
      </c>
      <c r="AJ1969">
        <v>4</v>
      </c>
      <c r="AK1969">
        <v>0</v>
      </c>
      <c r="AL1969">
        <v>0</v>
      </c>
      <c r="AM1969">
        <v>400</v>
      </c>
      <c r="AN1969">
        <v>0</v>
      </c>
      <c r="AO1969">
        <v>0</v>
      </c>
      <c r="AP1969">
        <v>0</v>
      </c>
      <c r="AQ1969">
        <v>0</v>
      </c>
      <c r="AS1969">
        <v>0</v>
      </c>
      <c r="AT1969">
        <v>0</v>
      </c>
      <c r="AV1969">
        <v>0</v>
      </c>
      <c r="AW1969">
        <v>0</v>
      </c>
      <c r="AY1969">
        <v>0</v>
      </c>
      <c r="AZ1969">
        <v>0</v>
      </c>
      <c r="BA1969">
        <v>240</v>
      </c>
      <c r="BF1969" t="str">
        <f>T("D268785")</f>
        <v>D268785</v>
      </c>
      <c r="BG1969" t="str">
        <f>T("로판 웹소설 &gt; 서양풍 로판")</f>
        <v>로판 웹소설 &gt; 서양풍 로판</v>
      </c>
    </row>
    <row r="1970" spans="1:59">
      <c r="A1970" t="s">
        <v>60</v>
      </c>
      <c r="B1970" s="1">
        <v>46129</v>
      </c>
      <c r="C1970">
        <v>2378081114</v>
      </c>
      <c r="D1970">
        <v>2378081169</v>
      </c>
      <c r="E1970" t="str">
        <f>T("던전이 자꾸 이상한 짓을 시켜요 56화")</f>
        <v>던전이 자꾸 이상한 짓을 시켜요 56화</v>
      </c>
      <c r="F1970">
        <v>56</v>
      </c>
      <c r="G1970" t="str">
        <f>T("필밤")</f>
        <v>필밤</v>
      </c>
      <c r="J1970" t="str">
        <f>T("시계토끼")</f>
        <v>시계토끼</v>
      </c>
      <c r="K1970" t="str">
        <f>T("던전이 자꾸 이상한 짓을 시켜요")</f>
        <v>던전이 자꾸 이상한 짓을 시켜요</v>
      </c>
      <c r="L1970">
        <v>100</v>
      </c>
      <c r="M1970">
        <v>300</v>
      </c>
      <c r="N1970">
        <v>3</v>
      </c>
      <c r="O1970">
        <v>0</v>
      </c>
      <c r="P1970">
        <v>0</v>
      </c>
      <c r="Q1970">
        <v>0</v>
      </c>
      <c r="R1970">
        <v>1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300</v>
      </c>
      <c r="AJ1970">
        <v>4</v>
      </c>
      <c r="AK1970">
        <v>0</v>
      </c>
      <c r="AL1970">
        <v>0</v>
      </c>
      <c r="AM1970">
        <v>300</v>
      </c>
      <c r="AN1970">
        <v>0</v>
      </c>
      <c r="AO1970">
        <v>0</v>
      </c>
      <c r="AP1970">
        <v>0</v>
      </c>
      <c r="AQ1970">
        <v>0</v>
      </c>
      <c r="AS1970">
        <v>0</v>
      </c>
      <c r="AT1970">
        <v>0</v>
      </c>
      <c r="AV1970">
        <v>0</v>
      </c>
      <c r="AW1970">
        <v>0</v>
      </c>
      <c r="AY1970">
        <v>0</v>
      </c>
      <c r="AZ1970">
        <v>0</v>
      </c>
      <c r="BA1970">
        <v>180</v>
      </c>
      <c r="BF1970" t="str">
        <f>T("D268786")</f>
        <v>D268786</v>
      </c>
      <c r="BG1970" t="str">
        <f>T("로판 웹소설 &gt; 서양풍 로판")</f>
        <v>로판 웹소설 &gt; 서양풍 로판</v>
      </c>
    </row>
    <row r="1971" spans="1:59">
      <c r="A1971" t="s">
        <v>60</v>
      </c>
      <c r="B1971" s="1">
        <v>46129</v>
      </c>
      <c r="C1971">
        <v>2378081114</v>
      </c>
      <c r="D1971">
        <v>2378081170</v>
      </c>
      <c r="E1971" t="str">
        <f>T("던전이 자꾸 이상한 짓을 시켜요 57화")</f>
        <v>던전이 자꾸 이상한 짓을 시켜요 57화</v>
      </c>
      <c r="F1971">
        <v>57</v>
      </c>
      <c r="G1971" t="str">
        <f>T("필밤")</f>
        <v>필밤</v>
      </c>
      <c r="J1971" t="str">
        <f>T("시계토끼")</f>
        <v>시계토끼</v>
      </c>
      <c r="K1971" t="str">
        <f>T("던전이 자꾸 이상한 짓을 시켜요")</f>
        <v>던전이 자꾸 이상한 짓을 시켜요</v>
      </c>
      <c r="L1971">
        <v>100</v>
      </c>
      <c r="M1971">
        <v>200</v>
      </c>
      <c r="N1971">
        <v>2</v>
      </c>
      <c r="O1971">
        <v>0</v>
      </c>
      <c r="P1971">
        <v>0</v>
      </c>
      <c r="Q1971">
        <v>0</v>
      </c>
      <c r="R1971">
        <v>1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0</v>
      </c>
      <c r="AI1971">
        <v>200</v>
      </c>
      <c r="AJ1971">
        <v>3</v>
      </c>
      <c r="AK1971">
        <v>0</v>
      </c>
      <c r="AL1971">
        <v>0</v>
      </c>
      <c r="AM1971">
        <v>200</v>
      </c>
      <c r="AN1971">
        <v>0</v>
      </c>
      <c r="AO1971">
        <v>0</v>
      </c>
      <c r="AP1971">
        <v>0</v>
      </c>
      <c r="AQ1971">
        <v>0</v>
      </c>
      <c r="AS1971">
        <v>0</v>
      </c>
      <c r="AT1971">
        <v>0</v>
      </c>
      <c r="AV1971">
        <v>0</v>
      </c>
      <c r="AW1971">
        <v>0</v>
      </c>
      <c r="AY1971">
        <v>0</v>
      </c>
      <c r="AZ1971">
        <v>0</v>
      </c>
      <c r="BA1971">
        <v>120</v>
      </c>
      <c r="BF1971" t="str">
        <f>T("D268787")</f>
        <v>D268787</v>
      </c>
      <c r="BG1971" t="str">
        <f>T("로판 웹소설 &gt; 서양풍 로판")</f>
        <v>로판 웹소설 &gt; 서양풍 로판</v>
      </c>
    </row>
    <row r="1972" spans="1:59">
      <c r="A1972" t="s">
        <v>60</v>
      </c>
      <c r="B1972" s="1">
        <v>46129</v>
      </c>
      <c r="C1972">
        <v>2378081114</v>
      </c>
      <c r="D1972">
        <v>2378081171</v>
      </c>
      <c r="E1972" t="str">
        <f>T("던전이 자꾸 이상한 짓을 시켜요 58화")</f>
        <v>던전이 자꾸 이상한 짓을 시켜요 58화</v>
      </c>
      <c r="F1972">
        <v>58</v>
      </c>
      <c r="G1972" t="str">
        <f>T("필밤")</f>
        <v>필밤</v>
      </c>
      <c r="J1972" t="str">
        <f>T("시계토끼")</f>
        <v>시계토끼</v>
      </c>
      <c r="K1972" t="str">
        <f>T("던전이 자꾸 이상한 짓을 시켜요")</f>
        <v>던전이 자꾸 이상한 짓을 시켜요</v>
      </c>
      <c r="L1972">
        <v>100</v>
      </c>
      <c r="M1972">
        <v>400</v>
      </c>
      <c r="N1972">
        <v>4</v>
      </c>
      <c r="O1972">
        <v>0</v>
      </c>
      <c r="P1972">
        <v>0</v>
      </c>
      <c r="Q1972">
        <v>0</v>
      </c>
      <c r="R1972">
        <v>1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0</v>
      </c>
      <c r="AI1972">
        <v>400</v>
      </c>
      <c r="AJ1972">
        <v>5</v>
      </c>
      <c r="AK1972">
        <v>0</v>
      </c>
      <c r="AL1972">
        <v>0</v>
      </c>
      <c r="AM1972">
        <v>400</v>
      </c>
      <c r="AN1972">
        <v>0</v>
      </c>
      <c r="AO1972">
        <v>0</v>
      </c>
      <c r="AP1972">
        <v>0</v>
      </c>
      <c r="AQ1972">
        <v>0</v>
      </c>
      <c r="AS1972">
        <v>0</v>
      </c>
      <c r="AT1972">
        <v>0</v>
      </c>
      <c r="AV1972">
        <v>0</v>
      </c>
      <c r="AW1972">
        <v>0</v>
      </c>
      <c r="AY1972">
        <v>0</v>
      </c>
      <c r="AZ1972">
        <v>0</v>
      </c>
      <c r="BA1972">
        <v>240</v>
      </c>
      <c r="BF1972" t="str">
        <f>T("D268788")</f>
        <v>D268788</v>
      </c>
      <c r="BG1972" t="str">
        <f>T("로판 웹소설 &gt; 서양풍 로판")</f>
        <v>로판 웹소설 &gt; 서양풍 로판</v>
      </c>
    </row>
    <row r="1973" spans="1:59">
      <c r="A1973" t="s">
        <v>60</v>
      </c>
      <c r="B1973" s="1">
        <v>46129</v>
      </c>
      <c r="C1973">
        <v>2378081114</v>
      </c>
      <c r="D1973">
        <v>2378081172</v>
      </c>
      <c r="E1973" t="str">
        <f>T("던전이 자꾸 이상한 짓을 시켜요 59화")</f>
        <v>던전이 자꾸 이상한 짓을 시켜요 59화</v>
      </c>
      <c r="F1973">
        <v>59</v>
      </c>
      <c r="G1973" t="str">
        <f>T("필밤")</f>
        <v>필밤</v>
      </c>
      <c r="J1973" t="str">
        <f>T("시계토끼")</f>
        <v>시계토끼</v>
      </c>
      <c r="K1973" t="str">
        <f>T("던전이 자꾸 이상한 짓을 시켜요")</f>
        <v>던전이 자꾸 이상한 짓을 시켜요</v>
      </c>
      <c r="L1973">
        <v>100</v>
      </c>
      <c r="M1973">
        <v>400</v>
      </c>
      <c r="N1973">
        <v>4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400</v>
      </c>
      <c r="AJ1973">
        <v>4</v>
      </c>
      <c r="AK1973">
        <v>0</v>
      </c>
      <c r="AL1973">
        <v>0</v>
      </c>
      <c r="AM1973">
        <v>320</v>
      </c>
      <c r="AN1973">
        <v>0</v>
      </c>
      <c r="AO1973">
        <v>96</v>
      </c>
      <c r="AP1973">
        <v>-28.8</v>
      </c>
      <c r="AQ1973">
        <v>0</v>
      </c>
      <c r="AR1973">
        <v>96</v>
      </c>
      <c r="AS1973">
        <v>-28.8</v>
      </c>
      <c r="AT1973">
        <v>0</v>
      </c>
      <c r="AV1973">
        <v>0</v>
      </c>
      <c r="AW1973">
        <v>0</v>
      </c>
      <c r="AY1973">
        <v>0</v>
      </c>
      <c r="AZ1973">
        <v>0</v>
      </c>
      <c r="BA1973">
        <v>232.32</v>
      </c>
      <c r="BF1973" t="str">
        <f>T("D268789")</f>
        <v>D268789</v>
      </c>
      <c r="BG1973" t="str">
        <f>T("로판 웹소설 &gt; 서양풍 로판")</f>
        <v>로판 웹소설 &gt; 서양풍 로판</v>
      </c>
    </row>
    <row r="1974" spans="1:59">
      <c r="A1974" t="s">
        <v>60</v>
      </c>
      <c r="B1974" s="1">
        <v>46129</v>
      </c>
      <c r="C1974">
        <v>2378081114</v>
      </c>
      <c r="D1974">
        <v>2378081173</v>
      </c>
      <c r="E1974" t="str">
        <f>T("던전이 자꾸 이상한 짓을 시켜요 60화")</f>
        <v>던전이 자꾸 이상한 짓을 시켜요 60화</v>
      </c>
      <c r="F1974">
        <v>60</v>
      </c>
      <c r="G1974" t="str">
        <f>T("필밤")</f>
        <v>필밤</v>
      </c>
      <c r="J1974" t="str">
        <f>T("시계토끼")</f>
        <v>시계토끼</v>
      </c>
      <c r="K1974" t="str">
        <f>T("던전이 자꾸 이상한 짓을 시켜요")</f>
        <v>던전이 자꾸 이상한 짓을 시켜요</v>
      </c>
      <c r="L1974">
        <v>100</v>
      </c>
      <c r="M1974">
        <v>600</v>
      </c>
      <c r="N1974">
        <v>6</v>
      </c>
      <c r="O1974">
        <v>0</v>
      </c>
      <c r="P1974">
        <v>0</v>
      </c>
      <c r="Q1974">
        <v>0</v>
      </c>
      <c r="R1974">
        <v>1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600</v>
      </c>
      <c r="AJ1974">
        <v>7</v>
      </c>
      <c r="AK1974">
        <v>0</v>
      </c>
      <c r="AL1974">
        <v>0</v>
      </c>
      <c r="AM1974">
        <v>500</v>
      </c>
      <c r="AN1974">
        <v>0</v>
      </c>
      <c r="AO1974">
        <v>120</v>
      </c>
      <c r="AP1974">
        <v>-36</v>
      </c>
      <c r="AQ1974">
        <v>0</v>
      </c>
      <c r="AR1974">
        <v>120</v>
      </c>
      <c r="AS1974">
        <v>-36</v>
      </c>
      <c r="AT1974">
        <v>0</v>
      </c>
      <c r="AV1974">
        <v>0</v>
      </c>
      <c r="AW1974">
        <v>0</v>
      </c>
      <c r="AY1974">
        <v>0</v>
      </c>
      <c r="AZ1974">
        <v>0</v>
      </c>
      <c r="BA1974">
        <v>350.4</v>
      </c>
      <c r="BF1974" t="str">
        <f>T("D268790")</f>
        <v>D268790</v>
      </c>
      <c r="BG1974" t="str">
        <f>T("로판 웹소설 &gt; 서양풍 로판")</f>
        <v>로판 웹소설 &gt; 서양풍 로판</v>
      </c>
    </row>
    <row r="1975" spans="1:59">
      <c r="A1975" t="s">
        <v>60</v>
      </c>
      <c r="B1975" s="1">
        <v>46129</v>
      </c>
      <c r="C1975">
        <v>2378081114</v>
      </c>
      <c r="D1975">
        <v>2378081174</v>
      </c>
      <c r="E1975" t="str">
        <f>T("던전이 자꾸 이상한 짓을 시켜요 61화")</f>
        <v>던전이 자꾸 이상한 짓을 시켜요 61화</v>
      </c>
      <c r="F1975">
        <v>61</v>
      </c>
      <c r="G1975" t="str">
        <f>T("필밤")</f>
        <v>필밤</v>
      </c>
      <c r="J1975" t="str">
        <f>T("시계토끼")</f>
        <v>시계토끼</v>
      </c>
      <c r="K1975" t="str">
        <f>T("던전이 자꾸 이상한 짓을 시켜요")</f>
        <v>던전이 자꾸 이상한 짓을 시켜요</v>
      </c>
      <c r="L1975">
        <v>100</v>
      </c>
      <c r="M1975">
        <v>500</v>
      </c>
      <c r="N1975">
        <v>5</v>
      </c>
      <c r="O1975">
        <v>0</v>
      </c>
      <c r="P1975">
        <v>0</v>
      </c>
      <c r="Q1975">
        <v>0</v>
      </c>
      <c r="R1975">
        <v>1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500</v>
      </c>
      <c r="AJ1975">
        <v>6</v>
      </c>
      <c r="AK1975">
        <v>0</v>
      </c>
      <c r="AL1975">
        <v>0</v>
      </c>
      <c r="AM1975">
        <v>400</v>
      </c>
      <c r="AN1975">
        <v>0</v>
      </c>
      <c r="AO1975">
        <v>120</v>
      </c>
      <c r="AP1975">
        <v>-36</v>
      </c>
      <c r="AQ1975">
        <v>0</v>
      </c>
      <c r="AR1975">
        <v>120</v>
      </c>
      <c r="AS1975">
        <v>-36</v>
      </c>
      <c r="AT1975">
        <v>0</v>
      </c>
      <c r="AV1975">
        <v>0</v>
      </c>
      <c r="AW1975">
        <v>0</v>
      </c>
      <c r="AY1975">
        <v>0</v>
      </c>
      <c r="AZ1975">
        <v>0</v>
      </c>
      <c r="BA1975">
        <v>290.39999999999998</v>
      </c>
      <c r="BF1975" t="str">
        <f>T("D268791")</f>
        <v>D268791</v>
      </c>
      <c r="BG1975" t="str">
        <f>T("로판 웹소설 &gt; 서양풍 로판")</f>
        <v>로판 웹소설 &gt; 서양풍 로판</v>
      </c>
    </row>
    <row r="1976" spans="1:59">
      <c r="A1976" t="s">
        <v>60</v>
      </c>
      <c r="B1976" s="1">
        <v>46129</v>
      </c>
      <c r="C1976">
        <v>2378081114</v>
      </c>
      <c r="D1976">
        <v>2378081175</v>
      </c>
      <c r="E1976" t="str">
        <f>T("던전이 자꾸 이상한 짓을 시켜요 62화")</f>
        <v>던전이 자꾸 이상한 짓을 시켜요 62화</v>
      </c>
      <c r="F1976">
        <v>62</v>
      </c>
      <c r="G1976" t="str">
        <f>T("필밤")</f>
        <v>필밤</v>
      </c>
      <c r="J1976" t="str">
        <f>T("시계토끼")</f>
        <v>시계토끼</v>
      </c>
      <c r="K1976" t="str">
        <f>T("던전이 자꾸 이상한 짓을 시켜요")</f>
        <v>던전이 자꾸 이상한 짓을 시켜요</v>
      </c>
      <c r="L1976">
        <v>100</v>
      </c>
      <c r="M1976">
        <v>200</v>
      </c>
      <c r="N1976">
        <v>2</v>
      </c>
      <c r="O1976">
        <v>0</v>
      </c>
      <c r="P1976">
        <v>0</v>
      </c>
      <c r="Q1976">
        <v>0</v>
      </c>
      <c r="R1976">
        <v>1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0</v>
      </c>
      <c r="AH1976">
        <v>0</v>
      </c>
      <c r="AI1976">
        <v>200</v>
      </c>
      <c r="AJ1976">
        <v>3</v>
      </c>
      <c r="AK1976">
        <v>0</v>
      </c>
      <c r="AL1976">
        <v>0</v>
      </c>
      <c r="AM1976">
        <v>200</v>
      </c>
      <c r="AN1976">
        <v>0</v>
      </c>
      <c r="AO1976">
        <v>0</v>
      </c>
      <c r="AP1976">
        <v>0</v>
      </c>
      <c r="AQ1976">
        <v>0</v>
      </c>
      <c r="AS1976">
        <v>0</v>
      </c>
      <c r="AT1976">
        <v>0</v>
      </c>
      <c r="AV1976">
        <v>0</v>
      </c>
      <c r="AW1976">
        <v>0</v>
      </c>
      <c r="AY1976">
        <v>0</v>
      </c>
      <c r="AZ1976">
        <v>0</v>
      </c>
      <c r="BA1976">
        <v>120</v>
      </c>
      <c r="BF1976" t="str">
        <f>T("D268792")</f>
        <v>D268792</v>
      </c>
      <c r="BG1976" t="str">
        <f>T("로판 웹소설 &gt; 서양풍 로판")</f>
        <v>로판 웹소설 &gt; 서양풍 로판</v>
      </c>
    </row>
    <row r="1977" spans="1:59">
      <c r="A1977" t="s">
        <v>60</v>
      </c>
      <c r="B1977" s="1">
        <v>46129</v>
      </c>
      <c r="C1977">
        <v>2378081114</v>
      </c>
      <c r="D1977">
        <v>2378081176</v>
      </c>
      <c r="E1977" t="str">
        <f>T("던전이 자꾸 이상한 짓을 시켜요 63화")</f>
        <v>던전이 자꾸 이상한 짓을 시켜요 63화</v>
      </c>
      <c r="F1977">
        <v>63</v>
      </c>
      <c r="G1977" t="str">
        <f>T("필밤")</f>
        <v>필밤</v>
      </c>
      <c r="J1977" t="str">
        <f>T("시계토끼")</f>
        <v>시계토끼</v>
      </c>
      <c r="K1977" t="str">
        <f>T("던전이 자꾸 이상한 짓을 시켜요")</f>
        <v>던전이 자꾸 이상한 짓을 시켜요</v>
      </c>
      <c r="L1977">
        <v>100</v>
      </c>
      <c r="M1977">
        <v>200</v>
      </c>
      <c r="N1977">
        <v>2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200</v>
      </c>
      <c r="AJ1977">
        <v>2</v>
      </c>
      <c r="AK1977">
        <v>0</v>
      </c>
      <c r="AL1977">
        <v>0</v>
      </c>
      <c r="AM1977">
        <v>200</v>
      </c>
      <c r="AN1977">
        <v>0</v>
      </c>
      <c r="AO1977">
        <v>0</v>
      </c>
      <c r="AP1977">
        <v>0</v>
      </c>
      <c r="AQ1977">
        <v>0</v>
      </c>
      <c r="AS1977">
        <v>0</v>
      </c>
      <c r="AT1977">
        <v>0</v>
      </c>
      <c r="AV1977">
        <v>0</v>
      </c>
      <c r="AW1977">
        <v>0</v>
      </c>
      <c r="AY1977">
        <v>0</v>
      </c>
      <c r="AZ1977">
        <v>0</v>
      </c>
      <c r="BA1977">
        <v>120</v>
      </c>
      <c r="BF1977" t="str">
        <f>T("D268793")</f>
        <v>D268793</v>
      </c>
      <c r="BG1977" t="str">
        <f>T("로판 웹소설 &gt; 서양풍 로판")</f>
        <v>로판 웹소설 &gt; 서양풍 로판</v>
      </c>
    </row>
    <row r="1978" spans="1:59">
      <c r="A1978" t="s">
        <v>60</v>
      </c>
      <c r="B1978" s="1">
        <v>46129</v>
      </c>
      <c r="C1978">
        <v>2378081114</v>
      </c>
      <c r="D1978">
        <v>2378081177</v>
      </c>
      <c r="E1978" t="str">
        <f>T("던전이 자꾸 이상한 짓을 시켜요 64화")</f>
        <v>던전이 자꾸 이상한 짓을 시켜요 64화</v>
      </c>
      <c r="F1978">
        <v>64</v>
      </c>
      <c r="G1978" t="str">
        <f>T("필밤")</f>
        <v>필밤</v>
      </c>
      <c r="J1978" t="str">
        <f>T("시계토끼")</f>
        <v>시계토끼</v>
      </c>
      <c r="K1978" t="str">
        <f>T("던전이 자꾸 이상한 짓을 시켜요")</f>
        <v>던전이 자꾸 이상한 짓을 시켜요</v>
      </c>
      <c r="L1978">
        <v>100</v>
      </c>
      <c r="M1978">
        <v>400</v>
      </c>
      <c r="N1978">
        <v>4</v>
      </c>
      <c r="O1978">
        <v>0</v>
      </c>
      <c r="P1978">
        <v>0</v>
      </c>
      <c r="Q1978">
        <v>0</v>
      </c>
      <c r="R1978">
        <v>1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400</v>
      </c>
      <c r="AJ1978">
        <v>5</v>
      </c>
      <c r="AK1978">
        <v>0</v>
      </c>
      <c r="AL1978">
        <v>0</v>
      </c>
      <c r="AM1978">
        <v>300</v>
      </c>
      <c r="AN1978">
        <v>0</v>
      </c>
      <c r="AO1978">
        <v>120</v>
      </c>
      <c r="AP1978">
        <v>-36</v>
      </c>
      <c r="AQ1978">
        <v>0</v>
      </c>
      <c r="AR1978">
        <v>120</v>
      </c>
      <c r="AS1978">
        <v>-36</v>
      </c>
      <c r="AT1978">
        <v>0</v>
      </c>
      <c r="AV1978">
        <v>0</v>
      </c>
      <c r="AW1978">
        <v>0</v>
      </c>
      <c r="AY1978">
        <v>0</v>
      </c>
      <c r="AZ1978">
        <v>0</v>
      </c>
      <c r="BA1978">
        <v>230.4</v>
      </c>
      <c r="BF1978" t="str">
        <f>T("D268794")</f>
        <v>D268794</v>
      </c>
      <c r="BG1978" t="str">
        <f>T("로판 웹소설 &gt; 서양풍 로판")</f>
        <v>로판 웹소설 &gt; 서양풍 로판</v>
      </c>
    </row>
    <row r="1979" spans="1:59">
      <c r="A1979" t="s">
        <v>60</v>
      </c>
      <c r="B1979" s="1">
        <v>46129</v>
      </c>
      <c r="C1979">
        <v>2378081114</v>
      </c>
      <c r="D1979">
        <v>2378081178</v>
      </c>
      <c r="E1979" t="str">
        <f>T("던전이 자꾸 이상한 짓을 시켜요 65화")</f>
        <v>던전이 자꾸 이상한 짓을 시켜요 65화</v>
      </c>
      <c r="F1979">
        <v>65</v>
      </c>
      <c r="G1979" t="str">
        <f>T("필밤")</f>
        <v>필밤</v>
      </c>
      <c r="J1979" t="str">
        <f>T("시계토끼")</f>
        <v>시계토끼</v>
      </c>
      <c r="K1979" t="str">
        <f>T("던전이 자꾸 이상한 짓을 시켜요")</f>
        <v>던전이 자꾸 이상한 짓을 시켜요</v>
      </c>
      <c r="L1979">
        <v>100</v>
      </c>
      <c r="M1979">
        <v>400</v>
      </c>
      <c r="N1979">
        <v>4</v>
      </c>
      <c r="O1979">
        <v>0</v>
      </c>
      <c r="P1979">
        <v>0</v>
      </c>
      <c r="Q1979">
        <v>0</v>
      </c>
      <c r="R1979">
        <v>1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0</v>
      </c>
      <c r="AH1979">
        <v>0</v>
      </c>
      <c r="AI1979">
        <v>400</v>
      </c>
      <c r="AJ1979">
        <v>5</v>
      </c>
      <c r="AK1979">
        <v>0</v>
      </c>
      <c r="AL1979">
        <v>0</v>
      </c>
      <c r="AM1979">
        <v>400</v>
      </c>
      <c r="AN1979">
        <v>0</v>
      </c>
      <c r="AO1979">
        <v>0</v>
      </c>
      <c r="AP1979">
        <v>0</v>
      </c>
      <c r="AQ1979">
        <v>0</v>
      </c>
      <c r="AS1979">
        <v>0</v>
      </c>
      <c r="AT1979">
        <v>0</v>
      </c>
      <c r="AV1979">
        <v>0</v>
      </c>
      <c r="AW1979">
        <v>0</v>
      </c>
      <c r="AY1979">
        <v>0</v>
      </c>
      <c r="AZ1979">
        <v>0</v>
      </c>
      <c r="BA1979">
        <v>240</v>
      </c>
      <c r="BF1979" t="str">
        <f>T("D268795")</f>
        <v>D268795</v>
      </c>
      <c r="BG1979" t="str">
        <f>T("로판 웹소설 &gt; 서양풍 로판")</f>
        <v>로판 웹소설 &gt; 서양풍 로판</v>
      </c>
    </row>
    <row r="1980" spans="1:59">
      <c r="A1980" t="s">
        <v>60</v>
      </c>
      <c r="B1980" s="1">
        <v>46129</v>
      </c>
      <c r="C1980">
        <v>2378081114</v>
      </c>
      <c r="D1980">
        <v>2378081179</v>
      </c>
      <c r="E1980" t="str">
        <f>T("던전이 자꾸 이상한 짓을 시켜요 66화")</f>
        <v>던전이 자꾸 이상한 짓을 시켜요 66화</v>
      </c>
      <c r="F1980">
        <v>66</v>
      </c>
      <c r="G1980" t="str">
        <f>T("필밤")</f>
        <v>필밤</v>
      </c>
      <c r="J1980" t="str">
        <f>T("시계토끼")</f>
        <v>시계토끼</v>
      </c>
      <c r="K1980" t="str">
        <f>T("던전이 자꾸 이상한 짓을 시켜요")</f>
        <v>던전이 자꾸 이상한 짓을 시켜요</v>
      </c>
      <c r="L1980">
        <v>100</v>
      </c>
      <c r="M1980">
        <v>300</v>
      </c>
      <c r="N1980">
        <v>3</v>
      </c>
      <c r="O1980">
        <v>0</v>
      </c>
      <c r="P1980">
        <v>0</v>
      </c>
      <c r="Q1980">
        <v>0</v>
      </c>
      <c r="R1980">
        <v>1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300</v>
      </c>
      <c r="AJ1980">
        <v>4</v>
      </c>
      <c r="AK1980">
        <v>0</v>
      </c>
      <c r="AL1980">
        <v>0</v>
      </c>
      <c r="AM1980">
        <v>300</v>
      </c>
      <c r="AN1980">
        <v>0</v>
      </c>
      <c r="AO1980">
        <v>0</v>
      </c>
      <c r="AP1980">
        <v>0</v>
      </c>
      <c r="AQ1980">
        <v>0</v>
      </c>
      <c r="AS1980">
        <v>0</v>
      </c>
      <c r="AT1980">
        <v>0</v>
      </c>
      <c r="AV1980">
        <v>0</v>
      </c>
      <c r="AW1980">
        <v>0</v>
      </c>
      <c r="AY1980">
        <v>0</v>
      </c>
      <c r="AZ1980">
        <v>0</v>
      </c>
      <c r="BA1980">
        <v>180</v>
      </c>
      <c r="BF1980" t="str">
        <f>T("D268796")</f>
        <v>D268796</v>
      </c>
      <c r="BG1980" t="str">
        <f>T("로판 웹소설 &gt; 서양풍 로판")</f>
        <v>로판 웹소설 &gt; 서양풍 로판</v>
      </c>
    </row>
    <row r="1981" spans="1:59">
      <c r="A1981" t="s">
        <v>60</v>
      </c>
      <c r="B1981" s="1">
        <v>46129</v>
      </c>
      <c r="C1981">
        <v>2378081114</v>
      </c>
      <c r="D1981">
        <v>2378081180</v>
      </c>
      <c r="E1981" t="str">
        <f>T("던전이 자꾸 이상한 짓을 시켜요 67화")</f>
        <v>던전이 자꾸 이상한 짓을 시켜요 67화</v>
      </c>
      <c r="F1981">
        <v>67</v>
      </c>
      <c r="G1981" t="str">
        <f>T("필밤")</f>
        <v>필밤</v>
      </c>
      <c r="J1981" t="str">
        <f>T("시계토끼")</f>
        <v>시계토끼</v>
      </c>
      <c r="K1981" t="str">
        <f>T("던전이 자꾸 이상한 짓을 시켜요")</f>
        <v>던전이 자꾸 이상한 짓을 시켜요</v>
      </c>
      <c r="L1981">
        <v>100</v>
      </c>
      <c r="M1981">
        <v>400</v>
      </c>
      <c r="N1981">
        <v>4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400</v>
      </c>
      <c r="AJ1981">
        <v>4</v>
      </c>
      <c r="AK1981">
        <v>0</v>
      </c>
      <c r="AL1981">
        <v>0</v>
      </c>
      <c r="AM1981">
        <v>300</v>
      </c>
      <c r="AN1981">
        <v>0</v>
      </c>
      <c r="AO1981">
        <v>120</v>
      </c>
      <c r="AP1981">
        <v>-36</v>
      </c>
      <c r="AQ1981">
        <v>0</v>
      </c>
      <c r="AR1981">
        <v>120</v>
      </c>
      <c r="AS1981">
        <v>-36</v>
      </c>
      <c r="AT1981">
        <v>0</v>
      </c>
      <c r="AV1981">
        <v>0</v>
      </c>
      <c r="AW1981">
        <v>0</v>
      </c>
      <c r="AY1981">
        <v>0</v>
      </c>
      <c r="AZ1981">
        <v>0</v>
      </c>
      <c r="BA1981">
        <v>230.4</v>
      </c>
      <c r="BF1981" t="str">
        <f>T("D268797")</f>
        <v>D268797</v>
      </c>
      <c r="BG1981" t="str">
        <f>T("로판 웹소설 &gt; 서양풍 로판")</f>
        <v>로판 웹소설 &gt; 서양풍 로판</v>
      </c>
    </row>
    <row r="1982" spans="1:59">
      <c r="A1982" t="s">
        <v>60</v>
      </c>
      <c r="B1982" s="1">
        <v>46129</v>
      </c>
      <c r="C1982">
        <v>2378081114</v>
      </c>
      <c r="D1982">
        <v>2378081181</v>
      </c>
      <c r="E1982" t="str">
        <f>T("던전이 자꾸 이상한 짓을 시켜요 68화")</f>
        <v>던전이 자꾸 이상한 짓을 시켜요 68화</v>
      </c>
      <c r="F1982">
        <v>68</v>
      </c>
      <c r="G1982" t="str">
        <f>T("필밤")</f>
        <v>필밤</v>
      </c>
      <c r="J1982" t="str">
        <f>T("시계토끼")</f>
        <v>시계토끼</v>
      </c>
      <c r="K1982" t="str">
        <f>T("던전이 자꾸 이상한 짓을 시켜요")</f>
        <v>던전이 자꾸 이상한 짓을 시켜요</v>
      </c>
      <c r="L1982">
        <v>100</v>
      </c>
      <c r="M1982">
        <v>200</v>
      </c>
      <c r="N1982">
        <v>2</v>
      </c>
      <c r="O1982">
        <v>0</v>
      </c>
      <c r="P1982">
        <v>0</v>
      </c>
      <c r="Q1982">
        <v>0</v>
      </c>
      <c r="R1982">
        <v>1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200</v>
      </c>
      <c r="AJ1982">
        <v>3</v>
      </c>
      <c r="AK1982">
        <v>0</v>
      </c>
      <c r="AL1982">
        <v>0</v>
      </c>
      <c r="AM1982">
        <v>200</v>
      </c>
      <c r="AN1982">
        <v>0</v>
      </c>
      <c r="AO1982">
        <v>0</v>
      </c>
      <c r="AP1982">
        <v>0</v>
      </c>
      <c r="AQ1982">
        <v>0</v>
      </c>
      <c r="AS1982">
        <v>0</v>
      </c>
      <c r="AT1982">
        <v>0</v>
      </c>
      <c r="AV1982">
        <v>0</v>
      </c>
      <c r="AW1982">
        <v>0</v>
      </c>
      <c r="AY1982">
        <v>0</v>
      </c>
      <c r="AZ1982">
        <v>0</v>
      </c>
      <c r="BA1982">
        <v>120</v>
      </c>
      <c r="BF1982" t="str">
        <f>T("D268798")</f>
        <v>D268798</v>
      </c>
      <c r="BG1982" t="str">
        <f>T("로판 웹소설 &gt; 서양풍 로판")</f>
        <v>로판 웹소설 &gt; 서양풍 로판</v>
      </c>
    </row>
    <row r="1983" spans="1:59">
      <c r="A1983" t="s">
        <v>60</v>
      </c>
      <c r="B1983" s="1">
        <v>46129</v>
      </c>
      <c r="C1983">
        <v>2378081114</v>
      </c>
      <c r="D1983">
        <v>2378081182</v>
      </c>
      <c r="E1983" t="str">
        <f>T("던전이 자꾸 이상한 짓을 시켜요 69화")</f>
        <v>던전이 자꾸 이상한 짓을 시켜요 69화</v>
      </c>
      <c r="F1983">
        <v>69</v>
      </c>
      <c r="G1983" t="str">
        <f>T("필밤")</f>
        <v>필밤</v>
      </c>
      <c r="J1983" t="str">
        <f>T("시계토끼")</f>
        <v>시계토끼</v>
      </c>
      <c r="K1983" t="str">
        <f>T("던전이 자꾸 이상한 짓을 시켜요")</f>
        <v>던전이 자꾸 이상한 짓을 시켜요</v>
      </c>
      <c r="L1983">
        <v>100</v>
      </c>
      <c r="M1983">
        <v>200</v>
      </c>
      <c r="N1983">
        <v>2</v>
      </c>
      <c r="O1983">
        <v>0</v>
      </c>
      <c r="P1983">
        <v>0</v>
      </c>
      <c r="Q1983">
        <v>0</v>
      </c>
      <c r="R1983">
        <v>1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200</v>
      </c>
      <c r="AJ1983">
        <v>3</v>
      </c>
      <c r="AK1983">
        <v>0</v>
      </c>
      <c r="AL1983">
        <v>0</v>
      </c>
      <c r="AM1983">
        <v>200</v>
      </c>
      <c r="AN1983">
        <v>0</v>
      </c>
      <c r="AO1983">
        <v>0</v>
      </c>
      <c r="AP1983">
        <v>0</v>
      </c>
      <c r="AQ1983">
        <v>0</v>
      </c>
      <c r="AS1983">
        <v>0</v>
      </c>
      <c r="AT1983">
        <v>0</v>
      </c>
      <c r="AV1983">
        <v>0</v>
      </c>
      <c r="AW1983">
        <v>0</v>
      </c>
      <c r="AY1983">
        <v>0</v>
      </c>
      <c r="AZ1983">
        <v>0</v>
      </c>
      <c r="BA1983">
        <v>120</v>
      </c>
      <c r="BF1983" t="str">
        <f>T("D268799")</f>
        <v>D268799</v>
      </c>
      <c r="BG1983" t="str">
        <f>T("로판 웹소설 &gt; 서양풍 로판")</f>
        <v>로판 웹소설 &gt; 서양풍 로판</v>
      </c>
    </row>
    <row r="1984" spans="1:59">
      <c r="A1984" t="s">
        <v>60</v>
      </c>
      <c r="B1984" s="1">
        <v>46129</v>
      </c>
      <c r="C1984">
        <v>2378081114</v>
      </c>
      <c r="D1984">
        <v>2378081183</v>
      </c>
      <c r="E1984" t="str">
        <f>T("던전이 자꾸 이상한 짓을 시켜요 70화")</f>
        <v>던전이 자꾸 이상한 짓을 시켜요 70화</v>
      </c>
      <c r="F1984">
        <v>70</v>
      </c>
      <c r="G1984" t="str">
        <f>T("필밤")</f>
        <v>필밤</v>
      </c>
      <c r="J1984" t="str">
        <f>T("시계토끼")</f>
        <v>시계토끼</v>
      </c>
      <c r="K1984" t="str">
        <f>T("던전이 자꾸 이상한 짓을 시켜요")</f>
        <v>던전이 자꾸 이상한 짓을 시켜요</v>
      </c>
      <c r="L1984">
        <v>100</v>
      </c>
      <c r="M1984">
        <v>500</v>
      </c>
      <c r="N1984">
        <v>5</v>
      </c>
      <c r="O1984">
        <v>0</v>
      </c>
      <c r="P1984">
        <v>0</v>
      </c>
      <c r="Q1984">
        <v>0</v>
      </c>
      <c r="R1984">
        <v>1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0</v>
      </c>
      <c r="AH1984">
        <v>0</v>
      </c>
      <c r="AI1984">
        <v>500</v>
      </c>
      <c r="AJ1984">
        <v>6</v>
      </c>
      <c r="AK1984">
        <v>0</v>
      </c>
      <c r="AL1984">
        <v>0</v>
      </c>
      <c r="AM1984">
        <v>400</v>
      </c>
      <c r="AN1984">
        <v>0</v>
      </c>
      <c r="AO1984">
        <v>120</v>
      </c>
      <c r="AP1984">
        <v>-36</v>
      </c>
      <c r="AQ1984">
        <v>0</v>
      </c>
      <c r="AR1984">
        <v>120</v>
      </c>
      <c r="AS1984">
        <v>-36</v>
      </c>
      <c r="AT1984">
        <v>0</v>
      </c>
      <c r="AV1984">
        <v>0</v>
      </c>
      <c r="AW1984">
        <v>0</v>
      </c>
      <c r="AY1984">
        <v>0</v>
      </c>
      <c r="AZ1984">
        <v>0</v>
      </c>
      <c r="BA1984">
        <v>290.39999999999998</v>
      </c>
      <c r="BF1984" t="str">
        <f>T("D268800")</f>
        <v>D268800</v>
      </c>
      <c r="BG1984" t="str">
        <f>T("로판 웹소설 &gt; 서양풍 로판")</f>
        <v>로판 웹소설 &gt; 서양풍 로판</v>
      </c>
    </row>
    <row r="1985" spans="1:59">
      <c r="A1985" t="s">
        <v>60</v>
      </c>
      <c r="B1985" s="1">
        <v>46129</v>
      </c>
      <c r="C1985">
        <v>2378081114</v>
      </c>
      <c r="D1985">
        <v>2378081184</v>
      </c>
      <c r="E1985" t="str">
        <f>T("던전이 자꾸 이상한 짓을 시켜요 71화")</f>
        <v>던전이 자꾸 이상한 짓을 시켜요 71화</v>
      </c>
      <c r="F1985">
        <v>71</v>
      </c>
      <c r="G1985" t="str">
        <f>T("필밤")</f>
        <v>필밤</v>
      </c>
      <c r="J1985" t="str">
        <f>T("시계토끼")</f>
        <v>시계토끼</v>
      </c>
      <c r="K1985" t="str">
        <f>T("던전이 자꾸 이상한 짓을 시켜요")</f>
        <v>던전이 자꾸 이상한 짓을 시켜요</v>
      </c>
      <c r="L1985">
        <v>100</v>
      </c>
      <c r="M1985">
        <v>200</v>
      </c>
      <c r="N1985">
        <v>2</v>
      </c>
      <c r="O1985">
        <v>0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0</v>
      </c>
      <c r="AH1985">
        <v>0</v>
      </c>
      <c r="AI1985">
        <v>200</v>
      </c>
      <c r="AJ1985">
        <v>2</v>
      </c>
      <c r="AK1985">
        <v>0</v>
      </c>
      <c r="AL1985">
        <v>0</v>
      </c>
      <c r="AM1985">
        <v>200</v>
      </c>
      <c r="AN1985">
        <v>0</v>
      </c>
      <c r="AO1985">
        <v>0</v>
      </c>
      <c r="AP1985">
        <v>0</v>
      </c>
      <c r="AQ1985">
        <v>0</v>
      </c>
      <c r="AS1985">
        <v>0</v>
      </c>
      <c r="AT1985">
        <v>0</v>
      </c>
      <c r="AV1985">
        <v>0</v>
      </c>
      <c r="AW1985">
        <v>0</v>
      </c>
      <c r="AY1985">
        <v>0</v>
      </c>
      <c r="AZ1985">
        <v>0</v>
      </c>
      <c r="BA1985">
        <v>120</v>
      </c>
      <c r="BF1985" t="str">
        <f>T("D268801")</f>
        <v>D268801</v>
      </c>
      <c r="BG1985" t="str">
        <f>T("로판 웹소설 &gt; 서양풍 로판")</f>
        <v>로판 웹소설 &gt; 서양풍 로판</v>
      </c>
    </row>
    <row r="1986" spans="1:59">
      <c r="A1986" t="s">
        <v>60</v>
      </c>
      <c r="B1986" s="1">
        <v>46129</v>
      </c>
      <c r="C1986">
        <v>2378081114</v>
      </c>
      <c r="D1986">
        <v>2378081185</v>
      </c>
      <c r="E1986" t="str">
        <f>T("던전이 자꾸 이상한 짓을 시켜요 72화")</f>
        <v>던전이 자꾸 이상한 짓을 시켜요 72화</v>
      </c>
      <c r="F1986">
        <v>72</v>
      </c>
      <c r="G1986" t="str">
        <f>T("필밤")</f>
        <v>필밤</v>
      </c>
      <c r="J1986" t="str">
        <f>T("시계토끼")</f>
        <v>시계토끼</v>
      </c>
      <c r="K1986" t="str">
        <f>T("던전이 자꾸 이상한 짓을 시켜요")</f>
        <v>던전이 자꾸 이상한 짓을 시켜요</v>
      </c>
      <c r="L1986">
        <v>100</v>
      </c>
      <c r="M1986">
        <v>200</v>
      </c>
      <c r="N1986">
        <v>2</v>
      </c>
      <c r="O1986">
        <v>0</v>
      </c>
      <c r="P1986">
        <v>0</v>
      </c>
      <c r="Q1986">
        <v>0</v>
      </c>
      <c r="R1986">
        <v>1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200</v>
      </c>
      <c r="AJ1986">
        <v>3</v>
      </c>
      <c r="AK1986">
        <v>0</v>
      </c>
      <c r="AL1986">
        <v>0</v>
      </c>
      <c r="AM1986">
        <v>200</v>
      </c>
      <c r="AN1986">
        <v>0</v>
      </c>
      <c r="AO1986">
        <v>0</v>
      </c>
      <c r="AP1986">
        <v>0</v>
      </c>
      <c r="AQ1986">
        <v>0</v>
      </c>
      <c r="AS1986">
        <v>0</v>
      </c>
      <c r="AT1986">
        <v>0</v>
      </c>
      <c r="AV1986">
        <v>0</v>
      </c>
      <c r="AW1986">
        <v>0</v>
      </c>
      <c r="AY1986">
        <v>0</v>
      </c>
      <c r="AZ1986">
        <v>0</v>
      </c>
      <c r="BA1986">
        <v>120</v>
      </c>
      <c r="BF1986" t="str">
        <f>T("D268802")</f>
        <v>D268802</v>
      </c>
      <c r="BG1986" t="str">
        <f>T("로판 웹소설 &gt; 서양풍 로판")</f>
        <v>로판 웹소설 &gt; 서양풍 로판</v>
      </c>
    </row>
    <row r="1987" spans="1:59">
      <c r="A1987" t="s">
        <v>60</v>
      </c>
      <c r="B1987" s="1">
        <v>46129</v>
      </c>
      <c r="C1987">
        <v>2378081114</v>
      </c>
      <c r="D1987">
        <v>2378081186</v>
      </c>
      <c r="E1987" t="str">
        <f>T("던전이 자꾸 이상한 짓을 시켜요 73화")</f>
        <v>던전이 자꾸 이상한 짓을 시켜요 73화</v>
      </c>
      <c r="F1987">
        <v>73</v>
      </c>
      <c r="G1987" t="str">
        <f>T("필밤")</f>
        <v>필밤</v>
      </c>
      <c r="J1987" t="str">
        <f>T("시계토끼")</f>
        <v>시계토끼</v>
      </c>
      <c r="K1987" t="str">
        <f>T("던전이 자꾸 이상한 짓을 시켜요")</f>
        <v>던전이 자꾸 이상한 짓을 시켜요</v>
      </c>
      <c r="L1987">
        <v>100</v>
      </c>
      <c r="M1987">
        <v>300</v>
      </c>
      <c r="N1987">
        <v>3</v>
      </c>
      <c r="O1987">
        <v>0</v>
      </c>
      <c r="P1987">
        <v>0</v>
      </c>
      <c r="Q1987">
        <v>0</v>
      </c>
      <c r="R1987">
        <v>1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300</v>
      </c>
      <c r="AJ1987">
        <v>4</v>
      </c>
      <c r="AK1987">
        <v>0</v>
      </c>
      <c r="AL1987">
        <v>0</v>
      </c>
      <c r="AM1987">
        <v>200</v>
      </c>
      <c r="AN1987">
        <v>0</v>
      </c>
      <c r="AO1987">
        <v>120</v>
      </c>
      <c r="AP1987">
        <v>-36</v>
      </c>
      <c r="AQ1987">
        <v>0</v>
      </c>
      <c r="AR1987">
        <v>120</v>
      </c>
      <c r="AS1987">
        <v>-36</v>
      </c>
      <c r="AT1987">
        <v>0</v>
      </c>
      <c r="AV1987">
        <v>0</v>
      </c>
      <c r="AW1987">
        <v>0</v>
      </c>
      <c r="AY1987">
        <v>0</v>
      </c>
      <c r="AZ1987">
        <v>0</v>
      </c>
      <c r="BA1987">
        <v>170.4</v>
      </c>
      <c r="BF1987" t="str">
        <f>T("D268803")</f>
        <v>D268803</v>
      </c>
      <c r="BG1987" t="str">
        <f>T("로판 웹소설 &gt; 서양풍 로판")</f>
        <v>로판 웹소설 &gt; 서양풍 로판</v>
      </c>
    </row>
    <row r="1988" spans="1:59">
      <c r="A1988" t="s">
        <v>60</v>
      </c>
      <c r="B1988" s="1">
        <v>46129</v>
      </c>
      <c r="C1988">
        <v>2378081114</v>
      </c>
      <c r="D1988">
        <v>2378081187</v>
      </c>
      <c r="E1988" t="str">
        <f>T("던전이 자꾸 이상한 짓을 시켜요 74화")</f>
        <v>던전이 자꾸 이상한 짓을 시켜요 74화</v>
      </c>
      <c r="F1988">
        <v>74</v>
      </c>
      <c r="G1988" t="str">
        <f>T("필밤")</f>
        <v>필밤</v>
      </c>
      <c r="J1988" t="str">
        <f>T("시계토끼")</f>
        <v>시계토끼</v>
      </c>
      <c r="K1988" t="str">
        <f>T("던전이 자꾸 이상한 짓을 시켜요")</f>
        <v>던전이 자꾸 이상한 짓을 시켜요</v>
      </c>
      <c r="L1988">
        <v>100</v>
      </c>
      <c r="M1988">
        <v>200</v>
      </c>
      <c r="N1988">
        <v>2</v>
      </c>
      <c r="O1988">
        <v>0</v>
      </c>
      <c r="P1988">
        <v>0</v>
      </c>
      <c r="Q1988">
        <v>0</v>
      </c>
      <c r="R1988">
        <v>1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200</v>
      </c>
      <c r="AJ1988">
        <v>3</v>
      </c>
      <c r="AK1988">
        <v>0</v>
      </c>
      <c r="AL1988">
        <v>0</v>
      </c>
      <c r="AM1988">
        <v>200</v>
      </c>
      <c r="AN1988">
        <v>0</v>
      </c>
      <c r="AO1988">
        <v>0</v>
      </c>
      <c r="AP1988">
        <v>0</v>
      </c>
      <c r="AQ1988">
        <v>0</v>
      </c>
      <c r="AS1988">
        <v>0</v>
      </c>
      <c r="AT1988">
        <v>0</v>
      </c>
      <c r="AV1988">
        <v>0</v>
      </c>
      <c r="AW1988">
        <v>0</v>
      </c>
      <c r="AY1988">
        <v>0</v>
      </c>
      <c r="AZ1988">
        <v>0</v>
      </c>
      <c r="BA1988">
        <v>120</v>
      </c>
      <c r="BF1988" t="str">
        <f>T("D268804")</f>
        <v>D268804</v>
      </c>
      <c r="BG1988" t="str">
        <f>T("로판 웹소설 &gt; 서양풍 로판")</f>
        <v>로판 웹소설 &gt; 서양풍 로판</v>
      </c>
    </row>
    <row r="1989" spans="1:59">
      <c r="A1989" t="s">
        <v>60</v>
      </c>
      <c r="B1989" s="1">
        <v>46129</v>
      </c>
      <c r="C1989">
        <v>2378081114</v>
      </c>
      <c r="D1989">
        <v>2378081188</v>
      </c>
      <c r="E1989" t="str">
        <f>T("던전이 자꾸 이상한 짓을 시켜요 75화")</f>
        <v>던전이 자꾸 이상한 짓을 시켜요 75화</v>
      </c>
      <c r="F1989">
        <v>75</v>
      </c>
      <c r="G1989" t="str">
        <f>T("필밤")</f>
        <v>필밤</v>
      </c>
      <c r="J1989" t="str">
        <f>T("시계토끼")</f>
        <v>시계토끼</v>
      </c>
      <c r="K1989" t="str">
        <f>T("던전이 자꾸 이상한 짓을 시켜요")</f>
        <v>던전이 자꾸 이상한 짓을 시켜요</v>
      </c>
      <c r="L1989">
        <v>100</v>
      </c>
      <c r="M1989">
        <v>300</v>
      </c>
      <c r="N1989">
        <v>3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0</v>
      </c>
      <c r="AI1989">
        <v>300</v>
      </c>
      <c r="AJ1989">
        <v>3</v>
      </c>
      <c r="AK1989">
        <v>0</v>
      </c>
      <c r="AL1989">
        <v>0</v>
      </c>
      <c r="AM1989">
        <v>300</v>
      </c>
      <c r="AN1989">
        <v>0</v>
      </c>
      <c r="AO1989">
        <v>0</v>
      </c>
      <c r="AP1989">
        <v>0</v>
      </c>
      <c r="AQ1989">
        <v>0</v>
      </c>
      <c r="AS1989">
        <v>0</v>
      </c>
      <c r="AT1989">
        <v>0</v>
      </c>
      <c r="AV1989">
        <v>0</v>
      </c>
      <c r="AW1989">
        <v>0</v>
      </c>
      <c r="AY1989">
        <v>0</v>
      </c>
      <c r="AZ1989">
        <v>0</v>
      </c>
      <c r="BA1989">
        <v>180</v>
      </c>
      <c r="BF1989" t="str">
        <f>T("D268805")</f>
        <v>D268805</v>
      </c>
      <c r="BG1989" t="str">
        <f>T("로판 웹소설 &gt; 서양풍 로판")</f>
        <v>로판 웹소설 &gt; 서양풍 로판</v>
      </c>
    </row>
    <row r="1990" spans="1:59">
      <c r="A1990" t="s">
        <v>60</v>
      </c>
      <c r="B1990" s="1">
        <v>46129</v>
      </c>
      <c r="C1990">
        <v>2378081114</v>
      </c>
      <c r="D1990">
        <v>2378081189</v>
      </c>
      <c r="E1990" t="str">
        <f>T("던전이 자꾸 이상한 짓을 시켜요 76화")</f>
        <v>던전이 자꾸 이상한 짓을 시켜요 76화</v>
      </c>
      <c r="F1990">
        <v>76</v>
      </c>
      <c r="G1990" t="str">
        <f>T("필밤")</f>
        <v>필밤</v>
      </c>
      <c r="J1990" t="str">
        <f>T("시계토끼")</f>
        <v>시계토끼</v>
      </c>
      <c r="K1990" t="str">
        <f>T("던전이 자꾸 이상한 짓을 시켜요")</f>
        <v>던전이 자꾸 이상한 짓을 시켜요</v>
      </c>
      <c r="L1990">
        <v>100</v>
      </c>
      <c r="M1990">
        <v>300</v>
      </c>
      <c r="N1990">
        <v>3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300</v>
      </c>
      <c r="AJ1990">
        <v>3</v>
      </c>
      <c r="AK1990">
        <v>0</v>
      </c>
      <c r="AL1990">
        <v>0</v>
      </c>
      <c r="AM1990">
        <v>200</v>
      </c>
      <c r="AN1990">
        <v>0</v>
      </c>
      <c r="AO1990">
        <v>120</v>
      </c>
      <c r="AP1990">
        <v>-36</v>
      </c>
      <c r="AQ1990">
        <v>0</v>
      </c>
      <c r="AR1990">
        <v>120</v>
      </c>
      <c r="AS1990">
        <v>-36</v>
      </c>
      <c r="AT1990">
        <v>0</v>
      </c>
      <c r="AV1990">
        <v>0</v>
      </c>
      <c r="AW1990">
        <v>0</v>
      </c>
      <c r="AY1990">
        <v>0</v>
      </c>
      <c r="AZ1990">
        <v>0</v>
      </c>
      <c r="BA1990">
        <v>170.4</v>
      </c>
      <c r="BF1990" t="str">
        <f>T("D268806")</f>
        <v>D268806</v>
      </c>
      <c r="BG1990" t="str">
        <f>T("로판 웹소설 &gt; 서양풍 로판")</f>
        <v>로판 웹소설 &gt; 서양풍 로판</v>
      </c>
    </row>
    <row r="1991" spans="1:59">
      <c r="A1991" t="s">
        <v>60</v>
      </c>
      <c r="B1991" s="1">
        <v>46129</v>
      </c>
      <c r="C1991">
        <v>2378081114</v>
      </c>
      <c r="D1991">
        <v>2378081190</v>
      </c>
      <c r="E1991" t="str">
        <f>T("던전이 자꾸 이상한 짓을 시켜요 77화")</f>
        <v>던전이 자꾸 이상한 짓을 시켜요 77화</v>
      </c>
      <c r="F1991">
        <v>77</v>
      </c>
      <c r="G1991" t="str">
        <f>T("필밤")</f>
        <v>필밤</v>
      </c>
      <c r="J1991" t="str">
        <f>T("시계토끼")</f>
        <v>시계토끼</v>
      </c>
      <c r="K1991" t="str">
        <f>T("던전이 자꾸 이상한 짓을 시켜요")</f>
        <v>던전이 자꾸 이상한 짓을 시켜요</v>
      </c>
      <c r="L1991">
        <v>100</v>
      </c>
      <c r="M1991">
        <v>300</v>
      </c>
      <c r="N1991">
        <v>3</v>
      </c>
      <c r="O1991">
        <v>0</v>
      </c>
      <c r="P1991">
        <v>0</v>
      </c>
      <c r="Q1991">
        <v>0</v>
      </c>
      <c r="R1991">
        <v>2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0</v>
      </c>
      <c r="AH1991">
        <v>0</v>
      </c>
      <c r="AI1991">
        <v>300</v>
      </c>
      <c r="AJ1991">
        <v>5</v>
      </c>
      <c r="AK1991">
        <v>0</v>
      </c>
      <c r="AL1991">
        <v>0</v>
      </c>
      <c r="AM1991">
        <v>200</v>
      </c>
      <c r="AN1991">
        <v>0</v>
      </c>
      <c r="AO1991">
        <v>120</v>
      </c>
      <c r="AP1991">
        <v>-36</v>
      </c>
      <c r="AQ1991">
        <v>0</v>
      </c>
      <c r="AR1991">
        <v>120</v>
      </c>
      <c r="AS1991">
        <v>-36</v>
      </c>
      <c r="AT1991">
        <v>0</v>
      </c>
      <c r="AV1991">
        <v>0</v>
      </c>
      <c r="AW1991">
        <v>0</v>
      </c>
      <c r="AY1991">
        <v>0</v>
      </c>
      <c r="AZ1991">
        <v>0</v>
      </c>
      <c r="BA1991">
        <v>170.4</v>
      </c>
      <c r="BF1991" t="str">
        <f>T("D268807")</f>
        <v>D268807</v>
      </c>
      <c r="BG1991" t="str">
        <f>T("로판 웹소설 &gt; 서양풍 로판")</f>
        <v>로판 웹소설 &gt; 서양풍 로판</v>
      </c>
    </row>
    <row r="1992" spans="1:59">
      <c r="A1992" t="s">
        <v>60</v>
      </c>
      <c r="B1992" s="1">
        <v>46129</v>
      </c>
      <c r="C1992">
        <v>2378081114</v>
      </c>
      <c r="D1992">
        <v>2378081191</v>
      </c>
      <c r="E1992" t="str">
        <f>T("던전이 자꾸 이상한 짓을 시켜요 78화")</f>
        <v>던전이 자꾸 이상한 짓을 시켜요 78화</v>
      </c>
      <c r="F1992">
        <v>78</v>
      </c>
      <c r="G1992" t="str">
        <f>T("필밤")</f>
        <v>필밤</v>
      </c>
      <c r="J1992" t="str">
        <f>T("시계토끼")</f>
        <v>시계토끼</v>
      </c>
      <c r="K1992" t="str">
        <f>T("던전이 자꾸 이상한 짓을 시켜요")</f>
        <v>던전이 자꾸 이상한 짓을 시켜요</v>
      </c>
      <c r="L1992">
        <v>100</v>
      </c>
      <c r="M1992">
        <v>400</v>
      </c>
      <c r="N1992">
        <v>4</v>
      </c>
      <c r="O1992">
        <v>0</v>
      </c>
      <c r="P1992">
        <v>0</v>
      </c>
      <c r="Q1992">
        <v>0</v>
      </c>
      <c r="R1992">
        <v>3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0</v>
      </c>
      <c r="AH1992">
        <v>0</v>
      </c>
      <c r="AI1992">
        <v>400</v>
      </c>
      <c r="AJ1992">
        <v>7</v>
      </c>
      <c r="AK1992">
        <v>0</v>
      </c>
      <c r="AL1992">
        <v>0</v>
      </c>
      <c r="AM1992">
        <v>300</v>
      </c>
      <c r="AN1992">
        <v>0</v>
      </c>
      <c r="AO1992">
        <v>120</v>
      </c>
      <c r="AP1992">
        <v>-36</v>
      </c>
      <c r="AQ1992">
        <v>0</v>
      </c>
      <c r="AR1992">
        <v>120</v>
      </c>
      <c r="AS1992">
        <v>-36</v>
      </c>
      <c r="AT1992">
        <v>0</v>
      </c>
      <c r="AV1992">
        <v>0</v>
      </c>
      <c r="AW1992">
        <v>0</v>
      </c>
      <c r="AY1992">
        <v>0</v>
      </c>
      <c r="AZ1992">
        <v>0</v>
      </c>
      <c r="BA1992">
        <v>230.4</v>
      </c>
      <c r="BF1992" t="str">
        <f>T("D268808")</f>
        <v>D268808</v>
      </c>
      <c r="BG1992" t="str">
        <f>T("로판 웹소설 &gt; 서양풍 로판")</f>
        <v>로판 웹소설 &gt; 서양풍 로판</v>
      </c>
    </row>
    <row r="1993" spans="1:59">
      <c r="A1993" t="s">
        <v>60</v>
      </c>
      <c r="B1993" s="1">
        <v>46129</v>
      </c>
      <c r="C1993">
        <v>2378081114</v>
      </c>
      <c r="D1993">
        <v>2378081192</v>
      </c>
      <c r="E1993" t="str">
        <f>T("던전이 자꾸 이상한 짓을 시켜요 79화")</f>
        <v>던전이 자꾸 이상한 짓을 시켜요 79화</v>
      </c>
      <c r="F1993">
        <v>79</v>
      </c>
      <c r="G1993" t="str">
        <f>T("필밤")</f>
        <v>필밤</v>
      </c>
      <c r="J1993" t="str">
        <f>T("시계토끼")</f>
        <v>시계토끼</v>
      </c>
      <c r="K1993" t="str">
        <f>T("던전이 자꾸 이상한 짓을 시켜요")</f>
        <v>던전이 자꾸 이상한 짓을 시켜요</v>
      </c>
      <c r="L1993">
        <v>100</v>
      </c>
      <c r="M1993">
        <v>500</v>
      </c>
      <c r="N1993">
        <v>5</v>
      </c>
      <c r="O1993">
        <v>0</v>
      </c>
      <c r="P1993">
        <v>0</v>
      </c>
      <c r="Q1993">
        <v>0</v>
      </c>
      <c r="R1993">
        <v>3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500</v>
      </c>
      <c r="AJ1993">
        <v>8</v>
      </c>
      <c r="AK1993">
        <v>0</v>
      </c>
      <c r="AL1993">
        <v>0</v>
      </c>
      <c r="AM1993">
        <v>400</v>
      </c>
      <c r="AN1993">
        <v>0</v>
      </c>
      <c r="AO1993">
        <v>120</v>
      </c>
      <c r="AP1993">
        <v>-12</v>
      </c>
      <c r="AQ1993">
        <v>0</v>
      </c>
      <c r="AS1993">
        <v>0</v>
      </c>
      <c r="AT1993">
        <v>0</v>
      </c>
      <c r="AV1993">
        <v>0</v>
      </c>
      <c r="AW1993">
        <v>0</v>
      </c>
      <c r="AX1993">
        <v>120</v>
      </c>
      <c r="AY1993">
        <v>-12</v>
      </c>
      <c r="AZ1993">
        <v>0</v>
      </c>
      <c r="BA1993">
        <v>304.8</v>
      </c>
      <c r="BF1993" t="str">
        <f>T("D268809")</f>
        <v>D268809</v>
      </c>
      <c r="BG1993" t="str">
        <f>T("로판 웹소설 &gt; 서양풍 로판")</f>
        <v>로판 웹소설 &gt; 서양풍 로판</v>
      </c>
    </row>
    <row r="1994" spans="1:59">
      <c r="A1994" t="s">
        <v>60</v>
      </c>
      <c r="B1994" s="1">
        <v>46129</v>
      </c>
      <c r="C1994">
        <v>2378081114</v>
      </c>
      <c r="D1994">
        <v>2378081193</v>
      </c>
      <c r="E1994" t="str">
        <f>T("던전이 자꾸 이상한 짓을 시켜요 80화")</f>
        <v>던전이 자꾸 이상한 짓을 시켜요 80화</v>
      </c>
      <c r="F1994">
        <v>80</v>
      </c>
      <c r="G1994" t="str">
        <f>T("필밤")</f>
        <v>필밤</v>
      </c>
      <c r="J1994" t="str">
        <f>T("시계토끼")</f>
        <v>시계토끼</v>
      </c>
      <c r="K1994" t="str">
        <f>T("던전이 자꾸 이상한 짓을 시켜요")</f>
        <v>던전이 자꾸 이상한 짓을 시켜요</v>
      </c>
      <c r="L1994">
        <v>100</v>
      </c>
      <c r="M1994">
        <v>500</v>
      </c>
      <c r="N1994">
        <v>5</v>
      </c>
      <c r="O1994">
        <v>0</v>
      </c>
      <c r="P1994">
        <v>0</v>
      </c>
      <c r="Q1994">
        <v>0</v>
      </c>
      <c r="R1994">
        <v>3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500</v>
      </c>
      <c r="AJ1994">
        <v>8</v>
      </c>
      <c r="AK1994">
        <v>0</v>
      </c>
      <c r="AL1994">
        <v>0</v>
      </c>
      <c r="AM1994">
        <v>500</v>
      </c>
      <c r="AN1994">
        <v>0</v>
      </c>
      <c r="AO1994">
        <v>0</v>
      </c>
      <c r="AP1994">
        <v>0</v>
      </c>
      <c r="AQ1994">
        <v>0</v>
      </c>
      <c r="AS1994">
        <v>0</v>
      </c>
      <c r="AT1994">
        <v>0</v>
      </c>
      <c r="AV1994">
        <v>0</v>
      </c>
      <c r="AW1994">
        <v>0</v>
      </c>
      <c r="AY1994">
        <v>0</v>
      </c>
      <c r="AZ1994">
        <v>0</v>
      </c>
      <c r="BA1994">
        <v>300</v>
      </c>
      <c r="BF1994" t="str">
        <f>T("D268810")</f>
        <v>D268810</v>
      </c>
      <c r="BG1994" t="str">
        <f>T("로판 웹소설 &gt; 서양풍 로판")</f>
        <v>로판 웹소설 &gt; 서양풍 로판</v>
      </c>
    </row>
    <row r="1995" spans="1:59">
      <c r="A1995" t="s">
        <v>60</v>
      </c>
      <c r="B1995" s="1">
        <v>46129</v>
      </c>
      <c r="C1995">
        <v>2378081114</v>
      </c>
      <c r="D1995">
        <v>2378081220</v>
      </c>
      <c r="E1995" t="str">
        <f>T("던전이 자꾸 이상한 짓을 시켜요 81화")</f>
        <v>던전이 자꾸 이상한 짓을 시켜요 81화</v>
      </c>
      <c r="F1995">
        <v>81</v>
      </c>
      <c r="G1995" t="str">
        <f>T("필밤")</f>
        <v>필밤</v>
      </c>
      <c r="J1995" t="str">
        <f>T("시계토끼")</f>
        <v>시계토끼</v>
      </c>
      <c r="K1995" t="str">
        <f>T("던전이 자꾸 이상한 짓을 시켜요")</f>
        <v>던전이 자꾸 이상한 짓을 시켜요</v>
      </c>
      <c r="L1995">
        <v>100</v>
      </c>
      <c r="M1995">
        <v>600</v>
      </c>
      <c r="N1995">
        <v>6</v>
      </c>
      <c r="O1995">
        <v>0</v>
      </c>
      <c r="P1995">
        <v>0</v>
      </c>
      <c r="Q1995">
        <v>0</v>
      </c>
      <c r="R1995">
        <v>2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600</v>
      </c>
      <c r="AJ1995">
        <v>8</v>
      </c>
      <c r="AK1995">
        <v>0</v>
      </c>
      <c r="AL1995">
        <v>0</v>
      </c>
      <c r="AM1995">
        <v>500</v>
      </c>
      <c r="AN1995">
        <v>0</v>
      </c>
      <c r="AO1995">
        <v>120</v>
      </c>
      <c r="AP1995">
        <v>-12</v>
      </c>
      <c r="AQ1995">
        <v>0</v>
      </c>
      <c r="AS1995">
        <v>0</v>
      </c>
      <c r="AT1995">
        <v>0</v>
      </c>
      <c r="AV1995">
        <v>0</v>
      </c>
      <c r="AW1995">
        <v>0</v>
      </c>
      <c r="AX1995">
        <v>120</v>
      </c>
      <c r="AY1995">
        <v>-12</v>
      </c>
      <c r="AZ1995">
        <v>0</v>
      </c>
      <c r="BA1995">
        <v>364.8</v>
      </c>
      <c r="BF1995" t="str">
        <f>T("D268811")</f>
        <v>D268811</v>
      </c>
      <c r="BG1995" t="str">
        <f>T("로판 웹소설 &gt; 서양풍 로판")</f>
        <v>로판 웹소설 &gt; 서양풍 로판</v>
      </c>
    </row>
    <row r="1996" spans="1:59">
      <c r="A1996" t="s">
        <v>60</v>
      </c>
      <c r="B1996" s="1">
        <v>46129</v>
      </c>
      <c r="C1996">
        <v>2378081114</v>
      </c>
      <c r="D1996">
        <v>2378081221</v>
      </c>
      <c r="E1996" t="str">
        <f>T("던전이 자꾸 이상한 짓을 시켜요 82화")</f>
        <v>던전이 자꾸 이상한 짓을 시켜요 82화</v>
      </c>
      <c r="F1996">
        <v>82</v>
      </c>
      <c r="G1996" t="str">
        <f>T("필밤")</f>
        <v>필밤</v>
      </c>
      <c r="J1996" t="str">
        <f>T("시계토끼")</f>
        <v>시계토끼</v>
      </c>
      <c r="K1996" t="str">
        <f>T("던전이 자꾸 이상한 짓을 시켜요")</f>
        <v>던전이 자꾸 이상한 짓을 시켜요</v>
      </c>
      <c r="L1996">
        <v>100</v>
      </c>
      <c r="M1996">
        <v>600</v>
      </c>
      <c r="N1996">
        <v>6</v>
      </c>
      <c r="O1996">
        <v>0</v>
      </c>
      <c r="P1996">
        <v>0</v>
      </c>
      <c r="Q1996">
        <v>0</v>
      </c>
      <c r="R1996">
        <v>3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0</v>
      </c>
      <c r="AH1996">
        <v>0</v>
      </c>
      <c r="AI1996">
        <v>600</v>
      </c>
      <c r="AJ1996">
        <v>9</v>
      </c>
      <c r="AK1996">
        <v>0</v>
      </c>
      <c r="AL1996">
        <v>0</v>
      </c>
      <c r="AM1996">
        <v>500</v>
      </c>
      <c r="AN1996">
        <v>0</v>
      </c>
      <c r="AO1996">
        <v>120</v>
      </c>
      <c r="AP1996">
        <v>-12</v>
      </c>
      <c r="AQ1996">
        <v>0</v>
      </c>
      <c r="AS1996">
        <v>0</v>
      </c>
      <c r="AT1996">
        <v>0</v>
      </c>
      <c r="AV1996">
        <v>0</v>
      </c>
      <c r="AW1996">
        <v>0</v>
      </c>
      <c r="AX1996">
        <v>120</v>
      </c>
      <c r="AY1996">
        <v>-12</v>
      </c>
      <c r="AZ1996">
        <v>0</v>
      </c>
      <c r="BA1996">
        <v>364.8</v>
      </c>
      <c r="BF1996" t="str">
        <f>T("D268812")</f>
        <v>D268812</v>
      </c>
      <c r="BG1996" t="str">
        <f>T("로판 웹소설 &gt; 서양풍 로판")</f>
        <v>로판 웹소설 &gt; 서양풍 로판</v>
      </c>
    </row>
    <row r="1997" spans="1:59">
      <c r="A1997" t="s">
        <v>60</v>
      </c>
      <c r="B1997" s="1">
        <v>46129</v>
      </c>
      <c r="C1997">
        <v>2378081114</v>
      </c>
      <c r="D1997">
        <v>2378081224</v>
      </c>
      <c r="E1997" t="str">
        <f>T("던전이 자꾸 이상한 짓을 시켜요 83화")</f>
        <v>던전이 자꾸 이상한 짓을 시켜요 83화</v>
      </c>
      <c r="F1997">
        <v>83</v>
      </c>
      <c r="G1997" t="str">
        <f>T("필밤")</f>
        <v>필밤</v>
      </c>
      <c r="J1997" t="str">
        <f>T("시계토끼")</f>
        <v>시계토끼</v>
      </c>
      <c r="K1997" t="str">
        <f>T("던전이 자꾸 이상한 짓을 시켜요")</f>
        <v>던전이 자꾸 이상한 짓을 시켜요</v>
      </c>
      <c r="L1997">
        <v>100</v>
      </c>
      <c r="M1997">
        <v>300</v>
      </c>
      <c r="N1997">
        <v>3</v>
      </c>
      <c r="O1997">
        <v>0</v>
      </c>
      <c r="P1997">
        <v>0</v>
      </c>
      <c r="Q1997">
        <v>0</v>
      </c>
      <c r="R1997">
        <v>3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300</v>
      </c>
      <c r="AJ1997">
        <v>6</v>
      </c>
      <c r="AK1997">
        <v>0</v>
      </c>
      <c r="AL1997">
        <v>0</v>
      </c>
      <c r="AM1997">
        <v>300</v>
      </c>
      <c r="AN1997">
        <v>0</v>
      </c>
      <c r="AO1997">
        <v>0</v>
      </c>
      <c r="AP1997">
        <v>0</v>
      </c>
      <c r="AQ1997">
        <v>0</v>
      </c>
      <c r="AS1997">
        <v>0</v>
      </c>
      <c r="AT1997">
        <v>0</v>
      </c>
      <c r="AV1997">
        <v>0</v>
      </c>
      <c r="AW1997">
        <v>0</v>
      </c>
      <c r="AY1997">
        <v>0</v>
      </c>
      <c r="AZ1997">
        <v>0</v>
      </c>
      <c r="BA1997">
        <v>180</v>
      </c>
      <c r="BF1997" t="str">
        <f>T("D268813")</f>
        <v>D268813</v>
      </c>
      <c r="BG1997" t="str">
        <f>T("로판 웹소설 &gt; 서양풍 로판")</f>
        <v>로판 웹소설 &gt; 서양풍 로판</v>
      </c>
    </row>
    <row r="1998" spans="1:59">
      <c r="A1998" t="s">
        <v>60</v>
      </c>
      <c r="B1998" s="1">
        <v>46129</v>
      </c>
      <c r="C1998">
        <v>2378081114</v>
      </c>
      <c r="D1998">
        <v>2378081226</v>
      </c>
      <c r="E1998" t="str">
        <f>T("던전이 자꾸 이상한 짓을 시켜요 84화")</f>
        <v>던전이 자꾸 이상한 짓을 시켜요 84화</v>
      </c>
      <c r="F1998">
        <v>84</v>
      </c>
      <c r="G1998" t="str">
        <f>T("필밤")</f>
        <v>필밤</v>
      </c>
      <c r="J1998" t="str">
        <f>T("시계토끼")</f>
        <v>시계토끼</v>
      </c>
      <c r="K1998" t="str">
        <f>T("던전이 자꾸 이상한 짓을 시켜요")</f>
        <v>던전이 자꾸 이상한 짓을 시켜요</v>
      </c>
      <c r="L1998">
        <v>100</v>
      </c>
      <c r="M1998">
        <v>800</v>
      </c>
      <c r="N1998">
        <v>8</v>
      </c>
      <c r="O1998">
        <v>0</v>
      </c>
      <c r="P1998">
        <v>0</v>
      </c>
      <c r="Q1998">
        <v>0</v>
      </c>
      <c r="R1998">
        <v>4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800</v>
      </c>
      <c r="AJ1998">
        <v>12</v>
      </c>
      <c r="AK1998">
        <v>0</v>
      </c>
      <c r="AL1998">
        <v>0</v>
      </c>
      <c r="AM1998">
        <v>600</v>
      </c>
      <c r="AN1998">
        <v>0</v>
      </c>
      <c r="AO1998">
        <v>240</v>
      </c>
      <c r="AP1998">
        <v>-24</v>
      </c>
      <c r="AQ1998">
        <v>0</v>
      </c>
      <c r="AS1998">
        <v>0</v>
      </c>
      <c r="AT1998">
        <v>0</v>
      </c>
      <c r="AV1998">
        <v>0</v>
      </c>
      <c r="AW1998">
        <v>0</v>
      </c>
      <c r="AX1998">
        <v>240</v>
      </c>
      <c r="AY1998">
        <v>-24</v>
      </c>
      <c r="AZ1998">
        <v>0</v>
      </c>
      <c r="BA1998">
        <v>489.6</v>
      </c>
      <c r="BF1998" t="str">
        <f>T("D268814")</f>
        <v>D268814</v>
      </c>
      <c r="BG1998" t="str">
        <f>T("로판 웹소설 &gt; 서양풍 로판")</f>
        <v>로판 웹소설 &gt; 서양풍 로판</v>
      </c>
    </row>
    <row r="1999" spans="1:59">
      <c r="A1999" t="s">
        <v>60</v>
      </c>
      <c r="B1999" s="1">
        <v>46129</v>
      </c>
      <c r="C1999">
        <v>2378081114</v>
      </c>
      <c r="D1999">
        <v>2378081229</v>
      </c>
      <c r="E1999" t="str">
        <f>T("던전이 자꾸 이상한 짓을 시켜요 85화")</f>
        <v>던전이 자꾸 이상한 짓을 시켜요 85화</v>
      </c>
      <c r="F1999">
        <v>85</v>
      </c>
      <c r="G1999" t="str">
        <f>T("필밤")</f>
        <v>필밤</v>
      </c>
      <c r="J1999" t="str">
        <f>T("시계토끼")</f>
        <v>시계토끼</v>
      </c>
      <c r="K1999" t="str">
        <f>T("던전이 자꾸 이상한 짓을 시켜요")</f>
        <v>던전이 자꾸 이상한 짓을 시켜요</v>
      </c>
      <c r="L1999">
        <v>100</v>
      </c>
      <c r="M1999">
        <v>700</v>
      </c>
      <c r="N1999">
        <v>7</v>
      </c>
      <c r="O1999">
        <v>0</v>
      </c>
      <c r="P1999">
        <v>0</v>
      </c>
      <c r="Q1999">
        <v>0</v>
      </c>
      <c r="R1999">
        <v>7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700</v>
      </c>
      <c r="AJ1999">
        <v>14</v>
      </c>
      <c r="AK1999">
        <v>0</v>
      </c>
      <c r="AL1999">
        <v>0</v>
      </c>
      <c r="AM1999">
        <v>700</v>
      </c>
      <c r="AN1999">
        <v>0</v>
      </c>
      <c r="AO1999">
        <v>0</v>
      </c>
      <c r="AP1999">
        <v>0</v>
      </c>
      <c r="AQ1999">
        <v>0</v>
      </c>
      <c r="AS1999">
        <v>0</v>
      </c>
      <c r="AT1999">
        <v>0</v>
      </c>
      <c r="AV1999">
        <v>0</v>
      </c>
      <c r="AW1999">
        <v>0</v>
      </c>
      <c r="AY1999">
        <v>0</v>
      </c>
      <c r="AZ1999">
        <v>0</v>
      </c>
      <c r="BA1999">
        <v>420</v>
      </c>
      <c r="BF1999" t="str">
        <f>T("D268815")</f>
        <v>D268815</v>
      </c>
      <c r="BG1999" t="str">
        <f>T("로판 웹소설 &gt; 서양풍 로판")</f>
        <v>로판 웹소설 &gt; 서양풍 로판</v>
      </c>
    </row>
    <row r="2000" spans="1:59">
      <c r="A2000" t="s">
        <v>60</v>
      </c>
      <c r="B2000" s="1">
        <v>46129</v>
      </c>
      <c r="C2000">
        <v>2378081114</v>
      </c>
      <c r="D2000">
        <v>2378081240</v>
      </c>
      <c r="E2000" t="str">
        <f>T("던전이 자꾸 이상한 짓을 시켜요 86화")</f>
        <v>던전이 자꾸 이상한 짓을 시켜요 86화</v>
      </c>
      <c r="F2000">
        <v>86</v>
      </c>
      <c r="G2000" t="str">
        <f>T("필밤")</f>
        <v>필밤</v>
      </c>
      <c r="J2000" t="str">
        <f>T("시계토끼")</f>
        <v>시계토끼</v>
      </c>
      <c r="K2000" t="str">
        <f>T("던전이 자꾸 이상한 짓을 시켜요")</f>
        <v>던전이 자꾸 이상한 짓을 시켜요</v>
      </c>
      <c r="L2000">
        <v>100</v>
      </c>
      <c r="M2000">
        <v>2000</v>
      </c>
      <c r="N2000">
        <v>20</v>
      </c>
      <c r="O2000">
        <v>0</v>
      </c>
      <c r="P2000">
        <v>0</v>
      </c>
      <c r="Q2000">
        <v>0</v>
      </c>
      <c r="R2000">
        <v>7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2000</v>
      </c>
      <c r="AJ2000">
        <v>27</v>
      </c>
      <c r="AK2000">
        <v>0</v>
      </c>
      <c r="AL2000">
        <v>0</v>
      </c>
      <c r="AM2000">
        <v>1800</v>
      </c>
      <c r="AN2000">
        <v>0</v>
      </c>
      <c r="AO2000">
        <v>240</v>
      </c>
      <c r="AP2000">
        <v>-24</v>
      </c>
      <c r="AQ2000">
        <v>0</v>
      </c>
      <c r="AS2000">
        <v>0</v>
      </c>
      <c r="AT2000">
        <v>0</v>
      </c>
      <c r="AV2000">
        <v>0</v>
      </c>
      <c r="AW2000">
        <v>0</v>
      </c>
      <c r="AX2000">
        <v>240</v>
      </c>
      <c r="AY2000">
        <v>-24</v>
      </c>
      <c r="AZ2000">
        <v>0</v>
      </c>
      <c r="BA2000">
        <v>1209.5999999999999</v>
      </c>
      <c r="BF2000" t="str">
        <f>T("D268816")</f>
        <v>D268816</v>
      </c>
      <c r="BG2000" t="str">
        <f>T("로판 웹소설 &gt; 서양풍 로판")</f>
        <v>로판 웹소설 &gt; 서양풍 로판</v>
      </c>
    </row>
    <row r="2001" spans="1:59">
      <c r="A2001" t="s">
        <v>60</v>
      </c>
      <c r="B2001" s="1">
        <v>46129</v>
      </c>
      <c r="C2001">
        <v>2378081114</v>
      </c>
      <c r="D2001">
        <v>2378081241</v>
      </c>
      <c r="E2001" t="str">
        <f>T("던전이 자꾸 이상한 짓을 시켜요 87화")</f>
        <v>던전이 자꾸 이상한 짓을 시켜요 87화</v>
      </c>
      <c r="F2001">
        <v>87</v>
      </c>
      <c r="G2001" t="str">
        <f>T("필밤")</f>
        <v>필밤</v>
      </c>
      <c r="J2001" t="str">
        <f>T("시계토끼")</f>
        <v>시계토끼</v>
      </c>
      <c r="K2001" t="str">
        <f>T("던전이 자꾸 이상한 짓을 시켜요")</f>
        <v>던전이 자꾸 이상한 짓을 시켜요</v>
      </c>
      <c r="L2001">
        <v>100</v>
      </c>
      <c r="M2001">
        <v>1600</v>
      </c>
      <c r="N2001">
        <v>16</v>
      </c>
      <c r="O2001">
        <v>0</v>
      </c>
      <c r="P2001">
        <v>0</v>
      </c>
      <c r="Q2001">
        <v>0</v>
      </c>
      <c r="R2001">
        <v>7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1600</v>
      </c>
      <c r="AJ2001">
        <v>23</v>
      </c>
      <c r="AK2001">
        <v>0</v>
      </c>
      <c r="AL2001">
        <v>0</v>
      </c>
      <c r="AM2001">
        <v>1500</v>
      </c>
      <c r="AN2001">
        <v>0</v>
      </c>
      <c r="AO2001">
        <v>120</v>
      </c>
      <c r="AP2001">
        <v>-12</v>
      </c>
      <c r="AQ2001">
        <v>0</v>
      </c>
      <c r="AS2001">
        <v>0</v>
      </c>
      <c r="AT2001">
        <v>0</v>
      </c>
      <c r="AU2001">
        <v>120</v>
      </c>
      <c r="AV2001">
        <v>-12</v>
      </c>
      <c r="AW2001">
        <v>0</v>
      </c>
      <c r="AY2001">
        <v>0</v>
      </c>
      <c r="AZ2001">
        <v>0</v>
      </c>
      <c r="BA2001">
        <v>964.8</v>
      </c>
      <c r="BF2001" t="str">
        <f>T("D268817")</f>
        <v>D268817</v>
      </c>
      <c r="BG2001" t="str">
        <f>T("로판 웹소설 &gt; 서양풍 로판")</f>
        <v>로판 웹소설 &gt; 서양풍 로판</v>
      </c>
    </row>
    <row r="2002" spans="1:59">
      <c r="A2002" t="s">
        <v>60</v>
      </c>
      <c r="B2002" s="1">
        <v>46130</v>
      </c>
      <c r="C2002">
        <v>2378081114</v>
      </c>
      <c r="D2002">
        <v>2378081157</v>
      </c>
      <c r="E2002" t="str">
        <f>T("던전이 자꾸 이상한 짓을 시켜요 44화")</f>
        <v>던전이 자꾸 이상한 짓을 시켜요 44화</v>
      </c>
      <c r="F2002">
        <v>44</v>
      </c>
      <c r="G2002" t="str">
        <f>T("필밤")</f>
        <v>필밤</v>
      </c>
      <c r="J2002" t="str">
        <f>T("시계토끼")</f>
        <v>시계토끼</v>
      </c>
      <c r="K2002" t="str">
        <f>T("던전이 자꾸 이상한 짓을 시켜요")</f>
        <v>던전이 자꾸 이상한 짓을 시켜요</v>
      </c>
      <c r="L2002">
        <v>100</v>
      </c>
      <c r="M2002">
        <v>1000</v>
      </c>
      <c r="N2002">
        <v>10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1000</v>
      </c>
      <c r="AJ2002">
        <v>10</v>
      </c>
      <c r="AK2002">
        <v>0</v>
      </c>
      <c r="AL2002">
        <v>0</v>
      </c>
      <c r="AM2002">
        <v>800</v>
      </c>
      <c r="AN2002">
        <v>0</v>
      </c>
      <c r="AO2002">
        <v>240</v>
      </c>
      <c r="AP2002">
        <v>-48</v>
      </c>
      <c r="AQ2002">
        <v>0</v>
      </c>
      <c r="AR2002">
        <v>120</v>
      </c>
      <c r="AS2002">
        <v>-36</v>
      </c>
      <c r="AT2002">
        <v>0</v>
      </c>
      <c r="AV2002">
        <v>0</v>
      </c>
      <c r="AW2002">
        <v>0</v>
      </c>
      <c r="AX2002">
        <v>120</v>
      </c>
      <c r="AY2002">
        <v>-12</v>
      </c>
      <c r="AZ2002">
        <v>0</v>
      </c>
      <c r="BA2002">
        <v>595.20000000000005</v>
      </c>
      <c r="BF2002" t="str">
        <f>T("D268774")</f>
        <v>D268774</v>
      </c>
      <c r="BG2002" t="str">
        <f>T("로판 웹소설 &gt; 서양풍 로판")</f>
        <v>로판 웹소설 &gt; 서양풍 로판</v>
      </c>
    </row>
    <row r="2003" spans="1:59">
      <c r="A2003" t="s">
        <v>60</v>
      </c>
      <c r="B2003" s="1">
        <v>46130</v>
      </c>
      <c r="C2003">
        <v>2378081114</v>
      </c>
      <c r="D2003">
        <v>2378081131</v>
      </c>
      <c r="E2003" t="str">
        <f>T("던전이 자꾸 이상한 짓을 시켜요 18화")</f>
        <v>던전이 자꾸 이상한 짓을 시켜요 18화</v>
      </c>
      <c r="F2003">
        <v>18</v>
      </c>
      <c r="G2003" t="str">
        <f>T("필밤")</f>
        <v>필밤</v>
      </c>
      <c r="J2003" t="str">
        <f>T("시계토끼")</f>
        <v>시계토끼</v>
      </c>
      <c r="K2003" t="str">
        <f>T("던전이 자꾸 이상한 짓을 시켜요")</f>
        <v>던전이 자꾸 이상한 짓을 시켜요</v>
      </c>
      <c r="L2003">
        <v>100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62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62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S2003">
        <v>0</v>
      </c>
      <c r="AT2003">
        <v>0</v>
      </c>
      <c r="AV2003">
        <v>0</v>
      </c>
      <c r="AW2003">
        <v>0</v>
      </c>
      <c r="AY2003">
        <v>0</v>
      </c>
      <c r="AZ2003">
        <v>0</v>
      </c>
      <c r="BA2003">
        <v>0</v>
      </c>
      <c r="BF2003" t="str">
        <f>T("D268748")</f>
        <v>D268748</v>
      </c>
      <c r="BG2003" t="str">
        <f>T("로판 웹소설 &gt; 서양풍 로판")</f>
        <v>로판 웹소설 &gt; 서양풍 로판</v>
      </c>
    </row>
    <row r="2004" spans="1:59">
      <c r="A2004" t="s">
        <v>60</v>
      </c>
      <c r="B2004" s="1">
        <v>46130</v>
      </c>
      <c r="C2004">
        <v>2378081114</v>
      </c>
      <c r="D2004">
        <v>2378081125</v>
      </c>
      <c r="E2004" t="str">
        <f>T("던전이 자꾸 이상한 짓을 시켜요 12화")</f>
        <v>던전이 자꾸 이상한 짓을 시켜요 12화</v>
      </c>
      <c r="F2004">
        <v>12</v>
      </c>
      <c r="G2004" t="str">
        <f>T("필밤")</f>
        <v>필밤</v>
      </c>
      <c r="J2004" t="str">
        <f>T("시계토끼")</f>
        <v>시계토끼</v>
      </c>
      <c r="K2004" t="str">
        <f>T("던전이 자꾸 이상한 짓을 시켜요")</f>
        <v>던전이 자꾸 이상한 짓을 시켜요</v>
      </c>
      <c r="L2004">
        <v>100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64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0</v>
      </c>
      <c r="AH2004">
        <v>0</v>
      </c>
      <c r="AI2004">
        <v>0</v>
      </c>
      <c r="AJ2004">
        <v>64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S2004">
        <v>0</v>
      </c>
      <c r="AT2004">
        <v>0</v>
      </c>
      <c r="AV2004">
        <v>0</v>
      </c>
      <c r="AW2004">
        <v>0</v>
      </c>
      <c r="AY2004">
        <v>0</v>
      </c>
      <c r="AZ2004">
        <v>0</v>
      </c>
      <c r="BA2004">
        <v>0</v>
      </c>
      <c r="BF2004" t="str">
        <f>T("D268742")</f>
        <v>D268742</v>
      </c>
      <c r="BG2004" t="str">
        <f>T("로판 웹소설 &gt; 서양풍 로판")</f>
        <v>로판 웹소설 &gt; 서양풍 로판</v>
      </c>
    </row>
    <row r="2005" spans="1:59">
      <c r="A2005" t="s">
        <v>60</v>
      </c>
      <c r="B2005" s="1">
        <v>46130</v>
      </c>
      <c r="C2005">
        <v>2378081114</v>
      </c>
      <c r="D2005">
        <v>2378081123</v>
      </c>
      <c r="E2005" t="str">
        <f>T("던전이 자꾸 이상한 짓을 시켜요 10화")</f>
        <v>던전이 자꾸 이상한 짓을 시켜요 10화</v>
      </c>
      <c r="F2005">
        <v>10</v>
      </c>
      <c r="G2005" t="str">
        <f>T("필밤")</f>
        <v>필밤</v>
      </c>
      <c r="J2005" t="str">
        <f>T("시계토끼")</f>
        <v>시계토끼</v>
      </c>
      <c r="K2005" t="str">
        <f>T("던전이 자꾸 이상한 짓을 시켜요")</f>
        <v>던전이 자꾸 이상한 짓을 시켜요</v>
      </c>
      <c r="L2005">
        <v>100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62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62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S2005">
        <v>0</v>
      </c>
      <c r="AT2005">
        <v>0</v>
      </c>
      <c r="AV2005">
        <v>0</v>
      </c>
      <c r="AW2005">
        <v>0</v>
      </c>
      <c r="AY2005">
        <v>0</v>
      </c>
      <c r="AZ2005">
        <v>0</v>
      </c>
      <c r="BA2005">
        <v>0</v>
      </c>
      <c r="BF2005" t="str">
        <f>T("D268740")</f>
        <v>D268740</v>
      </c>
      <c r="BG2005" t="str">
        <f>T("로판 웹소설 &gt; 서양풍 로판")</f>
        <v>로판 웹소설 &gt; 서양풍 로판</v>
      </c>
    </row>
    <row r="2006" spans="1:59">
      <c r="A2006" t="s">
        <v>60</v>
      </c>
      <c r="B2006" s="1">
        <v>46130</v>
      </c>
      <c r="C2006">
        <v>2378081114</v>
      </c>
      <c r="D2006">
        <v>2378081114</v>
      </c>
      <c r="E2006" t="str">
        <f>T("던전이 자꾸 이상한 짓을 시켜요 1화")</f>
        <v>던전이 자꾸 이상한 짓을 시켜요 1화</v>
      </c>
      <c r="F2006">
        <v>1</v>
      </c>
      <c r="G2006" t="str">
        <f>T("필밤")</f>
        <v>필밤</v>
      </c>
      <c r="J2006" t="str">
        <f>T("시계토끼")</f>
        <v>시계토끼</v>
      </c>
      <c r="K2006" t="str">
        <f>T("던전이 자꾸 이상한 짓을 시켜요")</f>
        <v>던전이 자꾸 이상한 짓을 시켜요</v>
      </c>
      <c r="L2006">
        <v>0</v>
      </c>
      <c r="M2006">
        <v>0</v>
      </c>
      <c r="N2006">
        <v>0</v>
      </c>
      <c r="O2006">
        <v>25</v>
      </c>
      <c r="P2006">
        <v>0</v>
      </c>
      <c r="Q2006">
        <v>0</v>
      </c>
      <c r="R2006">
        <v>52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0</v>
      </c>
      <c r="AJ2006">
        <v>77</v>
      </c>
      <c r="AK2006">
        <v>0</v>
      </c>
      <c r="AL2006">
        <v>0</v>
      </c>
      <c r="AM2006">
        <v>0</v>
      </c>
      <c r="AN2006">
        <v>0</v>
      </c>
      <c r="AO2006">
        <v>0</v>
      </c>
      <c r="AP2006">
        <v>0</v>
      </c>
      <c r="AQ2006">
        <v>0</v>
      </c>
      <c r="AS2006">
        <v>0</v>
      </c>
      <c r="AT2006">
        <v>0</v>
      </c>
      <c r="AV2006">
        <v>0</v>
      </c>
      <c r="AW2006">
        <v>0</v>
      </c>
      <c r="AY2006">
        <v>0</v>
      </c>
      <c r="AZ2006">
        <v>0</v>
      </c>
      <c r="BA2006">
        <v>0</v>
      </c>
      <c r="BF2006" t="str">
        <f>T("D268731")</f>
        <v>D268731</v>
      </c>
      <c r="BG2006" t="str">
        <f>T("로판 웹소설 &gt; 서양풍 로판")</f>
        <v>로판 웹소설 &gt; 서양풍 로판</v>
      </c>
    </row>
    <row r="2007" spans="1:59">
      <c r="A2007" t="s">
        <v>60</v>
      </c>
      <c r="B2007" s="1">
        <v>46130</v>
      </c>
      <c r="C2007">
        <v>2378081114</v>
      </c>
      <c r="D2007">
        <v>2378081169</v>
      </c>
      <c r="E2007" t="str">
        <f>T("던전이 자꾸 이상한 짓을 시켜요 56화")</f>
        <v>던전이 자꾸 이상한 짓을 시켜요 56화</v>
      </c>
      <c r="F2007">
        <v>56</v>
      </c>
      <c r="G2007" t="str">
        <f>T("필밤")</f>
        <v>필밤</v>
      </c>
      <c r="J2007" t="str">
        <f>T("시계토끼")</f>
        <v>시계토끼</v>
      </c>
      <c r="K2007" t="str">
        <f>T("던전이 자꾸 이상한 짓을 시켜요")</f>
        <v>던전이 자꾸 이상한 짓을 시켜요</v>
      </c>
      <c r="L2007">
        <v>100</v>
      </c>
      <c r="M2007">
        <v>1300</v>
      </c>
      <c r="N2007">
        <v>13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0</v>
      </c>
      <c r="AI2007">
        <v>1300</v>
      </c>
      <c r="AJ2007">
        <v>13</v>
      </c>
      <c r="AK2007">
        <v>0</v>
      </c>
      <c r="AL2007">
        <v>0</v>
      </c>
      <c r="AM2007">
        <v>1200</v>
      </c>
      <c r="AN2007">
        <v>0</v>
      </c>
      <c r="AO2007">
        <v>120</v>
      </c>
      <c r="AP2007">
        <v>-12</v>
      </c>
      <c r="AQ2007">
        <v>0</v>
      </c>
      <c r="AS2007">
        <v>0</v>
      </c>
      <c r="AT2007">
        <v>0</v>
      </c>
      <c r="AV2007">
        <v>0</v>
      </c>
      <c r="AW2007">
        <v>0</v>
      </c>
      <c r="AX2007">
        <v>120</v>
      </c>
      <c r="AY2007">
        <v>-12</v>
      </c>
      <c r="AZ2007">
        <v>0</v>
      </c>
      <c r="BA2007">
        <v>784.8</v>
      </c>
      <c r="BF2007" t="str">
        <f>T("D268786")</f>
        <v>D268786</v>
      </c>
      <c r="BG2007" t="str">
        <f>T("로판 웹소설 &gt; 서양풍 로판")</f>
        <v>로판 웹소설 &gt; 서양풍 로판</v>
      </c>
    </row>
    <row r="2008" spans="1:59">
      <c r="A2008" t="s">
        <v>60</v>
      </c>
      <c r="B2008" s="1">
        <v>46130</v>
      </c>
      <c r="C2008">
        <v>2378081114</v>
      </c>
      <c r="D2008">
        <v>2378081126</v>
      </c>
      <c r="E2008" t="str">
        <f>T("던전이 자꾸 이상한 짓을 시켜요 13화")</f>
        <v>던전이 자꾸 이상한 짓을 시켜요 13화</v>
      </c>
      <c r="F2008">
        <v>13</v>
      </c>
      <c r="G2008" t="str">
        <f>T("필밤")</f>
        <v>필밤</v>
      </c>
      <c r="J2008" t="str">
        <f>T("시계토끼")</f>
        <v>시계토끼</v>
      </c>
      <c r="K2008" t="str">
        <f>T("던전이 자꾸 이상한 짓을 시켜요")</f>
        <v>던전이 자꾸 이상한 짓을 시켜요</v>
      </c>
      <c r="L2008">
        <v>100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58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0</v>
      </c>
      <c r="AJ2008">
        <v>58</v>
      </c>
      <c r="AK2008">
        <v>0</v>
      </c>
      <c r="AL2008">
        <v>0</v>
      </c>
      <c r="AM2008">
        <v>0</v>
      </c>
      <c r="AN2008">
        <v>0</v>
      </c>
      <c r="AO2008">
        <v>0</v>
      </c>
      <c r="AP2008">
        <v>0</v>
      </c>
      <c r="AQ2008">
        <v>0</v>
      </c>
      <c r="AS2008">
        <v>0</v>
      </c>
      <c r="AT2008">
        <v>0</v>
      </c>
      <c r="AV2008">
        <v>0</v>
      </c>
      <c r="AW2008">
        <v>0</v>
      </c>
      <c r="AY2008">
        <v>0</v>
      </c>
      <c r="AZ2008">
        <v>0</v>
      </c>
      <c r="BA2008">
        <v>0</v>
      </c>
      <c r="BF2008" t="str">
        <f>T("D268743")</f>
        <v>D268743</v>
      </c>
      <c r="BG2008" t="str">
        <f>T("로판 웹소설 &gt; 서양풍 로판")</f>
        <v>로판 웹소설 &gt; 서양풍 로판</v>
      </c>
    </row>
    <row r="2009" spans="1:59">
      <c r="A2009" t="s">
        <v>60</v>
      </c>
      <c r="B2009" s="1">
        <v>46130</v>
      </c>
      <c r="C2009">
        <v>2378081114</v>
      </c>
      <c r="D2009">
        <v>2378081170</v>
      </c>
      <c r="E2009" t="str">
        <f>T("던전이 자꾸 이상한 짓을 시켜요 57화")</f>
        <v>던전이 자꾸 이상한 짓을 시켜요 57화</v>
      </c>
      <c r="F2009">
        <v>57</v>
      </c>
      <c r="G2009" t="str">
        <f>T("필밤")</f>
        <v>필밤</v>
      </c>
      <c r="J2009" t="str">
        <f>T("시계토끼")</f>
        <v>시계토끼</v>
      </c>
      <c r="K2009" t="str">
        <f>T("던전이 자꾸 이상한 짓을 시켜요")</f>
        <v>던전이 자꾸 이상한 짓을 시켜요</v>
      </c>
      <c r="L2009">
        <v>100</v>
      </c>
      <c r="M2009">
        <v>900</v>
      </c>
      <c r="N2009">
        <v>9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900</v>
      </c>
      <c r="AJ2009">
        <v>9</v>
      </c>
      <c r="AK2009">
        <v>0</v>
      </c>
      <c r="AL2009">
        <v>0</v>
      </c>
      <c r="AM2009">
        <v>900</v>
      </c>
      <c r="AN2009">
        <v>0</v>
      </c>
      <c r="AO2009">
        <v>0</v>
      </c>
      <c r="AP2009">
        <v>0</v>
      </c>
      <c r="AQ2009">
        <v>0</v>
      </c>
      <c r="AS2009">
        <v>0</v>
      </c>
      <c r="AT2009">
        <v>0</v>
      </c>
      <c r="AV2009">
        <v>0</v>
      </c>
      <c r="AW2009">
        <v>0</v>
      </c>
      <c r="AY2009">
        <v>0</v>
      </c>
      <c r="AZ2009">
        <v>0</v>
      </c>
      <c r="BA2009">
        <v>540</v>
      </c>
      <c r="BF2009" t="str">
        <f>T("D268787")</f>
        <v>D268787</v>
      </c>
      <c r="BG2009" t="str">
        <f>T("로판 웹소설 &gt; 서양풍 로판")</f>
        <v>로판 웹소설 &gt; 서양풍 로판</v>
      </c>
    </row>
    <row r="2010" spans="1:59">
      <c r="A2010" t="s">
        <v>60</v>
      </c>
      <c r="B2010" s="1">
        <v>46130</v>
      </c>
      <c r="C2010">
        <v>2378081114</v>
      </c>
      <c r="D2010">
        <v>2378081158</v>
      </c>
      <c r="E2010" t="str">
        <f>T("던전이 자꾸 이상한 짓을 시켜요 45화")</f>
        <v>던전이 자꾸 이상한 짓을 시켜요 45화</v>
      </c>
      <c r="F2010">
        <v>45</v>
      </c>
      <c r="G2010" t="str">
        <f>T("필밤")</f>
        <v>필밤</v>
      </c>
      <c r="J2010" t="str">
        <f>T("시계토끼")</f>
        <v>시계토끼</v>
      </c>
      <c r="K2010" t="str">
        <f>T("던전이 자꾸 이상한 짓을 시켜요")</f>
        <v>던전이 자꾸 이상한 짓을 시켜요</v>
      </c>
      <c r="L2010">
        <v>100</v>
      </c>
      <c r="M2010">
        <v>1100</v>
      </c>
      <c r="N2010">
        <v>11</v>
      </c>
      <c r="O2010">
        <v>0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1100</v>
      </c>
      <c r="AJ2010">
        <v>11</v>
      </c>
      <c r="AK2010">
        <v>0</v>
      </c>
      <c r="AL2010">
        <v>0</v>
      </c>
      <c r="AM2010">
        <v>900</v>
      </c>
      <c r="AN2010">
        <v>0</v>
      </c>
      <c r="AO2010">
        <v>240</v>
      </c>
      <c r="AP2010">
        <v>-48</v>
      </c>
      <c r="AQ2010">
        <v>0</v>
      </c>
      <c r="AR2010">
        <v>120</v>
      </c>
      <c r="AS2010">
        <v>-36</v>
      </c>
      <c r="AT2010">
        <v>0</v>
      </c>
      <c r="AV2010">
        <v>0</v>
      </c>
      <c r="AW2010">
        <v>0</v>
      </c>
      <c r="AX2010">
        <v>120</v>
      </c>
      <c r="AY2010">
        <v>-12</v>
      </c>
      <c r="AZ2010">
        <v>0</v>
      </c>
      <c r="BA2010">
        <v>655.20000000000005</v>
      </c>
      <c r="BF2010" t="str">
        <f>T("D268775")</f>
        <v>D268775</v>
      </c>
      <c r="BG2010" t="str">
        <f>T("로판 웹소설 &gt; 서양풍 로판")</f>
        <v>로판 웹소설 &gt; 서양풍 로판</v>
      </c>
    </row>
    <row r="2011" spans="1:59">
      <c r="A2011" t="s">
        <v>60</v>
      </c>
      <c r="B2011" s="1">
        <v>46130</v>
      </c>
      <c r="C2011">
        <v>2378081114</v>
      </c>
      <c r="D2011">
        <v>2378081115</v>
      </c>
      <c r="E2011" t="str">
        <f>T("던전이 자꾸 이상한 짓을 시켜요 2화")</f>
        <v>던전이 자꾸 이상한 짓을 시켜요 2화</v>
      </c>
      <c r="F2011">
        <v>2</v>
      </c>
      <c r="G2011" t="str">
        <f>T("필밤")</f>
        <v>필밤</v>
      </c>
      <c r="J2011" t="str">
        <f>T("시계토끼")</f>
        <v>시계토끼</v>
      </c>
      <c r="K2011" t="str">
        <f>T("던전이 자꾸 이상한 짓을 시켜요")</f>
        <v>던전이 자꾸 이상한 짓을 시켜요</v>
      </c>
      <c r="L2011">
        <v>0</v>
      </c>
      <c r="M2011">
        <v>0</v>
      </c>
      <c r="N2011">
        <v>0</v>
      </c>
      <c r="O2011">
        <v>22</v>
      </c>
      <c r="P2011">
        <v>0</v>
      </c>
      <c r="Q2011">
        <v>0</v>
      </c>
      <c r="R2011">
        <v>43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65</v>
      </c>
      <c r="AK2011">
        <v>0</v>
      </c>
      <c r="AL2011">
        <v>0</v>
      </c>
      <c r="AM2011">
        <v>0</v>
      </c>
      <c r="AN2011">
        <v>0</v>
      </c>
      <c r="AO2011">
        <v>0</v>
      </c>
      <c r="AP2011">
        <v>0</v>
      </c>
      <c r="AQ2011">
        <v>0</v>
      </c>
      <c r="AS2011">
        <v>0</v>
      </c>
      <c r="AT2011">
        <v>0</v>
      </c>
      <c r="AV2011">
        <v>0</v>
      </c>
      <c r="AW2011">
        <v>0</v>
      </c>
      <c r="AY2011">
        <v>0</v>
      </c>
      <c r="AZ2011">
        <v>0</v>
      </c>
      <c r="BA2011">
        <v>0</v>
      </c>
      <c r="BF2011" t="str">
        <f>T("D268732")</f>
        <v>D268732</v>
      </c>
      <c r="BG2011" t="str">
        <f>T("로판 웹소설 &gt; 서양풍 로판")</f>
        <v>로판 웹소설 &gt; 서양풍 로판</v>
      </c>
    </row>
    <row r="2012" spans="1:59">
      <c r="A2012" t="s">
        <v>60</v>
      </c>
      <c r="B2012" s="1">
        <v>46130</v>
      </c>
      <c r="C2012">
        <v>2378081114</v>
      </c>
      <c r="D2012">
        <v>2378081127</v>
      </c>
      <c r="E2012" t="str">
        <f>T("던전이 자꾸 이상한 짓을 시켜요 14화")</f>
        <v>던전이 자꾸 이상한 짓을 시켜요 14화</v>
      </c>
      <c r="F2012">
        <v>14</v>
      </c>
      <c r="G2012" t="str">
        <f>T("필밤")</f>
        <v>필밤</v>
      </c>
      <c r="J2012" t="str">
        <f>T("시계토끼")</f>
        <v>시계토끼</v>
      </c>
      <c r="K2012" t="str">
        <f>T("던전이 자꾸 이상한 짓을 시켜요")</f>
        <v>던전이 자꾸 이상한 짓을 시켜요</v>
      </c>
      <c r="L2012">
        <v>100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57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57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S2012">
        <v>0</v>
      </c>
      <c r="AT2012">
        <v>0</v>
      </c>
      <c r="AV2012">
        <v>0</v>
      </c>
      <c r="AW2012">
        <v>0</v>
      </c>
      <c r="AY2012">
        <v>0</v>
      </c>
      <c r="AZ2012">
        <v>0</v>
      </c>
      <c r="BA2012">
        <v>0</v>
      </c>
      <c r="BF2012" t="str">
        <f>T("D268744")</f>
        <v>D268744</v>
      </c>
      <c r="BG2012" t="str">
        <f>T("로판 웹소설 &gt; 서양풍 로판")</f>
        <v>로판 웹소설 &gt; 서양풍 로판</v>
      </c>
    </row>
    <row r="2013" spans="1:59">
      <c r="A2013" t="s">
        <v>60</v>
      </c>
      <c r="B2013" s="1">
        <v>46130</v>
      </c>
      <c r="C2013">
        <v>2378081114</v>
      </c>
      <c r="D2013">
        <v>2378081173</v>
      </c>
      <c r="E2013" t="str">
        <f>T("던전이 자꾸 이상한 짓을 시켜요 60화")</f>
        <v>던전이 자꾸 이상한 짓을 시켜요 60화</v>
      </c>
      <c r="F2013">
        <v>60</v>
      </c>
      <c r="G2013" t="str">
        <f>T("필밤")</f>
        <v>필밤</v>
      </c>
      <c r="J2013" t="str">
        <f>T("시계토끼")</f>
        <v>시계토끼</v>
      </c>
      <c r="K2013" t="str">
        <f>T("던전이 자꾸 이상한 짓을 시켜요")</f>
        <v>던전이 자꾸 이상한 짓을 시켜요</v>
      </c>
      <c r="L2013">
        <v>100</v>
      </c>
      <c r="M2013">
        <v>900</v>
      </c>
      <c r="N2013">
        <v>9</v>
      </c>
      <c r="O2013">
        <v>0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900</v>
      </c>
      <c r="AJ2013">
        <v>9</v>
      </c>
      <c r="AK2013">
        <v>0</v>
      </c>
      <c r="AL2013">
        <v>0</v>
      </c>
      <c r="AM2013">
        <v>700</v>
      </c>
      <c r="AN2013">
        <v>0</v>
      </c>
      <c r="AO2013">
        <v>240</v>
      </c>
      <c r="AP2013">
        <v>-24</v>
      </c>
      <c r="AQ2013">
        <v>0</v>
      </c>
      <c r="AS2013">
        <v>0</v>
      </c>
      <c r="AT2013">
        <v>0</v>
      </c>
      <c r="AU2013">
        <v>120</v>
      </c>
      <c r="AV2013">
        <v>-12</v>
      </c>
      <c r="AW2013">
        <v>0</v>
      </c>
      <c r="AX2013">
        <v>120</v>
      </c>
      <c r="AY2013">
        <v>-12</v>
      </c>
      <c r="AZ2013">
        <v>0</v>
      </c>
      <c r="BA2013">
        <v>549.6</v>
      </c>
      <c r="BF2013" t="str">
        <f>T("D268790")</f>
        <v>D268790</v>
      </c>
      <c r="BG2013" t="str">
        <f>T("로판 웹소설 &gt; 서양풍 로판")</f>
        <v>로판 웹소설 &gt; 서양풍 로판</v>
      </c>
    </row>
    <row r="2014" spans="1:59">
      <c r="A2014" t="s">
        <v>60</v>
      </c>
      <c r="B2014" s="1">
        <v>46130</v>
      </c>
      <c r="C2014">
        <v>2378081114</v>
      </c>
      <c r="D2014">
        <v>2378081133</v>
      </c>
      <c r="E2014" t="str">
        <f>T("던전이 자꾸 이상한 짓을 시켜요 20화")</f>
        <v>던전이 자꾸 이상한 짓을 시켜요 20화</v>
      </c>
      <c r="F2014">
        <v>20</v>
      </c>
      <c r="G2014" t="str">
        <f>T("필밤")</f>
        <v>필밤</v>
      </c>
      <c r="J2014" t="str">
        <f>T("시계토끼")</f>
        <v>시계토끼</v>
      </c>
      <c r="K2014" t="str">
        <f>T("던전이 자꾸 이상한 짓을 시켜요")</f>
        <v>던전이 자꾸 이상한 짓을 시켜요</v>
      </c>
      <c r="L2014">
        <v>100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73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73</v>
      </c>
      <c r="AK2014">
        <v>0</v>
      </c>
      <c r="AL2014">
        <v>0</v>
      </c>
      <c r="AM2014">
        <v>0</v>
      </c>
      <c r="AN2014">
        <v>0</v>
      </c>
      <c r="AO2014">
        <v>0</v>
      </c>
      <c r="AP2014">
        <v>0</v>
      </c>
      <c r="AQ2014">
        <v>0</v>
      </c>
      <c r="AS2014">
        <v>0</v>
      </c>
      <c r="AT2014">
        <v>0</v>
      </c>
      <c r="AV2014">
        <v>0</v>
      </c>
      <c r="AW2014">
        <v>0</v>
      </c>
      <c r="AY2014">
        <v>0</v>
      </c>
      <c r="AZ2014">
        <v>0</v>
      </c>
      <c r="BA2014">
        <v>0</v>
      </c>
      <c r="BF2014" t="str">
        <f>T("D268750")</f>
        <v>D268750</v>
      </c>
      <c r="BG2014" t="str">
        <f>T("로판 웹소설 &gt; 서양풍 로판")</f>
        <v>로판 웹소설 &gt; 서양풍 로판</v>
      </c>
    </row>
    <row r="2015" spans="1:59">
      <c r="A2015" t="s">
        <v>60</v>
      </c>
      <c r="B2015" s="1">
        <v>46130</v>
      </c>
      <c r="C2015">
        <v>2378081114</v>
      </c>
      <c r="D2015">
        <v>2378081132</v>
      </c>
      <c r="E2015" t="str">
        <f>T("던전이 자꾸 이상한 짓을 시켜요 19화")</f>
        <v>던전이 자꾸 이상한 짓을 시켜요 19화</v>
      </c>
      <c r="F2015">
        <v>19</v>
      </c>
      <c r="G2015" t="str">
        <f>T("필밤")</f>
        <v>필밤</v>
      </c>
      <c r="J2015" t="str">
        <f>T("시계토끼")</f>
        <v>시계토끼</v>
      </c>
      <c r="K2015" t="str">
        <f>T("던전이 자꾸 이상한 짓을 시켜요")</f>
        <v>던전이 자꾸 이상한 짓을 시켜요</v>
      </c>
      <c r="L2015">
        <v>100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69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69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S2015">
        <v>0</v>
      </c>
      <c r="AT2015">
        <v>0</v>
      </c>
      <c r="AV2015">
        <v>0</v>
      </c>
      <c r="AW2015">
        <v>0</v>
      </c>
      <c r="AY2015">
        <v>0</v>
      </c>
      <c r="AZ2015">
        <v>0</v>
      </c>
      <c r="BA2015">
        <v>0</v>
      </c>
      <c r="BF2015" t="str">
        <f>T("D268749")</f>
        <v>D268749</v>
      </c>
      <c r="BG2015" t="str">
        <f>T("로판 웹소설 &gt; 서양풍 로판")</f>
        <v>로판 웹소설 &gt; 서양풍 로판</v>
      </c>
    </row>
    <row r="2016" spans="1:59">
      <c r="A2016" t="s">
        <v>60</v>
      </c>
      <c r="B2016" s="1">
        <v>46130</v>
      </c>
      <c r="C2016">
        <v>2378081114</v>
      </c>
      <c r="D2016">
        <v>2378081116</v>
      </c>
      <c r="E2016" t="str">
        <f>T("던전이 자꾸 이상한 짓을 시켜요 3화")</f>
        <v>던전이 자꾸 이상한 짓을 시켜요 3화</v>
      </c>
      <c r="F2016">
        <v>3</v>
      </c>
      <c r="G2016" t="str">
        <f>T("필밤")</f>
        <v>필밤</v>
      </c>
      <c r="J2016" t="str">
        <f>T("시계토끼")</f>
        <v>시계토끼</v>
      </c>
      <c r="K2016" t="str">
        <f>T("던전이 자꾸 이상한 짓을 시켜요")</f>
        <v>던전이 자꾸 이상한 짓을 시켜요</v>
      </c>
      <c r="L2016">
        <v>0</v>
      </c>
      <c r="M2016">
        <v>0</v>
      </c>
      <c r="N2016">
        <v>0</v>
      </c>
      <c r="O2016">
        <v>23</v>
      </c>
      <c r="P2016">
        <v>0</v>
      </c>
      <c r="Q2016">
        <v>0</v>
      </c>
      <c r="R2016">
        <v>36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59</v>
      </c>
      <c r="AK2016">
        <v>0</v>
      </c>
      <c r="AL2016">
        <v>0</v>
      </c>
      <c r="AM2016">
        <v>0</v>
      </c>
      <c r="AN2016">
        <v>0</v>
      </c>
      <c r="AO2016">
        <v>0</v>
      </c>
      <c r="AP2016">
        <v>0</v>
      </c>
      <c r="AQ2016">
        <v>0</v>
      </c>
      <c r="AS2016">
        <v>0</v>
      </c>
      <c r="AT2016">
        <v>0</v>
      </c>
      <c r="AV2016">
        <v>0</v>
      </c>
      <c r="AW2016">
        <v>0</v>
      </c>
      <c r="AY2016">
        <v>0</v>
      </c>
      <c r="AZ2016">
        <v>0</v>
      </c>
      <c r="BA2016">
        <v>0</v>
      </c>
      <c r="BF2016" t="str">
        <f>T("D268733")</f>
        <v>D268733</v>
      </c>
      <c r="BG2016" t="str">
        <f>T("로판 웹소설 &gt; 서양풍 로판")</f>
        <v>로판 웹소설 &gt; 서양풍 로판</v>
      </c>
    </row>
    <row r="2017" spans="1:59">
      <c r="A2017" t="s">
        <v>60</v>
      </c>
      <c r="B2017" s="1">
        <v>46130</v>
      </c>
      <c r="C2017">
        <v>2378081114</v>
      </c>
      <c r="D2017">
        <v>2378081128</v>
      </c>
      <c r="E2017" t="str">
        <f>T("던전이 자꾸 이상한 짓을 시켜요 15화")</f>
        <v>던전이 자꾸 이상한 짓을 시켜요 15화</v>
      </c>
      <c r="F2017">
        <v>15</v>
      </c>
      <c r="G2017" t="str">
        <f>T("필밤")</f>
        <v>필밤</v>
      </c>
      <c r="J2017" t="str">
        <f>T("시계토끼")</f>
        <v>시계토끼</v>
      </c>
      <c r="K2017" t="str">
        <f>T("던전이 자꾸 이상한 짓을 시켜요")</f>
        <v>던전이 자꾸 이상한 짓을 시켜요</v>
      </c>
      <c r="L2017">
        <v>100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57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57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S2017">
        <v>0</v>
      </c>
      <c r="AT2017">
        <v>0</v>
      </c>
      <c r="AV2017">
        <v>0</v>
      </c>
      <c r="AW2017">
        <v>0</v>
      </c>
      <c r="AY2017">
        <v>0</v>
      </c>
      <c r="AZ2017">
        <v>0</v>
      </c>
      <c r="BA2017">
        <v>0</v>
      </c>
      <c r="BF2017" t="str">
        <f>T("D268745")</f>
        <v>D268745</v>
      </c>
      <c r="BG2017" t="str">
        <f>T("로판 웹소설 &gt; 서양풍 로판")</f>
        <v>로판 웹소설 &gt; 서양풍 로판</v>
      </c>
    </row>
    <row r="2018" spans="1:59">
      <c r="A2018" t="s">
        <v>60</v>
      </c>
      <c r="B2018" s="1">
        <v>46130</v>
      </c>
      <c r="C2018">
        <v>2378081114</v>
      </c>
      <c r="D2018">
        <v>2378081175</v>
      </c>
      <c r="E2018" t="str">
        <f>T("던전이 자꾸 이상한 짓을 시켜요 62화")</f>
        <v>던전이 자꾸 이상한 짓을 시켜요 62화</v>
      </c>
      <c r="F2018">
        <v>62</v>
      </c>
      <c r="G2018" t="str">
        <f>T("필밤")</f>
        <v>필밤</v>
      </c>
      <c r="J2018" t="str">
        <f>T("시계토끼")</f>
        <v>시계토끼</v>
      </c>
      <c r="K2018" t="str">
        <f>T("던전이 자꾸 이상한 짓을 시켜요")</f>
        <v>던전이 자꾸 이상한 짓을 시켜요</v>
      </c>
      <c r="L2018">
        <v>100</v>
      </c>
      <c r="M2018">
        <v>600</v>
      </c>
      <c r="N2018">
        <v>6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600</v>
      </c>
      <c r="AJ2018">
        <v>6</v>
      </c>
      <c r="AK2018">
        <v>0</v>
      </c>
      <c r="AL2018">
        <v>0</v>
      </c>
      <c r="AM2018">
        <v>500</v>
      </c>
      <c r="AN2018">
        <v>0</v>
      </c>
      <c r="AO2018">
        <v>120</v>
      </c>
      <c r="AP2018">
        <v>-12</v>
      </c>
      <c r="AQ2018">
        <v>0</v>
      </c>
      <c r="AS2018">
        <v>0</v>
      </c>
      <c r="AT2018">
        <v>0</v>
      </c>
      <c r="AU2018">
        <v>120</v>
      </c>
      <c r="AV2018">
        <v>-12</v>
      </c>
      <c r="AW2018">
        <v>0</v>
      </c>
      <c r="AY2018">
        <v>0</v>
      </c>
      <c r="AZ2018">
        <v>0</v>
      </c>
      <c r="BA2018">
        <v>364.8</v>
      </c>
      <c r="BF2018" t="str">
        <f>T("D268792")</f>
        <v>D268792</v>
      </c>
      <c r="BG2018" t="str">
        <f>T("로판 웹소설 &gt; 서양풍 로판")</f>
        <v>로판 웹소설 &gt; 서양풍 로판</v>
      </c>
    </row>
    <row r="2019" spans="1:59">
      <c r="A2019" t="s">
        <v>60</v>
      </c>
      <c r="B2019" s="1">
        <v>46130</v>
      </c>
      <c r="C2019">
        <v>2378081114</v>
      </c>
      <c r="D2019">
        <v>2378081177</v>
      </c>
      <c r="E2019" t="str">
        <f>T("던전이 자꾸 이상한 짓을 시켜요 64화")</f>
        <v>던전이 자꾸 이상한 짓을 시켜요 64화</v>
      </c>
      <c r="F2019">
        <v>64</v>
      </c>
      <c r="G2019" t="str">
        <f>T("필밤")</f>
        <v>필밤</v>
      </c>
      <c r="J2019" t="str">
        <f>T("시계토끼")</f>
        <v>시계토끼</v>
      </c>
      <c r="K2019" t="str">
        <f>T("던전이 자꾸 이상한 짓을 시켜요")</f>
        <v>던전이 자꾸 이상한 짓을 시켜요</v>
      </c>
      <c r="L2019">
        <v>100</v>
      </c>
      <c r="M2019">
        <v>700</v>
      </c>
      <c r="N2019">
        <v>7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700</v>
      </c>
      <c r="AJ2019">
        <v>7</v>
      </c>
      <c r="AK2019">
        <v>0</v>
      </c>
      <c r="AL2019">
        <v>0</v>
      </c>
      <c r="AM2019">
        <v>600</v>
      </c>
      <c r="AN2019">
        <v>0</v>
      </c>
      <c r="AO2019">
        <v>120</v>
      </c>
      <c r="AP2019">
        <v>-12</v>
      </c>
      <c r="AQ2019">
        <v>0</v>
      </c>
      <c r="AS2019">
        <v>0</v>
      </c>
      <c r="AT2019">
        <v>0</v>
      </c>
      <c r="AU2019">
        <v>120</v>
      </c>
      <c r="AV2019">
        <v>-12</v>
      </c>
      <c r="AW2019">
        <v>0</v>
      </c>
      <c r="AY2019">
        <v>0</v>
      </c>
      <c r="AZ2019">
        <v>0</v>
      </c>
      <c r="BA2019">
        <v>424.8</v>
      </c>
      <c r="BF2019" t="str">
        <f>T("D268794")</f>
        <v>D268794</v>
      </c>
      <c r="BG2019" t="str">
        <f>T("로판 웹소설 &gt; 서양풍 로판")</f>
        <v>로판 웹소설 &gt; 서양풍 로판</v>
      </c>
    </row>
    <row r="2020" spans="1:59">
      <c r="A2020" t="s">
        <v>60</v>
      </c>
      <c r="B2020" s="1">
        <v>46130</v>
      </c>
      <c r="C2020">
        <v>2378081114</v>
      </c>
      <c r="D2020">
        <v>2378081159</v>
      </c>
      <c r="E2020" t="str">
        <f>T("던전이 자꾸 이상한 짓을 시켜요 46화")</f>
        <v>던전이 자꾸 이상한 짓을 시켜요 46화</v>
      </c>
      <c r="F2020">
        <v>46</v>
      </c>
      <c r="G2020" t="str">
        <f>T("필밤")</f>
        <v>필밤</v>
      </c>
      <c r="J2020" t="str">
        <f>T("시계토끼")</f>
        <v>시계토끼</v>
      </c>
      <c r="K2020" t="str">
        <f>T("던전이 자꾸 이상한 짓을 시켜요")</f>
        <v>던전이 자꾸 이상한 짓을 시켜요</v>
      </c>
      <c r="L2020">
        <v>100</v>
      </c>
      <c r="M2020">
        <v>800</v>
      </c>
      <c r="N2020">
        <v>8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800</v>
      </c>
      <c r="AJ2020">
        <v>8</v>
      </c>
      <c r="AK2020">
        <v>0</v>
      </c>
      <c r="AL2020">
        <v>0</v>
      </c>
      <c r="AM2020">
        <v>700</v>
      </c>
      <c r="AN2020">
        <v>0</v>
      </c>
      <c r="AO2020">
        <v>120</v>
      </c>
      <c r="AP2020">
        <v>-36</v>
      </c>
      <c r="AQ2020">
        <v>0</v>
      </c>
      <c r="AR2020">
        <v>120</v>
      </c>
      <c r="AS2020">
        <v>-36</v>
      </c>
      <c r="AT2020">
        <v>0</v>
      </c>
      <c r="AV2020">
        <v>0</v>
      </c>
      <c r="AW2020">
        <v>0</v>
      </c>
      <c r="AY2020">
        <v>0</v>
      </c>
      <c r="AZ2020">
        <v>0</v>
      </c>
      <c r="BA2020">
        <v>470.4</v>
      </c>
      <c r="BF2020" t="str">
        <f>T("D268776")</f>
        <v>D268776</v>
      </c>
      <c r="BG2020" t="str">
        <f>T("로판 웹소설 &gt; 서양풍 로판")</f>
        <v>로판 웹소설 &gt; 서양풍 로판</v>
      </c>
    </row>
    <row r="2021" spans="1:59">
      <c r="A2021" t="s">
        <v>60</v>
      </c>
      <c r="B2021" s="1">
        <v>46130</v>
      </c>
      <c r="C2021">
        <v>2378081114</v>
      </c>
      <c r="D2021">
        <v>2378081179</v>
      </c>
      <c r="E2021" t="str">
        <f>T("던전이 자꾸 이상한 짓을 시켜요 66화")</f>
        <v>던전이 자꾸 이상한 짓을 시켜요 66화</v>
      </c>
      <c r="F2021">
        <v>66</v>
      </c>
      <c r="G2021" t="str">
        <f>T("필밤")</f>
        <v>필밤</v>
      </c>
      <c r="J2021" t="str">
        <f>T("시계토끼")</f>
        <v>시계토끼</v>
      </c>
      <c r="K2021" t="str">
        <f>T("던전이 자꾸 이상한 짓을 시켜요")</f>
        <v>던전이 자꾸 이상한 짓을 시켜요</v>
      </c>
      <c r="L2021">
        <v>100</v>
      </c>
      <c r="M2021">
        <v>700</v>
      </c>
      <c r="N2021">
        <v>7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700</v>
      </c>
      <c r="AJ2021">
        <v>7</v>
      </c>
      <c r="AK2021">
        <v>0</v>
      </c>
      <c r="AL2021">
        <v>0</v>
      </c>
      <c r="AM2021">
        <v>600</v>
      </c>
      <c r="AN2021">
        <v>0</v>
      </c>
      <c r="AO2021">
        <v>120</v>
      </c>
      <c r="AP2021">
        <v>-12</v>
      </c>
      <c r="AQ2021">
        <v>0</v>
      </c>
      <c r="AS2021">
        <v>0</v>
      </c>
      <c r="AT2021">
        <v>0</v>
      </c>
      <c r="AU2021">
        <v>120</v>
      </c>
      <c r="AV2021">
        <v>-12</v>
      </c>
      <c r="AW2021">
        <v>0</v>
      </c>
      <c r="AY2021">
        <v>0</v>
      </c>
      <c r="AZ2021">
        <v>0</v>
      </c>
      <c r="BA2021">
        <v>424.8</v>
      </c>
      <c r="BF2021" t="str">
        <f>T("D268796")</f>
        <v>D268796</v>
      </c>
      <c r="BG2021" t="str">
        <f>T("로판 웹소설 &gt; 서양풍 로판")</f>
        <v>로판 웹소설 &gt; 서양풍 로판</v>
      </c>
    </row>
    <row r="2022" spans="1:59">
      <c r="A2022" t="s">
        <v>60</v>
      </c>
      <c r="B2022" s="1">
        <v>46130</v>
      </c>
      <c r="C2022">
        <v>2378081114</v>
      </c>
      <c r="D2022">
        <v>2378081180</v>
      </c>
      <c r="E2022" t="str">
        <f>T("던전이 자꾸 이상한 짓을 시켜요 67화")</f>
        <v>던전이 자꾸 이상한 짓을 시켜요 67화</v>
      </c>
      <c r="F2022">
        <v>67</v>
      </c>
      <c r="G2022" t="str">
        <f>T("필밤")</f>
        <v>필밤</v>
      </c>
      <c r="J2022" t="str">
        <f>T("시계토끼")</f>
        <v>시계토끼</v>
      </c>
      <c r="K2022" t="str">
        <f>T("던전이 자꾸 이상한 짓을 시켜요")</f>
        <v>던전이 자꾸 이상한 짓을 시켜요</v>
      </c>
      <c r="L2022">
        <v>100</v>
      </c>
      <c r="M2022">
        <v>800</v>
      </c>
      <c r="N2022">
        <v>8</v>
      </c>
      <c r="O2022">
        <v>0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800</v>
      </c>
      <c r="AJ2022">
        <v>8</v>
      </c>
      <c r="AK2022">
        <v>0</v>
      </c>
      <c r="AL2022">
        <v>0</v>
      </c>
      <c r="AM2022">
        <v>700</v>
      </c>
      <c r="AN2022">
        <v>0</v>
      </c>
      <c r="AO2022">
        <v>120</v>
      </c>
      <c r="AP2022">
        <v>-12</v>
      </c>
      <c r="AQ2022">
        <v>0</v>
      </c>
      <c r="AS2022">
        <v>0</v>
      </c>
      <c r="AT2022">
        <v>0</v>
      </c>
      <c r="AU2022">
        <v>120</v>
      </c>
      <c r="AV2022">
        <v>-12</v>
      </c>
      <c r="AW2022">
        <v>0</v>
      </c>
      <c r="AY2022">
        <v>0</v>
      </c>
      <c r="AZ2022">
        <v>0</v>
      </c>
      <c r="BA2022">
        <v>484.8</v>
      </c>
      <c r="BF2022" t="str">
        <f>T("D268797")</f>
        <v>D268797</v>
      </c>
      <c r="BG2022" t="str">
        <f>T("로판 웹소설 &gt; 서양풍 로판")</f>
        <v>로판 웹소설 &gt; 서양풍 로판</v>
      </c>
    </row>
    <row r="2023" spans="1:59">
      <c r="A2023" t="s">
        <v>60</v>
      </c>
      <c r="B2023" s="1">
        <v>46130</v>
      </c>
      <c r="C2023">
        <v>2378081114</v>
      </c>
      <c r="D2023">
        <v>2378081129</v>
      </c>
      <c r="E2023" t="str">
        <f>T("던전이 자꾸 이상한 짓을 시켜요 16화")</f>
        <v>던전이 자꾸 이상한 짓을 시켜요 16화</v>
      </c>
      <c r="F2023">
        <v>16</v>
      </c>
      <c r="G2023" t="str">
        <f>T("필밤")</f>
        <v>필밤</v>
      </c>
      <c r="J2023" t="str">
        <f>T("시계토끼")</f>
        <v>시계토끼</v>
      </c>
      <c r="K2023" t="str">
        <f>T("던전이 자꾸 이상한 짓을 시켜요")</f>
        <v>던전이 자꾸 이상한 짓을 시켜요</v>
      </c>
      <c r="L2023">
        <v>100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59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59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S2023">
        <v>0</v>
      </c>
      <c r="AT2023">
        <v>0</v>
      </c>
      <c r="AV2023">
        <v>0</v>
      </c>
      <c r="AW2023">
        <v>0</v>
      </c>
      <c r="AY2023">
        <v>0</v>
      </c>
      <c r="AZ2023">
        <v>0</v>
      </c>
      <c r="BA2023">
        <v>0</v>
      </c>
      <c r="BF2023" t="str">
        <f>T("D268746")</f>
        <v>D268746</v>
      </c>
      <c r="BG2023" t="str">
        <f>T("로판 웹소설 &gt; 서양풍 로판")</f>
        <v>로판 웹소설 &gt; 서양풍 로판</v>
      </c>
    </row>
    <row r="2024" spans="1:59">
      <c r="A2024" t="s">
        <v>60</v>
      </c>
      <c r="B2024" s="1">
        <v>46130</v>
      </c>
      <c r="C2024">
        <v>2378081114</v>
      </c>
      <c r="D2024">
        <v>2378081182</v>
      </c>
      <c r="E2024" t="str">
        <f>T("던전이 자꾸 이상한 짓을 시켜요 69화")</f>
        <v>던전이 자꾸 이상한 짓을 시켜요 69화</v>
      </c>
      <c r="F2024">
        <v>69</v>
      </c>
      <c r="G2024" t="str">
        <f>T("필밤")</f>
        <v>필밤</v>
      </c>
      <c r="J2024" t="str">
        <f>T("시계토끼")</f>
        <v>시계토끼</v>
      </c>
      <c r="K2024" t="str">
        <f>T("던전이 자꾸 이상한 짓을 시켜요")</f>
        <v>던전이 자꾸 이상한 짓을 시켜요</v>
      </c>
      <c r="L2024">
        <v>100</v>
      </c>
      <c r="M2024">
        <v>700</v>
      </c>
      <c r="N2024">
        <v>7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700</v>
      </c>
      <c r="AJ2024">
        <v>7</v>
      </c>
      <c r="AK2024">
        <v>0</v>
      </c>
      <c r="AL2024">
        <v>0</v>
      </c>
      <c r="AM2024">
        <v>700</v>
      </c>
      <c r="AN2024">
        <v>0</v>
      </c>
      <c r="AO2024">
        <v>0</v>
      </c>
      <c r="AP2024">
        <v>0</v>
      </c>
      <c r="AQ2024">
        <v>0</v>
      </c>
      <c r="AS2024">
        <v>0</v>
      </c>
      <c r="AT2024">
        <v>0</v>
      </c>
      <c r="AV2024">
        <v>0</v>
      </c>
      <c r="AW2024">
        <v>0</v>
      </c>
      <c r="AY2024">
        <v>0</v>
      </c>
      <c r="AZ2024">
        <v>0</v>
      </c>
      <c r="BA2024">
        <v>420</v>
      </c>
      <c r="BF2024" t="str">
        <f>T("D268799")</f>
        <v>D268799</v>
      </c>
      <c r="BG2024" t="str">
        <f>T("로판 웹소설 &gt; 서양풍 로판")</f>
        <v>로판 웹소설 &gt; 서양풍 로판</v>
      </c>
    </row>
    <row r="2025" spans="1:59">
      <c r="A2025" t="s">
        <v>60</v>
      </c>
      <c r="B2025" s="1">
        <v>46130</v>
      </c>
      <c r="C2025">
        <v>2378081114</v>
      </c>
      <c r="D2025">
        <v>2378081183</v>
      </c>
      <c r="E2025" t="str">
        <f>T("던전이 자꾸 이상한 짓을 시켜요 70화")</f>
        <v>던전이 자꾸 이상한 짓을 시켜요 70화</v>
      </c>
      <c r="F2025">
        <v>70</v>
      </c>
      <c r="G2025" t="str">
        <f>T("필밤")</f>
        <v>필밤</v>
      </c>
      <c r="J2025" t="str">
        <f>T("시계토끼")</f>
        <v>시계토끼</v>
      </c>
      <c r="K2025" t="str">
        <f>T("던전이 자꾸 이상한 짓을 시켜요")</f>
        <v>던전이 자꾸 이상한 짓을 시켜요</v>
      </c>
      <c r="L2025">
        <v>100</v>
      </c>
      <c r="M2025">
        <v>700</v>
      </c>
      <c r="N2025">
        <v>7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700</v>
      </c>
      <c r="AJ2025">
        <v>7</v>
      </c>
      <c r="AK2025">
        <v>0</v>
      </c>
      <c r="AL2025">
        <v>0</v>
      </c>
      <c r="AM2025">
        <v>700</v>
      </c>
      <c r="AN2025">
        <v>0</v>
      </c>
      <c r="AO2025">
        <v>0</v>
      </c>
      <c r="AP2025">
        <v>0</v>
      </c>
      <c r="AQ2025">
        <v>0</v>
      </c>
      <c r="AS2025">
        <v>0</v>
      </c>
      <c r="AT2025">
        <v>0</v>
      </c>
      <c r="AV2025">
        <v>0</v>
      </c>
      <c r="AW2025">
        <v>0</v>
      </c>
      <c r="AY2025">
        <v>0</v>
      </c>
      <c r="AZ2025">
        <v>0</v>
      </c>
      <c r="BA2025">
        <v>420</v>
      </c>
      <c r="BF2025" t="str">
        <f>T("D268800")</f>
        <v>D268800</v>
      </c>
      <c r="BG2025" t="str">
        <f>T("로판 웹소설 &gt; 서양풍 로판")</f>
        <v>로판 웹소설 &gt; 서양풍 로판</v>
      </c>
    </row>
    <row r="2026" spans="1:59">
      <c r="A2026" t="s">
        <v>60</v>
      </c>
      <c r="B2026" s="1">
        <v>46130</v>
      </c>
      <c r="C2026">
        <v>2378081114</v>
      </c>
      <c r="D2026">
        <v>2378081224</v>
      </c>
      <c r="E2026" t="str">
        <f>T("던전이 자꾸 이상한 짓을 시켜요 83화")</f>
        <v>던전이 자꾸 이상한 짓을 시켜요 83화</v>
      </c>
      <c r="F2026">
        <v>83</v>
      </c>
      <c r="G2026" t="str">
        <f>T("필밤")</f>
        <v>필밤</v>
      </c>
      <c r="J2026" t="str">
        <f>T("시계토끼")</f>
        <v>시계토끼</v>
      </c>
      <c r="K2026" t="str">
        <f>T("던전이 자꾸 이상한 짓을 시켜요")</f>
        <v>던전이 자꾸 이상한 짓을 시켜요</v>
      </c>
      <c r="L2026">
        <v>100</v>
      </c>
      <c r="M2026">
        <v>300</v>
      </c>
      <c r="N2026">
        <v>3</v>
      </c>
      <c r="O2026">
        <v>0</v>
      </c>
      <c r="P2026">
        <v>0</v>
      </c>
      <c r="Q2026">
        <v>0</v>
      </c>
      <c r="R2026">
        <v>1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300</v>
      </c>
      <c r="AJ2026">
        <v>4</v>
      </c>
      <c r="AK2026">
        <v>0</v>
      </c>
      <c r="AL2026">
        <v>0</v>
      </c>
      <c r="AM2026">
        <v>300</v>
      </c>
      <c r="AN2026">
        <v>0</v>
      </c>
      <c r="AO2026">
        <v>0</v>
      </c>
      <c r="AP2026">
        <v>0</v>
      </c>
      <c r="AQ2026">
        <v>0</v>
      </c>
      <c r="AS2026">
        <v>0</v>
      </c>
      <c r="AT2026">
        <v>0</v>
      </c>
      <c r="AV2026">
        <v>0</v>
      </c>
      <c r="AW2026">
        <v>0</v>
      </c>
      <c r="AY2026">
        <v>0</v>
      </c>
      <c r="AZ2026">
        <v>0</v>
      </c>
      <c r="BA2026">
        <v>180</v>
      </c>
      <c r="BF2026" t="str">
        <f>T("D268813")</f>
        <v>D268813</v>
      </c>
      <c r="BG2026" t="str">
        <f>T("로판 웹소설 &gt; 서양풍 로판")</f>
        <v>로판 웹소설 &gt; 서양풍 로판</v>
      </c>
    </row>
    <row r="2027" spans="1:59">
      <c r="A2027" t="s">
        <v>60</v>
      </c>
      <c r="B2027" s="1">
        <v>46130</v>
      </c>
      <c r="C2027">
        <v>2378081114</v>
      </c>
      <c r="D2027">
        <v>2378081185</v>
      </c>
      <c r="E2027" t="str">
        <f>T("던전이 자꾸 이상한 짓을 시켜요 72화")</f>
        <v>던전이 자꾸 이상한 짓을 시켜요 72화</v>
      </c>
      <c r="F2027">
        <v>72</v>
      </c>
      <c r="G2027" t="str">
        <f>T("필밤")</f>
        <v>필밤</v>
      </c>
      <c r="J2027" t="str">
        <f>T("시계토끼")</f>
        <v>시계토끼</v>
      </c>
      <c r="K2027" t="str">
        <f>T("던전이 자꾸 이상한 짓을 시켜요")</f>
        <v>던전이 자꾸 이상한 짓을 시켜요</v>
      </c>
      <c r="L2027">
        <v>100</v>
      </c>
      <c r="M2027">
        <v>600</v>
      </c>
      <c r="N2027">
        <v>6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600</v>
      </c>
      <c r="AJ2027">
        <v>6</v>
      </c>
      <c r="AK2027">
        <v>0</v>
      </c>
      <c r="AL2027">
        <v>0</v>
      </c>
      <c r="AM2027">
        <v>600</v>
      </c>
      <c r="AN2027">
        <v>0</v>
      </c>
      <c r="AO2027">
        <v>0</v>
      </c>
      <c r="AP2027">
        <v>0</v>
      </c>
      <c r="AQ2027">
        <v>0</v>
      </c>
      <c r="AS2027">
        <v>0</v>
      </c>
      <c r="AT2027">
        <v>0</v>
      </c>
      <c r="AV2027">
        <v>0</v>
      </c>
      <c r="AW2027">
        <v>0</v>
      </c>
      <c r="AY2027">
        <v>0</v>
      </c>
      <c r="AZ2027">
        <v>0</v>
      </c>
      <c r="BA2027">
        <v>360</v>
      </c>
      <c r="BF2027" t="str">
        <f>T("D268802")</f>
        <v>D268802</v>
      </c>
      <c r="BG2027" t="str">
        <f>T("로판 웹소설 &gt; 서양풍 로판")</f>
        <v>로판 웹소설 &gt; 서양풍 로판</v>
      </c>
    </row>
    <row r="2028" spans="1:59">
      <c r="A2028" t="s">
        <v>60</v>
      </c>
      <c r="B2028" s="1">
        <v>46130</v>
      </c>
      <c r="C2028">
        <v>2378081114</v>
      </c>
      <c r="D2028">
        <v>2378081117</v>
      </c>
      <c r="E2028" t="str">
        <f>T("던전이 자꾸 이상한 짓을 시켜요 4화")</f>
        <v>던전이 자꾸 이상한 짓을 시켜요 4화</v>
      </c>
      <c r="F2028">
        <v>4</v>
      </c>
      <c r="G2028" t="str">
        <f>T("필밤")</f>
        <v>필밤</v>
      </c>
      <c r="J2028" t="str">
        <f>T("시계토끼")</f>
        <v>시계토끼</v>
      </c>
      <c r="K2028" t="str">
        <f>T("던전이 자꾸 이상한 짓을 시켜요")</f>
        <v>던전이 자꾸 이상한 짓을 시켜요</v>
      </c>
      <c r="L2028">
        <v>0</v>
      </c>
      <c r="M2028">
        <v>0</v>
      </c>
      <c r="N2028">
        <v>0</v>
      </c>
      <c r="O2028">
        <v>21</v>
      </c>
      <c r="P2028">
        <v>0</v>
      </c>
      <c r="Q2028">
        <v>0</v>
      </c>
      <c r="R2028">
        <v>32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53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S2028">
        <v>0</v>
      </c>
      <c r="AT2028">
        <v>0</v>
      </c>
      <c r="AV2028">
        <v>0</v>
      </c>
      <c r="AW2028">
        <v>0</v>
      </c>
      <c r="AY2028">
        <v>0</v>
      </c>
      <c r="AZ2028">
        <v>0</v>
      </c>
      <c r="BA2028">
        <v>0</v>
      </c>
      <c r="BF2028" t="str">
        <f>T("D268734")</f>
        <v>D268734</v>
      </c>
      <c r="BG2028" t="str">
        <f>T("로판 웹소설 &gt; 서양풍 로판")</f>
        <v>로판 웹소설 &gt; 서양풍 로판</v>
      </c>
    </row>
    <row r="2029" spans="1:59">
      <c r="A2029" t="s">
        <v>60</v>
      </c>
      <c r="B2029" s="1">
        <v>46130</v>
      </c>
      <c r="C2029">
        <v>2378081114</v>
      </c>
      <c r="D2029">
        <v>2378081130</v>
      </c>
      <c r="E2029" t="str">
        <f>T("던전이 자꾸 이상한 짓을 시켜요 17화")</f>
        <v>던전이 자꾸 이상한 짓을 시켜요 17화</v>
      </c>
      <c r="F2029">
        <v>17</v>
      </c>
      <c r="G2029" t="str">
        <f>T("필밤")</f>
        <v>필밤</v>
      </c>
      <c r="J2029" t="str">
        <f>T("시계토끼")</f>
        <v>시계토끼</v>
      </c>
      <c r="K2029" t="str">
        <f>T("던전이 자꾸 이상한 짓을 시켜요")</f>
        <v>던전이 자꾸 이상한 짓을 시켜요</v>
      </c>
      <c r="L2029">
        <v>100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58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58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S2029">
        <v>0</v>
      </c>
      <c r="AT2029">
        <v>0</v>
      </c>
      <c r="AV2029">
        <v>0</v>
      </c>
      <c r="AW2029">
        <v>0</v>
      </c>
      <c r="AY2029">
        <v>0</v>
      </c>
      <c r="AZ2029">
        <v>0</v>
      </c>
      <c r="BA2029">
        <v>0</v>
      </c>
      <c r="BF2029" t="str">
        <f>T("D268747")</f>
        <v>D268747</v>
      </c>
      <c r="BG2029" t="str">
        <f>T("로판 웹소설 &gt; 서양풍 로판")</f>
        <v>로판 웹소설 &gt; 서양풍 로판</v>
      </c>
    </row>
    <row r="2030" spans="1:59">
      <c r="A2030" t="s">
        <v>60</v>
      </c>
      <c r="B2030" s="1">
        <v>46130</v>
      </c>
      <c r="C2030">
        <v>2378081114</v>
      </c>
      <c r="D2030">
        <v>2378081186</v>
      </c>
      <c r="E2030" t="str">
        <f>T("던전이 자꾸 이상한 짓을 시켜요 73화")</f>
        <v>던전이 자꾸 이상한 짓을 시켜요 73화</v>
      </c>
      <c r="F2030">
        <v>73</v>
      </c>
      <c r="G2030" t="str">
        <f>T("필밤")</f>
        <v>필밤</v>
      </c>
      <c r="J2030" t="str">
        <f>T("시계토끼")</f>
        <v>시계토끼</v>
      </c>
      <c r="K2030" t="str">
        <f>T("던전이 자꾸 이상한 짓을 시켜요")</f>
        <v>던전이 자꾸 이상한 짓을 시켜요</v>
      </c>
      <c r="L2030">
        <v>100</v>
      </c>
      <c r="M2030">
        <v>700</v>
      </c>
      <c r="N2030">
        <v>7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700</v>
      </c>
      <c r="AJ2030">
        <v>7</v>
      </c>
      <c r="AK2030">
        <v>0</v>
      </c>
      <c r="AL2030">
        <v>0</v>
      </c>
      <c r="AM2030">
        <v>700</v>
      </c>
      <c r="AN2030">
        <v>0</v>
      </c>
      <c r="AO2030">
        <v>0</v>
      </c>
      <c r="AP2030">
        <v>0</v>
      </c>
      <c r="AQ2030">
        <v>0</v>
      </c>
      <c r="AS2030">
        <v>0</v>
      </c>
      <c r="AT2030">
        <v>0</v>
      </c>
      <c r="AV2030">
        <v>0</v>
      </c>
      <c r="AW2030">
        <v>0</v>
      </c>
      <c r="AY2030">
        <v>0</v>
      </c>
      <c r="AZ2030">
        <v>0</v>
      </c>
      <c r="BA2030">
        <v>420</v>
      </c>
      <c r="BF2030" t="str">
        <f>T("D268803")</f>
        <v>D268803</v>
      </c>
      <c r="BG2030" t="str">
        <f>T("로판 웹소설 &gt; 서양풍 로판")</f>
        <v>로판 웹소설 &gt; 서양풍 로판</v>
      </c>
    </row>
    <row r="2031" spans="1:59">
      <c r="A2031" t="s">
        <v>60</v>
      </c>
      <c r="B2031" s="1">
        <v>46130</v>
      </c>
      <c r="C2031">
        <v>2378081114</v>
      </c>
      <c r="D2031">
        <v>2378081187</v>
      </c>
      <c r="E2031" t="str">
        <f>T("던전이 자꾸 이상한 짓을 시켜요 74화")</f>
        <v>던전이 자꾸 이상한 짓을 시켜요 74화</v>
      </c>
      <c r="F2031">
        <v>74</v>
      </c>
      <c r="G2031" t="str">
        <f>T("필밤")</f>
        <v>필밤</v>
      </c>
      <c r="J2031" t="str">
        <f>T("시계토끼")</f>
        <v>시계토끼</v>
      </c>
      <c r="K2031" t="str">
        <f>T("던전이 자꾸 이상한 짓을 시켜요")</f>
        <v>던전이 자꾸 이상한 짓을 시켜요</v>
      </c>
      <c r="L2031">
        <v>100</v>
      </c>
      <c r="M2031">
        <v>600</v>
      </c>
      <c r="N2031">
        <v>6</v>
      </c>
      <c r="O2031">
        <v>0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600</v>
      </c>
      <c r="AJ2031">
        <v>6</v>
      </c>
      <c r="AK2031">
        <v>0</v>
      </c>
      <c r="AL2031">
        <v>0</v>
      </c>
      <c r="AM2031">
        <v>600</v>
      </c>
      <c r="AN2031">
        <v>0</v>
      </c>
      <c r="AO2031">
        <v>0</v>
      </c>
      <c r="AP2031">
        <v>0</v>
      </c>
      <c r="AQ2031">
        <v>0</v>
      </c>
      <c r="AS2031">
        <v>0</v>
      </c>
      <c r="AT2031">
        <v>0</v>
      </c>
      <c r="AV2031">
        <v>0</v>
      </c>
      <c r="AW2031">
        <v>0</v>
      </c>
      <c r="AY2031">
        <v>0</v>
      </c>
      <c r="AZ2031">
        <v>0</v>
      </c>
      <c r="BA2031">
        <v>360</v>
      </c>
      <c r="BF2031" t="str">
        <f>T("D268804")</f>
        <v>D268804</v>
      </c>
      <c r="BG2031" t="str">
        <f>T("로판 웹소설 &gt; 서양풍 로판")</f>
        <v>로판 웹소설 &gt; 서양풍 로판</v>
      </c>
    </row>
    <row r="2032" spans="1:59">
      <c r="A2032" t="s">
        <v>60</v>
      </c>
      <c r="B2032" s="1">
        <v>46130</v>
      </c>
      <c r="C2032">
        <v>2378081114</v>
      </c>
      <c r="D2032">
        <v>2378081189</v>
      </c>
      <c r="E2032" t="str">
        <f>T("던전이 자꾸 이상한 짓을 시켜요 76화")</f>
        <v>던전이 자꾸 이상한 짓을 시켜요 76화</v>
      </c>
      <c r="F2032">
        <v>76</v>
      </c>
      <c r="G2032" t="str">
        <f>T("필밤")</f>
        <v>필밤</v>
      </c>
      <c r="J2032" t="str">
        <f>T("시계토끼")</f>
        <v>시계토끼</v>
      </c>
      <c r="K2032" t="str">
        <f>T("던전이 자꾸 이상한 짓을 시켜요")</f>
        <v>던전이 자꾸 이상한 짓을 시켜요</v>
      </c>
      <c r="L2032">
        <v>100</v>
      </c>
      <c r="M2032">
        <v>500</v>
      </c>
      <c r="N2032">
        <v>5</v>
      </c>
      <c r="O2032">
        <v>0</v>
      </c>
      <c r="P2032">
        <v>0</v>
      </c>
      <c r="Q2032">
        <v>0</v>
      </c>
      <c r="R2032">
        <v>1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500</v>
      </c>
      <c r="AJ2032">
        <v>6</v>
      </c>
      <c r="AK2032">
        <v>0</v>
      </c>
      <c r="AL2032">
        <v>0</v>
      </c>
      <c r="AM2032">
        <v>500</v>
      </c>
      <c r="AN2032">
        <v>0</v>
      </c>
      <c r="AO2032">
        <v>0</v>
      </c>
      <c r="AP2032">
        <v>0</v>
      </c>
      <c r="AQ2032">
        <v>0</v>
      </c>
      <c r="AS2032">
        <v>0</v>
      </c>
      <c r="AT2032">
        <v>0</v>
      </c>
      <c r="AV2032">
        <v>0</v>
      </c>
      <c r="AW2032">
        <v>0</v>
      </c>
      <c r="AY2032">
        <v>0</v>
      </c>
      <c r="AZ2032">
        <v>0</v>
      </c>
      <c r="BA2032">
        <v>300</v>
      </c>
      <c r="BF2032" t="str">
        <f>T("D268806")</f>
        <v>D268806</v>
      </c>
      <c r="BG2032" t="str">
        <f>T("로판 웹소설 &gt; 서양풍 로판")</f>
        <v>로판 웹소설 &gt; 서양풍 로판</v>
      </c>
    </row>
    <row r="2033" spans="1:59">
      <c r="A2033" t="s">
        <v>60</v>
      </c>
      <c r="B2033" s="1">
        <v>46130</v>
      </c>
      <c r="C2033">
        <v>2378081114</v>
      </c>
      <c r="D2033">
        <v>2378081190</v>
      </c>
      <c r="E2033" t="str">
        <f>T("던전이 자꾸 이상한 짓을 시켜요 77화")</f>
        <v>던전이 자꾸 이상한 짓을 시켜요 77화</v>
      </c>
      <c r="F2033">
        <v>77</v>
      </c>
      <c r="G2033" t="str">
        <f>T("필밤")</f>
        <v>필밤</v>
      </c>
      <c r="J2033" t="str">
        <f>T("시계토끼")</f>
        <v>시계토끼</v>
      </c>
      <c r="K2033" t="str">
        <f>T("던전이 자꾸 이상한 짓을 시켜요")</f>
        <v>던전이 자꾸 이상한 짓을 시켜요</v>
      </c>
      <c r="L2033">
        <v>100</v>
      </c>
      <c r="M2033">
        <v>400</v>
      </c>
      <c r="N2033">
        <v>4</v>
      </c>
      <c r="O2033">
        <v>0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400</v>
      </c>
      <c r="AJ2033">
        <v>4</v>
      </c>
      <c r="AK2033">
        <v>0</v>
      </c>
      <c r="AL2033">
        <v>0</v>
      </c>
      <c r="AM2033">
        <v>400</v>
      </c>
      <c r="AN2033">
        <v>0</v>
      </c>
      <c r="AO2033">
        <v>0</v>
      </c>
      <c r="AP2033">
        <v>0</v>
      </c>
      <c r="AQ2033">
        <v>0</v>
      </c>
      <c r="AS2033">
        <v>0</v>
      </c>
      <c r="AT2033">
        <v>0</v>
      </c>
      <c r="AV2033">
        <v>0</v>
      </c>
      <c r="AW2033">
        <v>0</v>
      </c>
      <c r="AY2033">
        <v>0</v>
      </c>
      <c r="AZ2033">
        <v>0</v>
      </c>
      <c r="BA2033">
        <v>240</v>
      </c>
      <c r="BF2033" t="str">
        <f>T("D268807")</f>
        <v>D268807</v>
      </c>
      <c r="BG2033" t="str">
        <f>T("로판 웹소설 &gt; 서양풍 로판")</f>
        <v>로판 웹소설 &gt; 서양풍 로판</v>
      </c>
    </row>
    <row r="2034" spans="1:59">
      <c r="A2034" t="s">
        <v>60</v>
      </c>
      <c r="B2034" s="1">
        <v>46130</v>
      </c>
      <c r="C2034">
        <v>2378081114</v>
      </c>
      <c r="D2034">
        <v>2378081138</v>
      </c>
      <c r="E2034" t="str">
        <f>T("던전이 자꾸 이상한 짓을 시켜요 25화")</f>
        <v>던전이 자꾸 이상한 짓을 시켜요 25화</v>
      </c>
      <c r="F2034">
        <v>25</v>
      </c>
      <c r="G2034" t="str">
        <f>T("필밤")</f>
        <v>필밤</v>
      </c>
      <c r="J2034" t="str">
        <f>T("시계토끼")</f>
        <v>시계토끼</v>
      </c>
      <c r="K2034" t="str">
        <f>T("던전이 자꾸 이상한 짓을 시켜요")</f>
        <v>던전이 자꾸 이상한 짓을 시켜요</v>
      </c>
      <c r="L2034">
        <v>100</v>
      </c>
      <c r="M2034">
        <v>1300</v>
      </c>
      <c r="N2034">
        <v>13</v>
      </c>
      <c r="O2034">
        <v>0</v>
      </c>
      <c r="P2034">
        <v>0</v>
      </c>
      <c r="Q2034">
        <v>0</v>
      </c>
      <c r="R2034">
        <v>3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1300</v>
      </c>
      <c r="AJ2034">
        <v>16</v>
      </c>
      <c r="AK2034">
        <v>0</v>
      </c>
      <c r="AL2034">
        <v>0</v>
      </c>
      <c r="AM2034">
        <v>1100</v>
      </c>
      <c r="AN2034">
        <v>0</v>
      </c>
      <c r="AO2034">
        <v>240</v>
      </c>
      <c r="AP2034">
        <v>-72</v>
      </c>
      <c r="AQ2034">
        <v>0</v>
      </c>
      <c r="AR2034">
        <v>240</v>
      </c>
      <c r="AS2034">
        <v>-72</v>
      </c>
      <c r="AT2034">
        <v>0</v>
      </c>
      <c r="AV2034">
        <v>0</v>
      </c>
      <c r="AW2034">
        <v>0</v>
      </c>
      <c r="AY2034">
        <v>0</v>
      </c>
      <c r="AZ2034">
        <v>0</v>
      </c>
      <c r="BA2034">
        <v>760.8</v>
      </c>
      <c r="BF2034" t="str">
        <f>T("D268755")</f>
        <v>D268755</v>
      </c>
      <c r="BG2034" t="str">
        <f>T("로판 웹소설 &gt; 서양풍 로판")</f>
        <v>로판 웹소설 &gt; 서양풍 로판</v>
      </c>
    </row>
    <row r="2035" spans="1:59">
      <c r="A2035" t="s">
        <v>60</v>
      </c>
      <c r="B2035" s="1">
        <v>46130</v>
      </c>
      <c r="C2035">
        <v>2378081114</v>
      </c>
      <c r="D2035">
        <v>2378081143</v>
      </c>
      <c r="E2035" t="str">
        <f>T("던전이 자꾸 이상한 짓을 시켜요 30화")</f>
        <v>던전이 자꾸 이상한 짓을 시켜요 30화</v>
      </c>
      <c r="F2035">
        <v>30</v>
      </c>
      <c r="G2035" t="str">
        <f>T("필밤")</f>
        <v>필밤</v>
      </c>
      <c r="J2035" t="str">
        <f>T("시계토끼")</f>
        <v>시계토끼</v>
      </c>
      <c r="K2035" t="str">
        <f>T("던전이 자꾸 이상한 짓을 시켜요")</f>
        <v>던전이 자꾸 이상한 짓을 시켜요</v>
      </c>
      <c r="L2035">
        <v>100</v>
      </c>
      <c r="M2035">
        <v>1200</v>
      </c>
      <c r="N2035">
        <v>12</v>
      </c>
      <c r="O2035">
        <v>0</v>
      </c>
      <c r="P2035">
        <v>0</v>
      </c>
      <c r="Q2035">
        <v>0</v>
      </c>
      <c r="R2035">
        <v>3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1200</v>
      </c>
      <c r="AJ2035">
        <v>15</v>
      </c>
      <c r="AK2035">
        <v>0</v>
      </c>
      <c r="AL2035">
        <v>0</v>
      </c>
      <c r="AM2035">
        <v>900</v>
      </c>
      <c r="AN2035">
        <v>0</v>
      </c>
      <c r="AO2035">
        <v>360</v>
      </c>
      <c r="AP2035">
        <v>-84</v>
      </c>
      <c r="AQ2035">
        <v>0</v>
      </c>
      <c r="AR2035">
        <v>240</v>
      </c>
      <c r="AS2035">
        <v>-72</v>
      </c>
      <c r="AT2035">
        <v>0</v>
      </c>
      <c r="AV2035">
        <v>0</v>
      </c>
      <c r="AW2035">
        <v>0</v>
      </c>
      <c r="AX2035">
        <v>120</v>
      </c>
      <c r="AY2035">
        <v>-12</v>
      </c>
      <c r="AZ2035">
        <v>0</v>
      </c>
      <c r="BA2035">
        <v>705.6</v>
      </c>
      <c r="BF2035" t="str">
        <f>T("D268760")</f>
        <v>D268760</v>
      </c>
      <c r="BG2035" t="str">
        <f>T("로판 웹소설 &gt; 서양풍 로판")</f>
        <v>로판 웹소설 &gt; 서양풍 로판</v>
      </c>
    </row>
    <row r="2036" spans="1:59">
      <c r="A2036" t="s">
        <v>60</v>
      </c>
      <c r="B2036" s="1">
        <v>46130</v>
      </c>
      <c r="C2036">
        <v>2378081114</v>
      </c>
      <c r="D2036">
        <v>2378081191</v>
      </c>
      <c r="E2036" t="str">
        <f>T("던전이 자꾸 이상한 짓을 시켜요 78화")</f>
        <v>던전이 자꾸 이상한 짓을 시켜요 78화</v>
      </c>
      <c r="F2036">
        <v>78</v>
      </c>
      <c r="G2036" t="str">
        <f>T("필밤")</f>
        <v>필밤</v>
      </c>
      <c r="J2036" t="str">
        <f>T("시계토끼")</f>
        <v>시계토끼</v>
      </c>
      <c r="K2036" t="str">
        <f>T("던전이 자꾸 이상한 짓을 시켜요")</f>
        <v>던전이 자꾸 이상한 짓을 시켜요</v>
      </c>
      <c r="L2036">
        <v>100</v>
      </c>
      <c r="M2036">
        <v>600</v>
      </c>
      <c r="N2036">
        <v>6</v>
      </c>
      <c r="O2036">
        <v>0</v>
      </c>
      <c r="P2036">
        <v>0</v>
      </c>
      <c r="Q2036">
        <v>0</v>
      </c>
      <c r="R2036">
        <v>1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600</v>
      </c>
      <c r="AJ2036">
        <v>7</v>
      </c>
      <c r="AK2036">
        <v>0</v>
      </c>
      <c r="AL2036">
        <v>0</v>
      </c>
      <c r="AM2036">
        <v>600</v>
      </c>
      <c r="AN2036">
        <v>0</v>
      </c>
      <c r="AO2036">
        <v>0</v>
      </c>
      <c r="AP2036">
        <v>0</v>
      </c>
      <c r="AQ2036">
        <v>0</v>
      </c>
      <c r="AS2036">
        <v>0</v>
      </c>
      <c r="AT2036">
        <v>0</v>
      </c>
      <c r="AV2036">
        <v>0</v>
      </c>
      <c r="AW2036">
        <v>0</v>
      </c>
      <c r="AY2036">
        <v>0</v>
      </c>
      <c r="AZ2036">
        <v>0</v>
      </c>
      <c r="BA2036">
        <v>360</v>
      </c>
      <c r="BF2036" t="str">
        <f>T("D268808")</f>
        <v>D268808</v>
      </c>
      <c r="BG2036" t="str">
        <f>T("로판 웹소설 &gt; 서양풍 로판")</f>
        <v>로판 웹소설 &gt; 서양풍 로판</v>
      </c>
    </row>
    <row r="2037" spans="1:59">
      <c r="A2037" t="s">
        <v>60</v>
      </c>
      <c r="B2037" s="1">
        <v>46130</v>
      </c>
      <c r="C2037">
        <v>2378081114</v>
      </c>
      <c r="D2037">
        <v>2378081148</v>
      </c>
      <c r="E2037" t="str">
        <f>T("던전이 자꾸 이상한 짓을 시켜요 35화")</f>
        <v>던전이 자꾸 이상한 짓을 시켜요 35화</v>
      </c>
      <c r="F2037">
        <v>35</v>
      </c>
      <c r="G2037" t="str">
        <f>T("필밤")</f>
        <v>필밤</v>
      </c>
      <c r="J2037" t="str">
        <f>T("시계토끼")</f>
        <v>시계토끼</v>
      </c>
      <c r="K2037" t="str">
        <f>T("던전이 자꾸 이상한 짓을 시켜요")</f>
        <v>던전이 자꾸 이상한 짓을 시켜요</v>
      </c>
      <c r="L2037">
        <v>100</v>
      </c>
      <c r="M2037">
        <v>800</v>
      </c>
      <c r="N2037">
        <v>8</v>
      </c>
      <c r="O2037">
        <v>0</v>
      </c>
      <c r="P2037">
        <v>0</v>
      </c>
      <c r="Q2037">
        <v>0</v>
      </c>
      <c r="R2037">
        <v>2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800</v>
      </c>
      <c r="AJ2037">
        <v>10</v>
      </c>
      <c r="AK2037">
        <v>0</v>
      </c>
      <c r="AL2037">
        <v>0</v>
      </c>
      <c r="AM2037">
        <v>700</v>
      </c>
      <c r="AN2037">
        <v>0</v>
      </c>
      <c r="AO2037">
        <v>120</v>
      </c>
      <c r="AP2037">
        <v>-36</v>
      </c>
      <c r="AQ2037">
        <v>0</v>
      </c>
      <c r="AR2037">
        <v>120</v>
      </c>
      <c r="AS2037">
        <v>-36</v>
      </c>
      <c r="AT2037">
        <v>0</v>
      </c>
      <c r="AV2037">
        <v>0</v>
      </c>
      <c r="AW2037">
        <v>0</v>
      </c>
      <c r="AY2037">
        <v>0</v>
      </c>
      <c r="AZ2037">
        <v>0</v>
      </c>
      <c r="BA2037">
        <v>470.4</v>
      </c>
      <c r="BF2037" t="str">
        <f>T("D268765")</f>
        <v>D268765</v>
      </c>
      <c r="BG2037" t="str">
        <f>T("로판 웹소설 &gt; 서양풍 로판")</f>
        <v>로판 웹소설 &gt; 서양풍 로판</v>
      </c>
    </row>
    <row r="2038" spans="1:59">
      <c r="A2038" t="s">
        <v>60</v>
      </c>
      <c r="B2038" s="1">
        <v>46130</v>
      </c>
      <c r="C2038">
        <v>2378081114</v>
      </c>
      <c r="D2038">
        <v>2378081121</v>
      </c>
      <c r="E2038" t="str">
        <f>T("던전이 자꾸 이상한 짓을 시켜요 8화")</f>
        <v>던전이 자꾸 이상한 짓을 시켜요 8화</v>
      </c>
      <c r="F2038">
        <v>8</v>
      </c>
      <c r="G2038" t="str">
        <f>T("필밤")</f>
        <v>필밤</v>
      </c>
      <c r="J2038" t="str">
        <f>T("시계토끼")</f>
        <v>시계토끼</v>
      </c>
      <c r="K2038" t="str">
        <f>T("던전이 자꾸 이상한 짓을 시켜요")</f>
        <v>던전이 자꾸 이상한 짓을 시켜요</v>
      </c>
      <c r="L2038">
        <v>100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57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57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S2038">
        <v>0</v>
      </c>
      <c r="AT2038">
        <v>0</v>
      </c>
      <c r="AV2038">
        <v>0</v>
      </c>
      <c r="AW2038">
        <v>0</v>
      </c>
      <c r="AY2038">
        <v>0</v>
      </c>
      <c r="AZ2038">
        <v>0</v>
      </c>
      <c r="BA2038">
        <v>0</v>
      </c>
      <c r="BF2038" t="str">
        <f>T("D268738")</f>
        <v>D268738</v>
      </c>
      <c r="BG2038" t="str">
        <f>T("로판 웹소설 &gt; 서양풍 로판")</f>
        <v>로판 웹소설 &gt; 서양풍 로판</v>
      </c>
    </row>
    <row r="2039" spans="1:59">
      <c r="A2039" t="s">
        <v>60</v>
      </c>
      <c r="B2039" s="1">
        <v>46130</v>
      </c>
      <c r="C2039">
        <v>2378081114</v>
      </c>
      <c r="D2039">
        <v>2378081192</v>
      </c>
      <c r="E2039" t="str">
        <f>T("던전이 자꾸 이상한 짓을 시켜요 79화")</f>
        <v>던전이 자꾸 이상한 짓을 시켜요 79화</v>
      </c>
      <c r="F2039">
        <v>79</v>
      </c>
      <c r="G2039" t="str">
        <f>T("필밤")</f>
        <v>필밤</v>
      </c>
      <c r="J2039" t="str">
        <f>T("시계토끼")</f>
        <v>시계토끼</v>
      </c>
      <c r="K2039" t="str">
        <f>T("던전이 자꾸 이상한 짓을 시켜요")</f>
        <v>던전이 자꾸 이상한 짓을 시켜요</v>
      </c>
      <c r="L2039">
        <v>100</v>
      </c>
      <c r="M2039">
        <v>500</v>
      </c>
      <c r="N2039">
        <v>5</v>
      </c>
      <c r="O2039">
        <v>0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500</v>
      </c>
      <c r="AJ2039">
        <v>5</v>
      </c>
      <c r="AK2039">
        <v>0</v>
      </c>
      <c r="AL2039">
        <v>0</v>
      </c>
      <c r="AM2039">
        <v>500</v>
      </c>
      <c r="AN2039">
        <v>0</v>
      </c>
      <c r="AO2039">
        <v>0</v>
      </c>
      <c r="AP2039">
        <v>0</v>
      </c>
      <c r="AQ2039">
        <v>0</v>
      </c>
      <c r="AS2039">
        <v>0</v>
      </c>
      <c r="AT2039">
        <v>0</v>
      </c>
      <c r="AV2039">
        <v>0</v>
      </c>
      <c r="AW2039">
        <v>0</v>
      </c>
      <c r="AY2039">
        <v>0</v>
      </c>
      <c r="AZ2039">
        <v>0</v>
      </c>
      <c r="BA2039">
        <v>300</v>
      </c>
      <c r="BF2039" t="str">
        <f>T("D268809")</f>
        <v>D268809</v>
      </c>
      <c r="BG2039" t="str">
        <f>T("로판 웹소설 &gt; 서양풍 로판")</f>
        <v>로판 웹소설 &gt; 서양풍 로판</v>
      </c>
    </row>
    <row r="2040" spans="1:59">
      <c r="A2040" t="s">
        <v>60</v>
      </c>
      <c r="B2040" s="1">
        <v>46130</v>
      </c>
      <c r="C2040">
        <v>2378081114</v>
      </c>
      <c r="D2040">
        <v>2378081220</v>
      </c>
      <c r="E2040" t="str">
        <f>T("던전이 자꾸 이상한 짓을 시켜요 81화")</f>
        <v>던전이 자꾸 이상한 짓을 시켜요 81화</v>
      </c>
      <c r="F2040">
        <v>81</v>
      </c>
      <c r="G2040" t="str">
        <f>T("필밤")</f>
        <v>필밤</v>
      </c>
      <c r="J2040" t="str">
        <f>T("시계토끼")</f>
        <v>시계토끼</v>
      </c>
      <c r="K2040" t="str">
        <f>T("던전이 자꾸 이상한 짓을 시켜요")</f>
        <v>던전이 자꾸 이상한 짓을 시켜요</v>
      </c>
      <c r="L2040">
        <v>100</v>
      </c>
      <c r="M2040">
        <v>600</v>
      </c>
      <c r="N2040">
        <v>6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600</v>
      </c>
      <c r="AJ2040">
        <v>6</v>
      </c>
      <c r="AK2040">
        <v>0</v>
      </c>
      <c r="AL2040">
        <v>0</v>
      </c>
      <c r="AM2040">
        <v>500</v>
      </c>
      <c r="AN2040">
        <v>0</v>
      </c>
      <c r="AO2040">
        <v>120</v>
      </c>
      <c r="AP2040">
        <v>-12</v>
      </c>
      <c r="AQ2040">
        <v>0</v>
      </c>
      <c r="AS2040">
        <v>0</v>
      </c>
      <c r="AT2040">
        <v>0</v>
      </c>
      <c r="AV2040">
        <v>0</v>
      </c>
      <c r="AW2040">
        <v>0</v>
      </c>
      <c r="AX2040">
        <v>120</v>
      </c>
      <c r="AY2040">
        <v>-12</v>
      </c>
      <c r="AZ2040">
        <v>0</v>
      </c>
      <c r="BA2040">
        <v>364.8</v>
      </c>
      <c r="BF2040" t="str">
        <f>T("D268811")</f>
        <v>D268811</v>
      </c>
      <c r="BG2040" t="str">
        <f>T("로판 웹소설 &gt; 서양풍 로판")</f>
        <v>로판 웹소설 &gt; 서양풍 로판</v>
      </c>
    </row>
    <row r="2041" spans="1:59">
      <c r="A2041" t="s">
        <v>60</v>
      </c>
      <c r="B2041" s="1">
        <v>46130</v>
      </c>
      <c r="C2041">
        <v>2378081114</v>
      </c>
      <c r="D2041">
        <v>2378081221</v>
      </c>
      <c r="E2041" t="str">
        <f>T("던전이 자꾸 이상한 짓을 시켜요 82화")</f>
        <v>던전이 자꾸 이상한 짓을 시켜요 82화</v>
      </c>
      <c r="F2041">
        <v>82</v>
      </c>
      <c r="G2041" t="str">
        <f>T("필밤")</f>
        <v>필밤</v>
      </c>
      <c r="J2041" t="str">
        <f>T("시계토끼")</f>
        <v>시계토끼</v>
      </c>
      <c r="K2041" t="str">
        <f>T("던전이 자꾸 이상한 짓을 시켜요")</f>
        <v>던전이 자꾸 이상한 짓을 시켜요</v>
      </c>
      <c r="L2041">
        <v>100</v>
      </c>
      <c r="M2041">
        <v>600</v>
      </c>
      <c r="N2041">
        <v>6</v>
      </c>
      <c r="O2041">
        <v>0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600</v>
      </c>
      <c r="AJ2041">
        <v>6</v>
      </c>
      <c r="AK2041">
        <v>0</v>
      </c>
      <c r="AL2041">
        <v>0</v>
      </c>
      <c r="AM2041">
        <v>500</v>
      </c>
      <c r="AN2041">
        <v>0</v>
      </c>
      <c r="AO2041">
        <v>120</v>
      </c>
      <c r="AP2041">
        <v>-12</v>
      </c>
      <c r="AQ2041">
        <v>0</v>
      </c>
      <c r="AS2041">
        <v>0</v>
      </c>
      <c r="AT2041">
        <v>0</v>
      </c>
      <c r="AV2041">
        <v>0</v>
      </c>
      <c r="AW2041">
        <v>0</v>
      </c>
      <c r="AX2041">
        <v>120</v>
      </c>
      <c r="AY2041">
        <v>-12</v>
      </c>
      <c r="AZ2041">
        <v>0</v>
      </c>
      <c r="BA2041">
        <v>364.8</v>
      </c>
      <c r="BF2041" t="str">
        <f>T("D268812")</f>
        <v>D268812</v>
      </c>
      <c r="BG2041" t="str">
        <f>T("로판 웹소설 &gt; 서양풍 로판")</f>
        <v>로판 웹소설 &gt; 서양풍 로판</v>
      </c>
    </row>
    <row r="2042" spans="1:59">
      <c r="A2042" t="s">
        <v>60</v>
      </c>
      <c r="B2042" s="1">
        <v>46130</v>
      </c>
      <c r="C2042">
        <v>2378081114</v>
      </c>
      <c r="D2042">
        <v>2378081122</v>
      </c>
      <c r="E2042" t="str">
        <f>T("던전이 자꾸 이상한 짓을 시켜요 9화")</f>
        <v>던전이 자꾸 이상한 짓을 시켜요 9화</v>
      </c>
      <c r="F2042">
        <v>9</v>
      </c>
      <c r="G2042" t="str">
        <f>T("필밤")</f>
        <v>필밤</v>
      </c>
      <c r="J2042" t="str">
        <f>T("시계토끼")</f>
        <v>시계토끼</v>
      </c>
      <c r="K2042" t="str">
        <f>T("던전이 자꾸 이상한 짓을 시켜요")</f>
        <v>던전이 자꾸 이상한 짓을 시켜요</v>
      </c>
      <c r="L2042">
        <v>100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60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60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S2042">
        <v>0</v>
      </c>
      <c r="AT2042">
        <v>0</v>
      </c>
      <c r="AV2042">
        <v>0</v>
      </c>
      <c r="AW2042">
        <v>0</v>
      </c>
      <c r="AY2042">
        <v>0</v>
      </c>
      <c r="AZ2042">
        <v>0</v>
      </c>
      <c r="BA2042">
        <v>0</v>
      </c>
      <c r="BF2042" t="str">
        <f>T("D268739")</f>
        <v>D268739</v>
      </c>
      <c r="BG2042" t="str">
        <f>T("로판 웹소설 &gt; 서양풍 로판")</f>
        <v>로판 웹소설 &gt; 서양풍 로판</v>
      </c>
    </row>
    <row r="2043" spans="1:59">
      <c r="A2043" t="s">
        <v>60</v>
      </c>
      <c r="B2043" s="1">
        <v>46130</v>
      </c>
      <c r="C2043">
        <v>2378081114</v>
      </c>
      <c r="D2043">
        <v>2378081226</v>
      </c>
      <c r="E2043" t="str">
        <f>T("던전이 자꾸 이상한 짓을 시켜요 84화")</f>
        <v>던전이 자꾸 이상한 짓을 시켜요 84화</v>
      </c>
      <c r="F2043">
        <v>84</v>
      </c>
      <c r="G2043" t="str">
        <f>T("필밤")</f>
        <v>필밤</v>
      </c>
      <c r="J2043" t="str">
        <f>T("시계토끼")</f>
        <v>시계토끼</v>
      </c>
      <c r="K2043" t="str">
        <f>T("던전이 자꾸 이상한 짓을 시켜요")</f>
        <v>던전이 자꾸 이상한 짓을 시켜요</v>
      </c>
      <c r="L2043">
        <v>100</v>
      </c>
      <c r="M2043">
        <v>600</v>
      </c>
      <c r="N2043">
        <v>6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600</v>
      </c>
      <c r="AJ2043">
        <v>6</v>
      </c>
      <c r="AK2043">
        <v>0</v>
      </c>
      <c r="AL2043">
        <v>0</v>
      </c>
      <c r="AM2043">
        <v>500</v>
      </c>
      <c r="AN2043">
        <v>0</v>
      </c>
      <c r="AO2043">
        <v>120</v>
      </c>
      <c r="AP2043">
        <v>-12</v>
      </c>
      <c r="AQ2043">
        <v>0</v>
      </c>
      <c r="AS2043">
        <v>0</v>
      </c>
      <c r="AT2043">
        <v>0</v>
      </c>
      <c r="AV2043">
        <v>0</v>
      </c>
      <c r="AW2043">
        <v>0</v>
      </c>
      <c r="AX2043">
        <v>120</v>
      </c>
      <c r="AY2043">
        <v>-12</v>
      </c>
      <c r="AZ2043">
        <v>0</v>
      </c>
      <c r="BA2043">
        <v>364.8</v>
      </c>
      <c r="BF2043" t="str">
        <f>T("D268814")</f>
        <v>D268814</v>
      </c>
      <c r="BG2043" t="str">
        <f>T("로판 웹소설 &gt; 서양풍 로판")</f>
        <v>로판 웹소설 &gt; 서양풍 로판</v>
      </c>
    </row>
    <row r="2044" spans="1:59">
      <c r="A2044" t="s">
        <v>60</v>
      </c>
      <c r="B2044" s="1">
        <v>46130</v>
      </c>
      <c r="C2044">
        <v>2378081114</v>
      </c>
      <c r="D2044">
        <v>2378081240</v>
      </c>
      <c r="E2044" t="str">
        <f>T("던전이 자꾸 이상한 짓을 시켜요 86화")</f>
        <v>던전이 자꾸 이상한 짓을 시켜요 86화</v>
      </c>
      <c r="F2044">
        <v>86</v>
      </c>
      <c r="G2044" t="str">
        <f>T("필밤")</f>
        <v>필밤</v>
      </c>
      <c r="J2044" t="str">
        <f>T("시계토끼")</f>
        <v>시계토끼</v>
      </c>
      <c r="K2044" t="str">
        <f>T("던전이 자꾸 이상한 짓을 시켜요")</f>
        <v>던전이 자꾸 이상한 짓을 시켜요</v>
      </c>
      <c r="L2044">
        <v>100</v>
      </c>
      <c r="M2044">
        <v>1400</v>
      </c>
      <c r="N2044">
        <v>14</v>
      </c>
      <c r="O2044">
        <v>0</v>
      </c>
      <c r="P2044">
        <v>0</v>
      </c>
      <c r="Q2044">
        <v>0</v>
      </c>
      <c r="R2044">
        <v>2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1400</v>
      </c>
      <c r="AJ2044">
        <v>16</v>
      </c>
      <c r="AK2044">
        <v>0</v>
      </c>
      <c r="AL2044">
        <v>0</v>
      </c>
      <c r="AM2044">
        <v>1100</v>
      </c>
      <c r="AN2044">
        <v>0</v>
      </c>
      <c r="AO2044">
        <v>360</v>
      </c>
      <c r="AP2044">
        <v>-84</v>
      </c>
      <c r="AQ2044">
        <v>0</v>
      </c>
      <c r="AR2044">
        <v>240</v>
      </c>
      <c r="AS2044">
        <v>-72</v>
      </c>
      <c r="AT2044">
        <v>0</v>
      </c>
      <c r="AV2044">
        <v>0</v>
      </c>
      <c r="AW2044">
        <v>0</v>
      </c>
      <c r="AX2044">
        <v>120</v>
      </c>
      <c r="AY2044">
        <v>-12</v>
      </c>
      <c r="AZ2044">
        <v>0</v>
      </c>
      <c r="BA2044">
        <v>825.6</v>
      </c>
      <c r="BF2044" t="str">
        <f>T("D268816")</f>
        <v>D268816</v>
      </c>
      <c r="BG2044" t="str">
        <f>T("로판 웹소설 &gt; 서양풍 로판")</f>
        <v>로판 웹소설 &gt; 서양풍 로판</v>
      </c>
    </row>
    <row r="2045" spans="1:59">
      <c r="A2045" t="s">
        <v>60</v>
      </c>
      <c r="B2045" s="1">
        <v>46130</v>
      </c>
      <c r="C2045">
        <v>2378081114</v>
      </c>
      <c r="D2045">
        <v>2378081124</v>
      </c>
      <c r="E2045" t="str">
        <f>T("던전이 자꾸 이상한 짓을 시켜요 11화")</f>
        <v>던전이 자꾸 이상한 짓을 시켜요 11화</v>
      </c>
      <c r="F2045">
        <v>11</v>
      </c>
      <c r="G2045" t="str">
        <f>T("필밤")</f>
        <v>필밤</v>
      </c>
      <c r="J2045" t="str">
        <f>T("시계토끼")</f>
        <v>시계토끼</v>
      </c>
      <c r="K2045" t="str">
        <f>T("던전이 자꾸 이상한 짓을 시켜요")</f>
        <v>던전이 자꾸 이상한 짓을 시켜요</v>
      </c>
      <c r="L2045">
        <v>100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61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61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S2045">
        <v>0</v>
      </c>
      <c r="AT2045">
        <v>0</v>
      </c>
      <c r="AV2045">
        <v>0</v>
      </c>
      <c r="AW2045">
        <v>0</v>
      </c>
      <c r="AY2045">
        <v>0</v>
      </c>
      <c r="AZ2045">
        <v>0</v>
      </c>
      <c r="BA2045">
        <v>0</v>
      </c>
      <c r="BF2045" t="str">
        <f>T("D268741")</f>
        <v>D268741</v>
      </c>
      <c r="BG2045" t="str">
        <f>T("로판 웹소설 &gt; 서양풍 로판")</f>
        <v>로판 웹소설 &gt; 서양풍 로판</v>
      </c>
    </row>
    <row r="2046" spans="1:59">
      <c r="A2046" t="s">
        <v>60</v>
      </c>
      <c r="B2046" s="1">
        <v>46130</v>
      </c>
      <c r="C2046">
        <v>2378081114</v>
      </c>
      <c r="D2046">
        <v>2378081147</v>
      </c>
      <c r="E2046" t="str">
        <f>T("던전이 자꾸 이상한 짓을 시켜요 34화")</f>
        <v>던전이 자꾸 이상한 짓을 시켜요 34화</v>
      </c>
      <c r="F2046">
        <v>34</v>
      </c>
      <c r="G2046" t="str">
        <f>T("필밤")</f>
        <v>필밤</v>
      </c>
      <c r="J2046" t="str">
        <f>T("시계토끼")</f>
        <v>시계토끼</v>
      </c>
      <c r="K2046" t="str">
        <f>T("던전이 자꾸 이상한 짓을 시켜요")</f>
        <v>던전이 자꾸 이상한 짓을 시켜요</v>
      </c>
      <c r="L2046">
        <v>100</v>
      </c>
      <c r="M2046">
        <v>1500</v>
      </c>
      <c r="N2046">
        <v>15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1500</v>
      </c>
      <c r="AJ2046">
        <v>15</v>
      </c>
      <c r="AK2046">
        <v>0</v>
      </c>
      <c r="AL2046">
        <v>0</v>
      </c>
      <c r="AM2046">
        <v>1200</v>
      </c>
      <c r="AN2046">
        <v>0</v>
      </c>
      <c r="AO2046">
        <v>360</v>
      </c>
      <c r="AP2046">
        <v>-84</v>
      </c>
      <c r="AQ2046">
        <v>0</v>
      </c>
      <c r="AR2046">
        <v>240</v>
      </c>
      <c r="AS2046">
        <v>-72</v>
      </c>
      <c r="AT2046">
        <v>0</v>
      </c>
      <c r="AV2046">
        <v>0</v>
      </c>
      <c r="AW2046">
        <v>0</v>
      </c>
      <c r="AX2046">
        <v>120</v>
      </c>
      <c r="AY2046">
        <v>-12</v>
      </c>
      <c r="AZ2046">
        <v>0</v>
      </c>
      <c r="BA2046">
        <v>885.6</v>
      </c>
      <c r="BF2046" t="str">
        <f>T("D268764")</f>
        <v>D268764</v>
      </c>
      <c r="BG2046" t="str">
        <f>T("로판 웹소설 &gt; 서양풍 로판")</f>
        <v>로판 웹소설 &gt; 서양풍 로판</v>
      </c>
    </row>
    <row r="2047" spans="1:59">
      <c r="A2047" t="s">
        <v>60</v>
      </c>
      <c r="B2047" s="1">
        <v>46130</v>
      </c>
      <c r="C2047">
        <v>2378081114</v>
      </c>
      <c r="D2047">
        <v>2378081241</v>
      </c>
      <c r="E2047" t="str">
        <f>T("던전이 자꾸 이상한 짓을 시켜요 87화")</f>
        <v>던전이 자꾸 이상한 짓을 시켜요 87화</v>
      </c>
      <c r="F2047">
        <v>87</v>
      </c>
      <c r="G2047" t="str">
        <f>T("필밤")</f>
        <v>필밤</v>
      </c>
      <c r="J2047" t="str">
        <f>T("시계토끼")</f>
        <v>시계토끼</v>
      </c>
      <c r="K2047" t="str">
        <f>T("던전이 자꾸 이상한 짓을 시켜요")</f>
        <v>던전이 자꾸 이상한 짓을 시켜요</v>
      </c>
      <c r="L2047">
        <v>100</v>
      </c>
      <c r="M2047">
        <v>2700</v>
      </c>
      <c r="N2047">
        <v>27</v>
      </c>
      <c r="O2047">
        <v>0</v>
      </c>
      <c r="P2047">
        <v>0</v>
      </c>
      <c r="Q2047">
        <v>0</v>
      </c>
      <c r="R2047">
        <v>2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2700</v>
      </c>
      <c r="AJ2047">
        <v>29</v>
      </c>
      <c r="AK2047">
        <v>0</v>
      </c>
      <c r="AL2047">
        <v>0</v>
      </c>
      <c r="AM2047">
        <v>2200</v>
      </c>
      <c r="AN2047">
        <v>0</v>
      </c>
      <c r="AO2047">
        <v>600</v>
      </c>
      <c r="AP2047">
        <v>-132</v>
      </c>
      <c r="AQ2047">
        <v>0</v>
      </c>
      <c r="AR2047">
        <v>360</v>
      </c>
      <c r="AS2047">
        <v>-108</v>
      </c>
      <c r="AT2047">
        <v>0</v>
      </c>
      <c r="AU2047">
        <v>120</v>
      </c>
      <c r="AV2047">
        <v>-12</v>
      </c>
      <c r="AW2047">
        <v>0</v>
      </c>
      <c r="AX2047">
        <v>120</v>
      </c>
      <c r="AY2047">
        <v>-12</v>
      </c>
      <c r="AZ2047">
        <v>0</v>
      </c>
      <c r="BA2047">
        <v>1600.8</v>
      </c>
      <c r="BF2047" t="str">
        <f>T("D268817")</f>
        <v>D268817</v>
      </c>
      <c r="BG2047" t="str">
        <f>T("로판 웹소설 &gt; 서양풍 로판")</f>
        <v>로판 웹소설 &gt; 서양풍 로판</v>
      </c>
    </row>
    <row r="2048" spans="1:59">
      <c r="A2048" t="s">
        <v>60</v>
      </c>
      <c r="B2048" s="1">
        <v>46130</v>
      </c>
      <c r="C2048">
        <v>2378081114</v>
      </c>
      <c r="D2048">
        <v>2378081149</v>
      </c>
      <c r="E2048" t="str">
        <f>T("던전이 자꾸 이상한 짓을 시켜요 36화")</f>
        <v>던전이 자꾸 이상한 짓을 시켜요 36화</v>
      </c>
      <c r="F2048">
        <v>36</v>
      </c>
      <c r="G2048" t="str">
        <f>T("필밤")</f>
        <v>필밤</v>
      </c>
      <c r="J2048" t="str">
        <f>T("시계토끼")</f>
        <v>시계토끼</v>
      </c>
      <c r="K2048" t="str">
        <f>T("던전이 자꾸 이상한 짓을 시켜요")</f>
        <v>던전이 자꾸 이상한 짓을 시켜요</v>
      </c>
      <c r="L2048">
        <v>100</v>
      </c>
      <c r="M2048">
        <v>800</v>
      </c>
      <c r="N2048">
        <v>8</v>
      </c>
      <c r="O2048">
        <v>0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0</v>
      </c>
      <c r="AH2048">
        <v>0</v>
      </c>
      <c r="AI2048">
        <v>800</v>
      </c>
      <c r="AJ2048">
        <v>8</v>
      </c>
      <c r="AK2048">
        <v>0</v>
      </c>
      <c r="AL2048">
        <v>0</v>
      </c>
      <c r="AM2048">
        <v>700</v>
      </c>
      <c r="AN2048">
        <v>0</v>
      </c>
      <c r="AO2048">
        <v>120</v>
      </c>
      <c r="AP2048">
        <v>-36</v>
      </c>
      <c r="AQ2048">
        <v>0</v>
      </c>
      <c r="AR2048">
        <v>120</v>
      </c>
      <c r="AS2048">
        <v>-36</v>
      </c>
      <c r="AT2048">
        <v>0</v>
      </c>
      <c r="AV2048">
        <v>0</v>
      </c>
      <c r="AW2048">
        <v>0</v>
      </c>
      <c r="AY2048">
        <v>0</v>
      </c>
      <c r="AZ2048">
        <v>0</v>
      </c>
      <c r="BA2048">
        <v>470.4</v>
      </c>
      <c r="BF2048" t="str">
        <f>T("D268766")</f>
        <v>D268766</v>
      </c>
      <c r="BG2048" t="str">
        <f>T("로판 웹소설 &gt; 서양풍 로판")</f>
        <v>로판 웹소설 &gt; 서양풍 로판</v>
      </c>
    </row>
    <row r="2049" spans="1:59">
      <c r="A2049" t="s">
        <v>60</v>
      </c>
      <c r="B2049" s="1">
        <v>46130</v>
      </c>
      <c r="C2049">
        <v>2378081114</v>
      </c>
      <c r="D2049">
        <v>2378081119</v>
      </c>
      <c r="E2049" t="str">
        <f>T("던전이 자꾸 이상한 짓을 시켜요 6화")</f>
        <v>던전이 자꾸 이상한 짓을 시켜요 6화</v>
      </c>
      <c r="F2049">
        <v>6</v>
      </c>
      <c r="G2049" t="str">
        <f>T("필밤")</f>
        <v>필밤</v>
      </c>
      <c r="J2049" t="str">
        <f>T("시계토끼")</f>
        <v>시계토끼</v>
      </c>
      <c r="K2049" t="str">
        <f>T("던전이 자꾸 이상한 짓을 시켜요")</f>
        <v>던전이 자꾸 이상한 짓을 시켜요</v>
      </c>
      <c r="L2049">
        <v>100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54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54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S2049">
        <v>0</v>
      </c>
      <c r="AT2049">
        <v>0</v>
      </c>
      <c r="AV2049">
        <v>0</v>
      </c>
      <c r="AW2049">
        <v>0</v>
      </c>
      <c r="AY2049">
        <v>0</v>
      </c>
      <c r="AZ2049">
        <v>0</v>
      </c>
      <c r="BA2049">
        <v>0</v>
      </c>
      <c r="BF2049" t="str">
        <f>T("D268736")</f>
        <v>D268736</v>
      </c>
      <c r="BG2049" t="str">
        <f>T("로판 웹소설 &gt; 서양풍 로판")</f>
        <v>로판 웹소설 &gt; 서양풍 로판</v>
      </c>
    </row>
    <row r="2050" spans="1:59">
      <c r="A2050" t="s">
        <v>60</v>
      </c>
      <c r="B2050" s="1">
        <v>46130</v>
      </c>
      <c r="C2050">
        <v>2378081114</v>
      </c>
      <c r="D2050">
        <v>2378081120</v>
      </c>
      <c r="E2050" t="str">
        <f>T("던전이 자꾸 이상한 짓을 시켜요 7화")</f>
        <v>던전이 자꾸 이상한 짓을 시켜요 7화</v>
      </c>
      <c r="F2050">
        <v>7</v>
      </c>
      <c r="G2050" t="str">
        <f>T("필밤")</f>
        <v>필밤</v>
      </c>
      <c r="J2050" t="str">
        <f>T("시계토끼")</f>
        <v>시계토끼</v>
      </c>
      <c r="K2050" t="str">
        <f>T("던전이 자꾸 이상한 짓을 시켜요")</f>
        <v>던전이 자꾸 이상한 짓을 시켜요</v>
      </c>
      <c r="L2050">
        <v>100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58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58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S2050">
        <v>0</v>
      </c>
      <c r="AT2050">
        <v>0</v>
      </c>
      <c r="AV2050">
        <v>0</v>
      </c>
      <c r="AW2050">
        <v>0</v>
      </c>
      <c r="AY2050">
        <v>0</v>
      </c>
      <c r="AZ2050">
        <v>0</v>
      </c>
      <c r="BA2050">
        <v>0</v>
      </c>
      <c r="BF2050" t="str">
        <f>T("D268737")</f>
        <v>D268737</v>
      </c>
      <c r="BG2050" t="str">
        <f>T("로판 웹소설 &gt; 서양풍 로판")</f>
        <v>로판 웹소설 &gt; 서양풍 로판</v>
      </c>
    </row>
    <row r="2051" spans="1:59">
      <c r="A2051" t="s">
        <v>60</v>
      </c>
      <c r="B2051" s="1">
        <v>46130</v>
      </c>
      <c r="C2051">
        <v>2378081114</v>
      </c>
      <c r="D2051">
        <v>2378081137</v>
      </c>
      <c r="E2051" t="str">
        <f>T("던전이 자꾸 이상한 짓을 시켜요 24화")</f>
        <v>던전이 자꾸 이상한 짓을 시켜요 24화</v>
      </c>
      <c r="F2051">
        <v>24</v>
      </c>
      <c r="G2051" t="str">
        <f>T("필밤")</f>
        <v>필밤</v>
      </c>
      <c r="J2051" t="str">
        <f>T("시계토끼")</f>
        <v>시계토끼</v>
      </c>
      <c r="K2051" t="str">
        <f>T("던전이 자꾸 이상한 짓을 시켜요")</f>
        <v>던전이 자꾸 이상한 짓을 시켜요</v>
      </c>
      <c r="L2051">
        <v>100</v>
      </c>
      <c r="M2051">
        <v>800</v>
      </c>
      <c r="N2051">
        <v>8</v>
      </c>
      <c r="O2051">
        <v>0</v>
      </c>
      <c r="P2051">
        <v>0</v>
      </c>
      <c r="Q2051">
        <v>0</v>
      </c>
      <c r="R2051">
        <v>11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800</v>
      </c>
      <c r="AJ2051">
        <v>19</v>
      </c>
      <c r="AK2051">
        <v>0</v>
      </c>
      <c r="AL2051">
        <v>0</v>
      </c>
      <c r="AM2051">
        <v>600</v>
      </c>
      <c r="AN2051">
        <v>0</v>
      </c>
      <c r="AO2051">
        <v>240</v>
      </c>
      <c r="AP2051">
        <v>-72</v>
      </c>
      <c r="AQ2051">
        <v>0</v>
      </c>
      <c r="AR2051">
        <v>240</v>
      </c>
      <c r="AS2051">
        <v>-72</v>
      </c>
      <c r="AT2051">
        <v>0</v>
      </c>
      <c r="AV2051">
        <v>0</v>
      </c>
      <c r="AW2051">
        <v>0</v>
      </c>
      <c r="AY2051">
        <v>0</v>
      </c>
      <c r="AZ2051">
        <v>0</v>
      </c>
      <c r="BA2051">
        <v>460.8</v>
      </c>
      <c r="BF2051" t="str">
        <f>T("D268754")</f>
        <v>D268754</v>
      </c>
      <c r="BG2051" t="str">
        <f>T("로판 웹소설 &gt; 서양풍 로판")</f>
        <v>로판 웹소설 &gt; 서양풍 로판</v>
      </c>
    </row>
    <row r="2052" spans="1:59">
      <c r="A2052" t="s">
        <v>60</v>
      </c>
      <c r="B2052" s="1">
        <v>46130</v>
      </c>
      <c r="C2052">
        <v>2378081114</v>
      </c>
      <c r="D2052">
        <v>2378081118</v>
      </c>
      <c r="E2052" t="str">
        <f>T("던전이 자꾸 이상한 짓을 시켜요 5화")</f>
        <v>던전이 자꾸 이상한 짓을 시켜요 5화</v>
      </c>
      <c r="F2052">
        <v>5</v>
      </c>
      <c r="G2052" t="str">
        <f>T("필밤")</f>
        <v>필밤</v>
      </c>
      <c r="J2052" t="str">
        <f>T("시계토끼")</f>
        <v>시계토끼</v>
      </c>
      <c r="K2052" t="str">
        <f>T("던전이 자꾸 이상한 짓을 시켜요")</f>
        <v>던전이 자꾸 이상한 짓을 시켜요</v>
      </c>
      <c r="L2052">
        <v>0</v>
      </c>
      <c r="M2052">
        <v>0</v>
      </c>
      <c r="N2052">
        <v>0</v>
      </c>
      <c r="O2052">
        <v>22</v>
      </c>
      <c r="P2052">
        <v>0</v>
      </c>
      <c r="Q2052">
        <v>0</v>
      </c>
      <c r="R2052">
        <v>31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53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S2052">
        <v>0</v>
      </c>
      <c r="AT2052">
        <v>0</v>
      </c>
      <c r="AV2052">
        <v>0</v>
      </c>
      <c r="AW2052">
        <v>0</v>
      </c>
      <c r="AY2052">
        <v>0</v>
      </c>
      <c r="AZ2052">
        <v>0</v>
      </c>
      <c r="BA2052">
        <v>0</v>
      </c>
      <c r="BF2052" t="str">
        <f>T("D268735")</f>
        <v>D268735</v>
      </c>
      <c r="BG2052" t="str">
        <f>T("로판 웹소설 &gt; 서양풍 로판")</f>
        <v>로판 웹소설 &gt; 서양풍 로판</v>
      </c>
    </row>
    <row r="2053" spans="1:59">
      <c r="A2053" t="s">
        <v>60</v>
      </c>
      <c r="B2053" s="1">
        <v>46130</v>
      </c>
      <c r="C2053">
        <v>2378081114</v>
      </c>
      <c r="D2053">
        <v>2378081139</v>
      </c>
      <c r="E2053" t="str">
        <f>T("던전이 자꾸 이상한 짓을 시켜요 26화")</f>
        <v>던전이 자꾸 이상한 짓을 시켜요 26화</v>
      </c>
      <c r="F2053">
        <v>26</v>
      </c>
      <c r="G2053" t="str">
        <f>T("필밤")</f>
        <v>필밤</v>
      </c>
      <c r="J2053" t="str">
        <f>T("시계토끼")</f>
        <v>시계토끼</v>
      </c>
      <c r="K2053" t="str">
        <f>T("던전이 자꾸 이상한 짓을 시켜요")</f>
        <v>던전이 자꾸 이상한 짓을 시켜요</v>
      </c>
      <c r="L2053">
        <v>100</v>
      </c>
      <c r="M2053">
        <v>1200</v>
      </c>
      <c r="N2053">
        <v>12</v>
      </c>
      <c r="O2053">
        <v>0</v>
      </c>
      <c r="P2053">
        <v>0</v>
      </c>
      <c r="Q2053">
        <v>0</v>
      </c>
      <c r="R2053">
        <v>2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1200</v>
      </c>
      <c r="AJ2053">
        <v>14</v>
      </c>
      <c r="AK2053">
        <v>0</v>
      </c>
      <c r="AL2053">
        <v>0</v>
      </c>
      <c r="AM2053">
        <v>1000</v>
      </c>
      <c r="AN2053">
        <v>0</v>
      </c>
      <c r="AO2053">
        <v>240</v>
      </c>
      <c r="AP2053">
        <v>-72</v>
      </c>
      <c r="AQ2053">
        <v>0</v>
      </c>
      <c r="AR2053">
        <v>240</v>
      </c>
      <c r="AS2053">
        <v>-72</v>
      </c>
      <c r="AT2053">
        <v>0</v>
      </c>
      <c r="AV2053">
        <v>0</v>
      </c>
      <c r="AW2053">
        <v>0</v>
      </c>
      <c r="AY2053">
        <v>0</v>
      </c>
      <c r="AZ2053">
        <v>0</v>
      </c>
      <c r="BA2053">
        <v>700.8</v>
      </c>
      <c r="BF2053" t="str">
        <f>T("D268756")</f>
        <v>D268756</v>
      </c>
      <c r="BG2053" t="str">
        <f>T("로판 웹소설 &gt; 서양풍 로판")</f>
        <v>로판 웹소설 &gt; 서양풍 로판</v>
      </c>
    </row>
    <row r="2054" spans="1:59">
      <c r="A2054" t="s">
        <v>60</v>
      </c>
      <c r="B2054" s="1">
        <v>46130</v>
      </c>
      <c r="C2054">
        <v>2378081114</v>
      </c>
      <c r="D2054">
        <v>2378081151</v>
      </c>
      <c r="E2054" t="str">
        <f>T("던전이 자꾸 이상한 짓을 시켜요 38화")</f>
        <v>던전이 자꾸 이상한 짓을 시켜요 38화</v>
      </c>
      <c r="F2054">
        <v>38</v>
      </c>
      <c r="G2054" t="str">
        <f>T("필밤")</f>
        <v>필밤</v>
      </c>
      <c r="J2054" t="str">
        <f>T("시계토끼")</f>
        <v>시계토끼</v>
      </c>
      <c r="K2054" t="str">
        <f>T("던전이 자꾸 이상한 짓을 시켜요")</f>
        <v>던전이 자꾸 이상한 짓을 시켜요</v>
      </c>
      <c r="L2054">
        <v>100</v>
      </c>
      <c r="M2054">
        <v>1300</v>
      </c>
      <c r="N2054">
        <v>13</v>
      </c>
      <c r="O2054">
        <v>0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1300</v>
      </c>
      <c r="AJ2054">
        <v>13</v>
      </c>
      <c r="AK2054">
        <v>0</v>
      </c>
      <c r="AL2054">
        <v>0</v>
      </c>
      <c r="AM2054">
        <v>1100</v>
      </c>
      <c r="AN2054">
        <v>0</v>
      </c>
      <c r="AO2054">
        <v>240</v>
      </c>
      <c r="AP2054">
        <v>-48</v>
      </c>
      <c r="AQ2054">
        <v>0</v>
      </c>
      <c r="AR2054">
        <v>120</v>
      </c>
      <c r="AS2054">
        <v>-36</v>
      </c>
      <c r="AT2054">
        <v>0</v>
      </c>
      <c r="AV2054">
        <v>0</v>
      </c>
      <c r="AW2054">
        <v>0</v>
      </c>
      <c r="AX2054">
        <v>120</v>
      </c>
      <c r="AY2054">
        <v>-12</v>
      </c>
      <c r="AZ2054">
        <v>0</v>
      </c>
      <c r="BA2054">
        <v>775.2</v>
      </c>
      <c r="BF2054" t="str">
        <f>T("D268768")</f>
        <v>D268768</v>
      </c>
      <c r="BG2054" t="str">
        <f>T("로판 웹소설 &gt; 서양풍 로판")</f>
        <v>로판 웹소설 &gt; 서양풍 로판</v>
      </c>
    </row>
    <row r="2055" spans="1:59">
      <c r="A2055" t="s">
        <v>60</v>
      </c>
      <c r="B2055" s="1">
        <v>46130</v>
      </c>
      <c r="C2055">
        <v>2378081114</v>
      </c>
      <c r="D2055">
        <v>2378081140</v>
      </c>
      <c r="E2055" t="str">
        <f>T("던전이 자꾸 이상한 짓을 시켜요 27화")</f>
        <v>던전이 자꾸 이상한 짓을 시켜요 27화</v>
      </c>
      <c r="F2055">
        <v>27</v>
      </c>
      <c r="G2055" t="str">
        <f>T("필밤")</f>
        <v>필밤</v>
      </c>
      <c r="J2055" t="str">
        <f>T("시계토끼")</f>
        <v>시계토끼</v>
      </c>
      <c r="K2055" t="str">
        <f>T("던전이 자꾸 이상한 짓을 시켜요")</f>
        <v>던전이 자꾸 이상한 짓을 시켜요</v>
      </c>
      <c r="L2055">
        <v>100</v>
      </c>
      <c r="M2055">
        <v>1200</v>
      </c>
      <c r="N2055">
        <v>12</v>
      </c>
      <c r="O2055">
        <v>0</v>
      </c>
      <c r="P2055">
        <v>0</v>
      </c>
      <c r="Q2055">
        <v>0</v>
      </c>
      <c r="R2055">
        <v>2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1200</v>
      </c>
      <c r="AJ2055">
        <v>14</v>
      </c>
      <c r="AK2055">
        <v>0</v>
      </c>
      <c r="AL2055">
        <v>0</v>
      </c>
      <c r="AM2055">
        <v>1000</v>
      </c>
      <c r="AN2055">
        <v>0</v>
      </c>
      <c r="AO2055">
        <v>240</v>
      </c>
      <c r="AP2055">
        <v>-72</v>
      </c>
      <c r="AQ2055">
        <v>0</v>
      </c>
      <c r="AR2055">
        <v>240</v>
      </c>
      <c r="AS2055">
        <v>-72</v>
      </c>
      <c r="AT2055">
        <v>0</v>
      </c>
      <c r="AV2055">
        <v>0</v>
      </c>
      <c r="AW2055">
        <v>0</v>
      </c>
      <c r="AY2055">
        <v>0</v>
      </c>
      <c r="AZ2055">
        <v>0</v>
      </c>
      <c r="BA2055">
        <v>700.8</v>
      </c>
      <c r="BF2055" t="str">
        <f>T("D268757")</f>
        <v>D268757</v>
      </c>
      <c r="BG2055" t="str">
        <f>T("로판 웹소설 &gt; 서양풍 로판")</f>
        <v>로판 웹소설 &gt; 서양풍 로판</v>
      </c>
    </row>
    <row r="2056" spans="1:59">
      <c r="A2056" t="s">
        <v>60</v>
      </c>
      <c r="B2056" s="1">
        <v>46130</v>
      </c>
      <c r="C2056">
        <v>2378081114</v>
      </c>
      <c r="D2056">
        <v>2378081152</v>
      </c>
      <c r="E2056" t="str">
        <f>T("던전이 자꾸 이상한 짓을 시켜요 39화")</f>
        <v>던전이 자꾸 이상한 짓을 시켜요 39화</v>
      </c>
      <c r="F2056">
        <v>39</v>
      </c>
      <c r="G2056" t="str">
        <f>T("필밤")</f>
        <v>필밤</v>
      </c>
      <c r="J2056" t="str">
        <f>T("시계토끼")</f>
        <v>시계토끼</v>
      </c>
      <c r="K2056" t="str">
        <f>T("던전이 자꾸 이상한 짓을 시켜요")</f>
        <v>던전이 자꾸 이상한 짓을 시켜요</v>
      </c>
      <c r="L2056">
        <v>100</v>
      </c>
      <c r="M2056">
        <v>1300</v>
      </c>
      <c r="N2056">
        <v>13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1300</v>
      </c>
      <c r="AJ2056">
        <v>13</v>
      </c>
      <c r="AK2056">
        <v>0</v>
      </c>
      <c r="AL2056">
        <v>0</v>
      </c>
      <c r="AM2056">
        <v>1100</v>
      </c>
      <c r="AN2056">
        <v>0</v>
      </c>
      <c r="AO2056">
        <v>240</v>
      </c>
      <c r="AP2056">
        <v>-48</v>
      </c>
      <c r="AQ2056">
        <v>0</v>
      </c>
      <c r="AR2056">
        <v>120</v>
      </c>
      <c r="AS2056">
        <v>-36</v>
      </c>
      <c r="AT2056">
        <v>0</v>
      </c>
      <c r="AV2056">
        <v>0</v>
      </c>
      <c r="AW2056">
        <v>0</v>
      </c>
      <c r="AX2056">
        <v>120</v>
      </c>
      <c r="AY2056">
        <v>-12</v>
      </c>
      <c r="AZ2056">
        <v>0</v>
      </c>
      <c r="BA2056">
        <v>775.2</v>
      </c>
      <c r="BF2056" t="str">
        <f>T("D268769")</f>
        <v>D268769</v>
      </c>
      <c r="BG2056" t="str">
        <f>T("로판 웹소설 &gt; 서양풍 로판")</f>
        <v>로판 웹소설 &gt; 서양풍 로판</v>
      </c>
    </row>
    <row r="2057" spans="1:59">
      <c r="A2057" t="s">
        <v>60</v>
      </c>
      <c r="B2057" s="1">
        <v>46130</v>
      </c>
      <c r="C2057">
        <v>2378081114</v>
      </c>
      <c r="D2057">
        <v>2378081141</v>
      </c>
      <c r="E2057" t="str">
        <f>T("던전이 자꾸 이상한 짓을 시켜요 28화")</f>
        <v>던전이 자꾸 이상한 짓을 시켜요 28화</v>
      </c>
      <c r="F2057">
        <v>28</v>
      </c>
      <c r="G2057" t="str">
        <f>T("필밤")</f>
        <v>필밤</v>
      </c>
      <c r="J2057" t="str">
        <f>T("시계토끼")</f>
        <v>시계토끼</v>
      </c>
      <c r="K2057" t="str">
        <f>T("던전이 자꾸 이상한 짓을 시켜요")</f>
        <v>던전이 자꾸 이상한 짓을 시켜요</v>
      </c>
      <c r="L2057">
        <v>100</v>
      </c>
      <c r="M2057">
        <v>1200</v>
      </c>
      <c r="N2057">
        <v>12</v>
      </c>
      <c r="O2057">
        <v>0</v>
      </c>
      <c r="P2057">
        <v>0</v>
      </c>
      <c r="Q2057">
        <v>0</v>
      </c>
      <c r="R2057">
        <v>2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0</v>
      </c>
      <c r="AH2057">
        <v>0</v>
      </c>
      <c r="AI2057">
        <v>1200</v>
      </c>
      <c r="AJ2057">
        <v>14</v>
      </c>
      <c r="AK2057">
        <v>0</v>
      </c>
      <c r="AL2057">
        <v>0</v>
      </c>
      <c r="AM2057">
        <v>900</v>
      </c>
      <c r="AN2057">
        <v>0</v>
      </c>
      <c r="AO2057">
        <v>360</v>
      </c>
      <c r="AP2057">
        <v>-84</v>
      </c>
      <c r="AQ2057">
        <v>0</v>
      </c>
      <c r="AR2057">
        <v>240</v>
      </c>
      <c r="AS2057">
        <v>-72</v>
      </c>
      <c r="AT2057">
        <v>0</v>
      </c>
      <c r="AV2057">
        <v>0</v>
      </c>
      <c r="AW2057">
        <v>0</v>
      </c>
      <c r="AX2057">
        <v>120</v>
      </c>
      <c r="AY2057">
        <v>-12</v>
      </c>
      <c r="AZ2057">
        <v>0</v>
      </c>
      <c r="BA2057">
        <v>705.6</v>
      </c>
      <c r="BF2057" t="str">
        <f>T("D268758")</f>
        <v>D268758</v>
      </c>
      <c r="BG2057" t="str">
        <f>T("로판 웹소설 &gt; 서양풍 로판")</f>
        <v>로판 웹소설 &gt; 서양풍 로판</v>
      </c>
    </row>
    <row r="2058" spans="1:59">
      <c r="A2058" t="s">
        <v>60</v>
      </c>
      <c r="B2058" s="1">
        <v>46130</v>
      </c>
      <c r="C2058">
        <v>2378081114</v>
      </c>
      <c r="D2058">
        <v>2378081150</v>
      </c>
      <c r="E2058" t="str">
        <f>T("던전이 자꾸 이상한 짓을 시켜요 37화")</f>
        <v>던전이 자꾸 이상한 짓을 시켜요 37화</v>
      </c>
      <c r="F2058">
        <v>37</v>
      </c>
      <c r="G2058" t="str">
        <f>T("필밤")</f>
        <v>필밤</v>
      </c>
      <c r="J2058" t="str">
        <f>T("시계토끼")</f>
        <v>시계토끼</v>
      </c>
      <c r="K2058" t="str">
        <f>T("던전이 자꾸 이상한 짓을 시켜요")</f>
        <v>던전이 자꾸 이상한 짓을 시켜요</v>
      </c>
      <c r="L2058">
        <v>100</v>
      </c>
      <c r="M2058">
        <v>1000</v>
      </c>
      <c r="N2058">
        <v>10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1000</v>
      </c>
      <c r="AJ2058">
        <v>10</v>
      </c>
      <c r="AK2058">
        <v>0</v>
      </c>
      <c r="AL2058">
        <v>0</v>
      </c>
      <c r="AM2058">
        <v>800</v>
      </c>
      <c r="AN2058">
        <v>0</v>
      </c>
      <c r="AO2058">
        <v>240</v>
      </c>
      <c r="AP2058">
        <v>-48</v>
      </c>
      <c r="AQ2058">
        <v>0</v>
      </c>
      <c r="AR2058">
        <v>120</v>
      </c>
      <c r="AS2058">
        <v>-36</v>
      </c>
      <c r="AT2058">
        <v>0</v>
      </c>
      <c r="AV2058">
        <v>0</v>
      </c>
      <c r="AW2058">
        <v>0</v>
      </c>
      <c r="AX2058">
        <v>120</v>
      </c>
      <c r="AY2058">
        <v>-12</v>
      </c>
      <c r="AZ2058">
        <v>0</v>
      </c>
      <c r="BA2058">
        <v>595.20000000000005</v>
      </c>
      <c r="BF2058" t="str">
        <f>T("D268767")</f>
        <v>D268767</v>
      </c>
      <c r="BG2058" t="str">
        <f>T("로판 웹소설 &gt; 서양풍 로판")</f>
        <v>로판 웹소설 &gt; 서양풍 로판</v>
      </c>
    </row>
    <row r="2059" spans="1:59">
      <c r="A2059" t="s">
        <v>60</v>
      </c>
      <c r="B2059" s="1">
        <v>46130</v>
      </c>
      <c r="C2059">
        <v>2378081114</v>
      </c>
      <c r="D2059">
        <v>2378081229</v>
      </c>
      <c r="E2059" t="str">
        <f>T("던전이 자꾸 이상한 짓을 시켜요 85화")</f>
        <v>던전이 자꾸 이상한 짓을 시켜요 85화</v>
      </c>
      <c r="F2059">
        <v>85</v>
      </c>
      <c r="G2059" t="str">
        <f>T("필밤")</f>
        <v>필밤</v>
      </c>
      <c r="J2059" t="str">
        <f>T("시계토끼")</f>
        <v>시계토끼</v>
      </c>
      <c r="K2059" t="str">
        <f>T("던전이 자꾸 이상한 짓을 시켜요")</f>
        <v>던전이 자꾸 이상한 짓을 시켜요</v>
      </c>
      <c r="L2059">
        <v>100</v>
      </c>
      <c r="M2059">
        <v>700</v>
      </c>
      <c r="N2059">
        <v>7</v>
      </c>
      <c r="O2059">
        <v>0</v>
      </c>
      <c r="P2059">
        <v>0</v>
      </c>
      <c r="Q2059">
        <v>0</v>
      </c>
      <c r="R2059">
        <v>1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700</v>
      </c>
      <c r="AJ2059">
        <v>8</v>
      </c>
      <c r="AK2059">
        <v>0</v>
      </c>
      <c r="AL2059">
        <v>0</v>
      </c>
      <c r="AM2059">
        <v>600</v>
      </c>
      <c r="AN2059">
        <v>0</v>
      </c>
      <c r="AO2059">
        <v>120</v>
      </c>
      <c r="AP2059">
        <v>-36</v>
      </c>
      <c r="AQ2059">
        <v>0</v>
      </c>
      <c r="AR2059">
        <v>120</v>
      </c>
      <c r="AS2059">
        <v>-36</v>
      </c>
      <c r="AT2059">
        <v>0</v>
      </c>
      <c r="AV2059">
        <v>0</v>
      </c>
      <c r="AW2059">
        <v>0</v>
      </c>
      <c r="AY2059">
        <v>0</v>
      </c>
      <c r="AZ2059">
        <v>0</v>
      </c>
      <c r="BA2059">
        <v>410.4</v>
      </c>
      <c r="BF2059" t="str">
        <f>T("D268815")</f>
        <v>D268815</v>
      </c>
      <c r="BG2059" t="str">
        <f>T("로판 웹소설 &gt; 서양풍 로판")</f>
        <v>로판 웹소설 &gt; 서양풍 로판</v>
      </c>
    </row>
    <row r="2060" spans="1:59">
      <c r="A2060" t="s">
        <v>60</v>
      </c>
      <c r="B2060" s="1">
        <v>46130</v>
      </c>
      <c r="C2060">
        <v>2378081114</v>
      </c>
      <c r="D2060">
        <v>2378081153</v>
      </c>
      <c r="E2060" t="str">
        <f>T("던전이 자꾸 이상한 짓을 시켜요 40화")</f>
        <v>던전이 자꾸 이상한 짓을 시켜요 40화</v>
      </c>
      <c r="F2060">
        <v>40</v>
      </c>
      <c r="G2060" t="str">
        <f>T("필밤")</f>
        <v>필밤</v>
      </c>
      <c r="J2060" t="str">
        <f>T("시계토끼")</f>
        <v>시계토끼</v>
      </c>
      <c r="K2060" t="str">
        <f>T("던전이 자꾸 이상한 짓을 시켜요")</f>
        <v>던전이 자꾸 이상한 짓을 시켜요</v>
      </c>
      <c r="L2060">
        <v>100</v>
      </c>
      <c r="M2060">
        <v>700</v>
      </c>
      <c r="N2060">
        <v>7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700</v>
      </c>
      <c r="AJ2060">
        <v>7</v>
      </c>
      <c r="AK2060">
        <v>0</v>
      </c>
      <c r="AL2060">
        <v>0</v>
      </c>
      <c r="AM2060">
        <v>600</v>
      </c>
      <c r="AN2060">
        <v>0</v>
      </c>
      <c r="AO2060">
        <v>120</v>
      </c>
      <c r="AP2060">
        <v>-36</v>
      </c>
      <c r="AQ2060">
        <v>0</v>
      </c>
      <c r="AR2060">
        <v>120</v>
      </c>
      <c r="AS2060">
        <v>-36</v>
      </c>
      <c r="AT2060">
        <v>0</v>
      </c>
      <c r="AV2060">
        <v>0</v>
      </c>
      <c r="AW2060">
        <v>0</v>
      </c>
      <c r="AY2060">
        <v>0</v>
      </c>
      <c r="AZ2060">
        <v>0</v>
      </c>
      <c r="BA2060">
        <v>410.4</v>
      </c>
      <c r="BF2060" t="str">
        <f>T("D268770")</f>
        <v>D268770</v>
      </c>
      <c r="BG2060" t="str">
        <f>T("로판 웹소설 &gt; 서양풍 로판")</f>
        <v>로판 웹소설 &gt; 서양풍 로판</v>
      </c>
    </row>
    <row r="2061" spans="1:59">
      <c r="A2061" t="s">
        <v>60</v>
      </c>
      <c r="B2061" s="1">
        <v>46130</v>
      </c>
      <c r="C2061">
        <v>2378081114</v>
      </c>
      <c r="D2061">
        <v>2378081142</v>
      </c>
      <c r="E2061" t="str">
        <f>T("던전이 자꾸 이상한 짓을 시켜요 29화")</f>
        <v>던전이 자꾸 이상한 짓을 시켜요 29화</v>
      </c>
      <c r="F2061">
        <v>29</v>
      </c>
      <c r="G2061" t="str">
        <f>T("필밤")</f>
        <v>필밤</v>
      </c>
      <c r="J2061" t="str">
        <f>T("시계토끼")</f>
        <v>시계토끼</v>
      </c>
      <c r="K2061" t="str">
        <f>T("던전이 자꾸 이상한 짓을 시켜요")</f>
        <v>던전이 자꾸 이상한 짓을 시켜요</v>
      </c>
      <c r="L2061">
        <v>100</v>
      </c>
      <c r="M2061">
        <v>1300</v>
      </c>
      <c r="N2061">
        <v>13</v>
      </c>
      <c r="O2061">
        <v>0</v>
      </c>
      <c r="P2061">
        <v>0</v>
      </c>
      <c r="Q2061">
        <v>0</v>
      </c>
      <c r="R2061">
        <v>3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1300</v>
      </c>
      <c r="AJ2061">
        <v>16</v>
      </c>
      <c r="AK2061">
        <v>0</v>
      </c>
      <c r="AL2061">
        <v>0</v>
      </c>
      <c r="AM2061">
        <v>1000</v>
      </c>
      <c r="AN2061">
        <v>0</v>
      </c>
      <c r="AO2061">
        <v>360</v>
      </c>
      <c r="AP2061">
        <v>-84</v>
      </c>
      <c r="AQ2061">
        <v>0</v>
      </c>
      <c r="AR2061">
        <v>240</v>
      </c>
      <c r="AS2061">
        <v>-72</v>
      </c>
      <c r="AT2061">
        <v>0</v>
      </c>
      <c r="AV2061">
        <v>0</v>
      </c>
      <c r="AW2061">
        <v>0</v>
      </c>
      <c r="AX2061">
        <v>120</v>
      </c>
      <c r="AY2061">
        <v>-12</v>
      </c>
      <c r="AZ2061">
        <v>0</v>
      </c>
      <c r="BA2061">
        <v>765.6</v>
      </c>
      <c r="BF2061" t="str">
        <f>T("D268759")</f>
        <v>D268759</v>
      </c>
      <c r="BG2061" t="str">
        <f>T("로판 웹소설 &gt; 서양풍 로판")</f>
        <v>로판 웹소설 &gt; 서양풍 로판</v>
      </c>
    </row>
    <row r="2062" spans="1:59">
      <c r="A2062" t="s">
        <v>60</v>
      </c>
      <c r="B2062" s="1">
        <v>46130</v>
      </c>
      <c r="C2062">
        <v>2378081114</v>
      </c>
      <c r="D2062">
        <v>2378081154</v>
      </c>
      <c r="E2062" t="str">
        <f>T("던전이 자꾸 이상한 짓을 시켜요 41화")</f>
        <v>던전이 자꾸 이상한 짓을 시켜요 41화</v>
      </c>
      <c r="F2062">
        <v>41</v>
      </c>
      <c r="G2062" t="str">
        <f>T("필밤")</f>
        <v>필밤</v>
      </c>
      <c r="J2062" t="str">
        <f>T("시계토끼")</f>
        <v>시계토끼</v>
      </c>
      <c r="K2062" t="str">
        <f>T("던전이 자꾸 이상한 짓을 시켜요")</f>
        <v>던전이 자꾸 이상한 짓을 시켜요</v>
      </c>
      <c r="L2062">
        <v>100</v>
      </c>
      <c r="M2062">
        <v>800</v>
      </c>
      <c r="N2062">
        <v>8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800</v>
      </c>
      <c r="AJ2062">
        <v>8</v>
      </c>
      <c r="AK2062">
        <v>0</v>
      </c>
      <c r="AL2062">
        <v>0</v>
      </c>
      <c r="AM2062">
        <v>700</v>
      </c>
      <c r="AN2062">
        <v>0</v>
      </c>
      <c r="AO2062">
        <v>120</v>
      </c>
      <c r="AP2062">
        <v>-36</v>
      </c>
      <c r="AQ2062">
        <v>0</v>
      </c>
      <c r="AR2062">
        <v>120</v>
      </c>
      <c r="AS2062">
        <v>-36</v>
      </c>
      <c r="AT2062">
        <v>0</v>
      </c>
      <c r="AV2062">
        <v>0</v>
      </c>
      <c r="AW2062">
        <v>0</v>
      </c>
      <c r="AY2062">
        <v>0</v>
      </c>
      <c r="AZ2062">
        <v>0</v>
      </c>
      <c r="BA2062">
        <v>470.4</v>
      </c>
      <c r="BF2062" t="str">
        <f>T("D268771")</f>
        <v>D268771</v>
      </c>
      <c r="BG2062" t="str">
        <f>T("로판 웹소설 &gt; 서양풍 로판")</f>
        <v>로판 웹소설 &gt; 서양풍 로판</v>
      </c>
    </row>
    <row r="2063" spans="1:59">
      <c r="A2063" t="s">
        <v>60</v>
      </c>
      <c r="B2063" s="1">
        <v>46130</v>
      </c>
      <c r="C2063">
        <v>2378081114</v>
      </c>
      <c r="D2063">
        <v>2378081155</v>
      </c>
      <c r="E2063" t="str">
        <f>T("던전이 자꾸 이상한 짓을 시켜요 42화")</f>
        <v>던전이 자꾸 이상한 짓을 시켜요 42화</v>
      </c>
      <c r="F2063">
        <v>42</v>
      </c>
      <c r="G2063" t="str">
        <f>T("필밤")</f>
        <v>필밤</v>
      </c>
      <c r="J2063" t="str">
        <f>T("시계토끼")</f>
        <v>시계토끼</v>
      </c>
      <c r="K2063" t="str">
        <f>T("던전이 자꾸 이상한 짓을 시켜요")</f>
        <v>던전이 자꾸 이상한 짓을 시켜요</v>
      </c>
      <c r="L2063">
        <v>100</v>
      </c>
      <c r="M2063">
        <v>900</v>
      </c>
      <c r="N2063">
        <v>9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900</v>
      </c>
      <c r="AJ2063">
        <v>9</v>
      </c>
      <c r="AK2063">
        <v>0</v>
      </c>
      <c r="AL2063">
        <v>0</v>
      </c>
      <c r="AM2063">
        <v>800</v>
      </c>
      <c r="AN2063">
        <v>0</v>
      </c>
      <c r="AO2063">
        <v>120</v>
      </c>
      <c r="AP2063">
        <v>-36</v>
      </c>
      <c r="AQ2063">
        <v>0</v>
      </c>
      <c r="AR2063">
        <v>120</v>
      </c>
      <c r="AS2063">
        <v>-36</v>
      </c>
      <c r="AT2063">
        <v>0</v>
      </c>
      <c r="AV2063">
        <v>0</v>
      </c>
      <c r="AW2063">
        <v>0</v>
      </c>
      <c r="AY2063">
        <v>0</v>
      </c>
      <c r="AZ2063">
        <v>0</v>
      </c>
      <c r="BA2063">
        <v>530.4</v>
      </c>
      <c r="BF2063" t="str">
        <f>T("D268772")</f>
        <v>D268772</v>
      </c>
      <c r="BG2063" t="str">
        <f>T("로판 웹소설 &gt; 서양풍 로판")</f>
        <v>로판 웹소설 &gt; 서양풍 로판</v>
      </c>
    </row>
    <row r="2064" spans="1:59">
      <c r="A2064" t="s">
        <v>60</v>
      </c>
      <c r="B2064" s="1">
        <v>46130</v>
      </c>
      <c r="C2064">
        <v>2378081114</v>
      </c>
      <c r="D2064">
        <v>2378081163</v>
      </c>
      <c r="E2064" t="str">
        <f>T("던전이 자꾸 이상한 짓을 시켜요 50화")</f>
        <v>던전이 자꾸 이상한 짓을 시켜요 50화</v>
      </c>
      <c r="F2064">
        <v>50</v>
      </c>
      <c r="G2064" t="str">
        <f>T("필밤")</f>
        <v>필밤</v>
      </c>
      <c r="J2064" t="str">
        <f>T("시계토끼")</f>
        <v>시계토끼</v>
      </c>
      <c r="K2064" t="str">
        <f>T("던전이 자꾸 이상한 짓을 시켜요")</f>
        <v>던전이 자꾸 이상한 짓을 시켜요</v>
      </c>
      <c r="L2064">
        <v>100</v>
      </c>
      <c r="M2064">
        <v>800</v>
      </c>
      <c r="N2064">
        <v>8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800</v>
      </c>
      <c r="AJ2064">
        <v>8</v>
      </c>
      <c r="AK2064">
        <v>0</v>
      </c>
      <c r="AL2064">
        <v>0</v>
      </c>
      <c r="AM2064">
        <v>700</v>
      </c>
      <c r="AN2064">
        <v>0</v>
      </c>
      <c r="AO2064">
        <v>120</v>
      </c>
      <c r="AP2064">
        <v>-12</v>
      </c>
      <c r="AQ2064">
        <v>0</v>
      </c>
      <c r="AS2064">
        <v>0</v>
      </c>
      <c r="AT2064">
        <v>0</v>
      </c>
      <c r="AV2064">
        <v>0</v>
      </c>
      <c r="AW2064">
        <v>0</v>
      </c>
      <c r="AX2064">
        <v>120</v>
      </c>
      <c r="AY2064">
        <v>-12</v>
      </c>
      <c r="AZ2064">
        <v>0</v>
      </c>
      <c r="BA2064">
        <v>484.8</v>
      </c>
      <c r="BF2064" t="str">
        <f>T("D268780")</f>
        <v>D268780</v>
      </c>
      <c r="BG2064" t="str">
        <f>T("로판 웹소설 &gt; 서양풍 로판")</f>
        <v>로판 웹소설 &gt; 서양풍 로판</v>
      </c>
    </row>
    <row r="2065" spans="1:59">
      <c r="A2065" t="s">
        <v>60</v>
      </c>
      <c r="B2065" s="1">
        <v>46130</v>
      </c>
      <c r="C2065">
        <v>2378081114</v>
      </c>
      <c r="D2065">
        <v>2378081168</v>
      </c>
      <c r="E2065" t="str">
        <f>T("던전이 자꾸 이상한 짓을 시켜요 55화")</f>
        <v>던전이 자꾸 이상한 짓을 시켜요 55화</v>
      </c>
      <c r="F2065">
        <v>55</v>
      </c>
      <c r="G2065" t="str">
        <f>T("필밤")</f>
        <v>필밤</v>
      </c>
      <c r="J2065" t="str">
        <f>T("시계토끼")</f>
        <v>시계토끼</v>
      </c>
      <c r="K2065" t="str">
        <f>T("던전이 자꾸 이상한 짓을 시켜요")</f>
        <v>던전이 자꾸 이상한 짓을 시켜요</v>
      </c>
      <c r="L2065">
        <v>100</v>
      </c>
      <c r="M2065">
        <v>1000</v>
      </c>
      <c r="N2065">
        <v>10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1000</v>
      </c>
      <c r="AJ2065">
        <v>10</v>
      </c>
      <c r="AK2065">
        <v>0</v>
      </c>
      <c r="AL2065">
        <v>0</v>
      </c>
      <c r="AM2065">
        <v>1000</v>
      </c>
      <c r="AN2065">
        <v>0</v>
      </c>
      <c r="AO2065">
        <v>0</v>
      </c>
      <c r="AP2065">
        <v>0</v>
      </c>
      <c r="AQ2065">
        <v>0</v>
      </c>
      <c r="AS2065">
        <v>0</v>
      </c>
      <c r="AT2065">
        <v>0</v>
      </c>
      <c r="AV2065">
        <v>0</v>
      </c>
      <c r="AW2065">
        <v>0</v>
      </c>
      <c r="AY2065">
        <v>0</v>
      </c>
      <c r="AZ2065">
        <v>0</v>
      </c>
      <c r="BA2065">
        <v>600</v>
      </c>
      <c r="BF2065" t="str">
        <f>T("D268785")</f>
        <v>D268785</v>
      </c>
      <c r="BG2065" t="str">
        <f>T("로판 웹소설 &gt; 서양풍 로판")</f>
        <v>로판 웹소설 &gt; 서양풍 로판</v>
      </c>
    </row>
    <row r="2066" spans="1:59">
      <c r="A2066" t="s">
        <v>60</v>
      </c>
      <c r="B2066" s="1">
        <v>46130</v>
      </c>
      <c r="C2066">
        <v>2378081114</v>
      </c>
      <c r="D2066">
        <v>2378081193</v>
      </c>
      <c r="E2066" t="str">
        <f>T("던전이 자꾸 이상한 짓을 시켜요 80화")</f>
        <v>던전이 자꾸 이상한 짓을 시켜요 80화</v>
      </c>
      <c r="F2066">
        <v>80</v>
      </c>
      <c r="G2066" t="str">
        <f>T("필밤")</f>
        <v>필밤</v>
      </c>
      <c r="J2066" t="str">
        <f>T("시계토끼")</f>
        <v>시계토끼</v>
      </c>
      <c r="K2066" t="str">
        <f>T("던전이 자꾸 이상한 짓을 시켜요")</f>
        <v>던전이 자꾸 이상한 짓을 시켜요</v>
      </c>
      <c r="L2066">
        <v>100</v>
      </c>
      <c r="M2066">
        <v>400</v>
      </c>
      <c r="N2066">
        <v>4</v>
      </c>
      <c r="O2066">
        <v>0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400</v>
      </c>
      <c r="AJ2066">
        <v>4</v>
      </c>
      <c r="AK2066">
        <v>0</v>
      </c>
      <c r="AL2066">
        <v>0</v>
      </c>
      <c r="AM2066">
        <v>400</v>
      </c>
      <c r="AN2066">
        <v>0</v>
      </c>
      <c r="AO2066">
        <v>0</v>
      </c>
      <c r="AP2066">
        <v>0</v>
      </c>
      <c r="AQ2066">
        <v>0</v>
      </c>
      <c r="AS2066">
        <v>0</v>
      </c>
      <c r="AT2066">
        <v>0</v>
      </c>
      <c r="AV2066">
        <v>0</v>
      </c>
      <c r="AW2066">
        <v>0</v>
      </c>
      <c r="AY2066">
        <v>0</v>
      </c>
      <c r="AZ2066">
        <v>0</v>
      </c>
      <c r="BA2066">
        <v>240</v>
      </c>
      <c r="BF2066" t="str">
        <f>T("D268810")</f>
        <v>D268810</v>
      </c>
      <c r="BG2066" t="str">
        <f>T("로판 웹소설 &gt; 서양풍 로판")</f>
        <v>로판 웹소설 &gt; 서양풍 로판</v>
      </c>
    </row>
    <row r="2067" spans="1:59">
      <c r="A2067" t="s">
        <v>60</v>
      </c>
      <c r="B2067" s="1">
        <v>46130</v>
      </c>
      <c r="C2067">
        <v>2378081114</v>
      </c>
      <c r="D2067">
        <v>2378081144</v>
      </c>
      <c r="E2067" t="str">
        <f>T("던전이 자꾸 이상한 짓을 시켜요 31화")</f>
        <v>던전이 자꾸 이상한 짓을 시켜요 31화</v>
      </c>
      <c r="F2067">
        <v>31</v>
      </c>
      <c r="G2067" t="str">
        <f>T("필밤")</f>
        <v>필밤</v>
      </c>
      <c r="J2067" t="str">
        <f>T("시계토끼")</f>
        <v>시계토끼</v>
      </c>
      <c r="K2067" t="str">
        <f>T("던전이 자꾸 이상한 짓을 시켜요")</f>
        <v>던전이 자꾸 이상한 짓을 시켜요</v>
      </c>
      <c r="L2067">
        <v>100</v>
      </c>
      <c r="M2067">
        <v>900</v>
      </c>
      <c r="N2067">
        <v>9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900</v>
      </c>
      <c r="AJ2067">
        <v>9</v>
      </c>
      <c r="AK2067">
        <v>0</v>
      </c>
      <c r="AL2067">
        <v>0</v>
      </c>
      <c r="AM2067">
        <v>700</v>
      </c>
      <c r="AN2067">
        <v>0</v>
      </c>
      <c r="AO2067">
        <v>240</v>
      </c>
      <c r="AP2067">
        <v>-72</v>
      </c>
      <c r="AQ2067">
        <v>0</v>
      </c>
      <c r="AR2067">
        <v>240</v>
      </c>
      <c r="AS2067">
        <v>-72</v>
      </c>
      <c r="AT2067">
        <v>0</v>
      </c>
      <c r="AV2067">
        <v>0</v>
      </c>
      <c r="AW2067">
        <v>0</v>
      </c>
      <c r="AY2067">
        <v>0</v>
      </c>
      <c r="AZ2067">
        <v>0</v>
      </c>
      <c r="BA2067">
        <v>520.79999999999995</v>
      </c>
      <c r="BF2067" t="str">
        <f>T("D268761")</f>
        <v>D268761</v>
      </c>
      <c r="BG2067" t="str">
        <f>T("로판 웹소설 &gt; 서양풍 로판")</f>
        <v>로판 웹소설 &gt; 서양풍 로판</v>
      </c>
    </row>
    <row r="2068" spans="1:59">
      <c r="A2068" t="s">
        <v>60</v>
      </c>
      <c r="B2068" s="1">
        <v>46130</v>
      </c>
      <c r="C2068">
        <v>2378081114</v>
      </c>
      <c r="D2068">
        <v>2378081145</v>
      </c>
      <c r="E2068" t="str">
        <f>T("던전이 자꾸 이상한 짓을 시켜요 32화")</f>
        <v>던전이 자꾸 이상한 짓을 시켜요 32화</v>
      </c>
      <c r="F2068">
        <v>32</v>
      </c>
      <c r="G2068" t="str">
        <f>T("필밤")</f>
        <v>필밤</v>
      </c>
      <c r="J2068" t="str">
        <f>T("시계토끼")</f>
        <v>시계토끼</v>
      </c>
      <c r="K2068" t="str">
        <f>T("던전이 자꾸 이상한 짓을 시켜요")</f>
        <v>던전이 자꾸 이상한 짓을 시켜요</v>
      </c>
      <c r="L2068">
        <v>100</v>
      </c>
      <c r="M2068">
        <v>1200</v>
      </c>
      <c r="N2068">
        <v>12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1200</v>
      </c>
      <c r="AJ2068">
        <v>12</v>
      </c>
      <c r="AK2068">
        <v>0</v>
      </c>
      <c r="AL2068">
        <v>0</v>
      </c>
      <c r="AM2068">
        <v>900</v>
      </c>
      <c r="AN2068">
        <v>0</v>
      </c>
      <c r="AO2068">
        <v>360</v>
      </c>
      <c r="AP2068">
        <v>-84</v>
      </c>
      <c r="AQ2068">
        <v>0</v>
      </c>
      <c r="AR2068">
        <v>240</v>
      </c>
      <c r="AS2068">
        <v>-72</v>
      </c>
      <c r="AT2068">
        <v>0</v>
      </c>
      <c r="AV2068">
        <v>0</v>
      </c>
      <c r="AW2068">
        <v>0</v>
      </c>
      <c r="AX2068">
        <v>120</v>
      </c>
      <c r="AY2068">
        <v>-12</v>
      </c>
      <c r="AZ2068">
        <v>0</v>
      </c>
      <c r="BA2068">
        <v>705.6</v>
      </c>
      <c r="BF2068" t="str">
        <f>T("D268762")</f>
        <v>D268762</v>
      </c>
      <c r="BG2068" t="str">
        <f>T("로판 웹소설 &gt; 서양풍 로판")</f>
        <v>로판 웹소설 &gt; 서양풍 로판</v>
      </c>
    </row>
    <row r="2069" spans="1:59">
      <c r="A2069" t="s">
        <v>60</v>
      </c>
      <c r="B2069" s="1">
        <v>46130</v>
      </c>
      <c r="C2069">
        <v>2378081114</v>
      </c>
      <c r="D2069">
        <v>2378081146</v>
      </c>
      <c r="E2069" t="str">
        <f>T("던전이 자꾸 이상한 짓을 시켜요 33화")</f>
        <v>던전이 자꾸 이상한 짓을 시켜요 33화</v>
      </c>
      <c r="F2069">
        <v>33</v>
      </c>
      <c r="G2069" t="str">
        <f>T("필밤")</f>
        <v>필밤</v>
      </c>
      <c r="J2069" t="str">
        <f>T("시계토끼")</f>
        <v>시계토끼</v>
      </c>
      <c r="K2069" t="str">
        <f>T("던전이 자꾸 이상한 짓을 시켜요")</f>
        <v>던전이 자꾸 이상한 짓을 시켜요</v>
      </c>
      <c r="L2069">
        <v>100</v>
      </c>
      <c r="M2069">
        <v>1300</v>
      </c>
      <c r="N2069">
        <v>13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1300</v>
      </c>
      <c r="AJ2069">
        <v>13</v>
      </c>
      <c r="AK2069">
        <v>0</v>
      </c>
      <c r="AL2069">
        <v>0</v>
      </c>
      <c r="AM2069">
        <v>1000</v>
      </c>
      <c r="AN2069">
        <v>0</v>
      </c>
      <c r="AO2069">
        <v>360</v>
      </c>
      <c r="AP2069">
        <v>-84</v>
      </c>
      <c r="AQ2069">
        <v>0</v>
      </c>
      <c r="AR2069">
        <v>240</v>
      </c>
      <c r="AS2069">
        <v>-72</v>
      </c>
      <c r="AT2069">
        <v>0</v>
      </c>
      <c r="AV2069">
        <v>0</v>
      </c>
      <c r="AW2069">
        <v>0</v>
      </c>
      <c r="AX2069">
        <v>120</v>
      </c>
      <c r="AY2069">
        <v>-12</v>
      </c>
      <c r="AZ2069">
        <v>0</v>
      </c>
      <c r="BA2069">
        <v>765.6</v>
      </c>
      <c r="BF2069" t="str">
        <f>T("D268763")</f>
        <v>D268763</v>
      </c>
      <c r="BG2069" t="str">
        <f>T("로판 웹소설 &gt; 서양풍 로판")</f>
        <v>로판 웹소설 &gt; 서양풍 로판</v>
      </c>
    </row>
    <row r="2070" spans="1:59">
      <c r="A2070" t="s">
        <v>60</v>
      </c>
      <c r="B2070" s="1">
        <v>46130</v>
      </c>
      <c r="C2070">
        <v>2378081114</v>
      </c>
      <c r="D2070">
        <v>2378081171</v>
      </c>
      <c r="E2070" t="str">
        <f>T("던전이 자꾸 이상한 짓을 시켜요 58화")</f>
        <v>던전이 자꾸 이상한 짓을 시켜요 58화</v>
      </c>
      <c r="F2070">
        <v>58</v>
      </c>
      <c r="G2070" t="str">
        <f>T("필밤")</f>
        <v>필밤</v>
      </c>
      <c r="J2070" t="str">
        <f>T("시계토끼")</f>
        <v>시계토끼</v>
      </c>
      <c r="K2070" t="str">
        <f>T("던전이 자꾸 이상한 짓을 시켜요")</f>
        <v>던전이 자꾸 이상한 짓을 시켜요</v>
      </c>
      <c r="L2070">
        <v>100</v>
      </c>
      <c r="M2070">
        <v>600</v>
      </c>
      <c r="N2070">
        <v>6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600</v>
      </c>
      <c r="AJ2070">
        <v>6</v>
      </c>
      <c r="AK2070">
        <v>0</v>
      </c>
      <c r="AL2070">
        <v>0</v>
      </c>
      <c r="AM2070">
        <v>500</v>
      </c>
      <c r="AN2070">
        <v>0</v>
      </c>
      <c r="AO2070">
        <v>120</v>
      </c>
      <c r="AP2070">
        <v>-12</v>
      </c>
      <c r="AQ2070">
        <v>0</v>
      </c>
      <c r="AS2070">
        <v>0</v>
      </c>
      <c r="AT2070">
        <v>0</v>
      </c>
      <c r="AU2070">
        <v>120</v>
      </c>
      <c r="AV2070">
        <v>-12</v>
      </c>
      <c r="AW2070">
        <v>0</v>
      </c>
      <c r="AY2070">
        <v>0</v>
      </c>
      <c r="AZ2070">
        <v>0</v>
      </c>
      <c r="BA2070">
        <v>364.8</v>
      </c>
      <c r="BF2070" t="str">
        <f>T("D268788")</f>
        <v>D268788</v>
      </c>
      <c r="BG2070" t="str">
        <f>T("로판 웹소설 &gt; 서양풍 로판")</f>
        <v>로판 웹소설 &gt; 서양풍 로판</v>
      </c>
    </row>
    <row r="2071" spans="1:59">
      <c r="A2071" t="s">
        <v>60</v>
      </c>
      <c r="B2071" s="1">
        <v>46130</v>
      </c>
      <c r="C2071">
        <v>2378081114</v>
      </c>
      <c r="D2071">
        <v>2378081178</v>
      </c>
      <c r="E2071" t="str">
        <f>T("던전이 자꾸 이상한 짓을 시켜요 65화")</f>
        <v>던전이 자꾸 이상한 짓을 시켜요 65화</v>
      </c>
      <c r="F2071">
        <v>65</v>
      </c>
      <c r="G2071" t="str">
        <f>T("필밤")</f>
        <v>필밤</v>
      </c>
      <c r="J2071" t="str">
        <f>T("시계토끼")</f>
        <v>시계토끼</v>
      </c>
      <c r="K2071" t="str">
        <f>T("던전이 자꾸 이상한 짓을 시켜요")</f>
        <v>던전이 자꾸 이상한 짓을 시켜요</v>
      </c>
      <c r="L2071">
        <v>100</v>
      </c>
      <c r="M2071">
        <v>600</v>
      </c>
      <c r="N2071">
        <v>6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600</v>
      </c>
      <c r="AJ2071">
        <v>6</v>
      </c>
      <c r="AK2071">
        <v>0</v>
      </c>
      <c r="AL2071">
        <v>0</v>
      </c>
      <c r="AM2071">
        <v>500</v>
      </c>
      <c r="AN2071">
        <v>0</v>
      </c>
      <c r="AO2071">
        <v>120</v>
      </c>
      <c r="AP2071">
        <v>-12</v>
      </c>
      <c r="AQ2071">
        <v>0</v>
      </c>
      <c r="AS2071">
        <v>0</v>
      </c>
      <c r="AT2071">
        <v>0</v>
      </c>
      <c r="AU2071">
        <v>120</v>
      </c>
      <c r="AV2071">
        <v>-12</v>
      </c>
      <c r="AW2071">
        <v>0</v>
      </c>
      <c r="AY2071">
        <v>0</v>
      </c>
      <c r="AZ2071">
        <v>0</v>
      </c>
      <c r="BA2071">
        <v>364.8</v>
      </c>
      <c r="BF2071" t="str">
        <f>T("D268795")</f>
        <v>D268795</v>
      </c>
      <c r="BG2071" t="str">
        <f>T("로판 웹소설 &gt; 서양풍 로판")</f>
        <v>로판 웹소설 &gt; 서양풍 로판</v>
      </c>
    </row>
    <row r="2072" spans="1:59">
      <c r="A2072" t="s">
        <v>60</v>
      </c>
      <c r="B2072" s="1">
        <v>46130</v>
      </c>
      <c r="C2072">
        <v>2378081114</v>
      </c>
      <c r="D2072">
        <v>2378081242</v>
      </c>
      <c r="E2072" t="str">
        <f>T("던전이 자꾸 이상한 짓을 시켜요 88화")</f>
        <v>던전이 자꾸 이상한 짓을 시켜요 88화</v>
      </c>
      <c r="F2072">
        <v>88</v>
      </c>
      <c r="G2072" t="str">
        <f>T("필밤")</f>
        <v>필밤</v>
      </c>
      <c r="J2072" t="str">
        <f>T("시계토끼")</f>
        <v>시계토끼</v>
      </c>
      <c r="K2072" t="str">
        <f>T("던전이 자꾸 이상한 짓을 시켜요")</f>
        <v>던전이 자꾸 이상한 짓을 시켜요</v>
      </c>
      <c r="L2072">
        <v>100</v>
      </c>
      <c r="M2072">
        <v>1500</v>
      </c>
      <c r="N2072">
        <v>15</v>
      </c>
      <c r="O2072">
        <v>0</v>
      </c>
      <c r="P2072">
        <v>100</v>
      </c>
      <c r="Q2072">
        <v>1</v>
      </c>
      <c r="R2072">
        <v>1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1600</v>
      </c>
      <c r="AJ2072">
        <v>17</v>
      </c>
      <c r="AK2072">
        <v>0</v>
      </c>
      <c r="AL2072">
        <v>0</v>
      </c>
      <c r="AM2072">
        <v>1300</v>
      </c>
      <c r="AN2072">
        <v>0</v>
      </c>
      <c r="AO2072">
        <v>360</v>
      </c>
      <c r="AP2072">
        <v>-36</v>
      </c>
      <c r="AQ2072">
        <v>0</v>
      </c>
      <c r="AS2072">
        <v>0</v>
      </c>
      <c r="AT2072">
        <v>0</v>
      </c>
      <c r="AU2072">
        <v>240</v>
      </c>
      <c r="AV2072">
        <v>-24</v>
      </c>
      <c r="AW2072">
        <v>0</v>
      </c>
      <c r="AX2072">
        <v>120</v>
      </c>
      <c r="AY2072">
        <v>-12</v>
      </c>
      <c r="AZ2072">
        <v>0</v>
      </c>
      <c r="BA2072">
        <v>974.4</v>
      </c>
      <c r="BF2072" t="str">
        <f>T("D268818")</f>
        <v>D268818</v>
      </c>
      <c r="BG2072" t="str">
        <f>T("로판 웹소설 &gt; 서양풍 로판")</f>
        <v>로판 웹소설 &gt; 서양풍 로판</v>
      </c>
    </row>
    <row r="2073" spans="1:59">
      <c r="A2073" t="s">
        <v>60</v>
      </c>
      <c r="B2073" s="1">
        <v>46130</v>
      </c>
      <c r="C2073">
        <v>2378081114</v>
      </c>
      <c r="D2073">
        <v>2378081174</v>
      </c>
      <c r="E2073" t="str">
        <f>T("던전이 자꾸 이상한 짓을 시켜요 61화")</f>
        <v>던전이 자꾸 이상한 짓을 시켜요 61화</v>
      </c>
      <c r="F2073">
        <v>61</v>
      </c>
      <c r="G2073" t="str">
        <f>T("필밤")</f>
        <v>필밤</v>
      </c>
      <c r="J2073" t="str">
        <f>T("시계토끼")</f>
        <v>시계토끼</v>
      </c>
      <c r="K2073" t="str">
        <f>T("던전이 자꾸 이상한 짓을 시켜요")</f>
        <v>던전이 자꾸 이상한 짓을 시켜요</v>
      </c>
      <c r="L2073">
        <v>100</v>
      </c>
      <c r="M2073">
        <v>700</v>
      </c>
      <c r="N2073">
        <v>7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700</v>
      </c>
      <c r="AJ2073">
        <v>7</v>
      </c>
      <c r="AK2073">
        <v>0</v>
      </c>
      <c r="AL2073">
        <v>0</v>
      </c>
      <c r="AM2073">
        <v>600</v>
      </c>
      <c r="AN2073">
        <v>0</v>
      </c>
      <c r="AO2073">
        <v>120</v>
      </c>
      <c r="AP2073">
        <v>-12</v>
      </c>
      <c r="AQ2073">
        <v>0</v>
      </c>
      <c r="AS2073">
        <v>0</v>
      </c>
      <c r="AT2073">
        <v>0</v>
      </c>
      <c r="AU2073">
        <v>120</v>
      </c>
      <c r="AV2073">
        <v>-12</v>
      </c>
      <c r="AW2073">
        <v>0</v>
      </c>
      <c r="AY2073">
        <v>0</v>
      </c>
      <c r="AZ2073">
        <v>0</v>
      </c>
      <c r="BA2073">
        <v>424.8</v>
      </c>
      <c r="BF2073" t="str">
        <f>T("D268791")</f>
        <v>D268791</v>
      </c>
      <c r="BG2073" t="str">
        <f>T("로판 웹소설 &gt; 서양풍 로판")</f>
        <v>로판 웹소설 &gt; 서양풍 로판</v>
      </c>
    </row>
    <row r="2074" spans="1:59">
      <c r="A2074" t="s">
        <v>60</v>
      </c>
      <c r="B2074" s="1">
        <v>46130</v>
      </c>
      <c r="C2074">
        <v>2378081114</v>
      </c>
      <c r="D2074">
        <v>2378081188</v>
      </c>
      <c r="E2074" t="str">
        <f>T("던전이 자꾸 이상한 짓을 시켜요 75화")</f>
        <v>던전이 자꾸 이상한 짓을 시켜요 75화</v>
      </c>
      <c r="F2074">
        <v>75</v>
      </c>
      <c r="G2074" t="str">
        <f>T("필밤")</f>
        <v>필밤</v>
      </c>
      <c r="J2074" t="str">
        <f>T("시계토끼")</f>
        <v>시계토끼</v>
      </c>
      <c r="K2074" t="str">
        <f>T("던전이 자꾸 이상한 짓을 시켜요")</f>
        <v>던전이 자꾸 이상한 짓을 시켜요</v>
      </c>
      <c r="L2074">
        <v>100</v>
      </c>
      <c r="M2074">
        <v>300</v>
      </c>
      <c r="N2074">
        <v>3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300</v>
      </c>
      <c r="AJ2074">
        <v>3</v>
      </c>
      <c r="AK2074">
        <v>0</v>
      </c>
      <c r="AL2074">
        <v>0</v>
      </c>
      <c r="AM2074">
        <v>300</v>
      </c>
      <c r="AN2074">
        <v>0</v>
      </c>
      <c r="AO2074">
        <v>0</v>
      </c>
      <c r="AP2074">
        <v>0</v>
      </c>
      <c r="AQ2074">
        <v>0</v>
      </c>
      <c r="AS2074">
        <v>0</v>
      </c>
      <c r="AT2074">
        <v>0</v>
      </c>
      <c r="AV2074">
        <v>0</v>
      </c>
      <c r="AW2074">
        <v>0</v>
      </c>
      <c r="AY2074">
        <v>0</v>
      </c>
      <c r="AZ2074">
        <v>0</v>
      </c>
      <c r="BA2074">
        <v>180</v>
      </c>
      <c r="BF2074" t="str">
        <f>T("D268805")</f>
        <v>D268805</v>
      </c>
      <c r="BG2074" t="str">
        <f>T("로판 웹소설 &gt; 서양풍 로판")</f>
        <v>로판 웹소설 &gt; 서양풍 로판</v>
      </c>
    </row>
    <row r="2075" spans="1:59">
      <c r="A2075" t="s">
        <v>60</v>
      </c>
      <c r="B2075" s="1">
        <v>46130</v>
      </c>
      <c r="C2075">
        <v>2378081114</v>
      </c>
      <c r="D2075">
        <v>2378081166</v>
      </c>
      <c r="E2075" t="str">
        <f>T("던전이 자꾸 이상한 짓을 시켜요 53화")</f>
        <v>던전이 자꾸 이상한 짓을 시켜요 53화</v>
      </c>
      <c r="F2075">
        <v>53</v>
      </c>
      <c r="G2075" t="str">
        <f>T("필밤")</f>
        <v>필밤</v>
      </c>
      <c r="J2075" t="str">
        <f>T("시계토끼")</f>
        <v>시계토끼</v>
      </c>
      <c r="K2075" t="str">
        <f>T("던전이 자꾸 이상한 짓을 시켜요")</f>
        <v>던전이 자꾸 이상한 짓을 시켜요</v>
      </c>
      <c r="L2075">
        <v>100</v>
      </c>
      <c r="M2075">
        <v>800</v>
      </c>
      <c r="N2075">
        <v>8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800</v>
      </c>
      <c r="AJ2075">
        <v>8</v>
      </c>
      <c r="AK2075">
        <v>0</v>
      </c>
      <c r="AL2075">
        <v>0</v>
      </c>
      <c r="AM2075">
        <v>800</v>
      </c>
      <c r="AN2075">
        <v>0</v>
      </c>
      <c r="AO2075">
        <v>0</v>
      </c>
      <c r="AP2075">
        <v>0</v>
      </c>
      <c r="AQ2075">
        <v>0</v>
      </c>
      <c r="AS2075">
        <v>0</v>
      </c>
      <c r="AT2075">
        <v>0</v>
      </c>
      <c r="AV2075">
        <v>0</v>
      </c>
      <c r="AW2075">
        <v>0</v>
      </c>
      <c r="AY2075">
        <v>0</v>
      </c>
      <c r="AZ2075">
        <v>0</v>
      </c>
      <c r="BA2075">
        <v>480</v>
      </c>
      <c r="BF2075" t="str">
        <f>T("D268783")</f>
        <v>D268783</v>
      </c>
      <c r="BG2075" t="str">
        <f>T("로판 웹소설 &gt; 서양풍 로판")</f>
        <v>로판 웹소설 &gt; 서양풍 로판</v>
      </c>
    </row>
    <row r="2076" spans="1:59">
      <c r="A2076" t="s">
        <v>60</v>
      </c>
      <c r="B2076" s="1">
        <v>46130</v>
      </c>
      <c r="C2076">
        <v>2378081114</v>
      </c>
      <c r="D2076">
        <v>2378081167</v>
      </c>
      <c r="E2076" t="str">
        <f>T("던전이 자꾸 이상한 짓을 시켜요 54화")</f>
        <v>던전이 자꾸 이상한 짓을 시켜요 54화</v>
      </c>
      <c r="F2076">
        <v>54</v>
      </c>
      <c r="G2076" t="str">
        <f>T("필밤")</f>
        <v>필밤</v>
      </c>
      <c r="J2076" t="str">
        <f>T("시계토끼")</f>
        <v>시계토끼</v>
      </c>
      <c r="K2076" t="str">
        <f>T("던전이 자꾸 이상한 짓을 시켜요")</f>
        <v>던전이 자꾸 이상한 짓을 시켜요</v>
      </c>
      <c r="L2076">
        <v>100</v>
      </c>
      <c r="M2076">
        <v>700</v>
      </c>
      <c r="N2076">
        <v>7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700</v>
      </c>
      <c r="AJ2076">
        <v>7</v>
      </c>
      <c r="AK2076">
        <v>0</v>
      </c>
      <c r="AL2076">
        <v>0</v>
      </c>
      <c r="AM2076">
        <v>700</v>
      </c>
      <c r="AN2076">
        <v>0</v>
      </c>
      <c r="AO2076">
        <v>0</v>
      </c>
      <c r="AP2076">
        <v>0</v>
      </c>
      <c r="AQ2076">
        <v>0</v>
      </c>
      <c r="AS2076">
        <v>0</v>
      </c>
      <c r="AT2076">
        <v>0</v>
      </c>
      <c r="AV2076">
        <v>0</v>
      </c>
      <c r="AW2076">
        <v>0</v>
      </c>
      <c r="AY2076">
        <v>0</v>
      </c>
      <c r="AZ2076">
        <v>0</v>
      </c>
      <c r="BA2076">
        <v>420</v>
      </c>
      <c r="BF2076" t="str">
        <f>T("D268784")</f>
        <v>D268784</v>
      </c>
      <c r="BG2076" t="str">
        <f>T("로판 웹소설 &gt; 서양풍 로판")</f>
        <v>로판 웹소설 &gt; 서양풍 로판</v>
      </c>
    </row>
    <row r="2077" spans="1:59">
      <c r="A2077" t="s">
        <v>60</v>
      </c>
      <c r="B2077" s="1">
        <v>46130</v>
      </c>
      <c r="C2077">
        <v>2378081114</v>
      </c>
      <c r="D2077">
        <v>2378081156</v>
      </c>
      <c r="E2077" t="str">
        <f>T("던전이 자꾸 이상한 짓을 시켜요 43화")</f>
        <v>던전이 자꾸 이상한 짓을 시켜요 43화</v>
      </c>
      <c r="F2077">
        <v>43</v>
      </c>
      <c r="G2077" t="str">
        <f>T("필밤")</f>
        <v>필밤</v>
      </c>
      <c r="J2077" t="str">
        <f>T("시계토끼")</f>
        <v>시계토끼</v>
      </c>
      <c r="K2077" t="str">
        <f>T("던전이 자꾸 이상한 짓을 시켜요")</f>
        <v>던전이 자꾸 이상한 짓을 시켜요</v>
      </c>
      <c r="L2077">
        <v>100</v>
      </c>
      <c r="M2077">
        <v>800</v>
      </c>
      <c r="N2077">
        <v>8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800</v>
      </c>
      <c r="AJ2077">
        <v>8</v>
      </c>
      <c r="AK2077">
        <v>0</v>
      </c>
      <c r="AL2077">
        <v>0</v>
      </c>
      <c r="AM2077">
        <v>600</v>
      </c>
      <c r="AN2077">
        <v>0</v>
      </c>
      <c r="AO2077">
        <v>240</v>
      </c>
      <c r="AP2077">
        <v>-48</v>
      </c>
      <c r="AQ2077">
        <v>0</v>
      </c>
      <c r="AR2077">
        <v>120</v>
      </c>
      <c r="AS2077">
        <v>-36</v>
      </c>
      <c r="AT2077">
        <v>0</v>
      </c>
      <c r="AV2077">
        <v>0</v>
      </c>
      <c r="AW2077">
        <v>0</v>
      </c>
      <c r="AX2077">
        <v>120</v>
      </c>
      <c r="AY2077">
        <v>-12</v>
      </c>
      <c r="AZ2077">
        <v>0</v>
      </c>
      <c r="BA2077">
        <v>475.2</v>
      </c>
      <c r="BF2077" t="str">
        <f>T("D268773")</f>
        <v>D268773</v>
      </c>
      <c r="BG2077" t="str">
        <f>T("로판 웹소설 &gt; 서양풍 로판")</f>
        <v>로판 웹소설 &gt; 서양풍 로판</v>
      </c>
    </row>
    <row r="2078" spans="1:59">
      <c r="A2078" t="s">
        <v>60</v>
      </c>
      <c r="B2078" s="1">
        <v>46130</v>
      </c>
      <c r="C2078">
        <v>2378081114</v>
      </c>
      <c r="D2078">
        <v>2378081160</v>
      </c>
      <c r="E2078" t="str">
        <f>T("던전이 자꾸 이상한 짓을 시켜요 47화")</f>
        <v>던전이 자꾸 이상한 짓을 시켜요 47화</v>
      </c>
      <c r="F2078">
        <v>47</v>
      </c>
      <c r="G2078" t="str">
        <f>T("필밤")</f>
        <v>필밤</v>
      </c>
      <c r="J2078" t="str">
        <f>T("시계토끼")</f>
        <v>시계토끼</v>
      </c>
      <c r="K2078" t="str">
        <f>T("던전이 자꾸 이상한 짓을 시켜요")</f>
        <v>던전이 자꾸 이상한 짓을 시켜요</v>
      </c>
      <c r="L2078">
        <v>100</v>
      </c>
      <c r="M2078">
        <v>600</v>
      </c>
      <c r="N2078">
        <v>6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600</v>
      </c>
      <c r="AJ2078">
        <v>6</v>
      </c>
      <c r="AK2078">
        <v>0</v>
      </c>
      <c r="AL2078">
        <v>0</v>
      </c>
      <c r="AM2078">
        <v>600</v>
      </c>
      <c r="AN2078">
        <v>0</v>
      </c>
      <c r="AO2078">
        <v>0</v>
      </c>
      <c r="AP2078">
        <v>0</v>
      </c>
      <c r="AQ2078">
        <v>0</v>
      </c>
      <c r="AS2078">
        <v>0</v>
      </c>
      <c r="AT2078">
        <v>0</v>
      </c>
      <c r="AV2078">
        <v>0</v>
      </c>
      <c r="AW2078">
        <v>0</v>
      </c>
      <c r="AY2078">
        <v>0</v>
      </c>
      <c r="AZ2078">
        <v>0</v>
      </c>
      <c r="BA2078">
        <v>360</v>
      </c>
      <c r="BF2078" t="str">
        <f>T("D268777")</f>
        <v>D268777</v>
      </c>
      <c r="BG2078" t="str">
        <f>T("로판 웹소설 &gt; 서양풍 로판")</f>
        <v>로판 웹소설 &gt; 서양풍 로판</v>
      </c>
    </row>
    <row r="2079" spans="1:59">
      <c r="A2079" t="s">
        <v>60</v>
      </c>
      <c r="B2079" s="1">
        <v>46130</v>
      </c>
      <c r="C2079">
        <v>2378081114</v>
      </c>
      <c r="D2079">
        <v>2378081161</v>
      </c>
      <c r="E2079" t="str">
        <f>T("던전이 자꾸 이상한 짓을 시켜요 48화")</f>
        <v>던전이 자꾸 이상한 짓을 시켜요 48화</v>
      </c>
      <c r="F2079">
        <v>48</v>
      </c>
      <c r="G2079" t="str">
        <f>T("필밤")</f>
        <v>필밤</v>
      </c>
      <c r="J2079" t="str">
        <f>T("시계토끼")</f>
        <v>시계토끼</v>
      </c>
      <c r="K2079" t="str">
        <f>T("던전이 자꾸 이상한 짓을 시켜요")</f>
        <v>던전이 자꾸 이상한 짓을 시켜요</v>
      </c>
      <c r="L2079">
        <v>100</v>
      </c>
      <c r="M2079">
        <v>800</v>
      </c>
      <c r="N2079">
        <v>8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800</v>
      </c>
      <c r="AJ2079">
        <v>8</v>
      </c>
      <c r="AK2079">
        <v>0</v>
      </c>
      <c r="AL2079">
        <v>0</v>
      </c>
      <c r="AM2079">
        <v>800</v>
      </c>
      <c r="AN2079">
        <v>0</v>
      </c>
      <c r="AO2079">
        <v>0</v>
      </c>
      <c r="AP2079">
        <v>0</v>
      </c>
      <c r="AQ2079">
        <v>0</v>
      </c>
      <c r="AS2079">
        <v>0</v>
      </c>
      <c r="AT2079">
        <v>0</v>
      </c>
      <c r="AV2079">
        <v>0</v>
      </c>
      <c r="AW2079">
        <v>0</v>
      </c>
      <c r="AY2079">
        <v>0</v>
      </c>
      <c r="AZ2079">
        <v>0</v>
      </c>
      <c r="BA2079">
        <v>480</v>
      </c>
      <c r="BF2079" t="str">
        <f>T("D268778")</f>
        <v>D268778</v>
      </c>
      <c r="BG2079" t="str">
        <f>T("로판 웹소설 &gt; 서양풍 로판")</f>
        <v>로판 웹소설 &gt; 서양풍 로판</v>
      </c>
    </row>
    <row r="2080" spans="1:59">
      <c r="A2080" t="s">
        <v>60</v>
      </c>
      <c r="B2080" s="1">
        <v>46130</v>
      </c>
      <c r="C2080">
        <v>2378081114</v>
      </c>
      <c r="D2080">
        <v>2378081135</v>
      </c>
      <c r="E2080" t="str">
        <f>T("던전이 자꾸 이상한 짓을 시켜요 22화")</f>
        <v>던전이 자꾸 이상한 짓을 시켜요 22화</v>
      </c>
      <c r="F2080">
        <v>22</v>
      </c>
      <c r="G2080" t="str">
        <f>T("필밤")</f>
        <v>필밤</v>
      </c>
      <c r="J2080" t="str">
        <f>T("시계토끼")</f>
        <v>시계토끼</v>
      </c>
      <c r="K2080" t="str">
        <f>T("던전이 자꾸 이상한 짓을 시켜요")</f>
        <v>던전이 자꾸 이상한 짓을 시켜요</v>
      </c>
      <c r="L2080">
        <v>100</v>
      </c>
      <c r="M2080">
        <v>800</v>
      </c>
      <c r="N2080">
        <v>8</v>
      </c>
      <c r="O2080">
        <v>0</v>
      </c>
      <c r="P2080">
        <v>0</v>
      </c>
      <c r="Q2080">
        <v>0</v>
      </c>
      <c r="R2080">
        <v>9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800</v>
      </c>
      <c r="AJ2080">
        <v>17</v>
      </c>
      <c r="AK2080">
        <v>0</v>
      </c>
      <c r="AL2080">
        <v>0</v>
      </c>
      <c r="AM2080">
        <v>600</v>
      </c>
      <c r="AN2080">
        <v>0</v>
      </c>
      <c r="AO2080">
        <v>240</v>
      </c>
      <c r="AP2080">
        <v>-72</v>
      </c>
      <c r="AQ2080">
        <v>0</v>
      </c>
      <c r="AR2080">
        <v>240</v>
      </c>
      <c r="AS2080">
        <v>-72</v>
      </c>
      <c r="AT2080">
        <v>0</v>
      </c>
      <c r="AV2080">
        <v>0</v>
      </c>
      <c r="AW2080">
        <v>0</v>
      </c>
      <c r="AY2080">
        <v>0</v>
      </c>
      <c r="AZ2080">
        <v>0</v>
      </c>
      <c r="BA2080">
        <v>460.8</v>
      </c>
      <c r="BF2080" t="str">
        <f>T("D268752")</f>
        <v>D268752</v>
      </c>
      <c r="BG2080" t="str">
        <f>T("로판 웹소설 &gt; 서양풍 로판")</f>
        <v>로판 웹소설 &gt; 서양풍 로판</v>
      </c>
    </row>
    <row r="2081" spans="1:59">
      <c r="A2081" t="s">
        <v>60</v>
      </c>
      <c r="B2081" s="1">
        <v>46130</v>
      </c>
      <c r="C2081">
        <v>2378081114</v>
      </c>
      <c r="D2081">
        <v>2378081136</v>
      </c>
      <c r="E2081" t="str">
        <f>T("던전이 자꾸 이상한 짓을 시켜요 23화")</f>
        <v>던전이 자꾸 이상한 짓을 시켜요 23화</v>
      </c>
      <c r="F2081">
        <v>23</v>
      </c>
      <c r="G2081" t="str">
        <f>T("필밤")</f>
        <v>필밤</v>
      </c>
      <c r="J2081" t="str">
        <f>T("시계토끼")</f>
        <v>시계토끼</v>
      </c>
      <c r="K2081" t="str">
        <f>T("던전이 자꾸 이상한 짓을 시켜요")</f>
        <v>던전이 자꾸 이상한 짓을 시켜요</v>
      </c>
      <c r="L2081">
        <v>100</v>
      </c>
      <c r="M2081">
        <v>1000</v>
      </c>
      <c r="N2081">
        <v>10</v>
      </c>
      <c r="O2081">
        <v>0</v>
      </c>
      <c r="P2081">
        <v>0</v>
      </c>
      <c r="Q2081">
        <v>0</v>
      </c>
      <c r="R2081">
        <v>8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1000</v>
      </c>
      <c r="AJ2081">
        <v>18</v>
      </c>
      <c r="AK2081">
        <v>0</v>
      </c>
      <c r="AL2081">
        <v>0</v>
      </c>
      <c r="AM2081">
        <v>800</v>
      </c>
      <c r="AN2081">
        <v>0</v>
      </c>
      <c r="AO2081">
        <v>240</v>
      </c>
      <c r="AP2081">
        <v>-72</v>
      </c>
      <c r="AQ2081">
        <v>0</v>
      </c>
      <c r="AR2081">
        <v>240</v>
      </c>
      <c r="AS2081">
        <v>-72</v>
      </c>
      <c r="AT2081">
        <v>0</v>
      </c>
      <c r="AV2081">
        <v>0</v>
      </c>
      <c r="AW2081">
        <v>0</v>
      </c>
      <c r="AY2081">
        <v>0</v>
      </c>
      <c r="AZ2081">
        <v>0</v>
      </c>
      <c r="BA2081">
        <v>580.79999999999995</v>
      </c>
      <c r="BF2081" t="str">
        <f>T("D268753")</f>
        <v>D268753</v>
      </c>
      <c r="BG2081" t="str">
        <f>T("로판 웹소설 &gt; 서양풍 로판")</f>
        <v>로판 웹소설 &gt; 서양풍 로판</v>
      </c>
    </row>
    <row r="2082" spans="1:59">
      <c r="A2082" t="s">
        <v>60</v>
      </c>
      <c r="B2082" s="1">
        <v>46130</v>
      </c>
      <c r="C2082">
        <v>2378081114</v>
      </c>
      <c r="D2082">
        <v>2378081162</v>
      </c>
      <c r="E2082" t="str">
        <f>T("던전이 자꾸 이상한 짓을 시켜요 49화")</f>
        <v>던전이 자꾸 이상한 짓을 시켜요 49화</v>
      </c>
      <c r="F2082">
        <v>49</v>
      </c>
      <c r="G2082" t="str">
        <f>T("필밤")</f>
        <v>필밤</v>
      </c>
      <c r="J2082" t="str">
        <f>T("시계토끼")</f>
        <v>시계토끼</v>
      </c>
      <c r="K2082" t="str">
        <f>T("던전이 자꾸 이상한 짓을 시켜요")</f>
        <v>던전이 자꾸 이상한 짓을 시켜요</v>
      </c>
      <c r="L2082">
        <v>100</v>
      </c>
      <c r="M2082">
        <v>800</v>
      </c>
      <c r="N2082">
        <v>8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800</v>
      </c>
      <c r="AJ2082">
        <v>8</v>
      </c>
      <c r="AK2082">
        <v>0</v>
      </c>
      <c r="AL2082">
        <v>0</v>
      </c>
      <c r="AM2082">
        <v>700</v>
      </c>
      <c r="AN2082">
        <v>0</v>
      </c>
      <c r="AO2082">
        <v>120</v>
      </c>
      <c r="AP2082">
        <v>-12</v>
      </c>
      <c r="AQ2082">
        <v>0</v>
      </c>
      <c r="AS2082">
        <v>0</v>
      </c>
      <c r="AT2082">
        <v>0</v>
      </c>
      <c r="AV2082">
        <v>0</v>
      </c>
      <c r="AW2082">
        <v>0</v>
      </c>
      <c r="AX2082">
        <v>120</v>
      </c>
      <c r="AY2082">
        <v>-12</v>
      </c>
      <c r="AZ2082">
        <v>0</v>
      </c>
      <c r="BA2082">
        <v>484.8</v>
      </c>
      <c r="BF2082" t="str">
        <f>T("D268779")</f>
        <v>D268779</v>
      </c>
      <c r="BG2082" t="str">
        <f>T("로판 웹소설 &gt; 서양풍 로판")</f>
        <v>로판 웹소설 &gt; 서양풍 로판</v>
      </c>
    </row>
    <row r="2083" spans="1:59">
      <c r="A2083" t="s">
        <v>60</v>
      </c>
      <c r="B2083" s="1">
        <v>46130</v>
      </c>
      <c r="C2083">
        <v>2378081114</v>
      </c>
      <c r="D2083">
        <v>2378081164</v>
      </c>
      <c r="E2083" t="str">
        <f>T("던전이 자꾸 이상한 짓을 시켜요 51화")</f>
        <v>던전이 자꾸 이상한 짓을 시켜요 51화</v>
      </c>
      <c r="F2083">
        <v>51</v>
      </c>
      <c r="G2083" t="str">
        <f>T("필밤")</f>
        <v>필밤</v>
      </c>
      <c r="J2083" t="str">
        <f>T("시계토끼")</f>
        <v>시계토끼</v>
      </c>
      <c r="K2083" t="str">
        <f>T("던전이 자꾸 이상한 짓을 시켜요")</f>
        <v>던전이 자꾸 이상한 짓을 시켜요</v>
      </c>
      <c r="L2083">
        <v>100</v>
      </c>
      <c r="M2083">
        <v>800</v>
      </c>
      <c r="N2083">
        <v>8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800</v>
      </c>
      <c r="AJ2083">
        <v>8</v>
      </c>
      <c r="AK2083">
        <v>0</v>
      </c>
      <c r="AL2083">
        <v>0</v>
      </c>
      <c r="AM2083">
        <v>700</v>
      </c>
      <c r="AN2083">
        <v>0</v>
      </c>
      <c r="AO2083">
        <v>120</v>
      </c>
      <c r="AP2083">
        <v>-12</v>
      </c>
      <c r="AQ2083">
        <v>0</v>
      </c>
      <c r="AS2083">
        <v>0</v>
      </c>
      <c r="AT2083">
        <v>0</v>
      </c>
      <c r="AV2083">
        <v>0</v>
      </c>
      <c r="AW2083">
        <v>0</v>
      </c>
      <c r="AX2083">
        <v>120</v>
      </c>
      <c r="AY2083">
        <v>-12</v>
      </c>
      <c r="AZ2083">
        <v>0</v>
      </c>
      <c r="BA2083">
        <v>484.8</v>
      </c>
      <c r="BF2083" t="str">
        <f>T("D268781")</f>
        <v>D268781</v>
      </c>
      <c r="BG2083" t="str">
        <f>T("로판 웹소설 &gt; 서양풍 로판")</f>
        <v>로판 웹소설 &gt; 서양풍 로판</v>
      </c>
    </row>
    <row r="2084" spans="1:59">
      <c r="A2084" t="s">
        <v>60</v>
      </c>
      <c r="B2084" s="1">
        <v>46130</v>
      </c>
      <c r="C2084">
        <v>2378081114</v>
      </c>
      <c r="D2084">
        <v>2378081165</v>
      </c>
      <c r="E2084" t="str">
        <f>T("던전이 자꾸 이상한 짓을 시켜요 52화")</f>
        <v>던전이 자꾸 이상한 짓을 시켜요 52화</v>
      </c>
      <c r="F2084">
        <v>52</v>
      </c>
      <c r="G2084" t="str">
        <f>T("필밤")</f>
        <v>필밤</v>
      </c>
      <c r="J2084" t="str">
        <f>T("시계토끼")</f>
        <v>시계토끼</v>
      </c>
      <c r="K2084" t="str">
        <f>T("던전이 자꾸 이상한 짓을 시켜요")</f>
        <v>던전이 자꾸 이상한 짓을 시켜요</v>
      </c>
      <c r="L2084">
        <v>100</v>
      </c>
      <c r="M2084">
        <v>900</v>
      </c>
      <c r="N2084">
        <v>9</v>
      </c>
      <c r="O2084">
        <v>0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900</v>
      </c>
      <c r="AJ2084">
        <v>9</v>
      </c>
      <c r="AK2084">
        <v>0</v>
      </c>
      <c r="AL2084">
        <v>0</v>
      </c>
      <c r="AM2084">
        <v>800</v>
      </c>
      <c r="AN2084">
        <v>0</v>
      </c>
      <c r="AO2084">
        <v>120</v>
      </c>
      <c r="AP2084">
        <v>-12</v>
      </c>
      <c r="AQ2084">
        <v>0</v>
      </c>
      <c r="AS2084">
        <v>0</v>
      </c>
      <c r="AT2084">
        <v>0</v>
      </c>
      <c r="AV2084">
        <v>0</v>
      </c>
      <c r="AW2084">
        <v>0</v>
      </c>
      <c r="AX2084">
        <v>120</v>
      </c>
      <c r="AY2084">
        <v>-12</v>
      </c>
      <c r="AZ2084">
        <v>0</v>
      </c>
      <c r="BA2084">
        <v>544.79999999999995</v>
      </c>
      <c r="BF2084" t="str">
        <f>T("D268782")</f>
        <v>D268782</v>
      </c>
      <c r="BG2084" t="str">
        <f>T("로판 웹소설 &gt; 서양풍 로판")</f>
        <v>로판 웹소설 &gt; 서양풍 로판</v>
      </c>
    </row>
    <row r="2085" spans="1:59">
      <c r="A2085" t="s">
        <v>60</v>
      </c>
      <c r="B2085" s="1">
        <v>46130</v>
      </c>
      <c r="C2085">
        <v>2378081114</v>
      </c>
      <c r="D2085">
        <v>2378081172</v>
      </c>
      <c r="E2085" t="str">
        <f>T("던전이 자꾸 이상한 짓을 시켜요 59화")</f>
        <v>던전이 자꾸 이상한 짓을 시켜요 59화</v>
      </c>
      <c r="F2085">
        <v>59</v>
      </c>
      <c r="G2085" t="str">
        <f>T("필밤")</f>
        <v>필밤</v>
      </c>
      <c r="J2085" t="str">
        <f>T("시계토끼")</f>
        <v>시계토끼</v>
      </c>
      <c r="K2085" t="str">
        <f>T("던전이 자꾸 이상한 짓을 시켜요")</f>
        <v>던전이 자꾸 이상한 짓을 시켜요</v>
      </c>
      <c r="L2085">
        <v>100</v>
      </c>
      <c r="M2085">
        <v>800</v>
      </c>
      <c r="N2085">
        <v>8</v>
      </c>
      <c r="O2085">
        <v>0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800</v>
      </c>
      <c r="AJ2085">
        <v>8</v>
      </c>
      <c r="AK2085">
        <v>0</v>
      </c>
      <c r="AL2085">
        <v>0</v>
      </c>
      <c r="AM2085">
        <v>700</v>
      </c>
      <c r="AN2085">
        <v>0</v>
      </c>
      <c r="AO2085">
        <v>120</v>
      </c>
      <c r="AP2085">
        <v>-12</v>
      </c>
      <c r="AQ2085">
        <v>0</v>
      </c>
      <c r="AS2085">
        <v>0</v>
      </c>
      <c r="AT2085">
        <v>0</v>
      </c>
      <c r="AU2085">
        <v>120</v>
      </c>
      <c r="AV2085">
        <v>-12</v>
      </c>
      <c r="AW2085">
        <v>0</v>
      </c>
      <c r="AY2085">
        <v>0</v>
      </c>
      <c r="AZ2085">
        <v>0</v>
      </c>
      <c r="BA2085">
        <v>484.8</v>
      </c>
      <c r="BF2085" t="str">
        <f>T("D268789")</f>
        <v>D268789</v>
      </c>
      <c r="BG2085" t="str">
        <f>T("로판 웹소설 &gt; 서양풍 로판")</f>
        <v>로판 웹소설 &gt; 서양풍 로판</v>
      </c>
    </row>
    <row r="2086" spans="1:59">
      <c r="A2086" t="s">
        <v>60</v>
      </c>
      <c r="B2086" s="1">
        <v>46130</v>
      </c>
      <c r="C2086">
        <v>2378081114</v>
      </c>
      <c r="D2086">
        <v>2378081176</v>
      </c>
      <c r="E2086" t="str">
        <f>T("던전이 자꾸 이상한 짓을 시켜요 63화")</f>
        <v>던전이 자꾸 이상한 짓을 시켜요 63화</v>
      </c>
      <c r="F2086">
        <v>63</v>
      </c>
      <c r="G2086" t="str">
        <f>T("필밤")</f>
        <v>필밤</v>
      </c>
      <c r="J2086" t="str">
        <f>T("시계토끼")</f>
        <v>시계토끼</v>
      </c>
      <c r="K2086" t="str">
        <f>T("던전이 자꾸 이상한 짓을 시켜요")</f>
        <v>던전이 자꾸 이상한 짓을 시켜요</v>
      </c>
      <c r="L2086">
        <v>100</v>
      </c>
      <c r="M2086">
        <v>600</v>
      </c>
      <c r="N2086">
        <v>6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600</v>
      </c>
      <c r="AJ2086">
        <v>6</v>
      </c>
      <c r="AK2086">
        <v>0</v>
      </c>
      <c r="AL2086">
        <v>0</v>
      </c>
      <c r="AM2086">
        <v>500</v>
      </c>
      <c r="AN2086">
        <v>0</v>
      </c>
      <c r="AO2086">
        <v>120</v>
      </c>
      <c r="AP2086">
        <v>-12</v>
      </c>
      <c r="AQ2086">
        <v>0</v>
      </c>
      <c r="AS2086">
        <v>0</v>
      </c>
      <c r="AT2086">
        <v>0</v>
      </c>
      <c r="AU2086">
        <v>120</v>
      </c>
      <c r="AV2086">
        <v>-12</v>
      </c>
      <c r="AW2086">
        <v>0</v>
      </c>
      <c r="AY2086">
        <v>0</v>
      </c>
      <c r="AZ2086">
        <v>0</v>
      </c>
      <c r="BA2086">
        <v>364.8</v>
      </c>
      <c r="BF2086" t="str">
        <f>T("D268793")</f>
        <v>D268793</v>
      </c>
      <c r="BG2086" t="str">
        <f>T("로판 웹소설 &gt; 서양풍 로판")</f>
        <v>로판 웹소설 &gt; 서양풍 로판</v>
      </c>
    </row>
    <row r="2087" spans="1:59">
      <c r="A2087" t="s">
        <v>60</v>
      </c>
      <c r="B2087" s="1">
        <v>46130</v>
      </c>
      <c r="C2087">
        <v>2378081114</v>
      </c>
      <c r="D2087">
        <v>2378081181</v>
      </c>
      <c r="E2087" t="str">
        <f>T("던전이 자꾸 이상한 짓을 시켜요 68화")</f>
        <v>던전이 자꾸 이상한 짓을 시켜요 68화</v>
      </c>
      <c r="F2087">
        <v>68</v>
      </c>
      <c r="G2087" t="str">
        <f>T("필밤")</f>
        <v>필밤</v>
      </c>
      <c r="J2087" t="str">
        <f>T("시계토끼")</f>
        <v>시계토끼</v>
      </c>
      <c r="K2087" t="str">
        <f>T("던전이 자꾸 이상한 짓을 시켜요")</f>
        <v>던전이 자꾸 이상한 짓을 시켜요</v>
      </c>
      <c r="L2087">
        <v>100</v>
      </c>
      <c r="M2087">
        <v>700</v>
      </c>
      <c r="N2087">
        <v>7</v>
      </c>
      <c r="O2087">
        <v>0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700</v>
      </c>
      <c r="AJ2087">
        <v>7</v>
      </c>
      <c r="AK2087">
        <v>0</v>
      </c>
      <c r="AL2087">
        <v>0</v>
      </c>
      <c r="AM2087">
        <v>700</v>
      </c>
      <c r="AN2087">
        <v>0</v>
      </c>
      <c r="AO2087">
        <v>0</v>
      </c>
      <c r="AP2087">
        <v>0</v>
      </c>
      <c r="AQ2087">
        <v>0</v>
      </c>
      <c r="AS2087">
        <v>0</v>
      </c>
      <c r="AT2087">
        <v>0</v>
      </c>
      <c r="AV2087">
        <v>0</v>
      </c>
      <c r="AW2087">
        <v>0</v>
      </c>
      <c r="AY2087">
        <v>0</v>
      </c>
      <c r="AZ2087">
        <v>0</v>
      </c>
      <c r="BA2087">
        <v>420</v>
      </c>
      <c r="BF2087" t="str">
        <f>T("D268798")</f>
        <v>D268798</v>
      </c>
      <c r="BG2087" t="str">
        <f>T("로판 웹소설 &gt; 서양풍 로판")</f>
        <v>로판 웹소설 &gt; 서양풍 로판</v>
      </c>
    </row>
    <row r="2088" spans="1:59">
      <c r="A2088" t="s">
        <v>60</v>
      </c>
      <c r="B2088" s="1">
        <v>46130</v>
      </c>
      <c r="C2088">
        <v>2378081114</v>
      </c>
      <c r="D2088">
        <v>2378081184</v>
      </c>
      <c r="E2088" t="str">
        <f>T("던전이 자꾸 이상한 짓을 시켜요 71화")</f>
        <v>던전이 자꾸 이상한 짓을 시켜요 71화</v>
      </c>
      <c r="F2088">
        <v>71</v>
      </c>
      <c r="G2088" t="str">
        <f>T("필밤")</f>
        <v>필밤</v>
      </c>
      <c r="J2088" t="str">
        <f>T("시계토끼")</f>
        <v>시계토끼</v>
      </c>
      <c r="K2088" t="str">
        <f>T("던전이 자꾸 이상한 짓을 시켜요")</f>
        <v>던전이 자꾸 이상한 짓을 시켜요</v>
      </c>
      <c r="L2088">
        <v>100</v>
      </c>
      <c r="M2088">
        <v>600</v>
      </c>
      <c r="N2088">
        <v>6</v>
      </c>
      <c r="O2088">
        <v>0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600</v>
      </c>
      <c r="AJ2088">
        <v>6</v>
      </c>
      <c r="AK2088">
        <v>0</v>
      </c>
      <c r="AL2088">
        <v>0</v>
      </c>
      <c r="AM2088">
        <v>600</v>
      </c>
      <c r="AN2088">
        <v>0</v>
      </c>
      <c r="AO2088">
        <v>0</v>
      </c>
      <c r="AP2088">
        <v>0</v>
      </c>
      <c r="AQ2088">
        <v>0</v>
      </c>
      <c r="AS2088">
        <v>0</v>
      </c>
      <c r="AT2088">
        <v>0</v>
      </c>
      <c r="AV2088">
        <v>0</v>
      </c>
      <c r="AW2088">
        <v>0</v>
      </c>
      <c r="AY2088">
        <v>0</v>
      </c>
      <c r="AZ2088">
        <v>0</v>
      </c>
      <c r="BA2088">
        <v>360</v>
      </c>
      <c r="BF2088" t="str">
        <f>T("D268801")</f>
        <v>D268801</v>
      </c>
      <c r="BG2088" t="str">
        <f>T("로판 웹소설 &gt; 서양풍 로판")</f>
        <v>로판 웹소설 &gt; 서양풍 로판</v>
      </c>
    </row>
    <row r="2089" spans="1:59">
      <c r="A2089" t="s">
        <v>60</v>
      </c>
      <c r="B2089" s="1">
        <v>46131</v>
      </c>
      <c r="C2089">
        <v>2378081114</v>
      </c>
      <c r="D2089">
        <v>2378081129</v>
      </c>
      <c r="E2089" t="str">
        <f>T("던전이 자꾸 이상한 짓을 시켜요 16화")</f>
        <v>던전이 자꾸 이상한 짓을 시켜요 16화</v>
      </c>
      <c r="F2089">
        <v>16</v>
      </c>
      <c r="G2089" t="str">
        <f>T("필밤")</f>
        <v>필밤</v>
      </c>
      <c r="J2089" t="str">
        <f>T("시계토끼")</f>
        <v>시계토끼</v>
      </c>
      <c r="K2089" t="str">
        <f>T("던전이 자꾸 이상한 짓을 시켜요")</f>
        <v>던전이 자꾸 이상한 짓을 시켜요</v>
      </c>
      <c r="L2089">
        <v>100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52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52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S2089">
        <v>0</v>
      </c>
      <c r="AT2089">
        <v>0</v>
      </c>
      <c r="AV2089">
        <v>0</v>
      </c>
      <c r="AW2089">
        <v>0</v>
      </c>
      <c r="AY2089">
        <v>0</v>
      </c>
      <c r="AZ2089">
        <v>0</v>
      </c>
      <c r="BA2089">
        <v>0</v>
      </c>
      <c r="BF2089" t="str">
        <f>T("D268746")</f>
        <v>D268746</v>
      </c>
      <c r="BG2089" t="str">
        <f>T("로판 웹소설 &gt; 서양풍 로판")</f>
        <v>로판 웹소설 &gt; 서양풍 로판</v>
      </c>
    </row>
    <row r="2090" spans="1:59">
      <c r="A2090" t="s">
        <v>60</v>
      </c>
      <c r="B2090" s="1">
        <v>46131</v>
      </c>
      <c r="C2090">
        <v>2378081114</v>
      </c>
      <c r="D2090">
        <v>2378081124</v>
      </c>
      <c r="E2090" t="str">
        <f>T("던전이 자꾸 이상한 짓을 시켜요 11화")</f>
        <v>던전이 자꾸 이상한 짓을 시켜요 11화</v>
      </c>
      <c r="F2090">
        <v>11</v>
      </c>
      <c r="G2090" t="str">
        <f>T("필밤")</f>
        <v>필밤</v>
      </c>
      <c r="J2090" t="str">
        <f>T("시계토끼")</f>
        <v>시계토끼</v>
      </c>
      <c r="K2090" t="str">
        <f>T("던전이 자꾸 이상한 짓을 시켜요")</f>
        <v>던전이 자꾸 이상한 짓을 시켜요</v>
      </c>
      <c r="L2090">
        <v>100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59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59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S2090">
        <v>0</v>
      </c>
      <c r="AT2090">
        <v>0</v>
      </c>
      <c r="AV2090">
        <v>0</v>
      </c>
      <c r="AW2090">
        <v>0</v>
      </c>
      <c r="AY2090">
        <v>0</v>
      </c>
      <c r="AZ2090">
        <v>0</v>
      </c>
      <c r="BA2090">
        <v>0</v>
      </c>
      <c r="BF2090" t="str">
        <f>T("D268741")</f>
        <v>D268741</v>
      </c>
      <c r="BG2090" t="str">
        <f>T("로판 웹소설 &gt; 서양풍 로판")</f>
        <v>로판 웹소설 &gt; 서양풍 로판</v>
      </c>
    </row>
    <row r="2091" spans="1:59">
      <c r="A2091" t="s">
        <v>60</v>
      </c>
      <c r="B2091" s="1">
        <v>46131</v>
      </c>
      <c r="C2091">
        <v>2378081114</v>
      </c>
      <c r="D2091">
        <v>2378081131</v>
      </c>
      <c r="E2091" t="str">
        <f>T("던전이 자꾸 이상한 짓을 시켜요 18화")</f>
        <v>던전이 자꾸 이상한 짓을 시켜요 18화</v>
      </c>
      <c r="F2091">
        <v>18</v>
      </c>
      <c r="G2091" t="str">
        <f>T("필밤")</f>
        <v>필밤</v>
      </c>
      <c r="J2091" t="str">
        <f>T("시계토끼")</f>
        <v>시계토끼</v>
      </c>
      <c r="K2091" t="str">
        <f>T("던전이 자꾸 이상한 짓을 시켜요")</f>
        <v>던전이 자꾸 이상한 짓을 시켜요</v>
      </c>
      <c r="L2091">
        <v>100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55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55</v>
      </c>
      <c r="AK2091">
        <v>0</v>
      </c>
      <c r="AL2091">
        <v>0</v>
      </c>
      <c r="AM2091">
        <v>0</v>
      </c>
      <c r="AN2091">
        <v>0</v>
      </c>
      <c r="AO2091">
        <v>0</v>
      </c>
      <c r="AP2091">
        <v>0</v>
      </c>
      <c r="AQ2091">
        <v>0</v>
      </c>
      <c r="AS2091">
        <v>0</v>
      </c>
      <c r="AT2091">
        <v>0</v>
      </c>
      <c r="AV2091">
        <v>0</v>
      </c>
      <c r="AW2091">
        <v>0</v>
      </c>
      <c r="AY2091">
        <v>0</v>
      </c>
      <c r="AZ2091">
        <v>0</v>
      </c>
      <c r="BA2091">
        <v>0</v>
      </c>
      <c r="BF2091" t="str">
        <f>T("D268748")</f>
        <v>D268748</v>
      </c>
      <c r="BG2091" t="str">
        <f>T("로판 웹소설 &gt; 서양풍 로판")</f>
        <v>로판 웹소설 &gt; 서양풍 로판</v>
      </c>
    </row>
    <row r="2092" spans="1:59">
      <c r="A2092" t="s">
        <v>60</v>
      </c>
      <c r="B2092" s="1">
        <v>46131</v>
      </c>
      <c r="C2092">
        <v>2378081114</v>
      </c>
      <c r="D2092">
        <v>2378081115</v>
      </c>
      <c r="E2092" t="str">
        <f>T("던전이 자꾸 이상한 짓을 시켜요 2화")</f>
        <v>던전이 자꾸 이상한 짓을 시켜요 2화</v>
      </c>
      <c r="F2092">
        <v>2</v>
      </c>
      <c r="G2092" t="str">
        <f>T("필밤")</f>
        <v>필밤</v>
      </c>
      <c r="J2092" t="str">
        <f>T("시계토끼")</f>
        <v>시계토끼</v>
      </c>
      <c r="K2092" t="str">
        <f>T("던전이 자꾸 이상한 짓을 시켜요")</f>
        <v>던전이 자꾸 이상한 짓을 시켜요</v>
      </c>
      <c r="L2092">
        <v>0</v>
      </c>
      <c r="M2092">
        <v>0</v>
      </c>
      <c r="N2092">
        <v>0</v>
      </c>
      <c r="O2092">
        <v>23</v>
      </c>
      <c r="P2092">
        <v>0</v>
      </c>
      <c r="Q2092">
        <v>0</v>
      </c>
      <c r="R2092">
        <v>42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65</v>
      </c>
      <c r="AK2092">
        <v>0</v>
      </c>
      <c r="AL2092">
        <v>0</v>
      </c>
      <c r="AM2092">
        <v>0</v>
      </c>
      <c r="AN2092">
        <v>0</v>
      </c>
      <c r="AO2092">
        <v>0</v>
      </c>
      <c r="AP2092">
        <v>0</v>
      </c>
      <c r="AQ2092">
        <v>0</v>
      </c>
      <c r="AS2092">
        <v>0</v>
      </c>
      <c r="AT2092">
        <v>0</v>
      </c>
      <c r="AV2092">
        <v>0</v>
      </c>
      <c r="AW2092">
        <v>0</v>
      </c>
      <c r="AY2092">
        <v>0</v>
      </c>
      <c r="AZ2092">
        <v>0</v>
      </c>
      <c r="BA2092">
        <v>0</v>
      </c>
      <c r="BF2092" t="str">
        <f>T("D268732")</f>
        <v>D268732</v>
      </c>
      <c r="BG2092" t="str">
        <f>T("로판 웹소설 &gt; 서양풍 로판")</f>
        <v>로판 웹소설 &gt; 서양풍 로판</v>
      </c>
    </row>
    <row r="2093" spans="1:59">
      <c r="A2093" t="s">
        <v>60</v>
      </c>
      <c r="B2093" s="1">
        <v>46131</v>
      </c>
      <c r="C2093">
        <v>2378081114</v>
      </c>
      <c r="D2093">
        <v>2378081114</v>
      </c>
      <c r="E2093" t="str">
        <f>T("던전이 자꾸 이상한 짓을 시켜요 1화")</f>
        <v>던전이 자꾸 이상한 짓을 시켜요 1화</v>
      </c>
      <c r="F2093">
        <v>1</v>
      </c>
      <c r="G2093" t="str">
        <f>T("필밤")</f>
        <v>필밤</v>
      </c>
      <c r="J2093" t="str">
        <f>T("시계토끼")</f>
        <v>시계토끼</v>
      </c>
      <c r="K2093" t="str">
        <f>T("던전이 자꾸 이상한 짓을 시켜요")</f>
        <v>던전이 자꾸 이상한 짓을 시켜요</v>
      </c>
      <c r="L2093">
        <v>0</v>
      </c>
      <c r="M2093">
        <v>0</v>
      </c>
      <c r="N2093">
        <v>0</v>
      </c>
      <c r="O2093">
        <v>25</v>
      </c>
      <c r="P2093">
        <v>0</v>
      </c>
      <c r="Q2093">
        <v>0</v>
      </c>
      <c r="R2093">
        <v>54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79</v>
      </c>
      <c r="AK2093">
        <v>0</v>
      </c>
      <c r="AL2093">
        <v>0</v>
      </c>
      <c r="AM2093">
        <v>0</v>
      </c>
      <c r="AN2093">
        <v>0</v>
      </c>
      <c r="AO2093">
        <v>0</v>
      </c>
      <c r="AP2093">
        <v>0</v>
      </c>
      <c r="AQ2093">
        <v>0</v>
      </c>
      <c r="AS2093">
        <v>0</v>
      </c>
      <c r="AT2093">
        <v>0</v>
      </c>
      <c r="AV2093">
        <v>0</v>
      </c>
      <c r="AW2093">
        <v>0</v>
      </c>
      <c r="AY2093">
        <v>0</v>
      </c>
      <c r="AZ2093">
        <v>0</v>
      </c>
      <c r="BA2093">
        <v>0</v>
      </c>
      <c r="BF2093" t="str">
        <f>T("D268731")</f>
        <v>D268731</v>
      </c>
      <c r="BG2093" t="str">
        <f>T("로판 웹소설 &gt; 서양풍 로판")</f>
        <v>로판 웹소설 &gt; 서양풍 로판</v>
      </c>
    </row>
    <row r="2094" spans="1:59">
      <c r="A2094" t="s">
        <v>60</v>
      </c>
      <c r="B2094" s="1">
        <v>46131</v>
      </c>
      <c r="C2094">
        <v>2378081114</v>
      </c>
      <c r="D2094">
        <v>2378081135</v>
      </c>
      <c r="E2094" t="str">
        <f>T("던전이 자꾸 이상한 짓을 시켜요 22화")</f>
        <v>던전이 자꾸 이상한 짓을 시켜요 22화</v>
      </c>
      <c r="F2094">
        <v>22</v>
      </c>
      <c r="G2094" t="str">
        <f>T("필밤")</f>
        <v>필밤</v>
      </c>
      <c r="J2094" t="str">
        <f>T("시계토끼")</f>
        <v>시계토끼</v>
      </c>
      <c r="K2094" t="str">
        <f>T("던전이 자꾸 이상한 짓을 시켜요")</f>
        <v>던전이 자꾸 이상한 짓을 시켜요</v>
      </c>
      <c r="L2094">
        <v>100</v>
      </c>
      <c r="M2094">
        <v>500</v>
      </c>
      <c r="N2094">
        <v>5</v>
      </c>
      <c r="O2094">
        <v>0</v>
      </c>
      <c r="P2094">
        <v>0</v>
      </c>
      <c r="Q2094">
        <v>0</v>
      </c>
      <c r="R2094">
        <v>9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500</v>
      </c>
      <c r="AJ2094">
        <v>14</v>
      </c>
      <c r="AK2094">
        <v>0</v>
      </c>
      <c r="AL2094">
        <v>0</v>
      </c>
      <c r="AM2094">
        <v>400</v>
      </c>
      <c r="AN2094">
        <v>0</v>
      </c>
      <c r="AO2094">
        <v>120</v>
      </c>
      <c r="AP2094">
        <v>-12</v>
      </c>
      <c r="AQ2094">
        <v>0</v>
      </c>
      <c r="AS2094">
        <v>0</v>
      </c>
      <c r="AT2094">
        <v>0</v>
      </c>
      <c r="AV2094">
        <v>0</v>
      </c>
      <c r="AW2094">
        <v>0</v>
      </c>
      <c r="AX2094">
        <v>120</v>
      </c>
      <c r="AY2094">
        <v>-12</v>
      </c>
      <c r="AZ2094">
        <v>0</v>
      </c>
      <c r="BA2094">
        <v>304.8</v>
      </c>
      <c r="BF2094" t="str">
        <f>T("D268752")</f>
        <v>D268752</v>
      </c>
      <c r="BG2094" t="str">
        <f>T("로판 웹소설 &gt; 서양풍 로판")</f>
        <v>로판 웹소설 &gt; 서양풍 로판</v>
      </c>
    </row>
    <row r="2095" spans="1:59">
      <c r="A2095" t="s">
        <v>60</v>
      </c>
      <c r="B2095" s="1">
        <v>46131</v>
      </c>
      <c r="C2095">
        <v>2378081114</v>
      </c>
      <c r="D2095">
        <v>2378081133</v>
      </c>
      <c r="E2095" t="str">
        <f>T("던전이 자꾸 이상한 짓을 시켜요 20화")</f>
        <v>던전이 자꾸 이상한 짓을 시켜요 20화</v>
      </c>
      <c r="F2095">
        <v>20</v>
      </c>
      <c r="G2095" t="str">
        <f>T("필밤")</f>
        <v>필밤</v>
      </c>
      <c r="J2095" t="str">
        <f>T("시계토끼")</f>
        <v>시계토끼</v>
      </c>
      <c r="K2095" t="str">
        <f>T("던전이 자꾸 이상한 짓을 시켜요")</f>
        <v>던전이 자꾸 이상한 짓을 시켜요</v>
      </c>
      <c r="L2095">
        <v>100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65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65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S2095">
        <v>0</v>
      </c>
      <c r="AT2095">
        <v>0</v>
      </c>
      <c r="AV2095">
        <v>0</v>
      </c>
      <c r="AW2095">
        <v>0</v>
      </c>
      <c r="AY2095">
        <v>0</v>
      </c>
      <c r="AZ2095">
        <v>0</v>
      </c>
      <c r="BA2095">
        <v>0</v>
      </c>
      <c r="BF2095" t="str">
        <f>T("D268750")</f>
        <v>D268750</v>
      </c>
      <c r="BG2095" t="str">
        <f>T("로판 웹소설 &gt; 서양풍 로판")</f>
        <v>로판 웹소설 &gt; 서양풍 로판</v>
      </c>
    </row>
    <row r="2096" spans="1:59">
      <c r="A2096" t="s">
        <v>60</v>
      </c>
      <c r="B2096" s="1">
        <v>46131</v>
      </c>
      <c r="C2096">
        <v>2378081114</v>
      </c>
      <c r="D2096">
        <v>2378081125</v>
      </c>
      <c r="E2096" t="str">
        <f>T("던전이 자꾸 이상한 짓을 시켜요 12화")</f>
        <v>던전이 자꾸 이상한 짓을 시켜요 12화</v>
      </c>
      <c r="F2096">
        <v>12</v>
      </c>
      <c r="G2096" t="str">
        <f>T("필밤")</f>
        <v>필밤</v>
      </c>
      <c r="J2096" t="str">
        <f>T("시계토끼")</f>
        <v>시계토끼</v>
      </c>
      <c r="K2096" t="str">
        <f>T("던전이 자꾸 이상한 짓을 시켜요")</f>
        <v>던전이 자꾸 이상한 짓을 시켜요</v>
      </c>
      <c r="L2096">
        <v>100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62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62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S2096">
        <v>0</v>
      </c>
      <c r="AT2096">
        <v>0</v>
      </c>
      <c r="AV2096">
        <v>0</v>
      </c>
      <c r="AW2096">
        <v>0</v>
      </c>
      <c r="AY2096">
        <v>0</v>
      </c>
      <c r="AZ2096">
        <v>0</v>
      </c>
      <c r="BA2096">
        <v>0</v>
      </c>
      <c r="BF2096" t="str">
        <f>T("D268742")</f>
        <v>D268742</v>
      </c>
      <c r="BG2096" t="str">
        <f>T("로판 웹소설 &gt; 서양풍 로판")</f>
        <v>로판 웹소설 &gt; 서양풍 로판</v>
      </c>
    </row>
    <row r="2097" spans="1:59">
      <c r="A2097" t="s">
        <v>60</v>
      </c>
      <c r="B2097" s="1">
        <v>46131</v>
      </c>
      <c r="C2097">
        <v>2378081114</v>
      </c>
      <c r="D2097">
        <v>2378081116</v>
      </c>
      <c r="E2097" t="str">
        <f>T("던전이 자꾸 이상한 짓을 시켜요 3화")</f>
        <v>던전이 자꾸 이상한 짓을 시켜요 3화</v>
      </c>
      <c r="F2097">
        <v>3</v>
      </c>
      <c r="G2097" t="str">
        <f>T("필밤")</f>
        <v>필밤</v>
      </c>
      <c r="J2097" t="str">
        <f>T("시계토끼")</f>
        <v>시계토끼</v>
      </c>
      <c r="K2097" t="str">
        <f>T("던전이 자꾸 이상한 짓을 시켜요")</f>
        <v>던전이 자꾸 이상한 짓을 시켜요</v>
      </c>
      <c r="L2097">
        <v>0</v>
      </c>
      <c r="M2097">
        <v>0</v>
      </c>
      <c r="N2097">
        <v>0</v>
      </c>
      <c r="O2097">
        <v>21</v>
      </c>
      <c r="P2097">
        <v>0</v>
      </c>
      <c r="Q2097">
        <v>0</v>
      </c>
      <c r="R2097">
        <v>38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59</v>
      </c>
      <c r="AK2097">
        <v>0</v>
      </c>
      <c r="AL2097">
        <v>0</v>
      </c>
      <c r="AM2097">
        <v>0</v>
      </c>
      <c r="AN2097">
        <v>0</v>
      </c>
      <c r="AO2097">
        <v>0</v>
      </c>
      <c r="AP2097">
        <v>0</v>
      </c>
      <c r="AQ2097">
        <v>0</v>
      </c>
      <c r="AS2097">
        <v>0</v>
      </c>
      <c r="AT2097">
        <v>0</v>
      </c>
      <c r="AV2097">
        <v>0</v>
      </c>
      <c r="AW2097">
        <v>0</v>
      </c>
      <c r="AY2097">
        <v>0</v>
      </c>
      <c r="AZ2097">
        <v>0</v>
      </c>
      <c r="BA2097">
        <v>0</v>
      </c>
      <c r="BF2097" t="str">
        <f>T("D268733")</f>
        <v>D268733</v>
      </c>
      <c r="BG2097" t="str">
        <f>T("로판 웹소설 &gt; 서양풍 로판")</f>
        <v>로판 웹소설 &gt; 서양풍 로판</v>
      </c>
    </row>
    <row r="2098" spans="1:59">
      <c r="A2098" t="s">
        <v>60</v>
      </c>
      <c r="B2098" s="1">
        <v>46131</v>
      </c>
      <c r="C2098">
        <v>2378081114</v>
      </c>
      <c r="D2098">
        <v>2378081126</v>
      </c>
      <c r="E2098" t="str">
        <f>T("던전이 자꾸 이상한 짓을 시켜요 13화")</f>
        <v>던전이 자꾸 이상한 짓을 시켜요 13화</v>
      </c>
      <c r="F2098">
        <v>13</v>
      </c>
      <c r="G2098" t="str">
        <f>T("필밤")</f>
        <v>필밤</v>
      </c>
      <c r="J2098" t="str">
        <f>T("시계토끼")</f>
        <v>시계토끼</v>
      </c>
      <c r="K2098" t="str">
        <f>T("던전이 자꾸 이상한 짓을 시켜요")</f>
        <v>던전이 자꾸 이상한 짓을 시켜요</v>
      </c>
      <c r="L2098">
        <v>100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57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57</v>
      </c>
      <c r="AK2098">
        <v>0</v>
      </c>
      <c r="AL2098">
        <v>0</v>
      </c>
      <c r="AM2098">
        <v>0</v>
      </c>
      <c r="AN2098">
        <v>0</v>
      </c>
      <c r="AO2098">
        <v>0</v>
      </c>
      <c r="AP2098">
        <v>0</v>
      </c>
      <c r="AQ2098">
        <v>0</v>
      </c>
      <c r="AS2098">
        <v>0</v>
      </c>
      <c r="AT2098">
        <v>0</v>
      </c>
      <c r="AV2098">
        <v>0</v>
      </c>
      <c r="AW2098">
        <v>0</v>
      </c>
      <c r="AY2098">
        <v>0</v>
      </c>
      <c r="AZ2098">
        <v>0</v>
      </c>
      <c r="BA2098">
        <v>0</v>
      </c>
      <c r="BF2098" t="str">
        <f>T("D268743")</f>
        <v>D268743</v>
      </c>
      <c r="BG2098" t="str">
        <f>T("로판 웹소설 &gt; 서양풍 로판")</f>
        <v>로판 웹소설 &gt; 서양풍 로판</v>
      </c>
    </row>
    <row r="2099" spans="1:59">
      <c r="A2099" t="s">
        <v>60</v>
      </c>
      <c r="B2099" s="1">
        <v>46131</v>
      </c>
      <c r="C2099">
        <v>2378081114</v>
      </c>
      <c r="D2099">
        <v>2378081117</v>
      </c>
      <c r="E2099" t="str">
        <f>T("던전이 자꾸 이상한 짓을 시켜요 4화")</f>
        <v>던전이 자꾸 이상한 짓을 시켜요 4화</v>
      </c>
      <c r="F2099">
        <v>4</v>
      </c>
      <c r="G2099" t="str">
        <f>T("필밤")</f>
        <v>필밤</v>
      </c>
      <c r="J2099" t="str">
        <f>T("시계토끼")</f>
        <v>시계토끼</v>
      </c>
      <c r="K2099" t="str">
        <f>T("던전이 자꾸 이상한 짓을 시켜요")</f>
        <v>던전이 자꾸 이상한 짓을 시켜요</v>
      </c>
      <c r="L2099">
        <v>0</v>
      </c>
      <c r="M2099">
        <v>0</v>
      </c>
      <c r="N2099">
        <v>0</v>
      </c>
      <c r="O2099">
        <v>19</v>
      </c>
      <c r="P2099">
        <v>0</v>
      </c>
      <c r="Q2099">
        <v>0</v>
      </c>
      <c r="R2099">
        <v>37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56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S2099">
        <v>0</v>
      </c>
      <c r="AT2099">
        <v>0</v>
      </c>
      <c r="AV2099">
        <v>0</v>
      </c>
      <c r="AW2099">
        <v>0</v>
      </c>
      <c r="AY2099">
        <v>0</v>
      </c>
      <c r="AZ2099">
        <v>0</v>
      </c>
      <c r="BA2099">
        <v>0</v>
      </c>
      <c r="BF2099" t="str">
        <f>T("D268734")</f>
        <v>D268734</v>
      </c>
      <c r="BG2099" t="str">
        <f>T("로판 웹소설 &gt; 서양풍 로판")</f>
        <v>로판 웹소설 &gt; 서양풍 로판</v>
      </c>
    </row>
    <row r="2100" spans="1:59">
      <c r="A2100" t="s">
        <v>60</v>
      </c>
      <c r="B2100" s="1">
        <v>46131</v>
      </c>
      <c r="C2100">
        <v>2378081114</v>
      </c>
      <c r="D2100">
        <v>2378081143</v>
      </c>
      <c r="E2100" t="str">
        <f>T("던전이 자꾸 이상한 짓을 시켜요 30화")</f>
        <v>던전이 자꾸 이상한 짓을 시켜요 30화</v>
      </c>
      <c r="F2100">
        <v>30</v>
      </c>
      <c r="G2100" t="str">
        <f>T("필밤")</f>
        <v>필밤</v>
      </c>
      <c r="J2100" t="str">
        <f>T("시계토끼")</f>
        <v>시계토끼</v>
      </c>
      <c r="K2100" t="str">
        <f>T("던전이 자꾸 이상한 짓을 시켜요")</f>
        <v>던전이 자꾸 이상한 짓을 시켜요</v>
      </c>
      <c r="L2100">
        <v>100</v>
      </c>
      <c r="M2100">
        <v>1000</v>
      </c>
      <c r="N2100">
        <v>10</v>
      </c>
      <c r="O2100">
        <v>0</v>
      </c>
      <c r="P2100">
        <v>0</v>
      </c>
      <c r="Q2100">
        <v>0</v>
      </c>
      <c r="R2100">
        <v>2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1000</v>
      </c>
      <c r="AJ2100">
        <v>12</v>
      </c>
      <c r="AK2100">
        <v>0</v>
      </c>
      <c r="AL2100">
        <v>0</v>
      </c>
      <c r="AM2100">
        <v>800</v>
      </c>
      <c r="AN2100">
        <v>0</v>
      </c>
      <c r="AO2100">
        <v>240</v>
      </c>
      <c r="AP2100">
        <v>-48</v>
      </c>
      <c r="AQ2100">
        <v>0</v>
      </c>
      <c r="AR2100">
        <v>120</v>
      </c>
      <c r="AS2100">
        <v>-36</v>
      </c>
      <c r="AT2100">
        <v>0</v>
      </c>
      <c r="AV2100">
        <v>0</v>
      </c>
      <c r="AW2100">
        <v>0</v>
      </c>
      <c r="AX2100">
        <v>120</v>
      </c>
      <c r="AY2100">
        <v>-12</v>
      </c>
      <c r="AZ2100">
        <v>0</v>
      </c>
      <c r="BA2100">
        <v>595.20000000000005</v>
      </c>
      <c r="BF2100" t="str">
        <f>T("D268760")</f>
        <v>D268760</v>
      </c>
      <c r="BG2100" t="str">
        <f>T("로판 웹소설 &gt; 서양풍 로판")</f>
        <v>로판 웹소설 &gt; 서양풍 로판</v>
      </c>
    </row>
    <row r="2101" spans="1:59">
      <c r="A2101" t="s">
        <v>60</v>
      </c>
      <c r="B2101" s="1">
        <v>46131</v>
      </c>
      <c r="C2101">
        <v>2378081114</v>
      </c>
      <c r="D2101">
        <v>2378081142</v>
      </c>
      <c r="E2101" t="str">
        <f>T("던전이 자꾸 이상한 짓을 시켜요 29화")</f>
        <v>던전이 자꾸 이상한 짓을 시켜요 29화</v>
      </c>
      <c r="F2101">
        <v>29</v>
      </c>
      <c r="G2101" t="str">
        <f>T("필밤")</f>
        <v>필밤</v>
      </c>
      <c r="J2101" t="str">
        <f>T("시계토끼")</f>
        <v>시계토끼</v>
      </c>
      <c r="K2101" t="str">
        <f>T("던전이 자꾸 이상한 짓을 시켜요")</f>
        <v>던전이 자꾸 이상한 짓을 시켜요</v>
      </c>
      <c r="L2101">
        <v>100</v>
      </c>
      <c r="M2101">
        <v>900</v>
      </c>
      <c r="N2101">
        <v>9</v>
      </c>
      <c r="O2101">
        <v>0</v>
      </c>
      <c r="P2101">
        <v>0</v>
      </c>
      <c r="Q2101">
        <v>0</v>
      </c>
      <c r="R2101">
        <v>1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900</v>
      </c>
      <c r="AJ2101">
        <v>10</v>
      </c>
      <c r="AK2101">
        <v>0</v>
      </c>
      <c r="AL2101">
        <v>0</v>
      </c>
      <c r="AM2101">
        <v>700</v>
      </c>
      <c r="AN2101">
        <v>0</v>
      </c>
      <c r="AO2101">
        <v>240</v>
      </c>
      <c r="AP2101">
        <v>-48</v>
      </c>
      <c r="AQ2101">
        <v>0</v>
      </c>
      <c r="AR2101">
        <v>120</v>
      </c>
      <c r="AS2101">
        <v>-36</v>
      </c>
      <c r="AT2101">
        <v>0</v>
      </c>
      <c r="AV2101">
        <v>0</v>
      </c>
      <c r="AW2101">
        <v>0</v>
      </c>
      <c r="AX2101">
        <v>120</v>
      </c>
      <c r="AY2101">
        <v>-12</v>
      </c>
      <c r="AZ2101">
        <v>0</v>
      </c>
      <c r="BA2101">
        <v>535.20000000000005</v>
      </c>
      <c r="BF2101" t="str">
        <f>T("D268759")</f>
        <v>D268759</v>
      </c>
      <c r="BG2101" t="str">
        <f>T("로판 웹소설 &gt; 서양풍 로판")</f>
        <v>로판 웹소설 &gt; 서양풍 로판</v>
      </c>
    </row>
    <row r="2102" spans="1:59">
      <c r="A2102" t="s">
        <v>60</v>
      </c>
      <c r="B2102" s="1">
        <v>46131</v>
      </c>
      <c r="C2102">
        <v>2378081114</v>
      </c>
      <c r="D2102">
        <v>2378081127</v>
      </c>
      <c r="E2102" t="str">
        <f>T("던전이 자꾸 이상한 짓을 시켜요 14화")</f>
        <v>던전이 자꾸 이상한 짓을 시켜요 14화</v>
      </c>
      <c r="F2102">
        <v>14</v>
      </c>
      <c r="G2102" t="str">
        <f>T("필밤")</f>
        <v>필밤</v>
      </c>
      <c r="J2102" t="str">
        <f>T("시계토끼")</f>
        <v>시계토끼</v>
      </c>
      <c r="K2102" t="str">
        <f>T("던전이 자꾸 이상한 짓을 시켜요")</f>
        <v>던전이 자꾸 이상한 짓을 시켜요</v>
      </c>
      <c r="L2102">
        <v>100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52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52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S2102">
        <v>0</v>
      </c>
      <c r="AT2102">
        <v>0</v>
      </c>
      <c r="AV2102">
        <v>0</v>
      </c>
      <c r="AW2102">
        <v>0</v>
      </c>
      <c r="AY2102">
        <v>0</v>
      </c>
      <c r="AZ2102">
        <v>0</v>
      </c>
      <c r="BA2102">
        <v>0</v>
      </c>
      <c r="BF2102" t="str">
        <f>T("D268744")</f>
        <v>D268744</v>
      </c>
      <c r="BG2102" t="str">
        <f>T("로판 웹소설 &gt; 서양풍 로판")</f>
        <v>로판 웹소설 &gt; 서양풍 로판</v>
      </c>
    </row>
    <row r="2103" spans="1:59">
      <c r="A2103" t="s">
        <v>60</v>
      </c>
      <c r="B2103" s="1">
        <v>46131</v>
      </c>
      <c r="C2103">
        <v>2378081114</v>
      </c>
      <c r="D2103">
        <v>2378081118</v>
      </c>
      <c r="E2103" t="str">
        <f>T("던전이 자꾸 이상한 짓을 시켜요 5화")</f>
        <v>던전이 자꾸 이상한 짓을 시켜요 5화</v>
      </c>
      <c r="F2103">
        <v>5</v>
      </c>
      <c r="G2103" t="str">
        <f>T("필밤")</f>
        <v>필밤</v>
      </c>
      <c r="J2103" t="str">
        <f>T("시계토끼")</f>
        <v>시계토끼</v>
      </c>
      <c r="K2103" t="str">
        <f>T("던전이 자꾸 이상한 짓을 시켜요")</f>
        <v>던전이 자꾸 이상한 짓을 시켜요</v>
      </c>
      <c r="L2103">
        <v>0</v>
      </c>
      <c r="M2103">
        <v>0</v>
      </c>
      <c r="N2103">
        <v>0</v>
      </c>
      <c r="O2103">
        <v>22</v>
      </c>
      <c r="P2103">
        <v>0</v>
      </c>
      <c r="Q2103">
        <v>0</v>
      </c>
      <c r="R2103">
        <v>33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55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S2103">
        <v>0</v>
      </c>
      <c r="AT2103">
        <v>0</v>
      </c>
      <c r="AV2103">
        <v>0</v>
      </c>
      <c r="AW2103">
        <v>0</v>
      </c>
      <c r="AY2103">
        <v>0</v>
      </c>
      <c r="AZ2103">
        <v>0</v>
      </c>
      <c r="BA2103">
        <v>0</v>
      </c>
      <c r="BF2103" t="str">
        <f>T("D268735")</f>
        <v>D268735</v>
      </c>
      <c r="BG2103" t="str">
        <f>T("로판 웹소설 &gt; 서양풍 로판")</f>
        <v>로판 웹소설 &gt; 서양풍 로판</v>
      </c>
    </row>
    <row r="2104" spans="1:59">
      <c r="A2104" t="s">
        <v>60</v>
      </c>
      <c r="B2104" s="1">
        <v>46131</v>
      </c>
      <c r="C2104">
        <v>2378081114</v>
      </c>
      <c r="D2104">
        <v>2378081141</v>
      </c>
      <c r="E2104" t="str">
        <f>T("던전이 자꾸 이상한 짓을 시켜요 28화")</f>
        <v>던전이 자꾸 이상한 짓을 시켜요 28화</v>
      </c>
      <c r="F2104">
        <v>28</v>
      </c>
      <c r="G2104" t="str">
        <f>T("필밤")</f>
        <v>필밤</v>
      </c>
      <c r="J2104" t="str">
        <f>T("시계토끼")</f>
        <v>시계토끼</v>
      </c>
      <c r="K2104" t="str">
        <f>T("던전이 자꾸 이상한 짓을 시켜요")</f>
        <v>던전이 자꾸 이상한 짓을 시켜요</v>
      </c>
      <c r="L2104">
        <v>100</v>
      </c>
      <c r="M2104">
        <v>1000</v>
      </c>
      <c r="N2104">
        <v>10</v>
      </c>
      <c r="O2104">
        <v>0</v>
      </c>
      <c r="P2104">
        <v>0</v>
      </c>
      <c r="Q2104">
        <v>0</v>
      </c>
      <c r="R2104">
        <v>2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1000</v>
      </c>
      <c r="AJ2104">
        <v>12</v>
      </c>
      <c r="AK2104">
        <v>0</v>
      </c>
      <c r="AL2104">
        <v>0</v>
      </c>
      <c r="AM2104">
        <v>800</v>
      </c>
      <c r="AN2104">
        <v>0</v>
      </c>
      <c r="AO2104">
        <v>240</v>
      </c>
      <c r="AP2104">
        <v>-48</v>
      </c>
      <c r="AQ2104">
        <v>0</v>
      </c>
      <c r="AR2104">
        <v>120</v>
      </c>
      <c r="AS2104">
        <v>-36</v>
      </c>
      <c r="AT2104">
        <v>0</v>
      </c>
      <c r="AV2104">
        <v>0</v>
      </c>
      <c r="AW2104">
        <v>0</v>
      </c>
      <c r="AX2104">
        <v>120</v>
      </c>
      <c r="AY2104">
        <v>-12</v>
      </c>
      <c r="AZ2104">
        <v>0</v>
      </c>
      <c r="BA2104">
        <v>595.20000000000005</v>
      </c>
      <c r="BF2104" t="str">
        <f>T("D268758")</f>
        <v>D268758</v>
      </c>
      <c r="BG2104" t="str">
        <f>T("로판 웹소설 &gt; 서양풍 로판")</f>
        <v>로판 웹소설 &gt; 서양풍 로판</v>
      </c>
    </row>
    <row r="2105" spans="1:59">
      <c r="A2105" t="s">
        <v>60</v>
      </c>
      <c r="B2105" s="1">
        <v>46131</v>
      </c>
      <c r="C2105">
        <v>2378081114</v>
      </c>
      <c r="D2105">
        <v>2378081128</v>
      </c>
      <c r="E2105" t="str">
        <f>T("던전이 자꾸 이상한 짓을 시켜요 15화")</f>
        <v>던전이 자꾸 이상한 짓을 시켜요 15화</v>
      </c>
      <c r="F2105">
        <v>15</v>
      </c>
      <c r="G2105" t="str">
        <f>T("필밤")</f>
        <v>필밤</v>
      </c>
      <c r="J2105" t="str">
        <f>T("시계토끼")</f>
        <v>시계토끼</v>
      </c>
      <c r="K2105" t="str">
        <f>T("던전이 자꾸 이상한 짓을 시켜요")</f>
        <v>던전이 자꾸 이상한 짓을 시켜요</v>
      </c>
      <c r="L2105">
        <v>100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53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53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S2105">
        <v>0</v>
      </c>
      <c r="AT2105">
        <v>0</v>
      </c>
      <c r="AV2105">
        <v>0</v>
      </c>
      <c r="AW2105">
        <v>0</v>
      </c>
      <c r="AY2105">
        <v>0</v>
      </c>
      <c r="AZ2105">
        <v>0</v>
      </c>
      <c r="BA2105">
        <v>0</v>
      </c>
      <c r="BF2105" t="str">
        <f>T("D268745")</f>
        <v>D268745</v>
      </c>
      <c r="BG2105" t="str">
        <f>T("로판 웹소설 &gt; 서양풍 로판")</f>
        <v>로판 웹소설 &gt; 서양풍 로판</v>
      </c>
    </row>
    <row r="2106" spans="1:59">
      <c r="A2106" t="s">
        <v>60</v>
      </c>
      <c r="B2106" s="1">
        <v>46131</v>
      </c>
      <c r="C2106">
        <v>2378081114</v>
      </c>
      <c r="D2106">
        <v>2378081119</v>
      </c>
      <c r="E2106" t="str">
        <f>T("던전이 자꾸 이상한 짓을 시켜요 6화")</f>
        <v>던전이 자꾸 이상한 짓을 시켜요 6화</v>
      </c>
      <c r="F2106">
        <v>6</v>
      </c>
      <c r="G2106" t="str">
        <f>T("필밤")</f>
        <v>필밤</v>
      </c>
      <c r="J2106" t="str">
        <f>T("시계토끼")</f>
        <v>시계토끼</v>
      </c>
      <c r="K2106" t="str">
        <f>T("던전이 자꾸 이상한 짓을 시켜요")</f>
        <v>던전이 자꾸 이상한 짓을 시켜요</v>
      </c>
      <c r="L2106">
        <v>100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52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52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S2106">
        <v>0</v>
      </c>
      <c r="AT2106">
        <v>0</v>
      </c>
      <c r="AV2106">
        <v>0</v>
      </c>
      <c r="AW2106">
        <v>0</v>
      </c>
      <c r="AY2106">
        <v>0</v>
      </c>
      <c r="AZ2106">
        <v>0</v>
      </c>
      <c r="BA2106">
        <v>0</v>
      </c>
      <c r="BF2106" t="str">
        <f>T("D268736")</f>
        <v>D268736</v>
      </c>
      <c r="BG2106" t="str">
        <f>T("로판 웹소설 &gt; 서양풍 로판")</f>
        <v>로판 웹소설 &gt; 서양풍 로판</v>
      </c>
    </row>
    <row r="2107" spans="1:59">
      <c r="A2107" t="s">
        <v>60</v>
      </c>
      <c r="B2107" s="1">
        <v>46131</v>
      </c>
      <c r="C2107">
        <v>2378081114</v>
      </c>
      <c r="D2107">
        <v>2378081130</v>
      </c>
      <c r="E2107" t="str">
        <f>T("던전이 자꾸 이상한 짓을 시켜요 17화")</f>
        <v>던전이 자꾸 이상한 짓을 시켜요 17화</v>
      </c>
      <c r="F2107">
        <v>17</v>
      </c>
      <c r="G2107" t="str">
        <f>T("필밤")</f>
        <v>필밤</v>
      </c>
      <c r="J2107" t="str">
        <f>T("시계토끼")</f>
        <v>시계토끼</v>
      </c>
      <c r="K2107" t="str">
        <f>T("던전이 자꾸 이상한 짓을 시켜요")</f>
        <v>던전이 자꾸 이상한 짓을 시켜요</v>
      </c>
      <c r="L2107">
        <v>100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53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53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S2107">
        <v>0</v>
      </c>
      <c r="AT2107">
        <v>0</v>
      </c>
      <c r="AV2107">
        <v>0</v>
      </c>
      <c r="AW2107">
        <v>0</v>
      </c>
      <c r="AY2107">
        <v>0</v>
      </c>
      <c r="AZ2107">
        <v>0</v>
      </c>
      <c r="BA2107">
        <v>0</v>
      </c>
      <c r="BF2107" t="str">
        <f>T("D268747")</f>
        <v>D268747</v>
      </c>
      <c r="BG2107" t="str">
        <f>T("로판 웹소설 &gt; 서양풍 로판")</f>
        <v>로판 웹소설 &gt; 서양풍 로판</v>
      </c>
    </row>
    <row r="2108" spans="1:59">
      <c r="A2108" t="s">
        <v>60</v>
      </c>
      <c r="B2108" s="1">
        <v>46131</v>
      </c>
      <c r="C2108">
        <v>2378081114</v>
      </c>
      <c r="D2108">
        <v>2378081120</v>
      </c>
      <c r="E2108" t="str">
        <f>T("던전이 자꾸 이상한 짓을 시켜요 7화")</f>
        <v>던전이 자꾸 이상한 짓을 시켜요 7화</v>
      </c>
      <c r="F2108">
        <v>7</v>
      </c>
      <c r="G2108" t="str">
        <f>T("필밤")</f>
        <v>필밤</v>
      </c>
      <c r="J2108" t="str">
        <f>T("시계토끼")</f>
        <v>시계토끼</v>
      </c>
      <c r="K2108" t="str">
        <f>T("던전이 자꾸 이상한 짓을 시켜요")</f>
        <v>던전이 자꾸 이상한 짓을 시켜요</v>
      </c>
      <c r="L2108">
        <v>100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56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56</v>
      </c>
      <c r="AK2108">
        <v>0</v>
      </c>
      <c r="AL2108">
        <v>0</v>
      </c>
      <c r="AM2108">
        <v>0</v>
      </c>
      <c r="AN2108">
        <v>0</v>
      </c>
      <c r="AO2108">
        <v>0</v>
      </c>
      <c r="AP2108">
        <v>0</v>
      </c>
      <c r="AQ2108">
        <v>0</v>
      </c>
      <c r="AS2108">
        <v>0</v>
      </c>
      <c r="AT2108">
        <v>0</v>
      </c>
      <c r="AV2108">
        <v>0</v>
      </c>
      <c r="AW2108">
        <v>0</v>
      </c>
      <c r="AY2108">
        <v>0</v>
      </c>
      <c r="AZ2108">
        <v>0</v>
      </c>
      <c r="BA2108">
        <v>0</v>
      </c>
      <c r="BF2108" t="str">
        <f>T("D268737")</f>
        <v>D268737</v>
      </c>
      <c r="BG2108" t="str">
        <f>T("로판 웹소설 &gt; 서양풍 로판")</f>
        <v>로판 웹소설 &gt; 서양풍 로판</v>
      </c>
    </row>
    <row r="2109" spans="1:59">
      <c r="A2109" t="s">
        <v>60</v>
      </c>
      <c r="B2109" s="1">
        <v>46131</v>
      </c>
      <c r="C2109">
        <v>2378081114</v>
      </c>
      <c r="D2109">
        <v>2378081121</v>
      </c>
      <c r="E2109" t="str">
        <f>T("던전이 자꾸 이상한 짓을 시켜요 8화")</f>
        <v>던전이 자꾸 이상한 짓을 시켜요 8화</v>
      </c>
      <c r="F2109">
        <v>8</v>
      </c>
      <c r="G2109" t="str">
        <f>T("필밤")</f>
        <v>필밤</v>
      </c>
      <c r="J2109" t="str">
        <f>T("시계토끼")</f>
        <v>시계토끼</v>
      </c>
      <c r="K2109" t="str">
        <f>T("던전이 자꾸 이상한 짓을 시켜요")</f>
        <v>던전이 자꾸 이상한 짓을 시켜요</v>
      </c>
      <c r="L2109">
        <v>100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57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57</v>
      </c>
      <c r="AK2109">
        <v>0</v>
      </c>
      <c r="AL2109">
        <v>0</v>
      </c>
      <c r="AM2109">
        <v>0</v>
      </c>
      <c r="AN2109">
        <v>0</v>
      </c>
      <c r="AO2109">
        <v>0</v>
      </c>
      <c r="AP2109">
        <v>0</v>
      </c>
      <c r="AQ2109">
        <v>0</v>
      </c>
      <c r="AS2109">
        <v>0</v>
      </c>
      <c r="AT2109">
        <v>0</v>
      </c>
      <c r="AV2109">
        <v>0</v>
      </c>
      <c r="AW2109">
        <v>0</v>
      </c>
      <c r="AY2109">
        <v>0</v>
      </c>
      <c r="AZ2109">
        <v>0</v>
      </c>
      <c r="BA2109">
        <v>0</v>
      </c>
      <c r="BF2109" t="str">
        <f>T("D268738")</f>
        <v>D268738</v>
      </c>
      <c r="BG2109" t="str">
        <f>T("로판 웹소설 &gt; 서양풍 로판")</f>
        <v>로판 웹소설 &gt; 서양풍 로판</v>
      </c>
    </row>
    <row r="2110" spans="1:59">
      <c r="A2110" t="s">
        <v>60</v>
      </c>
      <c r="B2110" s="1">
        <v>46131</v>
      </c>
      <c r="C2110">
        <v>2378081114</v>
      </c>
      <c r="D2110">
        <v>2378081132</v>
      </c>
      <c r="E2110" t="str">
        <f>T("던전이 자꾸 이상한 짓을 시켜요 19화")</f>
        <v>던전이 자꾸 이상한 짓을 시켜요 19화</v>
      </c>
      <c r="F2110">
        <v>19</v>
      </c>
      <c r="G2110" t="str">
        <f>T("필밤")</f>
        <v>필밤</v>
      </c>
      <c r="J2110" t="str">
        <f>T("시계토끼")</f>
        <v>시계토끼</v>
      </c>
      <c r="K2110" t="str">
        <f>T("던전이 자꾸 이상한 짓을 시켜요")</f>
        <v>던전이 자꾸 이상한 짓을 시켜요</v>
      </c>
      <c r="L2110">
        <v>100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58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58</v>
      </c>
      <c r="AK2110">
        <v>0</v>
      </c>
      <c r="AL2110">
        <v>0</v>
      </c>
      <c r="AM2110">
        <v>0</v>
      </c>
      <c r="AN2110">
        <v>0</v>
      </c>
      <c r="AO2110">
        <v>0</v>
      </c>
      <c r="AP2110">
        <v>0</v>
      </c>
      <c r="AQ2110">
        <v>0</v>
      </c>
      <c r="AS2110">
        <v>0</v>
      </c>
      <c r="AT2110">
        <v>0</v>
      </c>
      <c r="AV2110">
        <v>0</v>
      </c>
      <c r="AW2110">
        <v>0</v>
      </c>
      <c r="AY2110">
        <v>0</v>
      </c>
      <c r="AZ2110">
        <v>0</v>
      </c>
      <c r="BA2110">
        <v>0</v>
      </c>
      <c r="BF2110" t="str">
        <f>T("D268749")</f>
        <v>D268749</v>
      </c>
      <c r="BG2110" t="str">
        <f>T("로판 웹소설 &gt; 서양풍 로판")</f>
        <v>로판 웹소설 &gt; 서양풍 로판</v>
      </c>
    </row>
    <row r="2111" spans="1:59">
      <c r="A2111" t="s">
        <v>60</v>
      </c>
      <c r="B2111" s="1">
        <v>46131</v>
      </c>
      <c r="C2111">
        <v>2378081114</v>
      </c>
      <c r="D2111">
        <v>2378081146</v>
      </c>
      <c r="E2111" t="str">
        <f>T("던전이 자꾸 이상한 짓을 시켜요 33화")</f>
        <v>던전이 자꾸 이상한 짓을 시켜요 33화</v>
      </c>
      <c r="F2111">
        <v>33</v>
      </c>
      <c r="G2111" t="str">
        <f>T("필밤")</f>
        <v>필밤</v>
      </c>
      <c r="J2111" t="str">
        <f>T("시계토끼")</f>
        <v>시계토끼</v>
      </c>
      <c r="K2111" t="str">
        <f>T("던전이 자꾸 이상한 짓을 시켜요")</f>
        <v>던전이 자꾸 이상한 짓을 시켜요</v>
      </c>
      <c r="L2111">
        <v>100</v>
      </c>
      <c r="M2111">
        <v>1200</v>
      </c>
      <c r="N2111">
        <v>12</v>
      </c>
      <c r="O2111">
        <v>0</v>
      </c>
      <c r="P2111">
        <v>0</v>
      </c>
      <c r="Q2111">
        <v>0</v>
      </c>
      <c r="R2111">
        <v>2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1200</v>
      </c>
      <c r="AJ2111">
        <v>14</v>
      </c>
      <c r="AK2111">
        <v>0</v>
      </c>
      <c r="AL2111">
        <v>0</v>
      </c>
      <c r="AM2111">
        <v>1000</v>
      </c>
      <c r="AN2111">
        <v>0</v>
      </c>
      <c r="AO2111">
        <v>240</v>
      </c>
      <c r="AP2111">
        <v>-48</v>
      </c>
      <c r="AQ2111">
        <v>0</v>
      </c>
      <c r="AR2111">
        <v>120</v>
      </c>
      <c r="AS2111">
        <v>-36</v>
      </c>
      <c r="AT2111">
        <v>0</v>
      </c>
      <c r="AV2111">
        <v>0</v>
      </c>
      <c r="AW2111">
        <v>0</v>
      </c>
      <c r="AX2111">
        <v>120</v>
      </c>
      <c r="AY2111">
        <v>-12</v>
      </c>
      <c r="AZ2111">
        <v>0</v>
      </c>
      <c r="BA2111">
        <v>715.2</v>
      </c>
      <c r="BF2111" t="str">
        <f>T("D268763")</f>
        <v>D268763</v>
      </c>
      <c r="BG2111" t="str">
        <f>T("로판 웹소설 &gt; 서양풍 로판")</f>
        <v>로판 웹소설 &gt; 서양풍 로판</v>
      </c>
    </row>
    <row r="2112" spans="1:59">
      <c r="A2112" t="s">
        <v>60</v>
      </c>
      <c r="B2112" s="1">
        <v>46131</v>
      </c>
      <c r="C2112">
        <v>2378081114</v>
      </c>
      <c r="D2112">
        <v>2378081145</v>
      </c>
      <c r="E2112" t="str">
        <f>T("던전이 자꾸 이상한 짓을 시켜요 32화")</f>
        <v>던전이 자꾸 이상한 짓을 시켜요 32화</v>
      </c>
      <c r="F2112">
        <v>32</v>
      </c>
      <c r="G2112" t="str">
        <f>T("필밤")</f>
        <v>필밤</v>
      </c>
      <c r="J2112" t="str">
        <f>T("시계토끼")</f>
        <v>시계토끼</v>
      </c>
      <c r="K2112" t="str">
        <f>T("던전이 자꾸 이상한 짓을 시켜요")</f>
        <v>던전이 자꾸 이상한 짓을 시켜요</v>
      </c>
      <c r="L2112">
        <v>100</v>
      </c>
      <c r="M2112">
        <v>1100</v>
      </c>
      <c r="N2112">
        <v>11</v>
      </c>
      <c r="O2112">
        <v>0</v>
      </c>
      <c r="P2112">
        <v>0</v>
      </c>
      <c r="Q2112">
        <v>0</v>
      </c>
      <c r="R2112">
        <v>4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1100</v>
      </c>
      <c r="AJ2112">
        <v>15</v>
      </c>
      <c r="AK2112">
        <v>0</v>
      </c>
      <c r="AL2112">
        <v>0</v>
      </c>
      <c r="AM2112">
        <v>900</v>
      </c>
      <c r="AN2112">
        <v>0</v>
      </c>
      <c r="AO2112">
        <v>240</v>
      </c>
      <c r="AP2112">
        <v>-48</v>
      </c>
      <c r="AQ2112">
        <v>0</v>
      </c>
      <c r="AR2112">
        <v>120</v>
      </c>
      <c r="AS2112">
        <v>-36</v>
      </c>
      <c r="AT2112">
        <v>0</v>
      </c>
      <c r="AV2112">
        <v>0</v>
      </c>
      <c r="AW2112">
        <v>0</v>
      </c>
      <c r="AX2112">
        <v>120</v>
      </c>
      <c r="AY2112">
        <v>-12</v>
      </c>
      <c r="AZ2112">
        <v>0</v>
      </c>
      <c r="BA2112">
        <v>655.20000000000005</v>
      </c>
      <c r="BF2112" t="str">
        <f>T("D268762")</f>
        <v>D268762</v>
      </c>
      <c r="BG2112" t="str">
        <f>T("로판 웹소설 &gt; 서양풍 로판")</f>
        <v>로판 웹소설 &gt; 서양풍 로판</v>
      </c>
    </row>
    <row r="2113" spans="1:59">
      <c r="A2113" t="s">
        <v>60</v>
      </c>
      <c r="B2113" s="1">
        <v>46131</v>
      </c>
      <c r="C2113">
        <v>2378081114</v>
      </c>
      <c r="D2113">
        <v>2378081122</v>
      </c>
      <c r="E2113" t="str">
        <f>T("던전이 자꾸 이상한 짓을 시켜요 9화")</f>
        <v>던전이 자꾸 이상한 짓을 시켜요 9화</v>
      </c>
      <c r="F2113">
        <v>9</v>
      </c>
      <c r="G2113" t="str">
        <f>T("필밤")</f>
        <v>필밤</v>
      </c>
      <c r="J2113" t="str">
        <f>T("시계토끼")</f>
        <v>시계토끼</v>
      </c>
      <c r="K2113" t="str">
        <f>T("던전이 자꾸 이상한 짓을 시켜요")</f>
        <v>던전이 자꾸 이상한 짓을 시켜요</v>
      </c>
      <c r="L2113">
        <v>100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57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57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0</v>
      </c>
      <c r="AS2113">
        <v>0</v>
      </c>
      <c r="AT2113">
        <v>0</v>
      </c>
      <c r="AV2113">
        <v>0</v>
      </c>
      <c r="AW2113">
        <v>0</v>
      </c>
      <c r="AY2113">
        <v>0</v>
      </c>
      <c r="AZ2113">
        <v>0</v>
      </c>
      <c r="BA2113">
        <v>0</v>
      </c>
      <c r="BF2113" t="str">
        <f>T("D268739")</f>
        <v>D268739</v>
      </c>
      <c r="BG2113" t="str">
        <f>T("로판 웹소설 &gt; 서양풍 로판")</f>
        <v>로판 웹소설 &gt; 서양풍 로판</v>
      </c>
    </row>
    <row r="2114" spans="1:59">
      <c r="A2114" t="s">
        <v>60</v>
      </c>
      <c r="B2114" s="1">
        <v>46131</v>
      </c>
      <c r="C2114">
        <v>2378081114</v>
      </c>
      <c r="D2114">
        <v>2378081123</v>
      </c>
      <c r="E2114" t="str">
        <f>T("던전이 자꾸 이상한 짓을 시켜요 10화")</f>
        <v>던전이 자꾸 이상한 짓을 시켜요 10화</v>
      </c>
      <c r="F2114">
        <v>10</v>
      </c>
      <c r="G2114" t="str">
        <f>T("필밤")</f>
        <v>필밤</v>
      </c>
      <c r="J2114" t="str">
        <f>T("시계토끼")</f>
        <v>시계토끼</v>
      </c>
      <c r="K2114" t="str">
        <f>T("던전이 자꾸 이상한 짓을 시켜요")</f>
        <v>던전이 자꾸 이상한 짓을 시켜요</v>
      </c>
      <c r="L2114">
        <v>100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62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62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S2114">
        <v>0</v>
      </c>
      <c r="AT2114">
        <v>0</v>
      </c>
      <c r="AV2114">
        <v>0</v>
      </c>
      <c r="AW2114">
        <v>0</v>
      </c>
      <c r="AY2114">
        <v>0</v>
      </c>
      <c r="AZ2114">
        <v>0</v>
      </c>
      <c r="BA2114">
        <v>0</v>
      </c>
      <c r="BF2114" t="str">
        <f>T("D268740")</f>
        <v>D268740</v>
      </c>
      <c r="BG2114" t="str">
        <f>T("로판 웹소설 &gt; 서양풍 로판")</f>
        <v>로판 웹소설 &gt; 서양풍 로판</v>
      </c>
    </row>
    <row r="2115" spans="1:59">
      <c r="A2115" t="s">
        <v>60</v>
      </c>
      <c r="B2115" s="1">
        <v>46131</v>
      </c>
      <c r="C2115">
        <v>2378081114</v>
      </c>
      <c r="D2115">
        <v>2378081147</v>
      </c>
      <c r="E2115" t="str">
        <f>T("던전이 자꾸 이상한 짓을 시켜요 34화")</f>
        <v>던전이 자꾸 이상한 짓을 시켜요 34화</v>
      </c>
      <c r="F2115">
        <v>34</v>
      </c>
      <c r="G2115" t="str">
        <f>T("필밤")</f>
        <v>필밤</v>
      </c>
      <c r="J2115" t="str">
        <f>T("시계토끼")</f>
        <v>시계토끼</v>
      </c>
      <c r="K2115" t="str">
        <f>T("던전이 자꾸 이상한 짓을 시켜요")</f>
        <v>던전이 자꾸 이상한 짓을 시켜요</v>
      </c>
      <c r="L2115">
        <v>100</v>
      </c>
      <c r="M2115">
        <v>1100</v>
      </c>
      <c r="N2115">
        <v>11</v>
      </c>
      <c r="O2115">
        <v>0</v>
      </c>
      <c r="P2115">
        <v>0</v>
      </c>
      <c r="Q2115">
        <v>0</v>
      </c>
      <c r="R2115">
        <v>2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0</v>
      </c>
      <c r="AH2115">
        <v>0</v>
      </c>
      <c r="AI2115">
        <v>1100</v>
      </c>
      <c r="AJ2115">
        <v>13</v>
      </c>
      <c r="AK2115">
        <v>0</v>
      </c>
      <c r="AL2115">
        <v>0</v>
      </c>
      <c r="AM2115">
        <v>900</v>
      </c>
      <c r="AN2115">
        <v>0</v>
      </c>
      <c r="AO2115">
        <v>240</v>
      </c>
      <c r="AP2115">
        <v>-48</v>
      </c>
      <c r="AQ2115">
        <v>0</v>
      </c>
      <c r="AR2115">
        <v>120</v>
      </c>
      <c r="AS2115">
        <v>-36</v>
      </c>
      <c r="AT2115">
        <v>0</v>
      </c>
      <c r="AV2115">
        <v>0</v>
      </c>
      <c r="AW2115">
        <v>0</v>
      </c>
      <c r="AX2115">
        <v>120</v>
      </c>
      <c r="AY2115">
        <v>-12</v>
      </c>
      <c r="AZ2115">
        <v>0</v>
      </c>
      <c r="BA2115">
        <v>655.20000000000005</v>
      </c>
      <c r="BF2115" t="str">
        <f>T("D268764")</f>
        <v>D268764</v>
      </c>
      <c r="BG2115" t="str">
        <f>T("로판 웹소설 &gt; 서양풍 로판")</f>
        <v>로판 웹소설 &gt; 서양풍 로판</v>
      </c>
    </row>
    <row r="2116" spans="1:59">
      <c r="A2116" t="s">
        <v>60</v>
      </c>
      <c r="B2116" s="1">
        <v>46131</v>
      </c>
      <c r="C2116">
        <v>2378081114</v>
      </c>
      <c r="D2116">
        <v>2378081148</v>
      </c>
      <c r="E2116" t="str">
        <f>T("던전이 자꾸 이상한 짓을 시켜요 35화")</f>
        <v>던전이 자꾸 이상한 짓을 시켜요 35화</v>
      </c>
      <c r="F2116">
        <v>35</v>
      </c>
      <c r="G2116" t="str">
        <f>T("필밤")</f>
        <v>필밤</v>
      </c>
      <c r="J2116" t="str">
        <f>T("시계토끼")</f>
        <v>시계토끼</v>
      </c>
      <c r="K2116" t="str">
        <f>T("던전이 자꾸 이상한 짓을 시켜요")</f>
        <v>던전이 자꾸 이상한 짓을 시켜요</v>
      </c>
      <c r="L2116">
        <v>100</v>
      </c>
      <c r="M2116">
        <v>1100</v>
      </c>
      <c r="N2116">
        <v>11</v>
      </c>
      <c r="O2116">
        <v>0</v>
      </c>
      <c r="P2116">
        <v>0</v>
      </c>
      <c r="Q2116">
        <v>0</v>
      </c>
      <c r="R2116">
        <v>1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1100</v>
      </c>
      <c r="AJ2116">
        <v>12</v>
      </c>
      <c r="AK2116">
        <v>0</v>
      </c>
      <c r="AL2116">
        <v>0</v>
      </c>
      <c r="AM2116">
        <v>900</v>
      </c>
      <c r="AN2116">
        <v>0</v>
      </c>
      <c r="AO2116">
        <v>240</v>
      </c>
      <c r="AP2116">
        <v>-48</v>
      </c>
      <c r="AQ2116">
        <v>0</v>
      </c>
      <c r="AR2116">
        <v>120</v>
      </c>
      <c r="AS2116">
        <v>-36</v>
      </c>
      <c r="AT2116">
        <v>0</v>
      </c>
      <c r="AV2116">
        <v>0</v>
      </c>
      <c r="AW2116">
        <v>0</v>
      </c>
      <c r="AX2116">
        <v>120</v>
      </c>
      <c r="AY2116">
        <v>-12</v>
      </c>
      <c r="AZ2116">
        <v>0</v>
      </c>
      <c r="BA2116">
        <v>655.20000000000005</v>
      </c>
      <c r="BF2116" t="str">
        <f>T("D268765")</f>
        <v>D268765</v>
      </c>
      <c r="BG2116" t="str">
        <f>T("로판 웹소설 &gt; 서양풍 로판")</f>
        <v>로판 웹소설 &gt; 서양풍 로판</v>
      </c>
    </row>
    <row r="2117" spans="1:59">
      <c r="A2117" t="s">
        <v>60</v>
      </c>
      <c r="B2117" s="1">
        <v>46131</v>
      </c>
      <c r="C2117">
        <v>2378081114</v>
      </c>
      <c r="D2117">
        <v>2378081150</v>
      </c>
      <c r="E2117" t="str">
        <f>T("던전이 자꾸 이상한 짓을 시켜요 37화")</f>
        <v>던전이 자꾸 이상한 짓을 시켜요 37화</v>
      </c>
      <c r="F2117">
        <v>37</v>
      </c>
      <c r="G2117" t="str">
        <f>T("필밤")</f>
        <v>필밤</v>
      </c>
      <c r="J2117" t="str">
        <f>T("시계토끼")</f>
        <v>시계토끼</v>
      </c>
      <c r="K2117" t="str">
        <f>T("던전이 자꾸 이상한 짓을 시켜요")</f>
        <v>던전이 자꾸 이상한 짓을 시켜요</v>
      </c>
      <c r="L2117">
        <v>100</v>
      </c>
      <c r="M2117">
        <v>1100</v>
      </c>
      <c r="N2117">
        <v>11</v>
      </c>
      <c r="O2117">
        <v>0</v>
      </c>
      <c r="P2117">
        <v>0</v>
      </c>
      <c r="Q2117">
        <v>0</v>
      </c>
      <c r="R2117">
        <v>2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1100</v>
      </c>
      <c r="AJ2117">
        <v>13</v>
      </c>
      <c r="AK2117">
        <v>0</v>
      </c>
      <c r="AL2117">
        <v>0</v>
      </c>
      <c r="AM2117">
        <v>900</v>
      </c>
      <c r="AN2117">
        <v>0</v>
      </c>
      <c r="AO2117">
        <v>240</v>
      </c>
      <c r="AP2117">
        <v>-72</v>
      </c>
      <c r="AQ2117">
        <v>0</v>
      </c>
      <c r="AR2117">
        <v>240</v>
      </c>
      <c r="AS2117">
        <v>-72</v>
      </c>
      <c r="AT2117">
        <v>0</v>
      </c>
      <c r="AV2117">
        <v>0</v>
      </c>
      <c r="AW2117">
        <v>0</v>
      </c>
      <c r="AY2117">
        <v>0</v>
      </c>
      <c r="AZ2117">
        <v>0</v>
      </c>
      <c r="BA2117">
        <v>640.79999999999995</v>
      </c>
      <c r="BF2117" t="str">
        <f>T("D268767")</f>
        <v>D268767</v>
      </c>
      <c r="BG2117" t="str">
        <f>T("로판 웹소설 &gt; 서양풍 로판")</f>
        <v>로판 웹소설 &gt; 서양풍 로판</v>
      </c>
    </row>
    <row r="2118" spans="1:59">
      <c r="A2118" t="s">
        <v>60</v>
      </c>
      <c r="B2118" s="1">
        <v>46131</v>
      </c>
      <c r="C2118">
        <v>2378081114</v>
      </c>
      <c r="D2118">
        <v>2378081151</v>
      </c>
      <c r="E2118" t="str">
        <f>T("던전이 자꾸 이상한 짓을 시켜요 38화")</f>
        <v>던전이 자꾸 이상한 짓을 시켜요 38화</v>
      </c>
      <c r="F2118">
        <v>38</v>
      </c>
      <c r="G2118" t="str">
        <f>T("필밤")</f>
        <v>필밤</v>
      </c>
      <c r="J2118" t="str">
        <f>T("시계토끼")</f>
        <v>시계토끼</v>
      </c>
      <c r="K2118" t="str">
        <f>T("던전이 자꾸 이상한 짓을 시켜요")</f>
        <v>던전이 자꾸 이상한 짓을 시켜요</v>
      </c>
      <c r="L2118">
        <v>100</v>
      </c>
      <c r="M2118">
        <v>1100</v>
      </c>
      <c r="N2118">
        <v>11</v>
      </c>
      <c r="O2118">
        <v>0</v>
      </c>
      <c r="P2118">
        <v>0</v>
      </c>
      <c r="Q2118">
        <v>0</v>
      </c>
      <c r="R2118">
        <v>2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1100</v>
      </c>
      <c r="AJ2118">
        <v>13</v>
      </c>
      <c r="AK2118">
        <v>0</v>
      </c>
      <c r="AL2118">
        <v>0</v>
      </c>
      <c r="AM2118">
        <v>900</v>
      </c>
      <c r="AN2118">
        <v>0</v>
      </c>
      <c r="AO2118">
        <v>240</v>
      </c>
      <c r="AP2118">
        <v>-72</v>
      </c>
      <c r="AQ2118">
        <v>0</v>
      </c>
      <c r="AR2118">
        <v>240</v>
      </c>
      <c r="AS2118">
        <v>-72</v>
      </c>
      <c r="AT2118">
        <v>0</v>
      </c>
      <c r="AV2118">
        <v>0</v>
      </c>
      <c r="AW2118">
        <v>0</v>
      </c>
      <c r="AY2118">
        <v>0</v>
      </c>
      <c r="AZ2118">
        <v>0</v>
      </c>
      <c r="BA2118">
        <v>640.79999999999995</v>
      </c>
      <c r="BF2118" t="str">
        <f>T("D268768")</f>
        <v>D268768</v>
      </c>
      <c r="BG2118" t="str">
        <f>T("로판 웹소설 &gt; 서양풍 로판")</f>
        <v>로판 웹소설 &gt; 서양풍 로판</v>
      </c>
    </row>
    <row r="2119" spans="1:59">
      <c r="A2119" t="s">
        <v>60</v>
      </c>
      <c r="B2119" s="1">
        <v>46131</v>
      </c>
      <c r="C2119">
        <v>2378081114</v>
      </c>
      <c r="D2119">
        <v>2378081152</v>
      </c>
      <c r="E2119" t="str">
        <f>T("던전이 자꾸 이상한 짓을 시켜요 39화")</f>
        <v>던전이 자꾸 이상한 짓을 시켜요 39화</v>
      </c>
      <c r="F2119">
        <v>39</v>
      </c>
      <c r="G2119" t="str">
        <f>T("필밤")</f>
        <v>필밤</v>
      </c>
      <c r="J2119" t="str">
        <f>T("시계토끼")</f>
        <v>시계토끼</v>
      </c>
      <c r="K2119" t="str">
        <f>T("던전이 자꾸 이상한 짓을 시켜요")</f>
        <v>던전이 자꾸 이상한 짓을 시켜요</v>
      </c>
      <c r="L2119">
        <v>100</v>
      </c>
      <c r="M2119">
        <v>1000</v>
      </c>
      <c r="N2119">
        <v>10</v>
      </c>
      <c r="O2119">
        <v>0</v>
      </c>
      <c r="P2119">
        <v>0</v>
      </c>
      <c r="Q2119">
        <v>0</v>
      </c>
      <c r="R2119">
        <v>2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1000</v>
      </c>
      <c r="AJ2119">
        <v>12</v>
      </c>
      <c r="AK2119">
        <v>0</v>
      </c>
      <c r="AL2119">
        <v>0</v>
      </c>
      <c r="AM2119">
        <v>800</v>
      </c>
      <c r="AN2119">
        <v>0</v>
      </c>
      <c r="AO2119">
        <v>240</v>
      </c>
      <c r="AP2119">
        <v>-72</v>
      </c>
      <c r="AQ2119">
        <v>0</v>
      </c>
      <c r="AR2119">
        <v>240</v>
      </c>
      <c r="AS2119">
        <v>-72</v>
      </c>
      <c r="AT2119">
        <v>0</v>
      </c>
      <c r="AV2119">
        <v>0</v>
      </c>
      <c r="AW2119">
        <v>0</v>
      </c>
      <c r="AY2119">
        <v>0</v>
      </c>
      <c r="AZ2119">
        <v>0</v>
      </c>
      <c r="BA2119">
        <v>580.79999999999995</v>
      </c>
      <c r="BF2119" t="str">
        <f>T("D268769")</f>
        <v>D268769</v>
      </c>
      <c r="BG2119" t="str">
        <f>T("로판 웹소설 &gt; 서양풍 로판")</f>
        <v>로판 웹소설 &gt; 서양풍 로판</v>
      </c>
    </row>
    <row r="2120" spans="1:59">
      <c r="A2120" t="s">
        <v>60</v>
      </c>
      <c r="B2120" s="1">
        <v>46131</v>
      </c>
      <c r="C2120">
        <v>2378081114</v>
      </c>
      <c r="D2120">
        <v>2378081155</v>
      </c>
      <c r="E2120" t="str">
        <f>T("던전이 자꾸 이상한 짓을 시켜요 42화")</f>
        <v>던전이 자꾸 이상한 짓을 시켜요 42화</v>
      </c>
      <c r="F2120">
        <v>42</v>
      </c>
      <c r="G2120" t="str">
        <f>T("필밤")</f>
        <v>필밤</v>
      </c>
      <c r="J2120" t="str">
        <f>T("시계토끼")</f>
        <v>시계토끼</v>
      </c>
      <c r="K2120" t="str">
        <f>T("던전이 자꾸 이상한 짓을 시켜요")</f>
        <v>던전이 자꾸 이상한 짓을 시켜요</v>
      </c>
      <c r="L2120">
        <v>100</v>
      </c>
      <c r="M2120">
        <v>900</v>
      </c>
      <c r="N2120">
        <v>9</v>
      </c>
      <c r="O2120">
        <v>0</v>
      </c>
      <c r="P2120">
        <v>0</v>
      </c>
      <c r="Q2120">
        <v>0</v>
      </c>
      <c r="R2120">
        <v>3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900</v>
      </c>
      <c r="AJ2120">
        <v>12</v>
      </c>
      <c r="AK2120">
        <v>0</v>
      </c>
      <c r="AL2120">
        <v>0</v>
      </c>
      <c r="AM2120">
        <v>700</v>
      </c>
      <c r="AN2120">
        <v>0</v>
      </c>
      <c r="AO2120">
        <v>240</v>
      </c>
      <c r="AP2120">
        <v>-72</v>
      </c>
      <c r="AQ2120">
        <v>0</v>
      </c>
      <c r="AR2120">
        <v>240</v>
      </c>
      <c r="AS2120">
        <v>-72</v>
      </c>
      <c r="AT2120">
        <v>0</v>
      </c>
      <c r="AV2120">
        <v>0</v>
      </c>
      <c r="AW2120">
        <v>0</v>
      </c>
      <c r="AY2120">
        <v>0</v>
      </c>
      <c r="AZ2120">
        <v>0</v>
      </c>
      <c r="BA2120">
        <v>520.79999999999995</v>
      </c>
      <c r="BF2120" t="str">
        <f>T("D268772")</f>
        <v>D268772</v>
      </c>
      <c r="BG2120" t="str">
        <f>T("로판 웹소설 &gt; 서양풍 로판")</f>
        <v>로판 웹소설 &gt; 서양풍 로판</v>
      </c>
    </row>
    <row r="2121" spans="1:59">
      <c r="A2121" t="s">
        <v>60</v>
      </c>
      <c r="B2121" s="1">
        <v>46131</v>
      </c>
      <c r="C2121">
        <v>2378081114</v>
      </c>
      <c r="D2121">
        <v>2378081144</v>
      </c>
      <c r="E2121" t="str">
        <f>T("던전이 자꾸 이상한 짓을 시켜요 31화")</f>
        <v>던전이 자꾸 이상한 짓을 시켜요 31화</v>
      </c>
      <c r="F2121">
        <v>31</v>
      </c>
      <c r="G2121" t="str">
        <f>T("필밤")</f>
        <v>필밤</v>
      </c>
      <c r="J2121" t="str">
        <f>T("시계토끼")</f>
        <v>시계토끼</v>
      </c>
      <c r="K2121" t="str">
        <f>T("던전이 자꾸 이상한 짓을 시켜요")</f>
        <v>던전이 자꾸 이상한 짓을 시켜요</v>
      </c>
      <c r="L2121">
        <v>100</v>
      </c>
      <c r="M2121">
        <v>1000</v>
      </c>
      <c r="N2121">
        <v>10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1000</v>
      </c>
      <c r="AJ2121">
        <v>10</v>
      </c>
      <c r="AK2121">
        <v>0</v>
      </c>
      <c r="AL2121">
        <v>0</v>
      </c>
      <c r="AM2121">
        <v>800</v>
      </c>
      <c r="AN2121">
        <v>0</v>
      </c>
      <c r="AO2121">
        <v>240</v>
      </c>
      <c r="AP2121">
        <v>-48</v>
      </c>
      <c r="AQ2121">
        <v>0</v>
      </c>
      <c r="AR2121">
        <v>120</v>
      </c>
      <c r="AS2121">
        <v>-36</v>
      </c>
      <c r="AT2121">
        <v>0</v>
      </c>
      <c r="AV2121">
        <v>0</v>
      </c>
      <c r="AW2121">
        <v>0</v>
      </c>
      <c r="AX2121">
        <v>120</v>
      </c>
      <c r="AY2121">
        <v>-12</v>
      </c>
      <c r="AZ2121">
        <v>0</v>
      </c>
      <c r="BA2121">
        <v>595.20000000000005</v>
      </c>
      <c r="BF2121" t="str">
        <f>T("D268761")</f>
        <v>D268761</v>
      </c>
      <c r="BG2121" t="str">
        <f>T("로판 웹소설 &gt; 서양풍 로판")</f>
        <v>로판 웹소설 &gt; 서양풍 로판</v>
      </c>
    </row>
    <row r="2122" spans="1:59">
      <c r="A2122" t="s">
        <v>60</v>
      </c>
      <c r="B2122" s="1">
        <v>46131</v>
      </c>
      <c r="C2122">
        <v>2378081114</v>
      </c>
      <c r="D2122">
        <v>2378081156</v>
      </c>
      <c r="E2122" t="str">
        <f>T("던전이 자꾸 이상한 짓을 시켜요 43화")</f>
        <v>던전이 자꾸 이상한 짓을 시켜요 43화</v>
      </c>
      <c r="F2122">
        <v>43</v>
      </c>
      <c r="G2122" t="str">
        <f>T("필밤")</f>
        <v>필밤</v>
      </c>
      <c r="J2122" t="str">
        <f>T("시계토끼")</f>
        <v>시계토끼</v>
      </c>
      <c r="K2122" t="str">
        <f>T("던전이 자꾸 이상한 짓을 시켜요")</f>
        <v>던전이 자꾸 이상한 짓을 시켜요</v>
      </c>
      <c r="L2122">
        <v>100</v>
      </c>
      <c r="M2122">
        <v>900</v>
      </c>
      <c r="N2122">
        <v>9</v>
      </c>
      <c r="O2122">
        <v>0</v>
      </c>
      <c r="P2122">
        <v>0</v>
      </c>
      <c r="Q2122">
        <v>0</v>
      </c>
      <c r="R2122">
        <v>3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900</v>
      </c>
      <c r="AJ2122">
        <v>12</v>
      </c>
      <c r="AK2122">
        <v>0</v>
      </c>
      <c r="AL2122">
        <v>0</v>
      </c>
      <c r="AM2122">
        <v>700</v>
      </c>
      <c r="AN2122">
        <v>0</v>
      </c>
      <c r="AO2122">
        <v>240</v>
      </c>
      <c r="AP2122">
        <v>-72</v>
      </c>
      <c r="AQ2122">
        <v>0</v>
      </c>
      <c r="AR2122">
        <v>240</v>
      </c>
      <c r="AS2122">
        <v>-72</v>
      </c>
      <c r="AT2122">
        <v>0</v>
      </c>
      <c r="AV2122">
        <v>0</v>
      </c>
      <c r="AW2122">
        <v>0</v>
      </c>
      <c r="AY2122">
        <v>0</v>
      </c>
      <c r="AZ2122">
        <v>0</v>
      </c>
      <c r="BA2122">
        <v>520.79999999999995</v>
      </c>
      <c r="BF2122" t="str">
        <f>T("D268773")</f>
        <v>D268773</v>
      </c>
      <c r="BG2122" t="str">
        <f>T("로판 웹소설 &gt; 서양풍 로판")</f>
        <v>로판 웹소설 &gt; 서양풍 로판</v>
      </c>
    </row>
    <row r="2123" spans="1:59">
      <c r="A2123" t="s">
        <v>60</v>
      </c>
      <c r="B2123" s="1">
        <v>46131</v>
      </c>
      <c r="C2123">
        <v>2378081114</v>
      </c>
      <c r="D2123">
        <v>2378081157</v>
      </c>
      <c r="E2123" t="str">
        <f>T("던전이 자꾸 이상한 짓을 시켜요 44화")</f>
        <v>던전이 자꾸 이상한 짓을 시켜요 44화</v>
      </c>
      <c r="F2123">
        <v>44</v>
      </c>
      <c r="G2123" t="str">
        <f>T("필밤")</f>
        <v>필밤</v>
      </c>
      <c r="J2123" t="str">
        <f>T("시계토끼")</f>
        <v>시계토끼</v>
      </c>
      <c r="K2123" t="str">
        <f>T("던전이 자꾸 이상한 짓을 시켜요")</f>
        <v>던전이 자꾸 이상한 짓을 시켜요</v>
      </c>
      <c r="L2123">
        <v>100</v>
      </c>
      <c r="M2123">
        <v>900</v>
      </c>
      <c r="N2123">
        <v>9</v>
      </c>
      <c r="O2123">
        <v>0</v>
      </c>
      <c r="P2123">
        <v>0</v>
      </c>
      <c r="Q2123">
        <v>0</v>
      </c>
      <c r="R2123">
        <v>3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900</v>
      </c>
      <c r="AJ2123">
        <v>12</v>
      </c>
      <c r="AK2123">
        <v>0</v>
      </c>
      <c r="AL2123">
        <v>0</v>
      </c>
      <c r="AM2123">
        <v>700</v>
      </c>
      <c r="AN2123">
        <v>0</v>
      </c>
      <c r="AO2123">
        <v>240</v>
      </c>
      <c r="AP2123">
        <v>-72</v>
      </c>
      <c r="AQ2123">
        <v>0</v>
      </c>
      <c r="AR2123">
        <v>240</v>
      </c>
      <c r="AS2123">
        <v>-72</v>
      </c>
      <c r="AT2123">
        <v>0</v>
      </c>
      <c r="AV2123">
        <v>0</v>
      </c>
      <c r="AW2123">
        <v>0</v>
      </c>
      <c r="AY2123">
        <v>0</v>
      </c>
      <c r="AZ2123">
        <v>0</v>
      </c>
      <c r="BA2123">
        <v>520.79999999999995</v>
      </c>
      <c r="BF2123" t="str">
        <f>T("D268774")</f>
        <v>D268774</v>
      </c>
      <c r="BG2123" t="str">
        <f>T("로판 웹소설 &gt; 서양풍 로판")</f>
        <v>로판 웹소설 &gt; 서양풍 로판</v>
      </c>
    </row>
    <row r="2124" spans="1:59">
      <c r="A2124" t="s">
        <v>60</v>
      </c>
      <c r="B2124" s="1">
        <v>46131</v>
      </c>
      <c r="C2124">
        <v>2378081114</v>
      </c>
      <c r="D2124">
        <v>2378081158</v>
      </c>
      <c r="E2124" t="str">
        <f>T("던전이 자꾸 이상한 짓을 시켜요 45화")</f>
        <v>던전이 자꾸 이상한 짓을 시켜요 45화</v>
      </c>
      <c r="F2124">
        <v>45</v>
      </c>
      <c r="G2124" t="str">
        <f>T("필밤")</f>
        <v>필밤</v>
      </c>
      <c r="J2124" t="str">
        <f>T("시계토끼")</f>
        <v>시계토끼</v>
      </c>
      <c r="K2124" t="str">
        <f>T("던전이 자꾸 이상한 짓을 시켜요")</f>
        <v>던전이 자꾸 이상한 짓을 시켜요</v>
      </c>
      <c r="L2124">
        <v>100</v>
      </c>
      <c r="M2124">
        <v>1100</v>
      </c>
      <c r="N2124">
        <v>11</v>
      </c>
      <c r="O2124">
        <v>0</v>
      </c>
      <c r="P2124">
        <v>0</v>
      </c>
      <c r="Q2124">
        <v>0</v>
      </c>
      <c r="R2124">
        <v>2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1100</v>
      </c>
      <c r="AJ2124">
        <v>13</v>
      </c>
      <c r="AK2124">
        <v>0</v>
      </c>
      <c r="AL2124">
        <v>0</v>
      </c>
      <c r="AM2124">
        <v>900</v>
      </c>
      <c r="AN2124">
        <v>0</v>
      </c>
      <c r="AO2124">
        <v>240</v>
      </c>
      <c r="AP2124">
        <v>-72</v>
      </c>
      <c r="AQ2124">
        <v>0</v>
      </c>
      <c r="AR2124">
        <v>240</v>
      </c>
      <c r="AS2124">
        <v>-72</v>
      </c>
      <c r="AT2124">
        <v>0</v>
      </c>
      <c r="AV2124">
        <v>0</v>
      </c>
      <c r="AW2124">
        <v>0</v>
      </c>
      <c r="AY2124">
        <v>0</v>
      </c>
      <c r="AZ2124">
        <v>0</v>
      </c>
      <c r="BA2124">
        <v>640.79999999999995</v>
      </c>
      <c r="BF2124" t="str">
        <f>T("D268775")</f>
        <v>D268775</v>
      </c>
      <c r="BG2124" t="str">
        <f>T("로판 웹소설 &gt; 서양풍 로판")</f>
        <v>로판 웹소설 &gt; 서양풍 로판</v>
      </c>
    </row>
    <row r="2125" spans="1:59">
      <c r="A2125" t="s">
        <v>60</v>
      </c>
      <c r="B2125" s="1">
        <v>46131</v>
      </c>
      <c r="C2125">
        <v>2378081114</v>
      </c>
      <c r="D2125">
        <v>2378081242</v>
      </c>
      <c r="E2125" t="str">
        <f>T("던전이 자꾸 이상한 짓을 시켜요 88화")</f>
        <v>던전이 자꾸 이상한 짓을 시켜요 88화</v>
      </c>
      <c r="F2125">
        <v>88</v>
      </c>
      <c r="G2125" t="str">
        <f>T("필밤")</f>
        <v>필밤</v>
      </c>
      <c r="J2125" t="str">
        <f>T("시계토끼")</f>
        <v>시계토끼</v>
      </c>
      <c r="K2125" t="str">
        <f>T("던전이 자꾸 이상한 짓을 시켜요")</f>
        <v>던전이 자꾸 이상한 짓을 시켜요</v>
      </c>
      <c r="L2125">
        <v>100</v>
      </c>
      <c r="M2125">
        <v>3500</v>
      </c>
      <c r="N2125">
        <v>35</v>
      </c>
      <c r="O2125">
        <v>0</v>
      </c>
      <c r="P2125">
        <v>0</v>
      </c>
      <c r="Q2125">
        <v>0</v>
      </c>
      <c r="R2125">
        <v>4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3500</v>
      </c>
      <c r="AJ2125">
        <v>39</v>
      </c>
      <c r="AK2125">
        <v>0</v>
      </c>
      <c r="AL2125">
        <v>0</v>
      </c>
      <c r="AM2125">
        <v>3000</v>
      </c>
      <c r="AN2125">
        <v>0</v>
      </c>
      <c r="AO2125">
        <v>600</v>
      </c>
      <c r="AP2125">
        <v>-132</v>
      </c>
      <c r="AQ2125">
        <v>0</v>
      </c>
      <c r="AR2125">
        <v>360</v>
      </c>
      <c r="AS2125">
        <v>-108</v>
      </c>
      <c r="AT2125">
        <v>0</v>
      </c>
      <c r="AU2125">
        <v>120</v>
      </c>
      <c r="AV2125">
        <v>-12</v>
      </c>
      <c r="AW2125">
        <v>0</v>
      </c>
      <c r="AX2125">
        <v>120</v>
      </c>
      <c r="AY2125">
        <v>-12</v>
      </c>
      <c r="AZ2125">
        <v>0</v>
      </c>
      <c r="BA2125">
        <v>2080.8000000000002</v>
      </c>
      <c r="BF2125" t="str">
        <f>T("D268818")</f>
        <v>D268818</v>
      </c>
      <c r="BG2125" t="str">
        <f>T("로판 웹소설 &gt; 서양풍 로판")</f>
        <v>로판 웹소설 &gt; 서양풍 로판</v>
      </c>
    </row>
    <row r="2126" spans="1:59">
      <c r="A2126" t="s">
        <v>60</v>
      </c>
      <c r="B2126" s="1">
        <v>46131</v>
      </c>
      <c r="C2126">
        <v>2378081114</v>
      </c>
      <c r="D2126">
        <v>2378081153</v>
      </c>
      <c r="E2126" t="str">
        <f>T("던전이 자꾸 이상한 짓을 시켜요 40화")</f>
        <v>던전이 자꾸 이상한 짓을 시켜요 40화</v>
      </c>
      <c r="F2126">
        <v>40</v>
      </c>
      <c r="G2126" t="str">
        <f>T("필밤")</f>
        <v>필밤</v>
      </c>
      <c r="J2126" t="str">
        <f>T("시계토끼")</f>
        <v>시계토끼</v>
      </c>
      <c r="K2126" t="str">
        <f>T("던전이 자꾸 이상한 짓을 시켜요")</f>
        <v>던전이 자꾸 이상한 짓을 시켜요</v>
      </c>
      <c r="L2126">
        <v>100</v>
      </c>
      <c r="M2126">
        <v>800</v>
      </c>
      <c r="N2126">
        <v>8</v>
      </c>
      <c r="O2126">
        <v>0</v>
      </c>
      <c r="P2126">
        <v>0</v>
      </c>
      <c r="Q2126">
        <v>0</v>
      </c>
      <c r="R2126">
        <v>3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800</v>
      </c>
      <c r="AJ2126">
        <v>11</v>
      </c>
      <c r="AK2126">
        <v>0</v>
      </c>
      <c r="AL2126">
        <v>0</v>
      </c>
      <c r="AM2126">
        <v>700</v>
      </c>
      <c r="AN2126">
        <v>0</v>
      </c>
      <c r="AO2126">
        <v>120</v>
      </c>
      <c r="AP2126">
        <v>-36</v>
      </c>
      <c r="AQ2126">
        <v>0</v>
      </c>
      <c r="AR2126">
        <v>120</v>
      </c>
      <c r="AS2126">
        <v>-36</v>
      </c>
      <c r="AT2126">
        <v>0</v>
      </c>
      <c r="AV2126">
        <v>0</v>
      </c>
      <c r="AW2126">
        <v>0</v>
      </c>
      <c r="AY2126">
        <v>0</v>
      </c>
      <c r="AZ2126">
        <v>0</v>
      </c>
      <c r="BA2126">
        <v>470.4</v>
      </c>
      <c r="BF2126" t="str">
        <f>T("D268770")</f>
        <v>D268770</v>
      </c>
      <c r="BG2126" t="str">
        <f>T("로판 웹소설 &gt; 서양풍 로판")</f>
        <v>로판 웹소설 &gt; 서양풍 로판</v>
      </c>
    </row>
    <row r="2127" spans="1:59">
      <c r="A2127" t="s">
        <v>60</v>
      </c>
      <c r="B2127" s="1">
        <v>46131</v>
      </c>
      <c r="C2127">
        <v>2378081114</v>
      </c>
      <c r="D2127">
        <v>2378081134</v>
      </c>
      <c r="E2127" t="str">
        <f>T("던전이 자꾸 이상한 짓을 시켜요 21화")</f>
        <v>던전이 자꾸 이상한 짓을 시켜요 21화</v>
      </c>
      <c r="F2127">
        <v>21</v>
      </c>
      <c r="G2127" t="str">
        <f>T("필밤")</f>
        <v>필밤</v>
      </c>
      <c r="J2127" t="str">
        <f>T("시계토끼")</f>
        <v>시계토끼</v>
      </c>
      <c r="K2127" t="str">
        <f>T("던전이 자꾸 이상한 짓을 시켜요")</f>
        <v>던전이 자꾸 이상한 짓을 시켜요</v>
      </c>
      <c r="L2127">
        <v>100</v>
      </c>
      <c r="M2127">
        <v>300</v>
      </c>
      <c r="N2127">
        <v>3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300</v>
      </c>
      <c r="AJ2127">
        <v>3</v>
      </c>
      <c r="AK2127">
        <v>0</v>
      </c>
      <c r="AL2127">
        <v>0</v>
      </c>
      <c r="AM2127">
        <v>300</v>
      </c>
      <c r="AN2127">
        <v>0</v>
      </c>
      <c r="AO2127">
        <v>0</v>
      </c>
      <c r="AP2127">
        <v>0</v>
      </c>
      <c r="AQ2127">
        <v>0</v>
      </c>
      <c r="AS2127">
        <v>0</v>
      </c>
      <c r="AT2127">
        <v>0</v>
      </c>
      <c r="AV2127">
        <v>0</v>
      </c>
      <c r="AW2127">
        <v>0</v>
      </c>
      <c r="AY2127">
        <v>0</v>
      </c>
      <c r="AZ2127">
        <v>0</v>
      </c>
      <c r="BA2127">
        <v>180</v>
      </c>
      <c r="BF2127" t="str">
        <f>T("D268751")</f>
        <v>D268751</v>
      </c>
      <c r="BG2127" t="str">
        <f>T("로판 웹소설 &gt; 서양풍 로판")</f>
        <v>로판 웹소설 &gt; 서양풍 로판</v>
      </c>
    </row>
    <row r="2128" spans="1:59">
      <c r="A2128" t="s">
        <v>60</v>
      </c>
      <c r="B2128" s="1">
        <v>46131</v>
      </c>
      <c r="C2128">
        <v>2378081114</v>
      </c>
      <c r="D2128">
        <v>2378081140</v>
      </c>
      <c r="E2128" t="str">
        <f>T("던전이 자꾸 이상한 짓을 시켜요 27화")</f>
        <v>던전이 자꾸 이상한 짓을 시켜요 27화</v>
      </c>
      <c r="F2128">
        <v>27</v>
      </c>
      <c r="G2128" t="str">
        <f>T("필밤")</f>
        <v>필밤</v>
      </c>
      <c r="J2128" t="str">
        <f>T("시계토끼")</f>
        <v>시계토끼</v>
      </c>
      <c r="K2128" t="str">
        <f>T("던전이 자꾸 이상한 짓을 시켜요")</f>
        <v>던전이 자꾸 이상한 짓을 시켜요</v>
      </c>
      <c r="L2128">
        <v>100</v>
      </c>
      <c r="M2128">
        <v>1000</v>
      </c>
      <c r="N2128">
        <v>10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1000</v>
      </c>
      <c r="AJ2128">
        <v>10</v>
      </c>
      <c r="AK2128">
        <v>0</v>
      </c>
      <c r="AL2128">
        <v>0</v>
      </c>
      <c r="AM2128">
        <v>800</v>
      </c>
      <c r="AN2128">
        <v>0</v>
      </c>
      <c r="AO2128">
        <v>240</v>
      </c>
      <c r="AP2128">
        <v>-48</v>
      </c>
      <c r="AQ2128">
        <v>0</v>
      </c>
      <c r="AR2128">
        <v>120</v>
      </c>
      <c r="AS2128">
        <v>-36</v>
      </c>
      <c r="AT2128">
        <v>0</v>
      </c>
      <c r="AV2128">
        <v>0</v>
      </c>
      <c r="AW2128">
        <v>0</v>
      </c>
      <c r="AX2128">
        <v>120</v>
      </c>
      <c r="AY2128">
        <v>-12</v>
      </c>
      <c r="AZ2128">
        <v>0</v>
      </c>
      <c r="BA2128">
        <v>595.20000000000005</v>
      </c>
      <c r="BF2128" t="str">
        <f>T("D268757")</f>
        <v>D268757</v>
      </c>
      <c r="BG2128" t="str">
        <f>T("로판 웹소설 &gt; 서양풍 로판")</f>
        <v>로판 웹소설 &gt; 서양풍 로판</v>
      </c>
    </row>
    <row r="2129" spans="1:59">
      <c r="A2129" t="s">
        <v>60</v>
      </c>
      <c r="B2129" s="1">
        <v>46131</v>
      </c>
      <c r="C2129">
        <v>2378081114</v>
      </c>
      <c r="D2129">
        <v>2378081241</v>
      </c>
      <c r="E2129" t="str">
        <f>T("던전이 자꾸 이상한 짓을 시켜요 87화")</f>
        <v>던전이 자꾸 이상한 짓을 시켜요 87화</v>
      </c>
      <c r="F2129">
        <v>87</v>
      </c>
      <c r="G2129" t="str">
        <f>T("필밤")</f>
        <v>필밤</v>
      </c>
      <c r="J2129" t="str">
        <f>T("시계토끼")</f>
        <v>시계토끼</v>
      </c>
      <c r="K2129" t="str">
        <f>T("던전이 자꾸 이상한 짓을 시켜요")</f>
        <v>던전이 자꾸 이상한 짓을 시켜요</v>
      </c>
      <c r="L2129">
        <v>100</v>
      </c>
      <c r="M2129">
        <v>1600</v>
      </c>
      <c r="N2129">
        <v>16</v>
      </c>
      <c r="O2129">
        <v>0</v>
      </c>
      <c r="P2129">
        <v>0</v>
      </c>
      <c r="Q2129">
        <v>0</v>
      </c>
      <c r="R2129">
        <v>3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1600</v>
      </c>
      <c r="AJ2129">
        <v>19</v>
      </c>
      <c r="AK2129">
        <v>0</v>
      </c>
      <c r="AL2129">
        <v>0</v>
      </c>
      <c r="AM2129">
        <v>1300</v>
      </c>
      <c r="AN2129">
        <v>0</v>
      </c>
      <c r="AO2129">
        <v>360</v>
      </c>
      <c r="AP2129">
        <v>-84</v>
      </c>
      <c r="AQ2129">
        <v>0</v>
      </c>
      <c r="AR2129">
        <v>240</v>
      </c>
      <c r="AS2129">
        <v>-72</v>
      </c>
      <c r="AT2129">
        <v>0</v>
      </c>
      <c r="AU2129">
        <v>120</v>
      </c>
      <c r="AV2129">
        <v>-12</v>
      </c>
      <c r="AW2129">
        <v>0</v>
      </c>
      <c r="AY2129">
        <v>0</v>
      </c>
      <c r="AZ2129">
        <v>0</v>
      </c>
      <c r="BA2129">
        <v>945.6</v>
      </c>
      <c r="BF2129" t="str">
        <f>T("D268817")</f>
        <v>D268817</v>
      </c>
      <c r="BG2129" t="str">
        <f>T("로판 웹소설 &gt; 서양풍 로판")</f>
        <v>로판 웹소설 &gt; 서양풍 로판</v>
      </c>
    </row>
    <row r="2130" spans="1:59">
      <c r="A2130" t="s">
        <v>60</v>
      </c>
      <c r="B2130" s="1">
        <v>46131</v>
      </c>
      <c r="C2130">
        <v>2378081114</v>
      </c>
      <c r="D2130">
        <v>2378081149</v>
      </c>
      <c r="E2130" t="str">
        <f>T("던전이 자꾸 이상한 짓을 시켜요 36화")</f>
        <v>던전이 자꾸 이상한 짓을 시켜요 36화</v>
      </c>
      <c r="F2130">
        <v>36</v>
      </c>
      <c r="G2130" t="str">
        <f>T("필밤")</f>
        <v>필밤</v>
      </c>
      <c r="J2130" t="str">
        <f>T("시계토끼")</f>
        <v>시계토끼</v>
      </c>
      <c r="K2130" t="str">
        <f>T("던전이 자꾸 이상한 짓을 시켜요")</f>
        <v>던전이 자꾸 이상한 짓을 시켜요</v>
      </c>
      <c r="L2130">
        <v>100</v>
      </c>
      <c r="M2130">
        <v>1000</v>
      </c>
      <c r="N2130">
        <v>10</v>
      </c>
      <c r="O2130">
        <v>0</v>
      </c>
      <c r="P2130">
        <v>0</v>
      </c>
      <c r="Q2130">
        <v>0</v>
      </c>
      <c r="R2130">
        <v>1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1000</v>
      </c>
      <c r="AJ2130">
        <v>11</v>
      </c>
      <c r="AK2130">
        <v>0</v>
      </c>
      <c r="AL2130">
        <v>0</v>
      </c>
      <c r="AM2130">
        <v>800</v>
      </c>
      <c r="AN2130">
        <v>0</v>
      </c>
      <c r="AO2130">
        <v>240</v>
      </c>
      <c r="AP2130">
        <v>-72</v>
      </c>
      <c r="AQ2130">
        <v>0</v>
      </c>
      <c r="AR2130">
        <v>240</v>
      </c>
      <c r="AS2130">
        <v>-72</v>
      </c>
      <c r="AT2130">
        <v>0</v>
      </c>
      <c r="AV2130">
        <v>0</v>
      </c>
      <c r="AW2130">
        <v>0</v>
      </c>
      <c r="AY2130">
        <v>0</v>
      </c>
      <c r="AZ2130">
        <v>0</v>
      </c>
      <c r="BA2130">
        <v>580.79999999999995</v>
      </c>
      <c r="BF2130" t="str">
        <f>T("D268766")</f>
        <v>D268766</v>
      </c>
      <c r="BG2130" t="str">
        <f>T("로판 웹소설 &gt; 서양풍 로판")</f>
        <v>로판 웹소설 &gt; 서양풍 로판</v>
      </c>
    </row>
    <row r="2131" spans="1:59">
      <c r="A2131" t="s">
        <v>60</v>
      </c>
      <c r="B2131" s="1">
        <v>46131</v>
      </c>
      <c r="C2131">
        <v>2378081114</v>
      </c>
      <c r="D2131">
        <v>2378081154</v>
      </c>
      <c r="E2131" t="str">
        <f>T("던전이 자꾸 이상한 짓을 시켜요 41화")</f>
        <v>던전이 자꾸 이상한 짓을 시켜요 41화</v>
      </c>
      <c r="F2131">
        <v>41</v>
      </c>
      <c r="G2131" t="str">
        <f>T("필밤")</f>
        <v>필밤</v>
      </c>
      <c r="J2131" t="str">
        <f>T("시계토끼")</f>
        <v>시계토끼</v>
      </c>
      <c r="K2131" t="str">
        <f>T("던전이 자꾸 이상한 짓을 시켜요")</f>
        <v>던전이 자꾸 이상한 짓을 시켜요</v>
      </c>
      <c r="L2131">
        <v>100</v>
      </c>
      <c r="M2131">
        <v>900</v>
      </c>
      <c r="N2131">
        <v>9</v>
      </c>
      <c r="O2131">
        <v>0</v>
      </c>
      <c r="P2131">
        <v>0</v>
      </c>
      <c r="Q2131">
        <v>0</v>
      </c>
      <c r="R2131">
        <v>1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900</v>
      </c>
      <c r="AJ2131">
        <v>10</v>
      </c>
      <c r="AK2131">
        <v>0</v>
      </c>
      <c r="AL2131">
        <v>0</v>
      </c>
      <c r="AM2131">
        <v>800</v>
      </c>
      <c r="AN2131">
        <v>0</v>
      </c>
      <c r="AO2131">
        <v>120</v>
      </c>
      <c r="AP2131">
        <v>-36</v>
      </c>
      <c r="AQ2131">
        <v>0</v>
      </c>
      <c r="AR2131">
        <v>120</v>
      </c>
      <c r="AS2131">
        <v>-36</v>
      </c>
      <c r="AT2131">
        <v>0</v>
      </c>
      <c r="AV2131">
        <v>0</v>
      </c>
      <c r="AW2131">
        <v>0</v>
      </c>
      <c r="AY2131">
        <v>0</v>
      </c>
      <c r="AZ2131">
        <v>0</v>
      </c>
      <c r="BA2131">
        <v>530.4</v>
      </c>
      <c r="BF2131" t="str">
        <f>T("D268771")</f>
        <v>D268771</v>
      </c>
      <c r="BG2131" t="str">
        <f>T("로판 웹소설 &gt; 서양풍 로판")</f>
        <v>로판 웹소설 &gt; 서양풍 로판</v>
      </c>
    </row>
    <row r="2132" spans="1:59">
      <c r="A2132" t="s">
        <v>60</v>
      </c>
      <c r="B2132" s="1">
        <v>46131</v>
      </c>
      <c r="C2132">
        <v>2378081114</v>
      </c>
      <c r="D2132">
        <v>2378081159</v>
      </c>
      <c r="E2132" t="str">
        <f>T("던전이 자꾸 이상한 짓을 시켜요 46화")</f>
        <v>던전이 자꾸 이상한 짓을 시켜요 46화</v>
      </c>
      <c r="F2132">
        <v>46</v>
      </c>
      <c r="G2132" t="str">
        <f>T("필밤")</f>
        <v>필밤</v>
      </c>
      <c r="J2132" t="str">
        <f>T("시계토끼")</f>
        <v>시계토끼</v>
      </c>
      <c r="K2132" t="str">
        <f>T("던전이 자꾸 이상한 짓을 시켜요")</f>
        <v>던전이 자꾸 이상한 짓을 시켜요</v>
      </c>
      <c r="L2132">
        <v>100</v>
      </c>
      <c r="M2132">
        <v>900</v>
      </c>
      <c r="N2132">
        <v>9</v>
      </c>
      <c r="O2132">
        <v>0</v>
      </c>
      <c r="P2132">
        <v>0</v>
      </c>
      <c r="Q2132">
        <v>0</v>
      </c>
      <c r="R2132">
        <v>2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900</v>
      </c>
      <c r="AJ2132">
        <v>11</v>
      </c>
      <c r="AK2132">
        <v>0</v>
      </c>
      <c r="AL2132">
        <v>0</v>
      </c>
      <c r="AM2132">
        <v>800</v>
      </c>
      <c r="AN2132">
        <v>0</v>
      </c>
      <c r="AO2132">
        <v>120</v>
      </c>
      <c r="AP2132">
        <v>-36</v>
      </c>
      <c r="AQ2132">
        <v>0</v>
      </c>
      <c r="AR2132">
        <v>120</v>
      </c>
      <c r="AS2132">
        <v>-36</v>
      </c>
      <c r="AT2132">
        <v>0</v>
      </c>
      <c r="AV2132">
        <v>0</v>
      </c>
      <c r="AW2132">
        <v>0</v>
      </c>
      <c r="AY2132">
        <v>0</v>
      </c>
      <c r="AZ2132">
        <v>0</v>
      </c>
      <c r="BA2132">
        <v>530.4</v>
      </c>
      <c r="BF2132" t="str">
        <f>T("D268776")</f>
        <v>D268776</v>
      </c>
      <c r="BG2132" t="str">
        <f>T("로판 웹소설 &gt; 서양풍 로판")</f>
        <v>로판 웹소설 &gt; 서양풍 로판</v>
      </c>
    </row>
    <row r="2133" spans="1:59">
      <c r="A2133" t="s">
        <v>60</v>
      </c>
      <c r="B2133" s="1">
        <v>46131</v>
      </c>
      <c r="C2133">
        <v>2378081114</v>
      </c>
      <c r="D2133">
        <v>2378081161</v>
      </c>
      <c r="E2133" t="str">
        <f>T("던전이 자꾸 이상한 짓을 시켜요 48화")</f>
        <v>던전이 자꾸 이상한 짓을 시켜요 48화</v>
      </c>
      <c r="F2133">
        <v>48</v>
      </c>
      <c r="G2133" t="str">
        <f>T("필밤")</f>
        <v>필밤</v>
      </c>
      <c r="J2133" t="str">
        <f>T("시계토끼")</f>
        <v>시계토끼</v>
      </c>
      <c r="K2133" t="str">
        <f>T("던전이 자꾸 이상한 짓을 시켜요")</f>
        <v>던전이 자꾸 이상한 짓을 시켜요</v>
      </c>
      <c r="L2133">
        <v>100</v>
      </c>
      <c r="M2133">
        <v>1000</v>
      </c>
      <c r="N2133">
        <v>10</v>
      </c>
      <c r="O2133">
        <v>0</v>
      </c>
      <c r="P2133">
        <v>0</v>
      </c>
      <c r="Q2133">
        <v>0</v>
      </c>
      <c r="R2133">
        <v>2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1000</v>
      </c>
      <c r="AJ2133">
        <v>12</v>
      </c>
      <c r="AK2133">
        <v>0</v>
      </c>
      <c r="AL2133">
        <v>0</v>
      </c>
      <c r="AM2133">
        <v>700</v>
      </c>
      <c r="AN2133">
        <v>0</v>
      </c>
      <c r="AO2133">
        <v>360</v>
      </c>
      <c r="AP2133">
        <v>-108</v>
      </c>
      <c r="AQ2133">
        <v>0</v>
      </c>
      <c r="AR2133">
        <v>360</v>
      </c>
      <c r="AS2133">
        <v>-108</v>
      </c>
      <c r="AT2133">
        <v>0</v>
      </c>
      <c r="AV2133">
        <v>0</v>
      </c>
      <c r="AW2133">
        <v>0</v>
      </c>
      <c r="AY2133">
        <v>0</v>
      </c>
      <c r="AZ2133">
        <v>0</v>
      </c>
      <c r="BA2133">
        <v>571.20000000000005</v>
      </c>
      <c r="BF2133" t="str">
        <f>T("D268778")</f>
        <v>D268778</v>
      </c>
      <c r="BG2133" t="str">
        <f>T("로판 웹소설 &gt; 서양풍 로판")</f>
        <v>로판 웹소설 &gt; 서양풍 로판</v>
      </c>
    </row>
    <row r="2134" spans="1:59">
      <c r="A2134" t="s">
        <v>60</v>
      </c>
      <c r="B2134" s="1">
        <v>46131</v>
      </c>
      <c r="C2134">
        <v>2378081114</v>
      </c>
      <c r="D2134">
        <v>2378081163</v>
      </c>
      <c r="E2134" t="str">
        <f>T("던전이 자꾸 이상한 짓을 시켜요 50화")</f>
        <v>던전이 자꾸 이상한 짓을 시켜요 50화</v>
      </c>
      <c r="F2134">
        <v>50</v>
      </c>
      <c r="G2134" t="str">
        <f>T("필밤")</f>
        <v>필밤</v>
      </c>
      <c r="J2134" t="str">
        <f>T("시계토끼")</f>
        <v>시계토끼</v>
      </c>
      <c r="K2134" t="str">
        <f>T("던전이 자꾸 이상한 짓을 시켜요")</f>
        <v>던전이 자꾸 이상한 짓을 시켜요</v>
      </c>
      <c r="L2134">
        <v>100</v>
      </c>
      <c r="M2134">
        <v>1100</v>
      </c>
      <c r="N2134">
        <v>11</v>
      </c>
      <c r="O2134">
        <v>0</v>
      </c>
      <c r="P2134">
        <v>0</v>
      </c>
      <c r="Q2134">
        <v>0</v>
      </c>
      <c r="R2134">
        <v>3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1100</v>
      </c>
      <c r="AJ2134">
        <v>14</v>
      </c>
      <c r="AK2134">
        <v>0</v>
      </c>
      <c r="AL2134">
        <v>0</v>
      </c>
      <c r="AM2134">
        <v>800</v>
      </c>
      <c r="AN2134">
        <v>0</v>
      </c>
      <c r="AO2134">
        <v>360</v>
      </c>
      <c r="AP2134">
        <v>-108</v>
      </c>
      <c r="AQ2134">
        <v>0</v>
      </c>
      <c r="AR2134">
        <v>360</v>
      </c>
      <c r="AS2134">
        <v>-108</v>
      </c>
      <c r="AT2134">
        <v>0</v>
      </c>
      <c r="AV2134">
        <v>0</v>
      </c>
      <c r="AW2134">
        <v>0</v>
      </c>
      <c r="AY2134">
        <v>0</v>
      </c>
      <c r="AZ2134">
        <v>0</v>
      </c>
      <c r="BA2134">
        <v>631.20000000000005</v>
      </c>
      <c r="BF2134" t="str">
        <f>T("D268780")</f>
        <v>D268780</v>
      </c>
      <c r="BG2134" t="str">
        <f>T("로판 웹소설 &gt; 서양풍 로판")</f>
        <v>로판 웹소설 &gt; 서양풍 로판</v>
      </c>
    </row>
    <row r="2135" spans="1:59">
      <c r="A2135" t="s">
        <v>60</v>
      </c>
      <c r="B2135" s="1">
        <v>46131</v>
      </c>
      <c r="C2135">
        <v>2378081114</v>
      </c>
      <c r="D2135">
        <v>2378081164</v>
      </c>
      <c r="E2135" t="str">
        <f>T("던전이 자꾸 이상한 짓을 시켜요 51화")</f>
        <v>던전이 자꾸 이상한 짓을 시켜요 51화</v>
      </c>
      <c r="F2135">
        <v>51</v>
      </c>
      <c r="G2135" t="str">
        <f>T("필밤")</f>
        <v>필밤</v>
      </c>
      <c r="J2135" t="str">
        <f>T("시계토끼")</f>
        <v>시계토끼</v>
      </c>
      <c r="K2135" t="str">
        <f>T("던전이 자꾸 이상한 짓을 시켜요")</f>
        <v>던전이 자꾸 이상한 짓을 시켜요</v>
      </c>
      <c r="L2135">
        <v>100</v>
      </c>
      <c r="M2135">
        <v>1300</v>
      </c>
      <c r="N2135">
        <v>13</v>
      </c>
      <c r="O2135">
        <v>0</v>
      </c>
      <c r="P2135">
        <v>0</v>
      </c>
      <c r="Q2135">
        <v>0</v>
      </c>
      <c r="R2135">
        <v>2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1300</v>
      </c>
      <c r="AJ2135">
        <v>15</v>
      </c>
      <c r="AK2135">
        <v>0</v>
      </c>
      <c r="AL2135">
        <v>0</v>
      </c>
      <c r="AM2135">
        <v>900</v>
      </c>
      <c r="AN2135">
        <v>0</v>
      </c>
      <c r="AO2135">
        <v>480</v>
      </c>
      <c r="AP2135">
        <v>-120</v>
      </c>
      <c r="AQ2135">
        <v>0</v>
      </c>
      <c r="AR2135">
        <v>360</v>
      </c>
      <c r="AS2135">
        <v>-108</v>
      </c>
      <c r="AT2135">
        <v>0</v>
      </c>
      <c r="AU2135">
        <v>120</v>
      </c>
      <c r="AV2135">
        <v>-12</v>
      </c>
      <c r="AW2135">
        <v>0</v>
      </c>
      <c r="AY2135">
        <v>0</v>
      </c>
      <c r="AZ2135">
        <v>0</v>
      </c>
      <c r="BA2135">
        <v>756</v>
      </c>
      <c r="BF2135" t="str">
        <f>T("D268781")</f>
        <v>D268781</v>
      </c>
      <c r="BG2135" t="str">
        <f>T("로판 웹소설 &gt; 서양풍 로판")</f>
        <v>로판 웹소설 &gt; 서양풍 로판</v>
      </c>
    </row>
    <row r="2136" spans="1:59">
      <c r="A2136" t="s">
        <v>60</v>
      </c>
      <c r="B2136" s="1">
        <v>46131</v>
      </c>
      <c r="C2136">
        <v>2378081114</v>
      </c>
      <c r="D2136">
        <v>2378081165</v>
      </c>
      <c r="E2136" t="str">
        <f>T("던전이 자꾸 이상한 짓을 시켜요 52화")</f>
        <v>던전이 자꾸 이상한 짓을 시켜요 52화</v>
      </c>
      <c r="F2136">
        <v>52</v>
      </c>
      <c r="G2136" t="str">
        <f>T("필밤")</f>
        <v>필밤</v>
      </c>
      <c r="J2136" t="str">
        <f>T("시계토끼")</f>
        <v>시계토끼</v>
      </c>
      <c r="K2136" t="str">
        <f>T("던전이 자꾸 이상한 짓을 시켜요")</f>
        <v>던전이 자꾸 이상한 짓을 시켜요</v>
      </c>
      <c r="L2136">
        <v>100</v>
      </c>
      <c r="M2136">
        <v>1400</v>
      </c>
      <c r="N2136">
        <v>14</v>
      </c>
      <c r="O2136">
        <v>0</v>
      </c>
      <c r="P2136">
        <v>0</v>
      </c>
      <c r="Q2136">
        <v>0</v>
      </c>
      <c r="R2136">
        <v>2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0</v>
      </c>
      <c r="AH2136">
        <v>0</v>
      </c>
      <c r="AI2136">
        <v>1400</v>
      </c>
      <c r="AJ2136">
        <v>16</v>
      </c>
      <c r="AK2136">
        <v>0</v>
      </c>
      <c r="AL2136">
        <v>0</v>
      </c>
      <c r="AM2136">
        <v>1000</v>
      </c>
      <c r="AN2136">
        <v>0</v>
      </c>
      <c r="AO2136">
        <v>480</v>
      </c>
      <c r="AP2136">
        <v>-120</v>
      </c>
      <c r="AQ2136">
        <v>0</v>
      </c>
      <c r="AR2136">
        <v>360</v>
      </c>
      <c r="AS2136">
        <v>-108</v>
      </c>
      <c r="AT2136">
        <v>0</v>
      </c>
      <c r="AU2136">
        <v>120</v>
      </c>
      <c r="AV2136">
        <v>-12</v>
      </c>
      <c r="AW2136">
        <v>0</v>
      </c>
      <c r="AY2136">
        <v>0</v>
      </c>
      <c r="AZ2136">
        <v>0</v>
      </c>
      <c r="BA2136">
        <v>816</v>
      </c>
      <c r="BF2136" t="str">
        <f>T("D268782")</f>
        <v>D268782</v>
      </c>
      <c r="BG2136" t="str">
        <f>T("로판 웹소설 &gt; 서양풍 로판")</f>
        <v>로판 웹소설 &gt; 서양풍 로판</v>
      </c>
    </row>
    <row r="2137" spans="1:59">
      <c r="A2137" t="s">
        <v>60</v>
      </c>
      <c r="B2137" s="1">
        <v>46131</v>
      </c>
      <c r="C2137">
        <v>2378081114</v>
      </c>
      <c r="D2137">
        <v>2378081168</v>
      </c>
      <c r="E2137" t="str">
        <f>T("던전이 자꾸 이상한 짓을 시켜요 55화")</f>
        <v>던전이 자꾸 이상한 짓을 시켜요 55화</v>
      </c>
      <c r="F2137">
        <v>55</v>
      </c>
      <c r="G2137" t="str">
        <f>T("필밤")</f>
        <v>필밤</v>
      </c>
      <c r="J2137" t="str">
        <f>T("시계토끼")</f>
        <v>시계토끼</v>
      </c>
      <c r="K2137" t="str">
        <f>T("던전이 자꾸 이상한 짓을 시켜요")</f>
        <v>던전이 자꾸 이상한 짓을 시켜요</v>
      </c>
      <c r="L2137">
        <v>100</v>
      </c>
      <c r="M2137">
        <v>900</v>
      </c>
      <c r="N2137">
        <v>9</v>
      </c>
      <c r="O2137">
        <v>0</v>
      </c>
      <c r="P2137">
        <v>0</v>
      </c>
      <c r="Q2137">
        <v>0</v>
      </c>
      <c r="R2137">
        <v>4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900</v>
      </c>
      <c r="AJ2137">
        <v>13</v>
      </c>
      <c r="AK2137">
        <v>0</v>
      </c>
      <c r="AL2137">
        <v>0</v>
      </c>
      <c r="AM2137">
        <v>700</v>
      </c>
      <c r="AN2137">
        <v>0</v>
      </c>
      <c r="AO2137">
        <v>240</v>
      </c>
      <c r="AP2137">
        <v>-72</v>
      </c>
      <c r="AQ2137">
        <v>0</v>
      </c>
      <c r="AR2137">
        <v>240</v>
      </c>
      <c r="AS2137">
        <v>-72</v>
      </c>
      <c r="AT2137">
        <v>0</v>
      </c>
      <c r="AV2137">
        <v>0</v>
      </c>
      <c r="AW2137">
        <v>0</v>
      </c>
      <c r="AY2137">
        <v>0</v>
      </c>
      <c r="AZ2137">
        <v>0</v>
      </c>
      <c r="BA2137">
        <v>520.79999999999995</v>
      </c>
      <c r="BF2137" t="str">
        <f>T("D268785")</f>
        <v>D268785</v>
      </c>
      <c r="BG2137" t="str">
        <f>T("로판 웹소설 &gt; 서양풍 로판")</f>
        <v>로판 웹소설 &gt; 서양풍 로판</v>
      </c>
    </row>
    <row r="2138" spans="1:59">
      <c r="A2138" t="s">
        <v>60</v>
      </c>
      <c r="B2138" s="1">
        <v>46131</v>
      </c>
      <c r="C2138">
        <v>2378081114</v>
      </c>
      <c r="D2138">
        <v>2378081169</v>
      </c>
      <c r="E2138" t="str">
        <f>T("던전이 자꾸 이상한 짓을 시켜요 56화")</f>
        <v>던전이 자꾸 이상한 짓을 시켜요 56화</v>
      </c>
      <c r="F2138">
        <v>56</v>
      </c>
      <c r="G2138" t="str">
        <f>T("필밤")</f>
        <v>필밤</v>
      </c>
      <c r="J2138" t="str">
        <f>T("시계토끼")</f>
        <v>시계토끼</v>
      </c>
      <c r="K2138" t="str">
        <f>T("던전이 자꾸 이상한 짓을 시켜요")</f>
        <v>던전이 자꾸 이상한 짓을 시켜요</v>
      </c>
      <c r="L2138">
        <v>100</v>
      </c>
      <c r="M2138">
        <v>900</v>
      </c>
      <c r="N2138">
        <v>9</v>
      </c>
      <c r="O2138">
        <v>0</v>
      </c>
      <c r="P2138">
        <v>0</v>
      </c>
      <c r="Q2138">
        <v>0</v>
      </c>
      <c r="R2138">
        <v>3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900</v>
      </c>
      <c r="AJ2138">
        <v>12</v>
      </c>
      <c r="AK2138">
        <v>0</v>
      </c>
      <c r="AL2138">
        <v>0</v>
      </c>
      <c r="AM2138">
        <v>700</v>
      </c>
      <c r="AN2138">
        <v>0</v>
      </c>
      <c r="AO2138">
        <v>240</v>
      </c>
      <c r="AP2138">
        <v>-72</v>
      </c>
      <c r="AQ2138">
        <v>0</v>
      </c>
      <c r="AR2138">
        <v>240</v>
      </c>
      <c r="AS2138">
        <v>-72</v>
      </c>
      <c r="AT2138">
        <v>0</v>
      </c>
      <c r="AV2138">
        <v>0</v>
      </c>
      <c r="AW2138">
        <v>0</v>
      </c>
      <c r="AY2138">
        <v>0</v>
      </c>
      <c r="AZ2138">
        <v>0</v>
      </c>
      <c r="BA2138">
        <v>520.79999999999995</v>
      </c>
      <c r="BF2138" t="str">
        <f>T("D268786")</f>
        <v>D268786</v>
      </c>
      <c r="BG2138" t="str">
        <f>T("로판 웹소설 &gt; 서양풍 로판")</f>
        <v>로판 웹소설 &gt; 서양풍 로판</v>
      </c>
    </row>
    <row r="2139" spans="1:59">
      <c r="A2139" t="s">
        <v>60</v>
      </c>
      <c r="B2139" s="1">
        <v>46131</v>
      </c>
      <c r="C2139">
        <v>2378081114</v>
      </c>
      <c r="D2139">
        <v>2378081170</v>
      </c>
      <c r="E2139" t="str">
        <f>T("던전이 자꾸 이상한 짓을 시켜요 57화")</f>
        <v>던전이 자꾸 이상한 짓을 시켜요 57화</v>
      </c>
      <c r="F2139">
        <v>57</v>
      </c>
      <c r="G2139" t="str">
        <f>T("필밤")</f>
        <v>필밤</v>
      </c>
      <c r="J2139" t="str">
        <f>T("시계토끼")</f>
        <v>시계토끼</v>
      </c>
      <c r="K2139" t="str">
        <f>T("던전이 자꾸 이상한 짓을 시켜요")</f>
        <v>던전이 자꾸 이상한 짓을 시켜요</v>
      </c>
      <c r="L2139">
        <v>100</v>
      </c>
      <c r="M2139">
        <v>1100</v>
      </c>
      <c r="N2139">
        <v>11</v>
      </c>
      <c r="O2139">
        <v>0</v>
      </c>
      <c r="P2139">
        <v>0</v>
      </c>
      <c r="Q2139">
        <v>0</v>
      </c>
      <c r="R2139">
        <v>1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1100</v>
      </c>
      <c r="AJ2139">
        <v>12</v>
      </c>
      <c r="AK2139">
        <v>0</v>
      </c>
      <c r="AL2139">
        <v>0</v>
      </c>
      <c r="AM2139">
        <v>900</v>
      </c>
      <c r="AN2139">
        <v>0</v>
      </c>
      <c r="AO2139">
        <v>240</v>
      </c>
      <c r="AP2139">
        <v>-72</v>
      </c>
      <c r="AQ2139">
        <v>0</v>
      </c>
      <c r="AR2139">
        <v>240</v>
      </c>
      <c r="AS2139">
        <v>-72</v>
      </c>
      <c r="AT2139">
        <v>0</v>
      </c>
      <c r="AV2139">
        <v>0</v>
      </c>
      <c r="AW2139">
        <v>0</v>
      </c>
      <c r="AY2139">
        <v>0</v>
      </c>
      <c r="AZ2139">
        <v>0</v>
      </c>
      <c r="BA2139">
        <v>640.79999999999995</v>
      </c>
      <c r="BF2139" t="str">
        <f>T("D268787")</f>
        <v>D268787</v>
      </c>
      <c r="BG2139" t="str">
        <f>T("로판 웹소설 &gt; 서양풍 로판")</f>
        <v>로판 웹소설 &gt; 서양풍 로판</v>
      </c>
    </row>
    <row r="2140" spans="1:59">
      <c r="A2140" t="s">
        <v>60</v>
      </c>
      <c r="B2140" s="1">
        <v>46131</v>
      </c>
      <c r="C2140">
        <v>2378081114</v>
      </c>
      <c r="D2140">
        <v>2378081172</v>
      </c>
      <c r="E2140" t="str">
        <f>T("던전이 자꾸 이상한 짓을 시켜요 59화")</f>
        <v>던전이 자꾸 이상한 짓을 시켜요 59화</v>
      </c>
      <c r="F2140">
        <v>59</v>
      </c>
      <c r="G2140" t="str">
        <f>T("필밤")</f>
        <v>필밤</v>
      </c>
      <c r="J2140" t="str">
        <f>T("시계토끼")</f>
        <v>시계토끼</v>
      </c>
      <c r="K2140" t="str">
        <f>T("던전이 자꾸 이상한 짓을 시켜요")</f>
        <v>던전이 자꾸 이상한 짓을 시켜요</v>
      </c>
      <c r="L2140">
        <v>100</v>
      </c>
      <c r="M2140">
        <v>1100</v>
      </c>
      <c r="N2140">
        <v>11</v>
      </c>
      <c r="O2140">
        <v>0</v>
      </c>
      <c r="P2140">
        <v>0</v>
      </c>
      <c r="Q2140">
        <v>0</v>
      </c>
      <c r="R2140">
        <v>2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0</v>
      </c>
      <c r="AH2140">
        <v>0</v>
      </c>
      <c r="AI2140">
        <v>1100</v>
      </c>
      <c r="AJ2140">
        <v>13</v>
      </c>
      <c r="AK2140">
        <v>0</v>
      </c>
      <c r="AL2140">
        <v>0</v>
      </c>
      <c r="AM2140">
        <v>800</v>
      </c>
      <c r="AN2140">
        <v>0</v>
      </c>
      <c r="AO2140">
        <v>360</v>
      </c>
      <c r="AP2140">
        <v>-84</v>
      </c>
      <c r="AQ2140">
        <v>0</v>
      </c>
      <c r="AR2140">
        <v>240</v>
      </c>
      <c r="AS2140">
        <v>-72</v>
      </c>
      <c r="AT2140">
        <v>0</v>
      </c>
      <c r="AU2140">
        <v>120</v>
      </c>
      <c r="AV2140">
        <v>-12</v>
      </c>
      <c r="AW2140">
        <v>0</v>
      </c>
      <c r="AY2140">
        <v>0</v>
      </c>
      <c r="AZ2140">
        <v>0</v>
      </c>
      <c r="BA2140">
        <v>645.6</v>
      </c>
      <c r="BF2140" t="str">
        <f>T("D268789")</f>
        <v>D268789</v>
      </c>
      <c r="BG2140" t="str">
        <f>T("로판 웹소설 &gt; 서양풍 로판")</f>
        <v>로판 웹소설 &gt; 서양풍 로판</v>
      </c>
    </row>
    <row r="2141" spans="1:59">
      <c r="A2141" t="s">
        <v>60</v>
      </c>
      <c r="B2141" s="1">
        <v>46131</v>
      </c>
      <c r="C2141">
        <v>2378081114</v>
      </c>
      <c r="D2141">
        <v>2378081173</v>
      </c>
      <c r="E2141" t="str">
        <f>T("던전이 자꾸 이상한 짓을 시켜요 60화")</f>
        <v>던전이 자꾸 이상한 짓을 시켜요 60화</v>
      </c>
      <c r="F2141">
        <v>60</v>
      </c>
      <c r="G2141" t="str">
        <f>T("필밤")</f>
        <v>필밤</v>
      </c>
      <c r="J2141" t="str">
        <f>T("시계토끼")</f>
        <v>시계토끼</v>
      </c>
      <c r="K2141" t="str">
        <f>T("던전이 자꾸 이상한 짓을 시켜요")</f>
        <v>던전이 자꾸 이상한 짓을 시켜요</v>
      </c>
      <c r="L2141">
        <v>100</v>
      </c>
      <c r="M2141">
        <v>1200</v>
      </c>
      <c r="N2141">
        <v>12</v>
      </c>
      <c r="O2141">
        <v>0</v>
      </c>
      <c r="P2141">
        <v>0</v>
      </c>
      <c r="Q2141">
        <v>0</v>
      </c>
      <c r="R2141">
        <v>2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1200</v>
      </c>
      <c r="AJ2141">
        <v>14</v>
      </c>
      <c r="AK2141">
        <v>0</v>
      </c>
      <c r="AL2141">
        <v>0</v>
      </c>
      <c r="AM2141">
        <v>900</v>
      </c>
      <c r="AN2141">
        <v>0</v>
      </c>
      <c r="AO2141">
        <v>360</v>
      </c>
      <c r="AP2141">
        <v>-84</v>
      </c>
      <c r="AQ2141">
        <v>0</v>
      </c>
      <c r="AR2141">
        <v>240</v>
      </c>
      <c r="AS2141">
        <v>-72</v>
      </c>
      <c r="AT2141">
        <v>0</v>
      </c>
      <c r="AU2141">
        <v>120</v>
      </c>
      <c r="AV2141">
        <v>-12</v>
      </c>
      <c r="AW2141">
        <v>0</v>
      </c>
      <c r="AY2141">
        <v>0</v>
      </c>
      <c r="AZ2141">
        <v>0</v>
      </c>
      <c r="BA2141">
        <v>705.6</v>
      </c>
      <c r="BF2141" t="str">
        <f>T("D268790")</f>
        <v>D268790</v>
      </c>
      <c r="BG2141" t="str">
        <f>T("로판 웹소설 &gt; 서양풍 로판")</f>
        <v>로판 웹소설 &gt; 서양풍 로판</v>
      </c>
    </row>
    <row r="2142" spans="1:59">
      <c r="A2142" t="s">
        <v>60</v>
      </c>
      <c r="B2142" s="1">
        <v>46131</v>
      </c>
      <c r="C2142">
        <v>2378081114</v>
      </c>
      <c r="D2142">
        <v>2378081174</v>
      </c>
      <c r="E2142" t="str">
        <f>T("던전이 자꾸 이상한 짓을 시켜요 61화")</f>
        <v>던전이 자꾸 이상한 짓을 시켜요 61화</v>
      </c>
      <c r="F2142">
        <v>61</v>
      </c>
      <c r="G2142" t="str">
        <f>T("필밤")</f>
        <v>필밤</v>
      </c>
      <c r="J2142" t="str">
        <f>T("시계토끼")</f>
        <v>시계토끼</v>
      </c>
      <c r="K2142" t="str">
        <f>T("던전이 자꾸 이상한 짓을 시켜요")</f>
        <v>던전이 자꾸 이상한 짓을 시켜요</v>
      </c>
      <c r="L2142">
        <v>100</v>
      </c>
      <c r="M2142">
        <v>1300</v>
      </c>
      <c r="N2142">
        <v>13</v>
      </c>
      <c r="O2142">
        <v>0</v>
      </c>
      <c r="P2142">
        <v>0</v>
      </c>
      <c r="Q2142">
        <v>0</v>
      </c>
      <c r="R2142">
        <v>1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1300</v>
      </c>
      <c r="AJ2142">
        <v>14</v>
      </c>
      <c r="AK2142">
        <v>0</v>
      </c>
      <c r="AL2142">
        <v>0</v>
      </c>
      <c r="AM2142">
        <v>1000</v>
      </c>
      <c r="AN2142">
        <v>0</v>
      </c>
      <c r="AO2142">
        <v>360</v>
      </c>
      <c r="AP2142">
        <v>-84</v>
      </c>
      <c r="AQ2142">
        <v>0</v>
      </c>
      <c r="AR2142">
        <v>240</v>
      </c>
      <c r="AS2142">
        <v>-72</v>
      </c>
      <c r="AT2142">
        <v>0</v>
      </c>
      <c r="AU2142">
        <v>120</v>
      </c>
      <c r="AV2142">
        <v>-12</v>
      </c>
      <c r="AW2142">
        <v>0</v>
      </c>
      <c r="AY2142">
        <v>0</v>
      </c>
      <c r="AZ2142">
        <v>0</v>
      </c>
      <c r="BA2142">
        <v>765.6</v>
      </c>
      <c r="BF2142" t="str">
        <f>T("D268791")</f>
        <v>D268791</v>
      </c>
      <c r="BG2142" t="str">
        <f>T("로판 웹소설 &gt; 서양풍 로판")</f>
        <v>로판 웹소설 &gt; 서양풍 로판</v>
      </c>
    </row>
    <row r="2143" spans="1:59">
      <c r="A2143" t="s">
        <v>60</v>
      </c>
      <c r="B2143" s="1">
        <v>46131</v>
      </c>
      <c r="C2143">
        <v>2378081114</v>
      </c>
      <c r="D2143">
        <v>2378081160</v>
      </c>
      <c r="E2143" t="str">
        <f>T("던전이 자꾸 이상한 짓을 시켜요 47화")</f>
        <v>던전이 자꾸 이상한 짓을 시켜요 47화</v>
      </c>
      <c r="F2143">
        <v>47</v>
      </c>
      <c r="G2143" t="str">
        <f>T("필밤")</f>
        <v>필밤</v>
      </c>
      <c r="J2143" t="str">
        <f>T("시계토끼")</f>
        <v>시계토끼</v>
      </c>
      <c r="K2143" t="str">
        <f>T("던전이 자꾸 이상한 짓을 시켜요")</f>
        <v>던전이 자꾸 이상한 짓을 시켜요</v>
      </c>
      <c r="L2143">
        <v>100</v>
      </c>
      <c r="M2143">
        <v>900</v>
      </c>
      <c r="N2143">
        <v>9</v>
      </c>
      <c r="O2143">
        <v>0</v>
      </c>
      <c r="P2143">
        <v>0</v>
      </c>
      <c r="Q2143">
        <v>0</v>
      </c>
      <c r="R2143">
        <v>2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900</v>
      </c>
      <c r="AJ2143">
        <v>11</v>
      </c>
      <c r="AK2143">
        <v>0</v>
      </c>
      <c r="AL2143">
        <v>0</v>
      </c>
      <c r="AM2143">
        <v>800</v>
      </c>
      <c r="AN2143">
        <v>0</v>
      </c>
      <c r="AO2143">
        <v>120</v>
      </c>
      <c r="AP2143">
        <v>-36</v>
      </c>
      <c r="AQ2143">
        <v>0</v>
      </c>
      <c r="AR2143">
        <v>120</v>
      </c>
      <c r="AS2143">
        <v>-36</v>
      </c>
      <c r="AT2143">
        <v>0</v>
      </c>
      <c r="AV2143">
        <v>0</v>
      </c>
      <c r="AW2143">
        <v>0</v>
      </c>
      <c r="AY2143">
        <v>0</v>
      </c>
      <c r="AZ2143">
        <v>0</v>
      </c>
      <c r="BA2143">
        <v>530.4</v>
      </c>
      <c r="BF2143" t="str">
        <f>T("D268777")</f>
        <v>D268777</v>
      </c>
      <c r="BG2143" t="str">
        <f>T("로판 웹소설 &gt; 서양풍 로판")</f>
        <v>로판 웹소설 &gt; 서양풍 로판</v>
      </c>
    </row>
    <row r="2144" spans="1:59">
      <c r="A2144" t="s">
        <v>60</v>
      </c>
      <c r="B2144" s="1">
        <v>46131</v>
      </c>
      <c r="C2144">
        <v>2378081114</v>
      </c>
      <c r="D2144">
        <v>2378081220</v>
      </c>
      <c r="E2144" t="str">
        <f>T("던전이 자꾸 이상한 짓을 시켜요 81화")</f>
        <v>던전이 자꾸 이상한 짓을 시켜요 81화</v>
      </c>
      <c r="F2144">
        <v>81</v>
      </c>
      <c r="G2144" t="str">
        <f>T("필밤")</f>
        <v>필밤</v>
      </c>
      <c r="J2144" t="str">
        <f>T("시계토끼")</f>
        <v>시계토끼</v>
      </c>
      <c r="K2144" t="str">
        <f>T("던전이 자꾸 이상한 짓을 시켜요")</f>
        <v>던전이 자꾸 이상한 짓을 시켜요</v>
      </c>
      <c r="L2144">
        <v>100</v>
      </c>
      <c r="M2144">
        <v>1200</v>
      </c>
      <c r="N2144">
        <v>12</v>
      </c>
      <c r="O2144">
        <v>0</v>
      </c>
      <c r="P2144">
        <v>0</v>
      </c>
      <c r="Q2144">
        <v>0</v>
      </c>
      <c r="R2144">
        <v>3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1200</v>
      </c>
      <c r="AJ2144">
        <v>15</v>
      </c>
      <c r="AK2144">
        <v>0</v>
      </c>
      <c r="AL2144">
        <v>0</v>
      </c>
      <c r="AM2144">
        <v>900</v>
      </c>
      <c r="AN2144">
        <v>0</v>
      </c>
      <c r="AO2144">
        <v>360</v>
      </c>
      <c r="AP2144">
        <v>-84</v>
      </c>
      <c r="AQ2144">
        <v>0</v>
      </c>
      <c r="AR2144">
        <v>240</v>
      </c>
      <c r="AS2144">
        <v>-72</v>
      </c>
      <c r="AT2144">
        <v>0</v>
      </c>
      <c r="AU2144">
        <v>120</v>
      </c>
      <c r="AV2144">
        <v>-12</v>
      </c>
      <c r="AW2144">
        <v>0</v>
      </c>
      <c r="AY2144">
        <v>0</v>
      </c>
      <c r="AZ2144">
        <v>0</v>
      </c>
      <c r="BA2144">
        <v>705.6</v>
      </c>
      <c r="BF2144" t="str">
        <f>T("D268811")</f>
        <v>D268811</v>
      </c>
      <c r="BG2144" t="str">
        <f>T("로판 웹소설 &gt; 서양풍 로판")</f>
        <v>로판 웹소설 &gt; 서양풍 로판</v>
      </c>
    </row>
    <row r="2145" spans="1:59">
      <c r="A2145" t="s">
        <v>60</v>
      </c>
      <c r="B2145" s="1">
        <v>46131</v>
      </c>
      <c r="C2145">
        <v>2378081114</v>
      </c>
      <c r="D2145">
        <v>2378081229</v>
      </c>
      <c r="E2145" t="str">
        <f>T("던전이 자꾸 이상한 짓을 시켜요 85화")</f>
        <v>던전이 자꾸 이상한 짓을 시켜요 85화</v>
      </c>
      <c r="F2145">
        <v>85</v>
      </c>
      <c r="G2145" t="str">
        <f>T("필밤")</f>
        <v>필밤</v>
      </c>
      <c r="J2145" t="str">
        <f>T("시계토끼")</f>
        <v>시계토끼</v>
      </c>
      <c r="K2145" t="str">
        <f>T("던전이 자꾸 이상한 짓을 시켜요")</f>
        <v>던전이 자꾸 이상한 짓을 시켜요</v>
      </c>
      <c r="L2145">
        <v>100</v>
      </c>
      <c r="M2145">
        <v>1300</v>
      </c>
      <c r="N2145">
        <v>13</v>
      </c>
      <c r="O2145">
        <v>0</v>
      </c>
      <c r="P2145">
        <v>0</v>
      </c>
      <c r="Q2145">
        <v>0</v>
      </c>
      <c r="R2145">
        <v>3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1300</v>
      </c>
      <c r="AJ2145">
        <v>16</v>
      </c>
      <c r="AK2145">
        <v>0</v>
      </c>
      <c r="AL2145">
        <v>0</v>
      </c>
      <c r="AM2145">
        <v>1000</v>
      </c>
      <c r="AN2145">
        <v>0</v>
      </c>
      <c r="AO2145">
        <v>360</v>
      </c>
      <c r="AP2145">
        <v>-84</v>
      </c>
      <c r="AQ2145">
        <v>0</v>
      </c>
      <c r="AR2145">
        <v>240</v>
      </c>
      <c r="AS2145">
        <v>-72</v>
      </c>
      <c r="AT2145">
        <v>0</v>
      </c>
      <c r="AU2145">
        <v>120</v>
      </c>
      <c r="AV2145">
        <v>-12</v>
      </c>
      <c r="AW2145">
        <v>0</v>
      </c>
      <c r="AY2145">
        <v>0</v>
      </c>
      <c r="AZ2145">
        <v>0</v>
      </c>
      <c r="BA2145">
        <v>765.6</v>
      </c>
      <c r="BF2145" t="str">
        <f>T("D268815")</f>
        <v>D268815</v>
      </c>
      <c r="BG2145" t="str">
        <f>T("로판 웹소설 &gt; 서양풍 로판")</f>
        <v>로판 웹소설 &gt; 서양풍 로판</v>
      </c>
    </row>
    <row r="2146" spans="1:59">
      <c r="A2146" t="s">
        <v>60</v>
      </c>
      <c r="B2146" s="1">
        <v>46131</v>
      </c>
      <c r="C2146">
        <v>2378081114</v>
      </c>
      <c r="D2146">
        <v>2378081240</v>
      </c>
      <c r="E2146" t="str">
        <f>T("던전이 자꾸 이상한 짓을 시켜요 86화")</f>
        <v>던전이 자꾸 이상한 짓을 시켜요 86화</v>
      </c>
      <c r="F2146">
        <v>86</v>
      </c>
      <c r="G2146" t="str">
        <f>T("필밤")</f>
        <v>필밤</v>
      </c>
      <c r="J2146" t="str">
        <f>T("시계토끼")</f>
        <v>시계토끼</v>
      </c>
      <c r="K2146" t="str">
        <f>T("던전이 자꾸 이상한 짓을 시켜요")</f>
        <v>던전이 자꾸 이상한 짓을 시켜요</v>
      </c>
      <c r="L2146">
        <v>100</v>
      </c>
      <c r="M2146">
        <v>1300</v>
      </c>
      <c r="N2146">
        <v>13</v>
      </c>
      <c r="O2146">
        <v>0</v>
      </c>
      <c r="P2146">
        <v>0</v>
      </c>
      <c r="Q2146">
        <v>0</v>
      </c>
      <c r="R2146">
        <v>3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1300</v>
      </c>
      <c r="AJ2146">
        <v>16</v>
      </c>
      <c r="AK2146">
        <v>0</v>
      </c>
      <c r="AL2146">
        <v>0</v>
      </c>
      <c r="AM2146">
        <v>1000</v>
      </c>
      <c r="AN2146">
        <v>0</v>
      </c>
      <c r="AO2146">
        <v>360</v>
      </c>
      <c r="AP2146">
        <v>-84</v>
      </c>
      <c r="AQ2146">
        <v>0</v>
      </c>
      <c r="AR2146">
        <v>240</v>
      </c>
      <c r="AS2146">
        <v>-72</v>
      </c>
      <c r="AT2146">
        <v>0</v>
      </c>
      <c r="AU2146">
        <v>120</v>
      </c>
      <c r="AV2146">
        <v>-12</v>
      </c>
      <c r="AW2146">
        <v>0</v>
      </c>
      <c r="AY2146">
        <v>0</v>
      </c>
      <c r="AZ2146">
        <v>0</v>
      </c>
      <c r="BA2146">
        <v>765.6</v>
      </c>
      <c r="BF2146" t="str">
        <f>T("D268816")</f>
        <v>D268816</v>
      </c>
      <c r="BG2146" t="str">
        <f>T("로판 웹소설 &gt; 서양풍 로판")</f>
        <v>로판 웹소설 &gt; 서양풍 로판</v>
      </c>
    </row>
    <row r="2147" spans="1:59">
      <c r="A2147" t="s">
        <v>60</v>
      </c>
      <c r="B2147" s="1">
        <v>46131</v>
      </c>
      <c r="C2147">
        <v>2378081114</v>
      </c>
      <c r="D2147">
        <v>2378081171</v>
      </c>
      <c r="E2147" t="str">
        <f>T("던전이 자꾸 이상한 짓을 시켜요 58화")</f>
        <v>던전이 자꾸 이상한 짓을 시켜요 58화</v>
      </c>
      <c r="F2147">
        <v>58</v>
      </c>
      <c r="G2147" t="str">
        <f>T("필밤")</f>
        <v>필밤</v>
      </c>
      <c r="J2147" t="str">
        <f>T("시계토끼")</f>
        <v>시계토끼</v>
      </c>
      <c r="K2147" t="str">
        <f>T("던전이 자꾸 이상한 짓을 시켜요")</f>
        <v>던전이 자꾸 이상한 짓을 시켜요</v>
      </c>
      <c r="L2147">
        <v>100</v>
      </c>
      <c r="M2147">
        <v>1200</v>
      </c>
      <c r="N2147">
        <v>12</v>
      </c>
      <c r="O2147">
        <v>0</v>
      </c>
      <c r="P2147">
        <v>0</v>
      </c>
      <c r="Q2147">
        <v>0</v>
      </c>
      <c r="R2147">
        <v>2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0</v>
      </c>
      <c r="AI2147">
        <v>1200</v>
      </c>
      <c r="AJ2147">
        <v>14</v>
      </c>
      <c r="AK2147">
        <v>0</v>
      </c>
      <c r="AL2147">
        <v>0</v>
      </c>
      <c r="AM2147">
        <v>900</v>
      </c>
      <c r="AN2147">
        <v>0</v>
      </c>
      <c r="AO2147">
        <v>360</v>
      </c>
      <c r="AP2147">
        <v>-84</v>
      </c>
      <c r="AQ2147">
        <v>0</v>
      </c>
      <c r="AR2147">
        <v>240</v>
      </c>
      <c r="AS2147">
        <v>-72</v>
      </c>
      <c r="AT2147">
        <v>0</v>
      </c>
      <c r="AU2147">
        <v>120</v>
      </c>
      <c r="AV2147">
        <v>-12</v>
      </c>
      <c r="AW2147">
        <v>0</v>
      </c>
      <c r="AY2147">
        <v>0</v>
      </c>
      <c r="AZ2147">
        <v>0</v>
      </c>
      <c r="BA2147">
        <v>705.6</v>
      </c>
      <c r="BF2147" t="str">
        <f>T("D268788")</f>
        <v>D268788</v>
      </c>
      <c r="BG2147" t="str">
        <f>T("로판 웹소설 &gt; 서양풍 로판")</f>
        <v>로판 웹소설 &gt; 서양풍 로판</v>
      </c>
    </row>
    <row r="2148" spans="1:59">
      <c r="A2148" t="s">
        <v>60</v>
      </c>
      <c r="B2148" s="1">
        <v>46131</v>
      </c>
      <c r="C2148">
        <v>2378081114</v>
      </c>
      <c r="D2148">
        <v>2378081178</v>
      </c>
      <c r="E2148" t="str">
        <f>T("던전이 자꾸 이상한 짓을 시켜요 65화")</f>
        <v>던전이 자꾸 이상한 짓을 시켜요 65화</v>
      </c>
      <c r="F2148">
        <v>65</v>
      </c>
      <c r="G2148" t="str">
        <f>T("필밤")</f>
        <v>필밤</v>
      </c>
      <c r="J2148" t="str">
        <f>T("시계토끼")</f>
        <v>시계토끼</v>
      </c>
      <c r="K2148" t="str">
        <f>T("던전이 자꾸 이상한 짓을 시켜요")</f>
        <v>던전이 자꾸 이상한 짓을 시켜요</v>
      </c>
      <c r="L2148">
        <v>100</v>
      </c>
      <c r="M2148">
        <v>1000</v>
      </c>
      <c r="N2148">
        <v>10</v>
      </c>
      <c r="O2148">
        <v>0</v>
      </c>
      <c r="P2148">
        <v>0</v>
      </c>
      <c r="Q2148">
        <v>0</v>
      </c>
      <c r="R2148">
        <v>1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1000</v>
      </c>
      <c r="AJ2148">
        <v>11</v>
      </c>
      <c r="AK2148">
        <v>0</v>
      </c>
      <c r="AL2148">
        <v>0</v>
      </c>
      <c r="AM2148">
        <v>800</v>
      </c>
      <c r="AN2148">
        <v>0</v>
      </c>
      <c r="AO2148">
        <v>240</v>
      </c>
      <c r="AP2148">
        <v>-48</v>
      </c>
      <c r="AQ2148">
        <v>0</v>
      </c>
      <c r="AR2148">
        <v>120</v>
      </c>
      <c r="AS2148">
        <v>-36</v>
      </c>
      <c r="AT2148">
        <v>0</v>
      </c>
      <c r="AU2148">
        <v>120</v>
      </c>
      <c r="AV2148">
        <v>-12</v>
      </c>
      <c r="AW2148">
        <v>0</v>
      </c>
      <c r="AY2148">
        <v>0</v>
      </c>
      <c r="AZ2148">
        <v>0</v>
      </c>
      <c r="BA2148">
        <v>595.20000000000005</v>
      </c>
      <c r="BF2148" t="str">
        <f>T("D268795")</f>
        <v>D268795</v>
      </c>
      <c r="BG2148" t="str">
        <f>T("로판 웹소설 &gt; 서양풍 로판")</f>
        <v>로판 웹소설 &gt; 서양풍 로판</v>
      </c>
    </row>
    <row r="2149" spans="1:59">
      <c r="A2149" t="s">
        <v>60</v>
      </c>
      <c r="B2149" s="1">
        <v>46131</v>
      </c>
      <c r="C2149">
        <v>2378081114</v>
      </c>
      <c r="D2149">
        <v>2378081183</v>
      </c>
      <c r="E2149" t="str">
        <f>T("던전이 자꾸 이상한 짓을 시켜요 70화")</f>
        <v>던전이 자꾸 이상한 짓을 시켜요 70화</v>
      </c>
      <c r="F2149">
        <v>70</v>
      </c>
      <c r="G2149" t="str">
        <f>T("필밤")</f>
        <v>필밤</v>
      </c>
      <c r="J2149" t="str">
        <f>T("시계토끼")</f>
        <v>시계토끼</v>
      </c>
      <c r="K2149" t="str">
        <f>T("던전이 자꾸 이상한 짓을 시켜요")</f>
        <v>던전이 자꾸 이상한 짓을 시켜요</v>
      </c>
      <c r="L2149">
        <v>100</v>
      </c>
      <c r="M2149">
        <v>1000</v>
      </c>
      <c r="N2149">
        <v>10</v>
      </c>
      <c r="O2149">
        <v>0</v>
      </c>
      <c r="P2149">
        <v>0</v>
      </c>
      <c r="Q2149">
        <v>0</v>
      </c>
      <c r="R2149">
        <v>2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1000</v>
      </c>
      <c r="AJ2149">
        <v>12</v>
      </c>
      <c r="AK2149">
        <v>0</v>
      </c>
      <c r="AL2149">
        <v>0</v>
      </c>
      <c r="AM2149">
        <v>700</v>
      </c>
      <c r="AN2149">
        <v>0</v>
      </c>
      <c r="AO2149">
        <v>360</v>
      </c>
      <c r="AP2149">
        <v>-84</v>
      </c>
      <c r="AQ2149">
        <v>0</v>
      </c>
      <c r="AR2149">
        <v>240</v>
      </c>
      <c r="AS2149">
        <v>-72</v>
      </c>
      <c r="AT2149">
        <v>0</v>
      </c>
      <c r="AU2149">
        <v>120</v>
      </c>
      <c r="AV2149">
        <v>-12</v>
      </c>
      <c r="AW2149">
        <v>0</v>
      </c>
      <c r="AY2149">
        <v>0</v>
      </c>
      <c r="AZ2149">
        <v>0</v>
      </c>
      <c r="BA2149">
        <v>585.6</v>
      </c>
      <c r="BF2149" t="str">
        <f>T("D268800")</f>
        <v>D268800</v>
      </c>
      <c r="BG2149" t="str">
        <f>T("로판 웹소설 &gt; 서양풍 로판")</f>
        <v>로판 웹소설 &gt; 서양풍 로판</v>
      </c>
    </row>
    <row r="2150" spans="1:59">
      <c r="A2150" t="s">
        <v>60</v>
      </c>
      <c r="B2150" s="1">
        <v>46131</v>
      </c>
      <c r="C2150">
        <v>2378081114</v>
      </c>
      <c r="D2150">
        <v>2378081188</v>
      </c>
      <c r="E2150" t="str">
        <f>T("던전이 자꾸 이상한 짓을 시켜요 75화")</f>
        <v>던전이 자꾸 이상한 짓을 시켜요 75화</v>
      </c>
      <c r="F2150">
        <v>75</v>
      </c>
      <c r="G2150" t="str">
        <f>T("필밤")</f>
        <v>필밤</v>
      </c>
      <c r="J2150" t="str">
        <f>T("시계토끼")</f>
        <v>시계토끼</v>
      </c>
      <c r="K2150" t="str">
        <f>T("던전이 자꾸 이상한 짓을 시켜요")</f>
        <v>던전이 자꾸 이상한 짓을 시켜요</v>
      </c>
      <c r="L2150">
        <v>100</v>
      </c>
      <c r="M2150">
        <v>900</v>
      </c>
      <c r="N2150">
        <v>9</v>
      </c>
      <c r="O2150">
        <v>0</v>
      </c>
      <c r="P2150">
        <v>0</v>
      </c>
      <c r="Q2150">
        <v>0</v>
      </c>
      <c r="R2150">
        <v>2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900</v>
      </c>
      <c r="AJ2150">
        <v>11</v>
      </c>
      <c r="AK2150">
        <v>0</v>
      </c>
      <c r="AL2150">
        <v>0</v>
      </c>
      <c r="AM2150">
        <v>700</v>
      </c>
      <c r="AN2150">
        <v>0</v>
      </c>
      <c r="AO2150">
        <v>240</v>
      </c>
      <c r="AP2150">
        <v>-72</v>
      </c>
      <c r="AQ2150">
        <v>0</v>
      </c>
      <c r="AR2150">
        <v>240</v>
      </c>
      <c r="AS2150">
        <v>-72</v>
      </c>
      <c r="AT2150">
        <v>0</v>
      </c>
      <c r="AV2150">
        <v>0</v>
      </c>
      <c r="AW2150">
        <v>0</v>
      </c>
      <c r="AY2150">
        <v>0</v>
      </c>
      <c r="AZ2150">
        <v>0</v>
      </c>
      <c r="BA2150">
        <v>520.79999999999995</v>
      </c>
      <c r="BF2150" t="str">
        <f>T("D268805")</f>
        <v>D268805</v>
      </c>
      <c r="BG2150" t="str">
        <f>T("로판 웹소설 &gt; 서양풍 로판")</f>
        <v>로판 웹소설 &gt; 서양풍 로판</v>
      </c>
    </row>
    <row r="2151" spans="1:59">
      <c r="A2151" t="s">
        <v>60</v>
      </c>
      <c r="B2151" s="1">
        <v>46131</v>
      </c>
      <c r="C2151">
        <v>2378081114</v>
      </c>
      <c r="D2151">
        <v>2378081190</v>
      </c>
      <c r="E2151" t="str">
        <f>T("던전이 자꾸 이상한 짓을 시켜요 77화")</f>
        <v>던전이 자꾸 이상한 짓을 시켜요 77화</v>
      </c>
      <c r="F2151">
        <v>77</v>
      </c>
      <c r="G2151" t="str">
        <f>T("필밤")</f>
        <v>필밤</v>
      </c>
      <c r="J2151" t="str">
        <f>T("시계토끼")</f>
        <v>시계토끼</v>
      </c>
      <c r="K2151" t="str">
        <f>T("던전이 자꾸 이상한 짓을 시켜요")</f>
        <v>던전이 자꾸 이상한 짓을 시켜요</v>
      </c>
      <c r="L2151">
        <v>100</v>
      </c>
      <c r="M2151">
        <v>1000</v>
      </c>
      <c r="N2151">
        <v>10</v>
      </c>
      <c r="O2151">
        <v>0</v>
      </c>
      <c r="P2151">
        <v>0</v>
      </c>
      <c r="Q2151">
        <v>0</v>
      </c>
      <c r="R2151">
        <v>1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1000</v>
      </c>
      <c r="AJ2151">
        <v>11</v>
      </c>
      <c r="AK2151">
        <v>0</v>
      </c>
      <c r="AL2151">
        <v>0</v>
      </c>
      <c r="AM2151">
        <v>800</v>
      </c>
      <c r="AN2151">
        <v>0</v>
      </c>
      <c r="AO2151">
        <v>240</v>
      </c>
      <c r="AP2151">
        <v>-72</v>
      </c>
      <c r="AQ2151">
        <v>0</v>
      </c>
      <c r="AR2151">
        <v>240</v>
      </c>
      <c r="AS2151">
        <v>-72</v>
      </c>
      <c r="AT2151">
        <v>0</v>
      </c>
      <c r="AV2151">
        <v>0</v>
      </c>
      <c r="AW2151">
        <v>0</v>
      </c>
      <c r="AY2151">
        <v>0</v>
      </c>
      <c r="AZ2151">
        <v>0</v>
      </c>
      <c r="BA2151">
        <v>580.79999999999995</v>
      </c>
      <c r="BF2151" t="str">
        <f>T("D268807")</f>
        <v>D268807</v>
      </c>
      <c r="BG2151" t="str">
        <f>T("로판 웹소설 &gt; 서양풍 로판")</f>
        <v>로판 웹소설 &gt; 서양풍 로판</v>
      </c>
    </row>
    <row r="2152" spans="1:59">
      <c r="A2152" t="s">
        <v>60</v>
      </c>
      <c r="B2152" s="1">
        <v>46131</v>
      </c>
      <c r="C2152">
        <v>2378081114</v>
      </c>
      <c r="D2152">
        <v>2378081137</v>
      </c>
      <c r="E2152" t="str">
        <f>T("던전이 자꾸 이상한 짓을 시켜요 24화")</f>
        <v>던전이 자꾸 이상한 짓을 시켜요 24화</v>
      </c>
      <c r="F2152">
        <v>24</v>
      </c>
      <c r="G2152" t="str">
        <f>T("필밤")</f>
        <v>필밤</v>
      </c>
      <c r="J2152" t="str">
        <f>T("시계토끼")</f>
        <v>시계토끼</v>
      </c>
      <c r="K2152" t="str">
        <f>T("던전이 자꾸 이상한 짓을 시켜요")</f>
        <v>던전이 자꾸 이상한 짓을 시켜요</v>
      </c>
      <c r="L2152">
        <v>100</v>
      </c>
      <c r="M2152">
        <v>500</v>
      </c>
      <c r="N2152">
        <v>5</v>
      </c>
      <c r="O2152">
        <v>0</v>
      </c>
      <c r="P2152">
        <v>0</v>
      </c>
      <c r="Q2152">
        <v>0</v>
      </c>
      <c r="R2152">
        <v>7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500</v>
      </c>
      <c r="AJ2152">
        <v>12</v>
      </c>
      <c r="AK2152">
        <v>0</v>
      </c>
      <c r="AL2152">
        <v>0</v>
      </c>
      <c r="AM2152">
        <v>400</v>
      </c>
      <c r="AN2152">
        <v>0</v>
      </c>
      <c r="AO2152">
        <v>120</v>
      </c>
      <c r="AP2152">
        <v>-12</v>
      </c>
      <c r="AQ2152">
        <v>0</v>
      </c>
      <c r="AS2152">
        <v>0</v>
      </c>
      <c r="AT2152">
        <v>0</v>
      </c>
      <c r="AV2152">
        <v>0</v>
      </c>
      <c r="AW2152">
        <v>0</v>
      </c>
      <c r="AX2152">
        <v>120</v>
      </c>
      <c r="AY2152">
        <v>-12</v>
      </c>
      <c r="AZ2152">
        <v>0</v>
      </c>
      <c r="BA2152">
        <v>304.8</v>
      </c>
      <c r="BF2152" t="str">
        <f>T("D268754")</f>
        <v>D268754</v>
      </c>
      <c r="BG2152" t="str">
        <f>T("로판 웹소설 &gt; 서양풍 로판")</f>
        <v>로판 웹소설 &gt; 서양풍 로판</v>
      </c>
    </row>
    <row r="2153" spans="1:59">
      <c r="A2153" t="s">
        <v>60</v>
      </c>
      <c r="B2153" s="1">
        <v>46131</v>
      </c>
      <c r="C2153">
        <v>2378081114</v>
      </c>
      <c r="D2153">
        <v>2378081181</v>
      </c>
      <c r="E2153" t="str">
        <f>T("던전이 자꾸 이상한 짓을 시켜요 68화")</f>
        <v>던전이 자꾸 이상한 짓을 시켜요 68화</v>
      </c>
      <c r="F2153">
        <v>68</v>
      </c>
      <c r="G2153" t="str">
        <f>T("필밤")</f>
        <v>필밤</v>
      </c>
      <c r="J2153" t="str">
        <f>T("시계토끼")</f>
        <v>시계토끼</v>
      </c>
      <c r="K2153" t="str">
        <f>T("던전이 자꾸 이상한 짓을 시켜요")</f>
        <v>던전이 자꾸 이상한 짓을 시켜요</v>
      </c>
      <c r="L2153">
        <v>100</v>
      </c>
      <c r="M2153">
        <v>700</v>
      </c>
      <c r="N2153">
        <v>7</v>
      </c>
      <c r="O2153">
        <v>0</v>
      </c>
      <c r="P2153">
        <v>0</v>
      </c>
      <c r="Q2153">
        <v>0</v>
      </c>
      <c r="R2153">
        <v>2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700</v>
      </c>
      <c r="AJ2153">
        <v>9</v>
      </c>
      <c r="AK2153">
        <v>0</v>
      </c>
      <c r="AL2153">
        <v>0</v>
      </c>
      <c r="AM2153">
        <v>700</v>
      </c>
      <c r="AN2153">
        <v>0</v>
      </c>
      <c r="AO2153">
        <v>0</v>
      </c>
      <c r="AP2153">
        <v>0</v>
      </c>
      <c r="AQ2153">
        <v>0</v>
      </c>
      <c r="AS2153">
        <v>0</v>
      </c>
      <c r="AT2153">
        <v>0</v>
      </c>
      <c r="AV2153">
        <v>0</v>
      </c>
      <c r="AW2153">
        <v>0</v>
      </c>
      <c r="AY2153">
        <v>0</v>
      </c>
      <c r="AZ2153">
        <v>0</v>
      </c>
      <c r="BA2153">
        <v>420</v>
      </c>
      <c r="BF2153" t="str">
        <f>T("D268798")</f>
        <v>D268798</v>
      </c>
      <c r="BG2153" t="str">
        <f>T("로판 웹소설 &gt; 서양풍 로판")</f>
        <v>로판 웹소설 &gt; 서양풍 로판</v>
      </c>
    </row>
    <row r="2154" spans="1:59">
      <c r="A2154" t="s">
        <v>60</v>
      </c>
      <c r="B2154" s="1">
        <v>46131</v>
      </c>
      <c r="C2154">
        <v>2378081114</v>
      </c>
      <c r="D2154">
        <v>2378081182</v>
      </c>
      <c r="E2154" t="str">
        <f>T("던전이 자꾸 이상한 짓을 시켜요 69화")</f>
        <v>던전이 자꾸 이상한 짓을 시켜요 69화</v>
      </c>
      <c r="F2154">
        <v>69</v>
      </c>
      <c r="G2154" t="str">
        <f>T("필밤")</f>
        <v>필밤</v>
      </c>
      <c r="J2154" t="str">
        <f>T("시계토끼")</f>
        <v>시계토끼</v>
      </c>
      <c r="K2154" t="str">
        <f>T("던전이 자꾸 이상한 짓을 시켜요")</f>
        <v>던전이 자꾸 이상한 짓을 시켜요</v>
      </c>
      <c r="L2154">
        <v>100</v>
      </c>
      <c r="M2154">
        <v>800</v>
      </c>
      <c r="N2154">
        <v>8</v>
      </c>
      <c r="O2154">
        <v>0</v>
      </c>
      <c r="P2154">
        <v>0</v>
      </c>
      <c r="Q2154">
        <v>0</v>
      </c>
      <c r="R2154">
        <v>1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800</v>
      </c>
      <c r="AJ2154">
        <v>9</v>
      </c>
      <c r="AK2154">
        <v>0</v>
      </c>
      <c r="AL2154">
        <v>0</v>
      </c>
      <c r="AM2154">
        <v>800</v>
      </c>
      <c r="AN2154">
        <v>0</v>
      </c>
      <c r="AO2154">
        <v>0</v>
      </c>
      <c r="AP2154">
        <v>0</v>
      </c>
      <c r="AQ2154">
        <v>0</v>
      </c>
      <c r="AS2154">
        <v>0</v>
      </c>
      <c r="AT2154">
        <v>0</v>
      </c>
      <c r="AV2154">
        <v>0</v>
      </c>
      <c r="AW2154">
        <v>0</v>
      </c>
      <c r="AY2154">
        <v>0</v>
      </c>
      <c r="AZ2154">
        <v>0</v>
      </c>
      <c r="BA2154">
        <v>480</v>
      </c>
      <c r="BF2154" t="str">
        <f>T("D268799")</f>
        <v>D268799</v>
      </c>
      <c r="BG2154" t="str">
        <f>T("로판 웹소설 &gt; 서양풍 로판")</f>
        <v>로판 웹소설 &gt; 서양풍 로판</v>
      </c>
    </row>
    <row r="2155" spans="1:59">
      <c r="A2155" t="s">
        <v>60</v>
      </c>
      <c r="B2155" s="1">
        <v>46131</v>
      </c>
      <c r="C2155">
        <v>2378081114</v>
      </c>
      <c r="D2155">
        <v>2378081184</v>
      </c>
      <c r="E2155" t="str">
        <f>T("던전이 자꾸 이상한 짓을 시켜요 71화")</f>
        <v>던전이 자꾸 이상한 짓을 시켜요 71화</v>
      </c>
      <c r="F2155">
        <v>71</v>
      </c>
      <c r="G2155" t="str">
        <f>T("필밤")</f>
        <v>필밤</v>
      </c>
      <c r="J2155" t="str">
        <f>T("시계토끼")</f>
        <v>시계토끼</v>
      </c>
      <c r="K2155" t="str">
        <f>T("던전이 자꾸 이상한 짓을 시켜요")</f>
        <v>던전이 자꾸 이상한 짓을 시켜요</v>
      </c>
      <c r="L2155">
        <v>100</v>
      </c>
      <c r="M2155">
        <v>900</v>
      </c>
      <c r="N2155">
        <v>9</v>
      </c>
      <c r="O2155">
        <v>0</v>
      </c>
      <c r="P2155">
        <v>0</v>
      </c>
      <c r="Q2155">
        <v>0</v>
      </c>
      <c r="R2155">
        <v>2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900</v>
      </c>
      <c r="AJ2155">
        <v>11</v>
      </c>
      <c r="AK2155">
        <v>0</v>
      </c>
      <c r="AL2155">
        <v>0</v>
      </c>
      <c r="AM2155">
        <v>700</v>
      </c>
      <c r="AN2155">
        <v>0</v>
      </c>
      <c r="AO2155">
        <v>240</v>
      </c>
      <c r="AP2155">
        <v>-72</v>
      </c>
      <c r="AQ2155">
        <v>0</v>
      </c>
      <c r="AR2155">
        <v>240</v>
      </c>
      <c r="AS2155">
        <v>-72</v>
      </c>
      <c r="AT2155">
        <v>0</v>
      </c>
      <c r="AV2155">
        <v>0</v>
      </c>
      <c r="AW2155">
        <v>0</v>
      </c>
      <c r="AY2155">
        <v>0</v>
      </c>
      <c r="AZ2155">
        <v>0</v>
      </c>
      <c r="BA2155">
        <v>520.79999999999995</v>
      </c>
      <c r="BF2155" t="str">
        <f>T("D268801")</f>
        <v>D268801</v>
      </c>
      <c r="BG2155" t="str">
        <f>T("로판 웹소설 &gt; 서양풍 로판")</f>
        <v>로판 웹소설 &gt; 서양풍 로판</v>
      </c>
    </row>
    <row r="2156" spans="1:59">
      <c r="A2156" t="s">
        <v>60</v>
      </c>
      <c r="B2156" s="1">
        <v>46131</v>
      </c>
      <c r="C2156">
        <v>2378081114</v>
      </c>
      <c r="D2156">
        <v>2378081185</v>
      </c>
      <c r="E2156" t="str">
        <f>T("던전이 자꾸 이상한 짓을 시켜요 72화")</f>
        <v>던전이 자꾸 이상한 짓을 시켜요 72화</v>
      </c>
      <c r="F2156">
        <v>72</v>
      </c>
      <c r="G2156" t="str">
        <f>T("필밤")</f>
        <v>필밤</v>
      </c>
      <c r="J2156" t="str">
        <f>T("시계토끼")</f>
        <v>시계토끼</v>
      </c>
      <c r="K2156" t="str">
        <f>T("던전이 자꾸 이상한 짓을 시켜요")</f>
        <v>던전이 자꾸 이상한 짓을 시켜요</v>
      </c>
      <c r="L2156">
        <v>100</v>
      </c>
      <c r="M2156">
        <v>900</v>
      </c>
      <c r="N2156">
        <v>9</v>
      </c>
      <c r="O2156">
        <v>0</v>
      </c>
      <c r="P2156">
        <v>0</v>
      </c>
      <c r="Q2156">
        <v>0</v>
      </c>
      <c r="R2156">
        <v>2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900</v>
      </c>
      <c r="AJ2156">
        <v>11</v>
      </c>
      <c r="AK2156">
        <v>0</v>
      </c>
      <c r="AL2156">
        <v>0</v>
      </c>
      <c r="AM2156">
        <v>700</v>
      </c>
      <c r="AN2156">
        <v>0</v>
      </c>
      <c r="AO2156">
        <v>240</v>
      </c>
      <c r="AP2156">
        <v>-72</v>
      </c>
      <c r="AQ2156">
        <v>0</v>
      </c>
      <c r="AR2156">
        <v>240</v>
      </c>
      <c r="AS2156">
        <v>-72</v>
      </c>
      <c r="AT2156">
        <v>0</v>
      </c>
      <c r="AV2156">
        <v>0</v>
      </c>
      <c r="AW2156">
        <v>0</v>
      </c>
      <c r="AY2156">
        <v>0</v>
      </c>
      <c r="AZ2156">
        <v>0</v>
      </c>
      <c r="BA2156">
        <v>520.79999999999995</v>
      </c>
      <c r="BF2156" t="str">
        <f>T("D268802")</f>
        <v>D268802</v>
      </c>
      <c r="BG2156" t="str">
        <f>T("로판 웹소설 &gt; 서양풍 로판")</f>
        <v>로판 웹소설 &gt; 서양풍 로판</v>
      </c>
    </row>
    <row r="2157" spans="1:59">
      <c r="A2157" t="s">
        <v>60</v>
      </c>
      <c r="B2157" s="1">
        <v>46131</v>
      </c>
      <c r="C2157">
        <v>2378081114</v>
      </c>
      <c r="D2157">
        <v>2378081187</v>
      </c>
      <c r="E2157" t="str">
        <f>T("던전이 자꾸 이상한 짓을 시켜요 74화")</f>
        <v>던전이 자꾸 이상한 짓을 시켜요 74화</v>
      </c>
      <c r="F2157">
        <v>74</v>
      </c>
      <c r="G2157" t="str">
        <f>T("필밤")</f>
        <v>필밤</v>
      </c>
      <c r="J2157" t="str">
        <f>T("시계토끼")</f>
        <v>시계토끼</v>
      </c>
      <c r="K2157" t="str">
        <f>T("던전이 자꾸 이상한 짓을 시켜요")</f>
        <v>던전이 자꾸 이상한 짓을 시켜요</v>
      </c>
      <c r="L2157">
        <v>100</v>
      </c>
      <c r="M2157">
        <v>1000</v>
      </c>
      <c r="N2157">
        <v>10</v>
      </c>
      <c r="O2157">
        <v>0</v>
      </c>
      <c r="P2157">
        <v>0</v>
      </c>
      <c r="Q2157">
        <v>0</v>
      </c>
      <c r="R2157">
        <v>2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1000</v>
      </c>
      <c r="AJ2157">
        <v>12</v>
      </c>
      <c r="AK2157">
        <v>0</v>
      </c>
      <c r="AL2157">
        <v>0</v>
      </c>
      <c r="AM2157">
        <v>800</v>
      </c>
      <c r="AN2157">
        <v>0</v>
      </c>
      <c r="AO2157">
        <v>240</v>
      </c>
      <c r="AP2157">
        <v>-72</v>
      </c>
      <c r="AQ2157">
        <v>0</v>
      </c>
      <c r="AR2157">
        <v>240</v>
      </c>
      <c r="AS2157">
        <v>-72</v>
      </c>
      <c r="AT2157">
        <v>0</v>
      </c>
      <c r="AV2157">
        <v>0</v>
      </c>
      <c r="AW2157">
        <v>0</v>
      </c>
      <c r="AY2157">
        <v>0</v>
      </c>
      <c r="AZ2157">
        <v>0</v>
      </c>
      <c r="BA2157">
        <v>580.79999999999995</v>
      </c>
      <c r="BF2157" t="str">
        <f>T("D268804")</f>
        <v>D268804</v>
      </c>
      <c r="BG2157" t="str">
        <f>T("로판 웹소설 &gt; 서양풍 로판")</f>
        <v>로판 웹소설 &gt; 서양풍 로판</v>
      </c>
    </row>
    <row r="2158" spans="1:59">
      <c r="A2158" t="s">
        <v>60</v>
      </c>
      <c r="B2158" s="1">
        <v>46131</v>
      </c>
      <c r="C2158">
        <v>2378081114</v>
      </c>
      <c r="D2158">
        <v>2378081186</v>
      </c>
      <c r="E2158" t="str">
        <f>T("던전이 자꾸 이상한 짓을 시켜요 73화")</f>
        <v>던전이 자꾸 이상한 짓을 시켜요 73화</v>
      </c>
      <c r="F2158">
        <v>73</v>
      </c>
      <c r="G2158" t="str">
        <f>T("필밤")</f>
        <v>필밤</v>
      </c>
      <c r="J2158" t="str">
        <f>T("시계토끼")</f>
        <v>시계토끼</v>
      </c>
      <c r="K2158" t="str">
        <f>T("던전이 자꾸 이상한 짓을 시켜요")</f>
        <v>던전이 자꾸 이상한 짓을 시켜요</v>
      </c>
      <c r="L2158">
        <v>100</v>
      </c>
      <c r="M2158">
        <v>800</v>
      </c>
      <c r="N2158">
        <v>8</v>
      </c>
      <c r="O2158">
        <v>0</v>
      </c>
      <c r="P2158">
        <v>0</v>
      </c>
      <c r="Q2158">
        <v>0</v>
      </c>
      <c r="R2158">
        <v>1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800</v>
      </c>
      <c r="AJ2158">
        <v>9</v>
      </c>
      <c r="AK2158">
        <v>0</v>
      </c>
      <c r="AL2158">
        <v>0</v>
      </c>
      <c r="AM2158">
        <v>600</v>
      </c>
      <c r="AN2158">
        <v>0</v>
      </c>
      <c r="AO2158">
        <v>240</v>
      </c>
      <c r="AP2158">
        <v>-72</v>
      </c>
      <c r="AQ2158">
        <v>0</v>
      </c>
      <c r="AR2158">
        <v>240</v>
      </c>
      <c r="AS2158">
        <v>-72</v>
      </c>
      <c r="AT2158">
        <v>0</v>
      </c>
      <c r="AV2158">
        <v>0</v>
      </c>
      <c r="AW2158">
        <v>0</v>
      </c>
      <c r="AY2158">
        <v>0</v>
      </c>
      <c r="AZ2158">
        <v>0</v>
      </c>
      <c r="BA2158">
        <v>460.8</v>
      </c>
      <c r="BF2158" t="str">
        <f>T("D268803")</f>
        <v>D268803</v>
      </c>
      <c r="BG2158" t="str">
        <f>T("로판 웹소설 &gt; 서양풍 로판")</f>
        <v>로판 웹소설 &gt; 서양풍 로판</v>
      </c>
    </row>
    <row r="2159" spans="1:59">
      <c r="A2159" t="s">
        <v>60</v>
      </c>
      <c r="B2159" s="1">
        <v>46131</v>
      </c>
      <c r="C2159">
        <v>2378081114</v>
      </c>
      <c r="D2159">
        <v>2378081189</v>
      </c>
      <c r="E2159" t="str">
        <f>T("던전이 자꾸 이상한 짓을 시켜요 76화")</f>
        <v>던전이 자꾸 이상한 짓을 시켜요 76화</v>
      </c>
      <c r="F2159">
        <v>76</v>
      </c>
      <c r="G2159" t="str">
        <f>T("필밤")</f>
        <v>필밤</v>
      </c>
      <c r="J2159" t="str">
        <f>T("시계토끼")</f>
        <v>시계토끼</v>
      </c>
      <c r="K2159" t="str">
        <f>T("던전이 자꾸 이상한 짓을 시켜요")</f>
        <v>던전이 자꾸 이상한 짓을 시켜요</v>
      </c>
      <c r="L2159">
        <v>100</v>
      </c>
      <c r="M2159">
        <v>800</v>
      </c>
      <c r="N2159">
        <v>8</v>
      </c>
      <c r="O2159">
        <v>0</v>
      </c>
      <c r="P2159">
        <v>0</v>
      </c>
      <c r="Q2159">
        <v>0</v>
      </c>
      <c r="R2159">
        <v>2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800</v>
      </c>
      <c r="AJ2159">
        <v>10</v>
      </c>
      <c r="AK2159">
        <v>0</v>
      </c>
      <c r="AL2159">
        <v>0</v>
      </c>
      <c r="AM2159">
        <v>600</v>
      </c>
      <c r="AN2159">
        <v>0</v>
      </c>
      <c r="AO2159">
        <v>240</v>
      </c>
      <c r="AP2159">
        <v>-72</v>
      </c>
      <c r="AQ2159">
        <v>0</v>
      </c>
      <c r="AR2159">
        <v>240</v>
      </c>
      <c r="AS2159">
        <v>-72</v>
      </c>
      <c r="AT2159">
        <v>0</v>
      </c>
      <c r="AV2159">
        <v>0</v>
      </c>
      <c r="AW2159">
        <v>0</v>
      </c>
      <c r="AY2159">
        <v>0</v>
      </c>
      <c r="AZ2159">
        <v>0</v>
      </c>
      <c r="BA2159">
        <v>460.8</v>
      </c>
      <c r="BF2159" t="str">
        <f>T("D268806")</f>
        <v>D268806</v>
      </c>
      <c r="BG2159" t="str">
        <f>T("로판 웹소설 &gt; 서양풍 로판")</f>
        <v>로판 웹소설 &gt; 서양풍 로판</v>
      </c>
    </row>
    <row r="2160" spans="1:59">
      <c r="A2160" t="s">
        <v>60</v>
      </c>
      <c r="B2160" s="1">
        <v>46131</v>
      </c>
      <c r="C2160">
        <v>2378081114</v>
      </c>
      <c r="D2160">
        <v>2378081191</v>
      </c>
      <c r="E2160" t="str">
        <f>T("던전이 자꾸 이상한 짓을 시켜요 78화")</f>
        <v>던전이 자꾸 이상한 짓을 시켜요 78화</v>
      </c>
      <c r="F2160">
        <v>78</v>
      </c>
      <c r="G2160" t="str">
        <f>T("필밤")</f>
        <v>필밤</v>
      </c>
      <c r="J2160" t="str">
        <f>T("시계토끼")</f>
        <v>시계토끼</v>
      </c>
      <c r="K2160" t="str">
        <f>T("던전이 자꾸 이상한 짓을 시켜요")</f>
        <v>던전이 자꾸 이상한 짓을 시켜요</v>
      </c>
      <c r="L2160">
        <v>100</v>
      </c>
      <c r="M2160">
        <v>800</v>
      </c>
      <c r="N2160">
        <v>8</v>
      </c>
      <c r="O2160">
        <v>0</v>
      </c>
      <c r="P2160">
        <v>0</v>
      </c>
      <c r="Q2160">
        <v>0</v>
      </c>
      <c r="R2160">
        <v>2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800</v>
      </c>
      <c r="AJ2160">
        <v>10</v>
      </c>
      <c r="AK2160">
        <v>0</v>
      </c>
      <c r="AL2160">
        <v>0</v>
      </c>
      <c r="AM2160">
        <v>600</v>
      </c>
      <c r="AN2160">
        <v>0</v>
      </c>
      <c r="AO2160">
        <v>240</v>
      </c>
      <c r="AP2160">
        <v>-72</v>
      </c>
      <c r="AQ2160">
        <v>0</v>
      </c>
      <c r="AR2160">
        <v>240</v>
      </c>
      <c r="AS2160">
        <v>-72</v>
      </c>
      <c r="AT2160">
        <v>0</v>
      </c>
      <c r="AV2160">
        <v>0</v>
      </c>
      <c r="AW2160">
        <v>0</v>
      </c>
      <c r="AY2160">
        <v>0</v>
      </c>
      <c r="AZ2160">
        <v>0</v>
      </c>
      <c r="BA2160">
        <v>460.8</v>
      </c>
      <c r="BF2160" t="str">
        <f>T("D268808")</f>
        <v>D268808</v>
      </c>
      <c r="BG2160" t="str">
        <f>T("로판 웹소설 &gt; 서양풍 로판")</f>
        <v>로판 웹소설 &gt; 서양풍 로판</v>
      </c>
    </row>
    <row r="2161" spans="1:59">
      <c r="A2161" t="s">
        <v>60</v>
      </c>
      <c r="B2161" s="1">
        <v>46131</v>
      </c>
      <c r="C2161">
        <v>2378081114</v>
      </c>
      <c r="D2161">
        <v>2378081192</v>
      </c>
      <c r="E2161" t="str">
        <f>T("던전이 자꾸 이상한 짓을 시켜요 79화")</f>
        <v>던전이 자꾸 이상한 짓을 시켜요 79화</v>
      </c>
      <c r="F2161">
        <v>79</v>
      </c>
      <c r="G2161" t="str">
        <f>T("필밤")</f>
        <v>필밤</v>
      </c>
      <c r="J2161" t="str">
        <f>T("시계토끼")</f>
        <v>시계토끼</v>
      </c>
      <c r="K2161" t="str">
        <f>T("던전이 자꾸 이상한 짓을 시켜요")</f>
        <v>던전이 자꾸 이상한 짓을 시켜요</v>
      </c>
      <c r="L2161">
        <v>100</v>
      </c>
      <c r="M2161">
        <v>900</v>
      </c>
      <c r="N2161">
        <v>9</v>
      </c>
      <c r="O2161">
        <v>0</v>
      </c>
      <c r="P2161">
        <v>0</v>
      </c>
      <c r="Q2161">
        <v>0</v>
      </c>
      <c r="R2161">
        <v>3</v>
      </c>
      <c r="S2161">
        <v>0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900</v>
      </c>
      <c r="AJ2161">
        <v>12</v>
      </c>
      <c r="AK2161">
        <v>0</v>
      </c>
      <c r="AL2161">
        <v>0</v>
      </c>
      <c r="AM2161">
        <v>700</v>
      </c>
      <c r="AN2161">
        <v>0</v>
      </c>
      <c r="AO2161">
        <v>240</v>
      </c>
      <c r="AP2161">
        <v>-72</v>
      </c>
      <c r="AQ2161">
        <v>0</v>
      </c>
      <c r="AR2161">
        <v>240</v>
      </c>
      <c r="AS2161">
        <v>-72</v>
      </c>
      <c r="AT2161">
        <v>0</v>
      </c>
      <c r="AV2161">
        <v>0</v>
      </c>
      <c r="AW2161">
        <v>0</v>
      </c>
      <c r="AY2161">
        <v>0</v>
      </c>
      <c r="AZ2161">
        <v>0</v>
      </c>
      <c r="BA2161">
        <v>520.79999999999995</v>
      </c>
      <c r="BF2161" t="str">
        <f>T("D268809")</f>
        <v>D268809</v>
      </c>
      <c r="BG2161" t="str">
        <f>T("로판 웹소설 &gt; 서양풍 로판")</f>
        <v>로판 웹소설 &gt; 서양풍 로판</v>
      </c>
    </row>
    <row r="2162" spans="1:59">
      <c r="A2162" t="s">
        <v>60</v>
      </c>
      <c r="B2162" s="1">
        <v>46131</v>
      </c>
      <c r="C2162">
        <v>2378081114</v>
      </c>
      <c r="D2162">
        <v>2378081193</v>
      </c>
      <c r="E2162" t="str">
        <f>T("던전이 자꾸 이상한 짓을 시켜요 80화")</f>
        <v>던전이 자꾸 이상한 짓을 시켜요 80화</v>
      </c>
      <c r="F2162">
        <v>80</v>
      </c>
      <c r="G2162" t="str">
        <f>T("필밤")</f>
        <v>필밤</v>
      </c>
      <c r="J2162" t="str">
        <f>T("시계토끼")</f>
        <v>시계토끼</v>
      </c>
      <c r="K2162" t="str">
        <f>T("던전이 자꾸 이상한 짓을 시켜요")</f>
        <v>던전이 자꾸 이상한 짓을 시켜요</v>
      </c>
      <c r="L2162">
        <v>100</v>
      </c>
      <c r="M2162">
        <v>1100</v>
      </c>
      <c r="N2162">
        <v>11</v>
      </c>
      <c r="O2162">
        <v>0</v>
      </c>
      <c r="P2162">
        <v>0</v>
      </c>
      <c r="Q2162">
        <v>0</v>
      </c>
      <c r="R2162">
        <v>3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1100</v>
      </c>
      <c r="AJ2162">
        <v>14</v>
      </c>
      <c r="AK2162">
        <v>0</v>
      </c>
      <c r="AL2162">
        <v>0</v>
      </c>
      <c r="AM2162">
        <v>800</v>
      </c>
      <c r="AN2162">
        <v>0</v>
      </c>
      <c r="AO2162">
        <v>360</v>
      </c>
      <c r="AP2162">
        <v>-84</v>
      </c>
      <c r="AQ2162">
        <v>0</v>
      </c>
      <c r="AR2162">
        <v>240</v>
      </c>
      <c r="AS2162">
        <v>-72</v>
      </c>
      <c r="AT2162">
        <v>0</v>
      </c>
      <c r="AU2162">
        <v>120</v>
      </c>
      <c r="AV2162">
        <v>-12</v>
      </c>
      <c r="AW2162">
        <v>0</v>
      </c>
      <c r="AY2162">
        <v>0</v>
      </c>
      <c r="AZ2162">
        <v>0</v>
      </c>
      <c r="BA2162">
        <v>645.6</v>
      </c>
      <c r="BF2162" t="str">
        <f>T("D268810")</f>
        <v>D268810</v>
      </c>
      <c r="BG2162" t="str">
        <f>T("로판 웹소설 &gt; 서양풍 로판")</f>
        <v>로판 웹소설 &gt; 서양풍 로판</v>
      </c>
    </row>
    <row r="2163" spans="1:59">
      <c r="A2163" t="s">
        <v>60</v>
      </c>
      <c r="B2163" s="1">
        <v>46131</v>
      </c>
      <c r="C2163">
        <v>2378081114</v>
      </c>
      <c r="D2163">
        <v>2378081221</v>
      </c>
      <c r="E2163" t="str">
        <f>T("던전이 자꾸 이상한 짓을 시켜요 82화")</f>
        <v>던전이 자꾸 이상한 짓을 시켜요 82화</v>
      </c>
      <c r="F2163">
        <v>82</v>
      </c>
      <c r="G2163" t="str">
        <f>T("필밤")</f>
        <v>필밤</v>
      </c>
      <c r="J2163" t="str">
        <f>T("시계토끼")</f>
        <v>시계토끼</v>
      </c>
      <c r="K2163" t="str">
        <f>T("던전이 자꾸 이상한 짓을 시켜요")</f>
        <v>던전이 자꾸 이상한 짓을 시켜요</v>
      </c>
      <c r="L2163">
        <v>100</v>
      </c>
      <c r="M2163">
        <v>1100</v>
      </c>
      <c r="N2163">
        <v>11</v>
      </c>
      <c r="O2163">
        <v>0</v>
      </c>
      <c r="P2163">
        <v>0</v>
      </c>
      <c r="Q2163">
        <v>0</v>
      </c>
      <c r="R2163">
        <v>2</v>
      </c>
      <c r="S2163">
        <v>0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1100</v>
      </c>
      <c r="AJ2163">
        <v>13</v>
      </c>
      <c r="AK2163">
        <v>0</v>
      </c>
      <c r="AL2163">
        <v>0</v>
      </c>
      <c r="AM2163">
        <v>800</v>
      </c>
      <c r="AN2163">
        <v>0</v>
      </c>
      <c r="AO2163">
        <v>360</v>
      </c>
      <c r="AP2163">
        <v>-84</v>
      </c>
      <c r="AQ2163">
        <v>0</v>
      </c>
      <c r="AR2163">
        <v>240</v>
      </c>
      <c r="AS2163">
        <v>-72</v>
      </c>
      <c r="AT2163">
        <v>0</v>
      </c>
      <c r="AU2163">
        <v>120</v>
      </c>
      <c r="AV2163">
        <v>-12</v>
      </c>
      <c r="AW2163">
        <v>0</v>
      </c>
      <c r="AY2163">
        <v>0</v>
      </c>
      <c r="AZ2163">
        <v>0</v>
      </c>
      <c r="BA2163">
        <v>645.6</v>
      </c>
      <c r="BF2163" t="str">
        <f>T("D268812")</f>
        <v>D268812</v>
      </c>
      <c r="BG2163" t="str">
        <f>T("로판 웹소설 &gt; 서양풍 로판")</f>
        <v>로판 웹소설 &gt; 서양풍 로판</v>
      </c>
    </row>
    <row r="2164" spans="1:59">
      <c r="A2164" t="s">
        <v>60</v>
      </c>
      <c r="B2164" s="1">
        <v>46131</v>
      </c>
      <c r="C2164">
        <v>2378081114</v>
      </c>
      <c r="D2164">
        <v>2378081226</v>
      </c>
      <c r="E2164" t="str">
        <f>T("던전이 자꾸 이상한 짓을 시켜요 84화")</f>
        <v>던전이 자꾸 이상한 짓을 시켜요 84화</v>
      </c>
      <c r="F2164">
        <v>84</v>
      </c>
      <c r="G2164" t="str">
        <f>T("필밤")</f>
        <v>필밤</v>
      </c>
      <c r="J2164" t="str">
        <f>T("시계토끼")</f>
        <v>시계토끼</v>
      </c>
      <c r="K2164" t="str">
        <f>T("던전이 자꾸 이상한 짓을 시켜요")</f>
        <v>던전이 자꾸 이상한 짓을 시켜요</v>
      </c>
      <c r="L2164">
        <v>100</v>
      </c>
      <c r="M2164">
        <v>1000</v>
      </c>
      <c r="N2164">
        <v>10</v>
      </c>
      <c r="O2164">
        <v>0</v>
      </c>
      <c r="P2164">
        <v>0</v>
      </c>
      <c r="Q2164">
        <v>0</v>
      </c>
      <c r="R2164">
        <v>3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1000</v>
      </c>
      <c r="AJ2164">
        <v>13</v>
      </c>
      <c r="AK2164">
        <v>0</v>
      </c>
      <c r="AL2164">
        <v>0</v>
      </c>
      <c r="AM2164">
        <v>700</v>
      </c>
      <c r="AN2164">
        <v>0</v>
      </c>
      <c r="AO2164">
        <v>360</v>
      </c>
      <c r="AP2164">
        <v>-84</v>
      </c>
      <c r="AQ2164">
        <v>0</v>
      </c>
      <c r="AR2164">
        <v>240</v>
      </c>
      <c r="AS2164">
        <v>-72</v>
      </c>
      <c r="AT2164">
        <v>0</v>
      </c>
      <c r="AU2164">
        <v>120</v>
      </c>
      <c r="AV2164">
        <v>-12</v>
      </c>
      <c r="AW2164">
        <v>0</v>
      </c>
      <c r="AY2164">
        <v>0</v>
      </c>
      <c r="AZ2164">
        <v>0</v>
      </c>
      <c r="BA2164">
        <v>585.6</v>
      </c>
      <c r="BF2164" t="str">
        <f>T("D268814")</f>
        <v>D268814</v>
      </c>
      <c r="BG2164" t="str">
        <f>T("로판 웹소설 &gt; 서양풍 로판")</f>
        <v>로판 웹소설 &gt; 서양풍 로판</v>
      </c>
    </row>
    <row r="2165" spans="1:59">
      <c r="A2165" t="s">
        <v>60</v>
      </c>
      <c r="B2165" s="1">
        <v>46131</v>
      </c>
      <c r="C2165">
        <v>2378081114</v>
      </c>
      <c r="D2165">
        <v>2378081136</v>
      </c>
      <c r="E2165" t="str">
        <f>T("던전이 자꾸 이상한 짓을 시켜요 23화")</f>
        <v>던전이 자꾸 이상한 짓을 시켜요 23화</v>
      </c>
      <c r="F2165">
        <v>23</v>
      </c>
      <c r="G2165" t="str">
        <f>T("필밤")</f>
        <v>필밤</v>
      </c>
      <c r="J2165" t="str">
        <f>T("시계토끼")</f>
        <v>시계토끼</v>
      </c>
      <c r="K2165" t="str">
        <f>T("던전이 자꾸 이상한 짓을 시켜요")</f>
        <v>던전이 자꾸 이상한 짓을 시켜요</v>
      </c>
      <c r="L2165">
        <v>100</v>
      </c>
      <c r="M2165">
        <v>500</v>
      </c>
      <c r="N2165">
        <v>5</v>
      </c>
      <c r="O2165">
        <v>0</v>
      </c>
      <c r="P2165">
        <v>0</v>
      </c>
      <c r="Q2165">
        <v>0</v>
      </c>
      <c r="R2165">
        <v>7</v>
      </c>
      <c r="S2165">
        <v>0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500</v>
      </c>
      <c r="AJ2165">
        <v>12</v>
      </c>
      <c r="AK2165">
        <v>0</v>
      </c>
      <c r="AL2165">
        <v>0</v>
      </c>
      <c r="AM2165">
        <v>400</v>
      </c>
      <c r="AN2165">
        <v>0</v>
      </c>
      <c r="AO2165">
        <v>120</v>
      </c>
      <c r="AP2165">
        <v>-12</v>
      </c>
      <c r="AQ2165">
        <v>0</v>
      </c>
      <c r="AS2165">
        <v>0</v>
      </c>
      <c r="AT2165">
        <v>0</v>
      </c>
      <c r="AV2165">
        <v>0</v>
      </c>
      <c r="AW2165">
        <v>0</v>
      </c>
      <c r="AX2165">
        <v>120</v>
      </c>
      <c r="AY2165">
        <v>-12</v>
      </c>
      <c r="AZ2165">
        <v>0</v>
      </c>
      <c r="BA2165">
        <v>304.8</v>
      </c>
      <c r="BF2165" t="str">
        <f>T("D268753")</f>
        <v>D268753</v>
      </c>
      <c r="BG2165" t="str">
        <f>T("로판 웹소설 &gt; 서양풍 로판")</f>
        <v>로판 웹소설 &gt; 서양풍 로판</v>
      </c>
    </row>
    <row r="2166" spans="1:59">
      <c r="A2166" t="s">
        <v>60</v>
      </c>
      <c r="B2166" s="1">
        <v>46131</v>
      </c>
      <c r="C2166">
        <v>2378081114</v>
      </c>
      <c r="D2166">
        <v>2378081138</v>
      </c>
      <c r="E2166" t="str">
        <f>T("던전이 자꾸 이상한 짓을 시켜요 25화")</f>
        <v>던전이 자꾸 이상한 짓을 시켜요 25화</v>
      </c>
      <c r="F2166">
        <v>25</v>
      </c>
      <c r="G2166" t="str">
        <f>T("필밤")</f>
        <v>필밤</v>
      </c>
      <c r="J2166" t="str">
        <f>T("시계토끼")</f>
        <v>시계토끼</v>
      </c>
      <c r="K2166" t="str">
        <f>T("던전이 자꾸 이상한 짓을 시켜요")</f>
        <v>던전이 자꾸 이상한 짓을 시켜요</v>
      </c>
      <c r="L2166">
        <v>100</v>
      </c>
      <c r="M2166">
        <v>800</v>
      </c>
      <c r="N2166">
        <v>8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800</v>
      </c>
      <c r="AJ2166">
        <v>8</v>
      </c>
      <c r="AK2166">
        <v>0</v>
      </c>
      <c r="AL2166">
        <v>0</v>
      </c>
      <c r="AM2166">
        <v>600</v>
      </c>
      <c r="AN2166">
        <v>0</v>
      </c>
      <c r="AO2166">
        <v>240</v>
      </c>
      <c r="AP2166">
        <v>-48</v>
      </c>
      <c r="AQ2166">
        <v>0</v>
      </c>
      <c r="AR2166">
        <v>120</v>
      </c>
      <c r="AS2166">
        <v>-36</v>
      </c>
      <c r="AT2166">
        <v>0</v>
      </c>
      <c r="AV2166">
        <v>0</v>
      </c>
      <c r="AW2166">
        <v>0</v>
      </c>
      <c r="AX2166">
        <v>120</v>
      </c>
      <c r="AY2166">
        <v>-12</v>
      </c>
      <c r="AZ2166">
        <v>0</v>
      </c>
      <c r="BA2166">
        <v>475.2</v>
      </c>
      <c r="BF2166" t="str">
        <f>T("D268755")</f>
        <v>D268755</v>
      </c>
      <c r="BG2166" t="str">
        <f>T("로판 웹소설 &gt; 서양풍 로판")</f>
        <v>로판 웹소설 &gt; 서양풍 로판</v>
      </c>
    </row>
    <row r="2167" spans="1:59">
      <c r="A2167" t="s">
        <v>60</v>
      </c>
      <c r="B2167" s="1">
        <v>46131</v>
      </c>
      <c r="C2167">
        <v>2378081114</v>
      </c>
      <c r="D2167">
        <v>2378081139</v>
      </c>
      <c r="E2167" t="str">
        <f>T("던전이 자꾸 이상한 짓을 시켜요 26화")</f>
        <v>던전이 자꾸 이상한 짓을 시켜요 26화</v>
      </c>
      <c r="F2167">
        <v>26</v>
      </c>
      <c r="G2167" t="str">
        <f>T("필밤")</f>
        <v>필밤</v>
      </c>
      <c r="J2167" t="str">
        <f>T("시계토끼")</f>
        <v>시계토끼</v>
      </c>
      <c r="K2167" t="str">
        <f>T("던전이 자꾸 이상한 짓을 시켜요")</f>
        <v>던전이 자꾸 이상한 짓을 시켜요</v>
      </c>
      <c r="L2167">
        <v>100</v>
      </c>
      <c r="M2167">
        <v>900</v>
      </c>
      <c r="N2167">
        <v>9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900</v>
      </c>
      <c r="AJ2167">
        <v>9</v>
      </c>
      <c r="AK2167">
        <v>0</v>
      </c>
      <c r="AL2167">
        <v>0</v>
      </c>
      <c r="AM2167">
        <v>700</v>
      </c>
      <c r="AN2167">
        <v>0</v>
      </c>
      <c r="AO2167">
        <v>240</v>
      </c>
      <c r="AP2167">
        <v>-48</v>
      </c>
      <c r="AQ2167">
        <v>0</v>
      </c>
      <c r="AR2167">
        <v>120</v>
      </c>
      <c r="AS2167">
        <v>-36</v>
      </c>
      <c r="AT2167">
        <v>0</v>
      </c>
      <c r="AV2167">
        <v>0</v>
      </c>
      <c r="AW2167">
        <v>0</v>
      </c>
      <c r="AX2167">
        <v>120</v>
      </c>
      <c r="AY2167">
        <v>-12</v>
      </c>
      <c r="AZ2167">
        <v>0</v>
      </c>
      <c r="BA2167">
        <v>535.20000000000005</v>
      </c>
      <c r="BF2167" t="str">
        <f>T("D268756")</f>
        <v>D268756</v>
      </c>
      <c r="BG2167" t="str">
        <f>T("로판 웹소설 &gt; 서양풍 로판")</f>
        <v>로판 웹소설 &gt; 서양풍 로판</v>
      </c>
    </row>
    <row r="2168" spans="1:59">
      <c r="A2168" t="s">
        <v>60</v>
      </c>
      <c r="B2168" s="1">
        <v>46131</v>
      </c>
      <c r="C2168">
        <v>2378081114</v>
      </c>
      <c r="D2168">
        <v>2378081162</v>
      </c>
      <c r="E2168" t="str">
        <f>T("던전이 자꾸 이상한 짓을 시켜요 49화")</f>
        <v>던전이 자꾸 이상한 짓을 시켜요 49화</v>
      </c>
      <c r="F2168">
        <v>49</v>
      </c>
      <c r="G2168" t="str">
        <f>T("필밤")</f>
        <v>필밤</v>
      </c>
      <c r="J2168" t="str">
        <f>T("시계토끼")</f>
        <v>시계토끼</v>
      </c>
      <c r="K2168" t="str">
        <f>T("던전이 자꾸 이상한 짓을 시켜요")</f>
        <v>던전이 자꾸 이상한 짓을 시켜요</v>
      </c>
      <c r="L2168">
        <v>100</v>
      </c>
      <c r="M2168">
        <v>900</v>
      </c>
      <c r="N2168">
        <v>9</v>
      </c>
      <c r="O2168">
        <v>0</v>
      </c>
      <c r="P2168">
        <v>0</v>
      </c>
      <c r="Q2168">
        <v>0</v>
      </c>
      <c r="R2168">
        <v>2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900</v>
      </c>
      <c r="AJ2168">
        <v>11</v>
      </c>
      <c r="AK2168">
        <v>0</v>
      </c>
      <c r="AL2168">
        <v>0</v>
      </c>
      <c r="AM2168">
        <v>600</v>
      </c>
      <c r="AN2168">
        <v>0</v>
      </c>
      <c r="AO2168">
        <v>360</v>
      </c>
      <c r="AP2168">
        <v>-108</v>
      </c>
      <c r="AQ2168">
        <v>0</v>
      </c>
      <c r="AR2168">
        <v>360</v>
      </c>
      <c r="AS2168">
        <v>-108</v>
      </c>
      <c r="AT2168">
        <v>0</v>
      </c>
      <c r="AV2168">
        <v>0</v>
      </c>
      <c r="AW2168">
        <v>0</v>
      </c>
      <c r="AY2168">
        <v>0</v>
      </c>
      <c r="AZ2168">
        <v>0</v>
      </c>
      <c r="BA2168">
        <v>511.2</v>
      </c>
      <c r="BF2168" t="str">
        <f>T("D268779")</f>
        <v>D268779</v>
      </c>
      <c r="BG2168" t="str">
        <f>T("로판 웹소설 &gt; 서양풍 로판")</f>
        <v>로판 웹소설 &gt; 서양풍 로판</v>
      </c>
    </row>
    <row r="2169" spans="1:59">
      <c r="A2169" t="s">
        <v>60</v>
      </c>
      <c r="B2169" s="1">
        <v>46131</v>
      </c>
      <c r="C2169">
        <v>2378081114</v>
      </c>
      <c r="D2169">
        <v>2378081166</v>
      </c>
      <c r="E2169" t="str">
        <f>T("던전이 자꾸 이상한 짓을 시켜요 53화")</f>
        <v>던전이 자꾸 이상한 짓을 시켜요 53화</v>
      </c>
      <c r="F2169">
        <v>53</v>
      </c>
      <c r="G2169" t="str">
        <f>T("필밤")</f>
        <v>필밤</v>
      </c>
      <c r="J2169" t="str">
        <f>T("시계토끼")</f>
        <v>시계토끼</v>
      </c>
      <c r="K2169" t="str">
        <f>T("던전이 자꾸 이상한 짓을 시켜요")</f>
        <v>던전이 자꾸 이상한 짓을 시켜요</v>
      </c>
      <c r="L2169">
        <v>100</v>
      </c>
      <c r="M2169">
        <v>800</v>
      </c>
      <c r="N2169">
        <v>8</v>
      </c>
      <c r="O2169">
        <v>0</v>
      </c>
      <c r="P2169">
        <v>0</v>
      </c>
      <c r="Q2169">
        <v>0</v>
      </c>
      <c r="R2169">
        <v>1</v>
      </c>
      <c r="S2169">
        <v>0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800</v>
      </c>
      <c r="AJ2169">
        <v>9</v>
      </c>
      <c r="AK2169">
        <v>0</v>
      </c>
      <c r="AL2169">
        <v>0</v>
      </c>
      <c r="AM2169">
        <v>600</v>
      </c>
      <c r="AN2169">
        <v>0</v>
      </c>
      <c r="AO2169">
        <v>240</v>
      </c>
      <c r="AP2169">
        <v>-72</v>
      </c>
      <c r="AQ2169">
        <v>0</v>
      </c>
      <c r="AR2169">
        <v>240</v>
      </c>
      <c r="AS2169">
        <v>-72</v>
      </c>
      <c r="AT2169">
        <v>0</v>
      </c>
      <c r="AV2169">
        <v>0</v>
      </c>
      <c r="AW2169">
        <v>0</v>
      </c>
      <c r="AY2169">
        <v>0</v>
      </c>
      <c r="AZ2169">
        <v>0</v>
      </c>
      <c r="BA2169">
        <v>460.8</v>
      </c>
      <c r="BF2169" t="str">
        <f>T("D268783")</f>
        <v>D268783</v>
      </c>
      <c r="BG2169" t="str">
        <f>T("로판 웹소설 &gt; 서양풍 로판")</f>
        <v>로판 웹소설 &gt; 서양풍 로판</v>
      </c>
    </row>
    <row r="2170" spans="1:59">
      <c r="A2170" t="s">
        <v>60</v>
      </c>
      <c r="B2170" s="1">
        <v>46131</v>
      </c>
      <c r="C2170">
        <v>2378081114</v>
      </c>
      <c r="D2170">
        <v>2378081167</v>
      </c>
      <c r="E2170" t="str">
        <f>T("던전이 자꾸 이상한 짓을 시켜요 54화")</f>
        <v>던전이 자꾸 이상한 짓을 시켜요 54화</v>
      </c>
      <c r="F2170">
        <v>54</v>
      </c>
      <c r="G2170" t="str">
        <f>T("필밤")</f>
        <v>필밤</v>
      </c>
      <c r="J2170" t="str">
        <f>T("시계토끼")</f>
        <v>시계토끼</v>
      </c>
      <c r="K2170" t="str">
        <f>T("던전이 자꾸 이상한 짓을 시켜요")</f>
        <v>던전이 자꾸 이상한 짓을 시켜요</v>
      </c>
      <c r="L2170">
        <v>100</v>
      </c>
      <c r="M2170">
        <v>600</v>
      </c>
      <c r="N2170">
        <v>6</v>
      </c>
      <c r="O2170">
        <v>0</v>
      </c>
      <c r="P2170">
        <v>0</v>
      </c>
      <c r="Q2170">
        <v>0</v>
      </c>
      <c r="R2170">
        <v>3</v>
      </c>
      <c r="S2170">
        <v>0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600</v>
      </c>
      <c r="AJ2170">
        <v>9</v>
      </c>
      <c r="AK2170">
        <v>0</v>
      </c>
      <c r="AL2170">
        <v>0</v>
      </c>
      <c r="AM2170">
        <v>400</v>
      </c>
      <c r="AN2170">
        <v>0</v>
      </c>
      <c r="AO2170">
        <v>240</v>
      </c>
      <c r="AP2170">
        <v>-72</v>
      </c>
      <c r="AQ2170">
        <v>0</v>
      </c>
      <c r="AR2170">
        <v>240</v>
      </c>
      <c r="AS2170">
        <v>-72</v>
      </c>
      <c r="AT2170">
        <v>0</v>
      </c>
      <c r="AV2170">
        <v>0</v>
      </c>
      <c r="AW2170">
        <v>0</v>
      </c>
      <c r="AY2170">
        <v>0</v>
      </c>
      <c r="AZ2170">
        <v>0</v>
      </c>
      <c r="BA2170">
        <v>340.8</v>
      </c>
      <c r="BF2170" t="str">
        <f>T("D268784")</f>
        <v>D268784</v>
      </c>
      <c r="BG2170" t="str">
        <f>T("로판 웹소설 &gt; 서양풍 로판")</f>
        <v>로판 웹소설 &gt; 서양풍 로판</v>
      </c>
    </row>
    <row r="2171" spans="1:59">
      <c r="A2171" t="s">
        <v>60</v>
      </c>
      <c r="B2171" s="1">
        <v>46131</v>
      </c>
      <c r="C2171">
        <v>2378081114</v>
      </c>
      <c r="D2171">
        <v>2378081175</v>
      </c>
      <c r="E2171" t="str">
        <f>T("던전이 자꾸 이상한 짓을 시켜요 62화")</f>
        <v>던전이 자꾸 이상한 짓을 시켜요 62화</v>
      </c>
      <c r="F2171">
        <v>62</v>
      </c>
      <c r="G2171" t="str">
        <f>T("필밤")</f>
        <v>필밤</v>
      </c>
      <c r="J2171" t="str">
        <f>T("시계토끼")</f>
        <v>시계토끼</v>
      </c>
      <c r="K2171" t="str">
        <f>T("던전이 자꾸 이상한 짓을 시켜요")</f>
        <v>던전이 자꾸 이상한 짓을 시켜요</v>
      </c>
      <c r="L2171">
        <v>100</v>
      </c>
      <c r="M2171">
        <v>900</v>
      </c>
      <c r="N2171">
        <v>9</v>
      </c>
      <c r="O2171">
        <v>0</v>
      </c>
      <c r="P2171">
        <v>0</v>
      </c>
      <c r="Q2171">
        <v>0</v>
      </c>
      <c r="R2171">
        <v>2</v>
      </c>
      <c r="S2171">
        <v>0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900</v>
      </c>
      <c r="AJ2171">
        <v>11</v>
      </c>
      <c r="AK2171">
        <v>0</v>
      </c>
      <c r="AL2171">
        <v>0</v>
      </c>
      <c r="AM2171">
        <v>700</v>
      </c>
      <c r="AN2171">
        <v>0</v>
      </c>
      <c r="AO2171">
        <v>240</v>
      </c>
      <c r="AP2171">
        <v>-72</v>
      </c>
      <c r="AQ2171">
        <v>0</v>
      </c>
      <c r="AR2171">
        <v>240</v>
      </c>
      <c r="AS2171">
        <v>-72</v>
      </c>
      <c r="AT2171">
        <v>0</v>
      </c>
      <c r="AV2171">
        <v>0</v>
      </c>
      <c r="AW2171">
        <v>0</v>
      </c>
      <c r="AY2171">
        <v>0</v>
      </c>
      <c r="AZ2171">
        <v>0</v>
      </c>
      <c r="BA2171">
        <v>520.79999999999995</v>
      </c>
      <c r="BF2171" t="str">
        <f>T("D268792")</f>
        <v>D268792</v>
      </c>
      <c r="BG2171" t="str">
        <f>T("로판 웹소설 &gt; 서양풍 로판")</f>
        <v>로판 웹소설 &gt; 서양풍 로판</v>
      </c>
    </row>
    <row r="2172" spans="1:59">
      <c r="A2172" t="s">
        <v>60</v>
      </c>
      <c r="B2172" s="1">
        <v>46131</v>
      </c>
      <c r="C2172">
        <v>2378081114</v>
      </c>
      <c r="D2172">
        <v>2378081176</v>
      </c>
      <c r="E2172" t="str">
        <f>T("던전이 자꾸 이상한 짓을 시켜요 63화")</f>
        <v>던전이 자꾸 이상한 짓을 시켜요 63화</v>
      </c>
      <c r="F2172">
        <v>63</v>
      </c>
      <c r="G2172" t="str">
        <f>T("필밤")</f>
        <v>필밤</v>
      </c>
      <c r="J2172" t="str">
        <f>T("시계토끼")</f>
        <v>시계토끼</v>
      </c>
      <c r="K2172" t="str">
        <f>T("던전이 자꾸 이상한 짓을 시켜요")</f>
        <v>던전이 자꾸 이상한 짓을 시켜요</v>
      </c>
      <c r="L2172">
        <v>100</v>
      </c>
      <c r="M2172">
        <v>800</v>
      </c>
      <c r="N2172">
        <v>8</v>
      </c>
      <c r="O2172">
        <v>0</v>
      </c>
      <c r="P2172">
        <v>0</v>
      </c>
      <c r="Q2172">
        <v>0</v>
      </c>
      <c r="R2172">
        <v>2</v>
      </c>
      <c r="S2172">
        <v>0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800</v>
      </c>
      <c r="AJ2172">
        <v>10</v>
      </c>
      <c r="AK2172">
        <v>0</v>
      </c>
      <c r="AL2172">
        <v>0</v>
      </c>
      <c r="AM2172">
        <v>600</v>
      </c>
      <c r="AN2172">
        <v>0</v>
      </c>
      <c r="AO2172">
        <v>240</v>
      </c>
      <c r="AP2172">
        <v>-72</v>
      </c>
      <c r="AQ2172">
        <v>0</v>
      </c>
      <c r="AR2172">
        <v>240</v>
      </c>
      <c r="AS2172">
        <v>-72</v>
      </c>
      <c r="AT2172">
        <v>0</v>
      </c>
      <c r="AV2172">
        <v>0</v>
      </c>
      <c r="AW2172">
        <v>0</v>
      </c>
      <c r="AY2172">
        <v>0</v>
      </c>
      <c r="AZ2172">
        <v>0</v>
      </c>
      <c r="BA2172">
        <v>460.8</v>
      </c>
      <c r="BF2172" t="str">
        <f>T("D268793")</f>
        <v>D268793</v>
      </c>
      <c r="BG2172" t="str">
        <f>T("로판 웹소설 &gt; 서양풍 로판")</f>
        <v>로판 웹소설 &gt; 서양풍 로판</v>
      </c>
    </row>
    <row r="2173" spans="1:59">
      <c r="A2173" t="s">
        <v>60</v>
      </c>
      <c r="B2173" s="1">
        <v>46131</v>
      </c>
      <c r="C2173">
        <v>2378081114</v>
      </c>
      <c r="D2173">
        <v>2378081177</v>
      </c>
      <c r="E2173" t="str">
        <f>T("던전이 자꾸 이상한 짓을 시켜요 64화")</f>
        <v>던전이 자꾸 이상한 짓을 시켜요 64화</v>
      </c>
      <c r="F2173">
        <v>64</v>
      </c>
      <c r="G2173" t="str">
        <f>T("필밤")</f>
        <v>필밤</v>
      </c>
      <c r="J2173" t="str">
        <f>T("시계토끼")</f>
        <v>시계토끼</v>
      </c>
      <c r="K2173" t="str">
        <f>T("던전이 자꾸 이상한 짓을 시켜요")</f>
        <v>던전이 자꾸 이상한 짓을 시켜요</v>
      </c>
      <c r="L2173">
        <v>100</v>
      </c>
      <c r="M2173">
        <v>800</v>
      </c>
      <c r="N2173">
        <v>8</v>
      </c>
      <c r="O2173">
        <v>0</v>
      </c>
      <c r="P2173">
        <v>0</v>
      </c>
      <c r="Q2173">
        <v>0</v>
      </c>
      <c r="R2173">
        <v>2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800</v>
      </c>
      <c r="AJ2173">
        <v>10</v>
      </c>
      <c r="AK2173">
        <v>0</v>
      </c>
      <c r="AL2173">
        <v>0</v>
      </c>
      <c r="AM2173">
        <v>600</v>
      </c>
      <c r="AN2173">
        <v>0</v>
      </c>
      <c r="AO2173">
        <v>240</v>
      </c>
      <c r="AP2173">
        <v>-72</v>
      </c>
      <c r="AQ2173">
        <v>0</v>
      </c>
      <c r="AR2173">
        <v>240</v>
      </c>
      <c r="AS2173">
        <v>-72</v>
      </c>
      <c r="AT2173">
        <v>0</v>
      </c>
      <c r="AV2173">
        <v>0</v>
      </c>
      <c r="AW2173">
        <v>0</v>
      </c>
      <c r="AY2173">
        <v>0</v>
      </c>
      <c r="AZ2173">
        <v>0</v>
      </c>
      <c r="BA2173">
        <v>460.8</v>
      </c>
      <c r="BF2173" t="str">
        <f>T("D268794")</f>
        <v>D268794</v>
      </c>
      <c r="BG2173" t="str">
        <f>T("로판 웹소설 &gt; 서양풍 로판")</f>
        <v>로판 웹소설 &gt; 서양풍 로판</v>
      </c>
    </row>
    <row r="2174" spans="1:59">
      <c r="A2174" t="s">
        <v>60</v>
      </c>
      <c r="B2174" s="1">
        <v>46131</v>
      </c>
      <c r="C2174">
        <v>2378081114</v>
      </c>
      <c r="D2174">
        <v>2378081179</v>
      </c>
      <c r="E2174" t="str">
        <f>T("던전이 자꾸 이상한 짓을 시켜요 66화")</f>
        <v>던전이 자꾸 이상한 짓을 시켜요 66화</v>
      </c>
      <c r="F2174">
        <v>66</v>
      </c>
      <c r="G2174" t="str">
        <f>T("필밤")</f>
        <v>필밤</v>
      </c>
      <c r="J2174" t="str">
        <f>T("시계토끼")</f>
        <v>시계토끼</v>
      </c>
      <c r="K2174" t="str">
        <f>T("던전이 자꾸 이상한 짓을 시켜요")</f>
        <v>던전이 자꾸 이상한 짓을 시켜요</v>
      </c>
      <c r="L2174">
        <v>100</v>
      </c>
      <c r="M2174">
        <v>800</v>
      </c>
      <c r="N2174">
        <v>8</v>
      </c>
      <c r="O2174">
        <v>0</v>
      </c>
      <c r="P2174">
        <v>0</v>
      </c>
      <c r="Q2174">
        <v>0</v>
      </c>
      <c r="R2174">
        <v>2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800</v>
      </c>
      <c r="AJ2174">
        <v>10</v>
      </c>
      <c r="AK2174">
        <v>0</v>
      </c>
      <c r="AL2174">
        <v>0</v>
      </c>
      <c r="AM2174">
        <v>700</v>
      </c>
      <c r="AN2174">
        <v>0</v>
      </c>
      <c r="AO2174">
        <v>120</v>
      </c>
      <c r="AP2174">
        <v>-36</v>
      </c>
      <c r="AQ2174">
        <v>0</v>
      </c>
      <c r="AR2174">
        <v>120</v>
      </c>
      <c r="AS2174">
        <v>-36</v>
      </c>
      <c r="AT2174">
        <v>0</v>
      </c>
      <c r="AV2174">
        <v>0</v>
      </c>
      <c r="AW2174">
        <v>0</v>
      </c>
      <c r="AY2174">
        <v>0</v>
      </c>
      <c r="AZ2174">
        <v>0</v>
      </c>
      <c r="BA2174">
        <v>470.4</v>
      </c>
      <c r="BF2174" t="str">
        <f>T("D268796")</f>
        <v>D268796</v>
      </c>
      <c r="BG2174" t="str">
        <f>T("로판 웹소설 &gt; 서양풍 로판")</f>
        <v>로판 웹소설 &gt; 서양풍 로판</v>
      </c>
    </row>
    <row r="2175" spans="1:59">
      <c r="A2175" t="s">
        <v>60</v>
      </c>
      <c r="B2175" s="1">
        <v>46131</v>
      </c>
      <c r="C2175">
        <v>2378081114</v>
      </c>
      <c r="D2175">
        <v>2378081224</v>
      </c>
      <c r="E2175" t="str">
        <f>T("던전이 자꾸 이상한 짓을 시켜요 83화")</f>
        <v>던전이 자꾸 이상한 짓을 시켜요 83화</v>
      </c>
      <c r="F2175">
        <v>83</v>
      </c>
      <c r="G2175" t="str">
        <f>T("필밤")</f>
        <v>필밤</v>
      </c>
      <c r="J2175" t="str">
        <f>T("시계토끼")</f>
        <v>시계토끼</v>
      </c>
      <c r="K2175" t="str">
        <f>T("던전이 자꾸 이상한 짓을 시켜요")</f>
        <v>던전이 자꾸 이상한 짓을 시켜요</v>
      </c>
      <c r="L2175">
        <v>100</v>
      </c>
      <c r="M2175">
        <v>600</v>
      </c>
      <c r="N2175">
        <v>6</v>
      </c>
      <c r="O2175">
        <v>0</v>
      </c>
      <c r="P2175">
        <v>0</v>
      </c>
      <c r="Q2175">
        <v>0</v>
      </c>
      <c r="R2175">
        <v>3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600</v>
      </c>
      <c r="AJ2175">
        <v>9</v>
      </c>
      <c r="AK2175">
        <v>0</v>
      </c>
      <c r="AL2175">
        <v>0</v>
      </c>
      <c r="AM2175">
        <v>400</v>
      </c>
      <c r="AN2175">
        <v>0</v>
      </c>
      <c r="AO2175">
        <v>240</v>
      </c>
      <c r="AP2175">
        <v>-48</v>
      </c>
      <c r="AQ2175">
        <v>0</v>
      </c>
      <c r="AR2175">
        <v>120</v>
      </c>
      <c r="AS2175">
        <v>-36</v>
      </c>
      <c r="AT2175">
        <v>0</v>
      </c>
      <c r="AU2175">
        <v>120</v>
      </c>
      <c r="AV2175">
        <v>-12</v>
      </c>
      <c r="AW2175">
        <v>0</v>
      </c>
      <c r="AY2175">
        <v>0</v>
      </c>
      <c r="AZ2175">
        <v>0</v>
      </c>
      <c r="BA2175">
        <v>355.2</v>
      </c>
      <c r="BF2175" t="str">
        <f>T("D268813")</f>
        <v>D268813</v>
      </c>
      <c r="BG2175" t="str">
        <f>T("로판 웹소설 &gt; 서양풍 로판")</f>
        <v>로판 웹소설 &gt; 서양풍 로판</v>
      </c>
    </row>
    <row r="2176" spans="1:59">
      <c r="A2176" t="s">
        <v>60</v>
      </c>
      <c r="B2176" s="1">
        <v>46131</v>
      </c>
      <c r="C2176">
        <v>2378081114</v>
      </c>
      <c r="D2176">
        <v>2378081180</v>
      </c>
      <c r="E2176" t="str">
        <f>T("던전이 자꾸 이상한 짓을 시켜요 67화")</f>
        <v>던전이 자꾸 이상한 짓을 시켜요 67화</v>
      </c>
      <c r="F2176">
        <v>67</v>
      </c>
      <c r="G2176" t="str">
        <f>T("필밤")</f>
        <v>필밤</v>
      </c>
      <c r="J2176" t="str">
        <f>T("시계토끼")</f>
        <v>시계토끼</v>
      </c>
      <c r="K2176" t="str">
        <f>T("던전이 자꾸 이상한 짓을 시켜요")</f>
        <v>던전이 자꾸 이상한 짓을 시켜요</v>
      </c>
      <c r="L2176">
        <v>100</v>
      </c>
      <c r="M2176">
        <v>700</v>
      </c>
      <c r="N2176">
        <v>7</v>
      </c>
      <c r="O2176">
        <v>0</v>
      </c>
      <c r="P2176">
        <v>0</v>
      </c>
      <c r="Q2176">
        <v>0</v>
      </c>
      <c r="R2176">
        <v>2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700</v>
      </c>
      <c r="AJ2176">
        <v>9</v>
      </c>
      <c r="AK2176">
        <v>0</v>
      </c>
      <c r="AL2176">
        <v>0</v>
      </c>
      <c r="AM2176">
        <v>700</v>
      </c>
      <c r="AN2176">
        <v>0</v>
      </c>
      <c r="AO2176">
        <v>0</v>
      </c>
      <c r="AP2176">
        <v>0</v>
      </c>
      <c r="AQ2176">
        <v>0</v>
      </c>
      <c r="AS2176">
        <v>0</v>
      </c>
      <c r="AT2176">
        <v>0</v>
      </c>
      <c r="AV2176">
        <v>0</v>
      </c>
      <c r="AW2176">
        <v>0</v>
      </c>
      <c r="AY2176">
        <v>0</v>
      </c>
      <c r="AZ2176">
        <v>0</v>
      </c>
      <c r="BA2176">
        <v>420</v>
      </c>
      <c r="BF2176" t="str">
        <f>T("D268797")</f>
        <v>D268797</v>
      </c>
      <c r="BG2176" t="str">
        <f>T("로판 웹소설 &gt; 서양풍 로판")</f>
        <v>로판 웹소설 &gt; 서양풍 로판</v>
      </c>
    </row>
    <row r="2177" spans="1:59">
      <c r="A2177" t="s">
        <v>60</v>
      </c>
      <c r="B2177" s="1">
        <v>46129</v>
      </c>
      <c r="C2177">
        <v>2378009411</v>
      </c>
      <c r="D2177">
        <v>2378009512</v>
      </c>
      <c r="E2177" t="str">
        <f>T("도원향 49화")</f>
        <v>도원향 49화</v>
      </c>
      <c r="F2177">
        <v>49</v>
      </c>
      <c r="G2177" t="str">
        <f>T("Magoing")</f>
        <v>Magoing</v>
      </c>
      <c r="J2177" t="str">
        <f>T("시계토끼")</f>
        <v>시계토끼</v>
      </c>
      <c r="K2177" t="str">
        <f>T("도원향")</f>
        <v>도원향</v>
      </c>
      <c r="L2177">
        <v>100</v>
      </c>
      <c r="M2177">
        <v>100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100</v>
      </c>
      <c r="AJ2177">
        <v>1</v>
      </c>
      <c r="AK2177">
        <v>0</v>
      </c>
      <c r="AL2177">
        <v>0</v>
      </c>
      <c r="AM2177">
        <v>100</v>
      </c>
      <c r="AN2177">
        <v>0</v>
      </c>
      <c r="AO2177">
        <v>0</v>
      </c>
      <c r="AP2177">
        <v>0</v>
      </c>
      <c r="AQ2177">
        <v>0</v>
      </c>
      <c r="AS2177">
        <v>0</v>
      </c>
      <c r="AT2177">
        <v>0</v>
      </c>
      <c r="AV2177">
        <v>0</v>
      </c>
      <c r="AW2177">
        <v>0</v>
      </c>
      <c r="AY2177">
        <v>0</v>
      </c>
      <c r="AZ2177">
        <v>0</v>
      </c>
      <c r="BA2177">
        <v>70</v>
      </c>
      <c r="BC2177" t="str">
        <f>T("0000000000000")</f>
        <v>0000000000000</v>
      </c>
      <c r="BE2177" t="str">
        <f>T("9791164091218")</f>
        <v>9791164091218</v>
      </c>
      <c r="BF2177" t="str">
        <f>T("E448051")</f>
        <v>E448051</v>
      </c>
      <c r="BG2177" t="str">
        <f>T("로맨스 웹소설 &gt; 현대물")</f>
        <v>로맨스 웹소설 &gt; 현대물</v>
      </c>
    </row>
    <row r="2178" spans="1:59">
      <c r="A2178" t="s">
        <v>60</v>
      </c>
      <c r="B2178" s="1">
        <v>46129</v>
      </c>
      <c r="C2178">
        <v>2378009411</v>
      </c>
      <c r="D2178">
        <v>2378009642</v>
      </c>
      <c r="E2178" t="str">
        <f>T("도원향 50화")</f>
        <v>도원향 50화</v>
      </c>
      <c r="F2178">
        <v>50</v>
      </c>
      <c r="G2178" t="str">
        <f>T("Magoing")</f>
        <v>Magoing</v>
      </c>
      <c r="J2178" t="str">
        <f>T("시계토끼")</f>
        <v>시계토끼</v>
      </c>
      <c r="K2178" t="str">
        <f>T("도원향")</f>
        <v>도원향</v>
      </c>
      <c r="L2178">
        <v>100</v>
      </c>
      <c r="M2178">
        <v>100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100</v>
      </c>
      <c r="AJ2178">
        <v>1</v>
      </c>
      <c r="AK2178">
        <v>0</v>
      </c>
      <c r="AL2178">
        <v>0</v>
      </c>
      <c r="AM2178">
        <v>100</v>
      </c>
      <c r="AN2178">
        <v>0</v>
      </c>
      <c r="AO2178">
        <v>0</v>
      </c>
      <c r="AP2178">
        <v>0</v>
      </c>
      <c r="AQ2178">
        <v>0</v>
      </c>
      <c r="AS2178">
        <v>0</v>
      </c>
      <c r="AT2178">
        <v>0</v>
      </c>
      <c r="AV2178">
        <v>0</v>
      </c>
      <c r="AW2178">
        <v>0</v>
      </c>
      <c r="AY2178">
        <v>0</v>
      </c>
      <c r="AZ2178">
        <v>0</v>
      </c>
      <c r="BA2178">
        <v>70</v>
      </c>
      <c r="BC2178" t="str">
        <f>T("0000000000000")</f>
        <v>0000000000000</v>
      </c>
      <c r="BE2178" t="str">
        <f>T("9791164091218")</f>
        <v>9791164091218</v>
      </c>
      <c r="BF2178" t="str">
        <f>T("E449140")</f>
        <v>E449140</v>
      </c>
      <c r="BG2178" t="str">
        <f>T("로맨스 웹소설 &gt; 현대물")</f>
        <v>로맨스 웹소설 &gt; 현대물</v>
      </c>
    </row>
    <row r="2179" spans="1:59">
      <c r="A2179" t="s">
        <v>60</v>
      </c>
      <c r="B2179" s="1">
        <v>46129</v>
      </c>
      <c r="C2179">
        <v>2378009411</v>
      </c>
      <c r="D2179">
        <v>2378009643</v>
      </c>
      <c r="E2179" t="str">
        <f>T("도원향 51화")</f>
        <v>도원향 51화</v>
      </c>
      <c r="F2179">
        <v>51</v>
      </c>
      <c r="G2179" t="str">
        <f>T("Magoing")</f>
        <v>Magoing</v>
      </c>
      <c r="J2179" t="str">
        <f>T("시계토끼")</f>
        <v>시계토끼</v>
      </c>
      <c r="K2179" t="str">
        <f>T("도원향")</f>
        <v>도원향</v>
      </c>
      <c r="L2179">
        <v>100</v>
      </c>
      <c r="M2179">
        <v>100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100</v>
      </c>
      <c r="AJ2179">
        <v>1</v>
      </c>
      <c r="AK2179">
        <v>0</v>
      </c>
      <c r="AL2179">
        <v>0</v>
      </c>
      <c r="AM2179">
        <v>100</v>
      </c>
      <c r="AN2179">
        <v>0</v>
      </c>
      <c r="AO2179">
        <v>0</v>
      </c>
      <c r="AP2179">
        <v>0</v>
      </c>
      <c r="AQ2179">
        <v>0</v>
      </c>
      <c r="AS2179">
        <v>0</v>
      </c>
      <c r="AT2179">
        <v>0</v>
      </c>
      <c r="AV2179">
        <v>0</v>
      </c>
      <c r="AW2179">
        <v>0</v>
      </c>
      <c r="AY2179">
        <v>0</v>
      </c>
      <c r="AZ2179">
        <v>0</v>
      </c>
      <c r="BA2179">
        <v>70</v>
      </c>
      <c r="BC2179" t="str">
        <f>T("0000000000000")</f>
        <v>0000000000000</v>
      </c>
      <c r="BE2179" t="str">
        <f>T("9791164091218")</f>
        <v>9791164091218</v>
      </c>
      <c r="BF2179" t="str">
        <f>T("E449141")</f>
        <v>E449141</v>
      </c>
      <c r="BG2179" t="str">
        <f>T("로맨스 웹소설 &gt; 현대물")</f>
        <v>로맨스 웹소설 &gt; 현대물</v>
      </c>
    </row>
    <row r="2180" spans="1:59">
      <c r="A2180" t="s">
        <v>60</v>
      </c>
      <c r="B2180" s="1">
        <v>46129</v>
      </c>
      <c r="C2180">
        <v>2378009411</v>
      </c>
      <c r="D2180">
        <v>2378009644</v>
      </c>
      <c r="E2180" t="str">
        <f>T("도원향 52화")</f>
        <v>도원향 52화</v>
      </c>
      <c r="F2180">
        <v>52</v>
      </c>
      <c r="G2180" t="str">
        <f>T("Magoing")</f>
        <v>Magoing</v>
      </c>
      <c r="J2180" t="str">
        <f>T("시계토끼")</f>
        <v>시계토끼</v>
      </c>
      <c r="K2180" t="str">
        <f>T("도원향")</f>
        <v>도원향</v>
      </c>
      <c r="L2180">
        <v>100</v>
      </c>
      <c r="M2180">
        <v>100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100</v>
      </c>
      <c r="AJ2180">
        <v>1</v>
      </c>
      <c r="AK2180">
        <v>0</v>
      </c>
      <c r="AL2180">
        <v>0</v>
      </c>
      <c r="AM2180">
        <v>100</v>
      </c>
      <c r="AN2180">
        <v>0</v>
      </c>
      <c r="AO2180">
        <v>0</v>
      </c>
      <c r="AP2180">
        <v>0</v>
      </c>
      <c r="AQ2180">
        <v>0</v>
      </c>
      <c r="AS2180">
        <v>0</v>
      </c>
      <c r="AT2180">
        <v>0</v>
      </c>
      <c r="AV2180">
        <v>0</v>
      </c>
      <c r="AW2180">
        <v>0</v>
      </c>
      <c r="AY2180">
        <v>0</v>
      </c>
      <c r="AZ2180">
        <v>0</v>
      </c>
      <c r="BA2180">
        <v>70</v>
      </c>
      <c r="BC2180" t="str">
        <f>T("0000000000000")</f>
        <v>0000000000000</v>
      </c>
      <c r="BE2180" t="str">
        <f>T("9791164091218")</f>
        <v>9791164091218</v>
      </c>
      <c r="BF2180" t="str">
        <f>T("E449142")</f>
        <v>E449142</v>
      </c>
      <c r="BG2180" t="str">
        <f>T("로맨스 웹소설 &gt; 현대물")</f>
        <v>로맨스 웹소설 &gt; 현대물</v>
      </c>
    </row>
    <row r="2181" spans="1:59">
      <c r="A2181" t="s">
        <v>60</v>
      </c>
      <c r="B2181" s="1">
        <v>46129</v>
      </c>
      <c r="C2181">
        <v>2378009411</v>
      </c>
      <c r="D2181">
        <v>2378009702</v>
      </c>
      <c r="E2181" t="str">
        <f>T("도원향 53화")</f>
        <v>도원향 53화</v>
      </c>
      <c r="F2181">
        <v>53</v>
      </c>
      <c r="G2181" t="str">
        <f>T("Magoing")</f>
        <v>Magoing</v>
      </c>
      <c r="J2181" t="str">
        <f>T("시계토끼")</f>
        <v>시계토끼</v>
      </c>
      <c r="K2181" t="str">
        <f>T("도원향")</f>
        <v>도원향</v>
      </c>
      <c r="L2181">
        <v>100</v>
      </c>
      <c r="M2181">
        <v>100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100</v>
      </c>
      <c r="AJ2181">
        <v>1</v>
      </c>
      <c r="AK2181">
        <v>0</v>
      </c>
      <c r="AL2181">
        <v>0</v>
      </c>
      <c r="AM2181">
        <v>100</v>
      </c>
      <c r="AN2181">
        <v>0</v>
      </c>
      <c r="AO2181">
        <v>0</v>
      </c>
      <c r="AP2181">
        <v>0</v>
      </c>
      <c r="AQ2181">
        <v>0</v>
      </c>
      <c r="AS2181">
        <v>0</v>
      </c>
      <c r="AT2181">
        <v>0</v>
      </c>
      <c r="AV2181">
        <v>0</v>
      </c>
      <c r="AW2181">
        <v>0</v>
      </c>
      <c r="AY2181">
        <v>0</v>
      </c>
      <c r="AZ2181">
        <v>0</v>
      </c>
      <c r="BA2181">
        <v>70</v>
      </c>
      <c r="BC2181" t="str">
        <f>T("0000000000000")</f>
        <v>0000000000000</v>
      </c>
      <c r="BE2181" t="str">
        <f>T("9791164091218")</f>
        <v>9791164091218</v>
      </c>
      <c r="BF2181" t="str">
        <f>T("E459635")</f>
        <v>E459635</v>
      </c>
      <c r="BG2181" t="str">
        <f>T("로맨스 웹소설 &gt; 현대물")</f>
        <v>로맨스 웹소설 &gt; 현대물</v>
      </c>
    </row>
    <row r="2182" spans="1:59">
      <c r="A2182" t="s">
        <v>60</v>
      </c>
      <c r="B2182" s="1">
        <v>46129</v>
      </c>
      <c r="C2182">
        <v>2378009411</v>
      </c>
      <c r="D2182">
        <v>2378009703</v>
      </c>
      <c r="E2182" t="str">
        <f>T("도원향 54화")</f>
        <v>도원향 54화</v>
      </c>
      <c r="F2182">
        <v>54</v>
      </c>
      <c r="G2182" t="str">
        <f>T("Magoing")</f>
        <v>Magoing</v>
      </c>
      <c r="J2182" t="str">
        <f>T("시계토끼")</f>
        <v>시계토끼</v>
      </c>
      <c r="K2182" t="str">
        <f>T("도원향")</f>
        <v>도원향</v>
      </c>
      <c r="L2182">
        <v>100</v>
      </c>
      <c r="M2182">
        <v>100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100</v>
      </c>
      <c r="AJ2182">
        <v>1</v>
      </c>
      <c r="AK2182">
        <v>0</v>
      </c>
      <c r="AL2182">
        <v>0</v>
      </c>
      <c r="AM2182">
        <v>100</v>
      </c>
      <c r="AN2182">
        <v>0</v>
      </c>
      <c r="AO2182">
        <v>0</v>
      </c>
      <c r="AP2182">
        <v>0</v>
      </c>
      <c r="AQ2182">
        <v>0</v>
      </c>
      <c r="AS2182">
        <v>0</v>
      </c>
      <c r="AT2182">
        <v>0</v>
      </c>
      <c r="AV2182">
        <v>0</v>
      </c>
      <c r="AW2182">
        <v>0</v>
      </c>
      <c r="AY2182">
        <v>0</v>
      </c>
      <c r="AZ2182">
        <v>0</v>
      </c>
      <c r="BA2182">
        <v>70</v>
      </c>
      <c r="BC2182" t="str">
        <f>T("0000000000000")</f>
        <v>0000000000000</v>
      </c>
      <c r="BE2182" t="str">
        <f>T("9791164091218")</f>
        <v>9791164091218</v>
      </c>
      <c r="BF2182" t="str">
        <f>T("E459636")</f>
        <v>E459636</v>
      </c>
      <c r="BG2182" t="str">
        <f>T("로맨스 웹소설 &gt; 현대물")</f>
        <v>로맨스 웹소설 &gt; 현대물</v>
      </c>
    </row>
    <row r="2183" spans="1:59">
      <c r="A2183" t="s">
        <v>60</v>
      </c>
      <c r="B2183" s="1">
        <v>46131</v>
      </c>
      <c r="C2183">
        <v>2378009411</v>
      </c>
      <c r="D2183">
        <v>2378009411</v>
      </c>
      <c r="E2183" t="str">
        <f>T("도원향 1화")</f>
        <v>도원향 1화</v>
      </c>
      <c r="F2183">
        <v>1</v>
      </c>
      <c r="G2183" t="str">
        <f>T("Magoing")</f>
        <v>Magoing</v>
      </c>
      <c r="J2183" t="str">
        <f>T("시계토끼")</f>
        <v>시계토끼</v>
      </c>
      <c r="K2183" t="str">
        <f>T("도원향")</f>
        <v>도원향</v>
      </c>
      <c r="L2183">
        <v>0</v>
      </c>
      <c r="M2183">
        <v>0</v>
      </c>
      <c r="N2183">
        <v>0</v>
      </c>
      <c r="O2183">
        <v>1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1</v>
      </c>
      <c r="AK2183">
        <v>0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S2183">
        <v>0</v>
      </c>
      <c r="AT2183">
        <v>0</v>
      </c>
      <c r="AV2183">
        <v>0</v>
      </c>
      <c r="AW2183">
        <v>0</v>
      </c>
      <c r="AY2183">
        <v>0</v>
      </c>
      <c r="AZ2183">
        <v>0</v>
      </c>
      <c r="BA2183">
        <v>0</v>
      </c>
      <c r="BC2183" t="str">
        <f>T("0000000000000")</f>
        <v>0000000000000</v>
      </c>
      <c r="BE2183" t="str">
        <f>T("9791164091218")</f>
        <v>9791164091218</v>
      </c>
      <c r="BF2183" t="str">
        <f>T("E447623")</f>
        <v>E447623</v>
      </c>
      <c r="BG2183" t="str">
        <f>T("로맨스 웹소설 &gt; 현대물")</f>
        <v>로맨스 웹소설 &gt; 현대물</v>
      </c>
    </row>
    <row r="2184" spans="1:59">
      <c r="A2184" t="s">
        <v>60</v>
      </c>
      <c r="B2184" s="1">
        <v>46131</v>
      </c>
      <c r="C2184">
        <v>2378009411</v>
      </c>
      <c r="D2184">
        <v>2378009430</v>
      </c>
      <c r="E2184" t="str">
        <f>T("도원향 2화")</f>
        <v>도원향 2화</v>
      </c>
      <c r="F2184">
        <v>2</v>
      </c>
      <c r="G2184" t="str">
        <f>T("Magoing")</f>
        <v>Magoing</v>
      </c>
      <c r="J2184" t="str">
        <f>T("시계토끼")</f>
        <v>시계토끼</v>
      </c>
      <c r="K2184" t="str">
        <f>T("도원향")</f>
        <v>도원향</v>
      </c>
      <c r="L2184">
        <v>0</v>
      </c>
      <c r="M2184">
        <v>0</v>
      </c>
      <c r="N2184">
        <v>0</v>
      </c>
      <c r="O2184">
        <v>1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1</v>
      </c>
      <c r="AK2184">
        <v>0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S2184">
        <v>0</v>
      </c>
      <c r="AT2184">
        <v>0</v>
      </c>
      <c r="AV2184">
        <v>0</v>
      </c>
      <c r="AW2184">
        <v>0</v>
      </c>
      <c r="AY2184">
        <v>0</v>
      </c>
      <c r="AZ2184">
        <v>0</v>
      </c>
      <c r="BA2184">
        <v>0</v>
      </c>
      <c r="BC2184" t="str">
        <f>T("0000000000000")</f>
        <v>0000000000000</v>
      </c>
      <c r="BE2184" t="str">
        <f>T("9791164091218")</f>
        <v>9791164091218</v>
      </c>
      <c r="BF2184" t="str">
        <f>T("E447624")</f>
        <v>E447624</v>
      </c>
      <c r="BG2184" t="str">
        <f>T("로맨스 웹소설 &gt; 현대물")</f>
        <v>로맨스 웹소설 &gt; 현대물</v>
      </c>
    </row>
    <row r="2185" spans="1:59">
      <c r="A2185" t="s">
        <v>60</v>
      </c>
      <c r="B2185" s="1">
        <v>46131</v>
      </c>
      <c r="C2185">
        <v>2378009411</v>
      </c>
      <c r="D2185">
        <v>2378009431</v>
      </c>
      <c r="E2185" t="str">
        <f>T("도원향 3화")</f>
        <v>도원향 3화</v>
      </c>
      <c r="F2185">
        <v>3</v>
      </c>
      <c r="G2185" t="str">
        <f>T("Magoing")</f>
        <v>Magoing</v>
      </c>
      <c r="J2185" t="str">
        <f>T("시계토끼")</f>
        <v>시계토끼</v>
      </c>
      <c r="K2185" t="str">
        <f>T("도원향")</f>
        <v>도원향</v>
      </c>
      <c r="L2185">
        <v>0</v>
      </c>
      <c r="M2185">
        <v>0</v>
      </c>
      <c r="N2185">
        <v>0</v>
      </c>
      <c r="O2185">
        <v>1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1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S2185">
        <v>0</v>
      </c>
      <c r="AT2185">
        <v>0</v>
      </c>
      <c r="AV2185">
        <v>0</v>
      </c>
      <c r="AW2185">
        <v>0</v>
      </c>
      <c r="AY2185">
        <v>0</v>
      </c>
      <c r="AZ2185">
        <v>0</v>
      </c>
      <c r="BA2185">
        <v>0</v>
      </c>
      <c r="BC2185" t="str">
        <f>T("0000000000000")</f>
        <v>0000000000000</v>
      </c>
      <c r="BE2185" t="str">
        <f>T("9791164091218")</f>
        <v>9791164091218</v>
      </c>
      <c r="BF2185" t="str">
        <f>T("E447625")</f>
        <v>E447625</v>
      </c>
      <c r="BG2185" t="str">
        <f>T("로맨스 웹소설 &gt; 현대물")</f>
        <v>로맨스 웹소설 &gt; 현대물</v>
      </c>
    </row>
    <row r="2186" spans="1:59">
      <c r="A2186" t="s">
        <v>60</v>
      </c>
      <c r="B2186" s="1">
        <v>46131</v>
      </c>
      <c r="C2186">
        <v>2378009411</v>
      </c>
      <c r="D2186">
        <v>2378009432</v>
      </c>
      <c r="E2186" t="str">
        <f>T("도원향 4화")</f>
        <v>도원향 4화</v>
      </c>
      <c r="F2186">
        <v>4</v>
      </c>
      <c r="G2186" t="str">
        <f>T("Magoing")</f>
        <v>Magoing</v>
      </c>
      <c r="J2186" t="str">
        <f>T("시계토끼")</f>
        <v>시계토끼</v>
      </c>
      <c r="K2186" t="str">
        <f>T("도원향")</f>
        <v>도원향</v>
      </c>
      <c r="L2186">
        <v>0</v>
      </c>
      <c r="M2186">
        <v>0</v>
      </c>
      <c r="N2186">
        <v>0</v>
      </c>
      <c r="O2186">
        <v>1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1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S2186">
        <v>0</v>
      </c>
      <c r="AT2186">
        <v>0</v>
      </c>
      <c r="AV2186">
        <v>0</v>
      </c>
      <c r="AW2186">
        <v>0</v>
      </c>
      <c r="AY2186">
        <v>0</v>
      </c>
      <c r="AZ2186">
        <v>0</v>
      </c>
      <c r="BA2186">
        <v>0</v>
      </c>
      <c r="BC2186" t="str">
        <f>T("0000000000000")</f>
        <v>0000000000000</v>
      </c>
      <c r="BE2186" t="str">
        <f>T("9791164091218")</f>
        <v>9791164091218</v>
      </c>
      <c r="BF2186" t="str">
        <f>T("E447626")</f>
        <v>E447626</v>
      </c>
      <c r="BG2186" t="str">
        <f>T("로맨스 웹소설 &gt; 현대물")</f>
        <v>로맨스 웹소설 &gt; 현대물</v>
      </c>
    </row>
    <row r="2187" spans="1:59">
      <c r="A2187" t="s">
        <v>60</v>
      </c>
      <c r="B2187" s="1">
        <v>46131</v>
      </c>
      <c r="C2187">
        <v>2378009411</v>
      </c>
      <c r="D2187">
        <v>2378009433</v>
      </c>
      <c r="E2187" t="str">
        <f>T("도원향 5화")</f>
        <v>도원향 5화</v>
      </c>
      <c r="F2187">
        <v>5</v>
      </c>
      <c r="G2187" t="str">
        <f>T("Magoing")</f>
        <v>Magoing</v>
      </c>
      <c r="J2187" t="str">
        <f>T("시계토끼")</f>
        <v>시계토끼</v>
      </c>
      <c r="K2187" t="str">
        <f>T("도원향")</f>
        <v>도원향</v>
      </c>
      <c r="L2187">
        <v>0</v>
      </c>
      <c r="M2187">
        <v>0</v>
      </c>
      <c r="N2187">
        <v>0</v>
      </c>
      <c r="O2187">
        <v>1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1</v>
      </c>
      <c r="AK2187">
        <v>0</v>
      </c>
      <c r="AL2187">
        <v>0</v>
      </c>
      <c r="AM2187">
        <v>0</v>
      </c>
      <c r="AN2187">
        <v>0</v>
      </c>
      <c r="AO2187">
        <v>0</v>
      </c>
      <c r="AP2187">
        <v>0</v>
      </c>
      <c r="AQ2187">
        <v>0</v>
      </c>
      <c r="AS2187">
        <v>0</v>
      </c>
      <c r="AT2187">
        <v>0</v>
      </c>
      <c r="AV2187">
        <v>0</v>
      </c>
      <c r="AW2187">
        <v>0</v>
      </c>
      <c r="AY2187">
        <v>0</v>
      </c>
      <c r="AZ2187">
        <v>0</v>
      </c>
      <c r="BA2187">
        <v>0</v>
      </c>
      <c r="BC2187" t="str">
        <f>T("0000000000000")</f>
        <v>0000000000000</v>
      </c>
      <c r="BE2187" t="str">
        <f>T("9791164091218")</f>
        <v>9791164091218</v>
      </c>
      <c r="BF2187" t="str">
        <f>T("E447627")</f>
        <v>E447627</v>
      </c>
      <c r="BG2187" t="str">
        <f>T("로맨스 웹소설 &gt; 현대물")</f>
        <v>로맨스 웹소설 &gt; 현대물</v>
      </c>
    </row>
    <row r="2188" spans="1:59">
      <c r="A2188" t="s">
        <v>60</v>
      </c>
      <c r="B2188" s="1">
        <v>46131</v>
      </c>
      <c r="C2188">
        <v>2378009411</v>
      </c>
      <c r="D2188">
        <v>2378009435</v>
      </c>
      <c r="E2188" t="str">
        <f>T("도원향 7화")</f>
        <v>도원향 7화</v>
      </c>
      <c r="F2188">
        <v>7</v>
      </c>
      <c r="G2188" t="str">
        <f>T("Magoing")</f>
        <v>Magoing</v>
      </c>
      <c r="J2188" t="str">
        <f>T("시계토끼")</f>
        <v>시계토끼</v>
      </c>
      <c r="K2188" t="str">
        <f>T("도원향")</f>
        <v>도원향</v>
      </c>
      <c r="L2188">
        <v>100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1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0</v>
      </c>
      <c r="AI2188">
        <v>0</v>
      </c>
      <c r="AJ2188">
        <v>1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S2188">
        <v>0</v>
      </c>
      <c r="AT2188">
        <v>0</v>
      </c>
      <c r="AV2188">
        <v>0</v>
      </c>
      <c r="AW2188">
        <v>0</v>
      </c>
      <c r="AY2188">
        <v>0</v>
      </c>
      <c r="AZ2188">
        <v>0</v>
      </c>
      <c r="BA2188">
        <v>0</v>
      </c>
      <c r="BC2188" t="str">
        <f>T("0000000000000")</f>
        <v>0000000000000</v>
      </c>
      <c r="BE2188" t="str">
        <f>T("9791164091218")</f>
        <v>9791164091218</v>
      </c>
      <c r="BF2188" t="str">
        <f>T("E447629")</f>
        <v>E447629</v>
      </c>
      <c r="BG2188" t="str">
        <f>T("로맨스 웹소설 &gt; 현대물")</f>
        <v>로맨스 웹소설 &gt; 현대물</v>
      </c>
    </row>
    <row r="2189" spans="1:59">
      <c r="A2189" t="s">
        <v>60</v>
      </c>
      <c r="B2189" s="1">
        <v>46131</v>
      </c>
      <c r="C2189">
        <v>2378009411</v>
      </c>
      <c r="D2189">
        <v>2378009436</v>
      </c>
      <c r="E2189" t="str">
        <f>T("도원향 8화")</f>
        <v>도원향 8화</v>
      </c>
      <c r="F2189">
        <v>8</v>
      </c>
      <c r="G2189" t="str">
        <f>T("Magoing")</f>
        <v>Magoing</v>
      </c>
      <c r="J2189" t="str">
        <f>T("시계토끼")</f>
        <v>시계토끼</v>
      </c>
      <c r="K2189" t="str">
        <f>T("도원향")</f>
        <v>도원향</v>
      </c>
      <c r="L2189">
        <v>100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1</v>
      </c>
      <c r="S2189">
        <v>0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0</v>
      </c>
      <c r="AH2189">
        <v>0</v>
      </c>
      <c r="AI2189">
        <v>0</v>
      </c>
      <c r="AJ2189">
        <v>1</v>
      </c>
      <c r="AK2189">
        <v>0</v>
      </c>
      <c r="AL2189">
        <v>0</v>
      </c>
      <c r="AM2189">
        <v>0</v>
      </c>
      <c r="AN2189">
        <v>0</v>
      </c>
      <c r="AO2189">
        <v>0</v>
      </c>
      <c r="AP2189">
        <v>0</v>
      </c>
      <c r="AQ2189">
        <v>0</v>
      </c>
      <c r="AS2189">
        <v>0</v>
      </c>
      <c r="AT2189">
        <v>0</v>
      </c>
      <c r="AV2189">
        <v>0</v>
      </c>
      <c r="AW2189">
        <v>0</v>
      </c>
      <c r="AY2189">
        <v>0</v>
      </c>
      <c r="AZ2189">
        <v>0</v>
      </c>
      <c r="BA2189">
        <v>0</v>
      </c>
      <c r="BC2189" t="str">
        <f>T("0000000000000")</f>
        <v>0000000000000</v>
      </c>
      <c r="BE2189" t="str">
        <f>T("9791164091218")</f>
        <v>9791164091218</v>
      </c>
      <c r="BF2189" t="str">
        <f>T("E447630")</f>
        <v>E447630</v>
      </c>
      <c r="BG2189" t="str">
        <f>T("로맨스 웹소설 &gt; 현대물")</f>
        <v>로맨스 웹소설 &gt; 현대물</v>
      </c>
    </row>
    <row r="2190" spans="1:59">
      <c r="A2190" t="s">
        <v>60</v>
      </c>
      <c r="B2190" s="1">
        <v>46131</v>
      </c>
      <c r="C2190">
        <v>2378009411</v>
      </c>
      <c r="D2190">
        <v>2378009437</v>
      </c>
      <c r="E2190" t="str">
        <f>T("도원향 9화")</f>
        <v>도원향 9화</v>
      </c>
      <c r="F2190">
        <v>9</v>
      </c>
      <c r="G2190" t="str">
        <f>T("Magoing")</f>
        <v>Magoing</v>
      </c>
      <c r="J2190" t="str">
        <f>T("시계토끼")</f>
        <v>시계토끼</v>
      </c>
      <c r="K2190" t="str">
        <f>T("도원향")</f>
        <v>도원향</v>
      </c>
      <c r="L2190">
        <v>100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1</v>
      </c>
      <c r="S2190">
        <v>0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1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S2190">
        <v>0</v>
      </c>
      <c r="AT2190">
        <v>0</v>
      </c>
      <c r="AV2190">
        <v>0</v>
      </c>
      <c r="AW2190">
        <v>0</v>
      </c>
      <c r="AY2190">
        <v>0</v>
      </c>
      <c r="AZ2190">
        <v>0</v>
      </c>
      <c r="BA2190">
        <v>0</v>
      </c>
      <c r="BC2190" t="str">
        <f>T("0000000000000")</f>
        <v>0000000000000</v>
      </c>
      <c r="BE2190" t="str">
        <f>T("9791164091218")</f>
        <v>9791164091218</v>
      </c>
      <c r="BF2190" t="str">
        <f>T("E447631")</f>
        <v>E447631</v>
      </c>
      <c r="BG2190" t="str">
        <f>T("로맨스 웹소설 &gt; 현대물")</f>
        <v>로맨스 웹소설 &gt; 현대물</v>
      </c>
    </row>
    <row r="2191" spans="1:59">
      <c r="A2191" t="s">
        <v>60</v>
      </c>
      <c r="B2191" s="1">
        <v>46131</v>
      </c>
      <c r="C2191">
        <v>2378009411</v>
      </c>
      <c r="D2191">
        <v>2378009438</v>
      </c>
      <c r="E2191" t="str">
        <f>T("도원향 10화")</f>
        <v>도원향 10화</v>
      </c>
      <c r="F2191">
        <v>10</v>
      </c>
      <c r="G2191" t="str">
        <f>T("Magoing")</f>
        <v>Magoing</v>
      </c>
      <c r="J2191" t="str">
        <f>T("시계토끼")</f>
        <v>시계토끼</v>
      </c>
      <c r="K2191" t="str">
        <f>T("도원향")</f>
        <v>도원향</v>
      </c>
      <c r="L2191">
        <v>100</v>
      </c>
      <c r="M2191">
        <v>100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100</v>
      </c>
      <c r="AJ2191">
        <v>1</v>
      </c>
      <c r="AK2191">
        <v>0</v>
      </c>
      <c r="AL2191">
        <v>0</v>
      </c>
      <c r="AM2191">
        <v>100</v>
      </c>
      <c r="AN2191">
        <v>0</v>
      </c>
      <c r="AO2191">
        <v>0</v>
      </c>
      <c r="AP2191">
        <v>0</v>
      </c>
      <c r="AQ2191">
        <v>0</v>
      </c>
      <c r="AS2191">
        <v>0</v>
      </c>
      <c r="AT2191">
        <v>0</v>
      </c>
      <c r="AV2191">
        <v>0</v>
      </c>
      <c r="AW2191">
        <v>0</v>
      </c>
      <c r="AY2191">
        <v>0</v>
      </c>
      <c r="AZ2191">
        <v>0</v>
      </c>
      <c r="BA2191">
        <v>70</v>
      </c>
      <c r="BC2191" t="str">
        <f>T("0000000000000")</f>
        <v>0000000000000</v>
      </c>
      <c r="BE2191" t="str">
        <f>T("9791164091218")</f>
        <v>9791164091218</v>
      </c>
      <c r="BF2191" t="str">
        <f>T("E447632")</f>
        <v>E447632</v>
      </c>
      <c r="BG2191" t="str">
        <f>T("로맨스 웹소설 &gt; 현대물")</f>
        <v>로맨스 웹소설 &gt; 현대물</v>
      </c>
    </row>
    <row r="2192" spans="1:59">
      <c r="A2192" t="s">
        <v>60</v>
      </c>
      <c r="B2192" s="1">
        <v>46131</v>
      </c>
      <c r="C2192">
        <v>2378009411</v>
      </c>
      <c r="D2192">
        <v>2378009439</v>
      </c>
      <c r="E2192" t="str">
        <f>T("도원향 11화")</f>
        <v>도원향 11화</v>
      </c>
      <c r="F2192">
        <v>11</v>
      </c>
      <c r="G2192" t="str">
        <f>T("Magoing")</f>
        <v>Magoing</v>
      </c>
      <c r="J2192" t="str">
        <f>T("시계토끼")</f>
        <v>시계토끼</v>
      </c>
      <c r="K2192" t="str">
        <f>T("도원향")</f>
        <v>도원향</v>
      </c>
      <c r="L2192">
        <v>100</v>
      </c>
      <c r="M2192">
        <v>100</v>
      </c>
      <c r="N2192">
        <v>1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0</v>
      </c>
      <c r="AI2192">
        <v>100</v>
      </c>
      <c r="AJ2192">
        <v>1</v>
      </c>
      <c r="AK2192">
        <v>0</v>
      </c>
      <c r="AL2192">
        <v>0</v>
      </c>
      <c r="AM2192">
        <v>100</v>
      </c>
      <c r="AN2192">
        <v>0</v>
      </c>
      <c r="AO2192">
        <v>0</v>
      </c>
      <c r="AP2192">
        <v>0</v>
      </c>
      <c r="AQ2192">
        <v>0</v>
      </c>
      <c r="AS2192">
        <v>0</v>
      </c>
      <c r="AT2192">
        <v>0</v>
      </c>
      <c r="AV2192">
        <v>0</v>
      </c>
      <c r="AW2192">
        <v>0</v>
      </c>
      <c r="AY2192">
        <v>0</v>
      </c>
      <c r="AZ2192">
        <v>0</v>
      </c>
      <c r="BA2192">
        <v>70</v>
      </c>
      <c r="BC2192" t="str">
        <f>T("0000000000000")</f>
        <v>0000000000000</v>
      </c>
      <c r="BE2192" t="str">
        <f>T("9791164091218")</f>
        <v>9791164091218</v>
      </c>
      <c r="BF2192" t="str">
        <f>T("E447633")</f>
        <v>E447633</v>
      </c>
      <c r="BG2192" t="str">
        <f>T("로맨스 웹소설 &gt; 현대물")</f>
        <v>로맨스 웹소설 &gt; 현대물</v>
      </c>
    </row>
    <row r="2193" spans="1:59">
      <c r="A2193" t="s">
        <v>60</v>
      </c>
      <c r="B2193" s="1">
        <v>46131</v>
      </c>
      <c r="C2193">
        <v>2378009411</v>
      </c>
      <c r="D2193">
        <v>2378009440</v>
      </c>
      <c r="E2193" t="str">
        <f>T("도원향 12화")</f>
        <v>도원향 12화</v>
      </c>
      <c r="F2193">
        <v>12</v>
      </c>
      <c r="G2193" t="str">
        <f>T("Magoing")</f>
        <v>Magoing</v>
      </c>
      <c r="J2193" t="str">
        <f>T("시계토끼")</f>
        <v>시계토끼</v>
      </c>
      <c r="K2193" t="str">
        <f>T("도원향")</f>
        <v>도원향</v>
      </c>
      <c r="L2193">
        <v>100</v>
      </c>
      <c r="M2193">
        <v>100</v>
      </c>
      <c r="N2193">
        <v>1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100</v>
      </c>
      <c r="AJ2193">
        <v>1</v>
      </c>
      <c r="AK2193">
        <v>0</v>
      </c>
      <c r="AL2193">
        <v>0</v>
      </c>
      <c r="AM2193">
        <v>100</v>
      </c>
      <c r="AN2193">
        <v>0</v>
      </c>
      <c r="AO2193">
        <v>0</v>
      </c>
      <c r="AP2193">
        <v>0</v>
      </c>
      <c r="AQ2193">
        <v>0</v>
      </c>
      <c r="AS2193">
        <v>0</v>
      </c>
      <c r="AT2193">
        <v>0</v>
      </c>
      <c r="AV2193">
        <v>0</v>
      </c>
      <c r="AW2193">
        <v>0</v>
      </c>
      <c r="AY2193">
        <v>0</v>
      </c>
      <c r="AZ2193">
        <v>0</v>
      </c>
      <c r="BA2193">
        <v>70</v>
      </c>
      <c r="BC2193" t="str">
        <f>T("0000000000000")</f>
        <v>0000000000000</v>
      </c>
      <c r="BE2193" t="str">
        <f>T("9791164091218")</f>
        <v>9791164091218</v>
      </c>
      <c r="BF2193" t="str">
        <f>T("E447634")</f>
        <v>E447634</v>
      </c>
      <c r="BG2193" t="str">
        <f>T("로맨스 웹소설 &gt; 현대물")</f>
        <v>로맨스 웹소설 &gt; 현대물</v>
      </c>
    </row>
    <row r="2194" spans="1:59">
      <c r="A2194" t="s">
        <v>60</v>
      </c>
      <c r="B2194" s="1">
        <v>46131</v>
      </c>
      <c r="C2194">
        <v>2378009411</v>
      </c>
      <c r="D2194">
        <v>2378009441</v>
      </c>
      <c r="E2194" t="str">
        <f>T("도원향 13화")</f>
        <v>도원향 13화</v>
      </c>
      <c r="F2194">
        <v>13</v>
      </c>
      <c r="G2194" t="str">
        <f>T("Magoing")</f>
        <v>Magoing</v>
      </c>
      <c r="J2194" t="str">
        <f>T("시계토끼")</f>
        <v>시계토끼</v>
      </c>
      <c r="K2194" t="str">
        <f>T("도원향")</f>
        <v>도원향</v>
      </c>
      <c r="L2194">
        <v>100</v>
      </c>
      <c r="M2194">
        <v>100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100</v>
      </c>
      <c r="AJ2194">
        <v>1</v>
      </c>
      <c r="AK2194">
        <v>0</v>
      </c>
      <c r="AL2194">
        <v>0</v>
      </c>
      <c r="AM2194">
        <v>100</v>
      </c>
      <c r="AN2194">
        <v>0</v>
      </c>
      <c r="AO2194">
        <v>0</v>
      </c>
      <c r="AP2194">
        <v>0</v>
      </c>
      <c r="AQ2194">
        <v>0</v>
      </c>
      <c r="AS2194">
        <v>0</v>
      </c>
      <c r="AT2194">
        <v>0</v>
      </c>
      <c r="AV2194">
        <v>0</v>
      </c>
      <c r="AW2194">
        <v>0</v>
      </c>
      <c r="AY2194">
        <v>0</v>
      </c>
      <c r="AZ2194">
        <v>0</v>
      </c>
      <c r="BA2194">
        <v>70</v>
      </c>
      <c r="BC2194" t="str">
        <f>T("0000000000000")</f>
        <v>0000000000000</v>
      </c>
      <c r="BE2194" t="str">
        <f>T("9791164091218")</f>
        <v>9791164091218</v>
      </c>
      <c r="BF2194" t="str">
        <f>T("E447635")</f>
        <v>E447635</v>
      </c>
      <c r="BG2194" t="str">
        <f>T("로맨스 웹소설 &gt; 현대물")</f>
        <v>로맨스 웹소설 &gt; 현대물</v>
      </c>
    </row>
    <row r="2195" spans="1:59">
      <c r="A2195" t="s">
        <v>60</v>
      </c>
      <c r="B2195" s="1">
        <v>46131</v>
      </c>
      <c r="C2195">
        <v>2378009411</v>
      </c>
      <c r="D2195">
        <v>2378009702</v>
      </c>
      <c r="E2195" t="str">
        <f>T("도원향 53화")</f>
        <v>도원향 53화</v>
      </c>
      <c r="F2195">
        <v>53</v>
      </c>
      <c r="G2195" t="str">
        <f>T("Magoing")</f>
        <v>Magoing</v>
      </c>
      <c r="J2195" t="str">
        <f>T("시계토끼")</f>
        <v>시계토끼</v>
      </c>
      <c r="K2195" t="str">
        <f>T("도원향")</f>
        <v>도원향</v>
      </c>
      <c r="L2195">
        <v>100</v>
      </c>
      <c r="M2195">
        <v>100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100</v>
      </c>
      <c r="AJ2195">
        <v>1</v>
      </c>
      <c r="AK2195">
        <v>0</v>
      </c>
      <c r="AL2195">
        <v>0</v>
      </c>
      <c r="AM2195">
        <v>100</v>
      </c>
      <c r="AN2195">
        <v>0</v>
      </c>
      <c r="AO2195">
        <v>0</v>
      </c>
      <c r="AP2195">
        <v>0</v>
      </c>
      <c r="AQ2195">
        <v>0</v>
      </c>
      <c r="AS2195">
        <v>0</v>
      </c>
      <c r="AT2195">
        <v>0</v>
      </c>
      <c r="AV2195">
        <v>0</v>
      </c>
      <c r="AW2195">
        <v>0</v>
      </c>
      <c r="AY2195">
        <v>0</v>
      </c>
      <c r="AZ2195">
        <v>0</v>
      </c>
      <c r="BA2195">
        <v>70</v>
      </c>
      <c r="BC2195" t="str">
        <f>T("0000000000000")</f>
        <v>0000000000000</v>
      </c>
      <c r="BE2195" t="str">
        <f>T("9791164091218")</f>
        <v>9791164091218</v>
      </c>
      <c r="BF2195" t="str">
        <f>T("E459635")</f>
        <v>E459635</v>
      </c>
      <c r="BG2195" t="str">
        <f>T("로맨스 웹소설 &gt; 현대물")</f>
        <v>로맨스 웹소설 &gt; 현대물</v>
      </c>
    </row>
    <row r="2196" spans="1:59">
      <c r="A2196" t="s">
        <v>60</v>
      </c>
      <c r="B2196" s="1">
        <v>46130</v>
      </c>
      <c r="C2196">
        <v>2378079106</v>
      </c>
      <c r="D2196">
        <v>2378079226</v>
      </c>
      <c r="E2196" t="str">
        <f>T("독보강호의 귀환 121화")</f>
        <v>독보강호의 귀환 121화</v>
      </c>
      <c r="F2196">
        <v>121</v>
      </c>
      <c r="G2196" t="str">
        <f>T("천우한")</f>
        <v>천우한</v>
      </c>
      <c r="J2196" t="str">
        <f>T("심월(心月)")</f>
        <v>심월(心月)</v>
      </c>
      <c r="K2196" t="str">
        <f>T("독보강호의 귀환")</f>
        <v>독보강호의 귀환</v>
      </c>
      <c r="L2196">
        <v>100</v>
      </c>
      <c r="M2196">
        <v>100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100</v>
      </c>
      <c r="AJ2196">
        <v>1</v>
      </c>
      <c r="AK2196">
        <v>0</v>
      </c>
      <c r="AL2196">
        <v>0</v>
      </c>
      <c r="AM2196">
        <v>100</v>
      </c>
      <c r="AN2196">
        <v>0</v>
      </c>
      <c r="AO2196">
        <v>0</v>
      </c>
      <c r="AP2196">
        <v>0</v>
      </c>
      <c r="AQ2196">
        <v>0</v>
      </c>
      <c r="AS2196">
        <v>0</v>
      </c>
      <c r="AT2196">
        <v>0</v>
      </c>
      <c r="AV2196">
        <v>0</v>
      </c>
      <c r="AW2196">
        <v>0</v>
      </c>
      <c r="AY2196">
        <v>0</v>
      </c>
      <c r="AZ2196">
        <v>0</v>
      </c>
      <c r="BA2196">
        <v>70</v>
      </c>
      <c r="BE2196" t="str">
        <f>T("9791199253605")</f>
        <v>9791199253605</v>
      </c>
      <c r="BF2196" t="str">
        <f>T("D010244")</f>
        <v>D010244</v>
      </c>
      <c r="BG2196" t="str">
        <f>T("판타지 웹소설 &gt; 무협 소설")</f>
        <v>판타지 웹소설 &gt; 무협 소설</v>
      </c>
    </row>
    <row r="2197" spans="1:59">
      <c r="A2197" t="s">
        <v>60</v>
      </c>
      <c r="B2197" s="1">
        <v>46130</v>
      </c>
      <c r="C2197">
        <v>2378079106</v>
      </c>
      <c r="D2197">
        <v>2378079227</v>
      </c>
      <c r="E2197" t="str">
        <f>T("독보강호의 귀환 122화")</f>
        <v>독보강호의 귀환 122화</v>
      </c>
      <c r="F2197">
        <v>122</v>
      </c>
      <c r="G2197" t="str">
        <f>T("천우한")</f>
        <v>천우한</v>
      </c>
      <c r="J2197" t="str">
        <f>T("심월(心月)")</f>
        <v>심월(心月)</v>
      </c>
      <c r="K2197" t="str">
        <f>T("독보강호의 귀환")</f>
        <v>독보강호의 귀환</v>
      </c>
      <c r="L2197">
        <v>100</v>
      </c>
      <c r="M2197">
        <v>100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100</v>
      </c>
      <c r="AJ2197">
        <v>1</v>
      </c>
      <c r="AK2197">
        <v>0</v>
      </c>
      <c r="AL2197">
        <v>0</v>
      </c>
      <c r="AM2197">
        <v>100</v>
      </c>
      <c r="AN2197">
        <v>0</v>
      </c>
      <c r="AO2197">
        <v>0</v>
      </c>
      <c r="AP2197">
        <v>0</v>
      </c>
      <c r="AQ2197">
        <v>0</v>
      </c>
      <c r="AS2197">
        <v>0</v>
      </c>
      <c r="AT2197">
        <v>0</v>
      </c>
      <c r="AV2197">
        <v>0</v>
      </c>
      <c r="AW2197">
        <v>0</v>
      </c>
      <c r="AY2197">
        <v>0</v>
      </c>
      <c r="AZ2197">
        <v>0</v>
      </c>
      <c r="BA2197">
        <v>70</v>
      </c>
      <c r="BE2197" t="str">
        <f>T("9791199253605")</f>
        <v>9791199253605</v>
      </c>
      <c r="BF2197" t="str">
        <f>T("D010245")</f>
        <v>D010245</v>
      </c>
      <c r="BG2197" t="str">
        <f>T("판타지 웹소설 &gt; 무협 소설")</f>
        <v>판타지 웹소설 &gt; 무협 소설</v>
      </c>
    </row>
    <row r="2198" spans="1:59">
      <c r="A2198" t="s">
        <v>60</v>
      </c>
      <c r="B2198" s="1">
        <v>46131</v>
      </c>
      <c r="C2198">
        <v>2378078803</v>
      </c>
      <c r="D2198">
        <v>2378078888</v>
      </c>
      <c r="E2198" t="str">
        <f>T("레이디 가넷의 나쁜 스캔들 활용법 86화")</f>
        <v>레이디 가넷의 나쁜 스캔들 활용법 86화</v>
      </c>
      <c r="F2198">
        <v>86</v>
      </c>
      <c r="G2198" t="str">
        <f>T("목화커피")</f>
        <v>목화커피</v>
      </c>
      <c r="J2198" t="str">
        <f>T("시계토끼")</f>
        <v>시계토끼</v>
      </c>
      <c r="K2198" t="str">
        <f>T("레이디 가넷의 나쁜 스캔들 활용법")</f>
        <v>레이디 가넷의 나쁜 스캔들 활용법</v>
      </c>
      <c r="L2198">
        <v>100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1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0</v>
      </c>
      <c r="AH2198">
        <v>0</v>
      </c>
      <c r="AI2198">
        <v>0</v>
      </c>
      <c r="AJ2198">
        <v>1</v>
      </c>
      <c r="AK2198">
        <v>0</v>
      </c>
      <c r="AL2198">
        <v>0</v>
      </c>
      <c r="AM2198">
        <v>0</v>
      </c>
      <c r="AN2198">
        <v>0</v>
      </c>
      <c r="AO2198">
        <v>0</v>
      </c>
      <c r="AP2198">
        <v>0</v>
      </c>
      <c r="AQ2198">
        <v>0</v>
      </c>
      <c r="AS2198">
        <v>0</v>
      </c>
      <c r="AT2198">
        <v>0</v>
      </c>
      <c r="AV2198">
        <v>0</v>
      </c>
      <c r="AW2198">
        <v>0</v>
      </c>
      <c r="AY2198">
        <v>0</v>
      </c>
      <c r="AZ2198">
        <v>0</v>
      </c>
      <c r="BA2198">
        <v>0</v>
      </c>
      <c r="BE2198" t="str">
        <f>T("9791172822101")</f>
        <v>9791172822101</v>
      </c>
      <c r="BF2198" t="str">
        <f>T("D170747")</f>
        <v>D170747</v>
      </c>
      <c r="BG2198" t="str">
        <f>T("로판 웹소설 &gt; 서양풍 로판")</f>
        <v>로판 웹소설 &gt; 서양풍 로판</v>
      </c>
    </row>
    <row r="2199" spans="1:59">
      <c r="A2199" t="s">
        <v>60</v>
      </c>
      <c r="B2199" s="1">
        <v>46131</v>
      </c>
      <c r="C2199">
        <v>2378078803</v>
      </c>
      <c r="D2199">
        <v>2378078803</v>
      </c>
      <c r="E2199" t="str">
        <f>T("레이디 가넷의 나쁜 스캔들 활용법 1화")</f>
        <v>레이디 가넷의 나쁜 스캔들 활용법 1화</v>
      </c>
      <c r="F2199">
        <v>1</v>
      </c>
      <c r="G2199" t="str">
        <f>T("목화커피")</f>
        <v>목화커피</v>
      </c>
      <c r="J2199" t="str">
        <f>T("시계토끼")</f>
        <v>시계토끼</v>
      </c>
      <c r="K2199" t="str">
        <f>T("레이디 가넷의 나쁜 스캔들 활용법")</f>
        <v>레이디 가넷의 나쁜 스캔들 활용법</v>
      </c>
      <c r="L2199">
        <v>0</v>
      </c>
      <c r="M2199">
        <v>0</v>
      </c>
      <c r="N2199">
        <v>0</v>
      </c>
      <c r="O2199">
        <v>3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0</v>
      </c>
      <c r="AI2199">
        <v>0</v>
      </c>
      <c r="AJ2199">
        <v>3</v>
      </c>
      <c r="AK2199">
        <v>0</v>
      </c>
      <c r="AL2199">
        <v>0</v>
      </c>
      <c r="AM2199">
        <v>0</v>
      </c>
      <c r="AN2199">
        <v>0</v>
      </c>
      <c r="AO2199">
        <v>0</v>
      </c>
      <c r="AP2199">
        <v>0</v>
      </c>
      <c r="AQ2199">
        <v>0</v>
      </c>
      <c r="AS2199">
        <v>0</v>
      </c>
      <c r="AT2199">
        <v>0</v>
      </c>
      <c r="AV2199">
        <v>0</v>
      </c>
      <c r="AW2199">
        <v>0</v>
      </c>
      <c r="AY2199">
        <v>0</v>
      </c>
      <c r="AZ2199">
        <v>0</v>
      </c>
      <c r="BA2199">
        <v>0</v>
      </c>
      <c r="BE2199" t="str">
        <f>T("9791172822101")</f>
        <v>9791172822101</v>
      </c>
      <c r="BF2199" t="str">
        <f>T("D170662")</f>
        <v>D170662</v>
      </c>
      <c r="BG2199" t="str">
        <f>T("로판 웹소설 &gt; 서양풍 로판")</f>
        <v>로판 웹소설 &gt; 서양풍 로판</v>
      </c>
    </row>
    <row r="2200" spans="1:59">
      <c r="A2200" t="s">
        <v>60</v>
      </c>
      <c r="B2200" s="1">
        <v>46131</v>
      </c>
      <c r="C2200">
        <v>2378078803</v>
      </c>
      <c r="D2200">
        <v>2378078835</v>
      </c>
      <c r="E2200" t="str">
        <f>T("레이디 가넷의 나쁜 스캔들 활용법 33화")</f>
        <v>레이디 가넷의 나쁜 스캔들 활용법 33화</v>
      </c>
      <c r="F2200">
        <v>33</v>
      </c>
      <c r="G2200" t="str">
        <f>T("목화커피")</f>
        <v>목화커피</v>
      </c>
      <c r="J2200" t="str">
        <f>T("시계토끼")</f>
        <v>시계토끼</v>
      </c>
      <c r="K2200" t="str">
        <f>T("레이디 가넷의 나쁜 스캔들 활용법")</f>
        <v>레이디 가넷의 나쁜 스캔들 활용법</v>
      </c>
      <c r="L2200">
        <v>100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1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1</v>
      </c>
      <c r="AK2200">
        <v>0</v>
      </c>
      <c r="AL2200">
        <v>0</v>
      </c>
      <c r="AM2200">
        <v>0</v>
      </c>
      <c r="AN2200">
        <v>0</v>
      </c>
      <c r="AO2200">
        <v>0</v>
      </c>
      <c r="AP2200">
        <v>0</v>
      </c>
      <c r="AQ2200">
        <v>0</v>
      </c>
      <c r="AS2200">
        <v>0</v>
      </c>
      <c r="AT2200">
        <v>0</v>
      </c>
      <c r="AV2200">
        <v>0</v>
      </c>
      <c r="AW2200">
        <v>0</v>
      </c>
      <c r="AY2200">
        <v>0</v>
      </c>
      <c r="AZ2200">
        <v>0</v>
      </c>
      <c r="BA2200">
        <v>0</v>
      </c>
      <c r="BE2200" t="str">
        <f>T("9791172822101")</f>
        <v>9791172822101</v>
      </c>
      <c r="BF2200" t="str">
        <f>T("D170694")</f>
        <v>D170694</v>
      </c>
      <c r="BG2200" t="str">
        <f>T("로판 웹소설 &gt; 서양풍 로판")</f>
        <v>로판 웹소설 &gt; 서양풍 로판</v>
      </c>
    </row>
    <row r="2201" spans="1:59">
      <c r="A2201" t="s">
        <v>60</v>
      </c>
      <c r="B2201" s="1">
        <v>46131</v>
      </c>
      <c r="C2201">
        <v>2378078803</v>
      </c>
      <c r="D2201">
        <v>2378078804</v>
      </c>
      <c r="E2201" t="str">
        <f>T("레이디 가넷의 나쁜 스캔들 활용법 2화")</f>
        <v>레이디 가넷의 나쁜 스캔들 활용법 2화</v>
      </c>
      <c r="F2201">
        <v>2</v>
      </c>
      <c r="G2201" t="str">
        <f>T("목화커피")</f>
        <v>목화커피</v>
      </c>
      <c r="J2201" t="str">
        <f>T("시계토끼")</f>
        <v>시계토끼</v>
      </c>
      <c r="K2201" t="str">
        <f>T("레이디 가넷의 나쁜 스캔들 활용법")</f>
        <v>레이디 가넷의 나쁜 스캔들 활용법</v>
      </c>
      <c r="L2201">
        <v>0</v>
      </c>
      <c r="M2201">
        <v>0</v>
      </c>
      <c r="N2201">
        <v>0</v>
      </c>
      <c r="O2201">
        <v>2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2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S2201">
        <v>0</v>
      </c>
      <c r="AT2201">
        <v>0</v>
      </c>
      <c r="AV2201">
        <v>0</v>
      </c>
      <c r="AW2201">
        <v>0</v>
      </c>
      <c r="AY2201">
        <v>0</v>
      </c>
      <c r="AZ2201">
        <v>0</v>
      </c>
      <c r="BA2201">
        <v>0</v>
      </c>
      <c r="BE2201" t="str">
        <f>T("9791172822101")</f>
        <v>9791172822101</v>
      </c>
      <c r="BF2201" t="str">
        <f>T("D170663")</f>
        <v>D170663</v>
      </c>
      <c r="BG2201" t="str">
        <f>T("로판 웹소설 &gt; 서양풍 로판")</f>
        <v>로판 웹소설 &gt; 서양풍 로판</v>
      </c>
    </row>
    <row r="2202" spans="1:59">
      <c r="A2202" t="s">
        <v>60</v>
      </c>
      <c r="B2202" s="1">
        <v>46131</v>
      </c>
      <c r="C2202">
        <v>2378078803</v>
      </c>
      <c r="D2202">
        <v>2378078805</v>
      </c>
      <c r="E2202" t="str">
        <f>T("레이디 가넷의 나쁜 스캔들 활용법 3화")</f>
        <v>레이디 가넷의 나쁜 스캔들 활용법 3화</v>
      </c>
      <c r="F2202">
        <v>3</v>
      </c>
      <c r="G2202" t="str">
        <f>T("목화커피")</f>
        <v>목화커피</v>
      </c>
      <c r="J2202" t="str">
        <f>T("시계토끼")</f>
        <v>시계토끼</v>
      </c>
      <c r="K2202" t="str">
        <f>T("레이디 가넷의 나쁜 스캔들 활용법")</f>
        <v>레이디 가넷의 나쁜 스캔들 활용법</v>
      </c>
      <c r="L2202">
        <v>0</v>
      </c>
      <c r="M2202">
        <v>0</v>
      </c>
      <c r="N2202">
        <v>0</v>
      </c>
      <c r="O2202">
        <v>2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0</v>
      </c>
      <c r="AH2202">
        <v>0</v>
      </c>
      <c r="AI2202">
        <v>0</v>
      </c>
      <c r="AJ2202">
        <v>2</v>
      </c>
      <c r="AK2202">
        <v>0</v>
      </c>
      <c r="AL2202">
        <v>0</v>
      </c>
      <c r="AM2202">
        <v>0</v>
      </c>
      <c r="AN2202">
        <v>0</v>
      </c>
      <c r="AO2202">
        <v>0</v>
      </c>
      <c r="AP2202">
        <v>0</v>
      </c>
      <c r="AQ2202">
        <v>0</v>
      </c>
      <c r="AS2202">
        <v>0</v>
      </c>
      <c r="AT2202">
        <v>0</v>
      </c>
      <c r="AV2202">
        <v>0</v>
      </c>
      <c r="AW2202">
        <v>0</v>
      </c>
      <c r="AY2202">
        <v>0</v>
      </c>
      <c r="AZ2202">
        <v>0</v>
      </c>
      <c r="BA2202">
        <v>0</v>
      </c>
      <c r="BE2202" t="str">
        <f>T("9791172822101")</f>
        <v>9791172822101</v>
      </c>
      <c r="BF2202" t="str">
        <f>T("D170664")</f>
        <v>D170664</v>
      </c>
      <c r="BG2202" t="str">
        <f>T("로판 웹소설 &gt; 서양풍 로판")</f>
        <v>로판 웹소설 &gt; 서양풍 로판</v>
      </c>
    </row>
    <row r="2203" spans="1:59">
      <c r="A2203" t="s">
        <v>60</v>
      </c>
      <c r="B2203" s="1">
        <v>46131</v>
      </c>
      <c r="C2203">
        <v>2378078803</v>
      </c>
      <c r="D2203">
        <v>2378078806</v>
      </c>
      <c r="E2203" t="str">
        <f>T("레이디 가넷의 나쁜 스캔들 활용법 4화")</f>
        <v>레이디 가넷의 나쁜 스캔들 활용법 4화</v>
      </c>
      <c r="F2203">
        <v>4</v>
      </c>
      <c r="G2203" t="str">
        <f>T("목화커피")</f>
        <v>목화커피</v>
      </c>
      <c r="J2203" t="str">
        <f>T("시계토끼")</f>
        <v>시계토끼</v>
      </c>
      <c r="K2203" t="str">
        <f>T("레이디 가넷의 나쁜 스캔들 활용법")</f>
        <v>레이디 가넷의 나쁜 스캔들 활용법</v>
      </c>
      <c r="L2203">
        <v>100</v>
      </c>
      <c r="M2203">
        <v>100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100</v>
      </c>
      <c r="AJ2203">
        <v>1</v>
      </c>
      <c r="AK2203">
        <v>0</v>
      </c>
      <c r="AL2203">
        <v>0</v>
      </c>
      <c r="AM2203">
        <v>100</v>
      </c>
      <c r="AN2203">
        <v>0</v>
      </c>
      <c r="AO2203">
        <v>0</v>
      </c>
      <c r="AP2203">
        <v>0</v>
      </c>
      <c r="AQ2203">
        <v>0</v>
      </c>
      <c r="AS2203">
        <v>0</v>
      </c>
      <c r="AT2203">
        <v>0</v>
      </c>
      <c r="AV2203">
        <v>0</v>
      </c>
      <c r="AW2203">
        <v>0</v>
      </c>
      <c r="AY2203">
        <v>0</v>
      </c>
      <c r="AZ2203">
        <v>0</v>
      </c>
      <c r="BA2203">
        <v>60</v>
      </c>
      <c r="BE2203" t="str">
        <f>T("9791172822101")</f>
        <v>9791172822101</v>
      </c>
      <c r="BF2203" t="str">
        <f>T("D170665")</f>
        <v>D170665</v>
      </c>
      <c r="BG2203" t="str">
        <f>T("로판 웹소설 &gt; 서양풍 로판")</f>
        <v>로판 웹소설 &gt; 서양풍 로판</v>
      </c>
    </row>
    <row r="2204" spans="1:59">
      <c r="A2204" t="s">
        <v>60</v>
      </c>
      <c r="B2204" s="1">
        <v>46131</v>
      </c>
      <c r="C2204">
        <v>2378078803</v>
      </c>
      <c r="D2204">
        <v>2378078807</v>
      </c>
      <c r="E2204" t="str">
        <f>T("레이디 가넷의 나쁜 스캔들 활용법 5화")</f>
        <v>레이디 가넷의 나쁜 스캔들 활용법 5화</v>
      </c>
      <c r="F2204">
        <v>5</v>
      </c>
      <c r="G2204" t="str">
        <f>T("목화커피")</f>
        <v>목화커피</v>
      </c>
      <c r="J2204" t="str">
        <f>T("시계토끼")</f>
        <v>시계토끼</v>
      </c>
      <c r="K2204" t="str">
        <f>T("레이디 가넷의 나쁜 스캔들 활용법")</f>
        <v>레이디 가넷의 나쁜 스캔들 활용법</v>
      </c>
      <c r="L2204">
        <v>100</v>
      </c>
      <c r="M2204">
        <v>100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0</v>
      </c>
      <c r="AH2204">
        <v>0</v>
      </c>
      <c r="AI2204">
        <v>100</v>
      </c>
      <c r="AJ2204">
        <v>1</v>
      </c>
      <c r="AK2204">
        <v>0</v>
      </c>
      <c r="AL2204">
        <v>0</v>
      </c>
      <c r="AM2204">
        <v>100</v>
      </c>
      <c r="AN2204">
        <v>0</v>
      </c>
      <c r="AO2204">
        <v>0</v>
      </c>
      <c r="AP2204">
        <v>0</v>
      </c>
      <c r="AQ2204">
        <v>0</v>
      </c>
      <c r="AS2204">
        <v>0</v>
      </c>
      <c r="AT2204">
        <v>0</v>
      </c>
      <c r="AV2204">
        <v>0</v>
      </c>
      <c r="AW2204">
        <v>0</v>
      </c>
      <c r="AY2204">
        <v>0</v>
      </c>
      <c r="AZ2204">
        <v>0</v>
      </c>
      <c r="BA2204">
        <v>60</v>
      </c>
      <c r="BE2204" t="str">
        <f>T("9791172822101")</f>
        <v>9791172822101</v>
      </c>
      <c r="BF2204" t="str">
        <f>T("D170666")</f>
        <v>D170666</v>
      </c>
      <c r="BG2204" t="str">
        <f>T("로판 웹소설 &gt; 서양풍 로판")</f>
        <v>로판 웹소설 &gt; 서양풍 로판</v>
      </c>
    </row>
    <row r="2205" spans="1:59">
      <c r="A2205" t="s">
        <v>60</v>
      </c>
      <c r="B2205" s="1">
        <v>46131</v>
      </c>
      <c r="C2205">
        <v>2378078803</v>
      </c>
      <c r="D2205">
        <v>2378078808</v>
      </c>
      <c r="E2205" t="str">
        <f>T("레이디 가넷의 나쁜 스캔들 활용법 6화")</f>
        <v>레이디 가넷의 나쁜 스캔들 활용법 6화</v>
      </c>
      <c r="F2205">
        <v>6</v>
      </c>
      <c r="G2205" t="str">
        <f>T("목화커피")</f>
        <v>목화커피</v>
      </c>
      <c r="J2205" t="str">
        <f>T("시계토끼")</f>
        <v>시계토끼</v>
      </c>
      <c r="K2205" t="str">
        <f>T("레이디 가넷의 나쁜 스캔들 활용법")</f>
        <v>레이디 가넷의 나쁜 스캔들 활용법</v>
      </c>
      <c r="L2205">
        <v>100</v>
      </c>
      <c r="M2205">
        <v>100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100</v>
      </c>
      <c r="AJ2205">
        <v>1</v>
      </c>
      <c r="AK2205">
        <v>0</v>
      </c>
      <c r="AL2205">
        <v>0</v>
      </c>
      <c r="AM2205">
        <v>100</v>
      </c>
      <c r="AN2205">
        <v>0</v>
      </c>
      <c r="AO2205">
        <v>0</v>
      </c>
      <c r="AP2205">
        <v>0</v>
      </c>
      <c r="AQ2205">
        <v>0</v>
      </c>
      <c r="AS2205">
        <v>0</v>
      </c>
      <c r="AT2205">
        <v>0</v>
      </c>
      <c r="AV2205">
        <v>0</v>
      </c>
      <c r="AW2205">
        <v>0</v>
      </c>
      <c r="AY2205">
        <v>0</v>
      </c>
      <c r="AZ2205">
        <v>0</v>
      </c>
      <c r="BA2205">
        <v>60</v>
      </c>
      <c r="BE2205" t="str">
        <f>T("9791172822101")</f>
        <v>9791172822101</v>
      </c>
      <c r="BF2205" t="str">
        <f>T("D170667")</f>
        <v>D170667</v>
      </c>
      <c r="BG2205" t="str">
        <f>T("로판 웹소설 &gt; 서양풍 로판")</f>
        <v>로판 웹소설 &gt; 서양풍 로판</v>
      </c>
    </row>
    <row r="2206" spans="1:59">
      <c r="A2206" t="s">
        <v>60</v>
      </c>
      <c r="B2206" s="1">
        <v>46131</v>
      </c>
      <c r="C2206">
        <v>2378078803</v>
      </c>
      <c r="D2206">
        <v>2378078809</v>
      </c>
      <c r="E2206" t="str">
        <f>T("레이디 가넷의 나쁜 스캔들 활용법 7화")</f>
        <v>레이디 가넷의 나쁜 스캔들 활용법 7화</v>
      </c>
      <c r="F2206">
        <v>7</v>
      </c>
      <c r="G2206" t="str">
        <f>T("목화커피")</f>
        <v>목화커피</v>
      </c>
      <c r="J2206" t="str">
        <f>T("시계토끼")</f>
        <v>시계토끼</v>
      </c>
      <c r="K2206" t="str">
        <f>T("레이디 가넷의 나쁜 스캔들 활용법")</f>
        <v>레이디 가넷의 나쁜 스캔들 활용법</v>
      </c>
      <c r="L2206">
        <v>100</v>
      </c>
      <c r="M2206">
        <v>100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0</v>
      </c>
      <c r="AI2206">
        <v>100</v>
      </c>
      <c r="AJ2206">
        <v>1</v>
      </c>
      <c r="AK2206">
        <v>0</v>
      </c>
      <c r="AL2206">
        <v>0</v>
      </c>
      <c r="AM2206">
        <v>100</v>
      </c>
      <c r="AN2206">
        <v>0</v>
      </c>
      <c r="AO2206">
        <v>0</v>
      </c>
      <c r="AP2206">
        <v>0</v>
      </c>
      <c r="AQ2206">
        <v>0</v>
      </c>
      <c r="AS2206">
        <v>0</v>
      </c>
      <c r="AT2206">
        <v>0</v>
      </c>
      <c r="AV2206">
        <v>0</v>
      </c>
      <c r="AW2206">
        <v>0</v>
      </c>
      <c r="AY2206">
        <v>0</v>
      </c>
      <c r="AZ2206">
        <v>0</v>
      </c>
      <c r="BA2206">
        <v>60</v>
      </c>
      <c r="BE2206" t="str">
        <f>T("9791172822101")</f>
        <v>9791172822101</v>
      </c>
      <c r="BF2206" t="str">
        <f>T("D170668")</f>
        <v>D170668</v>
      </c>
      <c r="BG2206" t="str">
        <f>T("로판 웹소설 &gt; 서양풍 로판")</f>
        <v>로판 웹소설 &gt; 서양풍 로판</v>
      </c>
    </row>
    <row r="2207" spans="1:59">
      <c r="A2207" t="s">
        <v>60</v>
      </c>
      <c r="B2207" s="1">
        <v>46131</v>
      </c>
      <c r="C2207">
        <v>2378078803</v>
      </c>
      <c r="D2207">
        <v>2378078810</v>
      </c>
      <c r="E2207" t="str">
        <f>T("레이디 가넷의 나쁜 스캔들 활용법 8화")</f>
        <v>레이디 가넷의 나쁜 스캔들 활용법 8화</v>
      </c>
      <c r="F2207">
        <v>8</v>
      </c>
      <c r="G2207" t="str">
        <f>T("목화커피")</f>
        <v>목화커피</v>
      </c>
      <c r="J2207" t="str">
        <f>T("시계토끼")</f>
        <v>시계토끼</v>
      </c>
      <c r="K2207" t="str">
        <f>T("레이디 가넷의 나쁜 스캔들 활용법")</f>
        <v>레이디 가넷의 나쁜 스캔들 활용법</v>
      </c>
      <c r="L2207">
        <v>100</v>
      </c>
      <c r="M2207">
        <v>100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100</v>
      </c>
      <c r="AJ2207">
        <v>1</v>
      </c>
      <c r="AK2207">
        <v>0</v>
      </c>
      <c r="AL2207">
        <v>0</v>
      </c>
      <c r="AM2207">
        <v>100</v>
      </c>
      <c r="AN2207">
        <v>0</v>
      </c>
      <c r="AO2207">
        <v>0</v>
      </c>
      <c r="AP2207">
        <v>0</v>
      </c>
      <c r="AQ2207">
        <v>0</v>
      </c>
      <c r="AS2207">
        <v>0</v>
      </c>
      <c r="AT2207">
        <v>0</v>
      </c>
      <c r="AV2207">
        <v>0</v>
      </c>
      <c r="AW2207">
        <v>0</v>
      </c>
      <c r="AY2207">
        <v>0</v>
      </c>
      <c r="AZ2207">
        <v>0</v>
      </c>
      <c r="BA2207">
        <v>60</v>
      </c>
      <c r="BE2207" t="str">
        <f>T("9791172822101")</f>
        <v>9791172822101</v>
      </c>
      <c r="BF2207" t="str">
        <f>T("D170669")</f>
        <v>D170669</v>
      </c>
      <c r="BG2207" t="str">
        <f>T("로판 웹소설 &gt; 서양풍 로판")</f>
        <v>로판 웹소설 &gt; 서양풍 로판</v>
      </c>
    </row>
    <row r="2208" spans="1:59">
      <c r="A2208" t="s">
        <v>60</v>
      </c>
      <c r="B2208" s="1">
        <v>46131</v>
      </c>
      <c r="C2208">
        <v>2378078803</v>
      </c>
      <c r="D2208">
        <v>2378078811</v>
      </c>
      <c r="E2208" t="str">
        <f>T("레이디 가넷의 나쁜 스캔들 활용법 9화")</f>
        <v>레이디 가넷의 나쁜 스캔들 활용법 9화</v>
      </c>
      <c r="F2208">
        <v>9</v>
      </c>
      <c r="G2208" t="str">
        <f>T("목화커피")</f>
        <v>목화커피</v>
      </c>
      <c r="J2208" t="str">
        <f>T("시계토끼")</f>
        <v>시계토끼</v>
      </c>
      <c r="K2208" t="str">
        <f>T("레이디 가넷의 나쁜 스캔들 활용법")</f>
        <v>레이디 가넷의 나쁜 스캔들 활용법</v>
      </c>
      <c r="L2208">
        <v>100</v>
      </c>
      <c r="M2208">
        <v>100</v>
      </c>
      <c r="N2208">
        <v>1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100</v>
      </c>
      <c r="AJ2208">
        <v>1</v>
      </c>
      <c r="AK2208">
        <v>0</v>
      </c>
      <c r="AL2208">
        <v>0</v>
      </c>
      <c r="AM2208">
        <v>100</v>
      </c>
      <c r="AN2208">
        <v>0</v>
      </c>
      <c r="AO2208">
        <v>0</v>
      </c>
      <c r="AP2208">
        <v>0</v>
      </c>
      <c r="AQ2208">
        <v>0</v>
      </c>
      <c r="AS2208">
        <v>0</v>
      </c>
      <c r="AT2208">
        <v>0</v>
      </c>
      <c r="AV2208">
        <v>0</v>
      </c>
      <c r="AW2208">
        <v>0</v>
      </c>
      <c r="AY2208">
        <v>0</v>
      </c>
      <c r="AZ2208">
        <v>0</v>
      </c>
      <c r="BA2208">
        <v>60</v>
      </c>
      <c r="BE2208" t="str">
        <f>T("9791172822101")</f>
        <v>9791172822101</v>
      </c>
      <c r="BF2208" t="str">
        <f>T("D170670")</f>
        <v>D170670</v>
      </c>
      <c r="BG2208" t="str">
        <f>T("로판 웹소설 &gt; 서양풍 로판")</f>
        <v>로판 웹소설 &gt; 서양풍 로판</v>
      </c>
    </row>
    <row r="2209" spans="1:59">
      <c r="A2209" t="s">
        <v>60</v>
      </c>
      <c r="B2209" s="1">
        <v>46131</v>
      </c>
      <c r="C2209">
        <v>2378078803</v>
      </c>
      <c r="D2209">
        <v>2378078812</v>
      </c>
      <c r="E2209" t="str">
        <f>T("레이디 가넷의 나쁜 스캔들 활용법 10화")</f>
        <v>레이디 가넷의 나쁜 스캔들 활용법 10화</v>
      </c>
      <c r="F2209">
        <v>10</v>
      </c>
      <c r="G2209" t="str">
        <f>T("목화커피")</f>
        <v>목화커피</v>
      </c>
      <c r="J2209" t="str">
        <f>T("시계토끼")</f>
        <v>시계토끼</v>
      </c>
      <c r="K2209" t="str">
        <f>T("레이디 가넷의 나쁜 스캔들 활용법")</f>
        <v>레이디 가넷의 나쁜 스캔들 활용법</v>
      </c>
      <c r="L2209">
        <v>100</v>
      </c>
      <c r="M2209">
        <v>100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100</v>
      </c>
      <c r="AJ2209">
        <v>1</v>
      </c>
      <c r="AK2209">
        <v>0</v>
      </c>
      <c r="AL2209">
        <v>0</v>
      </c>
      <c r="AM2209">
        <v>100</v>
      </c>
      <c r="AN2209">
        <v>0</v>
      </c>
      <c r="AO2209">
        <v>0</v>
      </c>
      <c r="AP2209">
        <v>0</v>
      </c>
      <c r="AQ2209">
        <v>0</v>
      </c>
      <c r="AS2209">
        <v>0</v>
      </c>
      <c r="AT2209">
        <v>0</v>
      </c>
      <c r="AV2209">
        <v>0</v>
      </c>
      <c r="AW2209">
        <v>0</v>
      </c>
      <c r="AY2209">
        <v>0</v>
      </c>
      <c r="AZ2209">
        <v>0</v>
      </c>
      <c r="BA2209">
        <v>60</v>
      </c>
      <c r="BE2209" t="str">
        <f>T("9791172822101")</f>
        <v>9791172822101</v>
      </c>
      <c r="BF2209" t="str">
        <f>T("D170671")</f>
        <v>D170671</v>
      </c>
      <c r="BG2209" t="str">
        <f>T("로판 웹소설 &gt; 서양풍 로판")</f>
        <v>로판 웹소설 &gt; 서양풍 로판</v>
      </c>
    </row>
    <row r="2210" spans="1:59">
      <c r="A2210" t="s">
        <v>60</v>
      </c>
      <c r="B2210" s="1">
        <v>46131</v>
      </c>
      <c r="C2210">
        <v>2378078803</v>
      </c>
      <c r="D2210">
        <v>2378078813</v>
      </c>
      <c r="E2210" t="str">
        <f>T("레이디 가넷의 나쁜 스캔들 활용법 11화")</f>
        <v>레이디 가넷의 나쁜 스캔들 활용법 11화</v>
      </c>
      <c r="F2210">
        <v>11</v>
      </c>
      <c r="G2210" t="str">
        <f>T("목화커피")</f>
        <v>목화커피</v>
      </c>
      <c r="J2210" t="str">
        <f>T("시계토끼")</f>
        <v>시계토끼</v>
      </c>
      <c r="K2210" t="str">
        <f>T("레이디 가넷의 나쁜 스캔들 활용법")</f>
        <v>레이디 가넷의 나쁜 스캔들 활용법</v>
      </c>
      <c r="L2210">
        <v>100</v>
      </c>
      <c r="M2210">
        <v>100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0</v>
      </c>
      <c r="AH2210">
        <v>0</v>
      </c>
      <c r="AI2210">
        <v>100</v>
      </c>
      <c r="AJ2210">
        <v>1</v>
      </c>
      <c r="AK2210">
        <v>0</v>
      </c>
      <c r="AL2210">
        <v>0</v>
      </c>
      <c r="AM2210">
        <v>100</v>
      </c>
      <c r="AN2210">
        <v>0</v>
      </c>
      <c r="AO2210">
        <v>0</v>
      </c>
      <c r="AP2210">
        <v>0</v>
      </c>
      <c r="AQ2210">
        <v>0</v>
      </c>
      <c r="AS2210">
        <v>0</v>
      </c>
      <c r="AT2210">
        <v>0</v>
      </c>
      <c r="AV2210">
        <v>0</v>
      </c>
      <c r="AW2210">
        <v>0</v>
      </c>
      <c r="AY2210">
        <v>0</v>
      </c>
      <c r="AZ2210">
        <v>0</v>
      </c>
      <c r="BA2210">
        <v>60</v>
      </c>
      <c r="BE2210" t="str">
        <f>T("9791172822101")</f>
        <v>9791172822101</v>
      </c>
      <c r="BF2210" t="str">
        <f>T("D170672")</f>
        <v>D170672</v>
      </c>
      <c r="BG2210" t="str">
        <f>T("로판 웹소설 &gt; 서양풍 로판")</f>
        <v>로판 웹소설 &gt; 서양풍 로판</v>
      </c>
    </row>
    <row r="2211" spans="1:59">
      <c r="A2211" t="s">
        <v>60</v>
      </c>
      <c r="B2211" s="1">
        <v>46131</v>
      </c>
      <c r="C2211">
        <v>2378078803</v>
      </c>
      <c r="D2211">
        <v>2378078814</v>
      </c>
      <c r="E2211" t="str">
        <f>T("레이디 가넷의 나쁜 스캔들 활용법 12화")</f>
        <v>레이디 가넷의 나쁜 스캔들 활용법 12화</v>
      </c>
      <c r="F2211">
        <v>12</v>
      </c>
      <c r="G2211" t="str">
        <f>T("목화커피")</f>
        <v>목화커피</v>
      </c>
      <c r="J2211" t="str">
        <f>T("시계토끼")</f>
        <v>시계토끼</v>
      </c>
      <c r="K2211" t="str">
        <f>T("레이디 가넷의 나쁜 스캔들 활용법")</f>
        <v>레이디 가넷의 나쁜 스캔들 활용법</v>
      </c>
      <c r="L2211">
        <v>100</v>
      </c>
      <c r="M2211">
        <v>100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100</v>
      </c>
      <c r="AJ2211">
        <v>1</v>
      </c>
      <c r="AK2211">
        <v>0</v>
      </c>
      <c r="AL2211">
        <v>0</v>
      </c>
      <c r="AM2211">
        <v>100</v>
      </c>
      <c r="AN2211">
        <v>0</v>
      </c>
      <c r="AO2211">
        <v>0</v>
      </c>
      <c r="AP2211">
        <v>0</v>
      </c>
      <c r="AQ2211">
        <v>0</v>
      </c>
      <c r="AS2211">
        <v>0</v>
      </c>
      <c r="AT2211">
        <v>0</v>
      </c>
      <c r="AV2211">
        <v>0</v>
      </c>
      <c r="AW2211">
        <v>0</v>
      </c>
      <c r="AY2211">
        <v>0</v>
      </c>
      <c r="AZ2211">
        <v>0</v>
      </c>
      <c r="BA2211">
        <v>60</v>
      </c>
      <c r="BE2211" t="str">
        <f>T("9791172822101")</f>
        <v>9791172822101</v>
      </c>
      <c r="BF2211" t="str">
        <f>T("D170673")</f>
        <v>D170673</v>
      </c>
      <c r="BG2211" t="str">
        <f>T("로판 웹소설 &gt; 서양풍 로판")</f>
        <v>로판 웹소설 &gt; 서양풍 로판</v>
      </c>
    </row>
    <row r="2212" spans="1:59">
      <c r="A2212" t="s">
        <v>60</v>
      </c>
      <c r="B2212" s="1">
        <v>46131</v>
      </c>
      <c r="C2212">
        <v>2378078803</v>
      </c>
      <c r="D2212">
        <v>2378078815</v>
      </c>
      <c r="E2212" t="str">
        <f>T("레이디 가넷의 나쁜 스캔들 활용법 13화")</f>
        <v>레이디 가넷의 나쁜 스캔들 활용법 13화</v>
      </c>
      <c r="F2212">
        <v>13</v>
      </c>
      <c r="G2212" t="str">
        <f>T("목화커피")</f>
        <v>목화커피</v>
      </c>
      <c r="J2212" t="str">
        <f>T("시계토끼")</f>
        <v>시계토끼</v>
      </c>
      <c r="K2212" t="str">
        <f>T("레이디 가넷의 나쁜 스캔들 활용법")</f>
        <v>레이디 가넷의 나쁜 스캔들 활용법</v>
      </c>
      <c r="L2212">
        <v>100</v>
      </c>
      <c r="M2212">
        <v>100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100</v>
      </c>
      <c r="AJ2212">
        <v>1</v>
      </c>
      <c r="AK2212">
        <v>0</v>
      </c>
      <c r="AL2212">
        <v>0</v>
      </c>
      <c r="AM2212">
        <v>100</v>
      </c>
      <c r="AN2212">
        <v>0</v>
      </c>
      <c r="AO2212">
        <v>0</v>
      </c>
      <c r="AP2212">
        <v>0</v>
      </c>
      <c r="AQ2212">
        <v>0</v>
      </c>
      <c r="AS2212">
        <v>0</v>
      </c>
      <c r="AT2212">
        <v>0</v>
      </c>
      <c r="AV2212">
        <v>0</v>
      </c>
      <c r="AW2212">
        <v>0</v>
      </c>
      <c r="AY2212">
        <v>0</v>
      </c>
      <c r="AZ2212">
        <v>0</v>
      </c>
      <c r="BA2212">
        <v>60</v>
      </c>
      <c r="BE2212" t="str">
        <f>T("9791172822101")</f>
        <v>9791172822101</v>
      </c>
      <c r="BF2212" t="str">
        <f>T("D170674")</f>
        <v>D170674</v>
      </c>
      <c r="BG2212" t="str">
        <f>T("로판 웹소설 &gt; 서양풍 로판")</f>
        <v>로판 웹소설 &gt; 서양풍 로판</v>
      </c>
    </row>
    <row r="2213" spans="1:59">
      <c r="A2213" t="s">
        <v>60</v>
      </c>
      <c r="B2213" s="1">
        <v>46130</v>
      </c>
      <c r="C2213">
        <v>2378078893</v>
      </c>
      <c r="D2213">
        <v>2378078893</v>
      </c>
      <c r="E2213" t="str">
        <f>T("레이디 가넷의 나쁜 스캔들 활용법 (15세 개정판) 1화")</f>
        <v>레이디 가넷의 나쁜 스캔들 활용법 (15세 개정판) 1화</v>
      </c>
      <c r="F2213">
        <v>1</v>
      </c>
      <c r="G2213" t="str">
        <f>T("목화커피")</f>
        <v>목화커피</v>
      </c>
      <c r="J2213" t="str">
        <f>T("시계토끼")</f>
        <v>시계토끼</v>
      </c>
      <c r="K2213" t="str">
        <f>T("레이디 가넷의 나쁜 스캔들 활용법 (15세 개정판)")</f>
        <v>레이디 가넷의 나쁜 스캔들 활용법 (15세 개정판)</v>
      </c>
      <c r="L2213">
        <v>0</v>
      </c>
      <c r="M2213">
        <v>0</v>
      </c>
      <c r="N2213">
        <v>0</v>
      </c>
      <c r="O2213">
        <v>2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2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S2213">
        <v>0</v>
      </c>
      <c r="AT2213">
        <v>0</v>
      </c>
      <c r="AV2213">
        <v>0</v>
      </c>
      <c r="AW2213">
        <v>0</v>
      </c>
      <c r="AY2213">
        <v>0</v>
      </c>
      <c r="AZ2213">
        <v>0</v>
      </c>
      <c r="BA2213">
        <v>0</v>
      </c>
      <c r="BE2213" t="str">
        <f>T("9791172822118")</f>
        <v>9791172822118</v>
      </c>
      <c r="BF2213" t="str">
        <f>T("D170752")</f>
        <v>D170752</v>
      </c>
      <c r="BG2213" t="str">
        <f>T("로판 웹소설 &gt; 서양풍 로판")</f>
        <v>로판 웹소설 &gt; 서양풍 로판</v>
      </c>
    </row>
    <row r="2214" spans="1:59">
      <c r="A2214" t="s">
        <v>60</v>
      </c>
      <c r="B2214" s="1">
        <v>46129</v>
      </c>
      <c r="C2214">
        <v>2378066888</v>
      </c>
      <c r="D2214">
        <v>2378081085</v>
      </c>
      <c r="E2214" t="str">
        <f>T("마법사왕 아서 353화")</f>
        <v>마법사왕 아서 353화</v>
      </c>
      <c r="F2214">
        <v>354</v>
      </c>
      <c r="G2214" t="str">
        <f>T("하란사")</f>
        <v>하란사</v>
      </c>
      <c r="J2214" t="str">
        <f>T("매드햇")</f>
        <v>매드햇</v>
      </c>
      <c r="K2214" t="str">
        <f>T("마법사왕 아서")</f>
        <v>마법사왕 아서</v>
      </c>
      <c r="L2214">
        <v>100</v>
      </c>
      <c r="M2214">
        <v>100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100</v>
      </c>
      <c r="AJ2214">
        <v>1</v>
      </c>
      <c r="AK2214">
        <v>0</v>
      </c>
      <c r="AL2214">
        <v>0</v>
      </c>
      <c r="AM2214">
        <v>100</v>
      </c>
      <c r="AN2214">
        <v>0</v>
      </c>
      <c r="AO2214">
        <v>0</v>
      </c>
      <c r="AP2214">
        <v>0</v>
      </c>
      <c r="AQ2214">
        <v>0</v>
      </c>
      <c r="AS2214">
        <v>0</v>
      </c>
      <c r="AT2214">
        <v>0</v>
      </c>
      <c r="AV2214">
        <v>0</v>
      </c>
      <c r="AW2214">
        <v>0</v>
      </c>
      <c r="AY2214">
        <v>0</v>
      </c>
      <c r="AZ2214">
        <v>0</v>
      </c>
      <c r="BA2214">
        <v>60</v>
      </c>
      <c r="BE2214" t="str">
        <f>T("9791137019256")</f>
        <v>9791137019256</v>
      </c>
      <c r="BF2214" t="str">
        <f>T("D227160")</f>
        <v>D227160</v>
      </c>
      <c r="BG2214" t="str">
        <f>T("판타지 웹소설 &gt; 정통 판타지")</f>
        <v>판타지 웹소설 &gt; 정통 판타지</v>
      </c>
    </row>
    <row r="2215" spans="1:59">
      <c r="A2215" t="s">
        <v>60</v>
      </c>
      <c r="B2215" s="1">
        <v>46129</v>
      </c>
      <c r="C2215">
        <v>2378066888</v>
      </c>
      <c r="D2215">
        <v>2378081106</v>
      </c>
      <c r="E2215" t="str">
        <f>T("마법사왕 아서 354화")</f>
        <v>마법사왕 아서 354화</v>
      </c>
      <c r="F2215">
        <v>355</v>
      </c>
      <c r="G2215" t="str">
        <f>T("하란사")</f>
        <v>하란사</v>
      </c>
      <c r="J2215" t="str">
        <f>T("매드햇")</f>
        <v>매드햇</v>
      </c>
      <c r="K2215" t="str">
        <f>T("마법사왕 아서")</f>
        <v>마법사왕 아서</v>
      </c>
      <c r="L2215">
        <v>100</v>
      </c>
      <c r="M2215">
        <v>100</v>
      </c>
      <c r="N2215">
        <v>1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100</v>
      </c>
      <c r="AJ2215">
        <v>1</v>
      </c>
      <c r="AK2215">
        <v>0</v>
      </c>
      <c r="AL2215">
        <v>0</v>
      </c>
      <c r="AM2215">
        <v>100</v>
      </c>
      <c r="AN2215">
        <v>0</v>
      </c>
      <c r="AO2215">
        <v>0</v>
      </c>
      <c r="AP2215">
        <v>0</v>
      </c>
      <c r="AQ2215">
        <v>0</v>
      </c>
      <c r="AS2215">
        <v>0</v>
      </c>
      <c r="AT2215">
        <v>0</v>
      </c>
      <c r="AV2215">
        <v>0</v>
      </c>
      <c r="AW2215">
        <v>0</v>
      </c>
      <c r="AY2215">
        <v>0</v>
      </c>
      <c r="AZ2215">
        <v>0</v>
      </c>
      <c r="BA2215">
        <v>60</v>
      </c>
      <c r="BE2215" t="str">
        <f>T("9791137019256")</f>
        <v>9791137019256</v>
      </c>
      <c r="BF2215" t="str">
        <f>T("D227161")</f>
        <v>D227161</v>
      </c>
      <c r="BG2215" t="str">
        <f>T("판타지 웹소설 &gt; 정통 판타지")</f>
        <v>판타지 웹소설 &gt; 정통 판타지</v>
      </c>
    </row>
    <row r="2216" spans="1:59">
      <c r="A2216" t="s">
        <v>60</v>
      </c>
      <c r="B2216" s="1">
        <v>46129</v>
      </c>
      <c r="C2216">
        <v>2378066888</v>
      </c>
      <c r="D2216">
        <v>2378081199</v>
      </c>
      <c r="E2216" t="str">
        <f>T("마법사왕 아서 355화")</f>
        <v>마법사왕 아서 355화</v>
      </c>
      <c r="F2216">
        <v>356</v>
      </c>
      <c r="G2216" t="str">
        <f>T("하란사")</f>
        <v>하란사</v>
      </c>
      <c r="J2216" t="str">
        <f>T("매드햇")</f>
        <v>매드햇</v>
      </c>
      <c r="K2216" t="str">
        <f>T("마법사왕 아서")</f>
        <v>마법사왕 아서</v>
      </c>
      <c r="L2216">
        <v>100</v>
      </c>
      <c r="M2216">
        <v>100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100</v>
      </c>
      <c r="AJ2216">
        <v>1</v>
      </c>
      <c r="AK2216">
        <v>0</v>
      </c>
      <c r="AL2216">
        <v>0</v>
      </c>
      <c r="AM2216">
        <v>100</v>
      </c>
      <c r="AN2216">
        <v>0</v>
      </c>
      <c r="AO2216">
        <v>0</v>
      </c>
      <c r="AP2216">
        <v>0</v>
      </c>
      <c r="AQ2216">
        <v>0</v>
      </c>
      <c r="AS2216">
        <v>0</v>
      </c>
      <c r="AT2216">
        <v>0</v>
      </c>
      <c r="AV2216">
        <v>0</v>
      </c>
      <c r="AW2216">
        <v>0</v>
      </c>
      <c r="AY2216">
        <v>0</v>
      </c>
      <c r="AZ2216">
        <v>0</v>
      </c>
      <c r="BA2216">
        <v>60</v>
      </c>
      <c r="BE2216" t="str">
        <f>T("9791137019256")</f>
        <v>9791137019256</v>
      </c>
      <c r="BF2216" t="str">
        <f>T("D227162")</f>
        <v>D227162</v>
      </c>
      <c r="BG2216" t="str">
        <f>T("판타지 웹소설 &gt; 정통 판타지")</f>
        <v>판타지 웹소설 &gt; 정통 판타지</v>
      </c>
    </row>
    <row r="2217" spans="1:59">
      <c r="A2217" t="s">
        <v>60</v>
      </c>
      <c r="B2217" s="1">
        <v>46129</v>
      </c>
      <c r="C2217">
        <v>2378066888</v>
      </c>
      <c r="D2217">
        <v>2378081222</v>
      </c>
      <c r="E2217" t="str">
        <f>T("마법사왕 아서 356화")</f>
        <v>마법사왕 아서 356화</v>
      </c>
      <c r="F2217">
        <v>357</v>
      </c>
      <c r="G2217" t="str">
        <f>T("하란사")</f>
        <v>하란사</v>
      </c>
      <c r="J2217" t="str">
        <f>T("매드햇")</f>
        <v>매드햇</v>
      </c>
      <c r="K2217" t="str">
        <f>T("마법사왕 아서")</f>
        <v>마법사왕 아서</v>
      </c>
      <c r="L2217">
        <v>100</v>
      </c>
      <c r="M2217">
        <v>100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100</v>
      </c>
      <c r="AJ2217">
        <v>1</v>
      </c>
      <c r="AK2217">
        <v>0</v>
      </c>
      <c r="AL2217">
        <v>0</v>
      </c>
      <c r="AM2217">
        <v>100</v>
      </c>
      <c r="AN2217">
        <v>0</v>
      </c>
      <c r="AO2217">
        <v>0</v>
      </c>
      <c r="AP2217">
        <v>0</v>
      </c>
      <c r="AQ2217">
        <v>0</v>
      </c>
      <c r="AS2217">
        <v>0</v>
      </c>
      <c r="AT2217">
        <v>0</v>
      </c>
      <c r="AV2217">
        <v>0</v>
      </c>
      <c r="AW2217">
        <v>0</v>
      </c>
      <c r="AY2217">
        <v>0</v>
      </c>
      <c r="AZ2217">
        <v>0</v>
      </c>
      <c r="BA2217">
        <v>60</v>
      </c>
      <c r="BE2217" t="str">
        <f>T("9791137019256")</f>
        <v>9791137019256</v>
      </c>
      <c r="BF2217" t="str">
        <f>T("D227163")</f>
        <v>D227163</v>
      </c>
      <c r="BG2217" t="str">
        <f>T("판타지 웹소설 &gt; 정통 판타지")</f>
        <v>판타지 웹소설 &gt; 정통 판타지</v>
      </c>
    </row>
    <row r="2218" spans="1:59">
      <c r="A2218" t="s">
        <v>60</v>
      </c>
      <c r="B2218" s="1">
        <v>46129</v>
      </c>
      <c r="C2218">
        <v>2378066888</v>
      </c>
      <c r="D2218">
        <v>2378081235</v>
      </c>
      <c r="E2218" t="str">
        <f>T("마법사왕 아서 357화")</f>
        <v>마법사왕 아서 357화</v>
      </c>
      <c r="F2218">
        <v>358</v>
      </c>
      <c r="G2218" t="str">
        <f>T("하란사")</f>
        <v>하란사</v>
      </c>
      <c r="J2218" t="str">
        <f>T("매드햇")</f>
        <v>매드햇</v>
      </c>
      <c r="K2218" t="str">
        <f>T("마법사왕 아서")</f>
        <v>마법사왕 아서</v>
      </c>
      <c r="L2218">
        <v>100</v>
      </c>
      <c r="M2218">
        <v>100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100</v>
      </c>
      <c r="AJ2218">
        <v>1</v>
      </c>
      <c r="AK2218">
        <v>0</v>
      </c>
      <c r="AL2218">
        <v>0</v>
      </c>
      <c r="AM2218">
        <v>100</v>
      </c>
      <c r="AN2218">
        <v>0</v>
      </c>
      <c r="AO2218">
        <v>0</v>
      </c>
      <c r="AP2218">
        <v>0</v>
      </c>
      <c r="AQ2218">
        <v>0</v>
      </c>
      <c r="AS2218">
        <v>0</v>
      </c>
      <c r="AT2218">
        <v>0</v>
      </c>
      <c r="AV2218">
        <v>0</v>
      </c>
      <c r="AW2218">
        <v>0</v>
      </c>
      <c r="AY2218">
        <v>0</v>
      </c>
      <c r="AZ2218">
        <v>0</v>
      </c>
      <c r="BA2218">
        <v>60</v>
      </c>
      <c r="BE2218" t="str">
        <f>T("9791137019256")</f>
        <v>9791137019256</v>
      </c>
      <c r="BF2218" t="str">
        <f>T("D227164")</f>
        <v>D227164</v>
      </c>
      <c r="BG2218" t="str">
        <f>T("판타지 웹소설 &gt; 정통 판타지")</f>
        <v>판타지 웹소설 &gt; 정통 판타지</v>
      </c>
    </row>
    <row r="2219" spans="1:59">
      <c r="A2219" t="s">
        <v>60</v>
      </c>
      <c r="B2219" s="1">
        <v>46129</v>
      </c>
      <c r="C2219">
        <v>2378066888</v>
      </c>
      <c r="D2219">
        <v>2378081238</v>
      </c>
      <c r="E2219" t="str">
        <f>T("마법사왕 아서 358화")</f>
        <v>마법사왕 아서 358화</v>
      </c>
      <c r="F2219">
        <v>359</v>
      </c>
      <c r="G2219" t="str">
        <f>T("하란사")</f>
        <v>하란사</v>
      </c>
      <c r="J2219" t="str">
        <f>T("매드햇")</f>
        <v>매드햇</v>
      </c>
      <c r="K2219" t="str">
        <f>T("마법사왕 아서")</f>
        <v>마법사왕 아서</v>
      </c>
      <c r="L2219">
        <v>100</v>
      </c>
      <c r="M2219">
        <v>100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100</v>
      </c>
      <c r="AJ2219">
        <v>1</v>
      </c>
      <c r="AK2219">
        <v>0</v>
      </c>
      <c r="AL2219">
        <v>0</v>
      </c>
      <c r="AM2219">
        <v>100</v>
      </c>
      <c r="AN2219">
        <v>0</v>
      </c>
      <c r="AO2219">
        <v>0</v>
      </c>
      <c r="AP2219">
        <v>0</v>
      </c>
      <c r="AQ2219">
        <v>0</v>
      </c>
      <c r="AS2219">
        <v>0</v>
      </c>
      <c r="AT2219">
        <v>0</v>
      </c>
      <c r="AV2219">
        <v>0</v>
      </c>
      <c r="AW2219">
        <v>0</v>
      </c>
      <c r="AY2219">
        <v>0</v>
      </c>
      <c r="AZ2219">
        <v>0</v>
      </c>
      <c r="BA2219">
        <v>60</v>
      </c>
      <c r="BE2219" t="str">
        <f>T("9791137019256")</f>
        <v>9791137019256</v>
      </c>
      <c r="BG2219" t="str">
        <f>T("판타지 웹소설 &gt; 정통 판타지")</f>
        <v>판타지 웹소설 &gt; 정통 판타지</v>
      </c>
    </row>
    <row r="2220" spans="1:59">
      <c r="A2220" t="s">
        <v>60</v>
      </c>
      <c r="B2220" s="1">
        <v>46129</v>
      </c>
      <c r="C2220">
        <v>2378066888</v>
      </c>
      <c r="D2220">
        <v>2378066938</v>
      </c>
      <c r="E2220" t="str">
        <f>T("마법사왕 아서 51화")</f>
        <v>마법사왕 아서 51화</v>
      </c>
      <c r="F2220">
        <v>51</v>
      </c>
      <c r="G2220" t="str">
        <f>T("하란사")</f>
        <v>하란사</v>
      </c>
      <c r="J2220" t="str">
        <f>T("매드햇")</f>
        <v>매드햇</v>
      </c>
      <c r="K2220" t="str">
        <f>T("마법사왕 아서")</f>
        <v>마법사왕 아서</v>
      </c>
      <c r="L2220">
        <v>100</v>
      </c>
      <c r="M2220">
        <v>100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100</v>
      </c>
      <c r="AJ2220">
        <v>1</v>
      </c>
      <c r="AK2220">
        <v>0</v>
      </c>
      <c r="AL2220">
        <v>0</v>
      </c>
      <c r="AM2220">
        <v>100</v>
      </c>
      <c r="AN2220">
        <v>0</v>
      </c>
      <c r="AO2220">
        <v>0</v>
      </c>
      <c r="AP2220">
        <v>0</v>
      </c>
      <c r="AQ2220">
        <v>0</v>
      </c>
      <c r="AS2220">
        <v>0</v>
      </c>
      <c r="AT2220">
        <v>0</v>
      </c>
      <c r="AV2220">
        <v>0</v>
      </c>
      <c r="AW2220">
        <v>0</v>
      </c>
      <c r="AY2220">
        <v>0</v>
      </c>
      <c r="AZ2220">
        <v>0</v>
      </c>
      <c r="BA2220">
        <v>60</v>
      </c>
      <c r="BE2220" t="str">
        <f>T("9791137019256")</f>
        <v>9791137019256</v>
      </c>
      <c r="BF2220" t="str">
        <f>T("k315162")</f>
        <v>k315162</v>
      </c>
      <c r="BG2220" t="str">
        <f>T("판타지 웹소설 &gt; 정통 판타지")</f>
        <v>판타지 웹소설 &gt; 정통 판타지</v>
      </c>
    </row>
    <row r="2221" spans="1:59">
      <c r="A2221" t="s">
        <v>60</v>
      </c>
      <c r="B2221" s="1">
        <v>46129</v>
      </c>
      <c r="C2221">
        <v>2378066888</v>
      </c>
      <c r="D2221">
        <v>2378066939</v>
      </c>
      <c r="E2221" t="str">
        <f>T("마법사왕 아서 52화")</f>
        <v>마법사왕 아서 52화</v>
      </c>
      <c r="F2221">
        <v>52</v>
      </c>
      <c r="G2221" t="str">
        <f>T("하란사")</f>
        <v>하란사</v>
      </c>
      <c r="J2221" t="str">
        <f>T("매드햇")</f>
        <v>매드햇</v>
      </c>
      <c r="K2221" t="str">
        <f>T("마법사왕 아서")</f>
        <v>마법사왕 아서</v>
      </c>
      <c r="L2221">
        <v>100</v>
      </c>
      <c r="M2221">
        <v>100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100</v>
      </c>
      <c r="AJ2221">
        <v>1</v>
      </c>
      <c r="AK2221">
        <v>0</v>
      </c>
      <c r="AL2221">
        <v>0</v>
      </c>
      <c r="AM2221">
        <v>100</v>
      </c>
      <c r="AN2221">
        <v>0</v>
      </c>
      <c r="AO2221">
        <v>0</v>
      </c>
      <c r="AP2221">
        <v>0</v>
      </c>
      <c r="AQ2221">
        <v>0</v>
      </c>
      <c r="AS2221">
        <v>0</v>
      </c>
      <c r="AT2221">
        <v>0</v>
      </c>
      <c r="AV2221">
        <v>0</v>
      </c>
      <c r="AW2221">
        <v>0</v>
      </c>
      <c r="AY2221">
        <v>0</v>
      </c>
      <c r="AZ2221">
        <v>0</v>
      </c>
      <c r="BA2221">
        <v>60</v>
      </c>
      <c r="BE2221" t="str">
        <f>T("9791137019256")</f>
        <v>9791137019256</v>
      </c>
      <c r="BF2221" t="str">
        <f>T("k315163")</f>
        <v>k315163</v>
      </c>
      <c r="BG2221" t="str">
        <f>T("판타지 웹소설 &gt; 정통 판타지")</f>
        <v>판타지 웹소설 &gt; 정통 판타지</v>
      </c>
    </row>
    <row r="2222" spans="1:59">
      <c r="A2222" t="s">
        <v>60</v>
      </c>
      <c r="B2222" s="1">
        <v>46129</v>
      </c>
      <c r="C2222">
        <v>2378066888</v>
      </c>
      <c r="D2222">
        <v>2378066940</v>
      </c>
      <c r="E2222" t="str">
        <f>T("마법사왕 아서 53화")</f>
        <v>마법사왕 아서 53화</v>
      </c>
      <c r="F2222">
        <v>53</v>
      </c>
      <c r="G2222" t="str">
        <f>T("하란사")</f>
        <v>하란사</v>
      </c>
      <c r="J2222" t="str">
        <f>T("매드햇")</f>
        <v>매드햇</v>
      </c>
      <c r="K2222" t="str">
        <f>T("마법사왕 아서")</f>
        <v>마법사왕 아서</v>
      </c>
      <c r="L2222">
        <v>100</v>
      </c>
      <c r="M2222">
        <v>100</v>
      </c>
      <c r="N2222">
        <v>1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0</v>
      </c>
      <c r="AI2222">
        <v>100</v>
      </c>
      <c r="AJ2222">
        <v>1</v>
      </c>
      <c r="AK2222">
        <v>0</v>
      </c>
      <c r="AL2222">
        <v>0</v>
      </c>
      <c r="AM2222">
        <v>100</v>
      </c>
      <c r="AN2222">
        <v>0</v>
      </c>
      <c r="AO2222">
        <v>0</v>
      </c>
      <c r="AP2222">
        <v>0</v>
      </c>
      <c r="AQ2222">
        <v>0</v>
      </c>
      <c r="AS2222">
        <v>0</v>
      </c>
      <c r="AT2222">
        <v>0</v>
      </c>
      <c r="AV2222">
        <v>0</v>
      </c>
      <c r="AW2222">
        <v>0</v>
      </c>
      <c r="AY2222">
        <v>0</v>
      </c>
      <c r="AZ2222">
        <v>0</v>
      </c>
      <c r="BA2222">
        <v>60</v>
      </c>
      <c r="BE2222" t="str">
        <f>T("9791137019256")</f>
        <v>9791137019256</v>
      </c>
      <c r="BF2222" t="str">
        <f>T("k315164")</f>
        <v>k315164</v>
      </c>
      <c r="BG2222" t="str">
        <f>T("판타지 웹소설 &gt; 정통 판타지")</f>
        <v>판타지 웹소설 &gt; 정통 판타지</v>
      </c>
    </row>
    <row r="2223" spans="1:59">
      <c r="A2223" t="s">
        <v>60</v>
      </c>
      <c r="B2223" s="1">
        <v>46129</v>
      </c>
      <c r="C2223">
        <v>2378066888</v>
      </c>
      <c r="D2223">
        <v>2378066941</v>
      </c>
      <c r="E2223" t="str">
        <f>T("마법사왕 아서 54화")</f>
        <v>마법사왕 아서 54화</v>
      </c>
      <c r="F2223">
        <v>54</v>
      </c>
      <c r="G2223" t="str">
        <f>T("하란사")</f>
        <v>하란사</v>
      </c>
      <c r="J2223" t="str">
        <f>T("매드햇")</f>
        <v>매드햇</v>
      </c>
      <c r="K2223" t="str">
        <f>T("마법사왕 아서")</f>
        <v>마법사왕 아서</v>
      </c>
      <c r="L2223">
        <v>100</v>
      </c>
      <c r="M2223">
        <v>100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100</v>
      </c>
      <c r="AJ2223">
        <v>1</v>
      </c>
      <c r="AK2223">
        <v>0</v>
      </c>
      <c r="AL2223">
        <v>0</v>
      </c>
      <c r="AM2223">
        <v>100</v>
      </c>
      <c r="AN2223">
        <v>0</v>
      </c>
      <c r="AO2223">
        <v>0</v>
      </c>
      <c r="AP2223">
        <v>0</v>
      </c>
      <c r="AQ2223">
        <v>0</v>
      </c>
      <c r="AS2223">
        <v>0</v>
      </c>
      <c r="AT2223">
        <v>0</v>
      </c>
      <c r="AV2223">
        <v>0</v>
      </c>
      <c r="AW2223">
        <v>0</v>
      </c>
      <c r="AY2223">
        <v>0</v>
      </c>
      <c r="AZ2223">
        <v>0</v>
      </c>
      <c r="BA2223">
        <v>60</v>
      </c>
      <c r="BE2223" t="str">
        <f>T("9791137019256")</f>
        <v>9791137019256</v>
      </c>
      <c r="BF2223" t="str">
        <f>T("k315165")</f>
        <v>k315165</v>
      </c>
      <c r="BG2223" t="str">
        <f>T("판타지 웹소설 &gt; 정통 판타지")</f>
        <v>판타지 웹소설 &gt; 정통 판타지</v>
      </c>
    </row>
    <row r="2224" spans="1:59">
      <c r="A2224" t="s">
        <v>60</v>
      </c>
      <c r="B2224" s="1">
        <v>46129</v>
      </c>
      <c r="C2224">
        <v>2378066888</v>
      </c>
      <c r="D2224">
        <v>2378066942</v>
      </c>
      <c r="E2224" t="str">
        <f>T("마법사왕 아서 55화")</f>
        <v>마법사왕 아서 55화</v>
      </c>
      <c r="F2224">
        <v>55</v>
      </c>
      <c r="G2224" t="str">
        <f>T("하란사")</f>
        <v>하란사</v>
      </c>
      <c r="J2224" t="str">
        <f>T("매드햇")</f>
        <v>매드햇</v>
      </c>
      <c r="K2224" t="str">
        <f>T("마법사왕 아서")</f>
        <v>마법사왕 아서</v>
      </c>
      <c r="L2224">
        <v>100</v>
      </c>
      <c r="M2224">
        <v>100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100</v>
      </c>
      <c r="AJ2224">
        <v>1</v>
      </c>
      <c r="AK2224">
        <v>0</v>
      </c>
      <c r="AL2224">
        <v>0</v>
      </c>
      <c r="AM2224">
        <v>100</v>
      </c>
      <c r="AN2224">
        <v>0</v>
      </c>
      <c r="AO2224">
        <v>0</v>
      </c>
      <c r="AP2224">
        <v>0</v>
      </c>
      <c r="AQ2224">
        <v>0</v>
      </c>
      <c r="AS2224">
        <v>0</v>
      </c>
      <c r="AT2224">
        <v>0</v>
      </c>
      <c r="AV2224">
        <v>0</v>
      </c>
      <c r="AW2224">
        <v>0</v>
      </c>
      <c r="AY2224">
        <v>0</v>
      </c>
      <c r="AZ2224">
        <v>0</v>
      </c>
      <c r="BA2224">
        <v>60</v>
      </c>
      <c r="BE2224" t="str">
        <f>T("9791137019256")</f>
        <v>9791137019256</v>
      </c>
      <c r="BF2224" t="str">
        <f>T("k315166")</f>
        <v>k315166</v>
      </c>
      <c r="BG2224" t="str">
        <f>T("판타지 웹소설 &gt; 정통 판타지")</f>
        <v>판타지 웹소설 &gt; 정통 판타지</v>
      </c>
    </row>
    <row r="2225" spans="1:59">
      <c r="A2225" t="s">
        <v>60</v>
      </c>
      <c r="B2225" s="1">
        <v>46129</v>
      </c>
      <c r="C2225">
        <v>2378066888</v>
      </c>
      <c r="D2225">
        <v>2378066943</v>
      </c>
      <c r="E2225" t="str">
        <f>T("마법사왕 아서 56화")</f>
        <v>마법사왕 아서 56화</v>
      </c>
      <c r="F2225">
        <v>56</v>
      </c>
      <c r="G2225" t="str">
        <f>T("하란사")</f>
        <v>하란사</v>
      </c>
      <c r="J2225" t="str">
        <f>T("매드햇")</f>
        <v>매드햇</v>
      </c>
      <c r="K2225" t="str">
        <f>T("마법사왕 아서")</f>
        <v>마법사왕 아서</v>
      </c>
      <c r="L2225">
        <v>100</v>
      </c>
      <c r="M2225">
        <v>100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100</v>
      </c>
      <c r="AJ2225">
        <v>1</v>
      </c>
      <c r="AK2225">
        <v>0</v>
      </c>
      <c r="AL2225">
        <v>0</v>
      </c>
      <c r="AM2225">
        <v>100</v>
      </c>
      <c r="AN2225">
        <v>0</v>
      </c>
      <c r="AO2225">
        <v>0</v>
      </c>
      <c r="AP2225">
        <v>0</v>
      </c>
      <c r="AQ2225">
        <v>0</v>
      </c>
      <c r="AS2225">
        <v>0</v>
      </c>
      <c r="AT2225">
        <v>0</v>
      </c>
      <c r="AV2225">
        <v>0</v>
      </c>
      <c r="AW2225">
        <v>0</v>
      </c>
      <c r="AY2225">
        <v>0</v>
      </c>
      <c r="AZ2225">
        <v>0</v>
      </c>
      <c r="BA2225">
        <v>60</v>
      </c>
      <c r="BE2225" t="str">
        <f>T("9791137019256")</f>
        <v>9791137019256</v>
      </c>
      <c r="BF2225" t="str">
        <f>T("k315167")</f>
        <v>k315167</v>
      </c>
      <c r="BG2225" t="str">
        <f>T("판타지 웹소설 &gt; 정통 판타지")</f>
        <v>판타지 웹소설 &gt; 정통 판타지</v>
      </c>
    </row>
    <row r="2226" spans="1:59">
      <c r="A2226" t="s">
        <v>60</v>
      </c>
      <c r="B2226" s="1">
        <v>46129</v>
      </c>
      <c r="C2226">
        <v>2378066888</v>
      </c>
      <c r="D2226">
        <v>2378066945</v>
      </c>
      <c r="E2226" t="str">
        <f>T("마법사왕 아서 58화")</f>
        <v>마법사왕 아서 58화</v>
      </c>
      <c r="F2226">
        <v>58</v>
      </c>
      <c r="G2226" t="str">
        <f>T("하란사")</f>
        <v>하란사</v>
      </c>
      <c r="J2226" t="str">
        <f>T("매드햇")</f>
        <v>매드햇</v>
      </c>
      <c r="K2226" t="str">
        <f>T("마법사왕 아서")</f>
        <v>마법사왕 아서</v>
      </c>
      <c r="L2226">
        <v>100</v>
      </c>
      <c r="M2226">
        <v>100</v>
      </c>
      <c r="N2226">
        <v>1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0</v>
      </c>
      <c r="AI2226">
        <v>100</v>
      </c>
      <c r="AJ2226">
        <v>1</v>
      </c>
      <c r="AK2226">
        <v>0</v>
      </c>
      <c r="AL2226">
        <v>0</v>
      </c>
      <c r="AM2226">
        <v>100</v>
      </c>
      <c r="AN2226">
        <v>0</v>
      </c>
      <c r="AO2226">
        <v>0</v>
      </c>
      <c r="AP2226">
        <v>0</v>
      </c>
      <c r="AQ2226">
        <v>0</v>
      </c>
      <c r="AS2226">
        <v>0</v>
      </c>
      <c r="AT2226">
        <v>0</v>
      </c>
      <c r="AV2226">
        <v>0</v>
      </c>
      <c r="AW2226">
        <v>0</v>
      </c>
      <c r="AY2226">
        <v>0</v>
      </c>
      <c r="AZ2226">
        <v>0</v>
      </c>
      <c r="BA2226">
        <v>60</v>
      </c>
      <c r="BE2226" t="str">
        <f>T("9791137019256")</f>
        <v>9791137019256</v>
      </c>
      <c r="BF2226" t="str">
        <f>T("k315169")</f>
        <v>k315169</v>
      </c>
      <c r="BG2226" t="str">
        <f>T("판타지 웹소설 &gt; 정통 판타지")</f>
        <v>판타지 웹소설 &gt; 정통 판타지</v>
      </c>
    </row>
    <row r="2227" spans="1:59">
      <c r="A2227" t="s">
        <v>60</v>
      </c>
      <c r="B2227" s="1">
        <v>46129</v>
      </c>
      <c r="C2227">
        <v>2378066888</v>
      </c>
      <c r="D2227">
        <v>2378066946</v>
      </c>
      <c r="E2227" t="str">
        <f>T("마법사왕 아서 59화")</f>
        <v>마법사왕 아서 59화</v>
      </c>
      <c r="F2227">
        <v>59</v>
      </c>
      <c r="G2227" t="str">
        <f>T("하란사")</f>
        <v>하란사</v>
      </c>
      <c r="J2227" t="str">
        <f>T("매드햇")</f>
        <v>매드햇</v>
      </c>
      <c r="K2227" t="str">
        <f>T("마법사왕 아서")</f>
        <v>마법사왕 아서</v>
      </c>
      <c r="L2227">
        <v>100</v>
      </c>
      <c r="M2227">
        <v>100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100</v>
      </c>
      <c r="AJ2227">
        <v>1</v>
      </c>
      <c r="AK2227">
        <v>0</v>
      </c>
      <c r="AL2227">
        <v>0</v>
      </c>
      <c r="AM2227">
        <v>100</v>
      </c>
      <c r="AN2227">
        <v>0</v>
      </c>
      <c r="AO2227">
        <v>0</v>
      </c>
      <c r="AP2227">
        <v>0</v>
      </c>
      <c r="AQ2227">
        <v>0</v>
      </c>
      <c r="AS2227">
        <v>0</v>
      </c>
      <c r="AT2227">
        <v>0</v>
      </c>
      <c r="AV2227">
        <v>0</v>
      </c>
      <c r="AW2227">
        <v>0</v>
      </c>
      <c r="AY2227">
        <v>0</v>
      </c>
      <c r="AZ2227">
        <v>0</v>
      </c>
      <c r="BA2227">
        <v>60</v>
      </c>
      <c r="BE2227" t="str">
        <f>T("9791137019256")</f>
        <v>9791137019256</v>
      </c>
      <c r="BF2227" t="str">
        <f>T("k315170")</f>
        <v>k315170</v>
      </c>
      <c r="BG2227" t="str">
        <f>T("판타지 웹소설 &gt; 정통 판타지")</f>
        <v>판타지 웹소설 &gt; 정통 판타지</v>
      </c>
    </row>
    <row r="2228" spans="1:59">
      <c r="A2228" t="s">
        <v>60</v>
      </c>
      <c r="B2228" s="1">
        <v>46129</v>
      </c>
      <c r="C2228">
        <v>2378066888</v>
      </c>
      <c r="D2228">
        <v>2378066947</v>
      </c>
      <c r="E2228" t="str">
        <f>T("마법사왕 아서 60화")</f>
        <v>마법사왕 아서 60화</v>
      </c>
      <c r="F2228">
        <v>60</v>
      </c>
      <c r="G2228" t="str">
        <f>T("하란사")</f>
        <v>하란사</v>
      </c>
      <c r="J2228" t="str">
        <f>T("매드햇")</f>
        <v>매드햇</v>
      </c>
      <c r="K2228" t="str">
        <f>T("마법사왕 아서")</f>
        <v>마법사왕 아서</v>
      </c>
      <c r="L2228">
        <v>100</v>
      </c>
      <c r="M2228">
        <v>100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100</v>
      </c>
      <c r="AJ2228">
        <v>1</v>
      </c>
      <c r="AK2228">
        <v>0</v>
      </c>
      <c r="AL2228">
        <v>0</v>
      </c>
      <c r="AM2228">
        <v>100</v>
      </c>
      <c r="AN2228">
        <v>0</v>
      </c>
      <c r="AO2228">
        <v>0</v>
      </c>
      <c r="AP2228">
        <v>0</v>
      </c>
      <c r="AQ2228">
        <v>0</v>
      </c>
      <c r="AS2228">
        <v>0</v>
      </c>
      <c r="AT2228">
        <v>0</v>
      </c>
      <c r="AV2228">
        <v>0</v>
      </c>
      <c r="AW2228">
        <v>0</v>
      </c>
      <c r="AY2228">
        <v>0</v>
      </c>
      <c r="AZ2228">
        <v>0</v>
      </c>
      <c r="BA2228">
        <v>60</v>
      </c>
      <c r="BE2228" t="str">
        <f>T("9791137019256")</f>
        <v>9791137019256</v>
      </c>
      <c r="BF2228" t="str">
        <f>T("k315171")</f>
        <v>k315171</v>
      </c>
      <c r="BG2228" t="str">
        <f>T("판타지 웹소설 &gt; 정통 판타지")</f>
        <v>판타지 웹소설 &gt; 정통 판타지</v>
      </c>
    </row>
    <row r="2229" spans="1:59">
      <c r="A2229" t="s">
        <v>60</v>
      </c>
      <c r="B2229" s="1">
        <v>46129</v>
      </c>
      <c r="C2229">
        <v>2378066888</v>
      </c>
      <c r="D2229">
        <v>2378066948</v>
      </c>
      <c r="E2229" t="str">
        <f>T("마법사왕 아서 61화")</f>
        <v>마법사왕 아서 61화</v>
      </c>
      <c r="F2229">
        <v>61</v>
      </c>
      <c r="G2229" t="str">
        <f>T("하란사")</f>
        <v>하란사</v>
      </c>
      <c r="J2229" t="str">
        <f>T("매드햇")</f>
        <v>매드햇</v>
      </c>
      <c r="K2229" t="str">
        <f>T("마법사왕 아서")</f>
        <v>마법사왕 아서</v>
      </c>
      <c r="L2229">
        <v>100</v>
      </c>
      <c r="M2229">
        <v>100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100</v>
      </c>
      <c r="AJ2229">
        <v>1</v>
      </c>
      <c r="AK2229">
        <v>0</v>
      </c>
      <c r="AL2229">
        <v>0</v>
      </c>
      <c r="AM2229">
        <v>100</v>
      </c>
      <c r="AN2229">
        <v>0</v>
      </c>
      <c r="AO2229">
        <v>0</v>
      </c>
      <c r="AP2229">
        <v>0</v>
      </c>
      <c r="AQ2229">
        <v>0</v>
      </c>
      <c r="AS2229">
        <v>0</v>
      </c>
      <c r="AT2229">
        <v>0</v>
      </c>
      <c r="AV2229">
        <v>0</v>
      </c>
      <c r="AW2229">
        <v>0</v>
      </c>
      <c r="AY2229">
        <v>0</v>
      </c>
      <c r="AZ2229">
        <v>0</v>
      </c>
      <c r="BA2229">
        <v>60</v>
      </c>
      <c r="BE2229" t="str">
        <f>T("9791137019256")</f>
        <v>9791137019256</v>
      </c>
      <c r="BF2229" t="str">
        <f>T("k315172")</f>
        <v>k315172</v>
      </c>
      <c r="BG2229" t="str">
        <f>T("판타지 웹소설 &gt; 정통 판타지")</f>
        <v>판타지 웹소설 &gt; 정통 판타지</v>
      </c>
    </row>
    <row r="2230" spans="1:59">
      <c r="A2230" t="s">
        <v>60</v>
      </c>
      <c r="B2230" s="1">
        <v>46129</v>
      </c>
      <c r="C2230">
        <v>2378066888</v>
      </c>
      <c r="D2230">
        <v>2378066949</v>
      </c>
      <c r="E2230" t="str">
        <f>T("마법사왕 아서 62화")</f>
        <v>마법사왕 아서 62화</v>
      </c>
      <c r="F2230">
        <v>62</v>
      </c>
      <c r="G2230" t="str">
        <f>T("하란사")</f>
        <v>하란사</v>
      </c>
      <c r="J2230" t="str">
        <f>T("매드햇")</f>
        <v>매드햇</v>
      </c>
      <c r="K2230" t="str">
        <f>T("마법사왕 아서")</f>
        <v>마법사왕 아서</v>
      </c>
      <c r="L2230">
        <v>100</v>
      </c>
      <c r="M2230">
        <v>100</v>
      </c>
      <c r="N2230">
        <v>1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0</v>
      </c>
      <c r="AI2230">
        <v>100</v>
      </c>
      <c r="AJ2230">
        <v>1</v>
      </c>
      <c r="AK2230">
        <v>0</v>
      </c>
      <c r="AL2230">
        <v>0</v>
      </c>
      <c r="AM2230">
        <v>100</v>
      </c>
      <c r="AN2230">
        <v>0</v>
      </c>
      <c r="AO2230">
        <v>0</v>
      </c>
      <c r="AP2230">
        <v>0</v>
      </c>
      <c r="AQ2230">
        <v>0</v>
      </c>
      <c r="AS2230">
        <v>0</v>
      </c>
      <c r="AT2230">
        <v>0</v>
      </c>
      <c r="AV2230">
        <v>0</v>
      </c>
      <c r="AW2230">
        <v>0</v>
      </c>
      <c r="AY2230">
        <v>0</v>
      </c>
      <c r="AZ2230">
        <v>0</v>
      </c>
      <c r="BA2230">
        <v>60</v>
      </c>
      <c r="BE2230" t="str">
        <f>T("9791137019256")</f>
        <v>9791137019256</v>
      </c>
      <c r="BF2230" t="str">
        <f>T("k315173")</f>
        <v>k315173</v>
      </c>
      <c r="BG2230" t="str">
        <f>T("판타지 웹소설 &gt; 정통 판타지")</f>
        <v>판타지 웹소설 &gt; 정통 판타지</v>
      </c>
    </row>
    <row r="2231" spans="1:59">
      <c r="A2231" t="s">
        <v>60</v>
      </c>
      <c r="B2231" s="1">
        <v>46129</v>
      </c>
      <c r="C2231">
        <v>2378066888</v>
      </c>
      <c r="D2231">
        <v>2378066950</v>
      </c>
      <c r="E2231" t="str">
        <f>T("마법사왕 아서 63화")</f>
        <v>마법사왕 아서 63화</v>
      </c>
      <c r="F2231">
        <v>63</v>
      </c>
      <c r="G2231" t="str">
        <f>T("하란사")</f>
        <v>하란사</v>
      </c>
      <c r="J2231" t="str">
        <f>T("매드햇")</f>
        <v>매드햇</v>
      </c>
      <c r="K2231" t="str">
        <f>T("마법사왕 아서")</f>
        <v>마법사왕 아서</v>
      </c>
      <c r="L2231">
        <v>100</v>
      </c>
      <c r="M2231">
        <v>100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100</v>
      </c>
      <c r="AJ2231">
        <v>1</v>
      </c>
      <c r="AK2231">
        <v>0</v>
      </c>
      <c r="AL2231">
        <v>0</v>
      </c>
      <c r="AM2231">
        <v>100</v>
      </c>
      <c r="AN2231">
        <v>0</v>
      </c>
      <c r="AO2231">
        <v>0</v>
      </c>
      <c r="AP2231">
        <v>0</v>
      </c>
      <c r="AQ2231">
        <v>0</v>
      </c>
      <c r="AS2231">
        <v>0</v>
      </c>
      <c r="AT2231">
        <v>0</v>
      </c>
      <c r="AV2231">
        <v>0</v>
      </c>
      <c r="AW2231">
        <v>0</v>
      </c>
      <c r="AY2231">
        <v>0</v>
      </c>
      <c r="AZ2231">
        <v>0</v>
      </c>
      <c r="BA2231">
        <v>60</v>
      </c>
      <c r="BE2231" t="str">
        <f>T("9791137019256")</f>
        <v>9791137019256</v>
      </c>
      <c r="BF2231" t="str">
        <f>T("k315174")</f>
        <v>k315174</v>
      </c>
      <c r="BG2231" t="str">
        <f>T("판타지 웹소설 &gt; 정통 판타지")</f>
        <v>판타지 웹소설 &gt; 정통 판타지</v>
      </c>
    </row>
    <row r="2232" spans="1:59">
      <c r="A2232" t="s">
        <v>60</v>
      </c>
      <c r="B2232" s="1">
        <v>46129</v>
      </c>
      <c r="C2232">
        <v>2378066888</v>
      </c>
      <c r="D2232">
        <v>2378066951</v>
      </c>
      <c r="E2232" t="str">
        <f>T("마법사왕 아서 64화")</f>
        <v>마법사왕 아서 64화</v>
      </c>
      <c r="F2232">
        <v>64</v>
      </c>
      <c r="G2232" t="str">
        <f>T("하란사")</f>
        <v>하란사</v>
      </c>
      <c r="J2232" t="str">
        <f>T("매드햇")</f>
        <v>매드햇</v>
      </c>
      <c r="K2232" t="str">
        <f>T("마법사왕 아서")</f>
        <v>마법사왕 아서</v>
      </c>
      <c r="L2232">
        <v>100</v>
      </c>
      <c r="M2232">
        <v>100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100</v>
      </c>
      <c r="AJ2232">
        <v>1</v>
      </c>
      <c r="AK2232">
        <v>0</v>
      </c>
      <c r="AL2232">
        <v>0</v>
      </c>
      <c r="AM2232">
        <v>100</v>
      </c>
      <c r="AN2232">
        <v>0</v>
      </c>
      <c r="AO2232">
        <v>0</v>
      </c>
      <c r="AP2232">
        <v>0</v>
      </c>
      <c r="AQ2232">
        <v>0</v>
      </c>
      <c r="AS2232">
        <v>0</v>
      </c>
      <c r="AT2232">
        <v>0</v>
      </c>
      <c r="AV2232">
        <v>0</v>
      </c>
      <c r="AW2232">
        <v>0</v>
      </c>
      <c r="AY2232">
        <v>0</v>
      </c>
      <c r="AZ2232">
        <v>0</v>
      </c>
      <c r="BA2232">
        <v>60</v>
      </c>
      <c r="BE2232" t="str">
        <f>T("9791137019256")</f>
        <v>9791137019256</v>
      </c>
      <c r="BF2232" t="str">
        <f>T("k315175")</f>
        <v>k315175</v>
      </c>
      <c r="BG2232" t="str">
        <f>T("판타지 웹소설 &gt; 정통 판타지")</f>
        <v>판타지 웹소설 &gt; 정통 판타지</v>
      </c>
    </row>
    <row r="2233" spans="1:59">
      <c r="A2233" t="s">
        <v>60</v>
      </c>
      <c r="B2233" s="1">
        <v>46129</v>
      </c>
      <c r="C2233">
        <v>2378066888</v>
      </c>
      <c r="D2233">
        <v>2378066952</v>
      </c>
      <c r="E2233" t="str">
        <f>T("마법사왕 아서 65화")</f>
        <v>마법사왕 아서 65화</v>
      </c>
      <c r="F2233">
        <v>65</v>
      </c>
      <c r="G2233" t="str">
        <f>T("하란사")</f>
        <v>하란사</v>
      </c>
      <c r="J2233" t="str">
        <f>T("매드햇")</f>
        <v>매드햇</v>
      </c>
      <c r="K2233" t="str">
        <f>T("마법사왕 아서")</f>
        <v>마법사왕 아서</v>
      </c>
      <c r="L2233">
        <v>100</v>
      </c>
      <c r="M2233">
        <v>100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100</v>
      </c>
      <c r="AJ2233">
        <v>1</v>
      </c>
      <c r="AK2233">
        <v>0</v>
      </c>
      <c r="AL2233">
        <v>0</v>
      </c>
      <c r="AM2233">
        <v>100</v>
      </c>
      <c r="AN2233">
        <v>0</v>
      </c>
      <c r="AO2233">
        <v>0</v>
      </c>
      <c r="AP2233">
        <v>0</v>
      </c>
      <c r="AQ2233">
        <v>0</v>
      </c>
      <c r="AS2233">
        <v>0</v>
      </c>
      <c r="AT2233">
        <v>0</v>
      </c>
      <c r="AV2233">
        <v>0</v>
      </c>
      <c r="AW2233">
        <v>0</v>
      </c>
      <c r="AY2233">
        <v>0</v>
      </c>
      <c r="AZ2233">
        <v>0</v>
      </c>
      <c r="BA2233">
        <v>60</v>
      </c>
      <c r="BE2233" t="str">
        <f>T("9791137019256")</f>
        <v>9791137019256</v>
      </c>
      <c r="BF2233" t="str">
        <f>T("k315176")</f>
        <v>k315176</v>
      </c>
      <c r="BG2233" t="str">
        <f>T("판타지 웹소설 &gt; 정통 판타지")</f>
        <v>판타지 웹소설 &gt; 정통 판타지</v>
      </c>
    </row>
    <row r="2234" spans="1:59">
      <c r="A2234" t="s">
        <v>60</v>
      </c>
      <c r="B2234" s="1">
        <v>46129</v>
      </c>
      <c r="C2234">
        <v>2378066888</v>
      </c>
      <c r="D2234">
        <v>2378066953</v>
      </c>
      <c r="E2234" t="str">
        <f>T("마법사왕 아서 66화")</f>
        <v>마법사왕 아서 66화</v>
      </c>
      <c r="F2234">
        <v>66</v>
      </c>
      <c r="G2234" t="str">
        <f>T("하란사")</f>
        <v>하란사</v>
      </c>
      <c r="J2234" t="str">
        <f>T("매드햇")</f>
        <v>매드햇</v>
      </c>
      <c r="K2234" t="str">
        <f>T("마법사왕 아서")</f>
        <v>마법사왕 아서</v>
      </c>
      <c r="L2234">
        <v>100</v>
      </c>
      <c r="M2234">
        <v>100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100</v>
      </c>
      <c r="AJ2234">
        <v>1</v>
      </c>
      <c r="AK2234">
        <v>0</v>
      </c>
      <c r="AL2234">
        <v>0</v>
      </c>
      <c r="AM2234">
        <v>100</v>
      </c>
      <c r="AN2234">
        <v>0</v>
      </c>
      <c r="AO2234">
        <v>0</v>
      </c>
      <c r="AP2234">
        <v>0</v>
      </c>
      <c r="AQ2234">
        <v>0</v>
      </c>
      <c r="AS2234">
        <v>0</v>
      </c>
      <c r="AT2234">
        <v>0</v>
      </c>
      <c r="AV2234">
        <v>0</v>
      </c>
      <c r="AW2234">
        <v>0</v>
      </c>
      <c r="AY2234">
        <v>0</v>
      </c>
      <c r="AZ2234">
        <v>0</v>
      </c>
      <c r="BA2234">
        <v>60</v>
      </c>
      <c r="BE2234" t="str">
        <f>T("9791137019256")</f>
        <v>9791137019256</v>
      </c>
      <c r="BF2234" t="str">
        <f>T("k315177")</f>
        <v>k315177</v>
      </c>
      <c r="BG2234" t="str">
        <f>T("판타지 웹소설 &gt; 정통 판타지")</f>
        <v>판타지 웹소설 &gt; 정통 판타지</v>
      </c>
    </row>
    <row r="2235" spans="1:59">
      <c r="A2235" t="s">
        <v>60</v>
      </c>
      <c r="B2235" s="1">
        <v>46129</v>
      </c>
      <c r="C2235">
        <v>2378066888</v>
      </c>
      <c r="D2235">
        <v>2378066954</v>
      </c>
      <c r="E2235" t="str">
        <f>T("마법사왕 아서 67화")</f>
        <v>마법사왕 아서 67화</v>
      </c>
      <c r="F2235">
        <v>67</v>
      </c>
      <c r="G2235" t="str">
        <f>T("하란사")</f>
        <v>하란사</v>
      </c>
      <c r="J2235" t="str">
        <f>T("매드햇")</f>
        <v>매드햇</v>
      </c>
      <c r="K2235" t="str">
        <f>T("마법사왕 아서")</f>
        <v>마법사왕 아서</v>
      </c>
      <c r="L2235">
        <v>100</v>
      </c>
      <c r="M2235">
        <v>100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100</v>
      </c>
      <c r="AJ2235">
        <v>1</v>
      </c>
      <c r="AK2235">
        <v>0</v>
      </c>
      <c r="AL2235">
        <v>0</v>
      </c>
      <c r="AM2235">
        <v>100</v>
      </c>
      <c r="AN2235">
        <v>0</v>
      </c>
      <c r="AO2235">
        <v>0</v>
      </c>
      <c r="AP2235">
        <v>0</v>
      </c>
      <c r="AQ2235">
        <v>0</v>
      </c>
      <c r="AS2235">
        <v>0</v>
      </c>
      <c r="AT2235">
        <v>0</v>
      </c>
      <c r="AV2235">
        <v>0</v>
      </c>
      <c r="AW2235">
        <v>0</v>
      </c>
      <c r="AY2235">
        <v>0</v>
      </c>
      <c r="AZ2235">
        <v>0</v>
      </c>
      <c r="BA2235">
        <v>60</v>
      </c>
      <c r="BE2235" t="str">
        <f>T("9791137019256")</f>
        <v>9791137019256</v>
      </c>
      <c r="BF2235" t="str">
        <f>T("k315178")</f>
        <v>k315178</v>
      </c>
      <c r="BG2235" t="str">
        <f>T("판타지 웹소설 &gt; 정통 판타지")</f>
        <v>판타지 웹소설 &gt; 정통 판타지</v>
      </c>
    </row>
    <row r="2236" spans="1:59">
      <c r="A2236" t="s">
        <v>60</v>
      </c>
      <c r="B2236" s="1">
        <v>46129</v>
      </c>
      <c r="C2236">
        <v>2378066888</v>
      </c>
      <c r="D2236">
        <v>2378066955</v>
      </c>
      <c r="E2236" t="str">
        <f>T("마법사왕 아서 68화")</f>
        <v>마법사왕 아서 68화</v>
      </c>
      <c r="F2236">
        <v>68</v>
      </c>
      <c r="G2236" t="str">
        <f>T("하란사")</f>
        <v>하란사</v>
      </c>
      <c r="J2236" t="str">
        <f>T("매드햇")</f>
        <v>매드햇</v>
      </c>
      <c r="K2236" t="str">
        <f>T("마법사왕 아서")</f>
        <v>마법사왕 아서</v>
      </c>
      <c r="L2236">
        <v>100</v>
      </c>
      <c r="M2236">
        <v>100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100</v>
      </c>
      <c r="AJ2236">
        <v>1</v>
      </c>
      <c r="AK2236">
        <v>0</v>
      </c>
      <c r="AL2236">
        <v>0</v>
      </c>
      <c r="AM2236">
        <v>100</v>
      </c>
      <c r="AN2236">
        <v>0</v>
      </c>
      <c r="AO2236">
        <v>0</v>
      </c>
      <c r="AP2236">
        <v>0</v>
      </c>
      <c r="AQ2236">
        <v>0</v>
      </c>
      <c r="AS2236">
        <v>0</v>
      </c>
      <c r="AT2236">
        <v>0</v>
      </c>
      <c r="AV2236">
        <v>0</v>
      </c>
      <c r="AW2236">
        <v>0</v>
      </c>
      <c r="AY2236">
        <v>0</v>
      </c>
      <c r="AZ2236">
        <v>0</v>
      </c>
      <c r="BA2236">
        <v>60</v>
      </c>
      <c r="BE2236" t="str">
        <f>T("9791137019256")</f>
        <v>9791137019256</v>
      </c>
      <c r="BF2236" t="str">
        <f>T("k315179")</f>
        <v>k315179</v>
      </c>
      <c r="BG2236" t="str">
        <f>T("판타지 웹소설 &gt; 정통 판타지")</f>
        <v>판타지 웹소설 &gt; 정통 판타지</v>
      </c>
    </row>
    <row r="2237" spans="1:59">
      <c r="A2237" t="s">
        <v>60</v>
      </c>
      <c r="B2237" s="1">
        <v>46129</v>
      </c>
      <c r="C2237">
        <v>2378066888</v>
      </c>
      <c r="D2237">
        <v>2378066956</v>
      </c>
      <c r="E2237" t="str">
        <f>T("마법사왕 아서 69화")</f>
        <v>마법사왕 아서 69화</v>
      </c>
      <c r="F2237">
        <v>69</v>
      </c>
      <c r="G2237" t="str">
        <f>T("하란사")</f>
        <v>하란사</v>
      </c>
      <c r="J2237" t="str">
        <f>T("매드햇")</f>
        <v>매드햇</v>
      </c>
      <c r="K2237" t="str">
        <f>T("마법사왕 아서")</f>
        <v>마법사왕 아서</v>
      </c>
      <c r="L2237">
        <v>100</v>
      </c>
      <c r="M2237">
        <v>100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100</v>
      </c>
      <c r="AJ2237">
        <v>1</v>
      </c>
      <c r="AK2237">
        <v>0</v>
      </c>
      <c r="AL2237">
        <v>0</v>
      </c>
      <c r="AM2237">
        <v>100</v>
      </c>
      <c r="AN2237">
        <v>0</v>
      </c>
      <c r="AO2237">
        <v>0</v>
      </c>
      <c r="AP2237">
        <v>0</v>
      </c>
      <c r="AQ2237">
        <v>0</v>
      </c>
      <c r="AS2237">
        <v>0</v>
      </c>
      <c r="AT2237">
        <v>0</v>
      </c>
      <c r="AV2237">
        <v>0</v>
      </c>
      <c r="AW2237">
        <v>0</v>
      </c>
      <c r="AY2237">
        <v>0</v>
      </c>
      <c r="AZ2237">
        <v>0</v>
      </c>
      <c r="BA2237">
        <v>60</v>
      </c>
      <c r="BE2237" t="str">
        <f>T("9791137019256")</f>
        <v>9791137019256</v>
      </c>
      <c r="BF2237" t="str">
        <f>T("k315180")</f>
        <v>k315180</v>
      </c>
      <c r="BG2237" t="str">
        <f>T("판타지 웹소설 &gt; 정통 판타지")</f>
        <v>판타지 웹소설 &gt; 정통 판타지</v>
      </c>
    </row>
    <row r="2238" spans="1:59">
      <c r="A2238" t="s">
        <v>60</v>
      </c>
      <c r="B2238" s="1">
        <v>46129</v>
      </c>
      <c r="C2238">
        <v>2378066888</v>
      </c>
      <c r="D2238">
        <v>2378066957</v>
      </c>
      <c r="E2238" t="str">
        <f>T("마법사왕 아서 70화")</f>
        <v>마법사왕 아서 70화</v>
      </c>
      <c r="F2238">
        <v>70</v>
      </c>
      <c r="G2238" t="str">
        <f>T("하란사")</f>
        <v>하란사</v>
      </c>
      <c r="J2238" t="str">
        <f>T("매드햇")</f>
        <v>매드햇</v>
      </c>
      <c r="K2238" t="str">
        <f>T("마법사왕 아서")</f>
        <v>마법사왕 아서</v>
      </c>
      <c r="L2238">
        <v>100</v>
      </c>
      <c r="M2238">
        <v>100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100</v>
      </c>
      <c r="AJ2238">
        <v>1</v>
      </c>
      <c r="AK2238">
        <v>0</v>
      </c>
      <c r="AL2238">
        <v>0</v>
      </c>
      <c r="AM2238">
        <v>100</v>
      </c>
      <c r="AN2238">
        <v>0</v>
      </c>
      <c r="AO2238">
        <v>0</v>
      </c>
      <c r="AP2238">
        <v>0</v>
      </c>
      <c r="AQ2238">
        <v>0</v>
      </c>
      <c r="AS2238">
        <v>0</v>
      </c>
      <c r="AT2238">
        <v>0</v>
      </c>
      <c r="AV2238">
        <v>0</v>
      </c>
      <c r="AW2238">
        <v>0</v>
      </c>
      <c r="AY2238">
        <v>0</v>
      </c>
      <c r="AZ2238">
        <v>0</v>
      </c>
      <c r="BA2238">
        <v>60</v>
      </c>
      <c r="BE2238" t="str">
        <f>T("9791137019256")</f>
        <v>9791137019256</v>
      </c>
      <c r="BF2238" t="str">
        <f>T("k315181")</f>
        <v>k315181</v>
      </c>
      <c r="BG2238" t="str">
        <f>T("판타지 웹소설 &gt; 정통 판타지")</f>
        <v>판타지 웹소설 &gt; 정통 판타지</v>
      </c>
    </row>
    <row r="2239" spans="1:59">
      <c r="A2239" t="s">
        <v>60</v>
      </c>
      <c r="B2239" s="1">
        <v>46129</v>
      </c>
      <c r="C2239">
        <v>2378066888</v>
      </c>
      <c r="D2239">
        <v>2378066958</v>
      </c>
      <c r="E2239" t="str">
        <f>T("마법사왕 아서 71화")</f>
        <v>마법사왕 아서 71화</v>
      </c>
      <c r="F2239">
        <v>71</v>
      </c>
      <c r="G2239" t="str">
        <f>T("하란사")</f>
        <v>하란사</v>
      </c>
      <c r="J2239" t="str">
        <f>T("매드햇")</f>
        <v>매드햇</v>
      </c>
      <c r="K2239" t="str">
        <f>T("마법사왕 아서")</f>
        <v>마법사왕 아서</v>
      </c>
      <c r="L2239">
        <v>100</v>
      </c>
      <c r="M2239">
        <v>100</v>
      </c>
      <c r="N2239">
        <v>1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0</v>
      </c>
      <c r="AH2239">
        <v>0</v>
      </c>
      <c r="AI2239">
        <v>100</v>
      </c>
      <c r="AJ2239">
        <v>1</v>
      </c>
      <c r="AK2239">
        <v>0</v>
      </c>
      <c r="AL2239">
        <v>0</v>
      </c>
      <c r="AM2239">
        <v>100</v>
      </c>
      <c r="AN2239">
        <v>0</v>
      </c>
      <c r="AO2239">
        <v>0</v>
      </c>
      <c r="AP2239">
        <v>0</v>
      </c>
      <c r="AQ2239">
        <v>0</v>
      </c>
      <c r="AS2239">
        <v>0</v>
      </c>
      <c r="AT2239">
        <v>0</v>
      </c>
      <c r="AV2239">
        <v>0</v>
      </c>
      <c r="AW2239">
        <v>0</v>
      </c>
      <c r="AY2239">
        <v>0</v>
      </c>
      <c r="AZ2239">
        <v>0</v>
      </c>
      <c r="BA2239">
        <v>60</v>
      </c>
      <c r="BE2239" t="str">
        <f>T("9791137019256")</f>
        <v>9791137019256</v>
      </c>
      <c r="BF2239" t="str">
        <f>T("k315182")</f>
        <v>k315182</v>
      </c>
      <c r="BG2239" t="str">
        <f>T("판타지 웹소설 &gt; 정통 판타지")</f>
        <v>판타지 웹소설 &gt; 정통 판타지</v>
      </c>
    </row>
    <row r="2240" spans="1:59">
      <c r="A2240" t="s">
        <v>60</v>
      </c>
      <c r="B2240" s="1">
        <v>46129</v>
      </c>
      <c r="C2240">
        <v>2378066888</v>
      </c>
      <c r="D2240">
        <v>2378066959</v>
      </c>
      <c r="E2240" t="str">
        <f>T("마법사왕 아서 72화")</f>
        <v>마법사왕 아서 72화</v>
      </c>
      <c r="F2240">
        <v>72</v>
      </c>
      <c r="G2240" t="str">
        <f>T("하란사")</f>
        <v>하란사</v>
      </c>
      <c r="J2240" t="str">
        <f>T("매드햇")</f>
        <v>매드햇</v>
      </c>
      <c r="K2240" t="str">
        <f>T("마법사왕 아서")</f>
        <v>마법사왕 아서</v>
      </c>
      <c r="L2240">
        <v>100</v>
      </c>
      <c r="M2240">
        <v>100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0</v>
      </c>
      <c r="AI2240">
        <v>100</v>
      </c>
      <c r="AJ2240">
        <v>1</v>
      </c>
      <c r="AK2240">
        <v>0</v>
      </c>
      <c r="AL2240">
        <v>0</v>
      </c>
      <c r="AM2240">
        <v>100</v>
      </c>
      <c r="AN2240">
        <v>0</v>
      </c>
      <c r="AO2240">
        <v>0</v>
      </c>
      <c r="AP2240">
        <v>0</v>
      </c>
      <c r="AQ2240">
        <v>0</v>
      </c>
      <c r="AS2240">
        <v>0</v>
      </c>
      <c r="AT2240">
        <v>0</v>
      </c>
      <c r="AV2240">
        <v>0</v>
      </c>
      <c r="AW2240">
        <v>0</v>
      </c>
      <c r="AY2240">
        <v>0</v>
      </c>
      <c r="AZ2240">
        <v>0</v>
      </c>
      <c r="BA2240">
        <v>60</v>
      </c>
      <c r="BE2240" t="str">
        <f>T("9791137019256")</f>
        <v>9791137019256</v>
      </c>
      <c r="BF2240" t="str">
        <f>T("k315183")</f>
        <v>k315183</v>
      </c>
      <c r="BG2240" t="str">
        <f>T("판타지 웹소설 &gt; 정통 판타지")</f>
        <v>판타지 웹소설 &gt; 정통 판타지</v>
      </c>
    </row>
    <row r="2241" spans="1:59">
      <c r="A2241" t="s">
        <v>60</v>
      </c>
      <c r="B2241" s="1">
        <v>46129</v>
      </c>
      <c r="C2241">
        <v>2378066888</v>
      </c>
      <c r="D2241">
        <v>2378066960</v>
      </c>
      <c r="E2241" t="str">
        <f>T("마법사왕 아서 73화")</f>
        <v>마법사왕 아서 73화</v>
      </c>
      <c r="F2241">
        <v>73</v>
      </c>
      <c r="G2241" t="str">
        <f>T("하란사")</f>
        <v>하란사</v>
      </c>
      <c r="J2241" t="str">
        <f>T("매드햇")</f>
        <v>매드햇</v>
      </c>
      <c r="K2241" t="str">
        <f>T("마법사왕 아서")</f>
        <v>마법사왕 아서</v>
      </c>
      <c r="L2241">
        <v>100</v>
      </c>
      <c r="M2241">
        <v>100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0</v>
      </c>
      <c r="AH2241">
        <v>0</v>
      </c>
      <c r="AI2241">
        <v>100</v>
      </c>
      <c r="AJ2241">
        <v>1</v>
      </c>
      <c r="AK2241">
        <v>0</v>
      </c>
      <c r="AL2241">
        <v>0</v>
      </c>
      <c r="AM2241">
        <v>100</v>
      </c>
      <c r="AN2241">
        <v>0</v>
      </c>
      <c r="AO2241">
        <v>0</v>
      </c>
      <c r="AP2241">
        <v>0</v>
      </c>
      <c r="AQ2241">
        <v>0</v>
      </c>
      <c r="AS2241">
        <v>0</v>
      </c>
      <c r="AT2241">
        <v>0</v>
      </c>
      <c r="AV2241">
        <v>0</v>
      </c>
      <c r="AW2241">
        <v>0</v>
      </c>
      <c r="AY2241">
        <v>0</v>
      </c>
      <c r="AZ2241">
        <v>0</v>
      </c>
      <c r="BA2241">
        <v>60</v>
      </c>
      <c r="BE2241" t="str">
        <f>T("9791137019256")</f>
        <v>9791137019256</v>
      </c>
      <c r="BF2241" t="str">
        <f>T("k315184")</f>
        <v>k315184</v>
      </c>
      <c r="BG2241" t="str">
        <f>T("판타지 웹소설 &gt; 정통 판타지")</f>
        <v>판타지 웹소설 &gt; 정통 판타지</v>
      </c>
    </row>
    <row r="2242" spans="1:59">
      <c r="A2242" t="s">
        <v>60</v>
      </c>
      <c r="B2242" s="1">
        <v>46129</v>
      </c>
      <c r="C2242">
        <v>2378066888</v>
      </c>
      <c r="D2242">
        <v>2378066961</v>
      </c>
      <c r="E2242" t="str">
        <f>T("마법사왕 아서 74화")</f>
        <v>마법사왕 아서 74화</v>
      </c>
      <c r="F2242">
        <v>74</v>
      </c>
      <c r="G2242" t="str">
        <f>T("하란사")</f>
        <v>하란사</v>
      </c>
      <c r="J2242" t="str">
        <f>T("매드햇")</f>
        <v>매드햇</v>
      </c>
      <c r="K2242" t="str">
        <f>T("마법사왕 아서")</f>
        <v>마법사왕 아서</v>
      </c>
      <c r="L2242">
        <v>100</v>
      </c>
      <c r="M2242">
        <v>100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100</v>
      </c>
      <c r="AJ2242">
        <v>1</v>
      </c>
      <c r="AK2242">
        <v>0</v>
      </c>
      <c r="AL2242">
        <v>0</v>
      </c>
      <c r="AM2242">
        <v>100</v>
      </c>
      <c r="AN2242">
        <v>0</v>
      </c>
      <c r="AO2242">
        <v>0</v>
      </c>
      <c r="AP2242">
        <v>0</v>
      </c>
      <c r="AQ2242">
        <v>0</v>
      </c>
      <c r="AS2242">
        <v>0</v>
      </c>
      <c r="AT2242">
        <v>0</v>
      </c>
      <c r="AV2242">
        <v>0</v>
      </c>
      <c r="AW2242">
        <v>0</v>
      </c>
      <c r="AY2242">
        <v>0</v>
      </c>
      <c r="AZ2242">
        <v>0</v>
      </c>
      <c r="BA2242">
        <v>60</v>
      </c>
      <c r="BE2242" t="str">
        <f>T("9791137019256")</f>
        <v>9791137019256</v>
      </c>
      <c r="BF2242" t="str">
        <f>T("k315185")</f>
        <v>k315185</v>
      </c>
      <c r="BG2242" t="str">
        <f>T("판타지 웹소설 &gt; 정통 판타지")</f>
        <v>판타지 웹소설 &gt; 정통 판타지</v>
      </c>
    </row>
    <row r="2243" spans="1:59">
      <c r="A2243" t="s">
        <v>60</v>
      </c>
      <c r="B2243" s="1">
        <v>46129</v>
      </c>
      <c r="C2243">
        <v>2378066888</v>
      </c>
      <c r="D2243">
        <v>2378072236</v>
      </c>
      <c r="E2243" t="str">
        <f>T("마법사왕 아서 216화")</f>
        <v>마법사왕 아서 216화</v>
      </c>
      <c r="F2243">
        <v>216</v>
      </c>
      <c r="G2243" t="str">
        <f>T("하란사")</f>
        <v>하란사</v>
      </c>
      <c r="J2243" t="str">
        <f>T("매드햇")</f>
        <v>매드햇</v>
      </c>
      <c r="K2243" t="str">
        <f>T("마법사왕 아서")</f>
        <v>마법사왕 아서</v>
      </c>
      <c r="L2243">
        <v>100</v>
      </c>
      <c r="M2243">
        <v>100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100</v>
      </c>
      <c r="AJ2243">
        <v>1</v>
      </c>
      <c r="AK2243">
        <v>0</v>
      </c>
      <c r="AL2243">
        <v>0</v>
      </c>
      <c r="AM2243">
        <v>100</v>
      </c>
      <c r="AN2243">
        <v>0</v>
      </c>
      <c r="AO2243">
        <v>0</v>
      </c>
      <c r="AP2243">
        <v>0</v>
      </c>
      <c r="AQ2243">
        <v>0</v>
      </c>
      <c r="AS2243">
        <v>0</v>
      </c>
      <c r="AT2243">
        <v>0</v>
      </c>
      <c r="AV2243">
        <v>0</v>
      </c>
      <c r="AW2243">
        <v>0</v>
      </c>
      <c r="AY2243">
        <v>0</v>
      </c>
      <c r="AZ2243">
        <v>0</v>
      </c>
      <c r="BA2243">
        <v>60</v>
      </c>
      <c r="BE2243" t="str">
        <f>T("9791137019256")</f>
        <v>9791137019256</v>
      </c>
      <c r="BF2243" t="str">
        <f>T("k447767")</f>
        <v>k447767</v>
      </c>
      <c r="BG2243" t="str">
        <f>T("판타지 웹소설 &gt; 정통 판타지")</f>
        <v>판타지 웹소설 &gt; 정통 판타지</v>
      </c>
    </row>
    <row r="2244" spans="1:59">
      <c r="A2244" t="s">
        <v>60</v>
      </c>
      <c r="B2244" s="1">
        <v>46129</v>
      </c>
      <c r="C2244">
        <v>2378066888</v>
      </c>
      <c r="D2244">
        <v>2378066888</v>
      </c>
      <c r="E2244" t="str">
        <f>T("마법사왕 아서 1화")</f>
        <v>마법사왕 아서 1화</v>
      </c>
      <c r="F2244">
        <v>1</v>
      </c>
      <c r="G2244" t="str">
        <f>T("하란사")</f>
        <v>하란사</v>
      </c>
      <c r="J2244" t="str">
        <f>T("매드햇")</f>
        <v>매드햇</v>
      </c>
      <c r="K2244" t="str">
        <f>T("마법사왕 아서")</f>
        <v>마법사왕 아서</v>
      </c>
      <c r="L2244">
        <v>0</v>
      </c>
      <c r="M2244">
        <v>0</v>
      </c>
      <c r="N2244">
        <v>0</v>
      </c>
      <c r="O2244">
        <v>1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1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S2244">
        <v>0</v>
      </c>
      <c r="AT2244">
        <v>0</v>
      </c>
      <c r="AV2244">
        <v>0</v>
      </c>
      <c r="AW2244">
        <v>0</v>
      </c>
      <c r="AY2244">
        <v>0</v>
      </c>
      <c r="AZ2244">
        <v>0</v>
      </c>
      <c r="BA2244">
        <v>0</v>
      </c>
      <c r="BE2244" t="str">
        <f>T("9791137019256")</f>
        <v>9791137019256</v>
      </c>
      <c r="BF2244" t="str">
        <f>T("k315112")</f>
        <v>k315112</v>
      </c>
      <c r="BG2244" t="str">
        <f>T("판타지 웹소설 &gt; 정통 판타지")</f>
        <v>판타지 웹소설 &gt; 정통 판타지</v>
      </c>
    </row>
    <row r="2245" spans="1:59">
      <c r="A2245" t="s">
        <v>60</v>
      </c>
      <c r="B2245" s="1">
        <v>46129</v>
      </c>
      <c r="C2245">
        <v>2378066888</v>
      </c>
      <c r="D2245">
        <v>2378066889</v>
      </c>
      <c r="E2245" t="str">
        <f>T("마법사왕 아서 2화")</f>
        <v>마법사왕 아서 2화</v>
      </c>
      <c r="F2245">
        <v>2</v>
      </c>
      <c r="G2245" t="str">
        <f>T("하란사")</f>
        <v>하란사</v>
      </c>
      <c r="J2245" t="str">
        <f>T("매드햇")</f>
        <v>매드햇</v>
      </c>
      <c r="K2245" t="str">
        <f>T("마법사왕 아서")</f>
        <v>마법사왕 아서</v>
      </c>
      <c r="L2245">
        <v>0</v>
      </c>
      <c r="M2245">
        <v>0</v>
      </c>
      <c r="N2245">
        <v>0</v>
      </c>
      <c r="O2245">
        <v>2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0</v>
      </c>
      <c r="AI2245">
        <v>0</v>
      </c>
      <c r="AJ2245">
        <v>2</v>
      </c>
      <c r="AK2245">
        <v>0</v>
      </c>
      <c r="AL2245">
        <v>0</v>
      </c>
      <c r="AM2245">
        <v>0</v>
      </c>
      <c r="AN2245">
        <v>0</v>
      </c>
      <c r="AO2245">
        <v>0</v>
      </c>
      <c r="AP2245">
        <v>0</v>
      </c>
      <c r="AQ2245">
        <v>0</v>
      </c>
      <c r="AS2245">
        <v>0</v>
      </c>
      <c r="AT2245">
        <v>0</v>
      </c>
      <c r="AV2245">
        <v>0</v>
      </c>
      <c r="AW2245">
        <v>0</v>
      </c>
      <c r="AY2245">
        <v>0</v>
      </c>
      <c r="AZ2245">
        <v>0</v>
      </c>
      <c r="BA2245">
        <v>0</v>
      </c>
      <c r="BE2245" t="str">
        <f>T("9791137019256")</f>
        <v>9791137019256</v>
      </c>
      <c r="BF2245" t="str">
        <f>T("k315113")</f>
        <v>k315113</v>
      </c>
      <c r="BG2245" t="str">
        <f>T("판타지 웹소설 &gt; 정통 판타지")</f>
        <v>판타지 웹소설 &gt; 정통 판타지</v>
      </c>
    </row>
    <row r="2246" spans="1:59">
      <c r="A2246" t="s">
        <v>60</v>
      </c>
      <c r="B2246" s="1">
        <v>46129</v>
      </c>
      <c r="C2246">
        <v>2378066888</v>
      </c>
      <c r="D2246">
        <v>2378066890</v>
      </c>
      <c r="E2246" t="str">
        <f>T("마법사왕 아서 3화")</f>
        <v>마법사왕 아서 3화</v>
      </c>
      <c r="F2246">
        <v>3</v>
      </c>
      <c r="G2246" t="str">
        <f>T("하란사")</f>
        <v>하란사</v>
      </c>
      <c r="J2246" t="str">
        <f>T("매드햇")</f>
        <v>매드햇</v>
      </c>
      <c r="K2246" t="str">
        <f>T("마법사왕 아서")</f>
        <v>마법사왕 아서</v>
      </c>
      <c r="L2246">
        <v>0</v>
      </c>
      <c r="M2246">
        <v>0</v>
      </c>
      <c r="N2246">
        <v>0</v>
      </c>
      <c r="O2246">
        <v>2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2</v>
      </c>
      <c r="AK2246">
        <v>0</v>
      </c>
      <c r="AL2246">
        <v>0</v>
      </c>
      <c r="AM2246">
        <v>0</v>
      </c>
      <c r="AN2246">
        <v>0</v>
      </c>
      <c r="AO2246">
        <v>0</v>
      </c>
      <c r="AP2246">
        <v>0</v>
      </c>
      <c r="AQ2246">
        <v>0</v>
      </c>
      <c r="AS2246">
        <v>0</v>
      </c>
      <c r="AT2246">
        <v>0</v>
      </c>
      <c r="AV2246">
        <v>0</v>
      </c>
      <c r="AW2246">
        <v>0</v>
      </c>
      <c r="AY2246">
        <v>0</v>
      </c>
      <c r="AZ2246">
        <v>0</v>
      </c>
      <c r="BA2246">
        <v>0</v>
      </c>
      <c r="BE2246" t="str">
        <f>T("9791137019256")</f>
        <v>9791137019256</v>
      </c>
      <c r="BF2246" t="str">
        <f>T("k315114")</f>
        <v>k315114</v>
      </c>
      <c r="BG2246" t="str">
        <f>T("판타지 웹소설 &gt; 정통 판타지")</f>
        <v>판타지 웹소설 &gt; 정통 판타지</v>
      </c>
    </row>
    <row r="2247" spans="1:59">
      <c r="A2247" t="s">
        <v>60</v>
      </c>
      <c r="B2247" s="1">
        <v>46129</v>
      </c>
      <c r="C2247">
        <v>2378066888</v>
      </c>
      <c r="D2247">
        <v>2378066891</v>
      </c>
      <c r="E2247" t="str">
        <f>T("마법사왕 아서 4화")</f>
        <v>마법사왕 아서 4화</v>
      </c>
      <c r="F2247">
        <v>4</v>
      </c>
      <c r="G2247" t="str">
        <f>T("하란사")</f>
        <v>하란사</v>
      </c>
      <c r="J2247" t="str">
        <f>T("매드햇")</f>
        <v>매드햇</v>
      </c>
      <c r="K2247" t="str">
        <f>T("마법사왕 아서")</f>
        <v>마법사왕 아서</v>
      </c>
      <c r="L2247">
        <v>0</v>
      </c>
      <c r="M2247">
        <v>0</v>
      </c>
      <c r="N2247">
        <v>0</v>
      </c>
      <c r="O2247">
        <v>2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2</v>
      </c>
      <c r="AK2247">
        <v>0</v>
      </c>
      <c r="AL2247">
        <v>0</v>
      </c>
      <c r="AM2247">
        <v>0</v>
      </c>
      <c r="AN2247">
        <v>0</v>
      </c>
      <c r="AO2247">
        <v>0</v>
      </c>
      <c r="AP2247">
        <v>0</v>
      </c>
      <c r="AQ2247">
        <v>0</v>
      </c>
      <c r="AS2247">
        <v>0</v>
      </c>
      <c r="AT2247">
        <v>0</v>
      </c>
      <c r="AV2247">
        <v>0</v>
      </c>
      <c r="AW2247">
        <v>0</v>
      </c>
      <c r="AY2247">
        <v>0</v>
      </c>
      <c r="AZ2247">
        <v>0</v>
      </c>
      <c r="BA2247">
        <v>0</v>
      </c>
      <c r="BE2247" t="str">
        <f>T("9791137019256")</f>
        <v>9791137019256</v>
      </c>
      <c r="BF2247" t="str">
        <f>T("k315115")</f>
        <v>k315115</v>
      </c>
      <c r="BG2247" t="str">
        <f>T("판타지 웹소설 &gt; 정통 판타지")</f>
        <v>판타지 웹소설 &gt; 정통 판타지</v>
      </c>
    </row>
    <row r="2248" spans="1:59">
      <c r="A2248" t="s">
        <v>60</v>
      </c>
      <c r="B2248" s="1">
        <v>46129</v>
      </c>
      <c r="C2248">
        <v>2378066888</v>
      </c>
      <c r="D2248">
        <v>2378066892</v>
      </c>
      <c r="E2248" t="str">
        <f>T("마법사왕 아서 5화")</f>
        <v>마법사왕 아서 5화</v>
      </c>
      <c r="F2248">
        <v>5</v>
      </c>
      <c r="G2248" t="str">
        <f>T("하란사")</f>
        <v>하란사</v>
      </c>
      <c r="J2248" t="str">
        <f>T("매드햇")</f>
        <v>매드햇</v>
      </c>
      <c r="K2248" t="str">
        <f>T("마법사왕 아서")</f>
        <v>마법사왕 아서</v>
      </c>
      <c r="L2248">
        <v>0</v>
      </c>
      <c r="M2248">
        <v>0</v>
      </c>
      <c r="N2248">
        <v>0</v>
      </c>
      <c r="O2248">
        <v>1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0</v>
      </c>
      <c r="AI2248">
        <v>0</v>
      </c>
      <c r="AJ2248">
        <v>1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S2248">
        <v>0</v>
      </c>
      <c r="AT2248">
        <v>0</v>
      </c>
      <c r="AV2248">
        <v>0</v>
      </c>
      <c r="AW2248">
        <v>0</v>
      </c>
      <c r="AY2248">
        <v>0</v>
      </c>
      <c r="AZ2248">
        <v>0</v>
      </c>
      <c r="BA2248">
        <v>0</v>
      </c>
      <c r="BE2248" t="str">
        <f>T("9791137019256")</f>
        <v>9791137019256</v>
      </c>
      <c r="BF2248" t="str">
        <f>T("k315116")</f>
        <v>k315116</v>
      </c>
      <c r="BG2248" t="str">
        <f>T("판타지 웹소설 &gt; 정통 판타지")</f>
        <v>판타지 웹소설 &gt; 정통 판타지</v>
      </c>
    </row>
    <row r="2249" spans="1:59">
      <c r="A2249" t="s">
        <v>60</v>
      </c>
      <c r="B2249" s="1">
        <v>46130</v>
      </c>
      <c r="C2249">
        <v>2378066888</v>
      </c>
      <c r="D2249">
        <v>2378075512</v>
      </c>
      <c r="E2249" t="str">
        <f>T("마법사왕 아서 287화")</f>
        <v>마법사왕 아서 287화</v>
      </c>
      <c r="F2249">
        <v>288</v>
      </c>
      <c r="G2249" t="str">
        <f>T("하란사")</f>
        <v>하란사</v>
      </c>
      <c r="J2249" t="str">
        <f>T("매드햇")</f>
        <v>매드햇</v>
      </c>
      <c r="K2249" t="str">
        <f>T("마법사왕 아서")</f>
        <v>마법사왕 아서</v>
      </c>
      <c r="L2249">
        <v>100</v>
      </c>
      <c r="M2249">
        <v>100</v>
      </c>
      <c r="N2249">
        <v>1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100</v>
      </c>
      <c r="AJ2249">
        <v>1</v>
      </c>
      <c r="AK2249">
        <v>0</v>
      </c>
      <c r="AL2249">
        <v>0</v>
      </c>
      <c r="AM2249">
        <v>100</v>
      </c>
      <c r="AN2249">
        <v>0</v>
      </c>
      <c r="AO2249">
        <v>0</v>
      </c>
      <c r="AP2249">
        <v>0</v>
      </c>
      <c r="AQ2249">
        <v>0</v>
      </c>
      <c r="AS2249">
        <v>0</v>
      </c>
      <c r="AT2249">
        <v>0</v>
      </c>
      <c r="AV2249">
        <v>0</v>
      </c>
      <c r="AW2249">
        <v>0</v>
      </c>
      <c r="AY2249">
        <v>0</v>
      </c>
      <c r="AZ2249">
        <v>0</v>
      </c>
      <c r="BA2249">
        <v>60</v>
      </c>
      <c r="BE2249" t="str">
        <f>T("9791137019256")</f>
        <v>9791137019256</v>
      </c>
      <c r="BF2249" t="str">
        <f>T("D021794")</f>
        <v>D021794</v>
      </c>
      <c r="BG2249" t="str">
        <f>T("판타지 웹소설 &gt; 정통 판타지")</f>
        <v>판타지 웹소설 &gt; 정통 판타지</v>
      </c>
    </row>
    <row r="2250" spans="1:59">
      <c r="A2250" t="s">
        <v>60</v>
      </c>
      <c r="B2250" s="1">
        <v>46130</v>
      </c>
      <c r="C2250">
        <v>2378066888</v>
      </c>
      <c r="D2250">
        <v>2378075516</v>
      </c>
      <c r="E2250" t="str">
        <f>T("마법사왕 아서 288화")</f>
        <v>마법사왕 아서 288화</v>
      </c>
      <c r="F2250">
        <v>289</v>
      </c>
      <c r="G2250" t="str">
        <f>T("하란사")</f>
        <v>하란사</v>
      </c>
      <c r="J2250" t="str">
        <f>T("매드햇")</f>
        <v>매드햇</v>
      </c>
      <c r="K2250" t="str">
        <f>T("마법사왕 아서")</f>
        <v>마법사왕 아서</v>
      </c>
      <c r="L2250">
        <v>100</v>
      </c>
      <c r="M2250">
        <v>100</v>
      </c>
      <c r="N2250">
        <v>1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100</v>
      </c>
      <c r="AJ2250">
        <v>1</v>
      </c>
      <c r="AK2250">
        <v>0</v>
      </c>
      <c r="AL2250">
        <v>0</v>
      </c>
      <c r="AM2250">
        <v>100</v>
      </c>
      <c r="AN2250">
        <v>0</v>
      </c>
      <c r="AO2250">
        <v>0</v>
      </c>
      <c r="AP2250">
        <v>0</v>
      </c>
      <c r="AQ2250">
        <v>0</v>
      </c>
      <c r="AS2250">
        <v>0</v>
      </c>
      <c r="AT2250">
        <v>0</v>
      </c>
      <c r="AV2250">
        <v>0</v>
      </c>
      <c r="AW2250">
        <v>0</v>
      </c>
      <c r="AY2250">
        <v>0</v>
      </c>
      <c r="AZ2250">
        <v>0</v>
      </c>
      <c r="BA2250">
        <v>60</v>
      </c>
      <c r="BE2250" t="str">
        <f>T("9791137019256")</f>
        <v>9791137019256</v>
      </c>
      <c r="BF2250" t="str">
        <f>T("D021795")</f>
        <v>D021795</v>
      </c>
      <c r="BG2250" t="str">
        <f>T("판타지 웹소설 &gt; 정통 판타지")</f>
        <v>판타지 웹소설 &gt; 정통 판타지</v>
      </c>
    </row>
    <row r="2251" spans="1:59">
      <c r="A2251" t="s">
        <v>60</v>
      </c>
      <c r="B2251" s="1">
        <v>46130</v>
      </c>
      <c r="C2251">
        <v>2378066888</v>
      </c>
      <c r="D2251">
        <v>2378075521</v>
      </c>
      <c r="E2251" t="str">
        <f>T("마법사왕 아서 289화")</f>
        <v>마법사왕 아서 289화</v>
      </c>
      <c r="F2251">
        <v>290</v>
      </c>
      <c r="G2251" t="str">
        <f>T("하란사")</f>
        <v>하란사</v>
      </c>
      <c r="J2251" t="str">
        <f>T("매드햇")</f>
        <v>매드햇</v>
      </c>
      <c r="K2251" t="str">
        <f>T("마법사왕 아서")</f>
        <v>마법사왕 아서</v>
      </c>
      <c r="L2251">
        <v>100</v>
      </c>
      <c r="M2251">
        <v>100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100</v>
      </c>
      <c r="AJ2251">
        <v>1</v>
      </c>
      <c r="AK2251">
        <v>0</v>
      </c>
      <c r="AL2251">
        <v>0</v>
      </c>
      <c r="AM2251">
        <v>100</v>
      </c>
      <c r="AN2251">
        <v>0</v>
      </c>
      <c r="AO2251">
        <v>0</v>
      </c>
      <c r="AP2251">
        <v>0</v>
      </c>
      <c r="AQ2251">
        <v>0</v>
      </c>
      <c r="AS2251">
        <v>0</v>
      </c>
      <c r="AT2251">
        <v>0</v>
      </c>
      <c r="AV2251">
        <v>0</v>
      </c>
      <c r="AW2251">
        <v>0</v>
      </c>
      <c r="AY2251">
        <v>0</v>
      </c>
      <c r="AZ2251">
        <v>0</v>
      </c>
      <c r="BA2251">
        <v>60</v>
      </c>
      <c r="BE2251" t="str">
        <f>T("9791137019256")</f>
        <v>9791137019256</v>
      </c>
      <c r="BF2251" t="str">
        <f>T("D021796")</f>
        <v>D021796</v>
      </c>
      <c r="BG2251" t="str">
        <f>T("판타지 웹소설 &gt; 정통 판타지")</f>
        <v>판타지 웹소설 &gt; 정통 판타지</v>
      </c>
    </row>
    <row r="2252" spans="1:59">
      <c r="A2252" t="s">
        <v>60</v>
      </c>
      <c r="B2252" s="1">
        <v>46130</v>
      </c>
      <c r="C2252">
        <v>2378066888</v>
      </c>
      <c r="D2252">
        <v>2378075523</v>
      </c>
      <c r="E2252" t="str">
        <f>T("마법사왕 아서 290화")</f>
        <v>마법사왕 아서 290화</v>
      </c>
      <c r="F2252">
        <v>291</v>
      </c>
      <c r="G2252" t="str">
        <f>T("하란사")</f>
        <v>하란사</v>
      </c>
      <c r="J2252" t="str">
        <f>T("매드햇")</f>
        <v>매드햇</v>
      </c>
      <c r="K2252" t="str">
        <f>T("마법사왕 아서")</f>
        <v>마법사왕 아서</v>
      </c>
      <c r="L2252">
        <v>100</v>
      </c>
      <c r="M2252">
        <v>100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100</v>
      </c>
      <c r="AJ2252">
        <v>1</v>
      </c>
      <c r="AK2252">
        <v>0</v>
      </c>
      <c r="AL2252">
        <v>0</v>
      </c>
      <c r="AM2252">
        <v>100</v>
      </c>
      <c r="AN2252">
        <v>0</v>
      </c>
      <c r="AO2252">
        <v>0</v>
      </c>
      <c r="AP2252">
        <v>0</v>
      </c>
      <c r="AQ2252">
        <v>0</v>
      </c>
      <c r="AS2252">
        <v>0</v>
      </c>
      <c r="AT2252">
        <v>0</v>
      </c>
      <c r="AV2252">
        <v>0</v>
      </c>
      <c r="AW2252">
        <v>0</v>
      </c>
      <c r="AY2252">
        <v>0</v>
      </c>
      <c r="AZ2252">
        <v>0</v>
      </c>
      <c r="BA2252">
        <v>60</v>
      </c>
      <c r="BE2252" t="str">
        <f>T("9791137019256")</f>
        <v>9791137019256</v>
      </c>
      <c r="BF2252" t="str">
        <f>T("D021797")</f>
        <v>D021797</v>
      </c>
      <c r="BG2252" t="str">
        <f>T("판타지 웹소설 &gt; 정통 판타지")</f>
        <v>판타지 웹소설 &gt; 정통 판타지</v>
      </c>
    </row>
    <row r="2253" spans="1:59">
      <c r="A2253" t="s">
        <v>60</v>
      </c>
      <c r="B2253" s="1">
        <v>46130</v>
      </c>
      <c r="C2253">
        <v>2378066888</v>
      </c>
      <c r="D2253">
        <v>2378075530</v>
      </c>
      <c r="E2253" t="str">
        <f>T("마법사왕 아서 291화")</f>
        <v>마법사왕 아서 291화</v>
      </c>
      <c r="F2253">
        <v>292</v>
      </c>
      <c r="G2253" t="str">
        <f>T("하란사")</f>
        <v>하란사</v>
      </c>
      <c r="J2253" t="str">
        <f>T("매드햇")</f>
        <v>매드햇</v>
      </c>
      <c r="K2253" t="str">
        <f>T("마법사왕 아서")</f>
        <v>마법사왕 아서</v>
      </c>
      <c r="L2253">
        <v>100</v>
      </c>
      <c r="M2253">
        <v>100</v>
      </c>
      <c r="N2253">
        <v>1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100</v>
      </c>
      <c r="AJ2253">
        <v>1</v>
      </c>
      <c r="AK2253">
        <v>0</v>
      </c>
      <c r="AL2253">
        <v>0</v>
      </c>
      <c r="AM2253">
        <v>100</v>
      </c>
      <c r="AN2253">
        <v>0</v>
      </c>
      <c r="AO2253">
        <v>0</v>
      </c>
      <c r="AP2253">
        <v>0</v>
      </c>
      <c r="AQ2253">
        <v>0</v>
      </c>
      <c r="AS2253">
        <v>0</v>
      </c>
      <c r="AT2253">
        <v>0</v>
      </c>
      <c r="AV2253">
        <v>0</v>
      </c>
      <c r="AW2253">
        <v>0</v>
      </c>
      <c r="AY2253">
        <v>0</v>
      </c>
      <c r="AZ2253">
        <v>0</v>
      </c>
      <c r="BA2253">
        <v>60</v>
      </c>
      <c r="BE2253" t="str">
        <f>T("9791137019256")</f>
        <v>9791137019256</v>
      </c>
      <c r="BF2253" t="str">
        <f>T("D021798")</f>
        <v>D021798</v>
      </c>
      <c r="BG2253" t="str">
        <f>T("판타지 웹소설 &gt; 정통 판타지")</f>
        <v>판타지 웹소설 &gt; 정통 판타지</v>
      </c>
    </row>
    <row r="2254" spans="1:59">
      <c r="A2254" t="s">
        <v>60</v>
      </c>
      <c r="B2254" s="1">
        <v>46130</v>
      </c>
      <c r="C2254">
        <v>2378066888</v>
      </c>
      <c r="D2254">
        <v>2378075538</v>
      </c>
      <c r="E2254" t="str">
        <f>T("마법사왕 아서 292화")</f>
        <v>마법사왕 아서 292화</v>
      </c>
      <c r="F2254">
        <v>293</v>
      </c>
      <c r="G2254" t="str">
        <f>T("하란사")</f>
        <v>하란사</v>
      </c>
      <c r="J2254" t="str">
        <f>T("매드햇")</f>
        <v>매드햇</v>
      </c>
      <c r="K2254" t="str">
        <f>T("마법사왕 아서")</f>
        <v>마법사왕 아서</v>
      </c>
      <c r="L2254">
        <v>100</v>
      </c>
      <c r="M2254">
        <v>100</v>
      </c>
      <c r="N2254">
        <v>1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100</v>
      </c>
      <c r="AJ2254">
        <v>1</v>
      </c>
      <c r="AK2254">
        <v>0</v>
      </c>
      <c r="AL2254">
        <v>0</v>
      </c>
      <c r="AM2254">
        <v>100</v>
      </c>
      <c r="AN2254">
        <v>0</v>
      </c>
      <c r="AO2254">
        <v>0</v>
      </c>
      <c r="AP2254">
        <v>0</v>
      </c>
      <c r="AQ2254">
        <v>0</v>
      </c>
      <c r="AS2254">
        <v>0</v>
      </c>
      <c r="AT2254">
        <v>0</v>
      </c>
      <c r="AV2254">
        <v>0</v>
      </c>
      <c r="AW2254">
        <v>0</v>
      </c>
      <c r="AY2254">
        <v>0</v>
      </c>
      <c r="AZ2254">
        <v>0</v>
      </c>
      <c r="BA2254">
        <v>60</v>
      </c>
      <c r="BE2254" t="str">
        <f>T("9791137019256")</f>
        <v>9791137019256</v>
      </c>
      <c r="BF2254" t="str">
        <f>T("D021799")</f>
        <v>D021799</v>
      </c>
      <c r="BG2254" t="str">
        <f>T("판타지 웹소설 &gt; 정통 판타지")</f>
        <v>판타지 웹소설 &gt; 정통 판타지</v>
      </c>
    </row>
    <row r="2255" spans="1:59">
      <c r="A2255" t="s">
        <v>60</v>
      </c>
      <c r="B2255" s="1">
        <v>46130</v>
      </c>
      <c r="C2255">
        <v>2378066888</v>
      </c>
      <c r="D2255">
        <v>2378075539</v>
      </c>
      <c r="E2255" t="str">
        <f>T("마법사왕 아서 293화")</f>
        <v>마법사왕 아서 293화</v>
      </c>
      <c r="F2255">
        <v>294</v>
      </c>
      <c r="G2255" t="str">
        <f>T("하란사")</f>
        <v>하란사</v>
      </c>
      <c r="J2255" t="str">
        <f>T("매드햇")</f>
        <v>매드햇</v>
      </c>
      <c r="K2255" t="str">
        <f>T("마법사왕 아서")</f>
        <v>마법사왕 아서</v>
      </c>
      <c r="L2255">
        <v>100</v>
      </c>
      <c r="M2255">
        <v>100</v>
      </c>
      <c r="N2255">
        <v>1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100</v>
      </c>
      <c r="AJ2255">
        <v>1</v>
      </c>
      <c r="AK2255">
        <v>0</v>
      </c>
      <c r="AL2255">
        <v>0</v>
      </c>
      <c r="AM2255">
        <v>100</v>
      </c>
      <c r="AN2255">
        <v>0</v>
      </c>
      <c r="AO2255">
        <v>0</v>
      </c>
      <c r="AP2255">
        <v>0</v>
      </c>
      <c r="AQ2255">
        <v>0</v>
      </c>
      <c r="AS2255">
        <v>0</v>
      </c>
      <c r="AT2255">
        <v>0</v>
      </c>
      <c r="AV2255">
        <v>0</v>
      </c>
      <c r="AW2255">
        <v>0</v>
      </c>
      <c r="AY2255">
        <v>0</v>
      </c>
      <c r="AZ2255">
        <v>0</v>
      </c>
      <c r="BA2255">
        <v>60</v>
      </c>
      <c r="BE2255" t="str">
        <f>T("9791137019256")</f>
        <v>9791137019256</v>
      </c>
      <c r="BF2255" t="str">
        <f>T("D021800")</f>
        <v>D021800</v>
      </c>
      <c r="BG2255" t="str">
        <f>T("판타지 웹소설 &gt; 정통 판타지")</f>
        <v>판타지 웹소설 &gt; 정통 판타지</v>
      </c>
    </row>
    <row r="2256" spans="1:59">
      <c r="A2256" t="s">
        <v>60</v>
      </c>
      <c r="B2256" s="1">
        <v>46130</v>
      </c>
      <c r="C2256">
        <v>2378066888</v>
      </c>
      <c r="D2256">
        <v>2378075569</v>
      </c>
      <c r="E2256" t="str">
        <f>T("마법사왕 아서 294화")</f>
        <v>마법사왕 아서 294화</v>
      </c>
      <c r="F2256">
        <v>295</v>
      </c>
      <c r="G2256" t="str">
        <f>T("하란사")</f>
        <v>하란사</v>
      </c>
      <c r="J2256" t="str">
        <f>T("매드햇")</f>
        <v>매드햇</v>
      </c>
      <c r="K2256" t="str">
        <f>T("마법사왕 아서")</f>
        <v>마법사왕 아서</v>
      </c>
      <c r="L2256">
        <v>100</v>
      </c>
      <c r="M2256">
        <v>100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100</v>
      </c>
      <c r="AJ2256">
        <v>1</v>
      </c>
      <c r="AK2256">
        <v>0</v>
      </c>
      <c r="AL2256">
        <v>0</v>
      </c>
      <c r="AM2256">
        <v>100</v>
      </c>
      <c r="AN2256">
        <v>0</v>
      </c>
      <c r="AO2256">
        <v>0</v>
      </c>
      <c r="AP2256">
        <v>0</v>
      </c>
      <c r="AQ2256">
        <v>0</v>
      </c>
      <c r="AS2256">
        <v>0</v>
      </c>
      <c r="AT2256">
        <v>0</v>
      </c>
      <c r="AV2256">
        <v>0</v>
      </c>
      <c r="AW2256">
        <v>0</v>
      </c>
      <c r="AY2256">
        <v>0</v>
      </c>
      <c r="AZ2256">
        <v>0</v>
      </c>
      <c r="BA2256">
        <v>60</v>
      </c>
      <c r="BE2256" t="str">
        <f>T("9791137019256")</f>
        <v>9791137019256</v>
      </c>
      <c r="BF2256" t="str">
        <f>T("D021801")</f>
        <v>D021801</v>
      </c>
      <c r="BG2256" t="str">
        <f>T("판타지 웹소설 &gt; 정통 판타지")</f>
        <v>판타지 웹소설 &gt; 정통 판타지</v>
      </c>
    </row>
    <row r="2257" spans="1:59">
      <c r="A2257" t="s">
        <v>60</v>
      </c>
      <c r="B2257" s="1">
        <v>46130</v>
      </c>
      <c r="C2257">
        <v>2378066888</v>
      </c>
      <c r="D2257">
        <v>2378075573</v>
      </c>
      <c r="E2257" t="str">
        <f>T("마법사왕 아서 295화")</f>
        <v>마법사왕 아서 295화</v>
      </c>
      <c r="F2257">
        <v>296</v>
      </c>
      <c r="G2257" t="str">
        <f>T("하란사")</f>
        <v>하란사</v>
      </c>
      <c r="J2257" t="str">
        <f>T("매드햇")</f>
        <v>매드햇</v>
      </c>
      <c r="K2257" t="str">
        <f>T("마법사왕 아서")</f>
        <v>마법사왕 아서</v>
      </c>
      <c r="L2257">
        <v>100</v>
      </c>
      <c r="M2257">
        <v>100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100</v>
      </c>
      <c r="AJ2257">
        <v>1</v>
      </c>
      <c r="AK2257">
        <v>0</v>
      </c>
      <c r="AL2257">
        <v>0</v>
      </c>
      <c r="AM2257">
        <v>100</v>
      </c>
      <c r="AN2257">
        <v>0</v>
      </c>
      <c r="AO2257">
        <v>0</v>
      </c>
      <c r="AP2257">
        <v>0</v>
      </c>
      <c r="AQ2257">
        <v>0</v>
      </c>
      <c r="AS2257">
        <v>0</v>
      </c>
      <c r="AT2257">
        <v>0</v>
      </c>
      <c r="AV2257">
        <v>0</v>
      </c>
      <c r="AW2257">
        <v>0</v>
      </c>
      <c r="AY2257">
        <v>0</v>
      </c>
      <c r="AZ2257">
        <v>0</v>
      </c>
      <c r="BA2257">
        <v>60</v>
      </c>
      <c r="BE2257" t="str">
        <f>T("9791137019256")</f>
        <v>9791137019256</v>
      </c>
      <c r="BF2257" t="str">
        <f>T("D021802")</f>
        <v>D021802</v>
      </c>
      <c r="BG2257" t="str">
        <f>T("판타지 웹소설 &gt; 정통 판타지")</f>
        <v>판타지 웹소설 &gt; 정통 판타지</v>
      </c>
    </row>
    <row r="2258" spans="1:59">
      <c r="A2258" t="s">
        <v>60</v>
      </c>
      <c r="B2258" s="1">
        <v>46130</v>
      </c>
      <c r="C2258">
        <v>2378066888</v>
      </c>
      <c r="D2258">
        <v>2378075575</v>
      </c>
      <c r="E2258" t="str">
        <f>T("마법사왕 아서 296화")</f>
        <v>마법사왕 아서 296화</v>
      </c>
      <c r="F2258">
        <v>297</v>
      </c>
      <c r="G2258" t="str">
        <f>T("하란사")</f>
        <v>하란사</v>
      </c>
      <c r="J2258" t="str">
        <f>T("매드햇")</f>
        <v>매드햇</v>
      </c>
      <c r="K2258" t="str">
        <f>T("마법사왕 아서")</f>
        <v>마법사왕 아서</v>
      </c>
      <c r="L2258">
        <v>100</v>
      </c>
      <c r="M2258">
        <v>100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100</v>
      </c>
      <c r="AJ2258">
        <v>1</v>
      </c>
      <c r="AK2258">
        <v>0</v>
      </c>
      <c r="AL2258">
        <v>0</v>
      </c>
      <c r="AM2258">
        <v>100</v>
      </c>
      <c r="AN2258">
        <v>0</v>
      </c>
      <c r="AO2258">
        <v>0</v>
      </c>
      <c r="AP2258">
        <v>0</v>
      </c>
      <c r="AQ2258">
        <v>0</v>
      </c>
      <c r="AS2258">
        <v>0</v>
      </c>
      <c r="AT2258">
        <v>0</v>
      </c>
      <c r="AV2258">
        <v>0</v>
      </c>
      <c r="AW2258">
        <v>0</v>
      </c>
      <c r="AY2258">
        <v>0</v>
      </c>
      <c r="AZ2258">
        <v>0</v>
      </c>
      <c r="BA2258">
        <v>60</v>
      </c>
      <c r="BE2258" t="str">
        <f>T("9791137019256")</f>
        <v>9791137019256</v>
      </c>
      <c r="BF2258" t="str">
        <f>T("D021803")</f>
        <v>D021803</v>
      </c>
      <c r="BG2258" t="str">
        <f>T("판타지 웹소설 &gt; 정통 판타지")</f>
        <v>판타지 웹소설 &gt; 정통 판타지</v>
      </c>
    </row>
    <row r="2259" spans="1:59">
      <c r="A2259" t="s">
        <v>60</v>
      </c>
      <c r="B2259" s="1">
        <v>46130</v>
      </c>
      <c r="C2259">
        <v>2378066888</v>
      </c>
      <c r="D2259">
        <v>2378075583</v>
      </c>
      <c r="E2259" t="str">
        <f>T("마법사왕 아서 297화")</f>
        <v>마법사왕 아서 297화</v>
      </c>
      <c r="F2259">
        <v>298</v>
      </c>
      <c r="G2259" t="str">
        <f>T("하란사")</f>
        <v>하란사</v>
      </c>
      <c r="J2259" t="str">
        <f>T("매드햇")</f>
        <v>매드햇</v>
      </c>
      <c r="K2259" t="str">
        <f>T("마법사왕 아서")</f>
        <v>마법사왕 아서</v>
      </c>
      <c r="L2259">
        <v>100</v>
      </c>
      <c r="M2259">
        <v>100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0</v>
      </c>
      <c r="AI2259">
        <v>100</v>
      </c>
      <c r="AJ2259">
        <v>1</v>
      </c>
      <c r="AK2259">
        <v>0</v>
      </c>
      <c r="AL2259">
        <v>0</v>
      </c>
      <c r="AM2259">
        <v>100</v>
      </c>
      <c r="AN2259">
        <v>0</v>
      </c>
      <c r="AO2259">
        <v>0</v>
      </c>
      <c r="AP2259">
        <v>0</v>
      </c>
      <c r="AQ2259">
        <v>0</v>
      </c>
      <c r="AS2259">
        <v>0</v>
      </c>
      <c r="AT2259">
        <v>0</v>
      </c>
      <c r="AV2259">
        <v>0</v>
      </c>
      <c r="AW2259">
        <v>0</v>
      </c>
      <c r="AY2259">
        <v>0</v>
      </c>
      <c r="AZ2259">
        <v>0</v>
      </c>
      <c r="BA2259">
        <v>60</v>
      </c>
      <c r="BE2259" t="str">
        <f>T("9791137019256")</f>
        <v>9791137019256</v>
      </c>
      <c r="BF2259" t="str">
        <f>T("D021804")</f>
        <v>D021804</v>
      </c>
      <c r="BG2259" t="str">
        <f>T("판타지 웹소설 &gt; 정통 판타지")</f>
        <v>판타지 웹소설 &gt; 정통 판타지</v>
      </c>
    </row>
    <row r="2260" spans="1:59">
      <c r="A2260" t="s">
        <v>60</v>
      </c>
      <c r="B2260" s="1">
        <v>46130</v>
      </c>
      <c r="C2260">
        <v>2378066888</v>
      </c>
      <c r="D2260">
        <v>2378075595</v>
      </c>
      <c r="E2260" t="str">
        <f>T("마법사왕 아서 298화")</f>
        <v>마법사왕 아서 298화</v>
      </c>
      <c r="F2260">
        <v>299</v>
      </c>
      <c r="G2260" t="str">
        <f>T("하란사")</f>
        <v>하란사</v>
      </c>
      <c r="J2260" t="str">
        <f>T("매드햇")</f>
        <v>매드햇</v>
      </c>
      <c r="K2260" t="str">
        <f>T("마법사왕 아서")</f>
        <v>마법사왕 아서</v>
      </c>
      <c r="L2260">
        <v>100</v>
      </c>
      <c r="M2260">
        <v>100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100</v>
      </c>
      <c r="AJ2260">
        <v>1</v>
      </c>
      <c r="AK2260">
        <v>0</v>
      </c>
      <c r="AL2260">
        <v>0</v>
      </c>
      <c r="AM2260">
        <v>100</v>
      </c>
      <c r="AN2260">
        <v>0</v>
      </c>
      <c r="AO2260">
        <v>0</v>
      </c>
      <c r="AP2260">
        <v>0</v>
      </c>
      <c r="AQ2260">
        <v>0</v>
      </c>
      <c r="AS2260">
        <v>0</v>
      </c>
      <c r="AT2260">
        <v>0</v>
      </c>
      <c r="AV2260">
        <v>0</v>
      </c>
      <c r="AW2260">
        <v>0</v>
      </c>
      <c r="AY2260">
        <v>0</v>
      </c>
      <c r="AZ2260">
        <v>0</v>
      </c>
      <c r="BA2260">
        <v>60</v>
      </c>
      <c r="BE2260" t="str">
        <f>T("9791137019256")</f>
        <v>9791137019256</v>
      </c>
      <c r="BF2260" t="str">
        <f>T("D021805")</f>
        <v>D021805</v>
      </c>
      <c r="BG2260" t="str">
        <f>T("판타지 웹소설 &gt; 정통 판타지")</f>
        <v>판타지 웹소설 &gt; 정통 판타지</v>
      </c>
    </row>
    <row r="2261" spans="1:59">
      <c r="A2261" t="s">
        <v>60</v>
      </c>
      <c r="B2261" s="1">
        <v>46130</v>
      </c>
      <c r="C2261">
        <v>2378066888</v>
      </c>
      <c r="D2261">
        <v>2378075598</v>
      </c>
      <c r="E2261" t="str">
        <f>T("마법사왕 아서 299화")</f>
        <v>마법사왕 아서 299화</v>
      </c>
      <c r="F2261">
        <v>300</v>
      </c>
      <c r="G2261" t="str">
        <f>T("하란사")</f>
        <v>하란사</v>
      </c>
      <c r="J2261" t="str">
        <f>T("매드햇")</f>
        <v>매드햇</v>
      </c>
      <c r="K2261" t="str">
        <f>T("마법사왕 아서")</f>
        <v>마법사왕 아서</v>
      </c>
      <c r="L2261">
        <v>100</v>
      </c>
      <c r="M2261">
        <v>100</v>
      </c>
      <c r="N2261">
        <v>1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100</v>
      </c>
      <c r="AJ2261">
        <v>1</v>
      </c>
      <c r="AK2261">
        <v>0</v>
      </c>
      <c r="AL2261">
        <v>0</v>
      </c>
      <c r="AM2261">
        <v>100</v>
      </c>
      <c r="AN2261">
        <v>0</v>
      </c>
      <c r="AO2261">
        <v>0</v>
      </c>
      <c r="AP2261">
        <v>0</v>
      </c>
      <c r="AQ2261">
        <v>0</v>
      </c>
      <c r="AS2261">
        <v>0</v>
      </c>
      <c r="AT2261">
        <v>0</v>
      </c>
      <c r="AV2261">
        <v>0</v>
      </c>
      <c r="AW2261">
        <v>0</v>
      </c>
      <c r="AY2261">
        <v>0</v>
      </c>
      <c r="AZ2261">
        <v>0</v>
      </c>
      <c r="BA2261">
        <v>60</v>
      </c>
      <c r="BE2261" t="str">
        <f>T("9791137019256")</f>
        <v>9791137019256</v>
      </c>
      <c r="BF2261" t="str">
        <f>T("D021806")</f>
        <v>D021806</v>
      </c>
      <c r="BG2261" t="str">
        <f>T("판타지 웹소설 &gt; 정통 판타지")</f>
        <v>판타지 웹소설 &gt; 정통 판타지</v>
      </c>
    </row>
    <row r="2262" spans="1:59">
      <c r="A2262" t="s">
        <v>60</v>
      </c>
      <c r="B2262" s="1">
        <v>46130</v>
      </c>
      <c r="C2262">
        <v>2378066888</v>
      </c>
      <c r="D2262">
        <v>2378075613</v>
      </c>
      <c r="E2262" t="str">
        <f>T("마법사왕 아서 300화")</f>
        <v>마법사왕 아서 300화</v>
      </c>
      <c r="F2262">
        <v>301</v>
      </c>
      <c r="G2262" t="str">
        <f>T("하란사")</f>
        <v>하란사</v>
      </c>
      <c r="J2262" t="str">
        <f>T("매드햇")</f>
        <v>매드햇</v>
      </c>
      <c r="K2262" t="str">
        <f>T("마법사왕 아서")</f>
        <v>마법사왕 아서</v>
      </c>
      <c r="L2262">
        <v>100</v>
      </c>
      <c r="M2262">
        <v>100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100</v>
      </c>
      <c r="AJ2262">
        <v>1</v>
      </c>
      <c r="AK2262">
        <v>0</v>
      </c>
      <c r="AL2262">
        <v>0</v>
      </c>
      <c r="AM2262">
        <v>100</v>
      </c>
      <c r="AN2262">
        <v>0</v>
      </c>
      <c r="AO2262">
        <v>0</v>
      </c>
      <c r="AP2262">
        <v>0</v>
      </c>
      <c r="AQ2262">
        <v>0</v>
      </c>
      <c r="AS2262">
        <v>0</v>
      </c>
      <c r="AT2262">
        <v>0</v>
      </c>
      <c r="AV2262">
        <v>0</v>
      </c>
      <c r="AW2262">
        <v>0</v>
      </c>
      <c r="AY2262">
        <v>0</v>
      </c>
      <c r="AZ2262">
        <v>0</v>
      </c>
      <c r="BA2262">
        <v>60</v>
      </c>
      <c r="BE2262" t="str">
        <f>T("9791137019256")</f>
        <v>9791137019256</v>
      </c>
      <c r="BF2262" t="str">
        <f>T("D021807")</f>
        <v>D021807</v>
      </c>
      <c r="BG2262" t="str">
        <f>T("판타지 웹소설 &gt; 정통 판타지")</f>
        <v>판타지 웹소설 &gt; 정통 판타지</v>
      </c>
    </row>
    <row r="2263" spans="1:59">
      <c r="A2263" t="s">
        <v>60</v>
      </c>
      <c r="B2263" s="1">
        <v>46130</v>
      </c>
      <c r="C2263">
        <v>2378066888</v>
      </c>
      <c r="D2263">
        <v>2378075626</v>
      </c>
      <c r="E2263" t="str">
        <f>T("마법사왕 아서 301화")</f>
        <v>마법사왕 아서 301화</v>
      </c>
      <c r="F2263">
        <v>302</v>
      </c>
      <c r="G2263" t="str">
        <f>T("하란사")</f>
        <v>하란사</v>
      </c>
      <c r="J2263" t="str">
        <f>T("매드햇")</f>
        <v>매드햇</v>
      </c>
      <c r="K2263" t="str">
        <f>T("마법사왕 아서")</f>
        <v>마법사왕 아서</v>
      </c>
      <c r="L2263">
        <v>100</v>
      </c>
      <c r="M2263">
        <v>100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100</v>
      </c>
      <c r="AJ2263">
        <v>1</v>
      </c>
      <c r="AK2263">
        <v>0</v>
      </c>
      <c r="AL2263">
        <v>0</v>
      </c>
      <c r="AM2263">
        <v>100</v>
      </c>
      <c r="AN2263">
        <v>0</v>
      </c>
      <c r="AO2263">
        <v>0</v>
      </c>
      <c r="AP2263">
        <v>0</v>
      </c>
      <c r="AQ2263">
        <v>0</v>
      </c>
      <c r="AS2263">
        <v>0</v>
      </c>
      <c r="AT2263">
        <v>0</v>
      </c>
      <c r="AV2263">
        <v>0</v>
      </c>
      <c r="AW2263">
        <v>0</v>
      </c>
      <c r="AY2263">
        <v>0</v>
      </c>
      <c r="AZ2263">
        <v>0</v>
      </c>
      <c r="BA2263">
        <v>60</v>
      </c>
      <c r="BE2263" t="str">
        <f>T("9791137019256")</f>
        <v>9791137019256</v>
      </c>
      <c r="BG2263" t="str">
        <f>T("판타지 웹소설 &gt; 정통 판타지")</f>
        <v>판타지 웹소설 &gt; 정통 판타지</v>
      </c>
    </row>
    <row r="2264" spans="1:59">
      <c r="A2264" t="s">
        <v>60</v>
      </c>
      <c r="B2264" s="1">
        <v>46130</v>
      </c>
      <c r="C2264">
        <v>2378066888</v>
      </c>
      <c r="D2264">
        <v>2378075629</v>
      </c>
      <c r="E2264" t="str">
        <f>T("마법사왕 아서 302화")</f>
        <v>마법사왕 아서 302화</v>
      </c>
      <c r="F2264">
        <v>303</v>
      </c>
      <c r="G2264" t="str">
        <f>T("하란사")</f>
        <v>하란사</v>
      </c>
      <c r="J2264" t="str">
        <f>T("매드햇")</f>
        <v>매드햇</v>
      </c>
      <c r="K2264" t="str">
        <f>T("마법사왕 아서")</f>
        <v>마법사왕 아서</v>
      </c>
      <c r="L2264">
        <v>100</v>
      </c>
      <c r="M2264">
        <v>100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100</v>
      </c>
      <c r="AJ2264">
        <v>1</v>
      </c>
      <c r="AK2264">
        <v>0</v>
      </c>
      <c r="AL2264">
        <v>0</v>
      </c>
      <c r="AM2264">
        <v>100</v>
      </c>
      <c r="AN2264">
        <v>0</v>
      </c>
      <c r="AO2264">
        <v>0</v>
      </c>
      <c r="AP2264">
        <v>0</v>
      </c>
      <c r="AQ2264">
        <v>0</v>
      </c>
      <c r="AS2264">
        <v>0</v>
      </c>
      <c r="AT2264">
        <v>0</v>
      </c>
      <c r="AV2264">
        <v>0</v>
      </c>
      <c r="AW2264">
        <v>0</v>
      </c>
      <c r="AY2264">
        <v>0</v>
      </c>
      <c r="AZ2264">
        <v>0</v>
      </c>
      <c r="BA2264">
        <v>60</v>
      </c>
      <c r="BE2264" t="str">
        <f>T("9791137019256")</f>
        <v>9791137019256</v>
      </c>
      <c r="BF2264" t="str">
        <f>T("D040497")</f>
        <v>D040497</v>
      </c>
      <c r="BG2264" t="str">
        <f>T("판타지 웹소설 &gt; 정통 판타지")</f>
        <v>판타지 웹소설 &gt; 정통 판타지</v>
      </c>
    </row>
    <row r="2265" spans="1:59">
      <c r="A2265" t="s">
        <v>60</v>
      </c>
      <c r="B2265" s="1">
        <v>46130</v>
      </c>
      <c r="C2265">
        <v>2378066888</v>
      </c>
      <c r="D2265">
        <v>2378075635</v>
      </c>
      <c r="E2265" t="str">
        <f>T("마법사왕 아서 303화")</f>
        <v>마법사왕 아서 303화</v>
      </c>
      <c r="F2265">
        <v>304</v>
      </c>
      <c r="G2265" t="str">
        <f>T("하란사")</f>
        <v>하란사</v>
      </c>
      <c r="J2265" t="str">
        <f>T("매드햇")</f>
        <v>매드햇</v>
      </c>
      <c r="K2265" t="str">
        <f>T("마법사왕 아서")</f>
        <v>마법사왕 아서</v>
      </c>
      <c r="L2265">
        <v>100</v>
      </c>
      <c r="M2265">
        <v>100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100</v>
      </c>
      <c r="AJ2265">
        <v>1</v>
      </c>
      <c r="AK2265">
        <v>0</v>
      </c>
      <c r="AL2265">
        <v>0</v>
      </c>
      <c r="AM2265">
        <v>100</v>
      </c>
      <c r="AN2265">
        <v>0</v>
      </c>
      <c r="AO2265">
        <v>0</v>
      </c>
      <c r="AP2265">
        <v>0</v>
      </c>
      <c r="AQ2265">
        <v>0</v>
      </c>
      <c r="AS2265">
        <v>0</v>
      </c>
      <c r="AT2265">
        <v>0</v>
      </c>
      <c r="AV2265">
        <v>0</v>
      </c>
      <c r="AW2265">
        <v>0</v>
      </c>
      <c r="AY2265">
        <v>0</v>
      </c>
      <c r="AZ2265">
        <v>0</v>
      </c>
      <c r="BA2265">
        <v>60</v>
      </c>
      <c r="BE2265" t="str">
        <f>T("9791137019256")</f>
        <v>9791137019256</v>
      </c>
      <c r="BF2265" t="str">
        <f>T("D040498")</f>
        <v>D040498</v>
      </c>
      <c r="BG2265" t="str">
        <f>T("판타지 웹소설 &gt; 정통 판타지")</f>
        <v>판타지 웹소설 &gt; 정통 판타지</v>
      </c>
    </row>
    <row r="2266" spans="1:59">
      <c r="A2266" t="s">
        <v>60</v>
      </c>
      <c r="B2266" s="1">
        <v>46130</v>
      </c>
      <c r="C2266">
        <v>2378066888</v>
      </c>
      <c r="D2266">
        <v>2378076740</v>
      </c>
      <c r="E2266" t="str">
        <f>T("마법사왕 아서 304화")</f>
        <v>마법사왕 아서 304화</v>
      </c>
      <c r="F2266">
        <v>305</v>
      </c>
      <c r="G2266" t="str">
        <f>T("하란사")</f>
        <v>하란사</v>
      </c>
      <c r="J2266" t="str">
        <f>T("매드햇")</f>
        <v>매드햇</v>
      </c>
      <c r="K2266" t="str">
        <f>T("마법사왕 아서")</f>
        <v>마법사왕 아서</v>
      </c>
      <c r="L2266">
        <v>100</v>
      </c>
      <c r="M2266">
        <v>100</v>
      </c>
      <c r="N2266">
        <v>1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100</v>
      </c>
      <c r="AJ2266">
        <v>1</v>
      </c>
      <c r="AK2266">
        <v>0</v>
      </c>
      <c r="AL2266">
        <v>0</v>
      </c>
      <c r="AM2266">
        <v>100</v>
      </c>
      <c r="AN2266">
        <v>0</v>
      </c>
      <c r="AO2266">
        <v>0</v>
      </c>
      <c r="AP2266">
        <v>0</v>
      </c>
      <c r="AQ2266">
        <v>0</v>
      </c>
      <c r="AS2266">
        <v>0</v>
      </c>
      <c r="AT2266">
        <v>0</v>
      </c>
      <c r="AV2266">
        <v>0</v>
      </c>
      <c r="AW2266">
        <v>0</v>
      </c>
      <c r="AY2266">
        <v>0</v>
      </c>
      <c r="AZ2266">
        <v>0</v>
      </c>
      <c r="BA2266">
        <v>60</v>
      </c>
      <c r="BE2266" t="str">
        <f>T("9791137019256")</f>
        <v>9791137019256</v>
      </c>
      <c r="BF2266" t="str">
        <f>T("D040499")</f>
        <v>D040499</v>
      </c>
      <c r="BG2266" t="str">
        <f>T("판타지 웹소설 &gt; 정통 판타지")</f>
        <v>판타지 웹소설 &gt; 정통 판타지</v>
      </c>
    </row>
    <row r="2267" spans="1:59">
      <c r="A2267" t="s">
        <v>60</v>
      </c>
      <c r="B2267" s="1">
        <v>46130</v>
      </c>
      <c r="C2267">
        <v>2378066888</v>
      </c>
      <c r="D2267">
        <v>2378076750</v>
      </c>
      <c r="E2267" t="str">
        <f>T("마법사왕 아서 305화")</f>
        <v>마법사왕 아서 305화</v>
      </c>
      <c r="F2267">
        <v>306</v>
      </c>
      <c r="G2267" t="str">
        <f>T("하란사")</f>
        <v>하란사</v>
      </c>
      <c r="J2267" t="str">
        <f>T("매드햇")</f>
        <v>매드햇</v>
      </c>
      <c r="K2267" t="str">
        <f>T("마법사왕 아서")</f>
        <v>마법사왕 아서</v>
      </c>
      <c r="L2267">
        <v>100</v>
      </c>
      <c r="M2267">
        <v>100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100</v>
      </c>
      <c r="AJ2267">
        <v>1</v>
      </c>
      <c r="AK2267">
        <v>0</v>
      </c>
      <c r="AL2267">
        <v>0</v>
      </c>
      <c r="AM2267">
        <v>100</v>
      </c>
      <c r="AN2267">
        <v>0</v>
      </c>
      <c r="AO2267">
        <v>0</v>
      </c>
      <c r="AP2267">
        <v>0</v>
      </c>
      <c r="AQ2267">
        <v>0</v>
      </c>
      <c r="AS2267">
        <v>0</v>
      </c>
      <c r="AT2267">
        <v>0</v>
      </c>
      <c r="AV2267">
        <v>0</v>
      </c>
      <c r="AW2267">
        <v>0</v>
      </c>
      <c r="AY2267">
        <v>0</v>
      </c>
      <c r="AZ2267">
        <v>0</v>
      </c>
      <c r="BA2267">
        <v>60</v>
      </c>
      <c r="BE2267" t="str">
        <f>T("9791137019256")</f>
        <v>9791137019256</v>
      </c>
      <c r="BF2267" t="str">
        <f>T("D040500")</f>
        <v>D040500</v>
      </c>
      <c r="BG2267" t="str">
        <f>T("판타지 웹소설 &gt; 정통 판타지")</f>
        <v>판타지 웹소설 &gt; 정통 판타지</v>
      </c>
    </row>
    <row r="2268" spans="1:59">
      <c r="A2268" t="s">
        <v>60</v>
      </c>
      <c r="B2268" s="1">
        <v>46130</v>
      </c>
      <c r="C2268">
        <v>2378066888</v>
      </c>
      <c r="D2268">
        <v>2378077025</v>
      </c>
      <c r="E2268" t="str">
        <f>T("마법사왕 아서 306화")</f>
        <v>마법사왕 아서 306화</v>
      </c>
      <c r="F2268">
        <v>307</v>
      </c>
      <c r="G2268" t="str">
        <f>T("하란사")</f>
        <v>하란사</v>
      </c>
      <c r="J2268" t="str">
        <f>T("매드햇")</f>
        <v>매드햇</v>
      </c>
      <c r="K2268" t="str">
        <f>T("마법사왕 아서")</f>
        <v>마법사왕 아서</v>
      </c>
      <c r="L2268">
        <v>100</v>
      </c>
      <c r="M2268">
        <v>100</v>
      </c>
      <c r="N2268">
        <v>1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100</v>
      </c>
      <c r="AJ2268">
        <v>1</v>
      </c>
      <c r="AK2268">
        <v>0</v>
      </c>
      <c r="AL2268">
        <v>0</v>
      </c>
      <c r="AM2268">
        <v>100</v>
      </c>
      <c r="AN2268">
        <v>0</v>
      </c>
      <c r="AO2268">
        <v>0</v>
      </c>
      <c r="AP2268">
        <v>0</v>
      </c>
      <c r="AQ2268">
        <v>0</v>
      </c>
      <c r="AS2268">
        <v>0</v>
      </c>
      <c r="AT2268">
        <v>0</v>
      </c>
      <c r="AV2268">
        <v>0</v>
      </c>
      <c r="AW2268">
        <v>0</v>
      </c>
      <c r="AY2268">
        <v>0</v>
      </c>
      <c r="AZ2268">
        <v>0</v>
      </c>
      <c r="BA2268">
        <v>60</v>
      </c>
      <c r="BE2268" t="str">
        <f>T("9791137019256")</f>
        <v>9791137019256</v>
      </c>
      <c r="BF2268" t="str">
        <f>T("D040501")</f>
        <v>D040501</v>
      </c>
      <c r="BG2268" t="str">
        <f>T("판타지 웹소설 &gt; 정통 판타지")</f>
        <v>판타지 웹소설 &gt; 정통 판타지</v>
      </c>
    </row>
    <row r="2269" spans="1:59">
      <c r="A2269" t="s">
        <v>60</v>
      </c>
      <c r="B2269" s="1">
        <v>46130</v>
      </c>
      <c r="C2269">
        <v>2378066888</v>
      </c>
      <c r="D2269">
        <v>2378077051</v>
      </c>
      <c r="E2269" t="str">
        <f>T("마법사왕 아서 307화")</f>
        <v>마법사왕 아서 307화</v>
      </c>
      <c r="F2269">
        <v>308</v>
      </c>
      <c r="G2269" t="str">
        <f>T("하란사")</f>
        <v>하란사</v>
      </c>
      <c r="J2269" t="str">
        <f>T("매드햇")</f>
        <v>매드햇</v>
      </c>
      <c r="K2269" t="str">
        <f>T("마법사왕 아서")</f>
        <v>마법사왕 아서</v>
      </c>
      <c r="L2269">
        <v>100</v>
      </c>
      <c r="M2269">
        <v>100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0</v>
      </c>
      <c r="AH2269">
        <v>0</v>
      </c>
      <c r="AI2269">
        <v>100</v>
      </c>
      <c r="AJ2269">
        <v>1</v>
      </c>
      <c r="AK2269">
        <v>0</v>
      </c>
      <c r="AL2269">
        <v>0</v>
      </c>
      <c r="AM2269">
        <v>100</v>
      </c>
      <c r="AN2269">
        <v>0</v>
      </c>
      <c r="AO2269">
        <v>0</v>
      </c>
      <c r="AP2269">
        <v>0</v>
      </c>
      <c r="AQ2269">
        <v>0</v>
      </c>
      <c r="AS2269">
        <v>0</v>
      </c>
      <c r="AT2269">
        <v>0</v>
      </c>
      <c r="AV2269">
        <v>0</v>
      </c>
      <c r="AW2269">
        <v>0</v>
      </c>
      <c r="AY2269">
        <v>0</v>
      </c>
      <c r="AZ2269">
        <v>0</v>
      </c>
      <c r="BA2269">
        <v>60</v>
      </c>
      <c r="BE2269" t="str">
        <f>T("9791137019256")</f>
        <v>9791137019256</v>
      </c>
      <c r="BF2269" t="str">
        <f>T("D040502")</f>
        <v>D040502</v>
      </c>
      <c r="BG2269" t="str">
        <f>T("판타지 웹소설 &gt; 정통 판타지")</f>
        <v>판타지 웹소설 &gt; 정통 판타지</v>
      </c>
    </row>
    <row r="2270" spans="1:59">
      <c r="A2270" t="s">
        <v>60</v>
      </c>
      <c r="B2270" s="1">
        <v>46130</v>
      </c>
      <c r="C2270">
        <v>2378066888</v>
      </c>
      <c r="D2270">
        <v>2378077062</v>
      </c>
      <c r="E2270" t="str">
        <f>T("마법사왕 아서 308화")</f>
        <v>마법사왕 아서 308화</v>
      </c>
      <c r="F2270">
        <v>309</v>
      </c>
      <c r="G2270" t="str">
        <f>T("하란사")</f>
        <v>하란사</v>
      </c>
      <c r="J2270" t="str">
        <f>T("매드햇")</f>
        <v>매드햇</v>
      </c>
      <c r="K2270" t="str">
        <f>T("마법사왕 아서")</f>
        <v>마법사왕 아서</v>
      </c>
      <c r="L2270">
        <v>100</v>
      </c>
      <c r="M2270">
        <v>100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100</v>
      </c>
      <c r="AJ2270">
        <v>1</v>
      </c>
      <c r="AK2270">
        <v>0</v>
      </c>
      <c r="AL2270">
        <v>0</v>
      </c>
      <c r="AM2270">
        <v>100</v>
      </c>
      <c r="AN2270">
        <v>0</v>
      </c>
      <c r="AO2270">
        <v>0</v>
      </c>
      <c r="AP2270">
        <v>0</v>
      </c>
      <c r="AQ2270">
        <v>0</v>
      </c>
      <c r="AS2270">
        <v>0</v>
      </c>
      <c r="AT2270">
        <v>0</v>
      </c>
      <c r="AV2270">
        <v>0</v>
      </c>
      <c r="AW2270">
        <v>0</v>
      </c>
      <c r="AY2270">
        <v>0</v>
      </c>
      <c r="AZ2270">
        <v>0</v>
      </c>
      <c r="BA2270">
        <v>60</v>
      </c>
      <c r="BE2270" t="str">
        <f>T("9791137019256")</f>
        <v>9791137019256</v>
      </c>
      <c r="BF2270" t="str">
        <f>T("D040503")</f>
        <v>D040503</v>
      </c>
      <c r="BG2270" t="str">
        <f>T("판타지 웹소설 &gt; 정통 판타지")</f>
        <v>판타지 웹소설 &gt; 정통 판타지</v>
      </c>
    </row>
    <row r="2271" spans="1:59">
      <c r="A2271" t="s">
        <v>60</v>
      </c>
      <c r="B2271" s="1">
        <v>46130</v>
      </c>
      <c r="C2271">
        <v>2378066888</v>
      </c>
      <c r="D2271">
        <v>2378077072</v>
      </c>
      <c r="E2271" t="str">
        <f>T("마법사왕 아서 309화")</f>
        <v>마법사왕 아서 309화</v>
      </c>
      <c r="F2271">
        <v>310</v>
      </c>
      <c r="G2271" t="str">
        <f>T("하란사")</f>
        <v>하란사</v>
      </c>
      <c r="J2271" t="str">
        <f>T("매드햇")</f>
        <v>매드햇</v>
      </c>
      <c r="K2271" t="str">
        <f>T("마법사왕 아서")</f>
        <v>마법사왕 아서</v>
      </c>
      <c r="L2271">
        <v>100</v>
      </c>
      <c r="M2271">
        <v>100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100</v>
      </c>
      <c r="AJ2271">
        <v>1</v>
      </c>
      <c r="AK2271">
        <v>0</v>
      </c>
      <c r="AL2271">
        <v>0</v>
      </c>
      <c r="AM2271">
        <v>100</v>
      </c>
      <c r="AN2271">
        <v>0</v>
      </c>
      <c r="AO2271">
        <v>0</v>
      </c>
      <c r="AP2271">
        <v>0</v>
      </c>
      <c r="AQ2271">
        <v>0</v>
      </c>
      <c r="AS2271">
        <v>0</v>
      </c>
      <c r="AT2271">
        <v>0</v>
      </c>
      <c r="AV2271">
        <v>0</v>
      </c>
      <c r="AW2271">
        <v>0</v>
      </c>
      <c r="AY2271">
        <v>0</v>
      </c>
      <c r="AZ2271">
        <v>0</v>
      </c>
      <c r="BA2271">
        <v>60</v>
      </c>
      <c r="BE2271" t="str">
        <f>T("9791137019256")</f>
        <v>9791137019256</v>
      </c>
      <c r="BF2271" t="str">
        <f>T("D040504")</f>
        <v>D040504</v>
      </c>
      <c r="BG2271" t="str">
        <f>T("판타지 웹소설 &gt; 정통 판타지")</f>
        <v>판타지 웹소설 &gt; 정통 판타지</v>
      </c>
    </row>
    <row r="2272" spans="1:59">
      <c r="A2272" t="s">
        <v>60</v>
      </c>
      <c r="B2272" s="1">
        <v>46130</v>
      </c>
      <c r="C2272">
        <v>2378066888</v>
      </c>
      <c r="D2272">
        <v>2378077088</v>
      </c>
      <c r="E2272" t="str">
        <f>T("마법사왕 아서 310화")</f>
        <v>마법사왕 아서 310화</v>
      </c>
      <c r="F2272">
        <v>311</v>
      </c>
      <c r="G2272" t="str">
        <f>T("하란사")</f>
        <v>하란사</v>
      </c>
      <c r="J2272" t="str">
        <f>T("매드햇")</f>
        <v>매드햇</v>
      </c>
      <c r="K2272" t="str">
        <f>T("마법사왕 아서")</f>
        <v>마법사왕 아서</v>
      </c>
      <c r="L2272">
        <v>100</v>
      </c>
      <c r="M2272">
        <v>100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0</v>
      </c>
      <c r="AI2272">
        <v>100</v>
      </c>
      <c r="AJ2272">
        <v>1</v>
      </c>
      <c r="AK2272">
        <v>0</v>
      </c>
      <c r="AL2272">
        <v>0</v>
      </c>
      <c r="AM2272">
        <v>100</v>
      </c>
      <c r="AN2272">
        <v>0</v>
      </c>
      <c r="AO2272">
        <v>0</v>
      </c>
      <c r="AP2272">
        <v>0</v>
      </c>
      <c r="AQ2272">
        <v>0</v>
      </c>
      <c r="AS2272">
        <v>0</v>
      </c>
      <c r="AT2272">
        <v>0</v>
      </c>
      <c r="AV2272">
        <v>0</v>
      </c>
      <c r="AW2272">
        <v>0</v>
      </c>
      <c r="AY2272">
        <v>0</v>
      </c>
      <c r="AZ2272">
        <v>0</v>
      </c>
      <c r="BA2272">
        <v>60</v>
      </c>
      <c r="BE2272" t="str">
        <f>T("9791137019256")</f>
        <v>9791137019256</v>
      </c>
      <c r="BF2272" t="str">
        <f>T("D040505")</f>
        <v>D040505</v>
      </c>
      <c r="BG2272" t="str">
        <f>T("판타지 웹소설 &gt; 정통 판타지")</f>
        <v>판타지 웹소설 &gt; 정통 판타지</v>
      </c>
    </row>
    <row r="2273" spans="1:59">
      <c r="A2273" t="s">
        <v>60</v>
      </c>
      <c r="B2273" s="1">
        <v>46130</v>
      </c>
      <c r="C2273">
        <v>2378066888</v>
      </c>
      <c r="D2273">
        <v>2378077408</v>
      </c>
      <c r="E2273" t="str">
        <f>T("마법사왕 아서 311화")</f>
        <v>마법사왕 아서 311화</v>
      </c>
      <c r="F2273">
        <v>312</v>
      </c>
      <c r="G2273" t="str">
        <f>T("하란사")</f>
        <v>하란사</v>
      </c>
      <c r="J2273" t="str">
        <f>T("매드햇")</f>
        <v>매드햇</v>
      </c>
      <c r="K2273" t="str">
        <f>T("마법사왕 아서")</f>
        <v>마법사왕 아서</v>
      </c>
      <c r="L2273">
        <v>100</v>
      </c>
      <c r="M2273">
        <v>100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100</v>
      </c>
      <c r="AJ2273">
        <v>1</v>
      </c>
      <c r="AK2273">
        <v>0</v>
      </c>
      <c r="AL2273">
        <v>0</v>
      </c>
      <c r="AM2273">
        <v>100</v>
      </c>
      <c r="AN2273">
        <v>0</v>
      </c>
      <c r="AO2273">
        <v>0</v>
      </c>
      <c r="AP2273">
        <v>0</v>
      </c>
      <c r="AQ2273">
        <v>0</v>
      </c>
      <c r="AS2273">
        <v>0</v>
      </c>
      <c r="AT2273">
        <v>0</v>
      </c>
      <c r="AV2273">
        <v>0</v>
      </c>
      <c r="AW2273">
        <v>0</v>
      </c>
      <c r="AY2273">
        <v>0</v>
      </c>
      <c r="AZ2273">
        <v>0</v>
      </c>
      <c r="BA2273">
        <v>60</v>
      </c>
      <c r="BE2273" t="str">
        <f>T("9791137019256")</f>
        <v>9791137019256</v>
      </c>
      <c r="BF2273" t="str">
        <f>T("D040506")</f>
        <v>D040506</v>
      </c>
      <c r="BG2273" t="str">
        <f>T("판타지 웹소설 &gt; 정통 판타지")</f>
        <v>판타지 웹소설 &gt; 정통 판타지</v>
      </c>
    </row>
    <row r="2274" spans="1:59">
      <c r="A2274" t="s">
        <v>60</v>
      </c>
      <c r="B2274" s="1">
        <v>46130</v>
      </c>
      <c r="C2274">
        <v>2378066888</v>
      </c>
      <c r="D2274">
        <v>2378077422</v>
      </c>
      <c r="E2274" t="str">
        <f>T("마법사왕 아서 312화")</f>
        <v>마법사왕 아서 312화</v>
      </c>
      <c r="F2274">
        <v>313</v>
      </c>
      <c r="G2274" t="str">
        <f>T("하란사")</f>
        <v>하란사</v>
      </c>
      <c r="J2274" t="str">
        <f>T("매드햇")</f>
        <v>매드햇</v>
      </c>
      <c r="K2274" t="str">
        <f>T("마법사왕 아서")</f>
        <v>마법사왕 아서</v>
      </c>
      <c r="L2274">
        <v>100</v>
      </c>
      <c r="M2274">
        <v>100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0</v>
      </c>
      <c r="AI2274">
        <v>100</v>
      </c>
      <c r="AJ2274">
        <v>1</v>
      </c>
      <c r="AK2274">
        <v>0</v>
      </c>
      <c r="AL2274">
        <v>0</v>
      </c>
      <c r="AM2274">
        <v>100</v>
      </c>
      <c r="AN2274">
        <v>0</v>
      </c>
      <c r="AO2274">
        <v>0</v>
      </c>
      <c r="AP2274">
        <v>0</v>
      </c>
      <c r="AQ2274">
        <v>0</v>
      </c>
      <c r="AS2274">
        <v>0</v>
      </c>
      <c r="AT2274">
        <v>0</v>
      </c>
      <c r="AV2274">
        <v>0</v>
      </c>
      <c r="AW2274">
        <v>0</v>
      </c>
      <c r="AY2274">
        <v>0</v>
      </c>
      <c r="AZ2274">
        <v>0</v>
      </c>
      <c r="BA2274">
        <v>60</v>
      </c>
      <c r="BE2274" t="str">
        <f>T("9791137019256")</f>
        <v>9791137019256</v>
      </c>
      <c r="BF2274" t="str">
        <f>T("D040507")</f>
        <v>D040507</v>
      </c>
      <c r="BG2274" t="str">
        <f>T("판타지 웹소설 &gt; 정통 판타지")</f>
        <v>판타지 웹소설 &gt; 정통 판타지</v>
      </c>
    </row>
    <row r="2275" spans="1:59">
      <c r="A2275" t="s">
        <v>60</v>
      </c>
      <c r="B2275" s="1">
        <v>46130</v>
      </c>
      <c r="C2275">
        <v>2378066888</v>
      </c>
      <c r="D2275">
        <v>2378077658</v>
      </c>
      <c r="E2275" t="str">
        <f>T("마법사왕 아서 313화")</f>
        <v>마법사왕 아서 313화</v>
      </c>
      <c r="F2275">
        <v>314</v>
      </c>
      <c r="G2275" t="str">
        <f>T("하란사")</f>
        <v>하란사</v>
      </c>
      <c r="J2275" t="str">
        <f>T("매드햇")</f>
        <v>매드햇</v>
      </c>
      <c r="K2275" t="str">
        <f>T("마법사왕 아서")</f>
        <v>마법사왕 아서</v>
      </c>
      <c r="L2275">
        <v>100</v>
      </c>
      <c r="M2275">
        <v>100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100</v>
      </c>
      <c r="AJ2275">
        <v>1</v>
      </c>
      <c r="AK2275">
        <v>0</v>
      </c>
      <c r="AL2275">
        <v>0</v>
      </c>
      <c r="AM2275">
        <v>100</v>
      </c>
      <c r="AN2275">
        <v>0</v>
      </c>
      <c r="AO2275">
        <v>0</v>
      </c>
      <c r="AP2275">
        <v>0</v>
      </c>
      <c r="AQ2275">
        <v>0</v>
      </c>
      <c r="AS2275">
        <v>0</v>
      </c>
      <c r="AT2275">
        <v>0</v>
      </c>
      <c r="AV2275">
        <v>0</v>
      </c>
      <c r="AW2275">
        <v>0</v>
      </c>
      <c r="AY2275">
        <v>0</v>
      </c>
      <c r="AZ2275">
        <v>0</v>
      </c>
      <c r="BA2275">
        <v>60</v>
      </c>
      <c r="BE2275" t="str">
        <f>T("9791137019256")</f>
        <v>9791137019256</v>
      </c>
      <c r="BF2275" t="str">
        <f>T("D080130")</f>
        <v>D080130</v>
      </c>
      <c r="BG2275" t="str">
        <f>T("판타지 웹소설 &gt; 정통 판타지")</f>
        <v>판타지 웹소설 &gt; 정통 판타지</v>
      </c>
    </row>
    <row r="2276" spans="1:59">
      <c r="A2276" t="s">
        <v>60</v>
      </c>
      <c r="B2276" s="1">
        <v>46130</v>
      </c>
      <c r="C2276">
        <v>2378066888</v>
      </c>
      <c r="D2276">
        <v>2378077701</v>
      </c>
      <c r="E2276" t="str">
        <f>T("마법사왕 아서 314화")</f>
        <v>마법사왕 아서 314화</v>
      </c>
      <c r="F2276">
        <v>315</v>
      </c>
      <c r="G2276" t="str">
        <f>T("하란사")</f>
        <v>하란사</v>
      </c>
      <c r="J2276" t="str">
        <f>T("매드햇")</f>
        <v>매드햇</v>
      </c>
      <c r="K2276" t="str">
        <f>T("마법사왕 아서")</f>
        <v>마법사왕 아서</v>
      </c>
      <c r="L2276">
        <v>100</v>
      </c>
      <c r="M2276">
        <v>100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100</v>
      </c>
      <c r="AJ2276">
        <v>1</v>
      </c>
      <c r="AK2276">
        <v>0</v>
      </c>
      <c r="AL2276">
        <v>0</v>
      </c>
      <c r="AM2276">
        <v>100</v>
      </c>
      <c r="AN2276">
        <v>0</v>
      </c>
      <c r="AO2276">
        <v>0</v>
      </c>
      <c r="AP2276">
        <v>0</v>
      </c>
      <c r="AQ2276">
        <v>0</v>
      </c>
      <c r="AS2276">
        <v>0</v>
      </c>
      <c r="AT2276">
        <v>0</v>
      </c>
      <c r="AV2276">
        <v>0</v>
      </c>
      <c r="AW2276">
        <v>0</v>
      </c>
      <c r="AY2276">
        <v>0</v>
      </c>
      <c r="AZ2276">
        <v>0</v>
      </c>
      <c r="BA2276">
        <v>60</v>
      </c>
      <c r="BE2276" t="str">
        <f>T("9791137019256")</f>
        <v>9791137019256</v>
      </c>
      <c r="BF2276" t="str">
        <f>T("D080131")</f>
        <v>D080131</v>
      </c>
      <c r="BG2276" t="str">
        <f>T("판타지 웹소설 &gt; 정통 판타지")</f>
        <v>판타지 웹소설 &gt; 정통 판타지</v>
      </c>
    </row>
    <row r="2277" spans="1:59">
      <c r="A2277" t="s">
        <v>60</v>
      </c>
      <c r="B2277" s="1">
        <v>46130</v>
      </c>
      <c r="C2277">
        <v>2378066888</v>
      </c>
      <c r="D2277">
        <v>2378077744</v>
      </c>
      <c r="E2277" t="str">
        <f>T("마법사왕 아서 315화")</f>
        <v>마법사왕 아서 315화</v>
      </c>
      <c r="F2277">
        <v>316</v>
      </c>
      <c r="G2277" t="str">
        <f>T("하란사")</f>
        <v>하란사</v>
      </c>
      <c r="J2277" t="str">
        <f>T("매드햇")</f>
        <v>매드햇</v>
      </c>
      <c r="K2277" t="str">
        <f>T("마법사왕 아서")</f>
        <v>마법사왕 아서</v>
      </c>
      <c r="L2277">
        <v>100</v>
      </c>
      <c r="M2277">
        <v>100</v>
      </c>
      <c r="N2277">
        <v>1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100</v>
      </c>
      <c r="AJ2277">
        <v>1</v>
      </c>
      <c r="AK2277">
        <v>0</v>
      </c>
      <c r="AL2277">
        <v>0</v>
      </c>
      <c r="AM2277">
        <v>100</v>
      </c>
      <c r="AN2277">
        <v>0</v>
      </c>
      <c r="AO2277">
        <v>0</v>
      </c>
      <c r="AP2277">
        <v>0</v>
      </c>
      <c r="AQ2277">
        <v>0</v>
      </c>
      <c r="AS2277">
        <v>0</v>
      </c>
      <c r="AT2277">
        <v>0</v>
      </c>
      <c r="AV2277">
        <v>0</v>
      </c>
      <c r="AW2277">
        <v>0</v>
      </c>
      <c r="AY2277">
        <v>0</v>
      </c>
      <c r="AZ2277">
        <v>0</v>
      </c>
      <c r="BA2277">
        <v>60</v>
      </c>
      <c r="BE2277" t="str">
        <f>T("9791137019256")</f>
        <v>9791137019256</v>
      </c>
      <c r="BF2277" t="str">
        <f>T("D080132")</f>
        <v>D080132</v>
      </c>
      <c r="BG2277" t="str">
        <f>T("판타지 웹소설 &gt; 정통 판타지")</f>
        <v>판타지 웹소설 &gt; 정통 판타지</v>
      </c>
    </row>
    <row r="2278" spans="1:59">
      <c r="A2278" t="s">
        <v>60</v>
      </c>
      <c r="B2278" s="1">
        <v>46130</v>
      </c>
      <c r="C2278">
        <v>2378066888</v>
      </c>
      <c r="D2278">
        <v>2378077894</v>
      </c>
      <c r="E2278" t="str">
        <f>T("마법사왕 아서 316화")</f>
        <v>마법사왕 아서 316화</v>
      </c>
      <c r="F2278">
        <v>317</v>
      </c>
      <c r="G2278" t="str">
        <f>T("하란사")</f>
        <v>하란사</v>
      </c>
      <c r="J2278" t="str">
        <f>T("매드햇")</f>
        <v>매드햇</v>
      </c>
      <c r="K2278" t="str">
        <f>T("마법사왕 아서")</f>
        <v>마법사왕 아서</v>
      </c>
      <c r="L2278">
        <v>100</v>
      </c>
      <c r="M2278">
        <v>100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0</v>
      </c>
      <c r="AH2278">
        <v>0</v>
      </c>
      <c r="AI2278">
        <v>100</v>
      </c>
      <c r="AJ2278">
        <v>1</v>
      </c>
      <c r="AK2278">
        <v>0</v>
      </c>
      <c r="AL2278">
        <v>0</v>
      </c>
      <c r="AM2278">
        <v>100</v>
      </c>
      <c r="AN2278">
        <v>0</v>
      </c>
      <c r="AO2278">
        <v>0</v>
      </c>
      <c r="AP2278">
        <v>0</v>
      </c>
      <c r="AQ2278">
        <v>0</v>
      </c>
      <c r="AS2278">
        <v>0</v>
      </c>
      <c r="AT2278">
        <v>0</v>
      </c>
      <c r="AV2278">
        <v>0</v>
      </c>
      <c r="AW2278">
        <v>0</v>
      </c>
      <c r="AY2278">
        <v>0</v>
      </c>
      <c r="AZ2278">
        <v>0</v>
      </c>
      <c r="BA2278">
        <v>60</v>
      </c>
      <c r="BE2278" t="str">
        <f>T("9791137019256")</f>
        <v>9791137019256</v>
      </c>
      <c r="BF2278" t="str">
        <f>T("D080133")</f>
        <v>D080133</v>
      </c>
      <c r="BG2278" t="str">
        <f>T("판타지 웹소설 &gt; 정통 판타지")</f>
        <v>판타지 웹소설 &gt; 정통 판타지</v>
      </c>
    </row>
    <row r="2279" spans="1:59">
      <c r="A2279" t="s">
        <v>60</v>
      </c>
      <c r="B2279" s="1">
        <v>46130</v>
      </c>
      <c r="C2279">
        <v>2378066888</v>
      </c>
      <c r="D2279">
        <v>2378077925</v>
      </c>
      <c r="E2279" t="str">
        <f>T("마법사왕 아서 317화")</f>
        <v>마법사왕 아서 317화</v>
      </c>
      <c r="F2279">
        <v>318</v>
      </c>
      <c r="G2279" t="str">
        <f>T("하란사")</f>
        <v>하란사</v>
      </c>
      <c r="J2279" t="str">
        <f>T("매드햇")</f>
        <v>매드햇</v>
      </c>
      <c r="K2279" t="str">
        <f>T("마법사왕 아서")</f>
        <v>마법사왕 아서</v>
      </c>
      <c r="L2279">
        <v>100</v>
      </c>
      <c r="M2279">
        <v>100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100</v>
      </c>
      <c r="AJ2279">
        <v>1</v>
      </c>
      <c r="AK2279">
        <v>0</v>
      </c>
      <c r="AL2279">
        <v>0</v>
      </c>
      <c r="AM2279">
        <v>100</v>
      </c>
      <c r="AN2279">
        <v>0</v>
      </c>
      <c r="AO2279">
        <v>0</v>
      </c>
      <c r="AP2279">
        <v>0</v>
      </c>
      <c r="AQ2279">
        <v>0</v>
      </c>
      <c r="AS2279">
        <v>0</v>
      </c>
      <c r="AT2279">
        <v>0</v>
      </c>
      <c r="AV2279">
        <v>0</v>
      </c>
      <c r="AW2279">
        <v>0</v>
      </c>
      <c r="AY2279">
        <v>0</v>
      </c>
      <c r="AZ2279">
        <v>0</v>
      </c>
      <c r="BA2279">
        <v>60</v>
      </c>
      <c r="BE2279" t="str">
        <f>T("9791137019256")</f>
        <v>9791137019256</v>
      </c>
      <c r="BF2279" t="str">
        <f>T("D080134")</f>
        <v>D080134</v>
      </c>
      <c r="BG2279" t="str">
        <f>T("판타지 웹소설 &gt; 정통 판타지")</f>
        <v>판타지 웹소설 &gt; 정통 판타지</v>
      </c>
    </row>
    <row r="2280" spans="1:59">
      <c r="A2280" t="s">
        <v>60</v>
      </c>
      <c r="B2280" s="1">
        <v>46130</v>
      </c>
      <c r="C2280">
        <v>2378066888</v>
      </c>
      <c r="D2280">
        <v>2378078289</v>
      </c>
      <c r="E2280" t="str">
        <f>T("마법사왕 아서 318화")</f>
        <v>마법사왕 아서 318화</v>
      </c>
      <c r="F2280">
        <v>319</v>
      </c>
      <c r="G2280" t="str">
        <f>T("하란사")</f>
        <v>하란사</v>
      </c>
      <c r="J2280" t="str">
        <f>T("매드햇")</f>
        <v>매드햇</v>
      </c>
      <c r="K2280" t="str">
        <f>T("마법사왕 아서")</f>
        <v>마법사왕 아서</v>
      </c>
      <c r="L2280">
        <v>100</v>
      </c>
      <c r="M2280">
        <v>100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100</v>
      </c>
      <c r="AJ2280">
        <v>1</v>
      </c>
      <c r="AK2280">
        <v>0</v>
      </c>
      <c r="AL2280">
        <v>0</v>
      </c>
      <c r="AM2280">
        <v>100</v>
      </c>
      <c r="AN2280">
        <v>0</v>
      </c>
      <c r="AO2280">
        <v>0</v>
      </c>
      <c r="AP2280">
        <v>0</v>
      </c>
      <c r="AQ2280">
        <v>0</v>
      </c>
      <c r="AS2280">
        <v>0</v>
      </c>
      <c r="AT2280">
        <v>0</v>
      </c>
      <c r="AV2280">
        <v>0</v>
      </c>
      <c r="AW2280">
        <v>0</v>
      </c>
      <c r="AY2280">
        <v>0</v>
      </c>
      <c r="AZ2280">
        <v>0</v>
      </c>
      <c r="BA2280">
        <v>60</v>
      </c>
      <c r="BE2280" t="str">
        <f>T("9791137019256")</f>
        <v>9791137019256</v>
      </c>
      <c r="BF2280" t="str">
        <f>T("D088721")</f>
        <v>D088721</v>
      </c>
      <c r="BG2280" t="str">
        <f>T("판타지 웹소설 &gt; 정통 판타지")</f>
        <v>판타지 웹소설 &gt; 정통 판타지</v>
      </c>
    </row>
    <row r="2281" spans="1:59">
      <c r="A2281" t="s">
        <v>60</v>
      </c>
      <c r="B2281" s="1">
        <v>46130</v>
      </c>
      <c r="C2281">
        <v>2378066888</v>
      </c>
      <c r="D2281">
        <v>2378078333</v>
      </c>
      <c r="E2281" t="str">
        <f>T("마법사왕 아서 319화")</f>
        <v>마법사왕 아서 319화</v>
      </c>
      <c r="F2281">
        <v>320</v>
      </c>
      <c r="G2281" t="str">
        <f>T("하란사")</f>
        <v>하란사</v>
      </c>
      <c r="J2281" t="str">
        <f>T("매드햇")</f>
        <v>매드햇</v>
      </c>
      <c r="K2281" t="str">
        <f>T("마법사왕 아서")</f>
        <v>마법사왕 아서</v>
      </c>
      <c r="L2281">
        <v>100</v>
      </c>
      <c r="M2281">
        <v>100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100</v>
      </c>
      <c r="AJ2281">
        <v>1</v>
      </c>
      <c r="AK2281">
        <v>0</v>
      </c>
      <c r="AL2281">
        <v>0</v>
      </c>
      <c r="AM2281">
        <v>100</v>
      </c>
      <c r="AN2281">
        <v>0</v>
      </c>
      <c r="AO2281">
        <v>0</v>
      </c>
      <c r="AP2281">
        <v>0</v>
      </c>
      <c r="AQ2281">
        <v>0</v>
      </c>
      <c r="AS2281">
        <v>0</v>
      </c>
      <c r="AT2281">
        <v>0</v>
      </c>
      <c r="AV2281">
        <v>0</v>
      </c>
      <c r="AW2281">
        <v>0</v>
      </c>
      <c r="AY2281">
        <v>0</v>
      </c>
      <c r="AZ2281">
        <v>0</v>
      </c>
      <c r="BA2281">
        <v>60</v>
      </c>
      <c r="BE2281" t="str">
        <f>T("9791137019256")</f>
        <v>9791137019256</v>
      </c>
      <c r="BF2281" t="str">
        <f>T("D088722")</f>
        <v>D088722</v>
      </c>
      <c r="BG2281" t="str">
        <f>T("판타지 웹소설 &gt; 정통 판타지")</f>
        <v>판타지 웹소설 &gt; 정통 판타지</v>
      </c>
    </row>
    <row r="2282" spans="1:59">
      <c r="A2282" t="s">
        <v>60</v>
      </c>
      <c r="B2282" s="1">
        <v>46130</v>
      </c>
      <c r="C2282">
        <v>2378066888</v>
      </c>
      <c r="D2282">
        <v>2378078359</v>
      </c>
      <c r="E2282" t="str">
        <f>T("마법사왕 아서 320화")</f>
        <v>마법사왕 아서 320화</v>
      </c>
      <c r="F2282">
        <v>321</v>
      </c>
      <c r="G2282" t="str">
        <f>T("하란사")</f>
        <v>하란사</v>
      </c>
      <c r="J2282" t="str">
        <f>T("매드햇")</f>
        <v>매드햇</v>
      </c>
      <c r="K2282" t="str">
        <f>T("마법사왕 아서")</f>
        <v>마법사왕 아서</v>
      </c>
      <c r="L2282">
        <v>100</v>
      </c>
      <c r="M2282">
        <v>100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100</v>
      </c>
      <c r="AJ2282">
        <v>1</v>
      </c>
      <c r="AK2282">
        <v>0</v>
      </c>
      <c r="AL2282">
        <v>0</v>
      </c>
      <c r="AM2282">
        <v>100</v>
      </c>
      <c r="AN2282">
        <v>0</v>
      </c>
      <c r="AO2282">
        <v>0</v>
      </c>
      <c r="AP2282">
        <v>0</v>
      </c>
      <c r="AQ2282">
        <v>0</v>
      </c>
      <c r="AS2282">
        <v>0</v>
      </c>
      <c r="AT2282">
        <v>0</v>
      </c>
      <c r="AV2282">
        <v>0</v>
      </c>
      <c r="AW2282">
        <v>0</v>
      </c>
      <c r="AY2282">
        <v>0</v>
      </c>
      <c r="AZ2282">
        <v>0</v>
      </c>
      <c r="BA2282">
        <v>60</v>
      </c>
      <c r="BE2282" t="str">
        <f>T("9791137019256")</f>
        <v>9791137019256</v>
      </c>
      <c r="BF2282" t="str">
        <f>T("D088723")</f>
        <v>D088723</v>
      </c>
      <c r="BG2282" t="str">
        <f>T("판타지 웹소설 &gt; 정통 판타지")</f>
        <v>판타지 웹소설 &gt; 정통 판타지</v>
      </c>
    </row>
    <row r="2283" spans="1:59">
      <c r="A2283" t="s">
        <v>60</v>
      </c>
      <c r="B2283" s="1">
        <v>46130</v>
      </c>
      <c r="C2283">
        <v>2378066888</v>
      </c>
      <c r="D2283">
        <v>2378078395</v>
      </c>
      <c r="E2283" t="str">
        <f>T("마법사왕 아서 321화")</f>
        <v>마법사왕 아서 321화</v>
      </c>
      <c r="F2283">
        <v>322</v>
      </c>
      <c r="G2283" t="str">
        <f>T("하란사")</f>
        <v>하란사</v>
      </c>
      <c r="J2283" t="str">
        <f>T("매드햇")</f>
        <v>매드햇</v>
      </c>
      <c r="K2283" t="str">
        <f>T("마법사왕 아서")</f>
        <v>마법사왕 아서</v>
      </c>
      <c r="L2283">
        <v>100</v>
      </c>
      <c r="M2283">
        <v>100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0</v>
      </c>
      <c r="AH2283">
        <v>0</v>
      </c>
      <c r="AI2283">
        <v>100</v>
      </c>
      <c r="AJ2283">
        <v>1</v>
      </c>
      <c r="AK2283">
        <v>0</v>
      </c>
      <c r="AL2283">
        <v>0</v>
      </c>
      <c r="AM2283">
        <v>100</v>
      </c>
      <c r="AN2283">
        <v>0</v>
      </c>
      <c r="AO2283">
        <v>0</v>
      </c>
      <c r="AP2283">
        <v>0</v>
      </c>
      <c r="AQ2283">
        <v>0</v>
      </c>
      <c r="AS2283">
        <v>0</v>
      </c>
      <c r="AT2283">
        <v>0</v>
      </c>
      <c r="AV2283">
        <v>0</v>
      </c>
      <c r="AW2283">
        <v>0</v>
      </c>
      <c r="AY2283">
        <v>0</v>
      </c>
      <c r="AZ2283">
        <v>0</v>
      </c>
      <c r="BA2283">
        <v>60</v>
      </c>
      <c r="BE2283" t="str">
        <f>T("9791137019256")</f>
        <v>9791137019256</v>
      </c>
      <c r="BF2283" t="str">
        <f>T("D088724")</f>
        <v>D088724</v>
      </c>
      <c r="BG2283" t="str">
        <f>T("판타지 웹소설 &gt; 정통 판타지")</f>
        <v>판타지 웹소설 &gt; 정통 판타지</v>
      </c>
    </row>
    <row r="2284" spans="1:59">
      <c r="A2284" t="s">
        <v>60</v>
      </c>
      <c r="B2284" s="1">
        <v>46130</v>
      </c>
      <c r="C2284">
        <v>2378066888</v>
      </c>
      <c r="D2284">
        <v>2378078429</v>
      </c>
      <c r="E2284" t="str">
        <f>T("마법사왕 아서 322화")</f>
        <v>마법사왕 아서 322화</v>
      </c>
      <c r="F2284">
        <v>323</v>
      </c>
      <c r="G2284" t="str">
        <f>T("하란사")</f>
        <v>하란사</v>
      </c>
      <c r="J2284" t="str">
        <f>T("매드햇")</f>
        <v>매드햇</v>
      </c>
      <c r="K2284" t="str">
        <f>T("마법사왕 아서")</f>
        <v>마법사왕 아서</v>
      </c>
      <c r="L2284">
        <v>100</v>
      </c>
      <c r="M2284">
        <v>100</v>
      </c>
      <c r="N2284">
        <v>1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0</v>
      </c>
      <c r="AI2284">
        <v>100</v>
      </c>
      <c r="AJ2284">
        <v>1</v>
      </c>
      <c r="AK2284">
        <v>0</v>
      </c>
      <c r="AL2284">
        <v>0</v>
      </c>
      <c r="AM2284">
        <v>100</v>
      </c>
      <c r="AN2284">
        <v>0</v>
      </c>
      <c r="AO2284">
        <v>0</v>
      </c>
      <c r="AP2284">
        <v>0</v>
      </c>
      <c r="AQ2284">
        <v>0</v>
      </c>
      <c r="AS2284">
        <v>0</v>
      </c>
      <c r="AT2284">
        <v>0</v>
      </c>
      <c r="AV2284">
        <v>0</v>
      </c>
      <c r="AW2284">
        <v>0</v>
      </c>
      <c r="AY2284">
        <v>0</v>
      </c>
      <c r="AZ2284">
        <v>0</v>
      </c>
      <c r="BA2284">
        <v>60</v>
      </c>
      <c r="BE2284" t="str">
        <f>T("9791137019256")</f>
        <v>9791137019256</v>
      </c>
      <c r="BF2284" t="str">
        <f>T("D088725")</f>
        <v>D088725</v>
      </c>
      <c r="BG2284" t="str">
        <f>T("판타지 웹소설 &gt; 정통 판타지")</f>
        <v>판타지 웹소설 &gt; 정통 판타지</v>
      </c>
    </row>
    <row r="2285" spans="1:59">
      <c r="A2285" t="s">
        <v>60</v>
      </c>
      <c r="B2285" s="1">
        <v>46130</v>
      </c>
      <c r="C2285">
        <v>2378066888</v>
      </c>
      <c r="D2285">
        <v>2378078433</v>
      </c>
      <c r="E2285" t="str">
        <f>T("마법사왕 아서 323화")</f>
        <v>마법사왕 아서 323화</v>
      </c>
      <c r="F2285">
        <v>324</v>
      </c>
      <c r="G2285" t="str">
        <f>T("하란사")</f>
        <v>하란사</v>
      </c>
      <c r="J2285" t="str">
        <f>T("매드햇")</f>
        <v>매드햇</v>
      </c>
      <c r="K2285" t="str">
        <f>T("마법사왕 아서")</f>
        <v>마법사왕 아서</v>
      </c>
      <c r="L2285">
        <v>100</v>
      </c>
      <c r="M2285">
        <v>100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100</v>
      </c>
      <c r="AJ2285">
        <v>1</v>
      </c>
      <c r="AK2285">
        <v>0</v>
      </c>
      <c r="AL2285">
        <v>0</v>
      </c>
      <c r="AM2285">
        <v>100</v>
      </c>
      <c r="AN2285">
        <v>0</v>
      </c>
      <c r="AO2285">
        <v>0</v>
      </c>
      <c r="AP2285">
        <v>0</v>
      </c>
      <c r="AQ2285">
        <v>0</v>
      </c>
      <c r="AS2285">
        <v>0</v>
      </c>
      <c r="AT2285">
        <v>0</v>
      </c>
      <c r="AV2285">
        <v>0</v>
      </c>
      <c r="AW2285">
        <v>0</v>
      </c>
      <c r="AY2285">
        <v>0</v>
      </c>
      <c r="AZ2285">
        <v>0</v>
      </c>
      <c r="BA2285">
        <v>60</v>
      </c>
      <c r="BE2285" t="str">
        <f>T("9791137019256")</f>
        <v>9791137019256</v>
      </c>
      <c r="BF2285" t="str">
        <f>T("D088726")</f>
        <v>D088726</v>
      </c>
      <c r="BG2285" t="str">
        <f>T("판타지 웹소설 &gt; 정통 판타지")</f>
        <v>판타지 웹소설 &gt; 정통 판타지</v>
      </c>
    </row>
    <row r="2286" spans="1:59">
      <c r="A2286" t="s">
        <v>60</v>
      </c>
      <c r="B2286" s="1">
        <v>46130</v>
      </c>
      <c r="C2286">
        <v>2378066888</v>
      </c>
      <c r="D2286">
        <v>2378078488</v>
      </c>
      <c r="E2286" t="str">
        <f>T("마법사왕 아서 324화")</f>
        <v>마법사왕 아서 324화</v>
      </c>
      <c r="F2286">
        <v>325</v>
      </c>
      <c r="G2286" t="str">
        <f>T("하란사")</f>
        <v>하란사</v>
      </c>
      <c r="J2286" t="str">
        <f>T("매드햇")</f>
        <v>매드햇</v>
      </c>
      <c r="K2286" t="str">
        <f>T("마법사왕 아서")</f>
        <v>마법사왕 아서</v>
      </c>
      <c r="L2286">
        <v>100</v>
      </c>
      <c r="M2286">
        <v>100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100</v>
      </c>
      <c r="AJ2286">
        <v>1</v>
      </c>
      <c r="AK2286">
        <v>0</v>
      </c>
      <c r="AL2286">
        <v>0</v>
      </c>
      <c r="AM2286">
        <v>100</v>
      </c>
      <c r="AN2286">
        <v>0</v>
      </c>
      <c r="AO2286">
        <v>0</v>
      </c>
      <c r="AP2286">
        <v>0</v>
      </c>
      <c r="AQ2286">
        <v>0</v>
      </c>
      <c r="AS2286">
        <v>0</v>
      </c>
      <c r="AT2286">
        <v>0</v>
      </c>
      <c r="AV2286">
        <v>0</v>
      </c>
      <c r="AW2286">
        <v>0</v>
      </c>
      <c r="AY2286">
        <v>0</v>
      </c>
      <c r="AZ2286">
        <v>0</v>
      </c>
      <c r="BA2286">
        <v>60</v>
      </c>
      <c r="BE2286" t="str">
        <f>T("9791137019256")</f>
        <v>9791137019256</v>
      </c>
      <c r="BF2286" t="str">
        <f>T("D088727")</f>
        <v>D088727</v>
      </c>
      <c r="BG2286" t="str">
        <f>T("판타지 웹소설 &gt; 정통 판타지")</f>
        <v>판타지 웹소설 &gt; 정통 판타지</v>
      </c>
    </row>
    <row r="2287" spans="1:59">
      <c r="A2287" t="s">
        <v>60</v>
      </c>
      <c r="B2287" s="1">
        <v>46130</v>
      </c>
      <c r="C2287">
        <v>2378066888</v>
      </c>
      <c r="D2287">
        <v>2378078632</v>
      </c>
      <c r="E2287" t="str">
        <f>T("마법사왕 아서 325화")</f>
        <v>마법사왕 아서 325화</v>
      </c>
      <c r="F2287">
        <v>326</v>
      </c>
      <c r="G2287" t="str">
        <f>T("하란사")</f>
        <v>하란사</v>
      </c>
      <c r="J2287" t="str">
        <f>T("매드햇")</f>
        <v>매드햇</v>
      </c>
      <c r="K2287" t="str">
        <f>T("마법사왕 아서")</f>
        <v>마법사왕 아서</v>
      </c>
      <c r="L2287">
        <v>100</v>
      </c>
      <c r="M2287">
        <v>100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100</v>
      </c>
      <c r="AJ2287">
        <v>1</v>
      </c>
      <c r="AK2287">
        <v>0</v>
      </c>
      <c r="AL2287">
        <v>0</v>
      </c>
      <c r="AM2287">
        <v>100</v>
      </c>
      <c r="AN2287">
        <v>0</v>
      </c>
      <c r="AO2287">
        <v>0</v>
      </c>
      <c r="AP2287">
        <v>0</v>
      </c>
      <c r="AQ2287">
        <v>0</v>
      </c>
      <c r="AS2287">
        <v>0</v>
      </c>
      <c r="AT2287">
        <v>0</v>
      </c>
      <c r="AV2287">
        <v>0</v>
      </c>
      <c r="AW2287">
        <v>0</v>
      </c>
      <c r="AY2287">
        <v>0</v>
      </c>
      <c r="AZ2287">
        <v>0</v>
      </c>
      <c r="BA2287">
        <v>60</v>
      </c>
      <c r="BE2287" t="str">
        <f>T("9791137019256")</f>
        <v>9791137019256</v>
      </c>
      <c r="BF2287" t="str">
        <f>T("D088728")</f>
        <v>D088728</v>
      </c>
      <c r="BG2287" t="str">
        <f>T("판타지 웹소설 &gt; 정통 판타지")</f>
        <v>판타지 웹소설 &gt; 정통 판타지</v>
      </c>
    </row>
    <row r="2288" spans="1:59">
      <c r="A2288" t="s">
        <v>60</v>
      </c>
      <c r="B2288" s="1">
        <v>46130</v>
      </c>
      <c r="C2288">
        <v>2378066888</v>
      </c>
      <c r="D2288">
        <v>2378078665</v>
      </c>
      <c r="E2288" t="str">
        <f>T("마법사왕 아서 326화")</f>
        <v>마법사왕 아서 326화</v>
      </c>
      <c r="F2288">
        <v>327</v>
      </c>
      <c r="G2288" t="str">
        <f>T("하란사")</f>
        <v>하란사</v>
      </c>
      <c r="J2288" t="str">
        <f>T("매드햇")</f>
        <v>매드햇</v>
      </c>
      <c r="K2288" t="str">
        <f>T("마법사왕 아서")</f>
        <v>마법사왕 아서</v>
      </c>
      <c r="L2288">
        <v>100</v>
      </c>
      <c r="M2288">
        <v>100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100</v>
      </c>
      <c r="AJ2288">
        <v>1</v>
      </c>
      <c r="AK2288">
        <v>0</v>
      </c>
      <c r="AL2288">
        <v>0</v>
      </c>
      <c r="AM2288">
        <v>100</v>
      </c>
      <c r="AN2288">
        <v>0</v>
      </c>
      <c r="AO2288">
        <v>0</v>
      </c>
      <c r="AP2288">
        <v>0</v>
      </c>
      <c r="AQ2288">
        <v>0</v>
      </c>
      <c r="AS2288">
        <v>0</v>
      </c>
      <c r="AT2288">
        <v>0</v>
      </c>
      <c r="AV2288">
        <v>0</v>
      </c>
      <c r="AW2288">
        <v>0</v>
      </c>
      <c r="AY2288">
        <v>0</v>
      </c>
      <c r="AZ2288">
        <v>0</v>
      </c>
      <c r="BA2288">
        <v>60</v>
      </c>
      <c r="BE2288" t="str">
        <f>T("9791137019256")</f>
        <v>9791137019256</v>
      </c>
      <c r="BF2288" t="str">
        <f>T("D147756")</f>
        <v>D147756</v>
      </c>
      <c r="BG2288" t="str">
        <f>T("판타지 웹소설 &gt; 정통 판타지")</f>
        <v>판타지 웹소설 &gt; 정통 판타지</v>
      </c>
    </row>
    <row r="2289" spans="1:59">
      <c r="A2289" t="s">
        <v>60</v>
      </c>
      <c r="B2289" s="1">
        <v>46130</v>
      </c>
      <c r="C2289">
        <v>2378066888</v>
      </c>
      <c r="D2289">
        <v>2378080121</v>
      </c>
      <c r="E2289" t="str">
        <f>T("마법사왕 아서 327화")</f>
        <v>마법사왕 아서 327화</v>
      </c>
      <c r="F2289">
        <v>328</v>
      </c>
      <c r="G2289" t="str">
        <f>T("하란사")</f>
        <v>하란사</v>
      </c>
      <c r="J2289" t="str">
        <f>T("매드햇")</f>
        <v>매드햇</v>
      </c>
      <c r="K2289" t="str">
        <f>T("마법사왕 아서")</f>
        <v>마법사왕 아서</v>
      </c>
      <c r="L2289">
        <v>100</v>
      </c>
      <c r="M2289">
        <v>100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100</v>
      </c>
      <c r="AJ2289">
        <v>1</v>
      </c>
      <c r="AK2289">
        <v>0</v>
      </c>
      <c r="AL2289">
        <v>0</v>
      </c>
      <c r="AM2289">
        <v>100</v>
      </c>
      <c r="AN2289">
        <v>0</v>
      </c>
      <c r="AO2289">
        <v>0</v>
      </c>
      <c r="AP2289">
        <v>0</v>
      </c>
      <c r="AQ2289">
        <v>0</v>
      </c>
      <c r="AS2289">
        <v>0</v>
      </c>
      <c r="AT2289">
        <v>0</v>
      </c>
      <c r="AV2289">
        <v>0</v>
      </c>
      <c r="AW2289">
        <v>0</v>
      </c>
      <c r="AY2289">
        <v>0</v>
      </c>
      <c r="AZ2289">
        <v>0</v>
      </c>
      <c r="BA2289">
        <v>60</v>
      </c>
      <c r="BE2289" t="str">
        <f>T("9791137019256")</f>
        <v>9791137019256</v>
      </c>
      <c r="BF2289" t="str">
        <f>T("D147757")</f>
        <v>D147757</v>
      </c>
      <c r="BG2289" t="str">
        <f>T("판타지 웹소설 &gt; 정통 판타지")</f>
        <v>판타지 웹소설 &gt; 정통 판타지</v>
      </c>
    </row>
    <row r="2290" spans="1:59">
      <c r="A2290" t="s">
        <v>60</v>
      </c>
      <c r="B2290" s="1">
        <v>46130</v>
      </c>
      <c r="C2290">
        <v>2378066888</v>
      </c>
      <c r="D2290">
        <v>2378080122</v>
      </c>
      <c r="E2290" t="str">
        <f>T("마법사왕 아서 328화")</f>
        <v>마법사왕 아서 328화</v>
      </c>
      <c r="F2290">
        <v>329</v>
      </c>
      <c r="G2290" t="str">
        <f>T("하란사")</f>
        <v>하란사</v>
      </c>
      <c r="J2290" t="str">
        <f>T("매드햇")</f>
        <v>매드햇</v>
      </c>
      <c r="K2290" t="str">
        <f>T("마법사왕 아서")</f>
        <v>마법사왕 아서</v>
      </c>
      <c r="L2290">
        <v>100</v>
      </c>
      <c r="M2290">
        <v>100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100</v>
      </c>
      <c r="AJ2290">
        <v>1</v>
      </c>
      <c r="AK2290">
        <v>0</v>
      </c>
      <c r="AL2290">
        <v>0</v>
      </c>
      <c r="AM2290">
        <v>100</v>
      </c>
      <c r="AN2290">
        <v>0</v>
      </c>
      <c r="AO2290">
        <v>0</v>
      </c>
      <c r="AP2290">
        <v>0</v>
      </c>
      <c r="AQ2290">
        <v>0</v>
      </c>
      <c r="AS2290">
        <v>0</v>
      </c>
      <c r="AT2290">
        <v>0</v>
      </c>
      <c r="AV2290">
        <v>0</v>
      </c>
      <c r="AW2290">
        <v>0</v>
      </c>
      <c r="AY2290">
        <v>0</v>
      </c>
      <c r="AZ2290">
        <v>0</v>
      </c>
      <c r="BA2290">
        <v>60</v>
      </c>
      <c r="BE2290" t="str">
        <f>T("9791137019256")</f>
        <v>9791137019256</v>
      </c>
      <c r="BF2290" t="str">
        <f>T("D147758")</f>
        <v>D147758</v>
      </c>
      <c r="BG2290" t="str">
        <f>T("판타지 웹소설 &gt; 정통 판타지")</f>
        <v>판타지 웹소설 &gt; 정통 판타지</v>
      </c>
    </row>
    <row r="2291" spans="1:59">
      <c r="A2291" t="s">
        <v>60</v>
      </c>
      <c r="B2291" s="1">
        <v>46130</v>
      </c>
      <c r="C2291">
        <v>2378066888</v>
      </c>
      <c r="D2291">
        <v>2378080124</v>
      </c>
      <c r="E2291" t="str">
        <f>T("마법사왕 아서 329화")</f>
        <v>마법사왕 아서 329화</v>
      </c>
      <c r="F2291">
        <v>330</v>
      </c>
      <c r="G2291" t="str">
        <f>T("하란사")</f>
        <v>하란사</v>
      </c>
      <c r="J2291" t="str">
        <f>T("매드햇")</f>
        <v>매드햇</v>
      </c>
      <c r="K2291" t="str">
        <f>T("마법사왕 아서")</f>
        <v>마법사왕 아서</v>
      </c>
      <c r="L2291">
        <v>100</v>
      </c>
      <c r="M2291">
        <v>100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100</v>
      </c>
      <c r="AJ2291">
        <v>1</v>
      </c>
      <c r="AK2291">
        <v>0</v>
      </c>
      <c r="AL2291">
        <v>0</v>
      </c>
      <c r="AM2291">
        <v>100</v>
      </c>
      <c r="AN2291">
        <v>0</v>
      </c>
      <c r="AO2291">
        <v>0</v>
      </c>
      <c r="AP2291">
        <v>0</v>
      </c>
      <c r="AQ2291">
        <v>0</v>
      </c>
      <c r="AS2291">
        <v>0</v>
      </c>
      <c r="AT2291">
        <v>0</v>
      </c>
      <c r="AV2291">
        <v>0</v>
      </c>
      <c r="AW2291">
        <v>0</v>
      </c>
      <c r="AY2291">
        <v>0</v>
      </c>
      <c r="AZ2291">
        <v>0</v>
      </c>
      <c r="BA2291">
        <v>60</v>
      </c>
      <c r="BE2291" t="str">
        <f>T("9791137019256")</f>
        <v>9791137019256</v>
      </c>
      <c r="BF2291" t="str">
        <f>T("D147759")</f>
        <v>D147759</v>
      </c>
      <c r="BG2291" t="str">
        <f>T("판타지 웹소설 &gt; 정통 판타지")</f>
        <v>판타지 웹소설 &gt; 정통 판타지</v>
      </c>
    </row>
    <row r="2292" spans="1:59">
      <c r="A2292" t="s">
        <v>60</v>
      </c>
      <c r="B2292" s="1">
        <v>46130</v>
      </c>
      <c r="C2292">
        <v>2378066888</v>
      </c>
      <c r="D2292">
        <v>2378080316</v>
      </c>
      <c r="E2292" t="str">
        <f>T("마법사왕 아서 330화")</f>
        <v>마법사왕 아서 330화</v>
      </c>
      <c r="F2292">
        <v>331</v>
      </c>
      <c r="G2292" t="str">
        <f>T("하란사")</f>
        <v>하란사</v>
      </c>
      <c r="J2292" t="str">
        <f>T("매드햇")</f>
        <v>매드햇</v>
      </c>
      <c r="K2292" t="str">
        <f>T("마법사왕 아서")</f>
        <v>마법사왕 아서</v>
      </c>
      <c r="L2292">
        <v>100</v>
      </c>
      <c r="M2292">
        <v>100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100</v>
      </c>
      <c r="AJ2292">
        <v>1</v>
      </c>
      <c r="AK2292">
        <v>0</v>
      </c>
      <c r="AL2292">
        <v>0</v>
      </c>
      <c r="AM2292">
        <v>100</v>
      </c>
      <c r="AN2292">
        <v>0</v>
      </c>
      <c r="AO2292">
        <v>0</v>
      </c>
      <c r="AP2292">
        <v>0</v>
      </c>
      <c r="AQ2292">
        <v>0</v>
      </c>
      <c r="AS2292">
        <v>0</v>
      </c>
      <c r="AT2292">
        <v>0</v>
      </c>
      <c r="AV2292">
        <v>0</v>
      </c>
      <c r="AW2292">
        <v>0</v>
      </c>
      <c r="AY2292">
        <v>0</v>
      </c>
      <c r="AZ2292">
        <v>0</v>
      </c>
      <c r="BA2292">
        <v>60</v>
      </c>
      <c r="BE2292" t="str">
        <f>T("9791137019256")</f>
        <v>9791137019256</v>
      </c>
      <c r="BF2292" t="str">
        <f>T("D147760")</f>
        <v>D147760</v>
      </c>
      <c r="BG2292" t="str">
        <f>T("판타지 웹소설 &gt; 정통 판타지")</f>
        <v>판타지 웹소설 &gt; 정통 판타지</v>
      </c>
    </row>
    <row r="2293" spans="1:59">
      <c r="A2293" t="s">
        <v>60</v>
      </c>
      <c r="B2293" s="1">
        <v>46130</v>
      </c>
      <c r="C2293">
        <v>2378066888</v>
      </c>
      <c r="D2293">
        <v>2378080318</v>
      </c>
      <c r="E2293" t="str">
        <f>T("마법사왕 아서 331화")</f>
        <v>마법사왕 아서 331화</v>
      </c>
      <c r="F2293">
        <v>332</v>
      </c>
      <c r="G2293" t="str">
        <f>T("하란사")</f>
        <v>하란사</v>
      </c>
      <c r="J2293" t="str">
        <f>T("매드햇")</f>
        <v>매드햇</v>
      </c>
      <c r="K2293" t="str">
        <f>T("마법사왕 아서")</f>
        <v>마법사왕 아서</v>
      </c>
      <c r="L2293">
        <v>100</v>
      </c>
      <c r="M2293">
        <v>100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100</v>
      </c>
      <c r="AJ2293">
        <v>1</v>
      </c>
      <c r="AK2293">
        <v>0</v>
      </c>
      <c r="AL2293">
        <v>0</v>
      </c>
      <c r="AM2293">
        <v>100</v>
      </c>
      <c r="AN2293">
        <v>0</v>
      </c>
      <c r="AO2293">
        <v>0</v>
      </c>
      <c r="AP2293">
        <v>0</v>
      </c>
      <c r="AQ2293">
        <v>0</v>
      </c>
      <c r="AS2293">
        <v>0</v>
      </c>
      <c r="AT2293">
        <v>0</v>
      </c>
      <c r="AV2293">
        <v>0</v>
      </c>
      <c r="AW2293">
        <v>0</v>
      </c>
      <c r="AY2293">
        <v>0</v>
      </c>
      <c r="AZ2293">
        <v>0</v>
      </c>
      <c r="BA2293">
        <v>60</v>
      </c>
      <c r="BE2293" t="str">
        <f>T("9791137019256")</f>
        <v>9791137019256</v>
      </c>
      <c r="BF2293" t="str">
        <f>T("D147761")</f>
        <v>D147761</v>
      </c>
      <c r="BG2293" t="str">
        <f>T("판타지 웹소설 &gt; 정통 판타지")</f>
        <v>판타지 웹소설 &gt; 정통 판타지</v>
      </c>
    </row>
    <row r="2294" spans="1:59">
      <c r="A2294" t="s">
        <v>60</v>
      </c>
      <c r="B2294" s="1">
        <v>46130</v>
      </c>
      <c r="C2294">
        <v>2378066888</v>
      </c>
      <c r="D2294">
        <v>2378080319</v>
      </c>
      <c r="E2294" t="str">
        <f>T("마법사왕 아서 332화")</f>
        <v>마법사왕 아서 332화</v>
      </c>
      <c r="F2294">
        <v>333</v>
      </c>
      <c r="G2294" t="str">
        <f>T("하란사")</f>
        <v>하란사</v>
      </c>
      <c r="J2294" t="str">
        <f>T("매드햇")</f>
        <v>매드햇</v>
      </c>
      <c r="K2294" t="str">
        <f>T("마법사왕 아서")</f>
        <v>마법사왕 아서</v>
      </c>
      <c r="L2294">
        <v>100</v>
      </c>
      <c r="M2294">
        <v>100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100</v>
      </c>
      <c r="AJ2294">
        <v>1</v>
      </c>
      <c r="AK2294">
        <v>0</v>
      </c>
      <c r="AL2294">
        <v>0</v>
      </c>
      <c r="AM2294">
        <v>100</v>
      </c>
      <c r="AN2294">
        <v>0</v>
      </c>
      <c r="AO2294">
        <v>0</v>
      </c>
      <c r="AP2294">
        <v>0</v>
      </c>
      <c r="AQ2294">
        <v>0</v>
      </c>
      <c r="AS2294">
        <v>0</v>
      </c>
      <c r="AT2294">
        <v>0</v>
      </c>
      <c r="AV2294">
        <v>0</v>
      </c>
      <c r="AW2294">
        <v>0</v>
      </c>
      <c r="AY2294">
        <v>0</v>
      </c>
      <c r="AZ2294">
        <v>0</v>
      </c>
      <c r="BA2294">
        <v>60</v>
      </c>
      <c r="BE2294" t="str">
        <f>T("9791137019256")</f>
        <v>9791137019256</v>
      </c>
      <c r="BF2294" t="str">
        <f>T("D147762")</f>
        <v>D147762</v>
      </c>
      <c r="BG2294" t="str">
        <f>T("판타지 웹소설 &gt; 정통 판타지")</f>
        <v>판타지 웹소설 &gt; 정통 판타지</v>
      </c>
    </row>
    <row r="2295" spans="1:59">
      <c r="A2295" t="s">
        <v>60</v>
      </c>
      <c r="B2295" s="1">
        <v>46130</v>
      </c>
      <c r="C2295">
        <v>2378066888</v>
      </c>
      <c r="D2295">
        <v>2378080355</v>
      </c>
      <c r="E2295" t="str">
        <f>T("마법사왕 아서 333화")</f>
        <v>마법사왕 아서 333화</v>
      </c>
      <c r="F2295">
        <v>334</v>
      </c>
      <c r="G2295" t="str">
        <f>T("하란사")</f>
        <v>하란사</v>
      </c>
      <c r="J2295" t="str">
        <f>T("매드햇")</f>
        <v>매드햇</v>
      </c>
      <c r="K2295" t="str">
        <f>T("마법사왕 아서")</f>
        <v>마법사왕 아서</v>
      </c>
      <c r="L2295">
        <v>100</v>
      </c>
      <c r="M2295">
        <v>100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100</v>
      </c>
      <c r="AJ2295">
        <v>1</v>
      </c>
      <c r="AK2295">
        <v>0</v>
      </c>
      <c r="AL2295">
        <v>0</v>
      </c>
      <c r="AM2295">
        <v>100</v>
      </c>
      <c r="AN2295">
        <v>0</v>
      </c>
      <c r="AO2295">
        <v>0</v>
      </c>
      <c r="AP2295">
        <v>0</v>
      </c>
      <c r="AQ2295">
        <v>0</v>
      </c>
      <c r="AS2295">
        <v>0</v>
      </c>
      <c r="AT2295">
        <v>0</v>
      </c>
      <c r="AV2295">
        <v>0</v>
      </c>
      <c r="AW2295">
        <v>0</v>
      </c>
      <c r="AY2295">
        <v>0</v>
      </c>
      <c r="AZ2295">
        <v>0</v>
      </c>
      <c r="BA2295">
        <v>60</v>
      </c>
      <c r="BE2295" t="str">
        <f>T("9791137019256")</f>
        <v>9791137019256</v>
      </c>
      <c r="BF2295" t="str">
        <f>T("D147763")</f>
        <v>D147763</v>
      </c>
      <c r="BG2295" t="str">
        <f>T("판타지 웹소설 &gt; 정통 판타지")</f>
        <v>판타지 웹소설 &gt; 정통 판타지</v>
      </c>
    </row>
    <row r="2296" spans="1:59">
      <c r="A2296" t="s">
        <v>60</v>
      </c>
      <c r="B2296" s="1">
        <v>46130</v>
      </c>
      <c r="C2296">
        <v>2378066888</v>
      </c>
      <c r="D2296">
        <v>2378080357</v>
      </c>
      <c r="E2296" t="str">
        <f>T("마법사왕 아서 334화")</f>
        <v>마법사왕 아서 334화</v>
      </c>
      <c r="F2296">
        <v>335</v>
      </c>
      <c r="G2296" t="str">
        <f>T("하란사")</f>
        <v>하란사</v>
      </c>
      <c r="J2296" t="str">
        <f>T("매드햇")</f>
        <v>매드햇</v>
      </c>
      <c r="K2296" t="str">
        <f>T("마법사왕 아서")</f>
        <v>마법사왕 아서</v>
      </c>
      <c r="L2296">
        <v>100</v>
      </c>
      <c r="M2296">
        <v>100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100</v>
      </c>
      <c r="AJ2296">
        <v>1</v>
      </c>
      <c r="AK2296">
        <v>0</v>
      </c>
      <c r="AL2296">
        <v>0</v>
      </c>
      <c r="AM2296">
        <v>100</v>
      </c>
      <c r="AN2296">
        <v>0</v>
      </c>
      <c r="AO2296">
        <v>0</v>
      </c>
      <c r="AP2296">
        <v>0</v>
      </c>
      <c r="AQ2296">
        <v>0</v>
      </c>
      <c r="AS2296">
        <v>0</v>
      </c>
      <c r="AT2296">
        <v>0</v>
      </c>
      <c r="AV2296">
        <v>0</v>
      </c>
      <c r="AW2296">
        <v>0</v>
      </c>
      <c r="AY2296">
        <v>0</v>
      </c>
      <c r="AZ2296">
        <v>0</v>
      </c>
      <c r="BA2296">
        <v>60</v>
      </c>
      <c r="BE2296" t="str">
        <f>T("9791137019256")</f>
        <v>9791137019256</v>
      </c>
      <c r="BF2296" t="str">
        <f>T("D147764")</f>
        <v>D147764</v>
      </c>
      <c r="BG2296" t="str">
        <f>T("판타지 웹소설 &gt; 정통 판타지")</f>
        <v>판타지 웹소설 &gt; 정통 판타지</v>
      </c>
    </row>
    <row r="2297" spans="1:59">
      <c r="A2297" t="s">
        <v>60</v>
      </c>
      <c r="B2297" s="1">
        <v>46130</v>
      </c>
      <c r="C2297">
        <v>2378066888</v>
      </c>
      <c r="D2297">
        <v>2378080368</v>
      </c>
      <c r="E2297" t="str">
        <f>T("마법사왕 아서 335화")</f>
        <v>마법사왕 아서 335화</v>
      </c>
      <c r="F2297">
        <v>336</v>
      </c>
      <c r="G2297" t="str">
        <f>T("하란사")</f>
        <v>하란사</v>
      </c>
      <c r="J2297" t="str">
        <f>T("매드햇")</f>
        <v>매드햇</v>
      </c>
      <c r="K2297" t="str">
        <f>T("마법사왕 아서")</f>
        <v>마법사왕 아서</v>
      </c>
      <c r="L2297">
        <v>100</v>
      </c>
      <c r="M2297">
        <v>100</v>
      </c>
      <c r="N2297">
        <v>1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100</v>
      </c>
      <c r="AJ2297">
        <v>1</v>
      </c>
      <c r="AK2297">
        <v>0</v>
      </c>
      <c r="AL2297">
        <v>0</v>
      </c>
      <c r="AM2297">
        <v>100</v>
      </c>
      <c r="AN2297">
        <v>0</v>
      </c>
      <c r="AO2297">
        <v>0</v>
      </c>
      <c r="AP2297">
        <v>0</v>
      </c>
      <c r="AQ2297">
        <v>0</v>
      </c>
      <c r="AS2297">
        <v>0</v>
      </c>
      <c r="AT2297">
        <v>0</v>
      </c>
      <c r="AV2297">
        <v>0</v>
      </c>
      <c r="AW2297">
        <v>0</v>
      </c>
      <c r="AY2297">
        <v>0</v>
      </c>
      <c r="AZ2297">
        <v>0</v>
      </c>
      <c r="BA2297">
        <v>60</v>
      </c>
      <c r="BE2297" t="str">
        <f>T("9791137019256")</f>
        <v>9791137019256</v>
      </c>
      <c r="BF2297" t="str">
        <f>T("D147765")</f>
        <v>D147765</v>
      </c>
      <c r="BG2297" t="str">
        <f>T("판타지 웹소설 &gt; 정통 판타지")</f>
        <v>판타지 웹소설 &gt; 정통 판타지</v>
      </c>
    </row>
    <row r="2298" spans="1:59">
      <c r="A2298" t="s">
        <v>60</v>
      </c>
      <c r="B2298" s="1">
        <v>46130</v>
      </c>
      <c r="C2298">
        <v>2378066888</v>
      </c>
      <c r="D2298">
        <v>2378080382</v>
      </c>
      <c r="E2298" t="str">
        <f>T("마법사왕 아서 336화")</f>
        <v>마법사왕 아서 336화</v>
      </c>
      <c r="F2298">
        <v>337</v>
      </c>
      <c r="G2298" t="str">
        <f>T("하란사")</f>
        <v>하란사</v>
      </c>
      <c r="J2298" t="str">
        <f>T("매드햇")</f>
        <v>매드햇</v>
      </c>
      <c r="K2298" t="str">
        <f>T("마법사왕 아서")</f>
        <v>마법사왕 아서</v>
      </c>
      <c r="L2298">
        <v>100</v>
      </c>
      <c r="M2298">
        <v>100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100</v>
      </c>
      <c r="AJ2298">
        <v>1</v>
      </c>
      <c r="AK2298">
        <v>0</v>
      </c>
      <c r="AL2298">
        <v>0</v>
      </c>
      <c r="AM2298">
        <v>100</v>
      </c>
      <c r="AN2298">
        <v>0</v>
      </c>
      <c r="AO2298">
        <v>0</v>
      </c>
      <c r="AP2298">
        <v>0</v>
      </c>
      <c r="AQ2298">
        <v>0</v>
      </c>
      <c r="AS2298">
        <v>0</v>
      </c>
      <c r="AT2298">
        <v>0</v>
      </c>
      <c r="AV2298">
        <v>0</v>
      </c>
      <c r="AW2298">
        <v>0</v>
      </c>
      <c r="AY2298">
        <v>0</v>
      </c>
      <c r="AZ2298">
        <v>0</v>
      </c>
      <c r="BA2298">
        <v>60</v>
      </c>
      <c r="BE2298" t="str">
        <f>T("9791137019256")</f>
        <v>9791137019256</v>
      </c>
      <c r="BF2298" t="str">
        <f>T("D147766")</f>
        <v>D147766</v>
      </c>
      <c r="BG2298" t="str">
        <f>T("판타지 웹소설 &gt; 정통 판타지")</f>
        <v>판타지 웹소설 &gt; 정통 판타지</v>
      </c>
    </row>
    <row r="2299" spans="1:59">
      <c r="A2299" t="s">
        <v>60</v>
      </c>
      <c r="B2299" s="1">
        <v>46130</v>
      </c>
      <c r="C2299">
        <v>2378066888</v>
      </c>
      <c r="D2299">
        <v>2378080385</v>
      </c>
      <c r="E2299" t="str">
        <f>T("마법사왕 아서 337화")</f>
        <v>마법사왕 아서 337화</v>
      </c>
      <c r="F2299">
        <v>338</v>
      </c>
      <c r="G2299" t="str">
        <f>T("하란사")</f>
        <v>하란사</v>
      </c>
      <c r="J2299" t="str">
        <f>T("매드햇")</f>
        <v>매드햇</v>
      </c>
      <c r="K2299" t="str">
        <f>T("마법사왕 아서")</f>
        <v>마법사왕 아서</v>
      </c>
      <c r="L2299">
        <v>100</v>
      </c>
      <c r="M2299">
        <v>100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100</v>
      </c>
      <c r="AJ2299">
        <v>1</v>
      </c>
      <c r="AK2299">
        <v>0</v>
      </c>
      <c r="AL2299">
        <v>0</v>
      </c>
      <c r="AM2299">
        <v>100</v>
      </c>
      <c r="AN2299">
        <v>0</v>
      </c>
      <c r="AO2299">
        <v>0</v>
      </c>
      <c r="AP2299">
        <v>0</v>
      </c>
      <c r="AQ2299">
        <v>0</v>
      </c>
      <c r="AS2299">
        <v>0</v>
      </c>
      <c r="AT2299">
        <v>0</v>
      </c>
      <c r="AV2299">
        <v>0</v>
      </c>
      <c r="AW2299">
        <v>0</v>
      </c>
      <c r="AY2299">
        <v>0</v>
      </c>
      <c r="AZ2299">
        <v>0</v>
      </c>
      <c r="BA2299">
        <v>60</v>
      </c>
      <c r="BE2299" t="str">
        <f>T("9791137019256")</f>
        <v>9791137019256</v>
      </c>
      <c r="BF2299" t="str">
        <f>T("D147767")</f>
        <v>D147767</v>
      </c>
      <c r="BG2299" t="str">
        <f>T("판타지 웹소설 &gt; 정통 판타지")</f>
        <v>판타지 웹소설 &gt; 정통 판타지</v>
      </c>
    </row>
    <row r="2300" spans="1:59">
      <c r="A2300" t="s">
        <v>60</v>
      </c>
      <c r="B2300" s="1">
        <v>46130</v>
      </c>
      <c r="C2300">
        <v>2378066888</v>
      </c>
      <c r="D2300">
        <v>2378080387</v>
      </c>
      <c r="E2300" t="str">
        <f>T("마법사왕 아서 338화")</f>
        <v>마법사왕 아서 338화</v>
      </c>
      <c r="F2300">
        <v>339</v>
      </c>
      <c r="G2300" t="str">
        <f>T("하란사")</f>
        <v>하란사</v>
      </c>
      <c r="J2300" t="str">
        <f>T("매드햇")</f>
        <v>매드햇</v>
      </c>
      <c r="K2300" t="str">
        <f>T("마법사왕 아서")</f>
        <v>마법사왕 아서</v>
      </c>
      <c r="L2300">
        <v>100</v>
      </c>
      <c r="M2300">
        <v>100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0</v>
      </c>
      <c r="AI2300">
        <v>100</v>
      </c>
      <c r="AJ2300">
        <v>1</v>
      </c>
      <c r="AK2300">
        <v>0</v>
      </c>
      <c r="AL2300">
        <v>0</v>
      </c>
      <c r="AM2300">
        <v>100</v>
      </c>
      <c r="AN2300">
        <v>0</v>
      </c>
      <c r="AO2300">
        <v>0</v>
      </c>
      <c r="AP2300">
        <v>0</v>
      </c>
      <c r="AQ2300">
        <v>0</v>
      </c>
      <c r="AS2300">
        <v>0</v>
      </c>
      <c r="AT2300">
        <v>0</v>
      </c>
      <c r="AV2300">
        <v>0</v>
      </c>
      <c r="AW2300">
        <v>0</v>
      </c>
      <c r="AY2300">
        <v>0</v>
      </c>
      <c r="AZ2300">
        <v>0</v>
      </c>
      <c r="BA2300">
        <v>60</v>
      </c>
      <c r="BE2300" t="str">
        <f>T("9791137019256")</f>
        <v>9791137019256</v>
      </c>
      <c r="BF2300" t="str">
        <f>T("D147768")</f>
        <v>D147768</v>
      </c>
      <c r="BG2300" t="str">
        <f>T("판타지 웹소설 &gt; 정통 판타지")</f>
        <v>판타지 웹소설 &gt; 정통 판타지</v>
      </c>
    </row>
    <row r="2301" spans="1:59">
      <c r="A2301" t="s">
        <v>60</v>
      </c>
      <c r="B2301" s="1">
        <v>46130</v>
      </c>
      <c r="C2301">
        <v>2378066888</v>
      </c>
      <c r="D2301">
        <v>2378080485</v>
      </c>
      <c r="E2301" t="str">
        <f>T("마법사왕 아서 341화")</f>
        <v>마법사왕 아서 341화</v>
      </c>
      <c r="F2301">
        <v>342</v>
      </c>
      <c r="G2301" t="str">
        <f>T("하란사")</f>
        <v>하란사</v>
      </c>
      <c r="J2301" t="str">
        <f>T("매드햇")</f>
        <v>매드햇</v>
      </c>
      <c r="K2301" t="str">
        <f>T("마법사왕 아서")</f>
        <v>마법사왕 아서</v>
      </c>
      <c r="L2301">
        <v>100</v>
      </c>
      <c r="M2301">
        <v>200</v>
      </c>
      <c r="N2301">
        <v>2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200</v>
      </c>
      <c r="AJ2301">
        <v>2</v>
      </c>
      <c r="AK2301">
        <v>0</v>
      </c>
      <c r="AL2301">
        <v>0</v>
      </c>
      <c r="AM2301">
        <v>200</v>
      </c>
      <c r="AN2301">
        <v>0</v>
      </c>
      <c r="AO2301">
        <v>0</v>
      </c>
      <c r="AP2301">
        <v>0</v>
      </c>
      <c r="AQ2301">
        <v>0</v>
      </c>
      <c r="AS2301">
        <v>0</v>
      </c>
      <c r="AT2301">
        <v>0</v>
      </c>
      <c r="AV2301">
        <v>0</v>
      </c>
      <c r="AW2301">
        <v>0</v>
      </c>
      <c r="AY2301">
        <v>0</v>
      </c>
      <c r="AZ2301">
        <v>0</v>
      </c>
      <c r="BA2301">
        <v>120</v>
      </c>
      <c r="BE2301" t="str">
        <f>T("9791137019256")</f>
        <v>9791137019256</v>
      </c>
      <c r="BF2301" t="str">
        <f>T("D203802")</f>
        <v>D203802</v>
      </c>
      <c r="BG2301" t="str">
        <f>T("판타지 웹소설 &gt; 정통 판타지")</f>
        <v>판타지 웹소설 &gt; 정통 판타지</v>
      </c>
    </row>
    <row r="2302" spans="1:59">
      <c r="A2302" t="s">
        <v>60</v>
      </c>
      <c r="B2302" s="1">
        <v>46130</v>
      </c>
      <c r="C2302">
        <v>2378066888</v>
      </c>
      <c r="D2302">
        <v>2378066970</v>
      </c>
      <c r="E2302" t="str">
        <f>T("마법사왕 아서 83화")</f>
        <v>마법사왕 아서 83화</v>
      </c>
      <c r="F2302">
        <v>83</v>
      </c>
      <c r="G2302" t="str">
        <f>T("하란사")</f>
        <v>하란사</v>
      </c>
      <c r="J2302" t="str">
        <f>T("매드햇")</f>
        <v>매드햇</v>
      </c>
      <c r="K2302" t="str">
        <f>T("마법사왕 아서")</f>
        <v>마법사왕 아서</v>
      </c>
      <c r="L2302">
        <v>100</v>
      </c>
      <c r="M2302">
        <v>100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100</v>
      </c>
      <c r="AJ2302">
        <v>1</v>
      </c>
      <c r="AK2302">
        <v>0</v>
      </c>
      <c r="AL2302">
        <v>0</v>
      </c>
      <c r="AM2302">
        <v>100</v>
      </c>
      <c r="AN2302">
        <v>0</v>
      </c>
      <c r="AO2302">
        <v>0</v>
      </c>
      <c r="AP2302">
        <v>0</v>
      </c>
      <c r="AQ2302">
        <v>0</v>
      </c>
      <c r="AS2302">
        <v>0</v>
      </c>
      <c r="AT2302">
        <v>0</v>
      </c>
      <c r="AV2302">
        <v>0</v>
      </c>
      <c r="AW2302">
        <v>0</v>
      </c>
      <c r="AY2302">
        <v>0</v>
      </c>
      <c r="AZ2302">
        <v>0</v>
      </c>
      <c r="BA2302">
        <v>60</v>
      </c>
      <c r="BE2302" t="str">
        <f>T("9791137019256")</f>
        <v>9791137019256</v>
      </c>
      <c r="BF2302" t="str">
        <f>T("k315194")</f>
        <v>k315194</v>
      </c>
      <c r="BG2302" t="str">
        <f>T("판타지 웹소설 &gt; 정통 판타지")</f>
        <v>판타지 웹소설 &gt; 정통 판타지</v>
      </c>
    </row>
    <row r="2303" spans="1:59">
      <c r="A2303" t="s">
        <v>60</v>
      </c>
      <c r="B2303" s="1">
        <v>46130</v>
      </c>
      <c r="C2303">
        <v>2378066888</v>
      </c>
      <c r="D2303">
        <v>2378066962</v>
      </c>
      <c r="E2303" t="str">
        <f>T("마법사왕 아서 75화")</f>
        <v>마법사왕 아서 75화</v>
      </c>
      <c r="F2303">
        <v>75</v>
      </c>
      <c r="G2303" t="str">
        <f>T("하란사")</f>
        <v>하란사</v>
      </c>
      <c r="J2303" t="str">
        <f>T("매드햇")</f>
        <v>매드햇</v>
      </c>
      <c r="K2303" t="str">
        <f>T("마법사왕 아서")</f>
        <v>마법사왕 아서</v>
      </c>
      <c r="L2303">
        <v>100</v>
      </c>
      <c r="M2303">
        <v>100</v>
      </c>
      <c r="N2303">
        <v>1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100</v>
      </c>
      <c r="AJ2303">
        <v>1</v>
      </c>
      <c r="AK2303">
        <v>0</v>
      </c>
      <c r="AL2303">
        <v>0</v>
      </c>
      <c r="AM2303">
        <v>100</v>
      </c>
      <c r="AN2303">
        <v>0</v>
      </c>
      <c r="AO2303">
        <v>0</v>
      </c>
      <c r="AP2303">
        <v>0</v>
      </c>
      <c r="AQ2303">
        <v>0</v>
      </c>
      <c r="AS2303">
        <v>0</v>
      </c>
      <c r="AT2303">
        <v>0</v>
      </c>
      <c r="AV2303">
        <v>0</v>
      </c>
      <c r="AW2303">
        <v>0</v>
      </c>
      <c r="AY2303">
        <v>0</v>
      </c>
      <c r="AZ2303">
        <v>0</v>
      </c>
      <c r="BA2303">
        <v>60</v>
      </c>
      <c r="BE2303" t="str">
        <f>T("9791137019256")</f>
        <v>9791137019256</v>
      </c>
      <c r="BF2303" t="str">
        <f>T("k315186")</f>
        <v>k315186</v>
      </c>
      <c r="BG2303" t="str">
        <f>T("판타지 웹소설 &gt; 정통 판타지")</f>
        <v>판타지 웹소설 &gt; 정통 판타지</v>
      </c>
    </row>
    <row r="2304" spans="1:59">
      <c r="A2304" t="s">
        <v>60</v>
      </c>
      <c r="B2304" s="1">
        <v>46130</v>
      </c>
      <c r="C2304">
        <v>2378066888</v>
      </c>
      <c r="D2304">
        <v>2378066963</v>
      </c>
      <c r="E2304" t="str">
        <f>T("마법사왕 아서 76화")</f>
        <v>마법사왕 아서 76화</v>
      </c>
      <c r="F2304">
        <v>76</v>
      </c>
      <c r="G2304" t="str">
        <f>T("하란사")</f>
        <v>하란사</v>
      </c>
      <c r="J2304" t="str">
        <f>T("매드햇")</f>
        <v>매드햇</v>
      </c>
      <c r="K2304" t="str">
        <f>T("마법사왕 아서")</f>
        <v>마법사왕 아서</v>
      </c>
      <c r="L2304">
        <v>100</v>
      </c>
      <c r="M2304">
        <v>100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100</v>
      </c>
      <c r="AJ2304">
        <v>1</v>
      </c>
      <c r="AK2304">
        <v>0</v>
      </c>
      <c r="AL2304">
        <v>0</v>
      </c>
      <c r="AM2304">
        <v>100</v>
      </c>
      <c r="AN2304">
        <v>0</v>
      </c>
      <c r="AO2304">
        <v>0</v>
      </c>
      <c r="AP2304">
        <v>0</v>
      </c>
      <c r="AQ2304">
        <v>0</v>
      </c>
      <c r="AS2304">
        <v>0</v>
      </c>
      <c r="AT2304">
        <v>0</v>
      </c>
      <c r="AV2304">
        <v>0</v>
      </c>
      <c r="AW2304">
        <v>0</v>
      </c>
      <c r="AY2304">
        <v>0</v>
      </c>
      <c r="AZ2304">
        <v>0</v>
      </c>
      <c r="BA2304">
        <v>60</v>
      </c>
      <c r="BE2304" t="str">
        <f>T("9791137019256")</f>
        <v>9791137019256</v>
      </c>
      <c r="BF2304" t="str">
        <f>T("k315187")</f>
        <v>k315187</v>
      </c>
      <c r="BG2304" t="str">
        <f>T("판타지 웹소설 &gt; 정통 판타지")</f>
        <v>판타지 웹소설 &gt; 정통 판타지</v>
      </c>
    </row>
    <row r="2305" spans="1:59">
      <c r="A2305" t="s">
        <v>60</v>
      </c>
      <c r="B2305" s="1">
        <v>46130</v>
      </c>
      <c r="C2305">
        <v>2378066888</v>
      </c>
      <c r="D2305">
        <v>2378066964</v>
      </c>
      <c r="E2305" t="str">
        <f>T("마법사왕 아서 77화")</f>
        <v>마법사왕 아서 77화</v>
      </c>
      <c r="F2305">
        <v>77</v>
      </c>
      <c r="G2305" t="str">
        <f>T("하란사")</f>
        <v>하란사</v>
      </c>
      <c r="J2305" t="str">
        <f>T("매드햇")</f>
        <v>매드햇</v>
      </c>
      <c r="K2305" t="str">
        <f>T("마법사왕 아서")</f>
        <v>마법사왕 아서</v>
      </c>
      <c r="L2305">
        <v>100</v>
      </c>
      <c r="M2305">
        <v>100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100</v>
      </c>
      <c r="AJ2305">
        <v>1</v>
      </c>
      <c r="AK2305">
        <v>0</v>
      </c>
      <c r="AL2305">
        <v>0</v>
      </c>
      <c r="AM2305">
        <v>100</v>
      </c>
      <c r="AN2305">
        <v>0</v>
      </c>
      <c r="AO2305">
        <v>0</v>
      </c>
      <c r="AP2305">
        <v>0</v>
      </c>
      <c r="AQ2305">
        <v>0</v>
      </c>
      <c r="AS2305">
        <v>0</v>
      </c>
      <c r="AT2305">
        <v>0</v>
      </c>
      <c r="AV2305">
        <v>0</v>
      </c>
      <c r="AW2305">
        <v>0</v>
      </c>
      <c r="AY2305">
        <v>0</v>
      </c>
      <c r="AZ2305">
        <v>0</v>
      </c>
      <c r="BA2305">
        <v>60</v>
      </c>
      <c r="BE2305" t="str">
        <f>T("9791137019256")</f>
        <v>9791137019256</v>
      </c>
      <c r="BF2305" t="str">
        <f>T("k315188")</f>
        <v>k315188</v>
      </c>
      <c r="BG2305" t="str">
        <f>T("판타지 웹소설 &gt; 정통 판타지")</f>
        <v>판타지 웹소설 &gt; 정통 판타지</v>
      </c>
    </row>
    <row r="2306" spans="1:59">
      <c r="A2306" t="s">
        <v>60</v>
      </c>
      <c r="B2306" s="1">
        <v>46130</v>
      </c>
      <c r="C2306">
        <v>2378066888</v>
      </c>
      <c r="D2306">
        <v>2378066965</v>
      </c>
      <c r="E2306" t="str">
        <f>T("마법사왕 아서 78화")</f>
        <v>마법사왕 아서 78화</v>
      </c>
      <c r="F2306">
        <v>78</v>
      </c>
      <c r="G2306" t="str">
        <f>T("하란사")</f>
        <v>하란사</v>
      </c>
      <c r="J2306" t="str">
        <f>T("매드햇")</f>
        <v>매드햇</v>
      </c>
      <c r="K2306" t="str">
        <f>T("마법사왕 아서")</f>
        <v>마법사왕 아서</v>
      </c>
      <c r="L2306">
        <v>100</v>
      </c>
      <c r="M2306">
        <v>100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100</v>
      </c>
      <c r="AJ2306">
        <v>1</v>
      </c>
      <c r="AK2306">
        <v>0</v>
      </c>
      <c r="AL2306">
        <v>0</v>
      </c>
      <c r="AM2306">
        <v>100</v>
      </c>
      <c r="AN2306">
        <v>0</v>
      </c>
      <c r="AO2306">
        <v>0</v>
      </c>
      <c r="AP2306">
        <v>0</v>
      </c>
      <c r="AQ2306">
        <v>0</v>
      </c>
      <c r="AS2306">
        <v>0</v>
      </c>
      <c r="AT2306">
        <v>0</v>
      </c>
      <c r="AV2306">
        <v>0</v>
      </c>
      <c r="AW2306">
        <v>0</v>
      </c>
      <c r="AY2306">
        <v>0</v>
      </c>
      <c r="AZ2306">
        <v>0</v>
      </c>
      <c r="BA2306">
        <v>60</v>
      </c>
      <c r="BE2306" t="str">
        <f>T("9791137019256")</f>
        <v>9791137019256</v>
      </c>
      <c r="BF2306" t="str">
        <f>T("k315189")</f>
        <v>k315189</v>
      </c>
      <c r="BG2306" t="str">
        <f>T("판타지 웹소설 &gt; 정통 판타지")</f>
        <v>판타지 웹소설 &gt; 정통 판타지</v>
      </c>
    </row>
    <row r="2307" spans="1:59">
      <c r="A2307" t="s">
        <v>60</v>
      </c>
      <c r="B2307" s="1">
        <v>46130</v>
      </c>
      <c r="C2307">
        <v>2378066888</v>
      </c>
      <c r="D2307">
        <v>2378066966</v>
      </c>
      <c r="E2307" t="str">
        <f>T("마법사왕 아서 79화")</f>
        <v>마법사왕 아서 79화</v>
      </c>
      <c r="F2307">
        <v>79</v>
      </c>
      <c r="G2307" t="str">
        <f>T("하란사")</f>
        <v>하란사</v>
      </c>
      <c r="J2307" t="str">
        <f>T("매드햇")</f>
        <v>매드햇</v>
      </c>
      <c r="K2307" t="str">
        <f>T("마법사왕 아서")</f>
        <v>마법사왕 아서</v>
      </c>
      <c r="L2307">
        <v>100</v>
      </c>
      <c r="M2307">
        <v>100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100</v>
      </c>
      <c r="AJ2307">
        <v>1</v>
      </c>
      <c r="AK2307">
        <v>0</v>
      </c>
      <c r="AL2307">
        <v>0</v>
      </c>
      <c r="AM2307">
        <v>100</v>
      </c>
      <c r="AN2307">
        <v>0</v>
      </c>
      <c r="AO2307">
        <v>0</v>
      </c>
      <c r="AP2307">
        <v>0</v>
      </c>
      <c r="AQ2307">
        <v>0</v>
      </c>
      <c r="AS2307">
        <v>0</v>
      </c>
      <c r="AT2307">
        <v>0</v>
      </c>
      <c r="AV2307">
        <v>0</v>
      </c>
      <c r="AW2307">
        <v>0</v>
      </c>
      <c r="AY2307">
        <v>0</v>
      </c>
      <c r="AZ2307">
        <v>0</v>
      </c>
      <c r="BA2307">
        <v>60</v>
      </c>
      <c r="BE2307" t="str">
        <f>T("9791137019256")</f>
        <v>9791137019256</v>
      </c>
      <c r="BF2307" t="str">
        <f>T("k315190")</f>
        <v>k315190</v>
      </c>
      <c r="BG2307" t="str">
        <f>T("판타지 웹소설 &gt; 정통 판타지")</f>
        <v>판타지 웹소설 &gt; 정통 판타지</v>
      </c>
    </row>
    <row r="2308" spans="1:59">
      <c r="A2308" t="s">
        <v>60</v>
      </c>
      <c r="B2308" s="1">
        <v>46130</v>
      </c>
      <c r="C2308">
        <v>2378066888</v>
      </c>
      <c r="D2308">
        <v>2378066967</v>
      </c>
      <c r="E2308" t="str">
        <f>T("마법사왕 아서 80화")</f>
        <v>마법사왕 아서 80화</v>
      </c>
      <c r="F2308">
        <v>80</v>
      </c>
      <c r="G2308" t="str">
        <f>T("하란사")</f>
        <v>하란사</v>
      </c>
      <c r="J2308" t="str">
        <f>T("매드햇")</f>
        <v>매드햇</v>
      </c>
      <c r="K2308" t="str">
        <f>T("마법사왕 아서")</f>
        <v>마법사왕 아서</v>
      </c>
      <c r="L2308">
        <v>100</v>
      </c>
      <c r="M2308">
        <v>100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100</v>
      </c>
      <c r="AJ2308">
        <v>1</v>
      </c>
      <c r="AK2308">
        <v>0</v>
      </c>
      <c r="AL2308">
        <v>0</v>
      </c>
      <c r="AM2308">
        <v>100</v>
      </c>
      <c r="AN2308">
        <v>0</v>
      </c>
      <c r="AO2308">
        <v>0</v>
      </c>
      <c r="AP2308">
        <v>0</v>
      </c>
      <c r="AQ2308">
        <v>0</v>
      </c>
      <c r="AS2308">
        <v>0</v>
      </c>
      <c r="AT2308">
        <v>0</v>
      </c>
      <c r="AV2308">
        <v>0</v>
      </c>
      <c r="AW2308">
        <v>0</v>
      </c>
      <c r="AY2308">
        <v>0</v>
      </c>
      <c r="AZ2308">
        <v>0</v>
      </c>
      <c r="BA2308">
        <v>60</v>
      </c>
      <c r="BE2308" t="str">
        <f>T("9791137019256")</f>
        <v>9791137019256</v>
      </c>
      <c r="BF2308" t="str">
        <f>T("k315191")</f>
        <v>k315191</v>
      </c>
      <c r="BG2308" t="str">
        <f>T("판타지 웹소설 &gt; 정통 판타지")</f>
        <v>판타지 웹소설 &gt; 정통 판타지</v>
      </c>
    </row>
    <row r="2309" spans="1:59">
      <c r="A2309" t="s">
        <v>60</v>
      </c>
      <c r="B2309" s="1">
        <v>46130</v>
      </c>
      <c r="C2309">
        <v>2378066888</v>
      </c>
      <c r="D2309">
        <v>2378066968</v>
      </c>
      <c r="E2309" t="str">
        <f>T("마법사왕 아서 81화")</f>
        <v>마법사왕 아서 81화</v>
      </c>
      <c r="F2309">
        <v>81</v>
      </c>
      <c r="G2309" t="str">
        <f>T("하란사")</f>
        <v>하란사</v>
      </c>
      <c r="J2309" t="str">
        <f>T("매드햇")</f>
        <v>매드햇</v>
      </c>
      <c r="K2309" t="str">
        <f>T("마법사왕 아서")</f>
        <v>마법사왕 아서</v>
      </c>
      <c r="L2309">
        <v>100</v>
      </c>
      <c r="M2309">
        <v>100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100</v>
      </c>
      <c r="AJ2309">
        <v>1</v>
      </c>
      <c r="AK2309">
        <v>0</v>
      </c>
      <c r="AL2309">
        <v>0</v>
      </c>
      <c r="AM2309">
        <v>100</v>
      </c>
      <c r="AN2309">
        <v>0</v>
      </c>
      <c r="AO2309">
        <v>0</v>
      </c>
      <c r="AP2309">
        <v>0</v>
      </c>
      <c r="AQ2309">
        <v>0</v>
      </c>
      <c r="AS2309">
        <v>0</v>
      </c>
      <c r="AT2309">
        <v>0</v>
      </c>
      <c r="AV2309">
        <v>0</v>
      </c>
      <c r="AW2309">
        <v>0</v>
      </c>
      <c r="AY2309">
        <v>0</v>
      </c>
      <c r="AZ2309">
        <v>0</v>
      </c>
      <c r="BA2309">
        <v>60</v>
      </c>
      <c r="BE2309" t="str">
        <f>T("9791137019256")</f>
        <v>9791137019256</v>
      </c>
      <c r="BF2309" t="str">
        <f>T("k315192")</f>
        <v>k315192</v>
      </c>
      <c r="BG2309" t="str">
        <f>T("판타지 웹소설 &gt; 정통 판타지")</f>
        <v>판타지 웹소설 &gt; 정통 판타지</v>
      </c>
    </row>
    <row r="2310" spans="1:59">
      <c r="A2310" t="s">
        <v>60</v>
      </c>
      <c r="B2310" s="1">
        <v>46130</v>
      </c>
      <c r="C2310">
        <v>2378066888</v>
      </c>
      <c r="D2310">
        <v>2378066888</v>
      </c>
      <c r="E2310" t="str">
        <f>T("마법사왕 아서 1화")</f>
        <v>마법사왕 아서 1화</v>
      </c>
      <c r="F2310">
        <v>1</v>
      </c>
      <c r="G2310" t="str">
        <f>T("하란사")</f>
        <v>하란사</v>
      </c>
      <c r="J2310" t="str">
        <f>T("매드햇")</f>
        <v>매드햇</v>
      </c>
      <c r="K2310" t="str">
        <f>T("마법사왕 아서")</f>
        <v>마법사왕 아서</v>
      </c>
      <c r="L2310">
        <v>0</v>
      </c>
      <c r="M2310">
        <v>0</v>
      </c>
      <c r="N2310">
        <v>0</v>
      </c>
      <c r="O2310">
        <v>2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2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S2310">
        <v>0</v>
      </c>
      <c r="AT2310">
        <v>0</v>
      </c>
      <c r="AV2310">
        <v>0</v>
      </c>
      <c r="AW2310">
        <v>0</v>
      </c>
      <c r="AY2310">
        <v>0</v>
      </c>
      <c r="AZ2310">
        <v>0</v>
      </c>
      <c r="BA2310">
        <v>0</v>
      </c>
      <c r="BE2310" t="str">
        <f>T("9791137019256")</f>
        <v>9791137019256</v>
      </c>
      <c r="BF2310" t="str">
        <f>T("k315112")</f>
        <v>k315112</v>
      </c>
      <c r="BG2310" t="str">
        <f>T("판타지 웹소설 &gt; 정통 판타지")</f>
        <v>판타지 웹소설 &gt; 정통 판타지</v>
      </c>
    </row>
    <row r="2311" spans="1:59">
      <c r="A2311" t="s">
        <v>60</v>
      </c>
      <c r="B2311" s="1">
        <v>46130</v>
      </c>
      <c r="C2311">
        <v>2378066888</v>
      </c>
      <c r="D2311">
        <v>2378080397</v>
      </c>
      <c r="E2311" t="str">
        <f>T("마법사왕 아서 339화")</f>
        <v>마법사왕 아서 339화</v>
      </c>
      <c r="F2311">
        <v>340</v>
      </c>
      <c r="G2311" t="str">
        <f>T("하란사")</f>
        <v>하란사</v>
      </c>
      <c r="J2311" t="str">
        <f>T("매드햇")</f>
        <v>매드햇</v>
      </c>
      <c r="K2311" t="str">
        <f>T("마법사왕 아서")</f>
        <v>마법사왕 아서</v>
      </c>
      <c r="L2311">
        <v>100</v>
      </c>
      <c r="M2311">
        <v>200</v>
      </c>
      <c r="N2311">
        <v>2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200</v>
      </c>
      <c r="AJ2311">
        <v>2</v>
      </c>
      <c r="AK2311">
        <v>0</v>
      </c>
      <c r="AL2311">
        <v>0</v>
      </c>
      <c r="AM2311">
        <v>200</v>
      </c>
      <c r="AN2311">
        <v>0</v>
      </c>
      <c r="AO2311">
        <v>0</v>
      </c>
      <c r="AP2311">
        <v>0</v>
      </c>
      <c r="AQ2311">
        <v>0</v>
      </c>
      <c r="AS2311">
        <v>0</v>
      </c>
      <c r="AT2311">
        <v>0</v>
      </c>
      <c r="AV2311">
        <v>0</v>
      </c>
      <c r="AW2311">
        <v>0</v>
      </c>
      <c r="AY2311">
        <v>0</v>
      </c>
      <c r="AZ2311">
        <v>0</v>
      </c>
      <c r="BA2311">
        <v>120</v>
      </c>
      <c r="BE2311" t="str">
        <f>T("9791137019256")</f>
        <v>9791137019256</v>
      </c>
      <c r="BF2311" t="str">
        <f>T("D147769")</f>
        <v>D147769</v>
      </c>
      <c r="BG2311" t="str">
        <f>T("판타지 웹소설 &gt; 정통 판타지")</f>
        <v>판타지 웹소설 &gt; 정통 판타지</v>
      </c>
    </row>
    <row r="2312" spans="1:59">
      <c r="A2312" t="s">
        <v>60</v>
      </c>
      <c r="B2312" s="1">
        <v>46130</v>
      </c>
      <c r="C2312">
        <v>2378066888</v>
      </c>
      <c r="D2312">
        <v>2378080415</v>
      </c>
      <c r="E2312" t="str">
        <f>T("마법사왕 아서 340화")</f>
        <v>마법사왕 아서 340화</v>
      </c>
      <c r="F2312">
        <v>341</v>
      </c>
      <c r="G2312" t="str">
        <f>T("하란사")</f>
        <v>하란사</v>
      </c>
      <c r="J2312" t="str">
        <f>T("매드햇")</f>
        <v>매드햇</v>
      </c>
      <c r="K2312" t="str">
        <f>T("마법사왕 아서")</f>
        <v>마법사왕 아서</v>
      </c>
      <c r="L2312">
        <v>100</v>
      </c>
      <c r="M2312">
        <v>200</v>
      </c>
      <c r="N2312">
        <v>2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200</v>
      </c>
      <c r="AJ2312">
        <v>2</v>
      </c>
      <c r="AK2312">
        <v>0</v>
      </c>
      <c r="AL2312">
        <v>0</v>
      </c>
      <c r="AM2312">
        <v>200</v>
      </c>
      <c r="AN2312">
        <v>0</v>
      </c>
      <c r="AO2312">
        <v>0</v>
      </c>
      <c r="AP2312">
        <v>0</v>
      </c>
      <c r="AQ2312">
        <v>0</v>
      </c>
      <c r="AS2312">
        <v>0</v>
      </c>
      <c r="AT2312">
        <v>0</v>
      </c>
      <c r="AV2312">
        <v>0</v>
      </c>
      <c r="AW2312">
        <v>0</v>
      </c>
      <c r="AY2312">
        <v>0</v>
      </c>
      <c r="AZ2312">
        <v>0</v>
      </c>
      <c r="BA2312">
        <v>120</v>
      </c>
      <c r="BE2312" t="str">
        <f>T("9791137019256")</f>
        <v>9791137019256</v>
      </c>
      <c r="BF2312" t="str">
        <f>T("D147770")</f>
        <v>D147770</v>
      </c>
      <c r="BG2312" t="str">
        <f>T("판타지 웹소설 &gt; 정통 판타지")</f>
        <v>판타지 웹소설 &gt; 정통 판타지</v>
      </c>
    </row>
    <row r="2313" spans="1:59">
      <c r="A2313" t="s">
        <v>60</v>
      </c>
      <c r="B2313" s="1">
        <v>46130</v>
      </c>
      <c r="C2313">
        <v>2378066888</v>
      </c>
      <c r="D2313">
        <v>2378066971</v>
      </c>
      <c r="E2313" t="str">
        <f>T("마법사왕 아서 84화")</f>
        <v>마법사왕 아서 84화</v>
      </c>
      <c r="F2313">
        <v>84</v>
      </c>
      <c r="G2313" t="str">
        <f>T("하란사")</f>
        <v>하란사</v>
      </c>
      <c r="J2313" t="str">
        <f>T("매드햇")</f>
        <v>매드햇</v>
      </c>
      <c r="K2313" t="str">
        <f>T("마법사왕 아서")</f>
        <v>마법사왕 아서</v>
      </c>
      <c r="L2313">
        <v>100</v>
      </c>
      <c r="M2313">
        <v>100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100</v>
      </c>
      <c r="AJ2313">
        <v>1</v>
      </c>
      <c r="AK2313">
        <v>0</v>
      </c>
      <c r="AL2313">
        <v>0</v>
      </c>
      <c r="AM2313">
        <v>100</v>
      </c>
      <c r="AN2313">
        <v>0</v>
      </c>
      <c r="AO2313">
        <v>0</v>
      </c>
      <c r="AP2313">
        <v>0</v>
      </c>
      <c r="AQ2313">
        <v>0</v>
      </c>
      <c r="AS2313">
        <v>0</v>
      </c>
      <c r="AT2313">
        <v>0</v>
      </c>
      <c r="AV2313">
        <v>0</v>
      </c>
      <c r="AW2313">
        <v>0</v>
      </c>
      <c r="AY2313">
        <v>0</v>
      </c>
      <c r="AZ2313">
        <v>0</v>
      </c>
      <c r="BA2313">
        <v>60</v>
      </c>
      <c r="BE2313" t="str">
        <f>T("9791137019256")</f>
        <v>9791137019256</v>
      </c>
      <c r="BF2313" t="str">
        <f>T("k315195")</f>
        <v>k315195</v>
      </c>
      <c r="BG2313" t="str">
        <f>T("판타지 웹소설 &gt; 정통 판타지")</f>
        <v>판타지 웹소설 &gt; 정통 판타지</v>
      </c>
    </row>
    <row r="2314" spans="1:59">
      <c r="A2314" t="s">
        <v>60</v>
      </c>
      <c r="B2314" s="1">
        <v>46130</v>
      </c>
      <c r="C2314">
        <v>2378066888</v>
      </c>
      <c r="D2314">
        <v>2378066972</v>
      </c>
      <c r="E2314" t="str">
        <f>T("마법사왕 아서 85화")</f>
        <v>마법사왕 아서 85화</v>
      </c>
      <c r="F2314">
        <v>85</v>
      </c>
      <c r="G2314" t="str">
        <f>T("하란사")</f>
        <v>하란사</v>
      </c>
      <c r="J2314" t="str">
        <f>T("매드햇")</f>
        <v>매드햇</v>
      </c>
      <c r="K2314" t="str">
        <f>T("마법사왕 아서")</f>
        <v>마법사왕 아서</v>
      </c>
      <c r="L2314">
        <v>100</v>
      </c>
      <c r="M2314">
        <v>100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100</v>
      </c>
      <c r="AJ2314">
        <v>1</v>
      </c>
      <c r="AK2314">
        <v>0</v>
      </c>
      <c r="AL2314">
        <v>0</v>
      </c>
      <c r="AM2314">
        <v>100</v>
      </c>
      <c r="AN2314">
        <v>0</v>
      </c>
      <c r="AO2314">
        <v>0</v>
      </c>
      <c r="AP2314">
        <v>0</v>
      </c>
      <c r="AQ2314">
        <v>0</v>
      </c>
      <c r="AS2314">
        <v>0</v>
      </c>
      <c r="AT2314">
        <v>0</v>
      </c>
      <c r="AV2314">
        <v>0</v>
      </c>
      <c r="AW2314">
        <v>0</v>
      </c>
      <c r="AY2314">
        <v>0</v>
      </c>
      <c r="AZ2314">
        <v>0</v>
      </c>
      <c r="BA2314">
        <v>60</v>
      </c>
      <c r="BE2314" t="str">
        <f>T("9791137019256")</f>
        <v>9791137019256</v>
      </c>
      <c r="BF2314" t="str">
        <f>T("k315196")</f>
        <v>k315196</v>
      </c>
      <c r="BG2314" t="str">
        <f>T("판타지 웹소설 &gt; 정통 판타지")</f>
        <v>판타지 웹소설 &gt; 정통 판타지</v>
      </c>
    </row>
    <row r="2315" spans="1:59">
      <c r="A2315" t="s">
        <v>60</v>
      </c>
      <c r="B2315" s="1">
        <v>46130</v>
      </c>
      <c r="C2315">
        <v>2378066888</v>
      </c>
      <c r="D2315">
        <v>2378066973</v>
      </c>
      <c r="E2315" t="str">
        <f>T("마법사왕 아서 86화")</f>
        <v>마법사왕 아서 86화</v>
      </c>
      <c r="F2315">
        <v>86</v>
      </c>
      <c r="G2315" t="str">
        <f>T("하란사")</f>
        <v>하란사</v>
      </c>
      <c r="J2315" t="str">
        <f>T("매드햇")</f>
        <v>매드햇</v>
      </c>
      <c r="K2315" t="str">
        <f>T("마법사왕 아서")</f>
        <v>마법사왕 아서</v>
      </c>
      <c r="L2315">
        <v>100</v>
      </c>
      <c r="M2315">
        <v>100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100</v>
      </c>
      <c r="AJ2315">
        <v>1</v>
      </c>
      <c r="AK2315">
        <v>0</v>
      </c>
      <c r="AL2315">
        <v>0</v>
      </c>
      <c r="AM2315">
        <v>100</v>
      </c>
      <c r="AN2315">
        <v>0</v>
      </c>
      <c r="AO2315">
        <v>0</v>
      </c>
      <c r="AP2315">
        <v>0</v>
      </c>
      <c r="AQ2315">
        <v>0</v>
      </c>
      <c r="AS2315">
        <v>0</v>
      </c>
      <c r="AT2315">
        <v>0</v>
      </c>
      <c r="AV2315">
        <v>0</v>
      </c>
      <c r="AW2315">
        <v>0</v>
      </c>
      <c r="AY2315">
        <v>0</v>
      </c>
      <c r="AZ2315">
        <v>0</v>
      </c>
      <c r="BA2315">
        <v>60</v>
      </c>
      <c r="BE2315" t="str">
        <f>T("9791137019256")</f>
        <v>9791137019256</v>
      </c>
      <c r="BF2315" t="str">
        <f>T("k315197")</f>
        <v>k315197</v>
      </c>
      <c r="BG2315" t="str">
        <f>T("판타지 웹소설 &gt; 정통 판타지")</f>
        <v>판타지 웹소설 &gt; 정통 판타지</v>
      </c>
    </row>
    <row r="2316" spans="1:59">
      <c r="A2316" t="s">
        <v>60</v>
      </c>
      <c r="B2316" s="1">
        <v>46130</v>
      </c>
      <c r="C2316">
        <v>2378066888</v>
      </c>
      <c r="D2316">
        <v>2378066974</v>
      </c>
      <c r="E2316" t="str">
        <f>T("마법사왕 아서 87화")</f>
        <v>마법사왕 아서 87화</v>
      </c>
      <c r="F2316">
        <v>87</v>
      </c>
      <c r="G2316" t="str">
        <f>T("하란사")</f>
        <v>하란사</v>
      </c>
      <c r="J2316" t="str">
        <f>T("매드햇")</f>
        <v>매드햇</v>
      </c>
      <c r="K2316" t="str">
        <f>T("마법사왕 아서")</f>
        <v>마법사왕 아서</v>
      </c>
      <c r="L2316">
        <v>100</v>
      </c>
      <c r="M2316">
        <v>100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100</v>
      </c>
      <c r="AJ2316">
        <v>1</v>
      </c>
      <c r="AK2316">
        <v>0</v>
      </c>
      <c r="AL2316">
        <v>0</v>
      </c>
      <c r="AM2316">
        <v>100</v>
      </c>
      <c r="AN2316">
        <v>0</v>
      </c>
      <c r="AO2316">
        <v>0</v>
      </c>
      <c r="AP2316">
        <v>0</v>
      </c>
      <c r="AQ2316">
        <v>0</v>
      </c>
      <c r="AS2316">
        <v>0</v>
      </c>
      <c r="AT2316">
        <v>0</v>
      </c>
      <c r="AV2316">
        <v>0</v>
      </c>
      <c r="AW2316">
        <v>0</v>
      </c>
      <c r="AY2316">
        <v>0</v>
      </c>
      <c r="AZ2316">
        <v>0</v>
      </c>
      <c r="BA2316">
        <v>60</v>
      </c>
      <c r="BE2316" t="str">
        <f>T("9791137019256")</f>
        <v>9791137019256</v>
      </c>
      <c r="BF2316" t="str">
        <f>T("k315198")</f>
        <v>k315198</v>
      </c>
      <c r="BG2316" t="str">
        <f>T("판타지 웹소설 &gt; 정통 판타지")</f>
        <v>판타지 웹소설 &gt; 정통 판타지</v>
      </c>
    </row>
    <row r="2317" spans="1:59">
      <c r="A2317" t="s">
        <v>60</v>
      </c>
      <c r="B2317" s="1">
        <v>46130</v>
      </c>
      <c r="C2317">
        <v>2378066888</v>
      </c>
      <c r="D2317">
        <v>2378066892</v>
      </c>
      <c r="E2317" t="str">
        <f>T("마법사왕 아서 5화")</f>
        <v>마법사왕 아서 5화</v>
      </c>
      <c r="F2317">
        <v>5</v>
      </c>
      <c r="G2317" t="str">
        <f>T("하란사")</f>
        <v>하란사</v>
      </c>
      <c r="J2317" t="str">
        <f>T("매드햇")</f>
        <v>매드햇</v>
      </c>
      <c r="K2317" t="str">
        <f>T("마법사왕 아서")</f>
        <v>마법사왕 아서</v>
      </c>
      <c r="L2317">
        <v>0</v>
      </c>
      <c r="M2317">
        <v>0</v>
      </c>
      <c r="N2317">
        <v>0</v>
      </c>
      <c r="O2317">
        <v>1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1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S2317">
        <v>0</v>
      </c>
      <c r="AT2317">
        <v>0</v>
      </c>
      <c r="AV2317">
        <v>0</v>
      </c>
      <c r="AW2317">
        <v>0</v>
      </c>
      <c r="AY2317">
        <v>0</v>
      </c>
      <c r="AZ2317">
        <v>0</v>
      </c>
      <c r="BA2317">
        <v>0</v>
      </c>
      <c r="BE2317" t="str">
        <f>T("9791137019256")</f>
        <v>9791137019256</v>
      </c>
      <c r="BF2317" t="str">
        <f>T("k315116")</f>
        <v>k315116</v>
      </c>
      <c r="BG2317" t="str">
        <f>T("판타지 웹소설 &gt; 정통 판타지")</f>
        <v>판타지 웹소설 &gt; 정통 판타지</v>
      </c>
    </row>
    <row r="2318" spans="1:59">
      <c r="A2318" t="s">
        <v>60</v>
      </c>
      <c r="B2318" s="1">
        <v>46131</v>
      </c>
      <c r="C2318">
        <v>2378066888</v>
      </c>
      <c r="D2318">
        <v>2378072205</v>
      </c>
      <c r="E2318" t="str">
        <f>T("마법사왕 아서 215화")</f>
        <v>마법사왕 아서 215화</v>
      </c>
      <c r="F2318">
        <v>215</v>
      </c>
      <c r="G2318" t="str">
        <f>T("하란사")</f>
        <v>하란사</v>
      </c>
      <c r="J2318" t="str">
        <f>T("매드햇")</f>
        <v>매드햇</v>
      </c>
      <c r="K2318" t="str">
        <f>T("마법사왕 아서")</f>
        <v>마법사왕 아서</v>
      </c>
      <c r="L2318">
        <v>100</v>
      </c>
      <c r="M2318">
        <v>100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100</v>
      </c>
      <c r="AJ2318">
        <v>1</v>
      </c>
      <c r="AK2318">
        <v>0</v>
      </c>
      <c r="AL2318">
        <v>0</v>
      </c>
      <c r="AM2318">
        <v>100</v>
      </c>
      <c r="AN2318">
        <v>0</v>
      </c>
      <c r="AO2318">
        <v>0</v>
      </c>
      <c r="AP2318">
        <v>0</v>
      </c>
      <c r="AQ2318">
        <v>0</v>
      </c>
      <c r="AS2318">
        <v>0</v>
      </c>
      <c r="AT2318">
        <v>0</v>
      </c>
      <c r="AV2318">
        <v>0</v>
      </c>
      <c r="AW2318">
        <v>0</v>
      </c>
      <c r="AY2318">
        <v>0</v>
      </c>
      <c r="AZ2318">
        <v>0</v>
      </c>
      <c r="BA2318">
        <v>60</v>
      </c>
      <c r="BE2318" t="str">
        <f>T("9791137019256")</f>
        <v>9791137019256</v>
      </c>
      <c r="BF2318" t="str">
        <f>T("k447766")</f>
        <v>k447766</v>
      </c>
      <c r="BG2318" t="str">
        <f>T("판타지 웹소설 &gt; 정통 판타지")</f>
        <v>판타지 웹소설 &gt; 정통 판타지</v>
      </c>
    </row>
    <row r="2319" spans="1:59">
      <c r="A2319" t="s">
        <v>60</v>
      </c>
      <c r="B2319" s="1">
        <v>46131</v>
      </c>
      <c r="C2319">
        <v>2378066888</v>
      </c>
      <c r="D2319">
        <v>2378066915</v>
      </c>
      <c r="E2319" t="str">
        <f>T("마법사왕 아서 28화")</f>
        <v>마법사왕 아서 28화</v>
      </c>
      <c r="F2319">
        <v>28</v>
      </c>
      <c r="G2319" t="str">
        <f>T("하란사")</f>
        <v>하란사</v>
      </c>
      <c r="J2319" t="str">
        <f>T("매드햇")</f>
        <v>매드햇</v>
      </c>
      <c r="K2319" t="str">
        <f>T("마법사왕 아서")</f>
        <v>마법사왕 아서</v>
      </c>
      <c r="L2319">
        <v>100</v>
      </c>
      <c r="M2319">
        <v>100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100</v>
      </c>
      <c r="AJ2319">
        <v>1</v>
      </c>
      <c r="AK2319">
        <v>0</v>
      </c>
      <c r="AL2319">
        <v>0</v>
      </c>
      <c r="AM2319">
        <v>100</v>
      </c>
      <c r="AN2319">
        <v>0</v>
      </c>
      <c r="AO2319">
        <v>0</v>
      </c>
      <c r="AP2319">
        <v>0</v>
      </c>
      <c r="AQ2319">
        <v>0</v>
      </c>
      <c r="AS2319">
        <v>0</v>
      </c>
      <c r="AT2319">
        <v>0</v>
      </c>
      <c r="AV2319">
        <v>0</v>
      </c>
      <c r="AW2319">
        <v>0</v>
      </c>
      <c r="AY2319">
        <v>0</v>
      </c>
      <c r="AZ2319">
        <v>0</v>
      </c>
      <c r="BA2319">
        <v>60</v>
      </c>
      <c r="BE2319" t="str">
        <f>T("9791137019256")</f>
        <v>9791137019256</v>
      </c>
      <c r="BF2319" t="str">
        <f>T("k315139")</f>
        <v>k315139</v>
      </c>
      <c r="BG2319" t="str">
        <f>T("판타지 웹소설 &gt; 정통 판타지")</f>
        <v>판타지 웹소설 &gt; 정통 판타지</v>
      </c>
    </row>
    <row r="2320" spans="1:59">
      <c r="A2320" t="s">
        <v>60</v>
      </c>
      <c r="B2320" s="1">
        <v>46131</v>
      </c>
      <c r="C2320">
        <v>2378066888</v>
      </c>
      <c r="D2320">
        <v>2378066916</v>
      </c>
      <c r="E2320" t="str">
        <f>T("마법사왕 아서 29화")</f>
        <v>마법사왕 아서 29화</v>
      </c>
      <c r="F2320">
        <v>29</v>
      </c>
      <c r="G2320" t="str">
        <f>T("하란사")</f>
        <v>하란사</v>
      </c>
      <c r="J2320" t="str">
        <f>T("매드햇")</f>
        <v>매드햇</v>
      </c>
      <c r="K2320" t="str">
        <f>T("마법사왕 아서")</f>
        <v>마법사왕 아서</v>
      </c>
      <c r="L2320">
        <v>100</v>
      </c>
      <c r="M2320">
        <v>100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100</v>
      </c>
      <c r="AJ2320">
        <v>1</v>
      </c>
      <c r="AK2320">
        <v>0</v>
      </c>
      <c r="AL2320">
        <v>0</v>
      </c>
      <c r="AM2320">
        <v>100</v>
      </c>
      <c r="AN2320">
        <v>0</v>
      </c>
      <c r="AO2320">
        <v>0</v>
      </c>
      <c r="AP2320">
        <v>0</v>
      </c>
      <c r="AQ2320">
        <v>0</v>
      </c>
      <c r="AS2320">
        <v>0</v>
      </c>
      <c r="AT2320">
        <v>0</v>
      </c>
      <c r="AV2320">
        <v>0</v>
      </c>
      <c r="AW2320">
        <v>0</v>
      </c>
      <c r="AY2320">
        <v>0</v>
      </c>
      <c r="AZ2320">
        <v>0</v>
      </c>
      <c r="BA2320">
        <v>60</v>
      </c>
      <c r="BE2320" t="str">
        <f>T("9791137019256")</f>
        <v>9791137019256</v>
      </c>
      <c r="BF2320" t="str">
        <f>T("k315140")</f>
        <v>k315140</v>
      </c>
      <c r="BG2320" t="str">
        <f>T("판타지 웹소설 &gt; 정통 판타지")</f>
        <v>판타지 웹소설 &gt; 정통 판타지</v>
      </c>
    </row>
    <row r="2321" spans="1:59">
      <c r="A2321" t="s">
        <v>60</v>
      </c>
      <c r="B2321" s="1">
        <v>46131</v>
      </c>
      <c r="C2321">
        <v>2378066888</v>
      </c>
      <c r="D2321">
        <v>2378066917</v>
      </c>
      <c r="E2321" t="str">
        <f>T("마법사왕 아서 30화")</f>
        <v>마법사왕 아서 30화</v>
      </c>
      <c r="F2321">
        <v>30</v>
      </c>
      <c r="G2321" t="str">
        <f>T("하란사")</f>
        <v>하란사</v>
      </c>
      <c r="J2321" t="str">
        <f>T("매드햇")</f>
        <v>매드햇</v>
      </c>
      <c r="K2321" t="str">
        <f>T("마법사왕 아서")</f>
        <v>마법사왕 아서</v>
      </c>
      <c r="L2321">
        <v>100</v>
      </c>
      <c r="M2321">
        <v>100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0</v>
      </c>
      <c r="AI2321">
        <v>100</v>
      </c>
      <c r="AJ2321">
        <v>1</v>
      </c>
      <c r="AK2321">
        <v>0</v>
      </c>
      <c r="AL2321">
        <v>0</v>
      </c>
      <c r="AM2321">
        <v>100</v>
      </c>
      <c r="AN2321">
        <v>0</v>
      </c>
      <c r="AO2321">
        <v>0</v>
      </c>
      <c r="AP2321">
        <v>0</v>
      </c>
      <c r="AQ2321">
        <v>0</v>
      </c>
      <c r="AS2321">
        <v>0</v>
      </c>
      <c r="AT2321">
        <v>0</v>
      </c>
      <c r="AV2321">
        <v>0</v>
      </c>
      <c r="AW2321">
        <v>0</v>
      </c>
      <c r="AY2321">
        <v>0</v>
      </c>
      <c r="AZ2321">
        <v>0</v>
      </c>
      <c r="BA2321">
        <v>60</v>
      </c>
      <c r="BE2321" t="str">
        <f>T("9791137019256")</f>
        <v>9791137019256</v>
      </c>
      <c r="BF2321" t="str">
        <f>T("k315141")</f>
        <v>k315141</v>
      </c>
      <c r="BG2321" t="str">
        <f>T("판타지 웹소설 &gt; 정통 판타지")</f>
        <v>판타지 웹소설 &gt; 정통 판타지</v>
      </c>
    </row>
    <row r="2322" spans="1:59">
      <c r="A2322" t="s">
        <v>60</v>
      </c>
      <c r="B2322" s="1">
        <v>46131</v>
      </c>
      <c r="C2322">
        <v>2378066888</v>
      </c>
      <c r="D2322">
        <v>2378066918</v>
      </c>
      <c r="E2322" t="str">
        <f>T("마법사왕 아서 31화")</f>
        <v>마법사왕 아서 31화</v>
      </c>
      <c r="F2322">
        <v>31</v>
      </c>
      <c r="G2322" t="str">
        <f>T("하란사")</f>
        <v>하란사</v>
      </c>
      <c r="J2322" t="str">
        <f>T("매드햇")</f>
        <v>매드햇</v>
      </c>
      <c r="K2322" t="str">
        <f>T("마법사왕 아서")</f>
        <v>마법사왕 아서</v>
      </c>
      <c r="L2322">
        <v>100</v>
      </c>
      <c r="M2322">
        <v>100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100</v>
      </c>
      <c r="AJ2322">
        <v>1</v>
      </c>
      <c r="AK2322">
        <v>0</v>
      </c>
      <c r="AL2322">
        <v>0</v>
      </c>
      <c r="AM2322">
        <v>100</v>
      </c>
      <c r="AN2322">
        <v>0</v>
      </c>
      <c r="AO2322">
        <v>0</v>
      </c>
      <c r="AP2322">
        <v>0</v>
      </c>
      <c r="AQ2322">
        <v>0</v>
      </c>
      <c r="AS2322">
        <v>0</v>
      </c>
      <c r="AT2322">
        <v>0</v>
      </c>
      <c r="AV2322">
        <v>0</v>
      </c>
      <c r="AW2322">
        <v>0</v>
      </c>
      <c r="AY2322">
        <v>0</v>
      </c>
      <c r="AZ2322">
        <v>0</v>
      </c>
      <c r="BA2322">
        <v>60</v>
      </c>
      <c r="BE2322" t="str">
        <f>T("9791137019256")</f>
        <v>9791137019256</v>
      </c>
      <c r="BF2322" t="str">
        <f>T("k315142")</f>
        <v>k315142</v>
      </c>
      <c r="BG2322" t="str">
        <f>T("판타지 웹소설 &gt; 정통 판타지")</f>
        <v>판타지 웹소설 &gt; 정통 판타지</v>
      </c>
    </row>
    <row r="2323" spans="1:59">
      <c r="A2323" t="s">
        <v>60</v>
      </c>
      <c r="B2323" s="1">
        <v>46131</v>
      </c>
      <c r="C2323">
        <v>2378066888</v>
      </c>
      <c r="D2323">
        <v>2378066919</v>
      </c>
      <c r="E2323" t="str">
        <f>T("마법사왕 아서 32화")</f>
        <v>마법사왕 아서 32화</v>
      </c>
      <c r="F2323">
        <v>32</v>
      </c>
      <c r="G2323" t="str">
        <f>T("하란사")</f>
        <v>하란사</v>
      </c>
      <c r="J2323" t="str">
        <f>T("매드햇")</f>
        <v>매드햇</v>
      </c>
      <c r="K2323" t="str">
        <f>T("마법사왕 아서")</f>
        <v>마법사왕 아서</v>
      </c>
      <c r="L2323">
        <v>100</v>
      </c>
      <c r="M2323">
        <v>100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100</v>
      </c>
      <c r="AJ2323">
        <v>1</v>
      </c>
      <c r="AK2323">
        <v>0</v>
      </c>
      <c r="AL2323">
        <v>0</v>
      </c>
      <c r="AM2323">
        <v>100</v>
      </c>
      <c r="AN2323">
        <v>0</v>
      </c>
      <c r="AO2323">
        <v>0</v>
      </c>
      <c r="AP2323">
        <v>0</v>
      </c>
      <c r="AQ2323">
        <v>0</v>
      </c>
      <c r="AS2323">
        <v>0</v>
      </c>
      <c r="AT2323">
        <v>0</v>
      </c>
      <c r="AV2323">
        <v>0</v>
      </c>
      <c r="AW2323">
        <v>0</v>
      </c>
      <c r="AY2323">
        <v>0</v>
      </c>
      <c r="AZ2323">
        <v>0</v>
      </c>
      <c r="BA2323">
        <v>60</v>
      </c>
      <c r="BE2323" t="str">
        <f>T("9791137019256")</f>
        <v>9791137019256</v>
      </c>
      <c r="BF2323" t="str">
        <f>T("k315143")</f>
        <v>k315143</v>
      </c>
      <c r="BG2323" t="str">
        <f>T("판타지 웹소설 &gt; 정통 판타지")</f>
        <v>판타지 웹소설 &gt; 정통 판타지</v>
      </c>
    </row>
    <row r="2324" spans="1:59">
      <c r="A2324" t="s">
        <v>60</v>
      </c>
      <c r="B2324" s="1">
        <v>46131</v>
      </c>
      <c r="C2324">
        <v>2378066888</v>
      </c>
      <c r="D2324">
        <v>2378066920</v>
      </c>
      <c r="E2324" t="str">
        <f>T("마법사왕 아서 33화")</f>
        <v>마법사왕 아서 33화</v>
      </c>
      <c r="F2324">
        <v>33</v>
      </c>
      <c r="G2324" t="str">
        <f>T("하란사")</f>
        <v>하란사</v>
      </c>
      <c r="J2324" t="str">
        <f>T("매드햇")</f>
        <v>매드햇</v>
      </c>
      <c r="K2324" t="str">
        <f>T("마법사왕 아서")</f>
        <v>마법사왕 아서</v>
      </c>
      <c r="L2324">
        <v>100</v>
      </c>
      <c r="M2324">
        <v>100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100</v>
      </c>
      <c r="AJ2324">
        <v>1</v>
      </c>
      <c r="AK2324">
        <v>0</v>
      </c>
      <c r="AL2324">
        <v>0</v>
      </c>
      <c r="AM2324">
        <v>100</v>
      </c>
      <c r="AN2324">
        <v>0</v>
      </c>
      <c r="AO2324">
        <v>0</v>
      </c>
      <c r="AP2324">
        <v>0</v>
      </c>
      <c r="AQ2324">
        <v>0</v>
      </c>
      <c r="AS2324">
        <v>0</v>
      </c>
      <c r="AT2324">
        <v>0</v>
      </c>
      <c r="AV2324">
        <v>0</v>
      </c>
      <c r="AW2324">
        <v>0</v>
      </c>
      <c r="AY2324">
        <v>0</v>
      </c>
      <c r="AZ2324">
        <v>0</v>
      </c>
      <c r="BA2324">
        <v>60</v>
      </c>
      <c r="BE2324" t="str">
        <f>T("9791137019256")</f>
        <v>9791137019256</v>
      </c>
      <c r="BF2324" t="str">
        <f>T("k315144")</f>
        <v>k315144</v>
      </c>
      <c r="BG2324" t="str">
        <f>T("판타지 웹소설 &gt; 정통 판타지")</f>
        <v>판타지 웹소설 &gt; 정통 판타지</v>
      </c>
    </row>
    <row r="2325" spans="1:59">
      <c r="A2325" t="s">
        <v>60</v>
      </c>
      <c r="B2325" s="1">
        <v>46131</v>
      </c>
      <c r="C2325">
        <v>2378066888</v>
      </c>
      <c r="D2325">
        <v>2378066921</v>
      </c>
      <c r="E2325" t="str">
        <f>T("마법사왕 아서 34화")</f>
        <v>마법사왕 아서 34화</v>
      </c>
      <c r="F2325">
        <v>34</v>
      </c>
      <c r="G2325" t="str">
        <f>T("하란사")</f>
        <v>하란사</v>
      </c>
      <c r="J2325" t="str">
        <f>T("매드햇")</f>
        <v>매드햇</v>
      </c>
      <c r="K2325" t="str">
        <f>T("마법사왕 아서")</f>
        <v>마법사왕 아서</v>
      </c>
      <c r="L2325">
        <v>100</v>
      </c>
      <c r="M2325">
        <v>100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100</v>
      </c>
      <c r="AJ2325">
        <v>1</v>
      </c>
      <c r="AK2325">
        <v>0</v>
      </c>
      <c r="AL2325">
        <v>0</v>
      </c>
      <c r="AM2325">
        <v>100</v>
      </c>
      <c r="AN2325">
        <v>0</v>
      </c>
      <c r="AO2325">
        <v>0</v>
      </c>
      <c r="AP2325">
        <v>0</v>
      </c>
      <c r="AQ2325">
        <v>0</v>
      </c>
      <c r="AS2325">
        <v>0</v>
      </c>
      <c r="AT2325">
        <v>0</v>
      </c>
      <c r="AV2325">
        <v>0</v>
      </c>
      <c r="AW2325">
        <v>0</v>
      </c>
      <c r="AY2325">
        <v>0</v>
      </c>
      <c r="AZ2325">
        <v>0</v>
      </c>
      <c r="BA2325">
        <v>60</v>
      </c>
      <c r="BE2325" t="str">
        <f>T("9791137019256")</f>
        <v>9791137019256</v>
      </c>
      <c r="BF2325" t="str">
        <f>T("k315145")</f>
        <v>k315145</v>
      </c>
      <c r="BG2325" t="str">
        <f>T("판타지 웹소설 &gt; 정통 판타지")</f>
        <v>판타지 웹소설 &gt; 정통 판타지</v>
      </c>
    </row>
    <row r="2326" spans="1:59">
      <c r="A2326" t="s">
        <v>60</v>
      </c>
      <c r="B2326" s="1">
        <v>46131</v>
      </c>
      <c r="C2326">
        <v>2378066888</v>
      </c>
      <c r="D2326">
        <v>2378066922</v>
      </c>
      <c r="E2326" t="str">
        <f>T("마법사왕 아서 35화")</f>
        <v>마법사왕 아서 35화</v>
      </c>
      <c r="F2326">
        <v>35</v>
      </c>
      <c r="G2326" t="str">
        <f>T("하란사")</f>
        <v>하란사</v>
      </c>
      <c r="J2326" t="str">
        <f>T("매드햇")</f>
        <v>매드햇</v>
      </c>
      <c r="K2326" t="str">
        <f>T("마법사왕 아서")</f>
        <v>마법사왕 아서</v>
      </c>
      <c r="L2326">
        <v>100</v>
      </c>
      <c r="M2326">
        <v>100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100</v>
      </c>
      <c r="AJ2326">
        <v>1</v>
      </c>
      <c r="AK2326">
        <v>0</v>
      </c>
      <c r="AL2326">
        <v>0</v>
      </c>
      <c r="AM2326">
        <v>100</v>
      </c>
      <c r="AN2326">
        <v>0</v>
      </c>
      <c r="AO2326">
        <v>0</v>
      </c>
      <c r="AP2326">
        <v>0</v>
      </c>
      <c r="AQ2326">
        <v>0</v>
      </c>
      <c r="AS2326">
        <v>0</v>
      </c>
      <c r="AT2326">
        <v>0</v>
      </c>
      <c r="AV2326">
        <v>0</v>
      </c>
      <c r="AW2326">
        <v>0</v>
      </c>
      <c r="AY2326">
        <v>0</v>
      </c>
      <c r="AZ2326">
        <v>0</v>
      </c>
      <c r="BA2326">
        <v>60</v>
      </c>
      <c r="BE2326" t="str">
        <f>T("9791137019256")</f>
        <v>9791137019256</v>
      </c>
      <c r="BF2326" t="str">
        <f>T("k315146")</f>
        <v>k315146</v>
      </c>
      <c r="BG2326" t="str">
        <f>T("판타지 웹소설 &gt; 정통 판타지")</f>
        <v>판타지 웹소설 &gt; 정통 판타지</v>
      </c>
    </row>
    <row r="2327" spans="1:59">
      <c r="A2327" t="s">
        <v>60</v>
      </c>
      <c r="B2327" s="1">
        <v>46131</v>
      </c>
      <c r="C2327">
        <v>2378066888</v>
      </c>
      <c r="D2327">
        <v>2378066923</v>
      </c>
      <c r="E2327" t="str">
        <f>T("마법사왕 아서 36화")</f>
        <v>마법사왕 아서 36화</v>
      </c>
      <c r="F2327">
        <v>36</v>
      </c>
      <c r="G2327" t="str">
        <f>T("하란사")</f>
        <v>하란사</v>
      </c>
      <c r="J2327" t="str">
        <f>T("매드햇")</f>
        <v>매드햇</v>
      </c>
      <c r="K2327" t="str">
        <f>T("마법사왕 아서")</f>
        <v>마법사왕 아서</v>
      </c>
      <c r="L2327">
        <v>100</v>
      </c>
      <c r="M2327">
        <v>100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100</v>
      </c>
      <c r="AJ2327">
        <v>1</v>
      </c>
      <c r="AK2327">
        <v>0</v>
      </c>
      <c r="AL2327">
        <v>0</v>
      </c>
      <c r="AM2327">
        <v>100</v>
      </c>
      <c r="AN2327">
        <v>0</v>
      </c>
      <c r="AO2327">
        <v>0</v>
      </c>
      <c r="AP2327">
        <v>0</v>
      </c>
      <c r="AQ2327">
        <v>0</v>
      </c>
      <c r="AS2327">
        <v>0</v>
      </c>
      <c r="AT2327">
        <v>0</v>
      </c>
      <c r="AV2327">
        <v>0</v>
      </c>
      <c r="AW2327">
        <v>0</v>
      </c>
      <c r="AY2327">
        <v>0</v>
      </c>
      <c r="AZ2327">
        <v>0</v>
      </c>
      <c r="BA2327">
        <v>60</v>
      </c>
      <c r="BE2327" t="str">
        <f>T("9791137019256")</f>
        <v>9791137019256</v>
      </c>
      <c r="BF2327" t="str">
        <f>T("k315147")</f>
        <v>k315147</v>
      </c>
      <c r="BG2327" t="str">
        <f>T("판타지 웹소설 &gt; 정통 판타지")</f>
        <v>판타지 웹소설 &gt; 정통 판타지</v>
      </c>
    </row>
    <row r="2328" spans="1:59">
      <c r="A2328" t="s">
        <v>60</v>
      </c>
      <c r="B2328" s="1">
        <v>46131</v>
      </c>
      <c r="C2328">
        <v>2378066888</v>
      </c>
      <c r="D2328">
        <v>2378066924</v>
      </c>
      <c r="E2328" t="str">
        <f>T("마법사왕 아서 37화")</f>
        <v>마법사왕 아서 37화</v>
      </c>
      <c r="F2328">
        <v>37</v>
      </c>
      <c r="G2328" t="str">
        <f>T("하란사")</f>
        <v>하란사</v>
      </c>
      <c r="J2328" t="str">
        <f>T("매드햇")</f>
        <v>매드햇</v>
      </c>
      <c r="K2328" t="str">
        <f>T("마법사왕 아서")</f>
        <v>마법사왕 아서</v>
      </c>
      <c r="L2328">
        <v>100</v>
      </c>
      <c r="M2328">
        <v>100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100</v>
      </c>
      <c r="AJ2328">
        <v>1</v>
      </c>
      <c r="AK2328">
        <v>0</v>
      </c>
      <c r="AL2328">
        <v>0</v>
      </c>
      <c r="AM2328">
        <v>100</v>
      </c>
      <c r="AN2328">
        <v>0</v>
      </c>
      <c r="AO2328">
        <v>0</v>
      </c>
      <c r="AP2328">
        <v>0</v>
      </c>
      <c r="AQ2328">
        <v>0</v>
      </c>
      <c r="AS2328">
        <v>0</v>
      </c>
      <c r="AT2328">
        <v>0</v>
      </c>
      <c r="AV2328">
        <v>0</v>
      </c>
      <c r="AW2328">
        <v>0</v>
      </c>
      <c r="AY2328">
        <v>0</v>
      </c>
      <c r="AZ2328">
        <v>0</v>
      </c>
      <c r="BA2328">
        <v>60</v>
      </c>
      <c r="BE2328" t="str">
        <f>T("9791137019256")</f>
        <v>9791137019256</v>
      </c>
      <c r="BF2328" t="str">
        <f>T("k315148")</f>
        <v>k315148</v>
      </c>
      <c r="BG2328" t="str">
        <f>T("판타지 웹소설 &gt; 정통 판타지")</f>
        <v>판타지 웹소설 &gt; 정통 판타지</v>
      </c>
    </row>
    <row r="2329" spans="1:59">
      <c r="A2329" t="s">
        <v>60</v>
      </c>
      <c r="B2329" s="1">
        <v>46131</v>
      </c>
      <c r="C2329">
        <v>2378066888</v>
      </c>
      <c r="D2329">
        <v>2378066925</v>
      </c>
      <c r="E2329" t="str">
        <f>T("마법사왕 아서 38화")</f>
        <v>마법사왕 아서 38화</v>
      </c>
      <c r="F2329">
        <v>38</v>
      </c>
      <c r="G2329" t="str">
        <f>T("하란사")</f>
        <v>하란사</v>
      </c>
      <c r="J2329" t="str">
        <f>T("매드햇")</f>
        <v>매드햇</v>
      </c>
      <c r="K2329" t="str">
        <f>T("마법사왕 아서")</f>
        <v>마법사왕 아서</v>
      </c>
      <c r="L2329">
        <v>100</v>
      </c>
      <c r="M2329">
        <v>100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100</v>
      </c>
      <c r="AJ2329">
        <v>1</v>
      </c>
      <c r="AK2329">
        <v>0</v>
      </c>
      <c r="AL2329">
        <v>0</v>
      </c>
      <c r="AM2329">
        <v>100</v>
      </c>
      <c r="AN2329">
        <v>0</v>
      </c>
      <c r="AO2329">
        <v>0</v>
      </c>
      <c r="AP2329">
        <v>0</v>
      </c>
      <c r="AQ2329">
        <v>0</v>
      </c>
      <c r="AS2329">
        <v>0</v>
      </c>
      <c r="AT2329">
        <v>0</v>
      </c>
      <c r="AV2329">
        <v>0</v>
      </c>
      <c r="AW2329">
        <v>0</v>
      </c>
      <c r="AY2329">
        <v>0</v>
      </c>
      <c r="AZ2329">
        <v>0</v>
      </c>
      <c r="BA2329">
        <v>60</v>
      </c>
      <c r="BE2329" t="str">
        <f>T("9791137019256")</f>
        <v>9791137019256</v>
      </c>
      <c r="BF2329" t="str">
        <f>T("k315149")</f>
        <v>k315149</v>
      </c>
      <c r="BG2329" t="str">
        <f>T("판타지 웹소설 &gt; 정통 판타지")</f>
        <v>판타지 웹소설 &gt; 정통 판타지</v>
      </c>
    </row>
    <row r="2330" spans="1:59">
      <c r="A2330" t="s">
        <v>60</v>
      </c>
      <c r="B2330" s="1">
        <v>46131</v>
      </c>
      <c r="C2330">
        <v>2378066888</v>
      </c>
      <c r="D2330">
        <v>2378066926</v>
      </c>
      <c r="E2330" t="str">
        <f>T("마법사왕 아서 39화")</f>
        <v>마법사왕 아서 39화</v>
      </c>
      <c r="F2330">
        <v>39</v>
      </c>
      <c r="G2330" t="str">
        <f>T("하란사")</f>
        <v>하란사</v>
      </c>
      <c r="J2330" t="str">
        <f>T("매드햇")</f>
        <v>매드햇</v>
      </c>
      <c r="K2330" t="str">
        <f>T("마법사왕 아서")</f>
        <v>마법사왕 아서</v>
      </c>
      <c r="L2330">
        <v>100</v>
      </c>
      <c r="M2330">
        <v>100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100</v>
      </c>
      <c r="AJ2330">
        <v>1</v>
      </c>
      <c r="AK2330">
        <v>0</v>
      </c>
      <c r="AL2330">
        <v>0</v>
      </c>
      <c r="AM2330">
        <v>100</v>
      </c>
      <c r="AN2330">
        <v>0</v>
      </c>
      <c r="AO2330">
        <v>0</v>
      </c>
      <c r="AP2330">
        <v>0</v>
      </c>
      <c r="AQ2330">
        <v>0</v>
      </c>
      <c r="AS2330">
        <v>0</v>
      </c>
      <c r="AT2330">
        <v>0</v>
      </c>
      <c r="AV2330">
        <v>0</v>
      </c>
      <c r="AW2330">
        <v>0</v>
      </c>
      <c r="AY2330">
        <v>0</v>
      </c>
      <c r="AZ2330">
        <v>0</v>
      </c>
      <c r="BA2330">
        <v>60</v>
      </c>
      <c r="BE2330" t="str">
        <f>T("9791137019256")</f>
        <v>9791137019256</v>
      </c>
      <c r="BF2330" t="str">
        <f>T("k315150")</f>
        <v>k315150</v>
      </c>
      <c r="BG2330" t="str">
        <f>T("판타지 웹소설 &gt; 정통 판타지")</f>
        <v>판타지 웹소설 &gt; 정통 판타지</v>
      </c>
    </row>
    <row r="2331" spans="1:59">
      <c r="A2331" t="s">
        <v>60</v>
      </c>
      <c r="B2331" s="1">
        <v>46131</v>
      </c>
      <c r="C2331">
        <v>2378066888</v>
      </c>
      <c r="D2331">
        <v>2378066927</v>
      </c>
      <c r="E2331" t="str">
        <f>T("마법사왕 아서 40화")</f>
        <v>마법사왕 아서 40화</v>
      </c>
      <c r="F2331">
        <v>40</v>
      </c>
      <c r="G2331" t="str">
        <f>T("하란사")</f>
        <v>하란사</v>
      </c>
      <c r="J2331" t="str">
        <f>T("매드햇")</f>
        <v>매드햇</v>
      </c>
      <c r="K2331" t="str">
        <f>T("마법사왕 아서")</f>
        <v>마법사왕 아서</v>
      </c>
      <c r="L2331">
        <v>100</v>
      </c>
      <c r="M2331">
        <v>100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100</v>
      </c>
      <c r="AJ2331">
        <v>1</v>
      </c>
      <c r="AK2331">
        <v>0</v>
      </c>
      <c r="AL2331">
        <v>0</v>
      </c>
      <c r="AM2331">
        <v>100</v>
      </c>
      <c r="AN2331">
        <v>0</v>
      </c>
      <c r="AO2331">
        <v>0</v>
      </c>
      <c r="AP2331">
        <v>0</v>
      </c>
      <c r="AQ2331">
        <v>0</v>
      </c>
      <c r="AS2331">
        <v>0</v>
      </c>
      <c r="AT2331">
        <v>0</v>
      </c>
      <c r="AV2331">
        <v>0</v>
      </c>
      <c r="AW2331">
        <v>0</v>
      </c>
      <c r="AY2331">
        <v>0</v>
      </c>
      <c r="AZ2331">
        <v>0</v>
      </c>
      <c r="BA2331">
        <v>60</v>
      </c>
      <c r="BE2331" t="str">
        <f>T("9791137019256")</f>
        <v>9791137019256</v>
      </c>
      <c r="BF2331" t="str">
        <f>T("k315151")</f>
        <v>k315151</v>
      </c>
      <c r="BG2331" t="str">
        <f>T("판타지 웹소설 &gt; 정통 판타지")</f>
        <v>판타지 웹소설 &gt; 정통 판타지</v>
      </c>
    </row>
    <row r="2332" spans="1:59">
      <c r="A2332" t="s">
        <v>60</v>
      </c>
      <c r="B2332" s="1">
        <v>46131</v>
      </c>
      <c r="C2332">
        <v>2378066888</v>
      </c>
      <c r="D2332">
        <v>2378066928</v>
      </c>
      <c r="E2332" t="str">
        <f>T("마법사왕 아서 41화")</f>
        <v>마법사왕 아서 41화</v>
      </c>
      <c r="F2332">
        <v>41</v>
      </c>
      <c r="G2332" t="str">
        <f>T("하란사")</f>
        <v>하란사</v>
      </c>
      <c r="J2332" t="str">
        <f>T("매드햇")</f>
        <v>매드햇</v>
      </c>
      <c r="K2332" t="str">
        <f>T("마법사왕 아서")</f>
        <v>마법사왕 아서</v>
      </c>
      <c r="L2332">
        <v>100</v>
      </c>
      <c r="M2332">
        <v>100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100</v>
      </c>
      <c r="AJ2332">
        <v>1</v>
      </c>
      <c r="AK2332">
        <v>0</v>
      </c>
      <c r="AL2332">
        <v>0</v>
      </c>
      <c r="AM2332">
        <v>100</v>
      </c>
      <c r="AN2332">
        <v>0</v>
      </c>
      <c r="AO2332">
        <v>0</v>
      </c>
      <c r="AP2332">
        <v>0</v>
      </c>
      <c r="AQ2332">
        <v>0</v>
      </c>
      <c r="AS2332">
        <v>0</v>
      </c>
      <c r="AT2332">
        <v>0</v>
      </c>
      <c r="AV2332">
        <v>0</v>
      </c>
      <c r="AW2332">
        <v>0</v>
      </c>
      <c r="AY2332">
        <v>0</v>
      </c>
      <c r="AZ2332">
        <v>0</v>
      </c>
      <c r="BA2332">
        <v>60</v>
      </c>
      <c r="BE2332" t="str">
        <f>T("9791137019256")</f>
        <v>9791137019256</v>
      </c>
      <c r="BF2332" t="str">
        <f>T("k315152")</f>
        <v>k315152</v>
      </c>
      <c r="BG2332" t="str">
        <f>T("판타지 웹소설 &gt; 정통 판타지")</f>
        <v>판타지 웹소설 &gt; 정통 판타지</v>
      </c>
    </row>
    <row r="2333" spans="1:59">
      <c r="A2333" t="s">
        <v>60</v>
      </c>
      <c r="B2333" s="1">
        <v>46131</v>
      </c>
      <c r="C2333">
        <v>2378066888</v>
      </c>
      <c r="D2333">
        <v>2378066929</v>
      </c>
      <c r="E2333" t="str">
        <f>T("마법사왕 아서 42화")</f>
        <v>마법사왕 아서 42화</v>
      </c>
      <c r="F2333">
        <v>42</v>
      </c>
      <c r="G2333" t="str">
        <f>T("하란사")</f>
        <v>하란사</v>
      </c>
      <c r="J2333" t="str">
        <f>T("매드햇")</f>
        <v>매드햇</v>
      </c>
      <c r="K2333" t="str">
        <f>T("마법사왕 아서")</f>
        <v>마법사왕 아서</v>
      </c>
      <c r="L2333">
        <v>100</v>
      </c>
      <c r="M2333">
        <v>100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100</v>
      </c>
      <c r="AJ2333">
        <v>1</v>
      </c>
      <c r="AK2333">
        <v>0</v>
      </c>
      <c r="AL2333">
        <v>0</v>
      </c>
      <c r="AM2333">
        <v>100</v>
      </c>
      <c r="AN2333">
        <v>0</v>
      </c>
      <c r="AO2333">
        <v>0</v>
      </c>
      <c r="AP2333">
        <v>0</v>
      </c>
      <c r="AQ2333">
        <v>0</v>
      </c>
      <c r="AS2333">
        <v>0</v>
      </c>
      <c r="AT2333">
        <v>0</v>
      </c>
      <c r="AV2333">
        <v>0</v>
      </c>
      <c r="AW2333">
        <v>0</v>
      </c>
      <c r="AY2333">
        <v>0</v>
      </c>
      <c r="AZ2333">
        <v>0</v>
      </c>
      <c r="BA2333">
        <v>60</v>
      </c>
      <c r="BE2333" t="str">
        <f>T("9791137019256")</f>
        <v>9791137019256</v>
      </c>
      <c r="BF2333" t="str">
        <f>T("k315153")</f>
        <v>k315153</v>
      </c>
      <c r="BG2333" t="str">
        <f>T("판타지 웹소설 &gt; 정통 판타지")</f>
        <v>판타지 웹소설 &gt; 정통 판타지</v>
      </c>
    </row>
    <row r="2334" spans="1:59">
      <c r="A2334" t="s">
        <v>60</v>
      </c>
      <c r="B2334" s="1">
        <v>46131</v>
      </c>
      <c r="C2334">
        <v>2378066888</v>
      </c>
      <c r="D2334">
        <v>2378066930</v>
      </c>
      <c r="E2334" t="str">
        <f>T("마법사왕 아서 43화")</f>
        <v>마법사왕 아서 43화</v>
      </c>
      <c r="F2334">
        <v>43</v>
      </c>
      <c r="G2334" t="str">
        <f>T("하란사")</f>
        <v>하란사</v>
      </c>
      <c r="J2334" t="str">
        <f>T("매드햇")</f>
        <v>매드햇</v>
      </c>
      <c r="K2334" t="str">
        <f>T("마법사왕 아서")</f>
        <v>마법사왕 아서</v>
      </c>
      <c r="L2334">
        <v>100</v>
      </c>
      <c r="M2334">
        <v>100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100</v>
      </c>
      <c r="AJ2334">
        <v>1</v>
      </c>
      <c r="AK2334">
        <v>0</v>
      </c>
      <c r="AL2334">
        <v>0</v>
      </c>
      <c r="AM2334">
        <v>100</v>
      </c>
      <c r="AN2334">
        <v>0</v>
      </c>
      <c r="AO2334">
        <v>0</v>
      </c>
      <c r="AP2334">
        <v>0</v>
      </c>
      <c r="AQ2334">
        <v>0</v>
      </c>
      <c r="AS2334">
        <v>0</v>
      </c>
      <c r="AT2334">
        <v>0</v>
      </c>
      <c r="AV2334">
        <v>0</v>
      </c>
      <c r="AW2334">
        <v>0</v>
      </c>
      <c r="AY2334">
        <v>0</v>
      </c>
      <c r="AZ2334">
        <v>0</v>
      </c>
      <c r="BA2334">
        <v>60</v>
      </c>
      <c r="BE2334" t="str">
        <f>T("9791137019256")</f>
        <v>9791137019256</v>
      </c>
      <c r="BF2334" t="str">
        <f>T("k315154")</f>
        <v>k315154</v>
      </c>
      <c r="BG2334" t="str">
        <f>T("판타지 웹소설 &gt; 정통 판타지")</f>
        <v>판타지 웹소설 &gt; 정통 판타지</v>
      </c>
    </row>
    <row r="2335" spans="1:59">
      <c r="A2335" t="s">
        <v>60</v>
      </c>
      <c r="B2335" s="1">
        <v>46131</v>
      </c>
      <c r="C2335">
        <v>2378066888</v>
      </c>
      <c r="D2335">
        <v>2378066931</v>
      </c>
      <c r="E2335" t="str">
        <f>T("마법사왕 아서 44화")</f>
        <v>마법사왕 아서 44화</v>
      </c>
      <c r="F2335">
        <v>44</v>
      </c>
      <c r="G2335" t="str">
        <f>T("하란사")</f>
        <v>하란사</v>
      </c>
      <c r="J2335" t="str">
        <f>T("매드햇")</f>
        <v>매드햇</v>
      </c>
      <c r="K2335" t="str">
        <f>T("마법사왕 아서")</f>
        <v>마법사왕 아서</v>
      </c>
      <c r="L2335">
        <v>100</v>
      </c>
      <c r="M2335">
        <v>100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0</v>
      </c>
      <c r="AH2335">
        <v>0</v>
      </c>
      <c r="AI2335">
        <v>100</v>
      </c>
      <c r="AJ2335">
        <v>1</v>
      </c>
      <c r="AK2335">
        <v>0</v>
      </c>
      <c r="AL2335">
        <v>0</v>
      </c>
      <c r="AM2335">
        <v>100</v>
      </c>
      <c r="AN2335">
        <v>0</v>
      </c>
      <c r="AO2335">
        <v>0</v>
      </c>
      <c r="AP2335">
        <v>0</v>
      </c>
      <c r="AQ2335">
        <v>0</v>
      </c>
      <c r="AS2335">
        <v>0</v>
      </c>
      <c r="AT2335">
        <v>0</v>
      </c>
      <c r="AV2335">
        <v>0</v>
      </c>
      <c r="AW2335">
        <v>0</v>
      </c>
      <c r="AY2335">
        <v>0</v>
      </c>
      <c r="AZ2335">
        <v>0</v>
      </c>
      <c r="BA2335">
        <v>60</v>
      </c>
      <c r="BE2335" t="str">
        <f>T("9791137019256")</f>
        <v>9791137019256</v>
      </c>
      <c r="BF2335" t="str">
        <f>T("k315155")</f>
        <v>k315155</v>
      </c>
      <c r="BG2335" t="str">
        <f>T("판타지 웹소설 &gt; 정통 판타지")</f>
        <v>판타지 웹소설 &gt; 정통 판타지</v>
      </c>
    </row>
    <row r="2336" spans="1:59">
      <c r="A2336" t="s">
        <v>60</v>
      </c>
      <c r="B2336" s="1">
        <v>46131</v>
      </c>
      <c r="C2336">
        <v>2378066888</v>
      </c>
      <c r="D2336">
        <v>2378066932</v>
      </c>
      <c r="E2336" t="str">
        <f>T("마법사왕 아서 45화")</f>
        <v>마법사왕 아서 45화</v>
      </c>
      <c r="F2336">
        <v>45</v>
      </c>
      <c r="G2336" t="str">
        <f>T("하란사")</f>
        <v>하란사</v>
      </c>
      <c r="J2336" t="str">
        <f>T("매드햇")</f>
        <v>매드햇</v>
      </c>
      <c r="K2336" t="str">
        <f>T("마법사왕 아서")</f>
        <v>마법사왕 아서</v>
      </c>
      <c r="L2336">
        <v>100</v>
      </c>
      <c r="M2336">
        <v>100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100</v>
      </c>
      <c r="AJ2336">
        <v>1</v>
      </c>
      <c r="AK2336">
        <v>0</v>
      </c>
      <c r="AL2336">
        <v>0</v>
      </c>
      <c r="AM2336">
        <v>100</v>
      </c>
      <c r="AN2336">
        <v>0</v>
      </c>
      <c r="AO2336">
        <v>0</v>
      </c>
      <c r="AP2336">
        <v>0</v>
      </c>
      <c r="AQ2336">
        <v>0</v>
      </c>
      <c r="AS2336">
        <v>0</v>
      </c>
      <c r="AT2336">
        <v>0</v>
      </c>
      <c r="AV2336">
        <v>0</v>
      </c>
      <c r="AW2336">
        <v>0</v>
      </c>
      <c r="AY2336">
        <v>0</v>
      </c>
      <c r="AZ2336">
        <v>0</v>
      </c>
      <c r="BA2336">
        <v>60</v>
      </c>
      <c r="BE2336" t="str">
        <f>T("9791137019256")</f>
        <v>9791137019256</v>
      </c>
      <c r="BF2336" t="str">
        <f>T("k315156")</f>
        <v>k315156</v>
      </c>
      <c r="BG2336" t="str">
        <f>T("판타지 웹소설 &gt; 정통 판타지")</f>
        <v>판타지 웹소설 &gt; 정통 판타지</v>
      </c>
    </row>
    <row r="2337" spans="1:59">
      <c r="A2337" t="s">
        <v>60</v>
      </c>
      <c r="B2337" s="1">
        <v>46131</v>
      </c>
      <c r="C2337">
        <v>2378066888</v>
      </c>
      <c r="D2337">
        <v>2378066933</v>
      </c>
      <c r="E2337" t="str">
        <f>T("마법사왕 아서 46화")</f>
        <v>마법사왕 아서 46화</v>
      </c>
      <c r="F2337">
        <v>46</v>
      </c>
      <c r="G2337" t="str">
        <f>T("하란사")</f>
        <v>하란사</v>
      </c>
      <c r="J2337" t="str">
        <f>T("매드햇")</f>
        <v>매드햇</v>
      </c>
      <c r="K2337" t="str">
        <f>T("마법사왕 아서")</f>
        <v>마법사왕 아서</v>
      </c>
      <c r="L2337">
        <v>100</v>
      </c>
      <c r="M2337">
        <v>100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100</v>
      </c>
      <c r="AJ2337">
        <v>1</v>
      </c>
      <c r="AK2337">
        <v>0</v>
      </c>
      <c r="AL2337">
        <v>0</v>
      </c>
      <c r="AM2337">
        <v>100</v>
      </c>
      <c r="AN2337">
        <v>0</v>
      </c>
      <c r="AO2337">
        <v>0</v>
      </c>
      <c r="AP2337">
        <v>0</v>
      </c>
      <c r="AQ2337">
        <v>0</v>
      </c>
      <c r="AS2337">
        <v>0</v>
      </c>
      <c r="AT2337">
        <v>0</v>
      </c>
      <c r="AV2337">
        <v>0</v>
      </c>
      <c r="AW2337">
        <v>0</v>
      </c>
      <c r="AY2337">
        <v>0</v>
      </c>
      <c r="AZ2337">
        <v>0</v>
      </c>
      <c r="BA2337">
        <v>60</v>
      </c>
      <c r="BE2337" t="str">
        <f>T("9791137019256")</f>
        <v>9791137019256</v>
      </c>
      <c r="BF2337" t="str">
        <f>T("k315157")</f>
        <v>k315157</v>
      </c>
      <c r="BG2337" t="str">
        <f>T("판타지 웹소설 &gt; 정통 판타지")</f>
        <v>판타지 웹소설 &gt; 정통 판타지</v>
      </c>
    </row>
    <row r="2338" spans="1:59">
      <c r="A2338" t="s">
        <v>60</v>
      </c>
      <c r="B2338" s="1">
        <v>46131</v>
      </c>
      <c r="C2338">
        <v>2378066888</v>
      </c>
      <c r="D2338">
        <v>2378066934</v>
      </c>
      <c r="E2338" t="str">
        <f>T("마법사왕 아서 47화")</f>
        <v>마법사왕 아서 47화</v>
      </c>
      <c r="F2338">
        <v>47</v>
      </c>
      <c r="G2338" t="str">
        <f>T("하란사")</f>
        <v>하란사</v>
      </c>
      <c r="J2338" t="str">
        <f>T("매드햇")</f>
        <v>매드햇</v>
      </c>
      <c r="K2338" t="str">
        <f>T("마법사왕 아서")</f>
        <v>마법사왕 아서</v>
      </c>
      <c r="L2338">
        <v>100</v>
      </c>
      <c r="M2338">
        <v>100</v>
      </c>
      <c r="N2338">
        <v>1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0</v>
      </c>
      <c r="AH2338">
        <v>0</v>
      </c>
      <c r="AI2338">
        <v>100</v>
      </c>
      <c r="AJ2338">
        <v>1</v>
      </c>
      <c r="AK2338">
        <v>0</v>
      </c>
      <c r="AL2338">
        <v>0</v>
      </c>
      <c r="AM2338">
        <v>100</v>
      </c>
      <c r="AN2338">
        <v>0</v>
      </c>
      <c r="AO2338">
        <v>0</v>
      </c>
      <c r="AP2338">
        <v>0</v>
      </c>
      <c r="AQ2338">
        <v>0</v>
      </c>
      <c r="AS2338">
        <v>0</v>
      </c>
      <c r="AT2338">
        <v>0</v>
      </c>
      <c r="AV2338">
        <v>0</v>
      </c>
      <c r="AW2338">
        <v>0</v>
      </c>
      <c r="AY2338">
        <v>0</v>
      </c>
      <c r="AZ2338">
        <v>0</v>
      </c>
      <c r="BA2338">
        <v>60</v>
      </c>
      <c r="BE2338" t="str">
        <f>T("9791137019256")</f>
        <v>9791137019256</v>
      </c>
      <c r="BF2338" t="str">
        <f>T("k315158")</f>
        <v>k315158</v>
      </c>
      <c r="BG2338" t="str">
        <f>T("판타지 웹소설 &gt; 정통 판타지")</f>
        <v>판타지 웹소설 &gt; 정통 판타지</v>
      </c>
    </row>
    <row r="2339" spans="1:59">
      <c r="A2339" t="s">
        <v>60</v>
      </c>
      <c r="B2339" s="1">
        <v>46131</v>
      </c>
      <c r="C2339">
        <v>2378066888</v>
      </c>
      <c r="D2339">
        <v>2378066935</v>
      </c>
      <c r="E2339" t="str">
        <f>T("마법사왕 아서 48화")</f>
        <v>마법사왕 아서 48화</v>
      </c>
      <c r="F2339">
        <v>48</v>
      </c>
      <c r="G2339" t="str">
        <f>T("하란사")</f>
        <v>하란사</v>
      </c>
      <c r="J2339" t="str">
        <f>T("매드햇")</f>
        <v>매드햇</v>
      </c>
      <c r="K2339" t="str">
        <f>T("마법사왕 아서")</f>
        <v>마법사왕 아서</v>
      </c>
      <c r="L2339">
        <v>100</v>
      </c>
      <c r="M2339">
        <v>100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100</v>
      </c>
      <c r="AJ2339">
        <v>1</v>
      </c>
      <c r="AK2339">
        <v>0</v>
      </c>
      <c r="AL2339">
        <v>0</v>
      </c>
      <c r="AM2339">
        <v>100</v>
      </c>
      <c r="AN2339">
        <v>0</v>
      </c>
      <c r="AO2339">
        <v>0</v>
      </c>
      <c r="AP2339">
        <v>0</v>
      </c>
      <c r="AQ2339">
        <v>0</v>
      </c>
      <c r="AS2339">
        <v>0</v>
      </c>
      <c r="AT2339">
        <v>0</v>
      </c>
      <c r="AV2339">
        <v>0</v>
      </c>
      <c r="AW2339">
        <v>0</v>
      </c>
      <c r="AY2339">
        <v>0</v>
      </c>
      <c r="AZ2339">
        <v>0</v>
      </c>
      <c r="BA2339">
        <v>60</v>
      </c>
      <c r="BE2339" t="str">
        <f>T("9791137019256")</f>
        <v>9791137019256</v>
      </c>
      <c r="BF2339" t="str">
        <f>T("k315159")</f>
        <v>k315159</v>
      </c>
      <c r="BG2339" t="str">
        <f>T("판타지 웹소설 &gt; 정통 판타지")</f>
        <v>판타지 웹소설 &gt; 정통 판타지</v>
      </c>
    </row>
    <row r="2340" spans="1:59">
      <c r="A2340" t="s">
        <v>60</v>
      </c>
      <c r="B2340" s="1">
        <v>46131</v>
      </c>
      <c r="C2340">
        <v>2378066888</v>
      </c>
      <c r="D2340">
        <v>2378066936</v>
      </c>
      <c r="E2340" t="str">
        <f>T("마법사왕 아서 49화")</f>
        <v>마법사왕 아서 49화</v>
      </c>
      <c r="F2340">
        <v>49</v>
      </c>
      <c r="G2340" t="str">
        <f>T("하란사")</f>
        <v>하란사</v>
      </c>
      <c r="J2340" t="str">
        <f>T("매드햇")</f>
        <v>매드햇</v>
      </c>
      <c r="K2340" t="str">
        <f>T("마법사왕 아서")</f>
        <v>마법사왕 아서</v>
      </c>
      <c r="L2340">
        <v>100</v>
      </c>
      <c r="M2340">
        <v>100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100</v>
      </c>
      <c r="AJ2340">
        <v>1</v>
      </c>
      <c r="AK2340">
        <v>0</v>
      </c>
      <c r="AL2340">
        <v>0</v>
      </c>
      <c r="AM2340">
        <v>100</v>
      </c>
      <c r="AN2340">
        <v>0</v>
      </c>
      <c r="AO2340">
        <v>0</v>
      </c>
      <c r="AP2340">
        <v>0</v>
      </c>
      <c r="AQ2340">
        <v>0</v>
      </c>
      <c r="AS2340">
        <v>0</v>
      </c>
      <c r="AT2340">
        <v>0</v>
      </c>
      <c r="AV2340">
        <v>0</v>
      </c>
      <c r="AW2340">
        <v>0</v>
      </c>
      <c r="AY2340">
        <v>0</v>
      </c>
      <c r="AZ2340">
        <v>0</v>
      </c>
      <c r="BA2340">
        <v>60</v>
      </c>
      <c r="BE2340" t="str">
        <f>T("9791137019256")</f>
        <v>9791137019256</v>
      </c>
      <c r="BF2340" t="str">
        <f>T("k315160")</f>
        <v>k315160</v>
      </c>
      <c r="BG2340" t="str">
        <f>T("판타지 웹소설 &gt; 정통 판타지")</f>
        <v>판타지 웹소설 &gt; 정통 판타지</v>
      </c>
    </row>
    <row r="2341" spans="1:59">
      <c r="A2341" t="s">
        <v>60</v>
      </c>
      <c r="B2341" s="1">
        <v>46131</v>
      </c>
      <c r="C2341">
        <v>2378066888</v>
      </c>
      <c r="D2341">
        <v>2378066937</v>
      </c>
      <c r="E2341" t="str">
        <f>T("마법사왕 아서 50화")</f>
        <v>마법사왕 아서 50화</v>
      </c>
      <c r="F2341">
        <v>50</v>
      </c>
      <c r="G2341" t="str">
        <f>T("하란사")</f>
        <v>하란사</v>
      </c>
      <c r="J2341" t="str">
        <f>T("매드햇")</f>
        <v>매드햇</v>
      </c>
      <c r="K2341" t="str">
        <f>T("마법사왕 아서")</f>
        <v>마법사왕 아서</v>
      </c>
      <c r="L2341">
        <v>100</v>
      </c>
      <c r="M2341">
        <v>100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100</v>
      </c>
      <c r="AJ2341">
        <v>1</v>
      </c>
      <c r="AK2341">
        <v>0</v>
      </c>
      <c r="AL2341">
        <v>0</v>
      </c>
      <c r="AM2341">
        <v>100</v>
      </c>
      <c r="AN2341">
        <v>0</v>
      </c>
      <c r="AO2341">
        <v>0</v>
      </c>
      <c r="AP2341">
        <v>0</v>
      </c>
      <c r="AQ2341">
        <v>0</v>
      </c>
      <c r="AS2341">
        <v>0</v>
      </c>
      <c r="AT2341">
        <v>0</v>
      </c>
      <c r="AV2341">
        <v>0</v>
      </c>
      <c r="AW2341">
        <v>0</v>
      </c>
      <c r="AY2341">
        <v>0</v>
      </c>
      <c r="AZ2341">
        <v>0</v>
      </c>
      <c r="BA2341">
        <v>60</v>
      </c>
      <c r="BE2341" t="str">
        <f>T("9791137019256")</f>
        <v>9791137019256</v>
      </c>
      <c r="BF2341" t="str">
        <f>T("k315161")</f>
        <v>k315161</v>
      </c>
      <c r="BG2341" t="str">
        <f>T("판타지 웹소설 &gt; 정통 판타지")</f>
        <v>판타지 웹소설 &gt; 정통 판타지</v>
      </c>
    </row>
    <row r="2342" spans="1:59">
      <c r="A2342" t="s">
        <v>60</v>
      </c>
      <c r="B2342" s="1">
        <v>46131</v>
      </c>
      <c r="C2342">
        <v>2378066888</v>
      </c>
      <c r="D2342">
        <v>2378066938</v>
      </c>
      <c r="E2342" t="str">
        <f>T("마법사왕 아서 51화")</f>
        <v>마법사왕 아서 51화</v>
      </c>
      <c r="F2342">
        <v>51</v>
      </c>
      <c r="G2342" t="str">
        <f>T("하란사")</f>
        <v>하란사</v>
      </c>
      <c r="J2342" t="str">
        <f>T("매드햇")</f>
        <v>매드햇</v>
      </c>
      <c r="K2342" t="str">
        <f>T("마법사왕 아서")</f>
        <v>마법사왕 아서</v>
      </c>
      <c r="L2342">
        <v>100</v>
      </c>
      <c r="M2342">
        <v>100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100</v>
      </c>
      <c r="AJ2342">
        <v>1</v>
      </c>
      <c r="AK2342">
        <v>0</v>
      </c>
      <c r="AL2342">
        <v>0</v>
      </c>
      <c r="AM2342">
        <v>100</v>
      </c>
      <c r="AN2342">
        <v>0</v>
      </c>
      <c r="AO2342">
        <v>0</v>
      </c>
      <c r="AP2342">
        <v>0</v>
      </c>
      <c r="AQ2342">
        <v>0</v>
      </c>
      <c r="AS2342">
        <v>0</v>
      </c>
      <c r="AT2342">
        <v>0</v>
      </c>
      <c r="AV2342">
        <v>0</v>
      </c>
      <c r="AW2342">
        <v>0</v>
      </c>
      <c r="AY2342">
        <v>0</v>
      </c>
      <c r="AZ2342">
        <v>0</v>
      </c>
      <c r="BA2342">
        <v>60</v>
      </c>
      <c r="BE2342" t="str">
        <f>T("9791137019256")</f>
        <v>9791137019256</v>
      </c>
      <c r="BF2342" t="str">
        <f>T("k315162")</f>
        <v>k315162</v>
      </c>
      <c r="BG2342" t="str">
        <f>T("판타지 웹소설 &gt; 정통 판타지")</f>
        <v>판타지 웹소설 &gt; 정통 판타지</v>
      </c>
    </row>
    <row r="2343" spans="1:59">
      <c r="A2343" t="s">
        <v>60</v>
      </c>
      <c r="B2343" s="1">
        <v>46131</v>
      </c>
      <c r="C2343">
        <v>2378066888</v>
      </c>
      <c r="D2343">
        <v>2378066939</v>
      </c>
      <c r="E2343" t="str">
        <f>T("마법사왕 아서 52화")</f>
        <v>마법사왕 아서 52화</v>
      </c>
      <c r="F2343">
        <v>52</v>
      </c>
      <c r="G2343" t="str">
        <f>T("하란사")</f>
        <v>하란사</v>
      </c>
      <c r="J2343" t="str">
        <f>T("매드햇")</f>
        <v>매드햇</v>
      </c>
      <c r="K2343" t="str">
        <f>T("마법사왕 아서")</f>
        <v>마법사왕 아서</v>
      </c>
      <c r="L2343">
        <v>100</v>
      </c>
      <c r="M2343">
        <v>100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100</v>
      </c>
      <c r="AJ2343">
        <v>1</v>
      </c>
      <c r="AK2343">
        <v>0</v>
      </c>
      <c r="AL2343">
        <v>0</v>
      </c>
      <c r="AM2343">
        <v>100</v>
      </c>
      <c r="AN2343">
        <v>0</v>
      </c>
      <c r="AO2343">
        <v>0</v>
      </c>
      <c r="AP2343">
        <v>0</v>
      </c>
      <c r="AQ2343">
        <v>0</v>
      </c>
      <c r="AS2343">
        <v>0</v>
      </c>
      <c r="AT2343">
        <v>0</v>
      </c>
      <c r="AV2343">
        <v>0</v>
      </c>
      <c r="AW2343">
        <v>0</v>
      </c>
      <c r="AY2343">
        <v>0</v>
      </c>
      <c r="AZ2343">
        <v>0</v>
      </c>
      <c r="BA2343">
        <v>60</v>
      </c>
      <c r="BE2343" t="str">
        <f>T("9791137019256")</f>
        <v>9791137019256</v>
      </c>
      <c r="BF2343" t="str">
        <f>T("k315163")</f>
        <v>k315163</v>
      </c>
      <c r="BG2343" t="str">
        <f>T("판타지 웹소설 &gt; 정통 판타지")</f>
        <v>판타지 웹소설 &gt; 정통 판타지</v>
      </c>
    </row>
    <row r="2344" spans="1:59">
      <c r="A2344" t="s">
        <v>60</v>
      </c>
      <c r="B2344" s="1">
        <v>46131</v>
      </c>
      <c r="C2344">
        <v>2378066888</v>
      </c>
      <c r="D2344">
        <v>2378066940</v>
      </c>
      <c r="E2344" t="str">
        <f>T("마법사왕 아서 53화")</f>
        <v>마법사왕 아서 53화</v>
      </c>
      <c r="F2344">
        <v>53</v>
      </c>
      <c r="G2344" t="str">
        <f>T("하란사")</f>
        <v>하란사</v>
      </c>
      <c r="J2344" t="str">
        <f>T("매드햇")</f>
        <v>매드햇</v>
      </c>
      <c r="K2344" t="str">
        <f>T("마법사왕 아서")</f>
        <v>마법사왕 아서</v>
      </c>
      <c r="L2344">
        <v>100</v>
      </c>
      <c r="M2344">
        <v>100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100</v>
      </c>
      <c r="AJ2344">
        <v>1</v>
      </c>
      <c r="AK2344">
        <v>0</v>
      </c>
      <c r="AL2344">
        <v>0</v>
      </c>
      <c r="AM2344">
        <v>100</v>
      </c>
      <c r="AN2344">
        <v>0</v>
      </c>
      <c r="AO2344">
        <v>0</v>
      </c>
      <c r="AP2344">
        <v>0</v>
      </c>
      <c r="AQ2344">
        <v>0</v>
      </c>
      <c r="AS2344">
        <v>0</v>
      </c>
      <c r="AT2344">
        <v>0</v>
      </c>
      <c r="AV2344">
        <v>0</v>
      </c>
      <c r="AW2344">
        <v>0</v>
      </c>
      <c r="AY2344">
        <v>0</v>
      </c>
      <c r="AZ2344">
        <v>0</v>
      </c>
      <c r="BA2344">
        <v>60</v>
      </c>
      <c r="BE2344" t="str">
        <f>T("9791137019256")</f>
        <v>9791137019256</v>
      </c>
      <c r="BF2344" t="str">
        <f>T("k315164")</f>
        <v>k315164</v>
      </c>
      <c r="BG2344" t="str">
        <f>T("판타지 웹소설 &gt; 정통 판타지")</f>
        <v>판타지 웹소설 &gt; 정통 판타지</v>
      </c>
    </row>
    <row r="2345" spans="1:59">
      <c r="A2345" t="s">
        <v>60</v>
      </c>
      <c r="B2345" s="1">
        <v>46131</v>
      </c>
      <c r="C2345">
        <v>2378066888</v>
      </c>
      <c r="D2345">
        <v>2378066941</v>
      </c>
      <c r="E2345" t="str">
        <f>T("마법사왕 아서 54화")</f>
        <v>마법사왕 아서 54화</v>
      </c>
      <c r="F2345">
        <v>54</v>
      </c>
      <c r="G2345" t="str">
        <f>T("하란사")</f>
        <v>하란사</v>
      </c>
      <c r="J2345" t="str">
        <f>T("매드햇")</f>
        <v>매드햇</v>
      </c>
      <c r="K2345" t="str">
        <f>T("마법사왕 아서")</f>
        <v>마법사왕 아서</v>
      </c>
      <c r="L2345">
        <v>100</v>
      </c>
      <c r="M2345">
        <v>100</v>
      </c>
      <c r="N2345">
        <v>1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100</v>
      </c>
      <c r="AJ2345">
        <v>1</v>
      </c>
      <c r="AK2345">
        <v>0</v>
      </c>
      <c r="AL2345">
        <v>0</v>
      </c>
      <c r="AM2345">
        <v>100</v>
      </c>
      <c r="AN2345">
        <v>0</v>
      </c>
      <c r="AO2345">
        <v>0</v>
      </c>
      <c r="AP2345">
        <v>0</v>
      </c>
      <c r="AQ2345">
        <v>0</v>
      </c>
      <c r="AS2345">
        <v>0</v>
      </c>
      <c r="AT2345">
        <v>0</v>
      </c>
      <c r="AV2345">
        <v>0</v>
      </c>
      <c r="AW2345">
        <v>0</v>
      </c>
      <c r="AY2345">
        <v>0</v>
      </c>
      <c r="AZ2345">
        <v>0</v>
      </c>
      <c r="BA2345">
        <v>60</v>
      </c>
      <c r="BE2345" t="str">
        <f>T("9791137019256")</f>
        <v>9791137019256</v>
      </c>
      <c r="BF2345" t="str">
        <f>T("k315165")</f>
        <v>k315165</v>
      </c>
      <c r="BG2345" t="str">
        <f>T("판타지 웹소설 &gt; 정통 판타지")</f>
        <v>판타지 웹소설 &gt; 정통 판타지</v>
      </c>
    </row>
    <row r="2346" spans="1:59">
      <c r="A2346" t="s">
        <v>60</v>
      </c>
      <c r="B2346" s="1">
        <v>46131</v>
      </c>
      <c r="C2346">
        <v>2378066888</v>
      </c>
      <c r="D2346">
        <v>2378066942</v>
      </c>
      <c r="E2346" t="str">
        <f>T("마법사왕 아서 55화")</f>
        <v>마법사왕 아서 55화</v>
      </c>
      <c r="F2346">
        <v>55</v>
      </c>
      <c r="G2346" t="str">
        <f>T("하란사")</f>
        <v>하란사</v>
      </c>
      <c r="J2346" t="str">
        <f>T("매드햇")</f>
        <v>매드햇</v>
      </c>
      <c r="K2346" t="str">
        <f>T("마법사왕 아서")</f>
        <v>마법사왕 아서</v>
      </c>
      <c r="L2346">
        <v>100</v>
      </c>
      <c r="M2346">
        <v>100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100</v>
      </c>
      <c r="AJ2346">
        <v>1</v>
      </c>
      <c r="AK2346">
        <v>0</v>
      </c>
      <c r="AL2346">
        <v>0</v>
      </c>
      <c r="AM2346">
        <v>100</v>
      </c>
      <c r="AN2346">
        <v>0</v>
      </c>
      <c r="AO2346">
        <v>0</v>
      </c>
      <c r="AP2346">
        <v>0</v>
      </c>
      <c r="AQ2346">
        <v>0</v>
      </c>
      <c r="AS2346">
        <v>0</v>
      </c>
      <c r="AT2346">
        <v>0</v>
      </c>
      <c r="AV2346">
        <v>0</v>
      </c>
      <c r="AW2346">
        <v>0</v>
      </c>
      <c r="AY2346">
        <v>0</v>
      </c>
      <c r="AZ2346">
        <v>0</v>
      </c>
      <c r="BA2346">
        <v>60</v>
      </c>
      <c r="BE2346" t="str">
        <f>T("9791137019256")</f>
        <v>9791137019256</v>
      </c>
      <c r="BF2346" t="str">
        <f>T("k315166")</f>
        <v>k315166</v>
      </c>
      <c r="BG2346" t="str">
        <f>T("판타지 웹소설 &gt; 정통 판타지")</f>
        <v>판타지 웹소설 &gt; 정통 판타지</v>
      </c>
    </row>
    <row r="2347" spans="1:59">
      <c r="A2347" t="s">
        <v>60</v>
      </c>
      <c r="B2347" s="1">
        <v>46131</v>
      </c>
      <c r="C2347">
        <v>2378066888</v>
      </c>
      <c r="D2347">
        <v>2378066943</v>
      </c>
      <c r="E2347" t="str">
        <f>T("마법사왕 아서 56화")</f>
        <v>마법사왕 아서 56화</v>
      </c>
      <c r="F2347">
        <v>56</v>
      </c>
      <c r="G2347" t="str">
        <f>T("하란사")</f>
        <v>하란사</v>
      </c>
      <c r="J2347" t="str">
        <f>T("매드햇")</f>
        <v>매드햇</v>
      </c>
      <c r="K2347" t="str">
        <f>T("마법사왕 아서")</f>
        <v>마법사왕 아서</v>
      </c>
      <c r="L2347">
        <v>100</v>
      </c>
      <c r="M2347">
        <v>100</v>
      </c>
      <c r="N2347">
        <v>1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100</v>
      </c>
      <c r="AJ2347">
        <v>1</v>
      </c>
      <c r="AK2347">
        <v>0</v>
      </c>
      <c r="AL2347">
        <v>0</v>
      </c>
      <c r="AM2347">
        <v>100</v>
      </c>
      <c r="AN2347">
        <v>0</v>
      </c>
      <c r="AO2347">
        <v>0</v>
      </c>
      <c r="AP2347">
        <v>0</v>
      </c>
      <c r="AQ2347">
        <v>0</v>
      </c>
      <c r="AS2347">
        <v>0</v>
      </c>
      <c r="AT2347">
        <v>0</v>
      </c>
      <c r="AV2347">
        <v>0</v>
      </c>
      <c r="AW2347">
        <v>0</v>
      </c>
      <c r="AY2347">
        <v>0</v>
      </c>
      <c r="AZ2347">
        <v>0</v>
      </c>
      <c r="BA2347">
        <v>60</v>
      </c>
      <c r="BE2347" t="str">
        <f>T("9791137019256")</f>
        <v>9791137019256</v>
      </c>
      <c r="BF2347" t="str">
        <f>T("k315167")</f>
        <v>k315167</v>
      </c>
      <c r="BG2347" t="str">
        <f>T("판타지 웹소설 &gt; 정통 판타지")</f>
        <v>판타지 웹소설 &gt; 정통 판타지</v>
      </c>
    </row>
    <row r="2348" spans="1:59">
      <c r="A2348" t="s">
        <v>60</v>
      </c>
      <c r="B2348" s="1">
        <v>46131</v>
      </c>
      <c r="C2348">
        <v>2378066888</v>
      </c>
      <c r="D2348">
        <v>2378066944</v>
      </c>
      <c r="E2348" t="str">
        <f>T("마법사왕 아서 57화")</f>
        <v>마법사왕 아서 57화</v>
      </c>
      <c r="F2348">
        <v>57</v>
      </c>
      <c r="G2348" t="str">
        <f>T("하란사")</f>
        <v>하란사</v>
      </c>
      <c r="J2348" t="str">
        <f>T("매드햇")</f>
        <v>매드햇</v>
      </c>
      <c r="K2348" t="str">
        <f>T("마법사왕 아서")</f>
        <v>마법사왕 아서</v>
      </c>
      <c r="L2348">
        <v>100</v>
      </c>
      <c r="M2348">
        <v>100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100</v>
      </c>
      <c r="AJ2348">
        <v>1</v>
      </c>
      <c r="AK2348">
        <v>0</v>
      </c>
      <c r="AL2348">
        <v>0</v>
      </c>
      <c r="AM2348">
        <v>100</v>
      </c>
      <c r="AN2348">
        <v>0</v>
      </c>
      <c r="AO2348">
        <v>0</v>
      </c>
      <c r="AP2348">
        <v>0</v>
      </c>
      <c r="AQ2348">
        <v>0</v>
      </c>
      <c r="AS2348">
        <v>0</v>
      </c>
      <c r="AT2348">
        <v>0</v>
      </c>
      <c r="AV2348">
        <v>0</v>
      </c>
      <c r="AW2348">
        <v>0</v>
      </c>
      <c r="AY2348">
        <v>0</v>
      </c>
      <c r="AZ2348">
        <v>0</v>
      </c>
      <c r="BA2348">
        <v>60</v>
      </c>
      <c r="BE2348" t="str">
        <f>T("9791137019256")</f>
        <v>9791137019256</v>
      </c>
      <c r="BF2348" t="str">
        <f>T("k315168")</f>
        <v>k315168</v>
      </c>
      <c r="BG2348" t="str">
        <f>T("판타지 웹소설 &gt; 정통 판타지")</f>
        <v>판타지 웹소설 &gt; 정통 판타지</v>
      </c>
    </row>
    <row r="2349" spans="1:59">
      <c r="A2349" t="s">
        <v>60</v>
      </c>
      <c r="B2349" s="1">
        <v>46131</v>
      </c>
      <c r="C2349">
        <v>2378066888</v>
      </c>
      <c r="D2349">
        <v>2378066945</v>
      </c>
      <c r="E2349" t="str">
        <f>T("마법사왕 아서 58화")</f>
        <v>마법사왕 아서 58화</v>
      </c>
      <c r="F2349">
        <v>58</v>
      </c>
      <c r="G2349" t="str">
        <f>T("하란사")</f>
        <v>하란사</v>
      </c>
      <c r="J2349" t="str">
        <f>T("매드햇")</f>
        <v>매드햇</v>
      </c>
      <c r="K2349" t="str">
        <f>T("마법사왕 아서")</f>
        <v>마법사왕 아서</v>
      </c>
      <c r="L2349">
        <v>100</v>
      </c>
      <c r="M2349">
        <v>100</v>
      </c>
      <c r="N2349">
        <v>1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100</v>
      </c>
      <c r="AJ2349">
        <v>1</v>
      </c>
      <c r="AK2349">
        <v>0</v>
      </c>
      <c r="AL2349">
        <v>0</v>
      </c>
      <c r="AM2349">
        <v>100</v>
      </c>
      <c r="AN2349">
        <v>0</v>
      </c>
      <c r="AO2349">
        <v>0</v>
      </c>
      <c r="AP2349">
        <v>0</v>
      </c>
      <c r="AQ2349">
        <v>0</v>
      </c>
      <c r="AS2349">
        <v>0</v>
      </c>
      <c r="AT2349">
        <v>0</v>
      </c>
      <c r="AV2349">
        <v>0</v>
      </c>
      <c r="AW2349">
        <v>0</v>
      </c>
      <c r="AY2349">
        <v>0</v>
      </c>
      <c r="AZ2349">
        <v>0</v>
      </c>
      <c r="BA2349">
        <v>60</v>
      </c>
      <c r="BE2349" t="str">
        <f>T("9791137019256")</f>
        <v>9791137019256</v>
      </c>
      <c r="BF2349" t="str">
        <f>T("k315169")</f>
        <v>k315169</v>
      </c>
      <c r="BG2349" t="str">
        <f>T("판타지 웹소설 &gt; 정통 판타지")</f>
        <v>판타지 웹소설 &gt; 정통 판타지</v>
      </c>
    </row>
    <row r="2350" spans="1:59">
      <c r="A2350" t="s">
        <v>60</v>
      </c>
      <c r="B2350" s="1">
        <v>46131</v>
      </c>
      <c r="C2350">
        <v>2378066888</v>
      </c>
      <c r="D2350">
        <v>2378066946</v>
      </c>
      <c r="E2350" t="str">
        <f>T("마법사왕 아서 59화")</f>
        <v>마법사왕 아서 59화</v>
      </c>
      <c r="F2350">
        <v>59</v>
      </c>
      <c r="G2350" t="str">
        <f>T("하란사")</f>
        <v>하란사</v>
      </c>
      <c r="J2350" t="str">
        <f>T("매드햇")</f>
        <v>매드햇</v>
      </c>
      <c r="K2350" t="str">
        <f>T("마법사왕 아서")</f>
        <v>마법사왕 아서</v>
      </c>
      <c r="L2350">
        <v>100</v>
      </c>
      <c r="M2350">
        <v>100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100</v>
      </c>
      <c r="AJ2350">
        <v>1</v>
      </c>
      <c r="AK2350">
        <v>0</v>
      </c>
      <c r="AL2350">
        <v>0</v>
      </c>
      <c r="AM2350">
        <v>100</v>
      </c>
      <c r="AN2350">
        <v>0</v>
      </c>
      <c r="AO2350">
        <v>0</v>
      </c>
      <c r="AP2350">
        <v>0</v>
      </c>
      <c r="AQ2350">
        <v>0</v>
      </c>
      <c r="AS2350">
        <v>0</v>
      </c>
      <c r="AT2350">
        <v>0</v>
      </c>
      <c r="AV2350">
        <v>0</v>
      </c>
      <c r="AW2350">
        <v>0</v>
      </c>
      <c r="AY2350">
        <v>0</v>
      </c>
      <c r="AZ2350">
        <v>0</v>
      </c>
      <c r="BA2350">
        <v>60</v>
      </c>
      <c r="BE2350" t="str">
        <f>T("9791137019256")</f>
        <v>9791137019256</v>
      </c>
      <c r="BF2350" t="str">
        <f>T("k315170")</f>
        <v>k315170</v>
      </c>
      <c r="BG2350" t="str">
        <f>T("판타지 웹소설 &gt; 정통 판타지")</f>
        <v>판타지 웹소설 &gt; 정통 판타지</v>
      </c>
    </row>
    <row r="2351" spans="1:59">
      <c r="A2351" t="s">
        <v>60</v>
      </c>
      <c r="B2351" s="1">
        <v>46131</v>
      </c>
      <c r="C2351">
        <v>2378066888</v>
      </c>
      <c r="D2351">
        <v>2378066947</v>
      </c>
      <c r="E2351" t="str">
        <f>T("마법사왕 아서 60화")</f>
        <v>마법사왕 아서 60화</v>
      </c>
      <c r="F2351">
        <v>60</v>
      </c>
      <c r="G2351" t="str">
        <f>T("하란사")</f>
        <v>하란사</v>
      </c>
      <c r="J2351" t="str">
        <f>T("매드햇")</f>
        <v>매드햇</v>
      </c>
      <c r="K2351" t="str">
        <f>T("마법사왕 아서")</f>
        <v>마법사왕 아서</v>
      </c>
      <c r="L2351">
        <v>100</v>
      </c>
      <c r="M2351">
        <v>100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100</v>
      </c>
      <c r="AJ2351">
        <v>1</v>
      </c>
      <c r="AK2351">
        <v>0</v>
      </c>
      <c r="AL2351">
        <v>0</v>
      </c>
      <c r="AM2351">
        <v>100</v>
      </c>
      <c r="AN2351">
        <v>0</v>
      </c>
      <c r="AO2351">
        <v>0</v>
      </c>
      <c r="AP2351">
        <v>0</v>
      </c>
      <c r="AQ2351">
        <v>0</v>
      </c>
      <c r="AS2351">
        <v>0</v>
      </c>
      <c r="AT2351">
        <v>0</v>
      </c>
      <c r="AV2351">
        <v>0</v>
      </c>
      <c r="AW2351">
        <v>0</v>
      </c>
      <c r="AY2351">
        <v>0</v>
      </c>
      <c r="AZ2351">
        <v>0</v>
      </c>
      <c r="BA2351">
        <v>60</v>
      </c>
      <c r="BE2351" t="str">
        <f>T("9791137019256")</f>
        <v>9791137019256</v>
      </c>
      <c r="BF2351" t="str">
        <f>T("k315171")</f>
        <v>k315171</v>
      </c>
      <c r="BG2351" t="str">
        <f>T("판타지 웹소설 &gt; 정통 판타지")</f>
        <v>판타지 웹소설 &gt; 정통 판타지</v>
      </c>
    </row>
    <row r="2352" spans="1:59">
      <c r="A2352" t="s">
        <v>60</v>
      </c>
      <c r="B2352" s="1">
        <v>46131</v>
      </c>
      <c r="C2352">
        <v>2378066888</v>
      </c>
      <c r="D2352">
        <v>2378066948</v>
      </c>
      <c r="E2352" t="str">
        <f>T("마법사왕 아서 61화")</f>
        <v>마법사왕 아서 61화</v>
      </c>
      <c r="F2352">
        <v>61</v>
      </c>
      <c r="G2352" t="str">
        <f>T("하란사")</f>
        <v>하란사</v>
      </c>
      <c r="J2352" t="str">
        <f>T("매드햇")</f>
        <v>매드햇</v>
      </c>
      <c r="K2352" t="str">
        <f>T("마법사왕 아서")</f>
        <v>마법사왕 아서</v>
      </c>
      <c r="L2352">
        <v>100</v>
      </c>
      <c r="M2352">
        <v>100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100</v>
      </c>
      <c r="AJ2352">
        <v>1</v>
      </c>
      <c r="AK2352">
        <v>0</v>
      </c>
      <c r="AL2352">
        <v>0</v>
      </c>
      <c r="AM2352">
        <v>100</v>
      </c>
      <c r="AN2352">
        <v>0</v>
      </c>
      <c r="AO2352">
        <v>0</v>
      </c>
      <c r="AP2352">
        <v>0</v>
      </c>
      <c r="AQ2352">
        <v>0</v>
      </c>
      <c r="AS2352">
        <v>0</v>
      </c>
      <c r="AT2352">
        <v>0</v>
      </c>
      <c r="AV2352">
        <v>0</v>
      </c>
      <c r="AW2352">
        <v>0</v>
      </c>
      <c r="AY2352">
        <v>0</v>
      </c>
      <c r="AZ2352">
        <v>0</v>
      </c>
      <c r="BA2352">
        <v>60</v>
      </c>
      <c r="BE2352" t="str">
        <f>T("9791137019256")</f>
        <v>9791137019256</v>
      </c>
      <c r="BF2352" t="str">
        <f>T("k315172")</f>
        <v>k315172</v>
      </c>
      <c r="BG2352" t="str">
        <f>T("판타지 웹소설 &gt; 정통 판타지")</f>
        <v>판타지 웹소설 &gt; 정통 판타지</v>
      </c>
    </row>
    <row r="2353" spans="1:59">
      <c r="A2353" t="s">
        <v>60</v>
      </c>
      <c r="B2353" s="1">
        <v>46131</v>
      </c>
      <c r="C2353">
        <v>2378066888</v>
      </c>
      <c r="D2353">
        <v>2378066949</v>
      </c>
      <c r="E2353" t="str">
        <f>T("마법사왕 아서 62화")</f>
        <v>마법사왕 아서 62화</v>
      </c>
      <c r="F2353">
        <v>62</v>
      </c>
      <c r="G2353" t="str">
        <f>T("하란사")</f>
        <v>하란사</v>
      </c>
      <c r="J2353" t="str">
        <f>T("매드햇")</f>
        <v>매드햇</v>
      </c>
      <c r="K2353" t="str">
        <f>T("마법사왕 아서")</f>
        <v>마법사왕 아서</v>
      </c>
      <c r="L2353">
        <v>100</v>
      </c>
      <c r="M2353">
        <v>100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100</v>
      </c>
      <c r="AJ2353">
        <v>1</v>
      </c>
      <c r="AK2353">
        <v>0</v>
      </c>
      <c r="AL2353">
        <v>0</v>
      </c>
      <c r="AM2353">
        <v>100</v>
      </c>
      <c r="AN2353">
        <v>0</v>
      </c>
      <c r="AO2353">
        <v>0</v>
      </c>
      <c r="AP2353">
        <v>0</v>
      </c>
      <c r="AQ2353">
        <v>0</v>
      </c>
      <c r="AS2353">
        <v>0</v>
      </c>
      <c r="AT2353">
        <v>0</v>
      </c>
      <c r="AV2353">
        <v>0</v>
      </c>
      <c r="AW2353">
        <v>0</v>
      </c>
      <c r="AY2353">
        <v>0</v>
      </c>
      <c r="AZ2353">
        <v>0</v>
      </c>
      <c r="BA2353">
        <v>60</v>
      </c>
      <c r="BE2353" t="str">
        <f>T("9791137019256")</f>
        <v>9791137019256</v>
      </c>
      <c r="BF2353" t="str">
        <f>T("k315173")</f>
        <v>k315173</v>
      </c>
      <c r="BG2353" t="str">
        <f>T("판타지 웹소설 &gt; 정통 판타지")</f>
        <v>판타지 웹소설 &gt; 정통 판타지</v>
      </c>
    </row>
    <row r="2354" spans="1:59">
      <c r="A2354" t="s">
        <v>60</v>
      </c>
      <c r="B2354" s="1">
        <v>46131</v>
      </c>
      <c r="C2354">
        <v>2378066888</v>
      </c>
      <c r="D2354">
        <v>2378066950</v>
      </c>
      <c r="E2354" t="str">
        <f>T("마법사왕 아서 63화")</f>
        <v>마법사왕 아서 63화</v>
      </c>
      <c r="F2354">
        <v>63</v>
      </c>
      <c r="G2354" t="str">
        <f>T("하란사")</f>
        <v>하란사</v>
      </c>
      <c r="J2354" t="str">
        <f>T("매드햇")</f>
        <v>매드햇</v>
      </c>
      <c r="K2354" t="str">
        <f>T("마법사왕 아서")</f>
        <v>마법사왕 아서</v>
      </c>
      <c r="L2354">
        <v>100</v>
      </c>
      <c r="M2354">
        <v>100</v>
      </c>
      <c r="N2354">
        <v>1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100</v>
      </c>
      <c r="AJ2354">
        <v>1</v>
      </c>
      <c r="AK2354">
        <v>0</v>
      </c>
      <c r="AL2354">
        <v>0</v>
      </c>
      <c r="AM2354">
        <v>100</v>
      </c>
      <c r="AN2354">
        <v>0</v>
      </c>
      <c r="AO2354">
        <v>0</v>
      </c>
      <c r="AP2354">
        <v>0</v>
      </c>
      <c r="AQ2354">
        <v>0</v>
      </c>
      <c r="AS2354">
        <v>0</v>
      </c>
      <c r="AT2354">
        <v>0</v>
      </c>
      <c r="AV2354">
        <v>0</v>
      </c>
      <c r="AW2354">
        <v>0</v>
      </c>
      <c r="AY2354">
        <v>0</v>
      </c>
      <c r="AZ2354">
        <v>0</v>
      </c>
      <c r="BA2354">
        <v>60</v>
      </c>
      <c r="BE2354" t="str">
        <f>T("9791137019256")</f>
        <v>9791137019256</v>
      </c>
      <c r="BF2354" t="str">
        <f>T("k315174")</f>
        <v>k315174</v>
      </c>
      <c r="BG2354" t="str">
        <f>T("판타지 웹소설 &gt; 정통 판타지")</f>
        <v>판타지 웹소설 &gt; 정통 판타지</v>
      </c>
    </row>
    <row r="2355" spans="1:59">
      <c r="A2355" t="s">
        <v>60</v>
      </c>
      <c r="B2355" s="1">
        <v>46131</v>
      </c>
      <c r="C2355">
        <v>2378066888</v>
      </c>
      <c r="D2355">
        <v>2378066951</v>
      </c>
      <c r="E2355" t="str">
        <f>T("마법사왕 아서 64화")</f>
        <v>마법사왕 아서 64화</v>
      </c>
      <c r="F2355">
        <v>64</v>
      </c>
      <c r="G2355" t="str">
        <f>T("하란사")</f>
        <v>하란사</v>
      </c>
      <c r="J2355" t="str">
        <f>T("매드햇")</f>
        <v>매드햇</v>
      </c>
      <c r="K2355" t="str">
        <f>T("마법사왕 아서")</f>
        <v>마법사왕 아서</v>
      </c>
      <c r="L2355">
        <v>100</v>
      </c>
      <c r="M2355">
        <v>100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100</v>
      </c>
      <c r="AJ2355">
        <v>1</v>
      </c>
      <c r="AK2355">
        <v>0</v>
      </c>
      <c r="AL2355">
        <v>0</v>
      </c>
      <c r="AM2355">
        <v>100</v>
      </c>
      <c r="AN2355">
        <v>0</v>
      </c>
      <c r="AO2355">
        <v>0</v>
      </c>
      <c r="AP2355">
        <v>0</v>
      </c>
      <c r="AQ2355">
        <v>0</v>
      </c>
      <c r="AS2355">
        <v>0</v>
      </c>
      <c r="AT2355">
        <v>0</v>
      </c>
      <c r="AV2355">
        <v>0</v>
      </c>
      <c r="AW2355">
        <v>0</v>
      </c>
      <c r="AY2355">
        <v>0</v>
      </c>
      <c r="AZ2355">
        <v>0</v>
      </c>
      <c r="BA2355">
        <v>60</v>
      </c>
      <c r="BE2355" t="str">
        <f>T("9791137019256")</f>
        <v>9791137019256</v>
      </c>
      <c r="BF2355" t="str">
        <f>T("k315175")</f>
        <v>k315175</v>
      </c>
      <c r="BG2355" t="str">
        <f>T("판타지 웹소설 &gt; 정통 판타지")</f>
        <v>판타지 웹소설 &gt; 정통 판타지</v>
      </c>
    </row>
    <row r="2356" spans="1:59">
      <c r="A2356" t="s">
        <v>60</v>
      </c>
      <c r="B2356" s="1">
        <v>46131</v>
      </c>
      <c r="C2356">
        <v>2378066888</v>
      </c>
      <c r="D2356">
        <v>2378066952</v>
      </c>
      <c r="E2356" t="str">
        <f>T("마법사왕 아서 65화")</f>
        <v>마법사왕 아서 65화</v>
      </c>
      <c r="F2356">
        <v>65</v>
      </c>
      <c r="G2356" t="str">
        <f>T("하란사")</f>
        <v>하란사</v>
      </c>
      <c r="J2356" t="str">
        <f>T("매드햇")</f>
        <v>매드햇</v>
      </c>
      <c r="K2356" t="str">
        <f>T("마법사왕 아서")</f>
        <v>마법사왕 아서</v>
      </c>
      <c r="L2356">
        <v>100</v>
      </c>
      <c r="M2356">
        <v>100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100</v>
      </c>
      <c r="AJ2356">
        <v>1</v>
      </c>
      <c r="AK2356">
        <v>0</v>
      </c>
      <c r="AL2356">
        <v>0</v>
      </c>
      <c r="AM2356">
        <v>100</v>
      </c>
      <c r="AN2356">
        <v>0</v>
      </c>
      <c r="AO2356">
        <v>0</v>
      </c>
      <c r="AP2356">
        <v>0</v>
      </c>
      <c r="AQ2356">
        <v>0</v>
      </c>
      <c r="AS2356">
        <v>0</v>
      </c>
      <c r="AT2356">
        <v>0</v>
      </c>
      <c r="AV2356">
        <v>0</v>
      </c>
      <c r="AW2356">
        <v>0</v>
      </c>
      <c r="AY2356">
        <v>0</v>
      </c>
      <c r="AZ2356">
        <v>0</v>
      </c>
      <c r="BA2356">
        <v>60</v>
      </c>
      <c r="BE2356" t="str">
        <f>T("9791137019256")</f>
        <v>9791137019256</v>
      </c>
      <c r="BF2356" t="str">
        <f>T("k315176")</f>
        <v>k315176</v>
      </c>
      <c r="BG2356" t="str">
        <f>T("판타지 웹소설 &gt; 정통 판타지")</f>
        <v>판타지 웹소설 &gt; 정통 판타지</v>
      </c>
    </row>
    <row r="2357" spans="1:59">
      <c r="A2357" t="s">
        <v>60</v>
      </c>
      <c r="B2357" s="1">
        <v>46131</v>
      </c>
      <c r="C2357">
        <v>2378066888</v>
      </c>
      <c r="D2357">
        <v>2378066953</v>
      </c>
      <c r="E2357" t="str">
        <f>T("마법사왕 아서 66화")</f>
        <v>마법사왕 아서 66화</v>
      </c>
      <c r="F2357">
        <v>66</v>
      </c>
      <c r="G2357" t="str">
        <f>T("하란사")</f>
        <v>하란사</v>
      </c>
      <c r="J2357" t="str">
        <f>T("매드햇")</f>
        <v>매드햇</v>
      </c>
      <c r="K2357" t="str">
        <f>T("마법사왕 아서")</f>
        <v>마법사왕 아서</v>
      </c>
      <c r="L2357">
        <v>100</v>
      </c>
      <c r="M2357">
        <v>100</v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100</v>
      </c>
      <c r="AJ2357">
        <v>1</v>
      </c>
      <c r="AK2357">
        <v>0</v>
      </c>
      <c r="AL2357">
        <v>0</v>
      </c>
      <c r="AM2357">
        <v>100</v>
      </c>
      <c r="AN2357">
        <v>0</v>
      </c>
      <c r="AO2357">
        <v>0</v>
      </c>
      <c r="AP2357">
        <v>0</v>
      </c>
      <c r="AQ2357">
        <v>0</v>
      </c>
      <c r="AS2357">
        <v>0</v>
      </c>
      <c r="AT2357">
        <v>0</v>
      </c>
      <c r="AV2357">
        <v>0</v>
      </c>
      <c r="AW2357">
        <v>0</v>
      </c>
      <c r="AY2357">
        <v>0</v>
      </c>
      <c r="AZ2357">
        <v>0</v>
      </c>
      <c r="BA2357">
        <v>60</v>
      </c>
      <c r="BE2357" t="str">
        <f>T("9791137019256")</f>
        <v>9791137019256</v>
      </c>
      <c r="BF2357" t="str">
        <f>T("k315177")</f>
        <v>k315177</v>
      </c>
      <c r="BG2357" t="str">
        <f>T("판타지 웹소설 &gt; 정통 판타지")</f>
        <v>판타지 웹소설 &gt; 정통 판타지</v>
      </c>
    </row>
    <row r="2358" spans="1:59">
      <c r="A2358" t="s">
        <v>60</v>
      </c>
      <c r="B2358" s="1">
        <v>46131</v>
      </c>
      <c r="C2358">
        <v>2378066888</v>
      </c>
      <c r="D2358">
        <v>2378066954</v>
      </c>
      <c r="E2358" t="str">
        <f>T("마법사왕 아서 67화")</f>
        <v>마법사왕 아서 67화</v>
      </c>
      <c r="F2358">
        <v>67</v>
      </c>
      <c r="G2358" t="str">
        <f>T("하란사")</f>
        <v>하란사</v>
      </c>
      <c r="J2358" t="str">
        <f>T("매드햇")</f>
        <v>매드햇</v>
      </c>
      <c r="K2358" t="str">
        <f>T("마법사왕 아서")</f>
        <v>마법사왕 아서</v>
      </c>
      <c r="L2358">
        <v>100</v>
      </c>
      <c r="M2358">
        <v>100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100</v>
      </c>
      <c r="AJ2358">
        <v>1</v>
      </c>
      <c r="AK2358">
        <v>0</v>
      </c>
      <c r="AL2358">
        <v>0</v>
      </c>
      <c r="AM2358">
        <v>100</v>
      </c>
      <c r="AN2358">
        <v>0</v>
      </c>
      <c r="AO2358">
        <v>0</v>
      </c>
      <c r="AP2358">
        <v>0</v>
      </c>
      <c r="AQ2358">
        <v>0</v>
      </c>
      <c r="AS2358">
        <v>0</v>
      </c>
      <c r="AT2358">
        <v>0</v>
      </c>
      <c r="AV2358">
        <v>0</v>
      </c>
      <c r="AW2358">
        <v>0</v>
      </c>
      <c r="AY2358">
        <v>0</v>
      </c>
      <c r="AZ2358">
        <v>0</v>
      </c>
      <c r="BA2358">
        <v>60</v>
      </c>
      <c r="BE2358" t="str">
        <f>T("9791137019256")</f>
        <v>9791137019256</v>
      </c>
      <c r="BF2358" t="str">
        <f>T("k315178")</f>
        <v>k315178</v>
      </c>
      <c r="BG2358" t="str">
        <f>T("판타지 웹소설 &gt; 정통 판타지")</f>
        <v>판타지 웹소설 &gt; 정통 판타지</v>
      </c>
    </row>
    <row r="2359" spans="1:59">
      <c r="A2359" t="s">
        <v>60</v>
      </c>
      <c r="B2359" s="1">
        <v>46131</v>
      </c>
      <c r="C2359">
        <v>2378066888</v>
      </c>
      <c r="D2359">
        <v>2378066955</v>
      </c>
      <c r="E2359" t="str">
        <f>T("마법사왕 아서 68화")</f>
        <v>마법사왕 아서 68화</v>
      </c>
      <c r="F2359">
        <v>68</v>
      </c>
      <c r="G2359" t="str">
        <f>T("하란사")</f>
        <v>하란사</v>
      </c>
      <c r="J2359" t="str">
        <f>T("매드햇")</f>
        <v>매드햇</v>
      </c>
      <c r="K2359" t="str">
        <f>T("마법사왕 아서")</f>
        <v>마법사왕 아서</v>
      </c>
      <c r="L2359">
        <v>100</v>
      </c>
      <c r="M2359">
        <v>100</v>
      </c>
      <c r="N2359">
        <v>1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100</v>
      </c>
      <c r="AJ2359">
        <v>1</v>
      </c>
      <c r="AK2359">
        <v>0</v>
      </c>
      <c r="AL2359">
        <v>0</v>
      </c>
      <c r="AM2359">
        <v>100</v>
      </c>
      <c r="AN2359">
        <v>0</v>
      </c>
      <c r="AO2359">
        <v>0</v>
      </c>
      <c r="AP2359">
        <v>0</v>
      </c>
      <c r="AQ2359">
        <v>0</v>
      </c>
      <c r="AS2359">
        <v>0</v>
      </c>
      <c r="AT2359">
        <v>0</v>
      </c>
      <c r="AV2359">
        <v>0</v>
      </c>
      <c r="AW2359">
        <v>0</v>
      </c>
      <c r="AY2359">
        <v>0</v>
      </c>
      <c r="AZ2359">
        <v>0</v>
      </c>
      <c r="BA2359">
        <v>60</v>
      </c>
      <c r="BE2359" t="str">
        <f>T("9791137019256")</f>
        <v>9791137019256</v>
      </c>
      <c r="BF2359" t="str">
        <f>T("k315179")</f>
        <v>k315179</v>
      </c>
      <c r="BG2359" t="str">
        <f>T("판타지 웹소설 &gt; 정통 판타지")</f>
        <v>판타지 웹소설 &gt; 정통 판타지</v>
      </c>
    </row>
    <row r="2360" spans="1:59">
      <c r="A2360" t="s">
        <v>60</v>
      </c>
      <c r="B2360" s="1">
        <v>46131</v>
      </c>
      <c r="C2360">
        <v>2378066888</v>
      </c>
      <c r="D2360">
        <v>2378066956</v>
      </c>
      <c r="E2360" t="str">
        <f>T("마법사왕 아서 69화")</f>
        <v>마법사왕 아서 69화</v>
      </c>
      <c r="F2360">
        <v>69</v>
      </c>
      <c r="G2360" t="str">
        <f>T("하란사")</f>
        <v>하란사</v>
      </c>
      <c r="J2360" t="str">
        <f>T("매드햇")</f>
        <v>매드햇</v>
      </c>
      <c r="K2360" t="str">
        <f>T("마법사왕 아서")</f>
        <v>마법사왕 아서</v>
      </c>
      <c r="L2360">
        <v>100</v>
      </c>
      <c r="M2360">
        <v>100</v>
      </c>
      <c r="N2360">
        <v>1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100</v>
      </c>
      <c r="AJ2360">
        <v>1</v>
      </c>
      <c r="AK2360">
        <v>0</v>
      </c>
      <c r="AL2360">
        <v>0</v>
      </c>
      <c r="AM2360">
        <v>100</v>
      </c>
      <c r="AN2360">
        <v>0</v>
      </c>
      <c r="AO2360">
        <v>0</v>
      </c>
      <c r="AP2360">
        <v>0</v>
      </c>
      <c r="AQ2360">
        <v>0</v>
      </c>
      <c r="AS2360">
        <v>0</v>
      </c>
      <c r="AT2360">
        <v>0</v>
      </c>
      <c r="AV2360">
        <v>0</v>
      </c>
      <c r="AW2360">
        <v>0</v>
      </c>
      <c r="AY2360">
        <v>0</v>
      </c>
      <c r="AZ2360">
        <v>0</v>
      </c>
      <c r="BA2360">
        <v>60</v>
      </c>
      <c r="BE2360" t="str">
        <f>T("9791137019256")</f>
        <v>9791137019256</v>
      </c>
      <c r="BF2360" t="str">
        <f>T("k315180")</f>
        <v>k315180</v>
      </c>
      <c r="BG2360" t="str">
        <f>T("판타지 웹소설 &gt; 정통 판타지")</f>
        <v>판타지 웹소설 &gt; 정통 판타지</v>
      </c>
    </row>
    <row r="2361" spans="1:59">
      <c r="A2361" t="s">
        <v>60</v>
      </c>
      <c r="B2361" s="1">
        <v>46131</v>
      </c>
      <c r="C2361">
        <v>2378066888</v>
      </c>
      <c r="D2361">
        <v>2378066957</v>
      </c>
      <c r="E2361" t="str">
        <f>T("마법사왕 아서 70화")</f>
        <v>마법사왕 아서 70화</v>
      </c>
      <c r="F2361">
        <v>70</v>
      </c>
      <c r="G2361" t="str">
        <f>T("하란사")</f>
        <v>하란사</v>
      </c>
      <c r="J2361" t="str">
        <f>T("매드햇")</f>
        <v>매드햇</v>
      </c>
      <c r="K2361" t="str">
        <f>T("마법사왕 아서")</f>
        <v>마법사왕 아서</v>
      </c>
      <c r="L2361">
        <v>100</v>
      </c>
      <c r="M2361">
        <v>100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100</v>
      </c>
      <c r="AJ2361">
        <v>1</v>
      </c>
      <c r="AK2361">
        <v>0</v>
      </c>
      <c r="AL2361">
        <v>0</v>
      </c>
      <c r="AM2361">
        <v>100</v>
      </c>
      <c r="AN2361">
        <v>0</v>
      </c>
      <c r="AO2361">
        <v>0</v>
      </c>
      <c r="AP2361">
        <v>0</v>
      </c>
      <c r="AQ2361">
        <v>0</v>
      </c>
      <c r="AS2361">
        <v>0</v>
      </c>
      <c r="AT2361">
        <v>0</v>
      </c>
      <c r="AV2361">
        <v>0</v>
      </c>
      <c r="AW2361">
        <v>0</v>
      </c>
      <c r="AY2361">
        <v>0</v>
      </c>
      <c r="AZ2361">
        <v>0</v>
      </c>
      <c r="BA2361">
        <v>60</v>
      </c>
      <c r="BE2361" t="str">
        <f>T("9791137019256")</f>
        <v>9791137019256</v>
      </c>
      <c r="BF2361" t="str">
        <f>T("k315181")</f>
        <v>k315181</v>
      </c>
      <c r="BG2361" t="str">
        <f>T("판타지 웹소설 &gt; 정통 판타지")</f>
        <v>판타지 웹소설 &gt; 정통 판타지</v>
      </c>
    </row>
    <row r="2362" spans="1:59">
      <c r="A2362" t="s">
        <v>60</v>
      </c>
      <c r="B2362" s="1">
        <v>46131</v>
      </c>
      <c r="C2362">
        <v>2378066888</v>
      </c>
      <c r="D2362">
        <v>2378066958</v>
      </c>
      <c r="E2362" t="str">
        <f>T("마법사왕 아서 71화")</f>
        <v>마법사왕 아서 71화</v>
      </c>
      <c r="F2362">
        <v>71</v>
      </c>
      <c r="G2362" t="str">
        <f>T("하란사")</f>
        <v>하란사</v>
      </c>
      <c r="J2362" t="str">
        <f>T("매드햇")</f>
        <v>매드햇</v>
      </c>
      <c r="K2362" t="str">
        <f>T("마법사왕 아서")</f>
        <v>마법사왕 아서</v>
      </c>
      <c r="L2362">
        <v>100</v>
      </c>
      <c r="M2362">
        <v>100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100</v>
      </c>
      <c r="AJ2362">
        <v>1</v>
      </c>
      <c r="AK2362">
        <v>0</v>
      </c>
      <c r="AL2362">
        <v>0</v>
      </c>
      <c r="AM2362">
        <v>100</v>
      </c>
      <c r="AN2362">
        <v>0</v>
      </c>
      <c r="AO2362">
        <v>0</v>
      </c>
      <c r="AP2362">
        <v>0</v>
      </c>
      <c r="AQ2362">
        <v>0</v>
      </c>
      <c r="AS2362">
        <v>0</v>
      </c>
      <c r="AT2362">
        <v>0</v>
      </c>
      <c r="AV2362">
        <v>0</v>
      </c>
      <c r="AW2362">
        <v>0</v>
      </c>
      <c r="AY2362">
        <v>0</v>
      </c>
      <c r="AZ2362">
        <v>0</v>
      </c>
      <c r="BA2362">
        <v>60</v>
      </c>
      <c r="BE2362" t="str">
        <f>T("9791137019256")</f>
        <v>9791137019256</v>
      </c>
      <c r="BF2362" t="str">
        <f>T("k315182")</f>
        <v>k315182</v>
      </c>
      <c r="BG2362" t="str">
        <f>T("판타지 웹소설 &gt; 정통 판타지")</f>
        <v>판타지 웹소설 &gt; 정통 판타지</v>
      </c>
    </row>
    <row r="2363" spans="1:59">
      <c r="A2363" t="s">
        <v>60</v>
      </c>
      <c r="B2363" s="1">
        <v>46131</v>
      </c>
      <c r="C2363">
        <v>2378066888</v>
      </c>
      <c r="D2363">
        <v>2378080490</v>
      </c>
      <c r="E2363" t="str">
        <f>T("마법사왕 아서 342화")</f>
        <v>마법사왕 아서 342화</v>
      </c>
      <c r="F2363">
        <v>343</v>
      </c>
      <c r="G2363" t="str">
        <f>T("하란사")</f>
        <v>하란사</v>
      </c>
      <c r="J2363" t="str">
        <f>T("매드햇")</f>
        <v>매드햇</v>
      </c>
      <c r="K2363" t="str">
        <f>T("마법사왕 아서")</f>
        <v>마법사왕 아서</v>
      </c>
      <c r="L2363">
        <v>100</v>
      </c>
      <c r="M2363">
        <v>300</v>
      </c>
      <c r="N2363">
        <v>3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300</v>
      </c>
      <c r="AJ2363">
        <v>3</v>
      </c>
      <c r="AK2363">
        <v>0</v>
      </c>
      <c r="AL2363">
        <v>0</v>
      </c>
      <c r="AM2363">
        <v>300</v>
      </c>
      <c r="AN2363">
        <v>0</v>
      </c>
      <c r="AO2363">
        <v>0</v>
      </c>
      <c r="AP2363">
        <v>0</v>
      </c>
      <c r="AQ2363">
        <v>0</v>
      </c>
      <c r="AS2363">
        <v>0</v>
      </c>
      <c r="AT2363">
        <v>0</v>
      </c>
      <c r="AV2363">
        <v>0</v>
      </c>
      <c r="AW2363">
        <v>0</v>
      </c>
      <c r="AY2363">
        <v>0</v>
      </c>
      <c r="AZ2363">
        <v>0</v>
      </c>
      <c r="BA2363">
        <v>180</v>
      </c>
      <c r="BE2363" t="str">
        <f>T("9791137019256")</f>
        <v>9791137019256</v>
      </c>
      <c r="BF2363" t="str">
        <f>T("D203803")</f>
        <v>D203803</v>
      </c>
      <c r="BG2363" t="str">
        <f>T("판타지 웹소설 &gt; 정통 판타지")</f>
        <v>판타지 웹소설 &gt; 정통 판타지</v>
      </c>
    </row>
    <row r="2364" spans="1:59">
      <c r="A2364" t="s">
        <v>60</v>
      </c>
      <c r="B2364" s="1">
        <v>46131</v>
      </c>
      <c r="C2364">
        <v>2378066888</v>
      </c>
      <c r="D2364">
        <v>2378080514</v>
      </c>
      <c r="E2364" t="str">
        <f>T("마법사왕 아서 343화")</f>
        <v>마법사왕 아서 343화</v>
      </c>
      <c r="F2364">
        <v>344</v>
      </c>
      <c r="G2364" t="str">
        <f>T("하란사")</f>
        <v>하란사</v>
      </c>
      <c r="J2364" t="str">
        <f>T("매드햇")</f>
        <v>매드햇</v>
      </c>
      <c r="K2364" t="str">
        <f>T("마법사왕 아서")</f>
        <v>마법사왕 아서</v>
      </c>
      <c r="L2364">
        <v>100</v>
      </c>
      <c r="M2364">
        <v>300</v>
      </c>
      <c r="N2364">
        <v>3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300</v>
      </c>
      <c r="AJ2364">
        <v>3</v>
      </c>
      <c r="AK2364">
        <v>0</v>
      </c>
      <c r="AL2364">
        <v>0</v>
      </c>
      <c r="AM2364">
        <v>300</v>
      </c>
      <c r="AN2364">
        <v>0</v>
      </c>
      <c r="AO2364">
        <v>0</v>
      </c>
      <c r="AP2364">
        <v>0</v>
      </c>
      <c r="AQ2364">
        <v>0</v>
      </c>
      <c r="AS2364">
        <v>0</v>
      </c>
      <c r="AT2364">
        <v>0</v>
      </c>
      <c r="AV2364">
        <v>0</v>
      </c>
      <c r="AW2364">
        <v>0</v>
      </c>
      <c r="AY2364">
        <v>0</v>
      </c>
      <c r="AZ2364">
        <v>0</v>
      </c>
      <c r="BA2364">
        <v>180</v>
      </c>
      <c r="BE2364" t="str">
        <f>T("9791137019256")</f>
        <v>9791137019256</v>
      </c>
      <c r="BF2364" t="str">
        <f>T("D203804")</f>
        <v>D203804</v>
      </c>
      <c r="BG2364" t="str">
        <f>T("판타지 웹소설 &gt; 정통 판타지")</f>
        <v>판타지 웹소설 &gt; 정통 판타지</v>
      </c>
    </row>
    <row r="2365" spans="1:59">
      <c r="A2365" t="s">
        <v>60</v>
      </c>
      <c r="B2365" s="1">
        <v>46131</v>
      </c>
      <c r="C2365">
        <v>2378066888</v>
      </c>
      <c r="D2365">
        <v>2378080517</v>
      </c>
      <c r="E2365" t="str">
        <f>T("마법사왕 아서 344화")</f>
        <v>마법사왕 아서 344화</v>
      </c>
      <c r="F2365">
        <v>345</v>
      </c>
      <c r="G2365" t="str">
        <f>T("하란사")</f>
        <v>하란사</v>
      </c>
      <c r="J2365" t="str">
        <f>T("매드햇")</f>
        <v>매드햇</v>
      </c>
      <c r="K2365" t="str">
        <f>T("마법사왕 아서")</f>
        <v>마법사왕 아서</v>
      </c>
      <c r="L2365">
        <v>100</v>
      </c>
      <c r="M2365">
        <v>300</v>
      </c>
      <c r="N2365">
        <v>3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300</v>
      </c>
      <c r="AJ2365">
        <v>3</v>
      </c>
      <c r="AK2365">
        <v>0</v>
      </c>
      <c r="AL2365">
        <v>0</v>
      </c>
      <c r="AM2365">
        <v>300</v>
      </c>
      <c r="AN2365">
        <v>0</v>
      </c>
      <c r="AO2365">
        <v>0</v>
      </c>
      <c r="AP2365">
        <v>0</v>
      </c>
      <c r="AQ2365">
        <v>0</v>
      </c>
      <c r="AS2365">
        <v>0</v>
      </c>
      <c r="AT2365">
        <v>0</v>
      </c>
      <c r="AV2365">
        <v>0</v>
      </c>
      <c r="AW2365">
        <v>0</v>
      </c>
      <c r="AY2365">
        <v>0</v>
      </c>
      <c r="AZ2365">
        <v>0</v>
      </c>
      <c r="BA2365">
        <v>180</v>
      </c>
      <c r="BE2365" t="str">
        <f>T("9791137019256")</f>
        <v>9791137019256</v>
      </c>
      <c r="BF2365" t="str">
        <f>T("D203805")</f>
        <v>D203805</v>
      </c>
      <c r="BG2365" t="str">
        <f>T("판타지 웹소설 &gt; 정통 판타지")</f>
        <v>판타지 웹소설 &gt; 정통 판타지</v>
      </c>
    </row>
    <row r="2366" spans="1:59">
      <c r="A2366" t="s">
        <v>60</v>
      </c>
      <c r="B2366" s="1">
        <v>46131</v>
      </c>
      <c r="C2366">
        <v>2378066888</v>
      </c>
      <c r="D2366">
        <v>2378080528</v>
      </c>
      <c r="E2366" t="str">
        <f>T("마법사왕 아서 345화")</f>
        <v>마법사왕 아서 345화</v>
      </c>
      <c r="F2366">
        <v>346</v>
      </c>
      <c r="G2366" t="str">
        <f>T("하란사")</f>
        <v>하란사</v>
      </c>
      <c r="J2366" t="str">
        <f>T("매드햇")</f>
        <v>매드햇</v>
      </c>
      <c r="K2366" t="str">
        <f>T("마법사왕 아서")</f>
        <v>마법사왕 아서</v>
      </c>
      <c r="L2366">
        <v>100</v>
      </c>
      <c r="M2366">
        <v>300</v>
      </c>
      <c r="N2366">
        <v>3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300</v>
      </c>
      <c r="AJ2366">
        <v>3</v>
      </c>
      <c r="AK2366">
        <v>0</v>
      </c>
      <c r="AL2366">
        <v>0</v>
      </c>
      <c r="AM2366">
        <v>300</v>
      </c>
      <c r="AN2366">
        <v>0</v>
      </c>
      <c r="AO2366">
        <v>0</v>
      </c>
      <c r="AP2366">
        <v>0</v>
      </c>
      <c r="AQ2366">
        <v>0</v>
      </c>
      <c r="AS2366">
        <v>0</v>
      </c>
      <c r="AT2366">
        <v>0</v>
      </c>
      <c r="AV2366">
        <v>0</v>
      </c>
      <c r="AW2366">
        <v>0</v>
      </c>
      <c r="AY2366">
        <v>0</v>
      </c>
      <c r="AZ2366">
        <v>0</v>
      </c>
      <c r="BA2366">
        <v>180</v>
      </c>
      <c r="BE2366" t="str">
        <f>T("9791137019256")</f>
        <v>9791137019256</v>
      </c>
      <c r="BF2366" t="str">
        <f>T("D203806")</f>
        <v>D203806</v>
      </c>
      <c r="BG2366" t="str">
        <f>T("판타지 웹소설 &gt; 정통 판타지")</f>
        <v>판타지 웹소설 &gt; 정통 판타지</v>
      </c>
    </row>
    <row r="2367" spans="1:59">
      <c r="A2367" t="s">
        <v>60</v>
      </c>
      <c r="B2367" s="1">
        <v>46131</v>
      </c>
      <c r="C2367">
        <v>2378066888</v>
      </c>
      <c r="D2367">
        <v>2378081005</v>
      </c>
      <c r="E2367" t="str">
        <f>T("마법사왕 아서 346화")</f>
        <v>마법사왕 아서 346화</v>
      </c>
      <c r="F2367">
        <v>347</v>
      </c>
      <c r="G2367" t="str">
        <f>T("하란사")</f>
        <v>하란사</v>
      </c>
      <c r="J2367" t="str">
        <f>T("매드햇")</f>
        <v>매드햇</v>
      </c>
      <c r="K2367" t="str">
        <f>T("마법사왕 아서")</f>
        <v>마법사왕 아서</v>
      </c>
      <c r="L2367">
        <v>100</v>
      </c>
      <c r="M2367">
        <v>300</v>
      </c>
      <c r="N2367">
        <v>3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300</v>
      </c>
      <c r="AJ2367">
        <v>3</v>
      </c>
      <c r="AK2367">
        <v>0</v>
      </c>
      <c r="AL2367">
        <v>0</v>
      </c>
      <c r="AM2367">
        <v>300</v>
      </c>
      <c r="AN2367">
        <v>0</v>
      </c>
      <c r="AO2367">
        <v>0</v>
      </c>
      <c r="AP2367">
        <v>0</v>
      </c>
      <c r="AQ2367">
        <v>0</v>
      </c>
      <c r="AS2367">
        <v>0</v>
      </c>
      <c r="AT2367">
        <v>0</v>
      </c>
      <c r="AV2367">
        <v>0</v>
      </c>
      <c r="AW2367">
        <v>0</v>
      </c>
      <c r="AY2367">
        <v>0</v>
      </c>
      <c r="AZ2367">
        <v>0</v>
      </c>
      <c r="BA2367">
        <v>180</v>
      </c>
      <c r="BE2367" t="str">
        <f>T("9791137019256")</f>
        <v>9791137019256</v>
      </c>
      <c r="BF2367" t="str">
        <f>T("D203807")</f>
        <v>D203807</v>
      </c>
      <c r="BG2367" t="str">
        <f>T("판타지 웹소설 &gt; 정통 판타지")</f>
        <v>판타지 웹소설 &gt; 정통 판타지</v>
      </c>
    </row>
    <row r="2368" spans="1:59">
      <c r="A2368" t="s">
        <v>60</v>
      </c>
      <c r="B2368" s="1">
        <v>46131</v>
      </c>
      <c r="C2368">
        <v>2378066888</v>
      </c>
      <c r="D2368">
        <v>2378081022</v>
      </c>
      <c r="E2368" t="str">
        <f>T("마법사왕 아서 347화")</f>
        <v>마법사왕 아서 347화</v>
      </c>
      <c r="F2368">
        <v>348</v>
      </c>
      <c r="G2368" t="str">
        <f>T("하란사")</f>
        <v>하란사</v>
      </c>
      <c r="J2368" t="str">
        <f>T("매드햇")</f>
        <v>매드햇</v>
      </c>
      <c r="K2368" t="str">
        <f>T("마법사왕 아서")</f>
        <v>마법사왕 아서</v>
      </c>
      <c r="L2368">
        <v>100</v>
      </c>
      <c r="M2368">
        <v>300</v>
      </c>
      <c r="N2368">
        <v>3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300</v>
      </c>
      <c r="AJ2368">
        <v>3</v>
      </c>
      <c r="AK2368">
        <v>0</v>
      </c>
      <c r="AL2368">
        <v>0</v>
      </c>
      <c r="AM2368">
        <v>300</v>
      </c>
      <c r="AN2368">
        <v>0</v>
      </c>
      <c r="AO2368">
        <v>0</v>
      </c>
      <c r="AP2368">
        <v>0</v>
      </c>
      <c r="AQ2368">
        <v>0</v>
      </c>
      <c r="AS2368">
        <v>0</v>
      </c>
      <c r="AT2368">
        <v>0</v>
      </c>
      <c r="AV2368">
        <v>0</v>
      </c>
      <c r="AW2368">
        <v>0</v>
      </c>
      <c r="AY2368">
        <v>0</v>
      </c>
      <c r="AZ2368">
        <v>0</v>
      </c>
      <c r="BA2368">
        <v>180</v>
      </c>
      <c r="BE2368" t="str">
        <f>T("9791137019256")</f>
        <v>9791137019256</v>
      </c>
      <c r="BF2368" t="str">
        <f>T("D203808")</f>
        <v>D203808</v>
      </c>
      <c r="BG2368" t="str">
        <f>T("판타지 웹소설 &gt; 정통 판타지")</f>
        <v>판타지 웹소설 &gt; 정통 판타지</v>
      </c>
    </row>
    <row r="2369" spans="1:59">
      <c r="A2369" t="s">
        <v>60</v>
      </c>
      <c r="B2369" s="1">
        <v>46131</v>
      </c>
      <c r="C2369">
        <v>2378066888</v>
      </c>
      <c r="D2369">
        <v>2378081032</v>
      </c>
      <c r="E2369" t="str">
        <f>T("마법사왕 아서 348화")</f>
        <v>마법사왕 아서 348화</v>
      </c>
      <c r="F2369">
        <v>349</v>
      </c>
      <c r="G2369" t="str">
        <f>T("하란사")</f>
        <v>하란사</v>
      </c>
      <c r="J2369" t="str">
        <f>T("매드햇")</f>
        <v>매드햇</v>
      </c>
      <c r="K2369" t="str">
        <f>T("마법사왕 아서")</f>
        <v>마법사왕 아서</v>
      </c>
      <c r="L2369">
        <v>100</v>
      </c>
      <c r="M2369">
        <v>300</v>
      </c>
      <c r="N2369">
        <v>3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300</v>
      </c>
      <c r="AJ2369">
        <v>3</v>
      </c>
      <c r="AK2369">
        <v>0</v>
      </c>
      <c r="AL2369">
        <v>0</v>
      </c>
      <c r="AM2369">
        <v>300</v>
      </c>
      <c r="AN2369">
        <v>0</v>
      </c>
      <c r="AO2369">
        <v>0</v>
      </c>
      <c r="AP2369">
        <v>0</v>
      </c>
      <c r="AQ2369">
        <v>0</v>
      </c>
      <c r="AS2369">
        <v>0</v>
      </c>
      <c r="AT2369">
        <v>0</v>
      </c>
      <c r="AV2369">
        <v>0</v>
      </c>
      <c r="AW2369">
        <v>0</v>
      </c>
      <c r="AY2369">
        <v>0</v>
      </c>
      <c r="AZ2369">
        <v>0</v>
      </c>
      <c r="BA2369">
        <v>180</v>
      </c>
      <c r="BE2369" t="str">
        <f>T("9791137019256")</f>
        <v>9791137019256</v>
      </c>
      <c r="BF2369" t="str">
        <f>T("D203809")</f>
        <v>D203809</v>
      </c>
      <c r="BG2369" t="str">
        <f>T("판타지 웹소설 &gt; 정통 판타지")</f>
        <v>판타지 웹소설 &gt; 정통 판타지</v>
      </c>
    </row>
    <row r="2370" spans="1:59">
      <c r="A2370" t="s">
        <v>60</v>
      </c>
      <c r="B2370" s="1">
        <v>46131</v>
      </c>
      <c r="C2370">
        <v>2378066888</v>
      </c>
      <c r="D2370">
        <v>2378081049</v>
      </c>
      <c r="E2370" t="str">
        <f>T("마법사왕 아서 349화")</f>
        <v>마법사왕 아서 349화</v>
      </c>
      <c r="F2370">
        <v>350</v>
      </c>
      <c r="G2370" t="str">
        <f>T("하란사")</f>
        <v>하란사</v>
      </c>
      <c r="J2370" t="str">
        <f>T("매드햇")</f>
        <v>매드햇</v>
      </c>
      <c r="K2370" t="str">
        <f>T("마법사왕 아서")</f>
        <v>마법사왕 아서</v>
      </c>
      <c r="L2370">
        <v>100</v>
      </c>
      <c r="M2370">
        <v>300</v>
      </c>
      <c r="N2370">
        <v>3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300</v>
      </c>
      <c r="AJ2370">
        <v>3</v>
      </c>
      <c r="AK2370">
        <v>0</v>
      </c>
      <c r="AL2370">
        <v>0</v>
      </c>
      <c r="AM2370">
        <v>300</v>
      </c>
      <c r="AN2370">
        <v>0</v>
      </c>
      <c r="AO2370">
        <v>0</v>
      </c>
      <c r="AP2370">
        <v>0</v>
      </c>
      <c r="AQ2370">
        <v>0</v>
      </c>
      <c r="AS2370">
        <v>0</v>
      </c>
      <c r="AT2370">
        <v>0</v>
      </c>
      <c r="AV2370">
        <v>0</v>
      </c>
      <c r="AW2370">
        <v>0</v>
      </c>
      <c r="AY2370">
        <v>0</v>
      </c>
      <c r="AZ2370">
        <v>0</v>
      </c>
      <c r="BA2370">
        <v>180</v>
      </c>
      <c r="BE2370" t="str">
        <f>T("9791137019256")</f>
        <v>9791137019256</v>
      </c>
      <c r="BF2370" t="str">
        <f>T("D203810")</f>
        <v>D203810</v>
      </c>
      <c r="BG2370" t="str">
        <f>T("판타지 웹소설 &gt; 정통 판타지")</f>
        <v>판타지 웹소설 &gt; 정통 판타지</v>
      </c>
    </row>
    <row r="2371" spans="1:59">
      <c r="A2371" t="s">
        <v>60</v>
      </c>
      <c r="B2371" s="1">
        <v>46131</v>
      </c>
      <c r="C2371">
        <v>2378066888</v>
      </c>
      <c r="D2371">
        <v>2378081072</v>
      </c>
      <c r="E2371" t="str">
        <f>T("마법사왕 아서 350화")</f>
        <v>마법사왕 아서 350화</v>
      </c>
      <c r="F2371">
        <v>351</v>
      </c>
      <c r="G2371" t="str">
        <f>T("하란사")</f>
        <v>하란사</v>
      </c>
      <c r="J2371" t="str">
        <f>T("매드햇")</f>
        <v>매드햇</v>
      </c>
      <c r="K2371" t="str">
        <f>T("마법사왕 아서")</f>
        <v>마법사왕 아서</v>
      </c>
      <c r="L2371">
        <v>100</v>
      </c>
      <c r="M2371">
        <v>300</v>
      </c>
      <c r="N2371">
        <v>3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300</v>
      </c>
      <c r="AJ2371">
        <v>3</v>
      </c>
      <c r="AK2371">
        <v>0</v>
      </c>
      <c r="AL2371">
        <v>0</v>
      </c>
      <c r="AM2371">
        <v>300</v>
      </c>
      <c r="AN2371">
        <v>0</v>
      </c>
      <c r="AO2371">
        <v>0</v>
      </c>
      <c r="AP2371">
        <v>0</v>
      </c>
      <c r="AQ2371">
        <v>0</v>
      </c>
      <c r="AS2371">
        <v>0</v>
      </c>
      <c r="AT2371">
        <v>0</v>
      </c>
      <c r="AV2371">
        <v>0</v>
      </c>
      <c r="AW2371">
        <v>0</v>
      </c>
      <c r="AY2371">
        <v>0</v>
      </c>
      <c r="AZ2371">
        <v>0</v>
      </c>
      <c r="BA2371">
        <v>180</v>
      </c>
      <c r="BE2371" t="str">
        <f>T("9791137019256")</f>
        <v>9791137019256</v>
      </c>
      <c r="BF2371" t="str">
        <f>T("D203811")</f>
        <v>D203811</v>
      </c>
      <c r="BG2371" t="str">
        <f>T("판타지 웹소설 &gt; 정통 판타지")</f>
        <v>판타지 웹소설 &gt; 정통 판타지</v>
      </c>
    </row>
    <row r="2372" spans="1:59">
      <c r="A2372" t="s">
        <v>60</v>
      </c>
      <c r="B2372" s="1">
        <v>46131</v>
      </c>
      <c r="C2372">
        <v>2378066888</v>
      </c>
      <c r="D2372">
        <v>2378066889</v>
      </c>
      <c r="E2372" t="str">
        <f>T("마법사왕 아서 2화")</f>
        <v>마법사왕 아서 2화</v>
      </c>
      <c r="F2372">
        <v>2</v>
      </c>
      <c r="G2372" t="str">
        <f>T("하란사")</f>
        <v>하란사</v>
      </c>
      <c r="J2372" t="str">
        <f>T("매드햇")</f>
        <v>매드햇</v>
      </c>
      <c r="K2372" t="str">
        <f>T("마법사왕 아서")</f>
        <v>마법사왕 아서</v>
      </c>
      <c r="L2372">
        <v>0</v>
      </c>
      <c r="M2372">
        <v>0</v>
      </c>
      <c r="N2372">
        <v>0</v>
      </c>
      <c r="O2372">
        <v>1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1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S2372">
        <v>0</v>
      </c>
      <c r="AT2372">
        <v>0</v>
      </c>
      <c r="AV2372">
        <v>0</v>
      </c>
      <c r="AW2372">
        <v>0</v>
      </c>
      <c r="AY2372">
        <v>0</v>
      </c>
      <c r="AZ2372">
        <v>0</v>
      </c>
      <c r="BA2372">
        <v>0</v>
      </c>
      <c r="BE2372" t="str">
        <f>T("9791137019256")</f>
        <v>9791137019256</v>
      </c>
      <c r="BF2372" t="str">
        <f>T("k315113")</f>
        <v>k315113</v>
      </c>
      <c r="BG2372" t="str">
        <f>T("판타지 웹소설 &gt; 정통 판타지")</f>
        <v>판타지 웹소설 &gt; 정통 판타지</v>
      </c>
    </row>
    <row r="2373" spans="1:59">
      <c r="A2373" t="s">
        <v>60</v>
      </c>
      <c r="B2373" s="1">
        <v>46131</v>
      </c>
      <c r="C2373">
        <v>2378066888</v>
      </c>
      <c r="D2373">
        <v>2378081075</v>
      </c>
      <c r="E2373" t="str">
        <f>T("마법사왕 아서 351화")</f>
        <v>마법사왕 아서 351화</v>
      </c>
      <c r="F2373">
        <v>352</v>
      </c>
      <c r="G2373" t="str">
        <f>T("하란사")</f>
        <v>하란사</v>
      </c>
      <c r="J2373" t="str">
        <f>T("매드햇")</f>
        <v>매드햇</v>
      </c>
      <c r="K2373" t="str">
        <f>T("마법사왕 아서")</f>
        <v>마법사왕 아서</v>
      </c>
      <c r="L2373">
        <v>100</v>
      </c>
      <c r="M2373">
        <v>300</v>
      </c>
      <c r="N2373">
        <v>3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300</v>
      </c>
      <c r="AJ2373">
        <v>3</v>
      </c>
      <c r="AK2373">
        <v>0</v>
      </c>
      <c r="AL2373">
        <v>0</v>
      </c>
      <c r="AM2373">
        <v>300</v>
      </c>
      <c r="AN2373">
        <v>0</v>
      </c>
      <c r="AO2373">
        <v>0</v>
      </c>
      <c r="AP2373">
        <v>0</v>
      </c>
      <c r="AQ2373">
        <v>0</v>
      </c>
      <c r="AS2373">
        <v>0</v>
      </c>
      <c r="AT2373">
        <v>0</v>
      </c>
      <c r="AV2373">
        <v>0</v>
      </c>
      <c r="AW2373">
        <v>0</v>
      </c>
      <c r="AY2373">
        <v>0</v>
      </c>
      <c r="AZ2373">
        <v>0</v>
      </c>
      <c r="BA2373">
        <v>180</v>
      </c>
      <c r="BE2373" t="str">
        <f>T("9791137019256")</f>
        <v>9791137019256</v>
      </c>
      <c r="BF2373" t="str">
        <f>T("D227158")</f>
        <v>D227158</v>
      </c>
      <c r="BG2373" t="str">
        <f>T("판타지 웹소설 &gt; 정통 판타지")</f>
        <v>판타지 웹소설 &gt; 정통 판타지</v>
      </c>
    </row>
    <row r="2374" spans="1:59">
      <c r="A2374" t="s">
        <v>60</v>
      </c>
      <c r="B2374" s="1">
        <v>46131</v>
      </c>
      <c r="C2374">
        <v>2378066888</v>
      </c>
      <c r="D2374">
        <v>2378081082</v>
      </c>
      <c r="E2374" t="str">
        <f>T("마법사왕 아서 352화")</f>
        <v>마법사왕 아서 352화</v>
      </c>
      <c r="F2374">
        <v>353</v>
      </c>
      <c r="G2374" t="str">
        <f>T("하란사")</f>
        <v>하란사</v>
      </c>
      <c r="J2374" t="str">
        <f>T("매드햇")</f>
        <v>매드햇</v>
      </c>
      <c r="K2374" t="str">
        <f>T("마법사왕 아서")</f>
        <v>마법사왕 아서</v>
      </c>
      <c r="L2374">
        <v>100</v>
      </c>
      <c r="M2374">
        <v>300</v>
      </c>
      <c r="N2374">
        <v>3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300</v>
      </c>
      <c r="AJ2374">
        <v>3</v>
      </c>
      <c r="AK2374">
        <v>0</v>
      </c>
      <c r="AL2374">
        <v>0</v>
      </c>
      <c r="AM2374">
        <v>300</v>
      </c>
      <c r="AN2374">
        <v>0</v>
      </c>
      <c r="AO2374">
        <v>0</v>
      </c>
      <c r="AP2374">
        <v>0</v>
      </c>
      <c r="AQ2374">
        <v>0</v>
      </c>
      <c r="AS2374">
        <v>0</v>
      </c>
      <c r="AT2374">
        <v>0</v>
      </c>
      <c r="AV2374">
        <v>0</v>
      </c>
      <c r="AW2374">
        <v>0</v>
      </c>
      <c r="AY2374">
        <v>0</v>
      </c>
      <c r="AZ2374">
        <v>0</v>
      </c>
      <c r="BA2374">
        <v>180</v>
      </c>
      <c r="BE2374" t="str">
        <f>T("9791137019256")</f>
        <v>9791137019256</v>
      </c>
      <c r="BF2374" t="str">
        <f>T("D227159")</f>
        <v>D227159</v>
      </c>
      <c r="BG2374" t="str">
        <f>T("판타지 웹소설 &gt; 정통 판타지")</f>
        <v>판타지 웹소설 &gt; 정통 판타지</v>
      </c>
    </row>
    <row r="2375" spans="1:59">
      <c r="A2375" t="s">
        <v>60</v>
      </c>
      <c r="B2375" s="1">
        <v>46131</v>
      </c>
      <c r="C2375">
        <v>2378066888</v>
      </c>
      <c r="D2375">
        <v>2378081085</v>
      </c>
      <c r="E2375" t="str">
        <f>T("마법사왕 아서 353화")</f>
        <v>마법사왕 아서 353화</v>
      </c>
      <c r="F2375">
        <v>354</v>
      </c>
      <c r="G2375" t="str">
        <f>T("하란사")</f>
        <v>하란사</v>
      </c>
      <c r="J2375" t="str">
        <f>T("매드햇")</f>
        <v>매드햇</v>
      </c>
      <c r="K2375" t="str">
        <f>T("마법사왕 아서")</f>
        <v>마법사왕 아서</v>
      </c>
      <c r="L2375">
        <v>100</v>
      </c>
      <c r="M2375">
        <v>300</v>
      </c>
      <c r="N2375">
        <v>3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300</v>
      </c>
      <c r="AJ2375">
        <v>3</v>
      </c>
      <c r="AK2375">
        <v>0</v>
      </c>
      <c r="AL2375">
        <v>0</v>
      </c>
      <c r="AM2375">
        <v>300</v>
      </c>
      <c r="AN2375">
        <v>0</v>
      </c>
      <c r="AO2375">
        <v>0</v>
      </c>
      <c r="AP2375">
        <v>0</v>
      </c>
      <c r="AQ2375">
        <v>0</v>
      </c>
      <c r="AS2375">
        <v>0</v>
      </c>
      <c r="AT2375">
        <v>0</v>
      </c>
      <c r="AV2375">
        <v>0</v>
      </c>
      <c r="AW2375">
        <v>0</v>
      </c>
      <c r="AY2375">
        <v>0</v>
      </c>
      <c r="AZ2375">
        <v>0</v>
      </c>
      <c r="BA2375">
        <v>180</v>
      </c>
      <c r="BE2375" t="str">
        <f>T("9791137019256")</f>
        <v>9791137019256</v>
      </c>
      <c r="BF2375" t="str">
        <f>T("D227160")</f>
        <v>D227160</v>
      </c>
      <c r="BG2375" t="str">
        <f>T("판타지 웹소설 &gt; 정통 판타지")</f>
        <v>판타지 웹소설 &gt; 정통 판타지</v>
      </c>
    </row>
    <row r="2376" spans="1:59">
      <c r="A2376" t="s">
        <v>60</v>
      </c>
      <c r="B2376" s="1">
        <v>46131</v>
      </c>
      <c r="C2376">
        <v>2378066888</v>
      </c>
      <c r="D2376">
        <v>2378066890</v>
      </c>
      <c r="E2376" t="str">
        <f>T("마법사왕 아서 3화")</f>
        <v>마법사왕 아서 3화</v>
      </c>
      <c r="F2376">
        <v>3</v>
      </c>
      <c r="G2376" t="str">
        <f>T("하란사")</f>
        <v>하란사</v>
      </c>
      <c r="J2376" t="str">
        <f>T("매드햇")</f>
        <v>매드햇</v>
      </c>
      <c r="K2376" t="str">
        <f>T("마법사왕 아서")</f>
        <v>마법사왕 아서</v>
      </c>
      <c r="L2376">
        <v>0</v>
      </c>
      <c r="M2376">
        <v>0</v>
      </c>
      <c r="N2376">
        <v>0</v>
      </c>
      <c r="O2376">
        <v>1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1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S2376">
        <v>0</v>
      </c>
      <c r="AT2376">
        <v>0</v>
      </c>
      <c r="AV2376">
        <v>0</v>
      </c>
      <c r="AW2376">
        <v>0</v>
      </c>
      <c r="AY2376">
        <v>0</v>
      </c>
      <c r="AZ2376">
        <v>0</v>
      </c>
      <c r="BA2376">
        <v>0</v>
      </c>
      <c r="BE2376" t="str">
        <f>T("9791137019256")</f>
        <v>9791137019256</v>
      </c>
      <c r="BF2376" t="str">
        <f>T("k315114")</f>
        <v>k315114</v>
      </c>
      <c r="BG2376" t="str">
        <f>T("판타지 웹소설 &gt; 정통 판타지")</f>
        <v>판타지 웹소설 &gt; 정통 판타지</v>
      </c>
    </row>
    <row r="2377" spans="1:59">
      <c r="A2377" t="s">
        <v>60</v>
      </c>
      <c r="B2377" s="1">
        <v>46131</v>
      </c>
      <c r="C2377">
        <v>2378066888</v>
      </c>
      <c r="D2377">
        <v>2378081106</v>
      </c>
      <c r="E2377" t="str">
        <f>T("마법사왕 아서 354화")</f>
        <v>마법사왕 아서 354화</v>
      </c>
      <c r="F2377">
        <v>355</v>
      </c>
      <c r="G2377" t="str">
        <f>T("하란사")</f>
        <v>하란사</v>
      </c>
      <c r="J2377" t="str">
        <f>T("매드햇")</f>
        <v>매드햇</v>
      </c>
      <c r="K2377" t="str">
        <f>T("마법사왕 아서")</f>
        <v>마법사왕 아서</v>
      </c>
      <c r="L2377">
        <v>100</v>
      </c>
      <c r="M2377">
        <v>300</v>
      </c>
      <c r="N2377">
        <v>3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300</v>
      </c>
      <c r="AJ2377">
        <v>3</v>
      </c>
      <c r="AK2377">
        <v>0</v>
      </c>
      <c r="AL2377">
        <v>0</v>
      </c>
      <c r="AM2377">
        <v>300</v>
      </c>
      <c r="AN2377">
        <v>0</v>
      </c>
      <c r="AO2377">
        <v>0</v>
      </c>
      <c r="AP2377">
        <v>0</v>
      </c>
      <c r="AQ2377">
        <v>0</v>
      </c>
      <c r="AS2377">
        <v>0</v>
      </c>
      <c r="AT2377">
        <v>0</v>
      </c>
      <c r="AV2377">
        <v>0</v>
      </c>
      <c r="AW2377">
        <v>0</v>
      </c>
      <c r="AY2377">
        <v>0</v>
      </c>
      <c r="AZ2377">
        <v>0</v>
      </c>
      <c r="BA2377">
        <v>180</v>
      </c>
      <c r="BE2377" t="str">
        <f>T("9791137019256")</f>
        <v>9791137019256</v>
      </c>
      <c r="BF2377" t="str">
        <f>T("D227161")</f>
        <v>D227161</v>
      </c>
      <c r="BG2377" t="str">
        <f>T("판타지 웹소설 &gt; 정통 판타지")</f>
        <v>판타지 웹소설 &gt; 정통 판타지</v>
      </c>
    </row>
    <row r="2378" spans="1:59">
      <c r="A2378" t="s">
        <v>60</v>
      </c>
      <c r="B2378" s="1">
        <v>46131</v>
      </c>
      <c r="C2378">
        <v>2378066888</v>
      </c>
      <c r="D2378">
        <v>2378066891</v>
      </c>
      <c r="E2378" t="str">
        <f>T("마법사왕 아서 4화")</f>
        <v>마법사왕 아서 4화</v>
      </c>
      <c r="F2378">
        <v>4</v>
      </c>
      <c r="G2378" t="str">
        <f>T("하란사")</f>
        <v>하란사</v>
      </c>
      <c r="J2378" t="str">
        <f>T("매드햇")</f>
        <v>매드햇</v>
      </c>
      <c r="K2378" t="str">
        <f>T("마법사왕 아서")</f>
        <v>마법사왕 아서</v>
      </c>
      <c r="L2378">
        <v>0</v>
      </c>
      <c r="M2378">
        <v>0</v>
      </c>
      <c r="N2378">
        <v>0</v>
      </c>
      <c r="O2378">
        <v>1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1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S2378">
        <v>0</v>
      </c>
      <c r="AT2378">
        <v>0</v>
      </c>
      <c r="AV2378">
        <v>0</v>
      </c>
      <c r="AW2378">
        <v>0</v>
      </c>
      <c r="AY2378">
        <v>0</v>
      </c>
      <c r="AZ2378">
        <v>0</v>
      </c>
      <c r="BA2378">
        <v>0</v>
      </c>
      <c r="BE2378" t="str">
        <f>T("9791137019256")</f>
        <v>9791137019256</v>
      </c>
      <c r="BF2378" t="str">
        <f>T("k315115")</f>
        <v>k315115</v>
      </c>
      <c r="BG2378" t="str">
        <f>T("판타지 웹소설 &gt; 정통 판타지")</f>
        <v>판타지 웹소설 &gt; 정통 판타지</v>
      </c>
    </row>
    <row r="2379" spans="1:59">
      <c r="A2379" t="s">
        <v>60</v>
      </c>
      <c r="B2379" s="1">
        <v>46131</v>
      </c>
      <c r="C2379">
        <v>2378066888</v>
      </c>
      <c r="D2379">
        <v>2378066892</v>
      </c>
      <c r="E2379" t="str">
        <f>T("마법사왕 아서 5화")</f>
        <v>마법사왕 아서 5화</v>
      </c>
      <c r="F2379">
        <v>5</v>
      </c>
      <c r="G2379" t="str">
        <f>T("하란사")</f>
        <v>하란사</v>
      </c>
      <c r="J2379" t="str">
        <f>T("매드햇")</f>
        <v>매드햇</v>
      </c>
      <c r="K2379" t="str">
        <f>T("마법사왕 아서")</f>
        <v>마법사왕 아서</v>
      </c>
      <c r="L2379">
        <v>0</v>
      </c>
      <c r="M2379">
        <v>0</v>
      </c>
      <c r="N2379">
        <v>0</v>
      </c>
      <c r="O2379">
        <v>1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1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S2379">
        <v>0</v>
      </c>
      <c r="AT2379">
        <v>0</v>
      </c>
      <c r="AV2379">
        <v>0</v>
      </c>
      <c r="AW2379">
        <v>0</v>
      </c>
      <c r="AY2379">
        <v>0</v>
      </c>
      <c r="AZ2379">
        <v>0</v>
      </c>
      <c r="BA2379">
        <v>0</v>
      </c>
      <c r="BE2379" t="str">
        <f>T("9791137019256")</f>
        <v>9791137019256</v>
      </c>
      <c r="BF2379" t="str">
        <f>T("k315116")</f>
        <v>k315116</v>
      </c>
      <c r="BG2379" t="str">
        <f>T("판타지 웹소설 &gt; 정통 판타지")</f>
        <v>판타지 웹소설 &gt; 정통 판타지</v>
      </c>
    </row>
    <row r="2380" spans="1:59">
      <c r="A2380" t="s">
        <v>60</v>
      </c>
      <c r="B2380" s="1">
        <v>46131</v>
      </c>
      <c r="C2380">
        <v>2378066888</v>
      </c>
      <c r="D2380">
        <v>2378066893</v>
      </c>
      <c r="E2380" t="str">
        <f>T("마법사왕 아서 6화")</f>
        <v>마법사왕 아서 6화</v>
      </c>
      <c r="F2380">
        <v>6</v>
      </c>
      <c r="G2380" t="str">
        <f>T("하란사")</f>
        <v>하란사</v>
      </c>
      <c r="J2380" t="str">
        <f>T("매드햇")</f>
        <v>매드햇</v>
      </c>
      <c r="K2380" t="str">
        <f>T("마법사왕 아서")</f>
        <v>마법사왕 아서</v>
      </c>
      <c r="L2380">
        <v>0</v>
      </c>
      <c r="M2380">
        <v>0</v>
      </c>
      <c r="N2380">
        <v>0</v>
      </c>
      <c r="O2380">
        <v>2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2</v>
      </c>
      <c r="AK2380">
        <v>0</v>
      </c>
      <c r="AL2380">
        <v>0</v>
      </c>
      <c r="AM2380">
        <v>0</v>
      </c>
      <c r="AN2380">
        <v>0</v>
      </c>
      <c r="AO2380">
        <v>0</v>
      </c>
      <c r="AP2380">
        <v>0</v>
      </c>
      <c r="AQ2380">
        <v>0</v>
      </c>
      <c r="AS2380">
        <v>0</v>
      </c>
      <c r="AT2380">
        <v>0</v>
      </c>
      <c r="AV2380">
        <v>0</v>
      </c>
      <c r="AW2380">
        <v>0</v>
      </c>
      <c r="AY2380">
        <v>0</v>
      </c>
      <c r="AZ2380">
        <v>0</v>
      </c>
      <c r="BA2380">
        <v>0</v>
      </c>
      <c r="BE2380" t="str">
        <f>T("9791137019256")</f>
        <v>9791137019256</v>
      </c>
      <c r="BF2380" t="str">
        <f>T("k315117")</f>
        <v>k315117</v>
      </c>
      <c r="BG2380" t="str">
        <f>T("판타지 웹소설 &gt; 정통 판타지")</f>
        <v>판타지 웹소설 &gt; 정통 판타지</v>
      </c>
    </row>
    <row r="2381" spans="1:59">
      <c r="A2381" t="s">
        <v>60</v>
      </c>
      <c r="B2381" s="1">
        <v>46131</v>
      </c>
      <c r="C2381">
        <v>2378066888</v>
      </c>
      <c r="D2381">
        <v>2378066894</v>
      </c>
      <c r="E2381" t="str">
        <f>T("마법사왕 아서 7화")</f>
        <v>마법사왕 아서 7화</v>
      </c>
      <c r="F2381">
        <v>7</v>
      </c>
      <c r="G2381" t="str">
        <f>T("하란사")</f>
        <v>하란사</v>
      </c>
      <c r="J2381" t="str">
        <f>T("매드햇")</f>
        <v>매드햇</v>
      </c>
      <c r="K2381" t="str">
        <f>T("마법사왕 아서")</f>
        <v>마법사왕 아서</v>
      </c>
      <c r="L2381">
        <v>0</v>
      </c>
      <c r="M2381">
        <v>0</v>
      </c>
      <c r="N2381">
        <v>0</v>
      </c>
      <c r="O2381">
        <v>2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2</v>
      </c>
      <c r="AK2381">
        <v>0</v>
      </c>
      <c r="AL2381">
        <v>0</v>
      </c>
      <c r="AM2381">
        <v>0</v>
      </c>
      <c r="AN2381">
        <v>0</v>
      </c>
      <c r="AO2381">
        <v>0</v>
      </c>
      <c r="AP2381">
        <v>0</v>
      </c>
      <c r="AQ2381">
        <v>0</v>
      </c>
      <c r="AS2381">
        <v>0</v>
      </c>
      <c r="AT2381">
        <v>0</v>
      </c>
      <c r="AV2381">
        <v>0</v>
      </c>
      <c r="AW2381">
        <v>0</v>
      </c>
      <c r="AY2381">
        <v>0</v>
      </c>
      <c r="AZ2381">
        <v>0</v>
      </c>
      <c r="BA2381">
        <v>0</v>
      </c>
      <c r="BE2381" t="str">
        <f>T("9791137019256")</f>
        <v>9791137019256</v>
      </c>
      <c r="BF2381" t="str">
        <f>T("k315118")</f>
        <v>k315118</v>
      </c>
      <c r="BG2381" t="str">
        <f>T("판타지 웹소설 &gt; 정통 판타지")</f>
        <v>판타지 웹소설 &gt; 정통 판타지</v>
      </c>
    </row>
    <row r="2382" spans="1:59">
      <c r="A2382" t="s">
        <v>60</v>
      </c>
      <c r="B2382" s="1">
        <v>46131</v>
      </c>
      <c r="C2382">
        <v>2378066888</v>
      </c>
      <c r="D2382">
        <v>2378066895</v>
      </c>
      <c r="E2382" t="str">
        <f>T("마법사왕 아서 8화")</f>
        <v>마법사왕 아서 8화</v>
      </c>
      <c r="F2382">
        <v>8</v>
      </c>
      <c r="G2382" t="str">
        <f>T("하란사")</f>
        <v>하란사</v>
      </c>
      <c r="J2382" t="str">
        <f>T("매드햇")</f>
        <v>매드햇</v>
      </c>
      <c r="K2382" t="str">
        <f>T("마법사왕 아서")</f>
        <v>마법사왕 아서</v>
      </c>
      <c r="L2382">
        <v>0</v>
      </c>
      <c r="M2382">
        <v>0</v>
      </c>
      <c r="N2382">
        <v>0</v>
      </c>
      <c r="O2382">
        <v>2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2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S2382">
        <v>0</v>
      </c>
      <c r="AT2382">
        <v>0</v>
      </c>
      <c r="AV2382">
        <v>0</v>
      </c>
      <c r="AW2382">
        <v>0</v>
      </c>
      <c r="AY2382">
        <v>0</v>
      </c>
      <c r="AZ2382">
        <v>0</v>
      </c>
      <c r="BA2382">
        <v>0</v>
      </c>
      <c r="BE2382" t="str">
        <f>T("9791137019256")</f>
        <v>9791137019256</v>
      </c>
      <c r="BF2382" t="str">
        <f>T("k315119")</f>
        <v>k315119</v>
      </c>
      <c r="BG2382" t="str">
        <f>T("판타지 웹소설 &gt; 정통 판타지")</f>
        <v>판타지 웹소설 &gt; 정통 판타지</v>
      </c>
    </row>
    <row r="2383" spans="1:59">
      <c r="A2383" t="s">
        <v>60</v>
      </c>
      <c r="B2383" s="1">
        <v>46131</v>
      </c>
      <c r="C2383">
        <v>2378066888</v>
      </c>
      <c r="D2383">
        <v>2378066959</v>
      </c>
      <c r="E2383" t="str">
        <f>T("마법사왕 아서 72화")</f>
        <v>마법사왕 아서 72화</v>
      </c>
      <c r="F2383">
        <v>72</v>
      </c>
      <c r="G2383" t="str">
        <f>T("하란사")</f>
        <v>하란사</v>
      </c>
      <c r="J2383" t="str">
        <f>T("매드햇")</f>
        <v>매드햇</v>
      </c>
      <c r="K2383" t="str">
        <f>T("마법사왕 아서")</f>
        <v>마법사왕 아서</v>
      </c>
      <c r="L2383">
        <v>100</v>
      </c>
      <c r="M2383">
        <v>100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100</v>
      </c>
      <c r="AJ2383">
        <v>1</v>
      </c>
      <c r="AK2383">
        <v>0</v>
      </c>
      <c r="AL2383">
        <v>0</v>
      </c>
      <c r="AM2383">
        <v>100</v>
      </c>
      <c r="AN2383">
        <v>0</v>
      </c>
      <c r="AO2383">
        <v>0</v>
      </c>
      <c r="AP2383">
        <v>0</v>
      </c>
      <c r="AQ2383">
        <v>0</v>
      </c>
      <c r="AS2383">
        <v>0</v>
      </c>
      <c r="AT2383">
        <v>0</v>
      </c>
      <c r="AV2383">
        <v>0</v>
      </c>
      <c r="AW2383">
        <v>0</v>
      </c>
      <c r="AY2383">
        <v>0</v>
      </c>
      <c r="AZ2383">
        <v>0</v>
      </c>
      <c r="BA2383">
        <v>60</v>
      </c>
      <c r="BE2383" t="str">
        <f>T("9791137019256")</f>
        <v>9791137019256</v>
      </c>
      <c r="BF2383" t="str">
        <f>T("k315183")</f>
        <v>k315183</v>
      </c>
      <c r="BG2383" t="str">
        <f>T("판타지 웹소설 &gt; 정통 판타지")</f>
        <v>판타지 웹소설 &gt; 정통 판타지</v>
      </c>
    </row>
    <row r="2384" spans="1:59">
      <c r="A2384" t="s">
        <v>60</v>
      </c>
      <c r="B2384" s="1">
        <v>46131</v>
      </c>
      <c r="C2384">
        <v>2378066888</v>
      </c>
      <c r="D2384">
        <v>2378066960</v>
      </c>
      <c r="E2384" t="str">
        <f>T("마법사왕 아서 73화")</f>
        <v>마법사왕 아서 73화</v>
      </c>
      <c r="F2384">
        <v>73</v>
      </c>
      <c r="G2384" t="str">
        <f>T("하란사")</f>
        <v>하란사</v>
      </c>
      <c r="J2384" t="str">
        <f>T("매드햇")</f>
        <v>매드햇</v>
      </c>
      <c r="K2384" t="str">
        <f>T("마법사왕 아서")</f>
        <v>마법사왕 아서</v>
      </c>
      <c r="L2384">
        <v>100</v>
      </c>
      <c r="M2384">
        <v>100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100</v>
      </c>
      <c r="AJ2384">
        <v>1</v>
      </c>
      <c r="AK2384">
        <v>0</v>
      </c>
      <c r="AL2384">
        <v>0</v>
      </c>
      <c r="AM2384">
        <v>100</v>
      </c>
      <c r="AN2384">
        <v>0</v>
      </c>
      <c r="AO2384">
        <v>0</v>
      </c>
      <c r="AP2384">
        <v>0</v>
      </c>
      <c r="AQ2384">
        <v>0</v>
      </c>
      <c r="AS2384">
        <v>0</v>
      </c>
      <c r="AT2384">
        <v>0</v>
      </c>
      <c r="AV2384">
        <v>0</v>
      </c>
      <c r="AW2384">
        <v>0</v>
      </c>
      <c r="AY2384">
        <v>0</v>
      </c>
      <c r="AZ2384">
        <v>0</v>
      </c>
      <c r="BA2384">
        <v>60</v>
      </c>
      <c r="BE2384" t="str">
        <f>T("9791137019256")</f>
        <v>9791137019256</v>
      </c>
      <c r="BF2384" t="str">
        <f>T("k315184")</f>
        <v>k315184</v>
      </c>
      <c r="BG2384" t="str">
        <f>T("판타지 웹소설 &gt; 정통 판타지")</f>
        <v>판타지 웹소설 &gt; 정통 판타지</v>
      </c>
    </row>
    <row r="2385" spans="1:59">
      <c r="A2385" t="s">
        <v>60</v>
      </c>
      <c r="B2385" s="1">
        <v>46131</v>
      </c>
      <c r="C2385">
        <v>2378066888</v>
      </c>
      <c r="D2385">
        <v>2378066961</v>
      </c>
      <c r="E2385" t="str">
        <f>T("마법사왕 아서 74화")</f>
        <v>마법사왕 아서 74화</v>
      </c>
      <c r="F2385">
        <v>74</v>
      </c>
      <c r="G2385" t="str">
        <f>T("하란사")</f>
        <v>하란사</v>
      </c>
      <c r="J2385" t="str">
        <f>T("매드햇")</f>
        <v>매드햇</v>
      </c>
      <c r="K2385" t="str">
        <f>T("마법사왕 아서")</f>
        <v>마법사왕 아서</v>
      </c>
      <c r="L2385">
        <v>100</v>
      </c>
      <c r="M2385">
        <v>100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100</v>
      </c>
      <c r="AJ2385">
        <v>1</v>
      </c>
      <c r="AK2385">
        <v>0</v>
      </c>
      <c r="AL2385">
        <v>0</v>
      </c>
      <c r="AM2385">
        <v>100</v>
      </c>
      <c r="AN2385">
        <v>0</v>
      </c>
      <c r="AO2385">
        <v>0</v>
      </c>
      <c r="AP2385">
        <v>0</v>
      </c>
      <c r="AQ2385">
        <v>0</v>
      </c>
      <c r="AS2385">
        <v>0</v>
      </c>
      <c r="AT2385">
        <v>0</v>
      </c>
      <c r="AV2385">
        <v>0</v>
      </c>
      <c r="AW2385">
        <v>0</v>
      </c>
      <c r="AY2385">
        <v>0</v>
      </c>
      <c r="AZ2385">
        <v>0</v>
      </c>
      <c r="BA2385">
        <v>60</v>
      </c>
      <c r="BE2385" t="str">
        <f>T("9791137019256")</f>
        <v>9791137019256</v>
      </c>
      <c r="BF2385" t="str">
        <f>T("k315185")</f>
        <v>k315185</v>
      </c>
      <c r="BG2385" t="str">
        <f>T("판타지 웹소설 &gt; 정통 판타지")</f>
        <v>판타지 웹소설 &gt; 정통 판타지</v>
      </c>
    </row>
    <row r="2386" spans="1:59">
      <c r="A2386" t="s">
        <v>60</v>
      </c>
      <c r="B2386" s="1">
        <v>46131</v>
      </c>
      <c r="C2386">
        <v>2378066888</v>
      </c>
      <c r="D2386">
        <v>2378066962</v>
      </c>
      <c r="E2386" t="str">
        <f>T("마법사왕 아서 75화")</f>
        <v>마법사왕 아서 75화</v>
      </c>
      <c r="F2386">
        <v>75</v>
      </c>
      <c r="G2386" t="str">
        <f>T("하란사")</f>
        <v>하란사</v>
      </c>
      <c r="J2386" t="str">
        <f>T("매드햇")</f>
        <v>매드햇</v>
      </c>
      <c r="K2386" t="str">
        <f>T("마법사왕 아서")</f>
        <v>마법사왕 아서</v>
      </c>
      <c r="L2386">
        <v>100</v>
      </c>
      <c r="M2386">
        <v>100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100</v>
      </c>
      <c r="AJ2386">
        <v>1</v>
      </c>
      <c r="AK2386">
        <v>0</v>
      </c>
      <c r="AL2386">
        <v>0</v>
      </c>
      <c r="AM2386">
        <v>100</v>
      </c>
      <c r="AN2386">
        <v>0</v>
      </c>
      <c r="AO2386">
        <v>0</v>
      </c>
      <c r="AP2386">
        <v>0</v>
      </c>
      <c r="AQ2386">
        <v>0</v>
      </c>
      <c r="AS2386">
        <v>0</v>
      </c>
      <c r="AT2386">
        <v>0</v>
      </c>
      <c r="AV2386">
        <v>0</v>
      </c>
      <c r="AW2386">
        <v>0</v>
      </c>
      <c r="AY2386">
        <v>0</v>
      </c>
      <c r="AZ2386">
        <v>0</v>
      </c>
      <c r="BA2386">
        <v>60</v>
      </c>
      <c r="BE2386" t="str">
        <f>T("9791137019256")</f>
        <v>9791137019256</v>
      </c>
      <c r="BF2386" t="str">
        <f>T("k315186")</f>
        <v>k315186</v>
      </c>
      <c r="BG2386" t="str">
        <f>T("판타지 웹소설 &gt; 정통 판타지")</f>
        <v>판타지 웹소설 &gt; 정통 판타지</v>
      </c>
    </row>
    <row r="2387" spans="1:59">
      <c r="A2387" t="s">
        <v>60</v>
      </c>
      <c r="B2387" s="1">
        <v>46131</v>
      </c>
      <c r="C2387">
        <v>2378066888</v>
      </c>
      <c r="D2387">
        <v>2378066963</v>
      </c>
      <c r="E2387" t="str">
        <f>T("마법사왕 아서 76화")</f>
        <v>마법사왕 아서 76화</v>
      </c>
      <c r="F2387">
        <v>76</v>
      </c>
      <c r="G2387" t="str">
        <f>T("하란사")</f>
        <v>하란사</v>
      </c>
      <c r="J2387" t="str">
        <f>T("매드햇")</f>
        <v>매드햇</v>
      </c>
      <c r="K2387" t="str">
        <f>T("마법사왕 아서")</f>
        <v>마법사왕 아서</v>
      </c>
      <c r="L2387">
        <v>100</v>
      </c>
      <c r="M2387">
        <v>100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100</v>
      </c>
      <c r="AJ2387">
        <v>1</v>
      </c>
      <c r="AK2387">
        <v>0</v>
      </c>
      <c r="AL2387">
        <v>0</v>
      </c>
      <c r="AM2387">
        <v>100</v>
      </c>
      <c r="AN2387">
        <v>0</v>
      </c>
      <c r="AO2387">
        <v>0</v>
      </c>
      <c r="AP2387">
        <v>0</v>
      </c>
      <c r="AQ2387">
        <v>0</v>
      </c>
      <c r="AS2387">
        <v>0</v>
      </c>
      <c r="AT2387">
        <v>0</v>
      </c>
      <c r="AV2387">
        <v>0</v>
      </c>
      <c r="AW2387">
        <v>0</v>
      </c>
      <c r="AY2387">
        <v>0</v>
      </c>
      <c r="AZ2387">
        <v>0</v>
      </c>
      <c r="BA2387">
        <v>60</v>
      </c>
      <c r="BE2387" t="str">
        <f>T("9791137019256")</f>
        <v>9791137019256</v>
      </c>
      <c r="BF2387" t="str">
        <f>T("k315187")</f>
        <v>k315187</v>
      </c>
      <c r="BG2387" t="str">
        <f>T("판타지 웹소설 &gt; 정통 판타지")</f>
        <v>판타지 웹소설 &gt; 정통 판타지</v>
      </c>
    </row>
    <row r="2388" spans="1:59">
      <c r="A2388" t="s">
        <v>60</v>
      </c>
      <c r="B2388" s="1">
        <v>46131</v>
      </c>
      <c r="C2388">
        <v>2378066888</v>
      </c>
      <c r="D2388">
        <v>2378066964</v>
      </c>
      <c r="E2388" t="str">
        <f>T("마법사왕 아서 77화")</f>
        <v>마법사왕 아서 77화</v>
      </c>
      <c r="F2388">
        <v>77</v>
      </c>
      <c r="G2388" t="str">
        <f>T("하란사")</f>
        <v>하란사</v>
      </c>
      <c r="J2388" t="str">
        <f>T("매드햇")</f>
        <v>매드햇</v>
      </c>
      <c r="K2388" t="str">
        <f>T("마법사왕 아서")</f>
        <v>마법사왕 아서</v>
      </c>
      <c r="L2388">
        <v>100</v>
      </c>
      <c r="M2388">
        <v>100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100</v>
      </c>
      <c r="AJ2388">
        <v>1</v>
      </c>
      <c r="AK2388">
        <v>0</v>
      </c>
      <c r="AL2388">
        <v>0</v>
      </c>
      <c r="AM2388">
        <v>100</v>
      </c>
      <c r="AN2388">
        <v>0</v>
      </c>
      <c r="AO2388">
        <v>0</v>
      </c>
      <c r="AP2388">
        <v>0</v>
      </c>
      <c r="AQ2388">
        <v>0</v>
      </c>
      <c r="AS2388">
        <v>0</v>
      </c>
      <c r="AT2388">
        <v>0</v>
      </c>
      <c r="AV2388">
        <v>0</v>
      </c>
      <c r="AW2388">
        <v>0</v>
      </c>
      <c r="AY2388">
        <v>0</v>
      </c>
      <c r="AZ2388">
        <v>0</v>
      </c>
      <c r="BA2388">
        <v>60</v>
      </c>
      <c r="BE2388" t="str">
        <f>T("9791137019256")</f>
        <v>9791137019256</v>
      </c>
      <c r="BF2388" t="str">
        <f>T("k315188")</f>
        <v>k315188</v>
      </c>
      <c r="BG2388" t="str">
        <f>T("판타지 웹소설 &gt; 정통 판타지")</f>
        <v>판타지 웹소설 &gt; 정통 판타지</v>
      </c>
    </row>
    <row r="2389" spans="1:59">
      <c r="A2389" t="s">
        <v>60</v>
      </c>
      <c r="B2389" s="1">
        <v>46131</v>
      </c>
      <c r="C2389">
        <v>2378066888</v>
      </c>
      <c r="D2389">
        <v>2378066965</v>
      </c>
      <c r="E2389" t="str">
        <f>T("마법사왕 아서 78화")</f>
        <v>마법사왕 아서 78화</v>
      </c>
      <c r="F2389">
        <v>78</v>
      </c>
      <c r="G2389" t="str">
        <f>T("하란사")</f>
        <v>하란사</v>
      </c>
      <c r="J2389" t="str">
        <f>T("매드햇")</f>
        <v>매드햇</v>
      </c>
      <c r="K2389" t="str">
        <f>T("마법사왕 아서")</f>
        <v>마법사왕 아서</v>
      </c>
      <c r="L2389">
        <v>100</v>
      </c>
      <c r="M2389">
        <v>100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100</v>
      </c>
      <c r="AJ2389">
        <v>1</v>
      </c>
      <c r="AK2389">
        <v>0</v>
      </c>
      <c r="AL2389">
        <v>0</v>
      </c>
      <c r="AM2389">
        <v>100</v>
      </c>
      <c r="AN2389">
        <v>0</v>
      </c>
      <c r="AO2389">
        <v>0</v>
      </c>
      <c r="AP2389">
        <v>0</v>
      </c>
      <c r="AQ2389">
        <v>0</v>
      </c>
      <c r="AS2389">
        <v>0</v>
      </c>
      <c r="AT2389">
        <v>0</v>
      </c>
      <c r="AV2389">
        <v>0</v>
      </c>
      <c r="AW2389">
        <v>0</v>
      </c>
      <c r="AY2389">
        <v>0</v>
      </c>
      <c r="AZ2389">
        <v>0</v>
      </c>
      <c r="BA2389">
        <v>60</v>
      </c>
      <c r="BE2389" t="str">
        <f>T("9791137019256")</f>
        <v>9791137019256</v>
      </c>
      <c r="BF2389" t="str">
        <f>T("k315189")</f>
        <v>k315189</v>
      </c>
      <c r="BG2389" t="str">
        <f>T("판타지 웹소설 &gt; 정통 판타지")</f>
        <v>판타지 웹소설 &gt; 정통 판타지</v>
      </c>
    </row>
    <row r="2390" spans="1:59">
      <c r="A2390" t="s">
        <v>60</v>
      </c>
      <c r="B2390" s="1">
        <v>46131</v>
      </c>
      <c r="C2390">
        <v>2378066888</v>
      </c>
      <c r="D2390">
        <v>2378066966</v>
      </c>
      <c r="E2390" t="str">
        <f>T("마법사왕 아서 79화")</f>
        <v>마법사왕 아서 79화</v>
      </c>
      <c r="F2390">
        <v>79</v>
      </c>
      <c r="G2390" t="str">
        <f>T("하란사")</f>
        <v>하란사</v>
      </c>
      <c r="J2390" t="str">
        <f>T("매드햇")</f>
        <v>매드햇</v>
      </c>
      <c r="K2390" t="str">
        <f>T("마법사왕 아서")</f>
        <v>마법사왕 아서</v>
      </c>
      <c r="L2390">
        <v>100</v>
      </c>
      <c r="M2390">
        <v>100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100</v>
      </c>
      <c r="AJ2390">
        <v>1</v>
      </c>
      <c r="AK2390">
        <v>0</v>
      </c>
      <c r="AL2390">
        <v>0</v>
      </c>
      <c r="AM2390">
        <v>100</v>
      </c>
      <c r="AN2390">
        <v>0</v>
      </c>
      <c r="AO2390">
        <v>0</v>
      </c>
      <c r="AP2390">
        <v>0</v>
      </c>
      <c r="AQ2390">
        <v>0</v>
      </c>
      <c r="AS2390">
        <v>0</v>
      </c>
      <c r="AT2390">
        <v>0</v>
      </c>
      <c r="AV2390">
        <v>0</v>
      </c>
      <c r="AW2390">
        <v>0</v>
      </c>
      <c r="AY2390">
        <v>0</v>
      </c>
      <c r="AZ2390">
        <v>0</v>
      </c>
      <c r="BA2390">
        <v>60</v>
      </c>
      <c r="BE2390" t="str">
        <f>T("9791137019256")</f>
        <v>9791137019256</v>
      </c>
      <c r="BF2390" t="str">
        <f>T("k315190")</f>
        <v>k315190</v>
      </c>
      <c r="BG2390" t="str">
        <f>T("판타지 웹소설 &gt; 정통 판타지")</f>
        <v>판타지 웹소설 &gt; 정통 판타지</v>
      </c>
    </row>
    <row r="2391" spans="1:59">
      <c r="A2391" t="s">
        <v>60</v>
      </c>
      <c r="B2391" s="1">
        <v>46131</v>
      </c>
      <c r="C2391">
        <v>2378066888</v>
      </c>
      <c r="D2391">
        <v>2378066967</v>
      </c>
      <c r="E2391" t="str">
        <f>T("마법사왕 아서 80화")</f>
        <v>마법사왕 아서 80화</v>
      </c>
      <c r="F2391">
        <v>80</v>
      </c>
      <c r="G2391" t="str">
        <f>T("하란사")</f>
        <v>하란사</v>
      </c>
      <c r="J2391" t="str">
        <f>T("매드햇")</f>
        <v>매드햇</v>
      </c>
      <c r="K2391" t="str">
        <f>T("마법사왕 아서")</f>
        <v>마법사왕 아서</v>
      </c>
      <c r="L2391">
        <v>100</v>
      </c>
      <c r="M2391">
        <v>100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100</v>
      </c>
      <c r="AJ2391">
        <v>1</v>
      </c>
      <c r="AK2391">
        <v>0</v>
      </c>
      <c r="AL2391">
        <v>0</v>
      </c>
      <c r="AM2391">
        <v>100</v>
      </c>
      <c r="AN2391">
        <v>0</v>
      </c>
      <c r="AO2391">
        <v>0</v>
      </c>
      <c r="AP2391">
        <v>0</v>
      </c>
      <c r="AQ2391">
        <v>0</v>
      </c>
      <c r="AS2391">
        <v>0</v>
      </c>
      <c r="AT2391">
        <v>0</v>
      </c>
      <c r="AV2391">
        <v>0</v>
      </c>
      <c r="AW2391">
        <v>0</v>
      </c>
      <c r="AY2391">
        <v>0</v>
      </c>
      <c r="AZ2391">
        <v>0</v>
      </c>
      <c r="BA2391">
        <v>60</v>
      </c>
      <c r="BE2391" t="str">
        <f>T("9791137019256")</f>
        <v>9791137019256</v>
      </c>
      <c r="BF2391" t="str">
        <f>T("k315191")</f>
        <v>k315191</v>
      </c>
      <c r="BG2391" t="str">
        <f>T("판타지 웹소설 &gt; 정통 판타지")</f>
        <v>판타지 웹소설 &gt; 정통 판타지</v>
      </c>
    </row>
    <row r="2392" spans="1:59">
      <c r="A2392" t="s">
        <v>60</v>
      </c>
      <c r="B2392" s="1">
        <v>46131</v>
      </c>
      <c r="C2392">
        <v>2378066888</v>
      </c>
      <c r="D2392">
        <v>2378066968</v>
      </c>
      <c r="E2392" t="str">
        <f>T("마법사왕 아서 81화")</f>
        <v>마법사왕 아서 81화</v>
      </c>
      <c r="F2392">
        <v>81</v>
      </c>
      <c r="G2392" t="str">
        <f>T("하란사")</f>
        <v>하란사</v>
      </c>
      <c r="J2392" t="str">
        <f>T("매드햇")</f>
        <v>매드햇</v>
      </c>
      <c r="K2392" t="str">
        <f>T("마법사왕 아서")</f>
        <v>마법사왕 아서</v>
      </c>
      <c r="L2392">
        <v>100</v>
      </c>
      <c r="M2392">
        <v>100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100</v>
      </c>
      <c r="AJ2392">
        <v>1</v>
      </c>
      <c r="AK2392">
        <v>0</v>
      </c>
      <c r="AL2392">
        <v>0</v>
      </c>
      <c r="AM2392">
        <v>100</v>
      </c>
      <c r="AN2392">
        <v>0</v>
      </c>
      <c r="AO2392">
        <v>0</v>
      </c>
      <c r="AP2392">
        <v>0</v>
      </c>
      <c r="AQ2392">
        <v>0</v>
      </c>
      <c r="AS2392">
        <v>0</v>
      </c>
      <c r="AT2392">
        <v>0</v>
      </c>
      <c r="AV2392">
        <v>0</v>
      </c>
      <c r="AW2392">
        <v>0</v>
      </c>
      <c r="AY2392">
        <v>0</v>
      </c>
      <c r="AZ2392">
        <v>0</v>
      </c>
      <c r="BA2392">
        <v>60</v>
      </c>
      <c r="BE2392" t="str">
        <f>T("9791137019256")</f>
        <v>9791137019256</v>
      </c>
      <c r="BF2392" t="str">
        <f>T("k315192")</f>
        <v>k315192</v>
      </c>
      <c r="BG2392" t="str">
        <f>T("판타지 웹소설 &gt; 정통 판타지")</f>
        <v>판타지 웹소설 &gt; 정통 판타지</v>
      </c>
    </row>
    <row r="2393" spans="1:59">
      <c r="A2393" t="s">
        <v>60</v>
      </c>
      <c r="B2393" s="1">
        <v>46131</v>
      </c>
      <c r="C2393">
        <v>2378066888</v>
      </c>
      <c r="D2393">
        <v>2378066969</v>
      </c>
      <c r="E2393" t="str">
        <f>T("마법사왕 아서 82화")</f>
        <v>마법사왕 아서 82화</v>
      </c>
      <c r="F2393">
        <v>82</v>
      </c>
      <c r="G2393" t="str">
        <f>T("하란사")</f>
        <v>하란사</v>
      </c>
      <c r="J2393" t="str">
        <f>T("매드햇")</f>
        <v>매드햇</v>
      </c>
      <c r="K2393" t="str">
        <f>T("마법사왕 아서")</f>
        <v>마법사왕 아서</v>
      </c>
      <c r="L2393">
        <v>100</v>
      </c>
      <c r="M2393">
        <v>100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100</v>
      </c>
      <c r="AJ2393">
        <v>1</v>
      </c>
      <c r="AK2393">
        <v>0</v>
      </c>
      <c r="AL2393">
        <v>0</v>
      </c>
      <c r="AM2393">
        <v>100</v>
      </c>
      <c r="AN2393">
        <v>0</v>
      </c>
      <c r="AO2393">
        <v>0</v>
      </c>
      <c r="AP2393">
        <v>0</v>
      </c>
      <c r="AQ2393">
        <v>0</v>
      </c>
      <c r="AS2393">
        <v>0</v>
      </c>
      <c r="AT2393">
        <v>0</v>
      </c>
      <c r="AV2393">
        <v>0</v>
      </c>
      <c r="AW2393">
        <v>0</v>
      </c>
      <c r="AY2393">
        <v>0</v>
      </c>
      <c r="AZ2393">
        <v>0</v>
      </c>
      <c r="BA2393">
        <v>60</v>
      </c>
      <c r="BE2393" t="str">
        <f>T("9791137019256")</f>
        <v>9791137019256</v>
      </c>
      <c r="BF2393" t="str">
        <f>T("k315193")</f>
        <v>k315193</v>
      </c>
      <c r="BG2393" t="str">
        <f>T("판타지 웹소설 &gt; 정통 판타지")</f>
        <v>판타지 웹소설 &gt; 정통 판타지</v>
      </c>
    </row>
    <row r="2394" spans="1:59">
      <c r="A2394" t="s">
        <v>60</v>
      </c>
      <c r="B2394" s="1">
        <v>46131</v>
      </c>
      <c r="C2394">
        <v>2378066888</v>
      </c>
      <c r="D2394">
        <v>2378066970</v>
      </c>
      <c r="E2394" t="str">
        <f>T("마법사왕 아서 83화")</f>
        <v>마법사왕 아서 83화</v>
      </c>
      <c r="F2394">
        <v>83</v>
      </c>
      <c r="G2394" t="str">
        <f>T("하란사")</f>
        <v>하란사</v>
      </c>
      <c r="J2394" t="str">
        <f>T("매드햇")</f>
        <v>매드햇</v>
      </c>
      <c r="K2394" t="str">
        <f>T("마법사왕 아서")</f>
        <v>마법사왕 아서</v>
      </c>
      <c r="L2394">
        <v>100</v>
      </c>
      <c r="M2394">
        <v>100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100</v>
      </c>
      <c r="AJ2394">
        <v>1</v>
      </c>
      <c r="AK2394">
        <v>0</v>
      </c>
      <c r="AL2394">
        <v>0</v>
      </c>
      <c r="AM2394">
        <v>100</v>
      </c>
      <c r="AN2394">
        <v>0</v>
      </c>
      <c r="AO2394">
        <v>0</v>
      </c>
      <c r="AP2394">
        <v>0</v>
      </c>
      <c r="AQ2394">
        <v>0</v>
      </c>
      <c r="AS2394">
        <v>0</v>
      </c>
      <c r="AT2394">
        <v>0</v>
      </c>
      <c r="AV2394">
        <v>0</v>
      </c>
      <c r="AW2394">
        <v>0</v>
      </c>
      <c r="AY2394">
        <v>0</v>
      </c>
      <c r="AZ2394">
        <v>0</v>
      </c>
      <c r="BA2394">
        <v>60</v>
      </c>
      <c r="BE2394" t="str">
        <f>T("9791137019256")</f>
        <v>9791137019256</v>
      </c>
      <c r="BF2394" t="str">
        <f>T("k315194")</f>
        <v>k315194</v>
      </c>
      <c r="BG2394" t="str">
        <f>T("판타지 웹소설 &gt; 정통 판타지")</f>
        <v>판타지 웹소설 &gt; 정통 판타지</v>
      </c>
    </row>
    <row r="2395" spans="1:59">
      <c r="A2395" t="s">
        <v>60</v>
      </c>
      <c r="B2395" s="1">
        <v>46131</v>
      </c>
      <c r="C2395">
        <v>2378066888</v>
      </c>
      <c r="D2395">
        <v>2378066971</v>
      </c>
      <c r="E2395" t="str">
        <f>T("마법사왕 아서 84화")</f>
        <v>마법사왕 아서 84화</v>
      </c>
      <c r="F2395">
        <v>84</v>
      </c>
      <c r="G2395" t="str">
        <f>T("하란사")</f>
        <v>하란사</v>
      </c>
      <c r="J2395" t="str">
        <f>T("매드햇")</f>
        <v>매드햇</v>
      </c>
      <c r="K2395" t="str">
        <f>T("마법사왕 아서")</f>
        <v>마법사왕 아서</v>
      </c>
      <c r="L2395">
        <v>100</v>
      </c>
      <c r="M2395">
        <v>100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100</v>
      </c>
      <c r="AJ2395">
        <v>1</v>
      </c>
      <c r="AK2395">
        <v>0</v>
      </c>
      <c r="AL2395">
        <v>0</v>
      </c>
      <c r="AM2395">
        <v>100</v>
      </c>
      <c r="AN2395">
        <v>0</v>
      </c>
      <c r="AO2395">
        <v>0</v>
      </c>
      <c r="AP2395">
        <v>0</v>
      </c>
      <c r="AQ2395">
        <v>0</v>
      </c>
      <c r="AS2395">
        <v>0</v>
      </c>
      <c r="AT2395">
        <v>0</v>
      </c>
      <c r="AV2395">
        <v>0</v>
      </c>
      <c r="AW2395">
        <v>0</v>
      </c>
      <c r="AY2395">
        <v>0</v>
      </c>
      <c r="AZ2395">
        <v>0</v>
      </c>
      <c r="BA2395">
        <v>60</v>
      </c>
      <c r="BE2395" t="str">
        <f>T("9791137019256")</f>
        <v>9791137019256</v>
      </c>
      <c r="BF2395" t="str">
        <f>T("k315195")</f>
        <v>k315195</v>
      </c>
      <c r="BG2395" t="str">
        <f>T("판타지 웹소설 &gt; 정통 판타지")</f>
        <v>판타지 웹소설 &gt; 정통 판타지</v>
      </c>
    </row>
    <row r="2396" spans="1:59">
      <c r="A2396" t="s">
        <v>60</v>
      </c>
      <c r="B2396" s="1">
        <v>46131</v>
      </c>
      <c r="C2396">
        <v>2378066888</v>
      </c>
      <c r="D2396">
        <v>2378066972</v>
      </c>
      <c r="E2396" t="str">
        <f>T("마법사왕 아서 85화")</f>
        <v>마법사왕 아서 85화</v>
      </c>
      <c r="F2396">
        <v>85</v>
      </c>
      <c r="G2396" t="str">
        <f>T("하란사")</f>
        <v>하란사</v>
      </c>
      <c r="J2396" t="str">
        <f>T("매드햇")</f>
        <v>매드햇</v>
      </c>
      <c r="K2396" t="str">
        <f>T("마법사왕 아서")</f>
        <v>마법사왕 아서</v>
      </c>
      <c r="L2396">
        <v>100</v>
      </c>
      <c r="M2396">
        <v>100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100</v>
      </c>
      <c r="AJ2396">
        <v>1</v>
      </c>
      <c r="AK2396">
        <v>0</v>
      </c>
      <c r="AL2396">
        <v>0</v>
      </c>
      <c r="AM2396">
        <v>100</v>
      </c>
      <c r="AN2396">
        <v>0</v>
      </c>
      <c r="AO2396">
        <v>0</v>
      </c>
      <c r="AP2396">
        <v>0</v>
      </c>
      <c r="AQ2396">
        <v>0</v>
      </c>
      <c r="AS2396">
        <v>0</v>
      </c>
      <c r="AT2396">
        <v>0</v>
      </c>
      <c r="AV2396">
        <v>0</v>
      </c>
      <c r="AW2396">
        <v>0</v>
      </c>
      <c r="AY2396">
        <v>0</v>
      </c>
      <c r="AZ2396">
        <v>0</v>
      </c>
      <c r="BA2396">
        <v>60</v>
      </c>
      <c r="BE2396" t="str">
        <f>T("9791137019256")</f>
        <v>9791137019256</v>
      </c>
      <c r="BF2396" t="str">
        <f>T("k315196")</f>
        <v>k315196</v>
      </c>
      <c r="BG2396" t="str">
        <f>T("판타지 웹소설 &gt; 정통 판타지")</f>
        <v>판타지 웹소설 &gt; 정통 판타지</v>
      </c>
    </row>
    <row r="2397" spans="1:59">
      <c r="A2397" t="s">
        <v>60</v>
      </c>
      <c r="B2397" s="1">
        <v>46131</v>
      </c>
      <c r="C2397">
        <v>2378066888</v>
      </c>
      <c r="D2397">
        <v>2378066973</v>
      </c>
      <c r="E2397" t="str">
        <f>T("마법사왕 아서 86화")</f>
        <v>마법사왕 아서 86화</v>
      </c>
      <c r="F2397">
        <v>86</v>
      </c>
      <c r="G2397" t="str">
        <f>T("하란사")</f>
        <v>하란사</v>
      </c>
      <c r="J2397" t="str">
        <f>T("매드햇")</f>
        <v>매드햇</v>
      </c>
      <c r="K2397" t="str">
        <f>T("마법사왕 아서")</f>
        <v>마법사왕 아서</v>
      </c>
      <c r="L2397">
        <v>100</v>
      </c>
      <c r="M2397">
        <v>100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100</v>
      </c>
      <c r="AJ2397">
        <v>1</v>
      </c>
      <c r="AK2397">
        <v>0</v>
      </c>
      <c r="AL2397">
        <v>0</v>
      </c>
      <c r="AM2397">
        <v>100</v>
      </c>
      <c r="AN2397">
        <v>0</v>
      </c>
      <c r="AO2397">
        <v>0</v>
      </c>
      <c r="AP2397">
        <v>0</v>
      </c>
      <c r="AQ2397">
        <v>0</v>
      </c>
      <c r="AS2397">
        <v>0</v>
      </c>
      <c r="AT2397">
        <v>0</v>
      </c>
      <c r="AV2397">
        <v>0</v>
      </c>
      <c r="AW2397">
        <v>0</v>
      </c>
      <c r="AY2397">
        <v>0</v>
      </c>
      <c r="AZ2397">
        <v>0</v>
      </c>
      <c r="BA2397">
        <v>60</v>
      </c>
      <c r="BE2397" t="str">
        <f>T("9791137019256")</f>
        <v>9791137019256</v>
      </c>
      <c r="BF2397" t="str">
        <f>T("k315197")</f>
        <v>k315197</v>
      </c>
      <c r="BG2397" t="str">
        <f>T("판타지 웹소설 &gt; 정통 판타지")</f>
        <v>판타지 웹소설 &gt; 정통 판타지</v>
      </c>
    </row>
    <row r="2398" spans="1:59">
      <c r="A2398" t="s">
        <v>60</v>
      </c>
      <c r="B2398" s="1">
        <v>46131</v>
      </c>
      <c r="C2398">
        <v>2378066888</v>
      </c>
      <c r="D2398">
        <v>2378076740</v>
      </c>
      <c r="E2398" t="str">
        <f>T("마법사왕 아서 304화")</f>
        <v>마법사왕 아서 304화</v>
      </c>
      <c r="F2398">
        <v>305</v>
      </c>
      <c r="G2398" t="str">
        <f>T("하란사")</f>
        <v>하란사</v>
      </c>
      <c r="J2398" t="str">
        <f>T("매드햇")</f>
        <v>매드햇</v>
      </c>
      <c r="K2398" t="str">
        <f>T("마법사왕 아서")</f>
        <v>마법사왕 아서</v>
      </c>
      <c r="L2398">
        <v>100</v>
      </c>
      <c r="M2398">
        <v>100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100</v>
      </c>
      <c r="AJ2398">
        <v>1</v>
      </c>
      <c r="AK2398">
        <v>0</v>
      </c>
      <c r="AL2398">
        <v>0</v>
      </c>
      <c r="AM2398">
        <v>100</v>
      </c>
      <c r="AN2398">
        <v>0</v>
      </c>
      <c r="AO2398">
        <v>0</v>
      </c>
      <c r="AP2398">
        <v>0</v>
      </c>
      <c r="AQ2398">
        <v>0</v>
      </c>
      <c r="AS2398">
        <v>0</v>
      </c>
      <c r="AT2398">
        <v>0</v>
      </c>
      <c r="AV2398">
        <v>0</v>
      </c>
      <c r="AW2398">
        <v>0</v>
      </c>
      <c r="AY2398">
        <v>0</v>
      </c>
      <c r="AZ2398">
        <v>0</v>
      </c>
      <c r="BA2398">
        <v>60</v>
      </c>
      <c r="BE2398" t="str">
        <f>T("9791137019256")</f>
        <v>9791137019256</v>
      </c>
      <c r="BF2398" t="str">
        <f>T("D040499")</f>
        <v>D040499</v>
      </c>
      <c r="BG2398" t="str">
        <f>T("판타지 웹소설 &gt; 정통 판타지")</f>
        <v>판타지 웹소설 &gt; 정통 판타지</v>
      </c>
    </row>
    <row r="2399" spans="1:59">
      <c r="A2399" t="s">
        <v>60</v>
      </c>
      <c r="B2399" s="1">
        <v>46131</v>
      </c>
      <c r="C2399">
        <v>2378066888</v>
      </c>
      <c r="D2399">
        <v>2378066975</v>
      </c>
      <c r="E2399" t="str">
        <f>T("마법사왕 아서 88화")</f>
        <v>마법사왕 아서 88화</v>
      </c>
      <c r="F2399">
        <v>88</v>
      </c>
      <c r="G2399" t="str">
        <f>T("하란사")</f>
        <v>하란사</v>
      </c>
      <c r="J2399" t="str">
        <f>T("매드햇")</f>
        <v>매드햇</v>
      </c>
      <c r="K2399" t="str">
        <f>T("마법사왕 아서")</f>
        <v>마법사왕 아서</v>
      </c>
      <c r="L2399">
        <v>100</v>
      </c>
      <c r="M2399">
        <v>100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0</v>
      </c>
      <c r="AH2399">
        <v>0</v>
      </c>
      <c r="AI2399">
        <v>100</v>
      </c>
      <c r="AJ2399">
        <v>1</v>
      </c>
      <c r="AK2399">
        <v>0</v>
      </c>
      <c r="AL2399">
        <v>0</v>
      </c>
      <c r="AM2399">
        <v>100</v>
      </c>
      <c r="AN2399">
        <v>0</v>
      </c>
      <c r="AO2399">
        <v>0</v>
      </c>
      <c r="AP2399">
        <v>0</v>
      </c>
      <c r="AQ2399">
        <v>0</v>
      </c>
      <c r="AS2399">
        <v>0</v>
      </c>
      <c r="AT2399">
        <v>0</v>
      </c>
      <c r="AV2399">
        <v>0</v>
      </c>
      <c r="AW2399">
        <v>0</v>
      </c>
      <c r="AY2399">
        <v>0</v>
      </c>
      <c r="AZ2399">
        <v>0</v>
      </c>
      <c r="BA2399">
        <v>60</v>
      </c>
      <c r="BE2399" t="str">
        <f>T("9791137019256")</f>
        <v>9791137019256</v>
      </c>
      <c r="BF2399" t="str">
        <f>T("k315199")</f>
        <v>k315199</v>
      </c>
      <c r="BG2399" t="str">
        <f>T("판타지 웹소설 &gt; 정통 판타지")</f>
        <v>판타지 웹소설 &gt; 정통 판타지</v>
      </c>
    </row>
    <row r="2400" spans="1:59">
      <c r="A2400" t="s">
        <v>60</v>
      </c>
      <c r="B2400" s="1">
        <v>46131</v>
      </c>
      <c r="C2400">
        <v>2378066888</v>
      </c>
      <c r="D2400">
        <v>2378066976</v>
      </c>
      <c r="E2400" t="str">
        <f>T("마법사왕 아서 89화")</f>
        <v>마법사왕 아서 89화</v>
      </c>
      <c r="F2400">
        <v>89</v>
      </c>
      <c r="G2400" t="str">
        <f>T("하란사")</f>
        <v>하란사</v>
      </c>
      <c r="J2400" t="str">
        <f>T("매드햇")</f>
        <v>매드햇</v>
      </c>
      <c r="K2400" t="str">
        <f>T("마법사왕 아서")</f>
        <v>마법사왕 아서</v>
      </c>
      <c r="L2400">
        <v>100</v>
      </c>
      <c r="M2400">
        <v>100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0</v>
      </c>
      <c r="AH2400">
        <v>0</v>
      </c>
      <c r="AI2400">
        <v>100</v>
      </c>
      <c r="AJ2400">
        <v>1</v>
      </c>
      <c r="AK2400">
        <v>0</v>
      </c>
      <c r="AL2400">
        <v>0</v>
      </c>
      <c r="AM2400">
        <v>100</v>
      </c>
      <c r="AN2400">
        <v>0</v>
      </c>
      <c r="AO2400">
        <v>0</v>
      </c>
      <c r="AP2400">
        <v>0</v>
      </c>
      <c r="AQ2400">
        <v>0</v>
      </c>
      <c r="AS2400">
        <v>0</v>
      </c>
      <c r="AT2400">
        <v>0</v>
      </c>
      <c r="AV2400">
        <v>0</v>
      </c>
      <c r="AW2400">
        <v>0</v>
      </c>
      <c r="AY2400">
        <v>0</v>
      </c>
      <c r="AZ2400">
        <v>0</v>
      </c>
      <c r="BA2400">
        <v>60</v>
      </c>
      <c r="BE2400" t="str">
        <f>T("9791137019256")</f>
        <v>9791137019256</v>
      </c>
      <c r="BF2400" t="str">
        <f>T("k315200")</f>
        <v>k315200</v>
      </c>
      <c r="BG2400" t="str">
        <f>T("판타지 웹소설 &gt; 정통 판타지")</f>
        <v>판타지 웹소설 &gt; 정통 판타지</v>
      </c>
    </row>
    <row r="2401" spans="1:59">
      <c r="A2401" t="s">
        <v>60</v>
      </c>
      <c r="B2401" s="1">
        <v>46131</v>
      </c>
      <c r="C2401">
        <v>2378066888</v>
      </c>
      <c r="D2401">
        <v>2378066977</v>
      </c>
      <c r="E2401" t="str">
        <f>T("마법사왕 아서 90화")</f>
        <v>마법사왕 아서 90화</v>
      </c>
      <c r="F2401">
        <v>90</v>
      </c>
      <c r="G2401" t="str">
        <f>T("하란사")</f>
        <v>하란사</v>
      </c>
      <c r="J2401" t="str">
        <f>T("매드햇")</f>
        <v>매드햇</v>
      </c>
      <c r="K2401" t="str">
        <f>T("마법사왕 아서")</f>
        <v>마법사왕 아서</v>
      </c>
      <c r="L2401">
        <v>100</v>
      </c>
      <c r="M2401">
        <v>100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100</v>
      </c>
      <c r="AJ2401">
        <v>1</v>
      </c>
      <c r="AK2401">
        <v>0</v>
      </c>
      <c r="AL2401">
        <v>0</v>
      </c>
      <c r="AM2401">
        <v>100</v>
      </c>
      <c r="AN2401">
        <v>0</v>
      </c>
      <c r="AO2401">
        <v>0</v>
      </c>
      <c r="AP2401">
        <v>0</v>
      </c>
      <c r="AQ2401">
        <v>0</v>
      </c>
      <c r="AS2401">
        <v>0</v>
      </c>
      <c r="AT2401">
        <v>0</v>
      </c>
      <c r="AV2401">
        <v>0</v>
      </c>
      <c r="AW2401">
        <v>0</v>
      </c>
      <c r="AY2401">
        <v>0</v>
      </c>
      <c r="AZ2401">
        <v>0</v>
      </c>
      <c r="BA2401">
        <v>60</v>
      </c>
      <c r="BE2401" t="str">
        <f>T("9791137019256")</f>
        <v>9791137019256</v>
      </c>
      <c r="BF2401" t="str">
        <f>T("k315201")</f>
        <v>k315201</v>
      </c>
      <c r="BG2401" t="str">
        <f>T("판타지 웹소설 &gt; 정통 판타지")</f>
        <v>판타지 웹소설 &gt; 정통 판타지</v>
      </c>
    </row>
    <row r="2402" spans="1:59">
      <c r="A2402" t="s">
        <v>60</v>
      </c>
      <c r="B2402" s="1">
        <v>46131</v>
      </c>
      <c r="C2402">
        <v>2378066888</v>
      </c>
      <c r="D2402">
        <v>2378067186</v>
      </c>
      <c r="E2402" t="str">
        <f>T("마법사왕 아서 91화")</f>
        <v>마법사왕 아서 91화</v>
      </c>
      <c r="F2402">
        <v>91</v>
      </c>
      <c r="G2402" t="str">
        <f>T("하란사")</f>
        <v>하란사</v>
      </c>
      <c r="J2402" t="str">
        <f>T("매드햇")</f>
        <v>매드햇</v>
      </c>
      <c r="K2402" t="str">
        <f>T("마법사왕 아서")</f>
        <v>마법사왕 아서</v>
      </c>
      <c r="L2402">
        <v>100</v>
      </c>
      <c r="M2402">
        <v>100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100</v>
      </c>
      <c r="AJ2402">
        <v>1</v>
      </c>
      <c r="AK2402">
        <v>0</v>
      </c>
      <c r="AL2402">
        <v>0</v>
      </c>
      <c r="AM2402">
        <v>100</v>
      </c>
      <c r="AN2402">
        <v>0</v>
      </c>
      <c r="AO2402">
        <v>0</v>
      </c>
      <c r="AP2402">
        <v>0</v>
      </c>
      <c r="AQ2402">
        <v>0</v>
      </c>
      <c r="AS2402">
        <v>0</v>
      </c>
      <c r="AT2402">
        <v>0</v>
      </c>
      <c r="AV2402">
        <v>0</v>
      </c>
      <c r="AW2402">
        <v>0</v>
      </c>
      <c r="AY2402">
        <v>0</v>
      </c>
      <c r="AZ2402">
        <v>0</v>
      </c>
      <c r="BA2402">
        <v>60</v>
      </c>
      <c r="BE2402" t="str">
        <f>T("9791137019256")</f>
        <v>9791137019256</v>
      </c>
      <c r="BF2402" t="str">
        <f>T("k315202")</f>
        <v>k315202</v>
      </c>
      <c r="BG2402" t="str">
        <f>T("판타지 웹소설 &gt; 정통 판타지")</f>
        <v>판타지 웹소설 &gt; 정통 판타지</v>
      </c>
    </row>
    <row r="2403" spans="1:59">
      <c r="A2403" t="s">
        <v>60</v>
      </c>
      <c r="B2403" s="1">
        <v>46131</v>
      </c>
      <c r="C2403">
        <v>2378066888</v>
      </c>
      <c r="D2403">
        <v>2378067199</v>
      </c>
      <c r="E2403" t="str">
        <f>T("마법사왕 아서 92화")</f>
        <v>마법사왕 아서 92화</v>
      </c>
      <c r="F2403">
        <v>92</v>
      </c>
      <c r="G2403" t="str">
        <f>T("하란사")</f>
        <v>하란사</v>
      </c>
      <c r="J2403" t="str">
        <f>T("매드햇")</f>
        <v>매드햇</v>
      </c>
      <c r="K2403" t="str">
        <f>T("마법사왕 아서")</f>
        <v>마법사왕 아서</v>
      </c>
      <c r="L2403">
        <v>100</v>
      </c>
      <c r="M2403">
        <v>100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100</v>
      </c>
      <c r="AJ2403">
        <v>1</v>
      </c>
      <c r="AK2403">
        <v>0</v>
      </c>
      <c r="AL2403">
        <v>0</v>
      </c>
      <c r="AM2403">
        <v>100</v>
      </c>
      <c r="AN2403">
        <v>0</v>
      </c>
      <c r="AO2403">
        <v>0</v>
      </c>
      <c r="AP2403">
        <v>0</v>
      </c>
      <c r="AQ2403">
        <v>0</v>
      </c>
      <c r="AS2403">
        <v>0</v>
      </c>
      <c r="AT2403">
        <v>0</v>
      </c>
      <c r="AV2403">
        <v>0</v>
      </c>
      <c r="AW2403">
        <v>0</v>
      </c>
      <c r="AY2403">
        <v>0</v>
      </c>
      <c r="AZ2403">
        <v>0</v>
      </c>
      <c r="BA2403">
        <v>60</v>
      </c>
      <c r="BE2403" t="str">
        <f>T("9791137019256")</f>
        <v>9791137019256</v>
      </c>
      <c r="BF2403" t="str">
        <f>T("k315203")</f>
        <v>k315203</v>
      </c>
      <c r="BG2403" t="str">
        <f>T("판타지 웹소설 &gt; 정통 판타지")</f>
        <v>판타지 웹소설 &gt; 정통 판타지</v>
      </c>
    </row>
    <row r="2404" spans="1:59">
      <c r="A2404" t="s">
        <v>60</v>
      </c>
      <c r="B2404" s="1">
        <v>46131</v>
      </c>
      <c r="C2404">
        <v>2378066888</v>
      </c>
      <c r="D2404">
        <v>2378067229</v>
      </c>
      <c r="E2404" t="str">
        <f>T("마법사왕 아서 93화")</f>
        <v>마법사왕 아서 93화</v>
      </c>
      <c r="F2404">
        <v>93</v>
      </c>
      <c r="G2404" t="str">
        <f>T("하란사")</f>
        <v>하란사</v>
      </c>
      <c r="J2404" t="str">
        <f>T("매드햇")</f>
        <v>매드햇</v>
      </c>
      <c r="K2404" t="str">
        <f>T("마법사왕 아서")</f>
        <v>마법사왕 아서</v>
      </c>
      <c r="L2404">
        <v>100</v>
      </c>
      <c r="M2404">
        <v>100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100</v>
      </c>
      <c r="AJ2404">
        <v>1</v>
      </c>
      <c r="AK2404">
        <v>0</v>
      </c>
      <c r="AL2404">
        <v>0</v>
      </c>
      <c r="AM2404">
        <v>100</v>
      </c>
      <c r="AN2404">
        <v>0</v>
      </c>
      <c r="AO2404">
        <v>0</v>
      </c>
      <c r="AP2404">
        <v>0</v>
      </c>
      <c r="AQ2404">
        <v>0</v>
      </c>
      <c r="AS2404">
        <v>0</v>
      </c>
      <c r="AT2404">
        <v>0</v>
      </c>
      <c r="AV2404">
        <v>0</v>
      </c>
      <c r="AW2404">
        <v>0</v>
      </c>
      <c r="AY2404">
        <v>0</v>
      </c>
      <c r="AZ2404">
        <v>0</v>
      </c>
      <c r="BA2404">
        <v>60</v>
      </c>
      <c r="BE2404" t="str">
        <f>T("9791137019256")</f>
        <v>9791137019256</v>
      </c>
      <c r="BF2404" t="str">
        <f>T("k315204")</f>
        <v>k315204</v>
      </c>
      <c r="BG2404" t="str">
        <f>T("판타지 웹소설 &gt; 정통 판타지")</f>
        <v>판타지 웹소설 &gt; 정통 판타지</v>
      </c>
    </row>
    <row r="2405" spans="1:59">
      <c r="A2405" t="s">
        <v>60</v>
      </c>
      <c r="B2405" s="1">
        <v>46131</v>
      </c>
      <c r="C2405">
        <v>2378066888</v>
      </c>
      <c r="D2405">
        <v>2378067232</v>
      </c>
      <c r="E2405" t="str">
        <f>T("마법사왕 아서 94화")</f>
        <v>마법사왕 아서 94화</v>
      </c>
      <c r="F2405">
        <v>94</v>
      </c>
      <c r="G2405" t="str">
        <f>T("하란사")</f>
        <v>하란사</v>
      </c>
      <c r="J2405" t="str">
        <f>T("매드햇")</f>
        <v>매드햇</v>
      </c>
      <c r="K2405" t="str">
        <f>T("마법사왕 아서")</f>
        <v>마법사왕 아서</v>
      </c>
      <c r="L2405">
        <v>100</v>
      </c>
      <c r="M2405">
        <v>100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100</v>
      </c>
      <c r="AJ2405">
        <v>1</v>
      </c>
      <c r="AK2405">
        <v>0</v>
      </c>
      <c r="AL2405">
        <v>0</v>
      </c>
      <c r="AM2405">
        <v>100</v>
      </c>
      <c r="AN2405">
        <v>0</v>
      </c>
      <c r="AO2405">
        <v>0</v>
      </c>
      <c r="AP2405">
        <v>0</v>
      </c>
      <c r="AQ2405">
        <v>0</v>
      </c>
      <c r="AS2405">
        <v>0</v>
      </c>
      <c r="AT2405">
        <v>0</v>
      </c>
      <c r="AV2405">
        <v>0</v>
      </c>
      <c r="AW2405">
        <v>0</v>
      </c>
      <c r="AY2405">
        <v>0</v>
      </c>
      <c r="AZ2405">
        <v>0</v>
      </c>
      <c r="BA2405">
        <v>60</v>
      </c>
      <c r="BE2405" t="str">
        <f>T("9791137019256")</f>
        <v>9791137019256</v>
      </c>
      <c r="BF2405" t="str">
        <f>T("k315205")</f>
        <v>k315205</v>
      </c>
      <c r="BG2405" t="str">
        <f>T("판타지 웹소설 &gt; 정통 판타지")</f>
        <v>판타지 웹소설 &gt; 정통 판타지</v>
      </c>
    </row>
    <row r="2406" spans="1:59">
      <c r="A2406" t="s">
        <v>60</v>
      </c>
      <c r="B2406" s="1">
        <v>46131</v>
      </c>
      <c r="C2406">
        <v>2378066888</v>
      </c>
      <c r="D2406">
        <v>2378067233</v>
      </c>
      <c r="E2406" t="str">
        <f>T("마법사왕 아서 95화")</f>
        <v>마법사왕 아서 95화</v>
      </c>
      <c r="F2406">
        <v>95</v>
      </c>
      <c r="G2406" t="str">
        <f>T("하란사")</f>
        <v>하란사</v>
      </c>
      <c r="J2406" t="str">
        <f>T("매드햇")</f>
        <v>매드햇</v>
      </c>
      <c r="K2406" t="str">
        <f>T("마법사왕 아서")</f>
        <v>마법사왕 아서</v>
      </c>
      <c r="L2406">
        <v>100</v>
      </c>
      <c r="M2406">
        <v>100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100</v>
      </c>
      <c r="AJ2406">
        <v>1</v>
      </c>
      <c r="AK2406">
        <v>0</v>
      </c>
      <c r="AL2406">
        <v>0</v>
      </c>
      <c r="AM2406">
        <v>100</v>
      </c>
      <c r="AN2406">
        <v>0</v>
      </c>
      <c r="AO2406">
        <v>0</v>
      </c>
      <c r="AP2406">
        <v>0</v>
      </c>
      <c r="AQ2406">
        <v>0</v>
      </c>
      <c r="AS2406">
        <v>0</v>
      </c>
      <c r="AT2406">
        <v>0</v>
      </c>
      <c r="AV2406">
        <v>0</v>
      </c>
      <c r="AW2406">
        <v>0</v>
      </c>
      <c r="AY2406">
        <v>0</v>
      </c>
      <c r="AZ2406">
        <v>0</v>
      </c>
      <c r="BA2406">
        <v>60</v>
      </c>
      <c r="BE2406" t="str">
        <f>T("9791137019256")</f>
        <v>9791137019256</v>
      </c>
      <c r="BF2406" t="str">
        <f>T("k315206")</f>
        <v>k315206</v>
      </c>
      <c r="BG2406" t="str">
        <f>T("판타지 웹소설 &gt; 정통 판타지")</f>
        <v>판타지 웹소설 &gt; 정통 판타지</v>
      </c>
    </row>
    <row r="2407" spans="1:59">
      <c r="A2407" t="s">
        <v>60</v>
      </c>
      <c r="B2407" s="1">
        <v>46131</v>
      </c>
      <c r="C2407">
        <v>2378066888</v>
      </c>
      <c r="D2407">
        <v>2378067287</v>
      </c>
      <c r="E2407" t="str">
        <f>T("마법사왕 아서 96화")</f>
        <v>마법사왕 아서 96화</v>
      </c>
      <c r="F2407">
        <v>96</v>
      </c>
      <c r="G2407" t="str">
        <f>T("하란사")</f>
        <v>하란사</v>
      </c>
      <c r="J2407" t="str">
        <f>T("매드햇")</f>
        <v>매드햇</v>
      </c>
      <c r="K2407" t="str">
        <f>T("마법사왕 아서")</f>
        <v>마법사왕 아서</v>
      </c>
      <c r="L2407">
        <v>100</v>
      </c>
      <c r="M2407">
        <v>100</v>
      </c>
      <c r="N2407">
        <v>1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100</v>
      </c>
      <c r="AJ2407">
        <v>1</v>
      </c>
      <c r="AK2407">
        <v>0</v>
      </c>
      <c r="AL2407">
        <v>0</v>
      </c>
      <c r="AM2407">
        <v>100</v>
      </c>
      <c r="AN2407">
        <v>0</v>
      </c>
      <c r="AO2407">
        <v>0</v>
      </c>
      <c r="AP2407">
        <v>0</v>
      </c>
      <c r="AQ2407">
        <v>0</v>
      </c>
      <c r="AS2407">
        <v>0</v>
      </c>
      <c r="AT2407">
        <v>0</v>
      </c>
      <c r="AV2407">
        <v>0</v>
      </c>
      <c r="AW2407">
        <v>0</v>
      </c>
      <c r="AY2407">
        <v>0</v>
      </c>
      <c r="AZ2407">
        <v>0</v>
      </c>
      <c r="BA2407">
        <v>60</v>
      </c>
      <c r="BE2407" t="str">
        <f>T("9791137019256")</f>
        <v>9791137019256</v>
      </c>
      <c r="BF2407" t="str">
        <f>T("k315207")</f>
        <v>k315207</v>
      </c>
      <c r="BG2407" t="str">
        <f>T("판타지 웹소설 &gt; 정통 판타지")</f>
        <v>판타지 웹소설 &gt; 정통 판타지</v>
      </c>
    </row>
    <row r="2408" spans="1:59">
      <c r="A2408" t="s">
        <v>60</v>
      </c>
      <c r="B2408" s="1">
        <v>46131</v>
      </c>
      <c r="C2408">
        <v>2378066888</v>
      </c>
      <c r="D2408">
        <v>2378067288</v>
      </c>
      <c r="E2408" t="str">
        <f>T("마법사왕 아서 97화")</f>
        <v>마법사왕 아서 97화</v>
      </c>
      <c r="F2408">
        <v>97</v>
      </c>
      <c r="G2408" t="str">
        <f>T("하란사")</f>
        <v>하란사</v>
      </c>
      <c r="J2408" t="str">
        <f>T("매드햇")</f>
        <v>매드햇</v>
      </c>
      <c r="K2408" t="str">
        <f>T("마법사왕 아서")</f>
        <v>마법사왕 아서</v>
      </c>
      <c r="L2408">
        <v>100</v>
      </c>
      <c r="M2408">
        <v>100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100</v>
      </c>
      <c r="AJ2408">
        <v>1</v>
      </c>
      <c r="AK2408">
        <v>0</v>
      </c>
      <c r="AL2408">
        <v>0</v>
      </c>
      <c r="AM2408">
        <v>100</v>
      </c>
      <c r="AN2408">
        <v>0</v>
      </c>
      <c r="AO2408">
        <v>0</v>
      </c>
      <c r="AP2408">
        <v>0</v>
      </c>
      <c r="AQ2408">
        <v>0</v>
      </c>
      <c r="AS2408">
        <v>0</v>
      </c>
      <c r="AT2408">
        <v>0</v>
      </c>
      <c r="AV2408">
        <v>0</v>
      </c>
      <c r="AW2408">
        <v>0</v>
      </c>
      <c r="AY2408">
        <v>0</v>
      </c>
      <c r="AZ2408">
        <v>0</v>
      </c>
      <c r="BA2408">
        <v>60</v>
      </c>
      <c r="BE2408" t="str">
        <f>T("9791137019256")</f>
        <v>9791137019256</v>
      </c>
      <c r="BF2408" t="str">
        <f>T("k315208")</f>
        <v>k315208</v>
      </c>
      <c r="BG2408" t="str">
        <f>T("판타지 웹소설 &gt; 정통 판타지")</f>
        <v>판타지 웹소설 &gt; 정통 판타지</v>
      </c>
    </row>
    <row r="2409" spans="1:59">
      <c r="A2409" t="s">
        <v>60</v>
      </c>
      <c r="B2409" s="1">
        <v>46131</v>
      </c>
      <c r="C2409">
        <v>2378066888</v>
      </c>
      <c r="D2409">
        <v>2378067289</v>
      </c>
      <c r="E2409" t="str">
        <f>T("마법사왕 아서 98화")</f>
        <v>마법사왕 아서 98화</v>
      </c>
      <c r="F2409">
        <v>98</v>
      </c>
      <c r="G2409" t="str">
        <f>T("하란사")</f>
        <v>하란사</v>
      </c>
      <c r="J2409" t="str">
        <f>T("매드햇")</f>
        <v>매드햇</v>
      </c>
      <c r="K2409" t="str">
        <f>T("마법사왕 아서")</f>
        <v>마법사왕 아서</v>
      </c>
      <c r="L2409">
        <v>100</v>
      </c>
      <c r="M2409">
        <v>100</v>
      </c>
      <c r="N2409">
        <v>1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100</v>
      </c>
      <c r="AJ2409">
        <v>1</v>
      </c>
      <c r="AK2409">
        <v>0</v>
      </c>
      <c r="AL2409">
        <v>0</v>
      </c>
      <c r="AM2409">
        <v>100</v>
      </c>
      <c r="AN2409">
        <v>0</v>
      </c>
      <c r="AO2409">
        <v>0</v>
      </c>
      <c r="AP2409">
        <v>0</v>
      </c>
      <c r="AQ2409">
        <v>0</v>
      </c>
      <c r="AS2409">
        <v>0</v>
      </c>
      <c r="AT2409">
        <v>0</v>
      </c>
      <c r="AV2409">
        <v>0</v>
      </c>
      <c r="AW2409">
        <v>0</v>
      </c>
      <c r="AY2409">
        <v>0</v>
      </c>
      <c r="AZ2409">
        <v>0</v>
      </c>
      <c r="BA2409">
        <v>60</v>
      </c>
      <c r="BE2409" t="str">
        <f>T("9791137019256")</f>
        <v>9791137019256</v>
      </c>
      <c r="BF2409" t="str">
        <f>T("k315209")</f>
        <v>k315209</v>
      </c>
      <c r="BG2409" t="str">
        <f>T("판타지 웹소설 &gt; 정통 판타지")</f>
        <v>판타지 웹소설 &gt; 정통 판타지</v>
      </c>
    </row>
    <row r="2410" spans="1:59">
      <c r="A2410" t="s">
        <v>60</v>
      </c>
      <c r="B2410" s="1">
        <v>46131</v>
      </c>
      <c r="C2410">
        <v>2378066888</v>
      </c>
      <c r="D2410">
        <v>2378067290</v>
      </c>
      <c r="E2410" t="str">
        <f>T("마법사왕 아서 99화")</f>
        <v>마법사왕 아서 99화</v>
      </c>
      <c r="F2410">
        <v>99</v>
      </c>
      <c r="G2410" t="str">
        <f>T("하란사")</f>
        <v>하란사</v>
      </c>
      <c r="J2410" t="str">
        <f>T("매드햇")</f>
        <v>매드햇</v>
      </c>
      <c r="K2410" t="str">
        <f>T("마법사왕 아서")</f>
        <v>마법사왕 아서</v>
      </c>
      <c r="L2410">
        <v>100</v>
      </c>
      <c r="M2410">
        <v>100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100</v>
      </c>
      <c r="AJ2410">
        <v>1</v>
      </c>
      <c r="AK2410">
        <v>0</v>
      </c>
      <c r="AL2410">
        <v>0</v>
      </c>
      <c r="AM2410">
        <v>100</v>
      </c>
      <c r="AN2410">
        <v>0</v>
      </c>
      <c r="AO2410">
        <v>0</v>
      </c>
      <c r="AP2410">
        <v>0</v>
      </c>
      <c r="AQ2410">
        <v>0</v>
      </c>
      <c r="AS2410">
        <v>0</v>
      </c>
      <c r="AT2410">
        <v>0</v>
      </c>
      <c r="AV2410">
        <v>0</v>
      </c>
      <c r="AW2410">
        <v>0</v>
      </c>
      <c r="AY2410">
        <v>0</v>
      </c>
      <c r="AZ2410">
        <v>0</v>
      </c>
      <c r="BA2410">
        <v>60</v>
      </c>
      <c r="BE2410" t="str">
        <f>T("9791137019256")</f>
        <v>9791137019256</v>
      </c>
      <c r="BF2410" t="str">
        <f>T("k315210")</f>
        <v>k315210</v>
      </c>
      <c r="BG2410" t="str">
        <f>T("판타지 웹소설 &gt; 정통 판타지")</f>
        <v>판타지 웹소설 &gt; 정통 판타지</v>
      </c>
    </row>
    <row r="2411" spans="1:59">
      <c r="A2411" t="s">
        <v>60</v>
      </c>
      <c r="B2411" s="1">
        <v>46131</v>
      </c>
      <c r="C2411">
        <v>2378066888</v>
      </c>
      <c r="D2411">
        <v>2378067381</v>
      </c>
      <c r="E2411" t="str">
        <f>T("마법사왕 아서 100화")</f>
        <v>마법사왕 아서 100화</v>
      </c>
      <c r="F2411">
        <v>100</v>
      </c>
      <c r="G2411" t="str">
        <f>T("하란사")</f>
        <v>하란사</v>
      </c>
      <c r="J2411" t="str">
        <f>T("매드햇")</f>
        <v>매드햇</v>
      </c>
      <c r="K2411" t="str">
        <f>T("마법사왕 아서")</f>
        <v>마법사왕 아서</v>
      </c>
      <c r="L2411">
        <v>100</v>
      </c>
      <c r="M2411">
        <v>100</v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100</v>
      </c>
      <c r="AJ2411">
        <v>1</v>
      </c>
      <c r="AK2411">
        <v>0</v>
      </c>
      <c r="AL2411">
        <v>0</v>
      </c>
      <c r="AM2411">
        <v>100</v>
      </c>
      <c r="AN2411">
        <v>0</v>
      </c>
      <c r="AO2411">
        <v>0</v>
      </c>
      <c r="AP2411">
        <v>0</v>
      </c>
      <c r="AQ2411">
        <v>0</v>
      </c>
      <c r="AS2411">
        <v>0</v>
      </c>
      <c r="AT2411">
        <v>0</v>
      </c>
      <c r="AV2411">
        <v>0</v>
      </c>
      <c r="AW2411">
        <v>0</v>
      </c>
      <c r="AY2411">
        <v>0</v>
      </c>
      <c r="AZ2411">
        <v>0</v>
      </c>
      <c r="BA2411">
        <v>60</v>
      </c>
      <c r="BE2411" t="str">
        <f>T("9791137019256")</f>
        <v>9791137019256</v>
      </c>
      <c r="BF2411" t="str">
        <f>T("k315211")</f>
        <v>k315211</v>
      </c>
      <c r="BG2411" t="str">
        <f>T("판타지 웹소설 &gt; 정통 판타지")</f>
        <v>판타지 웹소설 &gt; 정통 판타지</v>
      </c>
    </row>
    <row r="2412" spans="1:59">
      <c r="A2412" t="s">
        <v>60</v>
      </c>
      <c r="B2412" s="1">
        <v>46131</v>
      </c>
      <c r="C2412">
        <v>2378066888</v>
      </c>
      <c r="D2412">
        <v>2378066896</v>
      </c>
      <c r="E2412" t="str">
        <f>T("마법사왕 아서 9화")</f>
        <v>마법사왕 아서 9화</v>
      </c>
      <c r="F2412">
        <v>9</v>
      </c>
      <c r="G2412" t="str">
        <f>T("하란사")</f>
        <v>하란사</v>
      </c>
      <c r="J2412" t="str">
        <f>T("매드햇")</f>
        <v>매드햇</v>
      </c>
      <c r="K2412" t="str">
        <f>T("마법사왕 아서")</f>
        <v>마법사왕 아서</v>
      </c>
      <c r="L2412">
        <v>0</v>
      </c>
      <c r="M2412">
        <v>0</v>
      </c>
      <c r="N2412">
        <v>0</v>
      </c>
      <c r="O2412">
        <v>2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2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0</v>
      </c>
      <c r="AQ2412">
        <v>0</v>
      </c>
      <c r="AS2412">
        <v>0</v>
      </c>
      <c r="AT2412">
        <v>0</v>
      </c>
      <c r="AV2412">
        <v>0</v>
      </c>
      <c r="AW2412">
        <v>0</v>
      </c>
      <c r="AY2412">
        <v>0</v>
      </c>
      <c r="AZ2412">
        <v>0</v>
      </c>
      <c r="BA2412">
        <v>0</v>
      </c>
      <c r="BE2412" t="str">
        <f>T("9791137019256")</f>
        <v>9791137019256</v>
      </c>
      <c r="BF2412" t="str">
        <f>T("k315120")</f>
        <v>k315120</v>
      </c>
      <c r="BG2412" t="str">
        <f>T("판타지 웹소설 &gt; 정통 판타지")</f>
        <v>판타지 웹소설 &gt; 정통 판타지</v>
      </c>
    </row>
    <row r="2413" spans="1:59">
      <c r="A2413" t="s">
        <v>60</v>
      </c>
      <c r="B2413" s="1">
        <v>46131</v>
      </c>
      <c r="C2413">
        <v>2378066888</v>
      </c>
      <c r="D2413">
        <v>2378066897</v>
      </c>
      <c r="E2413" t="str">
        <f>T("마법사왕 아서 10화")</f>
        <v>마법사왕 아서 10화</v>
      </c>
      <c r="F2413">
        <v>10</v>
      </c>
      <c r="G2413" t="str">
        <f>T("하란사")</f>
        <v>하란사</v>
      </c>
      <c r="J2413" t="str">
        <f>T("매드햇")</f>
        <v>매드햇</v>
      </c>
      <c r="K2413" t="str">
        <f>T("마법사왕 아서")</f>
        <v>마법사왕 아서</v>
      </c>
      <c r="L2413">
        <v>0</v>
      </c>
      <c r="M2413">
        <v>0</v>
      </c>
      <c r="N2413">
        <v>0</v>
      </c>
      <c r="O2413">
        <v>2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2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S2413">
        <v>0</v>
      </c>
      <c r="AT2413">
        <v>0</v>
      </c>
      <c r="AV2413">
        <v>0</v>
      </c>
      <c r="AW2413">
        <v>0</v>
      </c>
      <c r="AY2413">
        <v>0</v>
      </c>
      <c r="AZ2413">
        <v>0</v>
      </c>
      <c r="BA2413">
        <v>0</v>
      </c>
      <c r="BE2413" t="str">
        <f>T("9791137019256")</f>
        <v>9791137019256</v>
      </c>
      <c r="BF2413" t="str">
        <f>T("k315121")</f>
        <v>k315121</v>
      </c>
      <c r="BG2413" t="str">
        <f>T("판타지 웹소설 &gt; 정통 판타지")</f>
        <v>판타지 웹소설 &gt; 정통 판타지</v>
      </c>
    </row>
    <row r="2414" spans="1:59">
      <c r="A2414" t="s">
        <v>60</v>
      </c>
      <c r="B2414" s="1">
        <v>46131</v>
      </c>
      <c r="C2414">
        <v>2378066888</v>
      </c>
      <c r="D2414">
        <v>2378066898</v>
      </c>
      <c r="E2414" t="str">
        <f>T("마법사왕 아서 11화")</f>
        <v>마법사왕 아서 11화</v>
      </c>
      <c r="F2414">
        <v>11</v>
      </c>
      <c r="G2414" t="str">
        <f>T("하란사")</f>
        <v>하란사</v>
      </c>
      <c r="J2414" t="str">
        <f>T("매드햇")</f>
        <v>매드햇</v>
      </c>
      <c r="K2414" t="str">
        <f>T("마법사왕 아서")</f>
        <v>마법사왕 아서</v>
      </c>
      <c r="L2414">
        <v>0</v>
      </c>
      <c r="M2414">
        <v>0</v>
      </c>
      <c r="N2414">
        <v>0</v>
      </c>
      <c r="O2414">
        <v>2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2</v>
      </c>
      <c r="AK2414">
        <v>0</v>
      </c>
      <c r="AL2414">
        <v>0</v>
      </c>
      <c r="AM2414">
        <v>0</v>
      </c>
      <c r="AN2414">
        <v>0</v>
      </c>
      <c r="AO2414">
        <v>0</v>
      </c>
      <c r="AP2414">
        <v>0</v>
      </c>
      <c r="AQ2414">
        <v>0</v>
      </c>
      <c r="AS2414">
        <v>0</v>
      </c>
      <c r="AT2414">
        <v>0</v>
      </c>
      <c r="AV2414">
        <v>0</v>
      </c>
      <c r="AW2414">
        <v>0</v>
      </c>
      <c r="AY2414">
        <v>0</v>
      </c>
      <c r="AZ2414">
        <v>0</v>
      </c>
      <c r="BA2414">
        <v>0</v>
      </c>
      <c r="BE2414" t="str">
        <f>T("9791137019256")</f>
        <v>9791137019256</v>
      </c>
      <c r="BF2414" t="str">
        <f>T("k315122")</f>
        <v>k315122</v>
      </c>
      <c r="BG2414" t="str">
        <f>T("판타지 웹소설 &gt; 정통 판타지")</f>
        <v>판타지 웹소설 &gt; 정통 판타지</v>
      </c>
    </row>
    <row r="2415" spans="1:59">
      <c r="A2415" t="s">
        <v>60</v>
      </c>
      <c r="B2415" s="1">
        <v>46131</v>
      </c>
      <c r="C2415">
        <v>2378066888</v>
      </c>
      <c r="D2415">
        <v>2378066899</v>
      </c>
      <c r="E2415" t="str">
        <f>T("마법사왕 아서 12화")</f>
        <v>마법사왕 아서 12화</v>
      </c>
      <c r="F2415">
        <v>12</v>
      </c>
      <c r="G2415" t="str">
        <f>T("하란사")</f>
        <v>하란사</v>
      </c>
      <c r="J2415" t="str">
        <f>T("매드햇")</f>
        <v>매드햇</v>
      </c>
      <c r="K2415" t="str">
        <f>T("마법사왕 아서")</f>
        <v>마법사왕 아서</v>
      </c>
      <c r="L2415">
        <v>0</v>
      </c>
      <c r="M2415">
        <v>0</v>
      </c>
      <c r="N2415">
        <v>0</v>
      </c>
      <c r="O2415">
        <v>2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2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0</v>
      </c>
      <c r="AQ2415">
        <v>0</v>
      </c>
      <c r="AS2415">
        <v>0</v>
      </c>
      <c r="AT2415">
        <v>0</v>
      </c>
      <c r="AV2415">
        <v>0</v>
      </c>
      <c r="AW2415">
        <v>0</v>
      </c>
      <c r="AY2415">
        <v>0</v>
      </c>
      <c r="AZ2415">
        <v>0</v>
      </c>
      <c r="BA2415">
        <v>0</v>
      </c>
      <c r="BE2415" t="str">
        <f>T("9791137019256")</f>
        <v>9791137019256</v>
      </c>
      <c r="BF2415" t="str">
        <f>T("k315123")</f>
        <v>k315123</v>
      </c>
      <c r="BG2415" t="str">
        <f>T("판타지 웹소설 &gt; 정통 판타지")</f>
        <v>판타지 웹소설 &gt; 정통 판타지</v>
      </c>
    </row>
    <row r="2416" spans="1:59">
      <c r="A2416" t="s">
        <v>60</v>
      </c>
      <c r="B2416" s="1">
        <v>46131</v>
      </c>
      <c r="C2416">
        <v>2378066888</v>
      </c>
      <c r="D2416">
        <v>2378066900</v>
      </c>
      <c r="E2416" t="str">
        <f>T("마법사왕 아서 13화")</f>
        <v>마법사왕 아서 13화</v>
      </c>
      <c r="F2416">
        <v>13</v>
      </c>
      <c r="G2416" t="str">
        <f>T("하란사")</f>
        <v>하란사</v>
      </c>
      <c r="J2416" t="str">
        <f>T("매드햇")</f>
        <v>매드햇</v>
      </c>
      <c r="K2416" t="str">
        <f>T("마법사왕 아서")</f>
        <v>마법사왕 아서</v>
      </c>
      <c r="L2416">
        <v>0</v>
      </c>
      <c r="M2416">
        <v>0</v>
      </c>
      <c r="N2416">
        <v>0</v>
      </c>
      <c r="O2416">
        <v>2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2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S2416">
        <v>0</v>
      </c>
      <c r="AT2416">
        <v>0</v>
      </c>
      <c r="AV2416">
        <v>0</v>
      </c>
      <c r="AW2416">
        <v>0</v>
      </c>
      <c r="AY2416">
        <v>0</v>
      </c>
      <c r="AZ2416">
        <v>0</v>
      </c>
      <c r="BA2416">
        <v>0</v>
      </c>
      <c r="BE2416" t="str">
        <f>T("9791137019256")</f>
        <v>9791137019256</v>
      </c>
      <c r="BF2416" t="str">
        <f>T("k315124")</f>
        <v>k315124</v>
      </c>
      <c r="BG2416" t="str">
        <f>T("판타지 웹소설 &gt; 정통 판타지")</f>
        <v>판타지 웹소설 &gt; 정통 판타지</v>
      </c>
    </row>
    <row r="2417" spans="1:59">
      <c r="A2417" t="s">
        <v>60</v>
      </c>
      <c r="B2417" s="1">
        <v>46131</v>
      </c>
      <c r="C2417">
        <v>2378066888</v>
      </c>
      <c r="D2417">
        <v>2378066901</v>
      </c>
      <c r="E2417" t="str">
        <f>T("마법사왕 아서 14화")</f>
        <v>마법사왕 아서 14화</v>
      </c>
      <c r="F2417">
        <v>14</v>
      </c>
      <c r="G2417" t="str">
        <f>T("하란사")</f>
        <v>하란사</v>
      </c>
      <c r="J2417" t="str">
        <f>T("매드햇")</f>
        <v>매드햇</v>
      </c>
      <c r="K2417" t="str">
        <f>T("마법사왕 아서")</f>
        <v>마법사왕 아서</v>
      </c>
      <c r="L2417">
        <v>0</v>
      </c>
      <c r="M2417">
        <v>0</v>
      </c>
      <c r="N2417">
        <v>0</v>
      </c>
      <c r="O2417">
        <v>2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0</v>
      </c>
      <c r="AI2417">
        <v>0</v>
      </c>
      <c r="AJ2417">
        <v>2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0</v>
      </c>
      <c r="AQ2417">
        <v>0</v>
      </c>
      <c r="AS2417">
        <v>0</v>
      </c>
      <c r="AT2417">
        <v>0</v>
      </c>
      <c r="AV2417">
        <v>0</v>
      </c>
      <c r="AW2417">
        <v>0</v>
      </c>
      <c r="AY2417">
        <v>0</v>
      </c>
      <c r="AZ2417">
        <v>0</v>
      </c>
      <c r="BA2417">
        <v>0</v>
      </c>
      <c r="BE2417" t="str">
        <f>T("9791137019256")</f>
        <v>9791137019256</v>
      </c>
      <c r="BF2417" t="str">
        <f>T("k315125")</f>
        <v>k315125</v>
      </c>
      <c r="BG2417" t="str">
        <f>T("판타지 웹소설 &gt; 정통 판타지")</f>
        <v>판타지 웹소설 &gt; 정통 판타지</v>
      </c>
    </row>
    <row r="2418" spans="1:59">
      <c r="A2418" t="s">
        <v>60</v>
      </c>
      <c r="B2418" s="1">
        <v>46131</v>
      </c>
      <c r="C2418">
        <v>2378066888</v>
      </c>
      <c r="D2418">
        <v>2378066902</v>
      </c>
      <c r="E2418" t="str">
        <f>T("마법사왕 아서 15화")</f>
        <v>마법사왕 아서 15화</v>
      </c>
      <c r="F2418">
        <v>15</v>
      </c>
      <c r="G2418" t="str">
        <f>T("하란사")</f>
        <v>하란사</v>
      </c>
      <c r="J2418" t="str">
        <f>T("매드햇")</f>
        <v>매드햇</v>
      </c>
      <c r="K2418" t="str">
        <f>T("마법사왕 아서")</f>
        <v>마법사왕 아서</v>
      </c>
      <c r="L2418">
        <v>0</v>
      </c>
      <c r="M2418">
        <v>0</v>
      </c>
      <c r="N2418">
        <v>0</v>
      </c>
      <c r="O2418">
        <v>2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2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0</v>
      </c>
      <c r="AQ2418">
        <v>0</v>
      </c>
      <c r="AS2418">
        <v>0</v>
      </c>
      <c r="AT2418">
        <v>0</v>
      </c>
      <c r="AV2418">
        <v>0</v>
      </c>
      <c r="AW2418">
        <v>0</v>
      </c>
      <c r="AY2418">
        <v>0</v>
      </c>
      <c r="AZ2418">
        <v>0</v>
      </c>
      <c r="BA2418">
        <v>0</v>
      </c>
      <c r="BE2418" t="str">
        <f>T("9791137019256")</f>
        <v>9791137019256</v>
      </c>
      <c r="BF2418" t="str">
        <f>T("k315126")</f>
        <v>k315126</v>
      </c>
      <c r="BG2418" t="str">
        <f>T("판타지 웹소설 &gt; 정통 판타지")</f>
        <v>판타지 웹소설 &gt; 정통 판타지</v>
      </c>
    </row>
    <row r="2419" spans="1:59">
      <c r="A2419" t="s">
        <v>60</v>
      </c>
      <c r="B2419" s="1">
        <v>46131</v>
      </c>
      <c r="C2419">
        <v>2378066888</v>
      </c>
      <c r="D2419">
        <v>2378066903</v>
      </c>
      <c r="E2419" t="str">
        <f>T("마법사왕 아서 16화")</f>
        <v>마법사왕 아서 16화</v>
      </c>
      <c r="F2419">
        <v>16</v>
      </c>
      <c r="G2419" t="str">
        <f>T("하란사")</f>
        <v>하란사</v>
      </c>
      <c r="J2419" t="str">
        <f>T("매드햇")</f>
        <v>매드햇</v>
      </c>
      <c r="K2419" t="str">
        <f>T("마법사왕 아서")</f>
        <v>마법사왕 아서</v>
      </c>
      <c r="L2419">
        <v>0</v>
      </c>
      <c r="M2419">
        <v>0</v>
      </c>
      <c r="N2419">
        <v>0</v>
      </c>
      <c r="O2419">
        <v>2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0</v>
      </c>
      <c r="AH2419">
        <v>0</v>
      </c>
      <c r="AI2419">
        <v>0</v>
      </c>
      <c r="AJ2419">
        <v>2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S2419">
        <v>0</v>
      </c>
      <c r="AT2419">
        <v>0</v>
      </c>
      <c r="AV2419">
        <v>0</v>
      </c>
      <c r="AW2419">
        <v>0</v>
      </c>
      <c r="AY2419">
        <v>0</v>
      </c>
      <c r="AZ2419">
        <v>0</v>
      </c>
      <c r="BA2419">
        <v>0</v>
      </c>
      <c r="BE2419" t="str">
        <f>T("9791137019256")</f>
        <v>9791137019256</v>
      </c>
      <c r="BF2419" t="str">
        <f>T("k315127")</f>
        <v>k315127</v>
      </c>
      <c r="BG2419" t="str">
        <f>T("판타지 웹소설 &gt; 정통 판타지")</f>
        <v>판타지 웹소설 &gt; 정통 판타지</v>
      </c>
    </row>
    <row r="2420" spans="1:59">
      <c r="A2420" t="s">
        <v>60</v>
      </c>
      <c r="B2420" s="1">
        <v>46131</v>
      </c>
      <c r="C2420">
        <v>2378066888</v>
      </c>
      <c r="D2420">
        <v>2378066904</v>
      </c>
      <c r="E2420" t="str">
        <f>T("마법사왕 아서 17화")</f>
        <v>마법사왕 아서 17화</v>
      </c>
      <c r="F2420">
        <v>17</v>
      </c>
      <c r="G2420" t="str">
        <f>T("하란사")</f>
        <v>하란사</v>
      </c>
      <c r="J2420" t="str">
        <f>T("매드햇")</f>
        <v>매드햇</v>
      </c>
      <c r="K2420" t="str">
        <f>T("마법사왕 아서")</f>
        <v>마법사왕 아서</v>
      </c>
      <c r="L2420">
        <v>0</v>
      </c>
      <c r="M2420">
        <v>0</v>
      </c>
      <c r="N2420">
        <v>0</v>
      </c>
      <c r="O2420">
        <v>2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2</v>
      </c>
      <c r="AK2420">
        <v>0</v>
      </c>
      <c r="AL2420">
        <v>0</v>
      </c>
      <c r="AM2420">
        <v>0</v>
      </c>
      <c r="AN2420">
        <v>0</v>
      </c>
      <c r="AO2420">
        <v>0</v>
      </c>
      <c r="AP2420">
        <v>0</v>
      </c>
      <c r="AQ2420">
        <v>0</v>
      </c>
      <c r="AS2420">
        <v>0</v>
      </c>
      <c r="AT2420">
        <v>0</v>
      </c>
      <c r="AV2420">
        <v>0</v>
      </c>
      <c r="AW2420">
        <v>0</v>
      </c>
      <c r="AY2420">
        <v>0</v>
      </c>
      <c r="AZ2420">
        <v>0</v>
      </c>
      <c r="BA2420">
        <v>0</v>
      </c>
      <c r="BE2420" t="str">
        <f>T("9791137019256")</f>
        <v>9791137019256</v>
      </c>
      <c r="BF2420" t="str">
        <f>T("k315128")</f>
        <v>k315128</v>
      </c>
      <c r="BG2420" t="str">
        <f>T("판타지 웹소설 &gt; 정통 판타지")</f>
        <v>판타지 웹소설 &gt; 정통 판타지</v>
      </c>
    </row>
    <row r="2421" spans="1:59">
      <c r="A2421" t="s">
        <v>60</v>
      </c>
      <c r="B2421" s="1">
        <v>46131</v>
      </c>
      <c r="C2421">
        <v>2378066888</v>
      </c>
      <c r="D2421">
        <v>2378066905</v>
      </c>
      <c r="E2421" t="str">
        <f>T("마법사왕 아서 18화")</f>
        <v>마법사왕 아서 18화</v>
      </c>
      <c r="F2421">
        <v>18</v>
      </c>
      <c r="G2421" t="str">
        <f>T("하란사")</f>
        <v>하란사</v>
      </c>
      <c r="J2421" t="str">
        <f>T("매드햇")</f>
        <v>매드햇</v>
      </c>
      <c r="K2421" t="str">
        <f>T("마법사왕 아서")</f>
        <v>마법사왕 아서</v>
      </c>
      <c r="L2421">
        <v>0</v>
      </c>
      <c r="M2421">
        <v>0</v>
      </c>
      <c r="N2421">
        <v>0</v>
      </c>
      <c r="O2421">
        <v>2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2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0</v>
      </c>
      <c r="AQ2421">
        <v>0</v>
      </c>
      <c r="AS2421">
        <v>0</v>
      </c>
      <c r="AT2421">
        <v>0</v>
      </c>
      <c r="AV2421">
        <v>0</v>
      </c>
      <c r="AW2421">
        <v>0</v>
      </c>
      <c r="AY2421">
        <v>0</v>
      </c>
      <c r="AZ2421">
        <v>0</v>
      </c>
      <c r="BA2421">
        <v>0</v>
      </c>
      <c r="BE2421" t="str">
        <f>T("9791137019256")</f>
        <v>9791137019256</v>
      </c>
      <c r="BF2421" t="str">
        <f>T("k315129")</f>
        <v>k315129</v>
      </c>
      <c r="BG2421" t="str">
        <f>T("판타지 웹소설 &gt; 정통 판타지")</f>
        <v>판타지 웹소설 &gt; 정통 판타지</v>
      </c>
    </row>
    <row r="2422" spans="1:59">
      <c r="A2422" t="s">
        <v>60</v>
      </c>
      <c r="B2422" s="1">
        <v>46131</v>
      </c>
      <c r="C2422">
        <v>2378066888</v>
      </c>
      <c r="D2422">
        <v>2378066906</v>
      </c>
      <c r="E2422" t="str">
        <f>T("마법사왕 아서 19화")</f>
        <v>마법사왕 아서 19화</v>
      </c>
      <c r="F2422">
        <v>19</v>
      </c>
      <c r="G2422" t="str">
        <f>T("하란사")</f>
        <v>하란사</v>
      </c>
      <c r="J2422" t="str">
        <f>T("매드햇")</f>
        <v>매드햇</v>
      </c>
      <c r="K2422" t="str">
        <f>T("마법사왕 아서")</f>
        <v>마법사왕 아서</v>
      </c>
      <c r="L2422">
        <v>0</v>
      </c>
      <c r="M2422">
        <v>0</v>
      </c>
      <c r="N2422">
        <v>0</v>
      </c>
      <c r="O2422">
        <v>2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2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0</v>
      </c>
      <c r="AQ2422">
        <v>0</v>
      </c>
      <c r="AS2422">
        <v>0</v>
      </c>
      <c r="AT2422">
        <v>0</v>
      </c>
      <c r="AV2422">
        <v>0</v>
      </c>
      <c r="AW2422">
        <v>0</v>
      </c>
      <c r="AY2422">
        <v>0</v>
      </c>
      <c r="AZ2422">
        <v>0</v>
      </c>
      <c r="BA2422">
        <v>0</v>
      </c>
      <c r="BE2422" t="str">
        <f>T("9791137019256")</f>
        <v>9791137019256</v>
      </c>
      <c r="BF2422" t="str">
        <f>T("k315130")</f>
        <v>k315130</v>
      </c>
      <c r="BG2422" t="str">
        <f>T("판타지 웹소설 &gt; 정통 판타지")</f>
        <v>판타지 웹소설 &gt; 정통 판타지</v>
      </c>
    </row>
    <row r="2423" spans="1:59">
      <c r="A2423" t="s">
        <v>60</v>
      </c>
      <c r="B2423" s="1">
        <v>46131</v>
      </c>
      <c r="C2423">
        <v>2378066888</v>
      </c>
      <c r="D2423">
        <v>2378066907</v>
      </c>
      <c r="E2423" t="str">
        <f>T("마법사왕 아서 20화")</f>
        <v>마법사왕 아서 20화</v>
      </c>
      <c r="F2423">
        <v>20</v>
      </c>
      <c r="G2423" t="str">
        <f>T("하란사")</f>
        <v>하란사</v>
      </c>
      <c r="J2423" t="str">
        <f>T("매드햇")</f>
        <v>매드햇</v>
      </c>
      <c r="K2423" t="str">
        <f>T("마법사왕 아서")</f>
        <v>마법사왕 아서</v>
      </c>
      <c r="L2423">
        <v>0</v>
      </c>
      <c r="M2423">
        <v>0</v>
      </c>
      <c r="N2423">
        <v>0</v>
      </c>
      <c r="O2423">
        <v>2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2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0</v>
      </c>
      <c r="AQ2423">
        <v>0</v>
      </c>
      <c r="AS2423">
        <v>0</v>
      </c>
      <c r="AT2423">
        <v>0</v>
      </c>
      <c r="AV2423">
        <v>0</v>
      </c>
      <c r="AW2423">
        <v>0</v>
      </c>
      <c r="AY2423">
        <v>0</v>
      </c>
      <c r="AZ2423">
        <v>0</v>
      </c>
      <c r="BA2423">
        <v>0</v>
      </c>
      <c r="BE2423" t="str">
        <f>T("9791137019256")</f>
        <v>9791137019256</v>
      </c>
      <c r="BF2423" t="str">
        <f>T("k315131")</f>
        <v>k315131</v>
      </c>
      <c r="BG2423" t="str">
        <f>T("판타지 웹소설 &gt; 정통 판타지")</f>
        <v>판타지 웹소설 &gt; 정통 판타지</v>
      </c>
    </row>
    <row r="2424" spans="1:59">
      <c r="A2424" t="s">
        <v>60</v>
      </c>
      <c r="B2424" s="1">
        <v>46131</v>
      </c>
      <c r="C2424">
        <v>2378066888</v>
      </c>
      <c r="D2424">
        <v>2378067433</v>
      </c>
      <c r="E2424" t="str">
        <f>T("마법사왕 아서 103화")</f>
        <v>마법사왕 아서 103화</v>
      </c>
      <c r="F2424">
        <v>103</v>
      </c>
      <c r="G2424" t="str">
        <f>T("하란사")</f>
        <v>하란사</v>
      </c>
      <c r="J2424" t="str">
        <f>T("매드햇")</f>
        <v>매드햇</v>
      </c>
      <c r="K2424" t="str">
        <f>T("마법사왕 아서")</f>
        <v>마법사왕 아서</v>
      </c>
      <c r="L2424">
        <v>100</v>
      </c>
      <c r="M2424">
        <v>100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100</v>
      </c>
      <c r="AJ2424">
        <v>1</v>
      </c>
      <c r="AK2424">
        <v>0</v>
      </c>
      <c r="AL2424">
        <v>0</v>
      </c>
      <c r="AM2424">
        <v>100</v>
      </c>
      <c r="AN2424">
        <v>0</v>
      </c>
      <c r="AO2424">
        <v>0</v>
      </c>
      <c r="AP2424">
        <v>0</v>
      </c>
      <c r="AQ2424">
        <v>0</v>
      </c>
      <c r="AS2424">
        <v>0</v>
      </c>
      <c r="AT2424">
        <v>0</v>
      </c>
      <c r="AV2424">
        <v>0</v>
      </c>
      <c r="AW2424">
        <v>0</v>
      </c>
      <c r="AY2424">
        <v>0</v>
      </c>
      <c r="AZ2424">
        <v>0</v>
      </c>
      <c r="BA2424">
        <v>60</v>
      </c>
      <c r="BE2424" t="str">
        <f>T("9791137019256")</f>
        <v>9791137019256</v>
      </c>
      <c r="BF2424" t="str">
        <f>T("k315214")</f>
        <v>k315214</v>
      </c>
      <c r="BG2424" t="str">
        <f>T("판타지 웹소설 &gt; 정통 판타지")</f>
        <v>판타지 웹소설 &gt; 정통 판타지</v>
      </c>
    </row>
    <row r="2425" spans="1:59">
      <c r="A2425" t="s">
        <v>60</v>
      </c>
      <c r="B2425" s="1">
        <v>46131</v>
      </c>
      <c r="C2425">
        <v>2378066888</v>
      </c>
      <c r="D2425">
        <v>2378067464</v>
      </c>
      <c r="E2425" t="str">
        <f>T("마법사왕 아서 104화")</f>
        <v>마법사왕 아서 104화</v>
      </c>
      <c r="F2425">
        <v>104</v>
      </c>
      <c r="G2425" t="str">
        <f>T("하란사")</f>
        <v>하란사</v>
      </c>
      <c r="J2425" t="str">
        <f>T("매드햇")</f>
        <v>매드햇</v>
      </c>
      <c r="K2425" t="str">
        <f>T("마법사왕 아서")</f>
        <v>마법사왕 아서</v>
      </c>
      <c r="L2425">
        <v>100</v>
      </c>
      <c r="M2425">
        <v>100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100</v>
      </c>
      <c r="AJ2425">
        <v>1</v>
      </c>
      <c r="AK2425">
        <v>0</v>
      </c>
      <c r="AL2425">
        <v>0</v>
      </c>
      <c r="AM2425">
        <v>100</v>
      </c>
      <c r="AN2425">
        <v>0</v>
      </c>
      <c r="AO2425">
        <v>0</v>
      </c>
      <c r="AP2425">
        <v>0</v>
      </c>
      <c r="AQ2425">
        <v>0</v>
      </c>
      <c r="AS2425">
        <v>0</v>
      </c>
      <c r="AT2425">
        <v>0</v>
      </c>
      <c r="AV2425">
        <v>0</v>
      </c>
      <c r="AW2425">
        <v>0</v>
      </c>
      <c r="AY2425">
        <v>0</v>
      </c>
      <c r="AZ2425">
        <v>0</v>
      </c>
      <c r="BA2425">
        <v>60</v>
      </c>
      <c r="BE2425" t="str">
        <f>T("9791137019256")</f>
        <v>9791137019256</v>
      </c>
      <c r="BF2425" t="str">
        <f>T("k315215")</f>
        <v>k315215</v>
      </c>
      <c r="BG2425" t="str">
        <f>T("판타지 웹소설 &gt; 정통 판타지")</f>
        <v>판타지 웹소설 &gt; 정통 판타지</v>
      </c>
    </row>
    <row r="2426" spans="1:59">
      <c r="A2426" t="s">
        <v>60</v>
      </c>
      <c r="B2426" s="1">
        <v>46131</v>
      </c>
      <c r="C2426">
        <v>2378066888</v>
      </c>
      <c r="D2426">
        <v>2378067465</v>
      </c>
      <c r="E2426" t="str">
        <f>T("마법사왕 아서 105화")</f>
        <v>마법사왕 아서 105화</v>
      </c>
      <c r="F2426">
        <v>105</v>
      </c>
      <c r="G2426" t="str">
        <f>T("하란사")</f>
        <v>하란사</v>
      </c>
      <c r="J2426" t="str">
        <f>T("매드햇")</f>
        <v>매드햇</v>
      </c>
      <c r="K2426" t="str">
        <f>T("마법사왕 아서")</f>
        <v>마법사왕 아서</v>
      </c>
      <c r="L2426">
        <v>100</v>
      </c>
      <c r="M2426">
        <v>100</v>
      </c>
      <c r="N2426">
        <v>1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100</v>
      </c>
      <c r="AJ2426">
        <v>1</v>
      </c>
      <c r="AK2426">
        <v>0</v>
      </c>
      <c r="AL2426">
        <v>0</v>
      </c>
      <c r="AM2426">
        <v>100</v>
      </c>
      <c r="AN2426">
        <v>0</v>
      </c>
      <c r="AO2426">
        <v>0</v>
      </c>
      <c r="AP2426">
        <v>0</v>
      </c>
      <c r="AQ2426">
        <v>0</v>
      </c>
      <c r="AS2426">
        <v>0</v>
      </c>
      <c r="AT2426">
        <v>0</v>
      </c>
      <c r="AV2426">
        <v>0</v>
      </c>
      <c r="AW2426">
        <v>0</v>
      </c>
      <c r="AY2426">
        <v>0</v>
      </c>
      <c r="AZ2426">
        <v>0</v>
      </c>
      <c r="BA2426">
        <v>60</v>
      </c>
      <c r="BE2426" t="str">
        <f>T("9791137019256")</f>
        <v>9791137019256</v>
      </c>
      <c r="BF2426" t="str">
        <f>T("k315216")</f>
        <v>k315216</v>
      </c>
      <c r="BG2426" t="str">
        <f>T("판타지 웹소설 &gt; 정통 판타지")</f>
        <v>판타지 웹소설 &gt; 정통 판타지</v>
      </c>
    </row>
    <row r="2427" spans="1:59">
      <c r="A2427" t="s">
        <v>60</v>
      </c>
      <c r="B2427" s="1">
        <v>46131</v>
      </c>
      <c r="C2427">
        <v>2378066888</v>
      </c>
      <c r="D2427">
        <v>2378067627</v>
      </c>
      <c r="E2427" t="str">
        <f>T("마법사왕 아서 106화")</f>
        <v>마법사왕 아서 106화</v>
      </c>
      <c r="F2427">
        <v>106</v>
      </c>
      <c r="G2427" t="str">
        <f>T("하란사")</f>
        <v>하란사</v>
      </c>
      <c r="J2427" t="str">
        <f>T("매드햇")</f>
        <v>매드햇</v>
      </c>
      <c r="K2427" t="str">
        <f>T("마법사왕 아서")</f>
        <v>마법사왕 아서</v>
      </c>
      <c r="L2427">
        <v>100</v>
      </c>
      <c r="M2427">
        <v>100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100</v>
      </c>
      <c r="AJ2427">
        <v>1</v>
      </c>
      <c r="AK2427">
        <v>0</v>
      </c>
      <c r="AL2427">
        <v>0</v>
      </c>
      <c r="AM2427">
        <v>100</v>
      </c>
      <c r="AN2427">
        <v>0</v>
      </c>
      <c r="AO2427">
        <v>0</v>
      </c>
      <c r="AP2427">
        <v>0</v>
      </c>
      <c r="AQ2427">
        <v>0</v>
      </c>
      <c r="AS2427">
        <v>0</v>
      </c>
      <c r="AT2427">
        <v>0</v>
      </c>
      <c r="AV2427">
        <v>0</v>
      </c>
      <c r="AW2427">
        <v>0</v>
      </c>
      <c r="AY2427">
        <v>0</v>
      </c>
      <c r="AZ2427">
        <v>0</v>
      </c>
      <c r="BA2427">
        <v>60</v>
      </c>
      <c r="BE2427" t="str">
        <f>T("9791137019256")</f>
        <v>9791137019256</v>
      </c>
      <c r="BF2427" t="str">
        <f>T("k315217")</f>
        <v>k315217</v>
      </c>
      <c r="BG2427" t="str">
        <f>T("판타지 웹소설 &gt; 정통 판타지")</f>
        <v>판타지 웹소설 &gt; 정통 판타지</v>
      </c>
    </row>
    <row r="2428" spans="1:59">
      <c r="A2428" t="s">
        <v>60</v>
      </c>
      <c r="B2428" s="1">
        <v>46131</v>
      </c>
      <c r="C2428">
        <v>2378066888</v>
      </c>
      <c r="D2428">
        <v>2378067628</v>
      </c>
      <c r="E2428" t="str">
        <f>T("마법사왕 아서 107화")</f>
        <v>마법사왕 아서 107화</v>
      </c>
      <c r="F2428">
        <v>107</v>
      </c>
      <c r="G2428" t="str">
        <f>T("하란사")</f>
        <v>하란사</v>
      </c>
      <c r="J2428" t="str">
        <f>T("매드햇")</f>
        <v>매드햇</v>
      </c>
      <c r="K2428" t="str">
        <f>T("마법사왕 아서")</f>
        <v>마법사왕 아서</v>
      </c>
      <c r="L2428">
        <v>100</v>
      </c>
      <c r="M2428">
        <v>100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100</v>
      </c>
      <c r="AJ2428">
        <v>1</v>
      </c>
      <c r="AK2428">
        <v>0</v>
      </c>
      <c r="AL2428">
        <v>0</v>
      </c>
      <c r="AM2428">
        <v>100</v>
      </c>
      <c r="AN2428">
        <v>0</v>
      </c>
      <c r="AO2428">
        <v>0</v>
      </c>
      <c r="AP2428">
        <v>0</v>
      </c>
      <c r="AQ2428">
        <v>0</v>
      </c>
      <c r="AS2428">
        <v>0</v>
      </c>
      <c r="AT2428">
        <v>0</v>
      </c>
      <c r="AV2428">
        <v>0</v>
      </c>
      <c r="AW2428">
        <v>0</v>
      </c>
      <c r="AY2428">
        <v>0</v>
      </c>
      <c r="AZ2428">
        <v>0</v>
      </c>
      <c r="BA2428">
        <v>60</v>
      </c>
      <c r="BE2428" t="str">
        <f>T("9791137019256")</f>
        <v>9791137019256</v>
      </c>
      <c r="BF2428" t="str">
        <f>T("k315218")</f>
        <v>k315218</v>
      </c>
      <c r="BG2428" t="str">
        <f>T("판타지 웹소설 &gt; 정통 판타지")</f>
        <v>판타지 웹소설 &gt; 정통 판타지</v>
      </c>
    </row>
    <row r="2429" spans="1:59">
      <c r="A2429" t="s">
        <v>60</v>
      </c>
      <c r="B2429" s="1">
        <v>46131</v>
      </c>
      <c r="C2429">
        <v>2378066888</v>
      </c>
      <c r="D2429">
        <v>2378067665</v>
      </c>
      <c r="E2429" t="str">
        <f>T("마법사왕 아서 108화")</f>
        <v>마법사왕 아서 108화</v>
      </c>
      <c r="F2429">
        <v>108</v>
      </c>
      <c r="G2429" t="str">
        <f>T("하란사")</f>
        <v>하란사</v>
      </c>
      <c r="J2429" t="str">
        <f>T("매드햇")</f>
        <v>매드햇</v>
      </c>
      <c r="K2429" t="str">
        <f>T("마법사왕 아서")</f>
        <v>마법사왕 아서</v>
      </c>
      <c r="L2429">
        <v>100</v>
      </c>
      <c r="M2429">
        <v>100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0</v>
      </c>
      <c r="AH2429">
        <v>0</v>
      </c>
      <c r="AI2429">
        <v>100</v>
      </c>
      <c r="AJ2429">
        <v>1</v>
      </c>
      <c r="AK2429">
        <v>0</v>
      </c>
      <c r="AL2429">
        <v>0</v>
      </c>
      <c r="AM2429">
        <v>100</v>
      </c>
      <c r="AN2429">
        <v>0</v>
      </c>
      <c r="AO2429">
        <v>0</v>
      </c>
      <c r="AP2429">
        <v>0</v>
      </c>
      <c r="AQ2429">
        <v>0</v>
      </c>
      <c r="AS2429">
        <v>0</v>
      </c>
      <c r="AT2429">
        <v>0</v>
      </c>
      <c r="AV2429">
        <v>0</v>
      </c>
      <c r="AW2429">
        <v>0</v>
      </c>
      <c r="AY2429">
        <v>0</v>
      </c>
      <c r="AZ2429">
        <v>0</v>
      </c>
      <c r="BA2429">
        <v>60</v>
      </c>
      <c r="BE2429" t="str">
        <f>T("9791137019256")</f>
        <v>9791137019256</v>
      </c>
      <c r="BF2429" t="str">
        <f>T("k315219")</f>
        <v>k315219</v>
      </c>
      <c r="BG2429" t="str">
        <f>T("판타지 웹소설 &gt; 정통 판타지")</f>
        <v>판타지 웹소설 &gt; 정통 판타지</v>
      </c>
    </row>
    <row r="2430" spans="1:59">
      <c r="A2430" t="s">
        <v>60</v>
      </c>
      <c r="B2430" s="1">
        <v>46131</v>
      </c>
      <c r="C2430">
        <v>2378066888</v>
      </c>
      <c r="D2430">
        <v>2378067666</v>
      </c>
      <c r="E2430" t="str">
        <f>T("마법사왕 아서 109화")</f>
        <v>마법사왕 아서 109화</v>
      </c>
      <c r="F2430">
        <v>109</v>
      </c>
      <c r="G2430" t="str">
        <f>T("하란사")</f>
        <v>하란사</v>
      </c>
      <c r="J2430" t="str">
        <f>T("매드햇")</f>
        <v>매드햇</v>
      </c>
      <c r="K2430" t="str">
        <f>T("마법사왕 아서")</f>
        <v>마법사왕 아서</v>
      </c>
      <c r="L2430">
        <v>100</v>
      </c>
      <c r="M2430">
        <v>100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100</v>
      </c>
      <c r="AJ2430">
        <v>1</v>
      </c>
      <c r="AK2430">
        <v>0</v>
      </c>
      <c r="AL2430">
        <v>0</v>
      </c>
      <c r="AM2430">
        <v>100</v>
      </c>
      <c r="AN2430">
        <v>0</v>
      </c>
      <c r="AO2430">
        <v>0</v>
      </c>
      <c r="AP2430">
        <v>0</v>
      </c>
      <c r="AQ2430">
        <v>0</v>
      </c>
      <c r="AS2430">
        <v>0</v>
      </c>
      <c r="AT2430">
        <v>0</v>
      </c>
      <c r="AV2430">
        <v>0</v>
      </c>
      <c r="AW2430">
        <v>0</v>
      </c>
      <c r="AY2430">
        <v>0</v>
      </c>
      <c r="AZ2430">
        <v>0</v>
      </c>
      <c r="BA2430">
        <v>60</v>
      </c>
      <c r="BE2430" t="str">
        <f>T("9791137019256")</f>
        <v>9791137019256</v>
      </c>
      <c r="BF2430" t="str">
        <f>T("k315220")</f>
        <v>k315220</v>
      </c>
      <c r="BG2430" t="str">
        <f>T("판타지 웹소설 &gt; 정통 판타지")</f>
        <v>판타지 웹소설 &gt; 정통 판타지</v>
      </c>
    </row>
    <row r="2431" spans="1:59">
      <c r="A2431" t="s">
        <v>60</v>
      </c>
      <c r="B2431" s="1">
        <v>46131</v>
      </c>
      <c r="C2431">
        <v>2378066888</v>
      </c>
      <c r="D2431">
        <v>2378067825</v>
      </c>
      <c r="E2431" t="str">
        <f>T("마법사왕 아서 110화")</f>
        <v>마법사왕 아서 110화</v>
      </c>
      <c r="F2431">
        <v>110</v>
      </c>
      <c r="G2431" t="str">
        <f>T("하란사")</f>
        <v>하란사</v>
      </c>
      <c r="J2431" t="str">
        <f>T("매드햇")</f>
        <v>매드햇</v>
      </c>
      <c r="K2431" t="str">
        <f>T("마법사왕 아서")</f>
        <v>마법사왕 아서</v>
      </c>
      <c r="L2431">
        <v>100</v>
      </c>
      <c r="M2431">
        <v>100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100</v>
      </c>
      <c r="AJ2431">
        <v>1</v>
      </c>
      <c r="AK2431">
        <v>0</v>
      </c>
      <c r="AL2431">
        <v>0</v>
      </c>
      <c r="AM2431">
        <v>100</v>
      </c>
      <c r="AN2431">
        <v>0</v>
      </c>
      <c r="AO2431">
        <v>0</v>
      </c>
      <c r="AP2431">
        <v>0</v>
      </c>
      <c r="AQ2431">
        <v>0</v>
      </c>
      <c r="AS2431">
        <v>0</v>
      </c>
      <c r="AT2431">
        <v>0</v>
      </c>
      <c r="AV2431">
        <v>0</v>
      </c>
      <c r="AW2431">
        <v>0</v>
      </c>
      <c r="AY2431">
        <v>0</v>
      </c>
      <c r="AZ2431">
        <v>0</v>
      </c>
      <c r="BA2431">
        <v>60</v>
      </c>
      <c r="BE2431" t="str">
        <f>T("9791137019256")</f>
        <v>9791137019256</v>
      </c>
      <c r="BF2431" t="str">
        <f>T("k315221")</f>
        <v>k315221</v>
      </c>
      <c r="BG2431" t="str">
        <f>T("판타지 웹소설 &gt; 정통 판타지")</f>
        <v>판타지 웹소설 &gt; 정통 판타지</v>
      </c>
    </row>
    <row r="2432" spans="1:59">
      <c r="A2432" t="s">
        <v>60</v>
      </c>
      <c r="B2432" s="1">
        <v>46131</v>
      </c>
      <c r="C2432">
        <v>2378066888</v>
      </c>
      <c r="D2432">
        <v>2378067826</v>
      </c>
      <c r="E2432" t="str">
        <f>T("마법사왕 아서 111화")</f>
        <v>마법사왕 아서 111화</v>
      </c>
      <c r="F2432">
        <v>111</v>
      </c>
      <c r="G2432" t="str">
        <f>T("하란사")</f>
        <v>하란사</v>
      </c>
      <c r="J2432" t="str">
        <f>T("매드햇")</f>
        <v>매드햇</v>
      </c>
      <c r="K2432" t="str">
        <f>T("마법사왕 아서")</f>
        <v>마법사왕 아서</v>
      </c>
      <c r="L2432">
        <v>100</v>
      </c>
      <c r="M2432">
        <v>100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0</v>
      </c>
      <c r="AI2432">
        <v>100</v>
      </c>
      <c r="AJ2432">
        <v>1</v>
      </c>
      <c r="AK2432">
        <v>0</v>
      </c>
      <c r="AL2432">
        <v>0</v>
      </c>
      <c r="AM2432">
        <v>100</v>
      </c>
      <c r="AN2432">
        <v>0</v>
      </c>
      <c r="AO2432">
        <v>0</v>
      </c>
      <c r="AP2432">
        <v>0</v>
      </c>
      <c r="AQ2432">
        <v>0</v>
      </c>
      <c r="AS2432">
        <v>0</v>
      </c>
      <c r="AT2432">
        <v>0</v>
      </c>
      <c r="AV2432">
        <v>0</v>
      </c>
      <c r="AW2432">
        <v>0</v>
      </c>
      <c r="AY2432">
        <v>0</v>
      </c>
      <c r="AZ2432">
        <v>0</v>
      </c>
      <c r="BA2432">
        <v>60</v>
      </c>
      <c r="BE2432" t="str">
        <f>T("9791137019256")</f>
        <v>9791137019256</v>
      </c>
      <c r="BF2432" t="str">
        <f>T("k332705")</f>
        <v>k332705</v>
      </c>
      <c r="BG2432" t="str">
        <f>T("판타지 웹소설 &gt; 정통 판타지")</f>
        <v>판타지 웹소설 &gt; 정통 판타지</v>
      </c>
    </row>
    <row r="2433" spans="1:59">
      <c r="A2433" t="s">
        <v>60</v>
      </c>
      <c r="B2433" s="1">
        <v>46131</v>
      </c>
      <c r="C2433">
        <v>2378066888</v>
      </c>
      <c r="D2433">
        <v>2378067844</v>
      </c>
      <c r="E2433" t="str">
        <f>T("마법사왕 아서 112화")</f>
        <v>마법사왕 아서 112화</v>
      </c>
      <c r="F2433">
        <v>112</v>
      </c>
      <c r="G2433" t="str">
        <f>T("하란사")</f>
        <v>하란사</v>
      </c>
      <c r="J2433" t="str">
        <f>T("매드햇")</f>
        <v>매드햇</v>
      </c>
      <c r="K2433" t="str">
        <f>T("마법사왕 아서")</f>
        <v>마법사왕 아서</v>
      </c>
      <c r="L2433">
        <v>100</v>
      </c>
      <c r="M2433">
        <v>100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100</v>
      </c>
      <c r="AJ2433">
        <v>1</v>
      </c>
      <c r="AK2433">
        <v>0</v>
      </c>
      <c r="AL2433">
        <v>0</v>
      </c>
      <c r="AM2433">
        <v>100</v>
      </c>
      <c r="AN2433">
        <v>0</v>
      </c>
      <c r="AO2433">
        <v>0</v>
      </c>
      <c r="AP2433">
        <v>0</v>
      </c>
      <c r="AQ2433">
        <v>0</v>
      </c>
      <c r="AS2433">
        <v>0</v>
      </c>
      <c r="AT2433">
        <v>0</v>
      </c>
      <c r="AV2433">
        <v>0</v>
      </c>
      <c r="AW2433">
        <v>0</v>
      </c>
      <c r="AY2433">
        <v>0</v>
      </c>
      <c r="AZ2433">
        <v>0</v>
      </c>
      <c r="BA2433">
        <v>60</v>
      </c>
      <c r="BE2433" t="str">
        <f>T("9791137019256")</f>
        <v>9791137019256</v>
      </c>
      <c r="BF2433" t="str">
        <f>T("k332706")</f>
        <v>k332706</v>
      </c>
      <c r="BG2433" t="str">
        <f>T("판타지 웹소설 &gt; 정통 판타지")</f>
        <v>판타지 웹소설 &gt; 정통 판타지</v>
      </c>
    </row>
    <row r="2434" spans="1:59">
      <c r="A2434" t="s">
        <v>60</v>
      </c>
      <c r="B2434" s="1">
        <v>46131</v>
      </c>
      <c r="C2434">
        <v>2378066888</v>
      </c>
      <c r="D2434">
        <v>2378067855</v>
      </c>
      <c r="E2434" t="str">
        <f>T("마법사왕 아서 113화")</f>
        <v>마법사왕 아서 113화</v>
      </c>
      <c r="F2434">
        <v>113</v>
      </c>
      <c r="G2434" t="str">
        <f>T("하란사")</f>
        <v>하란사</v>
      </c>
      <c r="J2434" t="str">
        <f>T("매드햇")</f>
        <v>매드햇</v>
      </c>
      <c r="K2434" t="str">
        <f>T("마법사왕 아서")</f>
        <v>마법사왕 아서</v>
      </c>
      <c r="L2434">
        <v>100</v>
      </c>
      <c r="M2434">
        <v>100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100</v>
      </c>
      <c r="AJ2434">
        <v>1</v>
      </c>
      <c r="AK2434">
        <v>0</v>
      </c>
      <c r="AL2434">
        <v>0</v>
      </c>
      <c r="AM2434">
        <v>100</v>
      </c>
      <c r="AN2434">
        <v>0</v>
      </c>
      <c r="AO2434">
        <v>0</v>
      </c>
      <c r="AP2434">
        <v>0</v>
      </c>
      <c r="AQ2434">
        <v>0</v>
      </c>
      <c r="AS2434">
        <v>0</v>
      </c>
      <c r="AT2434">
        <v>0</v>
      </c>
      <c r="AV2434">
        <v>0</v>
      </c>
      <c r="AW2434">
        <v>0</v>
      </c>
      <c r="AY2434">
        <v>0</v>
      </c>
      <c r="AZ2434">
        <v>0</v>
      </c>
      <c r="BA2434">
        <v>60</v>
      </c>
      <c r="BE2434" t="str">
        <f>T("9791137019256")</f>
        <v>9791137019256</v>
      </c>
      <c r="BF2434" t="str">
        <f>T("k339982")</f>
        <v>k339982</v>
      </c>
      <c r="BG2434" t="str">
        <f>T("판타지 웹소설 &gt; 정통 판타지")</f>
        <v>판타지 웹소설 &gt; 정통 판타지</v>
      </c>
    </row>
    <row r="2435" spans="1:59">
      <c r="A2435" t="s">
        <v>60</v>
      </c>
      <c r="B2435" s="1">
        <v>46131</v>
      </c>
      <c r="C2435">
        <v>2378066888</v>
      </c>
      <c r="D2435">
        <v>2378067856</v>
      </c>
      <c r="E2435" t="str">
        <f>T("마법사왕 아서 114화")</f>
        <v>마법사왕 아서 114화</v>
      </c>
      <c r="F2435">
        <v>114</v>
      </c>
      <c r="G2435" t="str">
        <f>T("하란사")</f>
        <v>하란사</v>
      </c>
      <c r="J2435" t="str">
        <f>T("매드햇")</f>
        <v>매드햇</v>
      </c>
      <c r="K2435" t="str">
        <f>T("마법사왕 아서")</f>
        <v>마법사왕 아서</v>
      </c>
      <c r="L2435">
        <v>100</v>
      </c>
      <c r="M2435">
        <v>100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100</v>
      </c>
      <c r="AJ2435">
        <v>1</v>
      </c>
      <c r="AK2435">
        <v>0</v>
      </c>
      <c r="AL2435">
        <v>0</v>
      </c>
      <c r="AM2435">
        <v>100</v>
      </c>
      <c r="AN2435">
        <v>0</v>
      </c>
      <c r="AO2435">
        <v>0</v>
      </c>
      <c r="AP2435">
        <v>0</v>
      </c>
      <c r="AQ2435">
        <v>0</v>
      </c>
      <c r="AS2435">
        <v>0</v>
      </c>
      <c r="AT2435">
        <v>0</v>
      </c>
      <c r="AV2435">
        <v>0</v>
      </c>
      <c r="AW2435">
        <v>0</v>
      </c>
      <c r="AY2435">
        <v>0</v>
      </c>
      <c r="AZ2435">
        <v>0</v>
      </c>
      <c r="BA2435">
        <v>60</v>
      </c>
      <c r="BE2435" t="str">
        <f>T("9791137019256")</f>
        <v>9791137019256</v>
      </c>
      <c r="BF2435" t="str">
        <f>T("k339983")</f>
        <v>k339983</v>
      </c>
      <c r="BG2435" t="str">
        <f>T("판타지 웹소설 &gt; 정통 판타지")</f>
        <v>판타지 웹소설 &gt; 정통 판타지</v>
      </c>
    </row>
    <row r="2436" spans="1:59">
      <c r="A2436" t="s">
        <v>60</v>
      </c>
      <c r="B2436" s="1">
        <v>46131</v>
      </c>
      <c r="C2436">
        <v>2378066888</v>
      </c>
      <c r="D2436">
        <v>2378067888</v>
      </c>
      <c r="E2436" t="str">
        <f>T("마법사왕 아서 115화")</f>
        <v>마법사왕 아서 115화</v>
      </c>
      <c r="F2436">
        <v>115</v>
      </c>
      <c r="G2436" t="str">
        <f>T("하란사")</f>
        <v>하란사</v>
      </c>
      <c r="J2436" t="str">
        <f>T("매드햇")</f>
        <v>매드햇</v>
      </c>
      <c r="K2436" t="str">
        <f>T("마법사왕 아서")</f>
        <v>마법사왕 아서</v>
      </c>
      <c r="L2436">
        <v>100</v>
      </c>
      <c r="M2436">
        <v>100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100</v>
      </c>
      <c r="AJ2436">
        <v>1</v>
      </c>
      <c r="AK2436">
        <v>0</v>
      </c>
      <c r="AL2436">
        <v>0</v>
      </c>
      <c r="AM2436">
        <v>100</v>
      </c>
      <c r="AN2436">
        <v>0</v>
      </c>
      <c r="AO2436">
        <v>0</v>
      </c>
      <c r="AP2436">
        <v>0</v>
      </c>
      <c r="AQ2436">
        <v>0</v>
      </c>
      <c r="AS2436">
        <v>0</v>
      </c>
      <c r="AT2436">
        <v>0</v>
      </c>
      <c r="AV2436">
        <v>0</v>
      </c>
      <c r="AW2436">
        <v>0</v>
      </c>
      <c r="AY2436">
        <v>0</v>
      </c>
      <c r="AZ2436">
        <v>0</v>
      </c>
      <c r="BA2436">
        <v>60</v>
      </c>
      <c r="BE2436" t="str">
        <f>T("9791137019256")</f>
        <v>9791137019256</v>
      </c>
      <c r="BF2436" t="str">
        <f>T("k339984")</f>
        <v>k339984</v>
      </c>
      <c r="BG2436" t="str">
        <f>T("판타지 웹소설 &gt; 정통 판타지")</f>
        <v>판타지 웹소설 &gt; 정통 판타지</v>
      </c>
    </row>
    <row r="2437" spans="1:59">
      <c r="A2437" t="s">
        <v>60</v>
      </c>
      <c r="B2437" s="1">
        <v>46131</v>
      </c>
      <c r="C2437">
        <v>2378066888</v>
      </c>
      <c r="D2437">
        <v>2378067913</v>
      </c>
      <c r="E2437" t="str">
        <f>T("마법사왕 아서 116화")</f>
        <v>마법사왕 아서 116화</v>
      </c>
      <c r="F2437">
        <v>116</v>
      </c>
      <c r="G2437" t="str">
        <f>T("하란사")</f>
        <v>하란사</v>
      </c>
      <c r="J2437" t="str">
        <f>T("매드햇")</f>
        <v>매드햇</v>
      </c>
      <c r="K2437" t="str">
        <f>T("마법사왕 아서")</f>
        <v>마법사왕 아서</v>
      </c>
      <c r="L2437">
        <v>100</v>
      </c>
      <c r="M2437">
        <v>100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100</v>
      </c>
      <c r="AJ2437">
        <v>1</v>
      </c>
      <c r="AK2437">
        <v>0</v>
      </c>
      <c r="AL2437">
        <v>0</v>
      </c>
      <c r="AM2437">
        <v>100</v>
      </c>
      <c r="AN2437">
        <v>0</v>
      </c>
      <c r="AO2437">
        <v>0</v>
      </c>
      <c r="AP2437">
        <v>0</v>
      </c>
      <c r="AQ2437">
        <v>0</v>
      </c>
      <c r="AS2437">
        <v>0</v>
      </c>
      <c r="AT2437">
        <v>0</v>
      </c>
      <c r="AV2437">
        <v>0</v>
      </c>
      <c r="AW2437">
        <v>0</v>
      </c>
      <c r="AY2437">
        <v>0</v>
      </c>
      <c r="AZ2437">
        <v>0</v>
      </c>
      <c r="BA2437">
        <v>60</v>
      </c>
      <c r="BE2437" t="str">
        <f>T("9791137019256")</f>
        <v>9791137019256</v>
      </c>
      <c r="BF2437" t="str">
        <f>T("k339985")</f>
        <v>k339985</v>
      </c>
      <c r="BG2437" t="str">
        <f>T("판타지 웹소설 &gt; 정통 판타지")</f>
        <v>판타지 웹소설 &gt; 정통 판타지</v>
      </c>
    </row>
    <row r="2438" spans="1:59">
      <c r="A2438" t="s">
        <v>60</v>
      </c>
      <c r="B2438" s="1">
        <v>46131</v>
      </c>
      <c r="C2438">
        <v>2378066888</v>
      </c>
      <c r="D2438">
        <v>2378067920</v>
      </c>
      <c r="E2438" t="str">
        <f>T("마법사왕 아서 117화")</f>
        <v>마법사왕 아서 117화</v>
      </c>
      <c r="F2438">
        <v>117</v>
      </c>
      <c r="G2438" t="str">
        <f>T("하란사")</f>
        <v>하란사</v>
      </c>
      <c r="J2438" t="str">
        <f>T("매드햇")</f>
        <v>매드햇</v>
      </c>
      <c r="K2438" t="str">
        <f>T("마법사왕 아서")</f>
        <v>마법사왕 아서</v>
      </c>
      <c r="L2438">
        <v>100</v>
      </c>
      <c r="M2438">
        <v>100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100</v>
      </c>
      <c r="AJ2438">
        <v>1</v>
      </c>
      <c r="AK2438">
        <v>0</v>
      </c>
      <c r="AL2438">
        <v>0</v>
      </c>
      <c r="AM2438">
        <v>100</v>
      </c>
      <c r="AN2438">
        <v>0</v>
      </c>
      <c r="AO2438">
        <v>0</v>
      </c>
      <c r="AP2438">
        <v>0</v>
      </c>
      <c r="AQ2438">
        <v>0</v>
      </c>
      <c r="AS2438">
        <v>0</v>
      </c>
      <c r="AT2438">
        <v>0</v>
      </c>
      <c r="AV2438">
        <v>0</v>
      </c>
      <c r="AW2438">
        <v>0</v>
      </c>
      <c r="AY2438">
        <v>0</v>
      </c>
      <c r="AZ2438">
        <v>0</v>
      </c>
      <c r="BA2438">
        <v>60</v>
      </c>
      <c r="BE2438" t="str">
        <f>T("9791137019256")</f>
        <v>9791137019256</v>
      </c>
      <c r="BF2438" t="str">
        <f>T("k339986")</f>
        <v>k339986</v>
      </c>
      <c r="BG2438" t="str">
        <f>T("판타지 웹소설 &gt; 정통 판타지")</f>
        <v>판타지 웹소설 &gt; 정통 판타지</v>
      </c>
    </row>
    <row r="2439" spans="1:59">
      <c r="A2439" t="s">
        <v>60</v>
      </c>
      <c r="B2439" s="1">
        <v>46131</v>
      </c>
      <c r="C2439">
        <v>2378066888</v>
      </c>
      <c r="D2439">
        <v>2378067934</v>
      </c>
      <c r="E2439" t="str">
        <f>T("마법사왕 아서 118화")</f>
        <v>마법사왕 아서 118화</v>
      </c>
      <c r="F2439">
        <v>118</v>
      </c>
      <c r="G2439" t="str">
        <f>T("하란사")</f>
        <v>하란사</v>
      </c>
      <c r="J2439" t="str">
        <f>T("매드햇")</f>
        <v>매드햇</v>
      </c>
      <c r="K2439" t="str">
        <f>T("마법사왕 아서")</f>
        <v>마법사왕 아서</v>
      </c>
      <c r="L2439">
        <v>100</v>
      </c>
      <c r="M2439">
        <v>100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0</v>
      </c>
      <c r="AG2439">
        <v>0</v>
      </c>
      <c r="AH2439">
        <v>0</v>
      </c>
      <c r="AI2439">
        <v>100</v>
      </c>
      <c r="AJ2439">
        <v>1</v>
      </c>
      <c r="AK2439">
        <v>0</v>
      </c>
      <c r="AL2439">
        <v>0</v>
      </c>
      <c r="AM2439">
        <v>100</v>
      </c>
      <c r="AN2439">
        <v>0</v>
      </c>
      <c r="AO2439">
        <v>0</v>
      </c>
      <c r="AP2439">
        <v>0</v>
      </c>
      <c r="AQ2439">
        <v>0</v>
      </c>
      <c r="AS2439">
        <v>0</v>
      </c>
      <c r="AT2439">
        <v>0</v>
      </c>
      <c r="AV2439">
        <v>0</v>
      </c>
      <c r="AW2439">
        <v>0</v>
      </c>
      <c r="AY2439">
        <v>0</v>
      </c>
      <c r="AZ2439">
        <v>0</v>
      </c>
      <c r="BA2439">
        <v>60</v>
      </c>
      <c r="BE2439" t="str">
        <f>T("9791137019256")</f>
        <v>9791137019256</v>
      </c>
      <c r="BF2439" t="str">
        <f>T("k345058")</f>
        <v>k345058</v>
      </c>
      <c r="BG2439" t="str">
        <f>T("판타지 웹소설 &gt; 정통 판타지")</f>
        <v>판타지 웹소설 &gt; 정통 판타지</v>
      </c>
    </row>
    <row r="2440" spans="1:59">
      <c r="A2440" t="s">
        <v>60</v>
      </c>
      <c r="B2440" s="1">
        <v>46131</v>
      </c>
      <c r="C2440">
        <v>2378066888</v>
      </c>
      <c r="D2440">
        <v>2378067950</v>
      </c>
      <c r="E2440" t="str">
        <f>T("마법사왕 아서 119화")</f>
        <v>마법사왕 아서 119화</v>
      </c>
      <c r="F2440">
        <v>119</v>
      </c>
      <c r="G2440" t="str">
        <f>T("하란사")</f>
        <v>하란사</v>
      </c>
      <c r="J2440" t="str">
        <f>T("매드햇")</f>
        <v>매드햇</v>
      </c>
      <c r="K2440" t="str">
        <f>T("마법사왕 아서")</f>
        <v>마법사왕 아서</v>
      </c>
      <c r="L2440">
        <v>100</v>
      </c>
      <c r="M2440">
        <v>100</v>
      </c>
      <c r="N2440">
        <v>1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100</v>
      </c>
      <c r="AJ2440">
        <v>1</v>
      </c>
      <c r="AK2440">
        <v>0</v>
      </c>
      <c r="AL2440">
        <v>0</v>
      </c>
      <c r="AM2440">
        <v>100</v>
      </c>
      <c r="AN2440">
        <v>0</v>
      </c>
      <c r="AO2440">
        <v>0</v>
      </c>
      <c r="AP2440">
        <v>0</v>
      </c>
      <c r="AQ2440">
        <v>0</v>
      </c>
      <c r="AS2440">
        <v>0</v>
      </c>
      <c r="AT2440">
        <v>0</v>
      </c>
      <c r="AV2440">
        <v>0</v>
      </c>
      <c r="AW2440">
        <v>0</v>
      </c>
      <c r="AY2440">
        <v>0</v>
      </c>
      <c r="AZ2440">
        <v>0</v>
      </c>
      <c r="BA2440">
        <v>60</v>
      </c>
      <c r="BE2440" t="str">
        <f>T("9791137019256")</f>
        <v>9791137019256</v>
      </c>
      <c r="BF2440" t="str">
        <f>T("k345059")</f>
        <v>k345059</v>
      </c>
      <c r="BG2440" t="str">
        <f>T("판타지 웹소설 &gt; 정통 판타지")</f>
        <v>판타지 웹소설 &gt; 정통 판타지</v>
      </c>
    </row>
    <row r="2441" spans="1:59">
      <c r="A2441" t="s">
        <v>60</v>
      </c>
      <c r="B2441" s="1">
        <v>46131</v>
      </c>
      <c r="C2441">
        <v>2378066888</v>
      </c>
      <c r="D2441">
        <v>2378067955</v>
      </c>
      <c r="E2441" t="str">
        <f>T("마법사왕 아서 120화")</f>
        <v>마법사왕 아서 120화</v>
      </c>
      <c r="F2441">
        <v>120</v>
      </c>
      <c r="G2441" t="str">
        <f>T("하란사")</f>
        <v>하란사</v>
      </c>
      <c r="J2441" t="str">
        <f>T("매드햇")</f>
        <v>매드햇</v>
      </c>
      <c r="K2441" t="str">
        <f>T("마법사왕 아서")</f>
        <v>마법사왕 아서</v>
      </c>
      <c r="L2441">
        <v>100</v>
      </c>
      <c r="M2441">
        <v>100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100</v>
      </c>
      <c r="AJ2441">
        <v>1</v>
      </c>
      <c r="AK2441">
        <v>0</v>
      </c>
      <c r="AL2441">
        <v>0</v>
      </c>
      <c r="AM2441">
        <v>100</v>
      </c>
      <c r="AN2441">
        <v>0</v>
      </c>
      <c r="AO2441">
        <v>0</v>
      </c>
      <c r="AP2441">
        <v>0</v>
      </c>
      <c r="AQ2441">
        <v>0</v>
      </c>
      <c r="AS2441">
        <v>0</v>
      </c>
      <c r="AT2441">
        <v>0</v>
      </c>
      <c r="AV2441">
        <v>0</v>
      </c>
      <c r="AW2441">
        <v>0</v>
      </c>
      <c r="AY2441">
        <v>0</v>
      </c>
      <c r="AZ2441">
        <v>0</v>
      </c>
      <c r="BA2441">
        <v>60</v>
      </c>
      <c r="BE2441" t="str">
        <f>T("9791137019256")</f>
        <v>9791137019256</v>
      </c>
      <c r="BF2441" t="str">
        <f>T("k345060")</f>
        <v>k345060</v>
      </c>
      <c r="BG2441" t="str">
        <f>T("판타지 웹소설 &gt; 정통 판타지")</f>
        <v>판타지 웹소설 &gt; 정통 판타지</v>
      </c>
    </row>
    <row r="2442" spans="1:59">
      <c r="A2442" t="s">
        <v>60</v>
      </c>
      <c r="B2442" s="1">
        <v>46131</v>
      </c>
      <c r="C2442">
        <v>2378066888</v>
      </c>
      <c r="D2442">
        <v>2378067967</v>
      </c>
      <c r="E2442" t="str">
        <f>T("마법사왕 아서 121화")</f>
        <v>마법사왕 아서 121화</v>
      </c>
      <c r="F2442">
        <v>121</v>
      </c>
      <c r="G2442" t="str">
        <f>T("하란사")</f>
        <v>하란사</v>
      </c>
      <c r="J2442" t="str">
        <f>T("매드햇")</f>
        <v>매드햇</v>
      </c>
      <c r="K2442" t="str">
        <f>T("마법사왕 아서")</f>
        <v>마법사왕 아서</v>
      </c>
      <c r="L2442">
        <v>100</v>
      </c>
      <c r="M2442">
        <v>100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0</v>
      </c>
      <c r="AI2442">
        <v>100</v>
      </c>
      <c r="AJ2442">
        <v>1</v>
      </c>
      <c r="AK2442">
        <v>0</v>
      </c>
      <c r="AL2442">
        <v>0</v>
      </c>
      <c r="AM2442">
        <v>100</v>
      </c>
      <c r="AN2442">
        <v>0</v>
      </c>
      <c r="AO2442">
        <v>0</v>
      </c>
      <c r="AP2442">
        <v>0</v>
      </c>
      <c r="AQ2442">
        <v>0</v>
      </c>
      <c r="AS2442">
        <v>0</v>
      </c>
      <c r="AT2442">
        <v>0</v>
      </c>
      <c r="AV2442">
        <v>0</v>
      </c>
      <c r="AW2442">
        <v>0</v>
      </c>
      <c r="AY2442">
        <v>0</v>
      </c>
      <c r="AZ2442">
        <v>0</v>
      </c>
      <c r="BA2442">
        <v>60</v>
      </c>
      <c r="BE2442" t="str">
        <f>T("9791137019256")</f>
        <v>9791137019256</v>
      </c>
      <c r="BF2442" t="str">
        <f>T("k345061")</f>
        <v>k345061</v>
      </c>
      <c r="BG2442" t="str">
        <f>T("판타지 웹소설 &gt; 정통 판타지")</f>
        <v>판타지 웹소설 &gt; 정통 판타지</v>
      </c>
    </row>
    <row r="2443" spans="1:59">
      <c r="A2443" t="s">
        <v>60</v>
      </c>
      <c r="B2443" s="1">
        <v>46131</v>
      </c>
      <c r="C2443">
        <v>2378066888</v>
      </c>
      <c r="D2443">
        <v>2378068191</v>
      </c>
      <c r="E2443" t="str">
        <f>T("마법사왕 아서 122화")</f>
        <v>마법사왕 아서 122화</v>
      </c>
      <c r="F2443">
        <v>122</v>
      </c>
      <c r="G2443" t="str">
        <f>T("하란사")</f>
        <v>하란사</v>
      </c>
      <c r="J2443" t="str">
        <f>T("매드햇")</f>
        <v>매드햇</v>
      </c>
      <c r="K2443" t="str">
        <f>T("마법사왕 아서")</f>
        <v>마법사왕 아서</v>
      </c>
      <c r="L2443">
        <v>100</v>
      </c>
      <c r="M2443">
        <v>100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100</v>
      </c>
      <c r="AJ2443">
        <v>1</v>
      </c>
      <c r="AK2443">
        <v>0</v>
      </c>
      <c r="AL2443">
        <v>0</v>
      </c>
      <c r="AM2443">
        <v>100</v>
      </c>
      <c r="AN2443">
        <v>0</v>
      </c>
      <c r="AO2443">
        <v>0</v>
      </c>
      <c r="AP2443">
        <v>0</v>
      </c>
      <c r="AQ2443">
        <v>0</v>
      </c>
      <c r="AS2443">
        <v>0</v>
      </c>
      <c r="AT2443">
        <v>0</v>
      </c>
      <c r="AV2443">
        <v>0</v>
      </c>
      <c r="AW2443">
        <v>0</v>
      </c>
      <c r="AY2443">
        <v>0</v>
      </c>
      <c r="AZ2443">
        <v>0</v>
      </c>
      <c r="BA2443">
        <v>60</v>
      </c>
      <c r="BE2443" t="str">
        <f>T("9791137019256")</f>
        <v>9791137019256</v>
      </c>
      <c r="BF2443" t="str">
        <f>T("k345062")</f>
        <v>k345062</v>
      </c>
      <c r="BG2443" t="str">
        <f>T("판타지 웹소설 &gt; 정통 판타지")</f>
        <v>판타지 웹소설 &gt; 정통 판타지</v>
      </c>
    </row>
    <row r="2444" spans="1:59">
      <c r="A2444" t="s">
        <v>60</v>
      </c>
      <c r="B2444" s="1">
        <v>46131</v>
      </c>
      <c r="C2444">
        <v>2378066888</v>
      </c>
      <c r="D2444">
        <v>2378068209</v>
      </c>
      <c r="E2444" t="str">
        <f>T("마법사왕 아서 123화")</f>
        <v>마법사왕 아서 123화</v>
      </c>
      <c r="F2444">
        <v>123</v>
      </c>
      <c r="G2444" t="str">
        <f>T("하란사")</f>
        <v>하란사</v>
      </c>
      <c r="J2444" t="str">
        <f>T("매드햇")</f>
        <v>매드햇</v>
      </c>
      <c r="K2444" t="str">
        <f>T("마법사왕 아서")</f>
        <v>마법사왕 아서</v>
      </c>
      <c r="L2444">
        <v>100</v>
      </c>
      <c r="M2444">
        <v>100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100</v>
      </c>
      <c r="AJ2444">
        <v>1</v>
      </c>
      <c r="AK2444">
        <v>0</v>
      </c>
      <c r="AL2444">
        <v>0</v>
      </c>
      <c r="AM2444">
        <v>100</v>
      </c>
      <c r="AN2444">
        <v>0</v>
      </c>
      <c r="AO2444">
        <v>0</v>
      </c>
      <c r="AP2444">
        <v>0</v>
      </c>
      <c r="AQ2444">
        <v>0</v>
      </c>
      <c r="AS2444">
        <v>0</v>
      </c>
      <c r="AT2444">
        <v>0</v>
      </c>
      <c r="AV2444">
        <v>0</v>
      </c>
      <c r="AW2444">
        <v>0</v>
      </c>
      <c r="AY2444">
        <v>0</v>
      </c>
      <c r="AZ2444">
        <v>0</v>
      </c>
      <c r="BA2444">
        <v>60</v>
      </c>
      <c r="BE2444" t="str">
        <f>T("9791137019256")</f>
        <v>9791137019256</v>
      </c>
      <c r="BF2444" t="str">
        <f>T("k345934")</f>
        <v>k345934</v>
      </c>
      <c r="BG2444" t="str">
        <f>T("판타지 웹소설 &gt; 정통 판타지")</f>
        <v>판타지 웹소설 &gt; 정통 판타지</v>
      </c>
    </row>
    <row r="2445" spans="1:59">
      <c r="A2445" t="s">
        <v>60</v>
      </c>
      <c r="B2445" s="1">
        <v>46131</v>
      </c>
      <c r="C2445">
        <v>2378066888</v>
      </c>
      <c r="D2445">
        <v>2378068234</v>
      </c>
      <c r="E2445" t="str">
        <f>T("마법사왕 아서 124화")</f>
        <v>마법사왕 아서 124화</v>
      </c>
      <c r="F2445">
        <v>124</v>
      </c>
      <c r="G2445" t="str">
        <f>T("하란사")</f>
        <v>하란사</v>
      </c>
      <c r="J2445" t="str">
        <f>T("매드햇")</f>
        <v>매드햇</v>
      </c>
      <c r="K2445" t="str">
        <f>T("마법사왕 아서")</f>
        <v>마법사왕 아서</v>
      </c>
      <c r="L2445">
        <v>100</v>
      </c>
      <c r="M2445">
        <v>100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100</v>
      </c>
      <c r="AJ2445">
        <v>1</v>
      </c>
      <c r="AK2445">
        <v>0</v>
      </c>
      <c r="AL2445">
        <v>0</v>
      </c>
      <c r="AM2445">
        <v>100</v>
      </c>
      <c r="AN2445">
        <v>0</v>
      </c>
      <c r="AO2445">
        <v>0</v>
      </c>
      <c r="AP2445">
        <v>0</v>
      </c>
      <c r="AQ2445">
        <v>0</v>
      </c>
      <c r="AS2445">
        <v>0</v>
      </c>
      <c r="AT2445">
        <v>0</v>
      </c>
      <c r="AV2445">
        <v>0</v>
      </c>
      <c r="AW2445">
        <v>0</v>
      </c>
      <c r="AY2445">
        <v>0</v>
      </c>
      <c r="AZ2445">
        <v>0</v>
      </c>
      <c r="BA2445">
        <v>60</v>
      </c>
      <c r="BE2445" t="str">
        <f>T("9791137019256")</f>
        <v>9791137019256</v>
      </c>
      <c r="BF2445" t="str">
        <f>T("k345935")</f>
        <v>k345935</v>
      </c>
      <c r="BG2445" t="str">
        <f>T("판타지 웹소설 &gt; 정통 판타지")</f>
        <v>판타지 웹소설 &gt; 정통 판타지</v>
      </c>
    </row>
    <row r="2446" spans="1:59">
      <c r="A2446" t="s">
        <v>60</v>
      </c>
      <c r="B2446" s="1">
        <v>46131</v>
      </c>
      <c r="C2446">
        <v>2378066888</v>
      </c>
      <c r="D2446">
        <v>2378068255</v>
      </c>
      <c r="E2446" t="str">
        <f>T("마법사왕 아서 125화")</f>
        <v>마법사왕 아서 125화</v>
      </c>
      <c r="F2446">
        <v>125</v>
      </c>
      <c r="G2446" t="str">
        <f>T("하란사")</f>
        <v>하란사</v>
      </c>
      <c r="J2446" t="str">
        <f>T("매드햇")</f>
        <v>매드햇</v>
      </c>
      <c r="K2446" t="str">
        <f>T("마법사왕 아서")</f>
        <v>마법사왕 아서</v>
      </c>
      <c r="L2446">
        <v>100</v>
      </c>
      <c r="M2446">
        <v>100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0</v>
      </c>
      <c r="AH2446">
        <v>0</v>
      </c>
      <c r="AI2446">
        <v>100</v>
      </c>
      <c r="AJ2446">
        <v>1</v>
      </c>
      <c r="AK2446">
        <v>0</v>
      </c>
      <c r="AL2446">
        <v>0</v>
      </c>
      <c r="AM2446">
        <v>100</v>
      </c>
      <c r="AN2446">
        <v>0</v>
      </c>
      <c r="AO2446">
        <v>0</v>
      </c>
      <c r="AP2446">
        <v>0</v>
      </c>
      <c r="AQ2446">
        <v>0</v>
      </c>
      <c r="AS2446">
        <v>0</v>
      </c>
      <c r="AT2446">
        <v>0</v>
      </c>
      <c r="AV2446">
        <v>0</v>
      </c>
      <c r="AW2446">
        <v>0</v>
      </c>
      <c r="AY2446">
        <v>0</v>
      </c>
      <c r="AZ2446">
        <v>0</v>
      </c>
      <c r="BA2446">
        <v>60</v>
      </c>
      <c r="BE2446" t="str">
        <f>T("9791137019256")</f>
        <v>9791137019256</v>
      </c>
      <c r="BF2446" t="str">
        <f>T("k345936")</f>
        <v>k345936</v>
      </c>
      <c r="BG2446" t="str">
        <f>T("판타지 웹소설 &gt; 정통 판타지")</f>
        <v>판타지 웹소설 &gt; 정통 판타지</v>
      </c>
    </row>
    <row r="2447" spans="1:59">
      <c r="A2447" t="s">
        <v>60</v>
      </c>
      <c r="B2447" s="1">
        <v>46131</v>
      </c>
      <c r="C2447">
        <v>2378066888</v>
      </c>
      <c r="D2447">
        <v>2378068260</v>
      </c>
      <c r="E2447" t="str">
        <f>T("마법사왕 아서 126화")</f>
        <v>마법사왕 아서 126화</v>
      </c>
      <c r="F2447">
        <v>126</v>
      </c>
      <c r="G2447" t="str">
        <f>T("하란사")</f>
        <v>하란사</v>
      </c>
      <c r="J2447" t="str">
        <f>T("매드햇")</f>
        <v>매드햇</v>
      </c>
      <c r="K2447" t="str">
        <f>T("마법사왕 아서")</f>
        <v>마법사왕 아서</v>
      </c>
      <c r="L2447">
        <v>100</v>
      </c>
      <c r="M2447">
        <v>100</v>
      </c>
      <c r="N2447">
        <v>1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0</v>
      </c>
      <c r="AI2447">
        <v>100</v>
      </c>
      <c r="AJ2447">
        <v>1</v>
      </c>
      <c r="AK2447">
        <v>0</v>
      </c>
      <c r="AL2447">
        <v>0</v>
      </c>
      <c r="AM2447">
        <v>100</v>
      </c>
      <c r="AN2447">
        <v>0</v>
      </c>
      <c r="AO2447">
        <v>0</v>
      </c>
      <c r="AP2447">
        <v>0</v>
      </c>
      <c r="AQ2447">
        <v>0</v>
      </c>
      <c r="AS2447">
        <v>0</v>
      </c>
      <c r="AT2447">
        <v>0</v>
      </c>
      <c r="AV2447">
        <v>0</v>
      </c>
      <c r="AW2447">
        <v>0</v>
      </c>
      <c r="AY2447">
        <v>0</v>
      </c>
      <c r="AZ2447">
        <v>0</v>
      </c>
      <c r="BA2447">
        <v>60</v>
      </c>
      <c r="BE2447" t="str">
        <f>T("9791137019256")</f>
        <v>9791137019256</v>
      </c>
      <c r="BF2447" t="str">
        <f>T("k345937")</f>
        <v>k345937</v>
      </c>
      <c r="BG2447" t="str">
        <f>T("판타지 웹소설 &gt; 정통 판타지")</f>
        <v>판타지 웹소설 &gt; 정통 판타지</v>
      </c>
    </row>
    <row r="2448" spans="1:59">
      <c r="A2448" t="s">
        <v>60</v>
      </c>
      <c r="B2448" s="1">
        <v>46131</v>
      </c>
      <c r="C2448">
        <v>2378066888</v>
      </c>
      <c r="D2448">
        <v>2378068277</v>
      </c>
      <c r="E2448" t="str">
        <f>T("마법사왕 아서 127화")</f>
        <v>마법사왕 아서 127화</v>
      </c>
      <c r="F2448">
        <v>127</v>
      </c>
      <c r="G2448" t="str">
        <f>T("하란사")</f>
        <v>하란사</v>
      </c>
      <c r="J2448" t="str">
        <f>T("매드햇")</f>
        <v>매드햇</v>
      </c>
      <c r="K2448" t="str">
        <f>T("마법사왕 아서")</f>
        <v>마법사왕 아서</v>
      </c>
      <c r="L2448">
        <v>100</v>
      </c>
      <c r="M2448">
        <v>100</v>
      </c>
      <c r="N2448">
        <v>1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100</v>
      </c>
      <c r="AJ2448">
        <v>1</v>
      </c>
      <c r="AK2448">
        <v>0</v>
      </c>
      <c r="AL2448">
        <v>0</v>
      </c>
      <c r="AM2448">
        <v>100</v>
      </c>
      <c r="AN2448">
        <v>0</v>
      </c>
      <c r="AO2448">
        <v>0</v>
      </c>
      <c r="AP2448">
        <v>0</v>
      </c>
      <c r="AQ2448">
        <v>0</v>
      </c>
      <c r="AS2448">
        <v>0</v>
      </c>
      <c r="AT2448">
        <v>0</v>
      </c>
      <c r="AV2448">
        <v>0</v>
      </c>
      <c r="AW2448">
        <v>0</v>
      </c>
      <c r="AY2448">
        <v>0</v>
      </c>
      <c r="AZ2448">
        <v>0</v>
      </c>
      <c r="BA2448">
        <v>60</v>
      </c>
      <c r="BE2448" t="str">
        <f>T("9791137019256")</f>
        <v>9791137019256</v>
      </c>
      <c r="BF2448" t="str">
        <f>T("k345938")</f>
        <v>k345938</v>
      </c>
      <c r="BG2448" t="str">
        <f>T("판타지 웹소설 &gt; 정통 판타지")</f>
        <v>판타지 웹소설 &gt; 정통 판타지</v>
      </c>
    </row>
    <row r="2449" spans="1:59">
      <c r="A2449" t="s">
        <v>60</v>
      </c>
      <c r="B2449" s="1">
        <v>46131</v>
      </c>
      <c r="C2449">
        <v>2378066888</v>
      </c>
      <c r="D2449">
        <v>2378068289</v>
      </c>
      <c r="E2449" t="str">
        <f>T("마법사왕 아서 128화")</f>
        <v>마법사왕 아서 128화</v>
      </c>
      <c r="F2449">
        <v>128</v>
      </c>
      <c r="G2449" t="str">
        <f>T("하란사")</f>
        <v>하란사</v>
      </c>
      <c r="J2449" t="str">
        <f>T("매드햇")</f>
        <v>매드햇</v>
      </c>
      <c r="K2449" t="str">
        <f>T("마법사왕 아서")</f>
        <v>마법사왕 아서</v>
      </c>
      <c r="L2449">
        <v>100</v>
      </c>
      <c r="M2449">
        <v>100</v>
      </c>
      <c r="N2449">
        <v>1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100</v>
      </c>
      <c r="AJ2449">
        <v>1</v>
      </c>
      <c r="AK2449">
        <v>0</v>
      </c>
      <c r="AL2449">
        <v>0</v>
      </c>
      <c r="AM2449">
        <v>100</v>
      </c>
      <c r="AN2449">
        <v>0</v>
      </c>
      <c r="AO2449">
        <v>0</v>
      </c>
      <c r="AP2449">
        <v>0</v>
      </c>
      <c r="AQ2449">
        <v>0</v>
      </c>
      <c r="AS2449">
        <v>0</v>
      </c>
      <c r="AT2449">
        <v>0</v>
      </c>
      <c r="AV2449">
        <v>0</v>
      </c>
      <c r="AW2449">
        <v>0</v>
      </c>
      <c r="AY2449">
        <v>0</v>
      </c>
      <c r="AZ2449">
        <v>0</v>
      </c>
      <c r="BA2449">
        <v>60</v>
      </c>
      <c r="BE2449" t="str">
        <f>T("9791137019256")</f>
        <v>9791137019256</v>
      </c>
      <c r="BF2449" t="str">
        <f>T("k364609")</f>
        <v>k364609</v>
      </c>
      <c r="BG2449" t="str">
        <f>T("판타지 웹소설 &gt; 정통 판타지")</f>
        <v>판타지 웹소설 &gt; 정통 판타지</v>
      </c>
    </row>
    <row r="2450" spans="1:59">
      <c r="A2450" t="s">
        <v>60</v>
      </c>
      <c r="B2450" s="1">
        <v>46131</v>
      </c>
      <c r="C2450">
        <v>2378066888</v>
      </c>
      <c r="D2450">
        <v>2378068309</v>
      </c>
      <c r="E2450" t="str">
        <f>T("마법사왕 아서 129화")</f>
        <v>마법사왕 아서 129화</v>
      </c>
      <c r="F2450">
        <v>129</v>
      </c>
      <c r="G2450" t="str">
        <f>T("하란사")</f>
        <v>하란사</v>
      </c>
      <c r="J2450" t="str">
        <f>T("매드햇")</f>
        <v>매드햇</v>
      </c>
      <c r="K2450" t="str">
        <f>T("마법사왕 아서")</f>
        <v>마법사왕 아서</v>
      </c>
      <c r="L2450">
        <v>100</v>
      </c>
      <c r="M2450">
        <v>100</v>
      </c>
      <c r="N2450">
        <v>1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100</v>
      </c>
      <c r="AJ2450">
        <v>1</v>
      </c>
      <c r="AK2450">
        <v>0</v>
      </c>
      <c r="AL2450">
        <v>0</v>
      </c>
      <c r="AM2450">
        <v>100</v>
      </c>
      <c r="AN2450">
        <v>0</v>
      </c>
      <c r="AO2450">
        <v>0</v>
      </c>
      <c r="AP2450">
        <v>0</v>
      </c>
      <c r="AQ2450">
        <v>0</v>
      </c>
      <c r="AS2450">
        <v>0</v>
      </c>
      <c r="AT2450">
        <v>0</v>
      </c>
      <c r="AV2450">
        <v>0</v>
      </c>
      <c r="AW2450">
        <v>0</v>
      </c>
      <c r="AY2450">
        <v>0</v>
      </c>
      <c r="AZ2450">
        <v>0</v>
      </c>
      <c r="BA2450">
        <v>60</v>
      </c>
      <c r="BE2450" t="str">
        <f>T("9791137019256")</f>
        <v>9791137019256</v>
      </c>
      <c r="BF2450" t="str">
        <f>T("k364610")</f>
        <v>k364610</v>
      </c>
      <c r="BG2450" t="str">
        <f>T("판타지 웹소설 &gt; 정통 판타지")</f>
        <v>판타지 웹소설 &gt; 정통 판타지</v>
      </c>
    </row>
    <row r="2451" spans="1:59">
      <c r="A2451" t="s">
        <v>60</v>
      </c>
      <c r="B2451" s="1">
        <v>46131</v>
      </c>
      <c r="C2451">
        <v>2378066888</v>
      </c>
      <c r="D2451">
        <v>2378068327</v>
      </c>
      <c r="E2451" t="str">
        <f>T("마법사왕 아서 130화")</f>
        <v>마법사왕 아서 130화</v>
      </c>
      <c r="F2451">
        <v>130</v>
      </c>
      <c r="G2451" t="str">
        <f>T("하란사")</f>
        <v>하란사</v>
      </c>
      <c r="J2451" t="str">
        <f>T("매드햇")</f>
        <v>매드햇</v>
      </c>
      <c r="K2451" t="str">
        <f>T("마법사왕 아서")</f>
        <v>마법사왕 아서</v>
      </c>
      <c r="L2451">
        <v>100</v>
      </c>
      <c r="M2451">
        <v>100</v>
      </c>
      <c r="N2451">
        <v>1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100</v>
      </c>
      <c r="AJ2451">
        <v>1</v>
      </c>
      <c r="AK2451">
        <v>0</v>
      </c>
      <c r="AL2451">
        <v>0</v>
      </c>
      <c r="AM2451">
        <v>100</v>
      </c>
      <c r="AN2451">
        <v>0</v>
      </c>
      <c r="AO2451">
        <v>0</v>
      </c>
      <c r="AP2451">
        <v>0</v>
      </c>
      <c r="AQ2451">
        <v>0</v>
      </c>
      <c r="AS2451">
        <v>0</v>
      </c>
      <c r="AT2451">
        <v>0</v>
      </c>
      <c r="AV2451">
        <v>0</v>
      </c>
      <c r="AW2451">
        <v>0</v>
      </c>
      <c r="AY2451">
        <v>0</v>
      </c>
      <c r="AZ2451">
        <v>0</v>
      </c>
      <c r="BA2451">
        <v>60</v>
      </c>
      <c r="BE2451" t="str">
        <f>T("9791137019256")</f>
        <v>9791137019256</v>
      </c>
      <c r="BF2451" t="str">
        <f>T("k364611")</f>
        <v>k364611</v>
      </c>
      <c r="BG2451" t="str">
        <f>T("판타지 웹소설 &gt; 정통 판타지")</f>
        <v>판타지 웹소설 &gt; 정통 판타지</v>
      </c>
    </row>
    <row r="2452" spans="1:59">
      <c r="A2452" t="s">
        <v>60</v>
      </c>
      <c r="B2452" s="1">
        <v>46131</v>
      </c>
      <c r="C2452">
        <v>2378066888</v>
      </c>
      <c r="D2452">
        <v>2378068350</v>
      </c>
      <c r="E2452" t="str">
        <f>T("마법사왕 아서 131화")</f>
        <v>마법사왕 아서 131화</v>
      </c>
      <c r="F2452">
        <v>131</v>
      </c>
      <c r="G2452" t="str">
        <f>T("하란사")</f>
        <v>하란사</v>
      </c>
      <c r="J2452" t="str">
        <f>T("매드햇")</f>
        <v>매드햇</v>
      </c>
      <c r="K2452" t="str">
        <f>T("마법사왕 아서")</f>
        <v>마법사왕 아서</v>
      </c>
      <c r="L2452">
        <v>100</v>
      </c>
      <c r="M2452">
        <v>100</v>
      </c>
      <c r="N2452">
        <v>1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100</v>
      </c>
      <c r="AJ2452">
        <v>1</v>
      </c>
      <c r="AK2452">
        <v>0</v>
      </c>
      <c r="AL2452">
        <v>0</v>
      </c>
      <c r="AM2452">
        <v>100</v>
      </c>
      <c r="AN2452">
        <v>0</v>
      </c>
      <c r="AO2452">
        <v>0</v>
      </c>
      <c r="AP2452">
        <v>0</v>
      </c>
      <c r="AQ2452">
        <v>0</v>
      </c>
      <c r="AS2452">
        <v>0</v>
      </c>
      <c r="AT2452">
        <v>0</v>
      </c>
      <c r="AV2452">
        <v>0</v>
      </c>
      <c r="AW2452">
        <v>0</v>
      </c>
      <c r="AY2452">
        <v>0</v>
      </c>
      <c r="AZ2452">
        <v>0</v>
      </c>
      <c r="BA2452">
        <v>60</v>
      </c>
      <c r="BE2452" t="str">
        <f>T("9791137019256")</f>
        <v>9791137019256</v>
      </c>
      <c r="BF2452" t="str">
        <f>T("k364612")</f>
        <v>k364612</v>
      </c>
      <c r="BG2452" t="str">
        <f>T("판타지 웹소설 &gt; 정통 판타지")</f>
        <v>판타지 웹소설 &gt; 정통 판타지</v>
      </c>
    </row>
    <row r="2453" spans="1:59">
      <c r="A2453" t="s">
        <v>60</v>
      </c>
      <c r="B2453" s="1">
        <v>46131</v>
      </c>
      <c r="C2453">
        <v>2378066888</v>
      </c>
      <c r="D2453">
        <v>2378068361</v>
      </c>
      <c r="E2453" t="str">
        <f>T("마법사왕 아서 132화")</f>
        <v>마법사왕 아서 132화</v>
      </c>
      <c r="F2453">
        <v>132</v>
      </c>
      <c r="G2453" t="str">
        <f>T("하란사")</f>
        <v>하란사</v>
      </c>
      <c r="J2453" t="str">
        <f>T("매드햇")</f>
        <v>매드햇</v>
      </c>
      <c r="K2453" t="str">
        <f>T("마법사왕 아서")</f>
        <v>마법사왕 아서</v>
      </c>
      <c r="L2453">
        <v>100</v>
      </c>
      <c r="M2453">
        <v>100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100</v>
      </c>
      <c r="AJ2453">
        <v>1</v>
      </c>
      <c r="AK2453">
        <v>0</v>
      </c>
      <c r="AL2453">
        <v>0</v>
      </c>
      <c r="AM2453">
        <v>100</v>
      </c>
      <c r="AN2453">
        <v>0</v>
      </c>
      <c r="AO2453">
        <v>0</v>
      </c>
      <c r="AP2453">
        <v>0</v>
      </c>
      <c r="AQ2453">
        <v>0</v>
      </c>
      <c r="AS2453">
        <v>0</v>
      </c>
      <c r="AT2453">
        <v>0</v>
      </c>
      <c r="AV2453">
        <v>0</v>
      </c>
      <c r="AW2453">
        <v>0</v>
      </c>
      <c r="AY2453">
        <v>0</v>
      </c>
      <c r="AZ2453">
        <v>0</v>
      </c>
      <c r="BA2453">
        <v>60</v>
      </c>
      <c r="BE2453" t="str">
        <f>T("9791137019256")</f>
        <v>9791137019256</v>
      </c>
      <c r="BF2453" t="str">
        <f>T("k364613")</f>
        <v>k364613</v>
      </c>
      <c r="BG2453" t="str">
        <f>T("판타지 웹소설 &gt; 정통 판타지")</f>
        <v>판타지 웹소설 &gt; 정통 판타지</v>
      </c>
    </row>
    <row r="2454" spans="1:59">
      <c r="A2454" t="s">
        <v>60</v>
      </c>
      <c r="B2454" s="1">
        <v>46131</v>
      </c>
      <c r="C2454">
        <v>2378066888</v>
      </c>
      <c r="D2454">
        <v>2378068368</v>
      </c>
      <c r="E2454" t="str">
        <f>T("마법사왕 아서 133화")</f>
        <v>마법사왕 아서 133화</v>
      </c>
      <c r="F2454">
        <v>133</v>
      </c>
      <c r="G2454" t="str">
        <f>T("하란사")</f>
        <v>하란사</v>
      </c>
      <c r="J2454" t="str">
        <f>T("매드햇")</f>
        <v>매드햇</v>
      </c>
      <c r="K2454" t="str">
        <f>T("마법사왕 아서")</f>
        <v>마법사왕 아서</v>
      </c>
      <c r="L2454">
        <v>100</v>
      </c>
      <c r="M2454">
        <v>100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100</v>
      </c>
      <c r="AJ2454">
        <v>1</v>
      </c>
      <c r="AK2454">
        <v>0</v>
      </c>
      <c r="AL2454">
        <v>0</v>
      </c>
      <c r="AM2454">
        <v>100</v>
      </c>
      <c r="AN2454">
        <v>0</v>
      </c>
      <c r="AO2454">
        <v>0</v>
      </c>
      <c r="AP2454">
        <v>0</v>
      </c>
      <c r="AQ2454">
        <v>0</v>
      </c>
      <c r="AS2454">
        <v>0</v>
      </c>
      <c r="AT2454">
        <v>0</v>
      </c>
      <c r="AV2454">
        <v>0</v>
      </c>
      <c r="AW2454">
        <v>0</v>
      </c>
      <c r="AY2454">
        <v>0</v>
      </c>
      <c r="AZ2454">
        <v>0</v>
      </c>
      <c r="BA2454">
        <v>60</v>
      </c>
      <c r="BE2454" t="str">
        <f>T("9791137019256")</f>
        <v>9791137019256</v>
      </c>
      <c r="BF2454" t="str">
        <f>T("k372145")</f>
        <v>k372145</v>
      </c>
      <c r="BG2454" t="str">
        <f>T("판타지 웹소설 &gt; 정통 판타지")</f>
        <v>판타지 웹소설 &gt; 정통 판타지</v>
      </c>
    </row>
    <row r="2455" spans="1:59">
      <c r="A2455" t="s">
        <v>60</v>
      </c>
      <c r="B2455" s="1">
        <v>46131</v>
      </c>
      <c r="C2455">
        <v>2378066888</v>
      </c>
      <c r="D2455">
        <v>2378066908</v>
      </c>
      <c r="E2455" t="str">
        <f>T("마법사왕 아서 21화")</f>
        <v>마법사왕 아서 21화</v>
      </c>
      <c r="F2455">
        <v>21</v>
      </c>
      <c r="G2455" t="str">
        <f>T("하란사")</f>
        <v>하란사</v>
      </c>
      <c r="J2455" t="str">
        <f>T("매드햇")</f>
        <v>매드햇</v>
      </c>
      <c r="K2455" t="str">
        <f>T("마법사왕 아서")</f>
        <v>마법사왕 아서</v>
      </c>
      <c r="L2455">
        <v>0</v>
      </c>
      <c r="M2455">
        <v>0</v>
      </c>
      <c r="N2455">
        <v>0</v>
      </c>
      <c r="O2455">
        <v>2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2</v>
      </c>
      <c r="AK2455">
        <v>0</v>
      </c>
      <c r="AL2455">
        <v>0</v>
      </c>
      <c r="AM2455">
        <v>0</v>
      </c>
      <c r="AN2455">
        <v>0</v>
      </c>
      <c r="AO2455">
        <v>0</v>
      </c>
      <c r="AP2455">
        <v>0</v>
      </c>
      <c r="AQ2455">
        <v>0</v>
      </c>
      <c r="AS2455">
        <v>0</v>
      </c>
      <c r="AT2455">
        <v>0</v>
      </c>
      <c r="AV2455">
        <v>0</v>
      </c>
      <c r="AW2455">
        <v>0</v>
      </c>
      <c r="AY2455">
        <v>0</v>
      </c>
      <c r="AZ2455">
        <v>0</v>
      </c>
      <c r="BA2455">
        <v>0</v>
      </c>
      <c r="BE2455" t="str">
        <f>T("9791137019256")</f>
        <v>9791137019256</v>
      </c>
      <c r="BF2455" t="str">
        <f>T("k315132")</f>
        <v>k315132</v>
      </c>
      <c r="BG2455" t="str">
        <f>T("판타지 웹소설 &gt; 정통 판타지")</f>
        <v>판타지 웹소설 &gt; 정통 판타지</v>
      </c>
    </row>
    <row r="2456" spans="1:59">
      <c r="A2456" t="s">
        <v>60</v>
      </c>
      <c r="B2456" s="1">
        <v>46131</v>
      </c>
      <c r="C2456">
        <v>2378066888</v>
      </c>
      <c r="D2456">
        <v>2378066909</v>
      </c>
      <c r="E2456" t="str">
        <f>T("마법사왕 아서 22화")</f>
        <v>마법사왕 아서 22화</v>
      </c>
      <c r="F2456">
        <v>22</v>
      </c>
      <c r="G2456" t="str">
        <f>T("하란사")</f>
        <v>하란사</v>
      </c>
      <c r="J2456" t="str">
        <f>T("매드햇")</f>
        <v>매드햇</v>
      </c>
      <c r="K2456" t="str">
        <f>T("마법사왕 아서")</f>
        <v>마법사왕 아서</v>
      </c>
      <c r="L2456">
        <v>0</v>
      </c>
      <c r="M2456">
        <v>0</v>
      </c>
      <c r="N2456">
        <v>0</v>
      </c>
      <c r="O2456">
        <v>2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2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S2456">
        <v>0</v>
      </c>
      <c r="AT2456">
        <v>0</v>
      </c>
      <c r="AV2456">
        <v>0</v>
      </c>
      <c r="AW2456">
        <v>0</v>
      </c>
      <c r="AY2456">
        <v>0</v>
      </c>
      <c r="AZ2456">
        <v>0</v>
      </c>
      <c r="BA2456">
        <v>0</v>
      </c>
      <c r="BE2456" t="str">
        <f>T("9791137019256")</f>
        <v>9791137019256</v>
      </c>
      <c r="BF2456" t="str">
        <f>T("k315133")</f>
        <v>k315133</v>
      </c>
      <c r="BG2456" t="str">
        <f>T("판타지 웹소설 &gt; 정통 판타지")</f>
        <v>판타지 웹소설 &gt; 정통 판타지</v>
      </c>
    </row>
    <row r="2457" spans="1:59">
      <c r="A2457" t="s">
        <v>60</v>
      </c>
      <c r="B2457" s="1">
        <v>46131</v>
      </c>
      <c r="C2457">
        <v>2378066888</v>
      </c>
      <c r="D2457">
        <v>2378066910</v>
      </c>
      <c r="E2457" t="str">
        <f>T("마법사왕 아서 23화")</f>
        <v>마법사왕 아서 23화</v>
      </c>
      <c r="F2457">
        <v>23</v>
      </c>
      <c r="G2457" t="str">
        <f>T("하란사")</f>
        <v>하란사</v>
      </c>
      <c r="J2457" t="str">
        <f>T("매드햇")</f>
        <v>매드햇</v>
      </c>
      <c r="K2457" t="str">
        <f>T("마법사왕 아서")</f>
        <v>마법사왕 아서</v>
      </c>
      <c r="L2457">
        <v>0</v>
      </c>
      <c r="M2457">
        <v>0</v>
      </c>
      <c r="N2457">
        <v>0</v>
      </c>
      <c r="O2457">
        <v>2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2</v>
      </c>
      <c r="AK2457">
        <v>0</v>
      </c>
      <c r="AL2457">
        <v>0</v>
      </c>
      <c r="AM2457">
        <v>0</v>
      </c>
      <c r="AN2457">
        <v>0</v>
      </c>
      <c r="AO2457">
        <v>0</v>
      </c>
      <c r="AP2457">
        <v>0</v>
      </c>
      <c r="AQ2457">
        <v>0</v>
      </c>
      <c r="AS2457">
        <v>0</v>
      </c>
      <c r="AT2457">
        <v>0</v>
      </c>
      <c r="AV2457">
        <v>0</v>
      </c>
      <c r="AW2457">
        <v>0</v>
      </c>
      <c r="AY2457">
        <v>0</v>
      </c>
      <c r="AZ2457">
        <v>0</v>
      </c>
      <c r="BA2457">
        <v>0</v>
      </c>
      <c r="BE2457" t="str">
        <f>T("9791137019256")</f>
        <v>9791137019256</v>
      </c>
      <c r="BF2457" t="str">
        <f>T("k315134")</f>
        <v>k315134</v>
      </c>
      <c r="BG2457" t="str">
        <f>T("판타지 웹소설 &gt; 정통 판타지")</f>
        <v>판타지 웹소설 &gt; 정통 판타지</v>
      </c>
    </row>
    <row r="2458" spans="1:59">
      <c r="A2458" t="s">
        <v>60</v>
      </c>
      <c r="B2458" s="1">
        <v>46131</v>
      </c>
      <c r="C2458">
        <v>2378066888</v>
      </c>
      <c r="D2458">
        <v>2378066911</v>
      </c>
      <c r="E2458" t="str">
        <f>T("마법사왕 아서 24화")</f>
        <v>마법사왕 아서 24화</v>
      </c>
      <c r="F2458">
        <v>24</v>
      </c>
      <c r="G2458" t="str">
        <f>T("하란사")</f>
        <v>하란사</v>
      </c>
      <c r="J2458" t="str">
        <f>T("매드햇")</f>
        <v>매드햇</v>
      </c>
      <c r="K2458" t="str">
        <f>T("마법사왕 아서")</f>
        <v>마법사왕 아서</v>
      </c>
      <c r="L2458">
        <v>0</v>
      </c>
      <c r="M2458">
        <v>0</v>
      </c>
      <c r="N2458">
        <v>0</v>
      </c>
      <c r="O2458">
        <v>2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2</v>
      </c>
      <c r="AK2458">
        <v>0</v>
      </c>
      <c r="AL2458">
        <v>0</v>
      </c>
      <c r="AM2458">
        <v>0</v>
      </c>
      <c r="AN2458">
        <v>0</v>
      </c>
      <c r="AO2458">
        <v>0</v>
      </c>
      <c r="AP2458">
        <v>0</v>
      </c>
      <c r="AQ2458">
        <v>0</v>
      </c>
      <c r="AS2458">
        <v>0</v>
      </c>
      <c r="AT2458">
        <v>0</v>
      </c>
      <c r="AV2458">
        <v>0</v>
      </c>
      <c r="AW2458">
        <v>0</v>
      </c>
      <c r="AY2458">
        <v>0</v>
      </c>
      <c r="AZ2458">
        <v>0</v>
      </c>
      <c r="BA2458">
        <v>0</v>
      </c>
      <c r="BE2458" t="str">
        <f>T("9791137019256")</f>
        <v>9791137019256</v>
      </c>
      <c r="BF2458" t="str">
        <f>T("k315135")</f>
        <v>k315135</v>
      </c>
      <c r="BG2458" t="str">
        <f>T("판타지 웹소설 &gt; 정통 판타지")</f>
        <v>판타지 웹소설 &gt; 정통 판타지</v>
      </c>
    </row>
    <row r="2459" spans="1:59">
      <c r="A2459" t="s">
        <v>60</v>
      </c>
      <c r="B2459" s="1">
        <v>46131</v>
      </c>
      <c r="C2459">
        <v>2378066888</v>
      </c>
      <c r="D2459">
        <v>2378066912</v>
      </c>
      <c r="E2459" t="str">
        <f>T("마법사왕 아서 25화")</f>
        <v>마법사왕 아서 25화</v>
      </c>
      <c r="F2459">
        <v>25</v>
      </c>
      <c r="G2459" t="str">
        <f>T("하란사")</f>
        <v>하란사</v>
      </c>
      <c r="J2459" t="str">
        <f>T("매드햇")</f>
        <v>매드햇</v>
      </c>
      <c r="K2459" t="str">
        <f>T("마법사왕 아서")</f>
        <v>마법사왕 아서</v>
      </c>
      <c r="L2459">
        <v>0</v>
      </c>
      <c r="M2459">
        <v>0</v>
      </c>
      <c r="N2459">
        <v>0</v>
      </c>
      <c r="O2459">
        <v>2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2</v>
      </c>
      <c r="AK2459">
        <v>0</v>
      </c>
      <c r="AL2459">
        <v>0</v>
      </c>
      <c r="AM2459">
        <v>0</v>
      </c>
      <c r="AN2459">
        <v>0</v>
      </c>
      <c r="AO2459">
        <v>0</v>
      </c>
      <c r="AP2459">
        <v>0</v>
      </c>
      <c r="AQ2459">
        <v>0</v>
      </c>
      <c r="AS2459">
        <v>0</v>
      </c>
      <c r="AT2459">
        <v>0</v>
      </c>
      <c r="AV2459">
        <v>0</v>
      </c>
      <c r="AW2459">
        <v>0</v>
      </c>
      <c r="AY2459">
        <v>0</v>
      </c>
      <c r="AZ2459">
        <v>0</v>
      </c>
      <c r="BA2459">
        <v>0</v>
      </c>
      <c r="BE2459" t="str">
        <f>T("9791137019256")</f>
        <v>9791137019256</v>
      </c>
      <c r="BF2459" t="str">
        <f>T("k315136")</f>
        <v>k315136</v>
      </c>
      <c r="BG2459" t="str">
        <f>T("판타지 웹소설 &gt; 정통 판타지")</f>
        <v>판타지 웹소설 &gt; 정통 판타지</v>
      </c>
    </row>
    <row r="2460" spans="1:59">
      <c r="A2460" t="s">
        <v>60</v>
      </c>
      <c r="B2460" s="1">
        <v>46131</v>
      </c>
      <c r="C2460">
        <v>2378066888</v>
      </c>
      <c r="D2460">
        <v>2378066914</v>
      </c>
      <c r="E2460" t="str">
        <f>T("마법사왕 아서 27화")</f>
        <v>마법사왕 아서 27화</v>
      </c>
      <c r="F2460">
        <v>27</v>
      </c>
      <c r="G2460" t="str">
        <f>T("하란사")</f>
        <v>하란사</v>
      </c>
      <c r="J2460" t="str">
        <f>T("매드햇")</f>
        <v>매드햇</v>
      </c>
      <c r="K2460" t="str">
        <f>T("마법사왕 아서")</f>
        <v>마법사왕 아서</v>
      </c>
      <c r="L2460">
        <v>100</v>
      </c>
      <c r="M2460">
        <v>100</v>
      </c>
      <c r="N2460">
        <v>1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100</v>
      </c>
      <c r="AJ2460">
        <v>1</v>
      </c>
      <c r="AK2460">
        <v>0</v>
      </c>
      <c r="AL2460">
        <v>0</v>
      </c>
      <c r="AM2460">
        <v>100</v>
      </c>
      <c r="AN2460">
        <v>0</v>
      </c>
      <c r="AO2460">
        <v>0</v>
      </c>
      <c r="AP2460">
        <v>0</v>
      </c>
      <c r="AQ2460">
        <v>0</v>
      </c>
      <c r="AS2460">
        <v>0</v>
      </c>
      <c r="AT2460">
        <v>0</v>
      </c>
      <c r="AV2460">
        <v>0</v>
      </c>
      <c r="AW2460">
        <v>0</v>
      </c>
      <c r="AY2460">
        <v>0</v>
      </c>
      <c r="AZ2460">
        <v>0</v>
      </c>
      <c r="BA2460">
        <v>60</v>
      </c>
      <c r="BE2460" t="str">
        <f>T("9791137019256")</f>
        <v>9791137019256</v>
      </c>
      <c r="BF2460" t="str">
        <f>T("k315138")</f>
        <v>k315138</v>
      </c>
      <c r="BG2460" t="str">
        <f>T("판타지 웹소설 &gt; 정통 판타지")</f>
        <v>판타지 웹소설 &gt; 정통 판타지</v>
      </c>
    </row>
    <row r="2461" spans="1:59">
      <c r="A2461" t="s">
        <v>60</v>
      </c>
      <c r="B2461" s="1">
        <v>46131</v>
      </c>
      <c r="C2461">
        <v>2378066888</v>
      </c>
      <c r="D2461">
        <v>2378078395</v>
      </c>
      <c r="E2461" t="str">
        <f>T("마법사왕 아서 321화")</f>
        <v>마법사왕 아서 321화</v>
      </c>
      <c r="F2461">
        <v>322</v>
      </c>
      <c r="G2461" t="str">
        <f>T("하란사")</f>
        <v>하란사</v>
      </c>
      <c r="J2461" t="str">
        <f>T("매드햇")</f>
        <v>매드햇</v>
      </c>
      <c r="K2461" t="str">
        <f>T("마법사왕 아서")</f>
        <v>마법사왕 아서</v>
      </c>
      <c r="L2461">
        <v>100</v>
      </c>
      <c r="M2461">
        <v>100</v>
      </c>
      <c r="N2461">
        <v>1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100</v>
      </c>
      <c r="AJ2461">
        <v>1</v>
      </c>
      <c r="AK2461">
        <v>0</v>
      </c>
      <c r="AL2461">
        <v>0</v>
      </c>
      <c r="AM2461">
        <v>100</v>
      </c>
      <c r="AN2461">
        <v>0</v>
      </c>
      <c r="AO2461">
        <v>0</v>
      </c>
      <c r="AP2461">
        <v>0</v>
      </c>
      <c r="AQ2461">
        <v>0</v>
      </c>
      <c r="AS2461">
        <v>0</v>
      </c>
      <c r="AT2461">
        <v>0</v>
      </c>
      <c r="AV2461">
        <v>0</v>
      </c>
      <c r="AW2461">
        <v>0</v>
      </c>
      <c r="AY2461">
        <v>0</v>
      </c>
      <c r="AZ2461">
        <v>0</v>
      </c>
      <c r="BA2461">
        <v>60</v>
      </c>
      <c r="BE2461" t="str">
        <f>T("9791137019256")</f>
        <v>9791137019256</v>
      </c>
      <c r="BF2461" t="str">
        <f>T("D088724")</f>
        <v>D088724</v>
      </c>
      <c r="BG2461" t="str">
        <f>T("판타지 웹소설 &gt; 정통 판타지")</f>
        <v>판타지 웹소설 &gt; 정통 판타지</v>
      </c>
    </row>
    <row r="2462" spans="1:59">
      <c r="A2462" t="s">
        <v>60</v>
      </c>
      <c r="B2462" s="1">
        <v>46131</v>
      </c>
      <c r="C2462">
        <v>2378066888</v>
      </c>
      <c r="D2462">
        <v>2378078429</v>
      </c>
      <c r="E2462" t="str">
        <f>T("마법사왕 아서 322화")</f>
        <v>마법사왕 아서 322화</v>
      </c>
      <c r="F2462">
        <v>323</v>
      </c>
      <c r="G2462" t="str">
        <f>T("하란사")</f>
        <v>하란사</v>
      </c>
      <c r="J2462" t="str">
        <f>T("매드햇")</f>
        <v>매드햇</v>
      </c>
      <c r="K2462" t="str">
        <f>T("마법사왕 아서")</f>
        <v>마법사왕 아서</v>
      </c>
      <c r="L2462">
        <v>100</v>
      </c>
      <c r="M2462">
        <v>100</v>
      </c>
      <c r="N2462">
        <v>1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100</v>
      </c>
      <c r="AJ2462">
        <v>1</v>
      </c>
      <c r="AK2462">
        <v>0</v>
      </c>
      <c r="AL2462">
        <v>0</v>
      </c>
      <c r="AM2462">
        <v>100</v>
      </c>
      <c r="AN2462">
        <v>0</v>
      </c>
      <c r="AO2462">
        <v>0</v>
      </c>
      <c r="AP2462">
        <v>0</v>
      </c>
      <c r="AQ2462">
        <v>0</v>
      </c>
      <c r="AS2462">
        <v>0</v>
      </c>
      <c r="AT2462">
        <v>0</v>
      </c>
      <c r="AV2462">
        <v>0</v>
      </c>
      <c r="AW2462">
        <v>0</v>
      </c>
      <c r="AY2462">
        <v>0</v>
      </c>
      <c r="AZ2462">
        <v>0</v>
      </c>
      <c r="BA2462">
        <v>60</v>
      </c>
      <c r="BE2462" t="str">
        <f>T("9791137019256")</f>
        <v>9791137019256</v>
      </c>
      <c r="BF2462" t="str">
        <f>T("D088725")</f>
        <v>D088725</v>
      </c>
      <c r="BG2462" t="str">
        <f>T("판타지 웹소설 &gt; 정통 판타지")</f>
        <v>판타지 웹소설 &gt; 정통 판타지</v>
      </c>
    </row>
    <row r="2463" spans="1:59">
      <c r="A2463" t="s">
        <v>60</v>
      </c>
      <c r="B2463" s="1">
        <v>46131</v>
      </c>
      <c r="C2463">
        <v>2378066888</v>
      </c>
      <c r="D2463">
        <v>2378078433</v>
      </c>
      <c r="E2463" t="str">
        <f>T("마법사왕 아서 323화")</f>
        <v>마법사왕 아서 323화</v>
      </c>
      <c r="F2463">
        <v>324</v>
      </c>
      <c r="G2463" t="str">
        <f>T("하란사")</f>
        <v>하란사</v>
      </c>
      <c r="J2463" t="str">
        <f>T("매드햇")</f>
        <v>매드햇</v>
      </c>
      <c r="K2463" t="str">
        <f>T("마법사왕 아서")</f>
        <v>마법사왕 아서</v>
      </c>
      <c r="L2463">
        <v>100</v>
      </c>
      <c r="M2463">
        <v>100</v>
      </c>
      <c r="N2463">
        <v>1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100</v>
      </c>
      <c r="AJ2463">
        <v>1</v>
      </c>
      <c r="AK2463">
        <v>0</v>
      </c>
      <c r="AL2463">
        <v>0</v>
      </c>
      <c r="AM2463">
        <v>100</v>
      </c>
      <c r="AN2463">
        <v>0</v>
      </c>
      <c r="AO2463">
        <v>0</v>
      </c>
      <c r="AP2463">
        <v>0</v>
      </c>
      <c r="AQ2463">
        <v>0</v>
      </c>
      <c r="AS2463">
        <v>0</v>
      </c>
      <c r="AT2463">
        <v>0</v>
      </c>
      <c r="AV2463">
        <v>0</v>
      </c>
      <c r="AW2463">
        <v>0</v>
      </c>
      <c r="AY2463">
        <v>0</v>
      </c>
      <c r="AZ2463">
        <v>0</v>
      </c>
      <c r="BA2463">
        <v>60</v>
      </c>
      <c r="BE2463" t="str">
        <f>T("9791137019256")</f>
        <v>9791137019256</v>
      </c>
      <c r="BF2463" t="str">
        <f>T("D088726")</f>
        <v>D088726</v>
      </c>
      <c r="BG2463" t="str">
        <f>T("판타지 웹소설 &gt; 정통 판타지")</f>
        <v>판타지 웹소설 &gt; 정통 판타지</v>
      </c>
    </row>
    <row r="2464" spans="1:59">
      <c r="A2464" t="s">
        <v>60</v>
      </c>
      <c r="B2464" s="1">
        <v>46131</v>
      </c>
      <c r="C2464">
        <v>2378066888</v>
      </c>
      <c r="D2464">
        <v>2378078488</v>
      </c>
      <c r="E2464" t="str">
        <f>T("마법사왕 아서 324화")</f>
        <v>마법사왕 아서 324화</v>
      </c>
      <c r="F2464">
        <v>325</v>
      </c>
      <c r="G2464" t="str">
        <f>T("하란사")</f>
        <v>하란사</v>
      </c>
      <c r="J2464" t="str">
        <f>T("매드햇")</f>
        <v>매드햇</v>
      </c>
      <c r="K2464" t="str">
        <f>T("마법사왕 아서")</f>
        <v>마법사왕 아서</v>
      </c>
      <c r="L2464">
        <v>100</v>
      </c>
      <c r="M2464">
        <v>100</v>
      </c>
      <c r="N2464">
        <v>1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100</v>
      </c>
      <c r="AJ2464">
        <v>1</v>
      </c>
      <c r="AK2464">
        <v>0</v>
      </c>
      <c r="AL2464">
        <v>0</v>
      </c>
      <c r="AM2464">
        <v>100</v>
      </c>
      <c r="AN2464">
        <v>0</v>
      </c>
      <c r="AO2464">
        <v>0</v>
      </c>
      <c r="AP2464">
        <v>0</v>
      </c>
      <c r="AQ2464">
        <v>0</v>
      </c>
      <c r="AS2464">
        <v>0</v>
      </c>
      <c r="AT2464">
        <v>0</v>
      </c>
      <c r="AV2464">
        <v>0</v>
      </c>
      <c r="AW2464">
        <v>0</v>
      </c>
      <c r="AY2464">
        <v>0</v>
      </c>
      <c r="AZ2464">
        <v>0</v>
      </c>
      <c r="BA2464">
        <v>60</v>
      </c>
      <c r="BE2464" t="str">
        <f>T("9791137019256")</f>
        <v>9791137019256</v>
      </c>
      <c r="BF2464" t="str">
        <f>T("D088727")</f>
        <v>D088727</v>
      </c>
      <c r="BG2464" t="str">
        <f>T("판타지 웹소설 &gt; 정통 판타지")</f>
        <v>판타지 웹소설 &gt; 정통 판타지</v>
      </c>
    </row>
    <row r="2465" spans="1:59">
      <c r="A2465" t="s">
        <v>60</v>
      </c>
      <c r="B2465" s="1">
        <v>46131</v>
      </c>
      <c r="C2465">
        <v>2378066888</v>
      </c>
      <c r="D2465">
        <v>2378078632</v>
      </c>
      <c r="E2465" t="str">
        <f>T("마법사왕 아서 325화")</f>
        <v>마법사왕 아서 325화</v>
      </c>
      <c r="F2465">
        <v>326</v>
      </c>
      <c r="G2465" t="str">
        <f>T("하란사")</f>
        <v>하란사</v>
      </c>
      <c r="J2465" t="str">
        <f>T("매드햇")</f>
        <v>매드햇</v>
      </c>
      <c r="K2465" t="str">
        <f>T("마법사왕 아서")</f>
        <v>마법사왕 아서</v>
      </c>
      <c r="L2465">
        <v>100</v>
      </c>
      <c r="M2465">
        <v>100</v>
      </c>
      <c r="N2465">
        <v>1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100</v>
      </c>
      <c r="AJ2465">
        <v>1</v>
      </c>
      <c r="AK2465">
        <v>0</v>
      </c>
      <c r="AL2465">
        <v>0</v>
      </c>
      <c r="AM2465">
        <v>100</v>
      </c>
      <c r="AN2465">
        <v>0</v>
      </c>
      <c r="AO2465">
        <v>0</v>
      </c>
      <c r="AP2465">
        <v>0</v>
      </c>
      <c r="AQ2465">
        <v>0</v>
      </c>
      <c r="AS2465">
        <v>0</v>
      </c>
      <c r="AT2465">
        <v>0</v>
      </c>
      <c r="AV2465">
        <v>0</v>
      </c>
      <c r="AW2465">
        <v>0</v>
      </c>
      <c r="AY2465">
        <v>0</v>
      </c>
      <c r="AZ2465">
        <v>0</v>
      </c>
      <c r="BA2465">
        <v>60</v>
      </c>
      <c r="BE2465" t="str">
        <f>T("9791137019256")</f>
        <v>9791137019256</v>
      </c>
      <c r="BF2465" t="str">
        <f>T("D088728")</f>
        <v>D088728</v>
      </c>
      <c r="BG2465" t="str">
        <f>T("판타지 웹소설 &gt; 정통 판타지")</f>
        <v>판타지 웹소설 &gt; 정통 판타지</v>
      </c>
    </row>
    <row r="2466" spans="1:59">
      <c r="A2466" t="s">
        <v>60</v>
      </c>
      <c r="B2466" s="1">
        <v>46131</v>
      </c>
      <c r="C2466">
        <v>2378066888</v>
      </c>
      <c r="D2466">
        <v>2378078665</v>
      </c>
      <c r="E2466" t="str">
        <f>T("마법사왕 아서 326화")</f>
        <v>마법사왕 아서 326화</v>
      </c>
      <c r="F2466">
        <v>327</v>
      </c>
      <c r="G2466" t="str">
        <f>T("하란사")</f>
        <v>하란사</v>
      </c>
      <c r="J2466" t="str">
        <f>T("매드햇")</f>
        <v>매드햇</v>
      </c>
      <c r="K2466" t="str">
        <f>T("마법사왕 아서")</f>
        <v>마법사왕 아서</v>
      </c>
      <c r="L2466">
        <v>100</v>
      </c>
      <c r="M2466">
        <v>100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100</v>
      </c>
      <c r="AJ2466">
        <v>1</v>
      </c>
      <c r="AK2466">
        <v>0</v>
      </c>
      <c r="AL2466">
        <v>0</v>
      </c>
      <c r="AM2466">
        <v>100</v>
      </c>
      <c r="AN2466">
        <v>0</v>
      </c>
      <c r="AO2466">
        <v>0</v>
      </c>
      <c r="AP2466">
        <v>0</v>
      </c>
      <c r="AQ2466">
        <v>0</v>
      </c>
      <c r="AS2466">
        <v>0</v>
      </c>
      <c r="AT2466">
        <v>0</v>
      </c>
      <c r="AV2466">
        <v>0</v>
      </c>
      <c r="AW2466">
        <v>0</v>
      </c>
      <c r="AY2466">
        <v>0</v>
      </c>
      <c r="AZ2466">
        <v>0</v>
      </c>
      <c r="BA2466">
        <v>60</v>
      </c>
      <c r="BE2466" t="str">
        <f>T("9791137019256")</f>
        <v>9791137019256</v>
      </c>
      <c r="BF2466" t="str">
        <f>T("D147756")</f>
        <v>D147756</v>
      </c>
      <c r="BG2466" t="str">
        <f>T("판타지 웹소설 &gt; 정통 판타지")</f>
        <v>판타지 웹소설 &gt; 정통 판타지</v>
      </c>
    </row>
    <row r="2467" spans="1:59">
      <c r="A2467" t="s">
        <v>60</v>
      </c>
      <c r="B2467" s="1">
        <v>46131</v>
      </c>
      <c r="C2467">
        <v>2378066888</v>
      </c>
      <c r="D2467">
        <v>2378080121</v>
      </c>
      <c r="E2467" t="str">
        <f>T("마법사왕 아서 327화")</f>
        <v>마법사왕 아서 327화</v>
      </c>
      <c r="F2467">
        <v>328</v>
      </c>
      <c r="G2467" t="str">
        <f>T("하란사")</f>
        <v>하란사</v>
      </c>
      <c r="J2467" t="str">
        <f>T("매드햇")</f>
        <v>매드햇</v>
      </c>
      <c r="K2467" t="str">
        <f>T("마법사왕 아서")</f>
        <v>마법사왕 아서</v>
      </c>
      <c r="L2467">
        <v>100</v>
      </c>
      <c r="M2467">
        <v>100</v>
      </c>
      <c r="N2467">
        <v>1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100</v>
      </c>
      <c r="AJ2467">
        <v>1</v>
      </c>
      <c r="AK2467">
        <v>0</v>
      </c>
      <c r="AL2467">
        <v>0</v>
      </c>
      <c r="AM2467">
        <v>100</v>
      </c>
      <c r="AN2467">
        <v>0</v>
      </c>
      <c r="AO2467">
        <v>0</v>
      </c>
      <c r="AP2467">
        <v>0</v>
      </c>
      <c r="AQ2467">
        <v>0</v>
      </c>
      <c r="AS2467">
        <v>0</v>
      </c>
      <c r="AT2467">
        <v>0</v>
      </c>
      <c r="AV2467">
        <v>0</v>
      </c>
      <c r="AW2467">
        <v>0</v>
      </c>
      <c r="AY2467">
        <v>0</v>
      </c>
      <c r="AZ2467">
        <v>0</v>
      </c>
      <c r="BA2467">
        <v>60</v>
      </c>
      <c r="BE2467" t="str">
        <f>T("9791137019256")</f>
        <v>9791137019256</v>
      </c>
      <c r="BF2467" t="str">
        <f>T("D147757")</f>
        <v>D147757</v>
      </c>
      <c r="BG2467" t="str">
        <f>T("판타지 웹소설 &gt; 정통 판타지")</f>
        <v>판타지 웹소설 &gt; 정통 판타지</v>
      </c>
    </row>
    <row r="2468" spans="1:59">
      <c r="A2468" t="s">
        <v>60</v>
      </c>
      <c r="B2468" s="1">
        <v>46131</v>
      </c>
      <c r="C2468">
        <v>2378066888</v>
      </c>
      <c r="D2468">
        <v>2378080122</v>
      </c>
      <c r="E2468" t="str">
        <f>T("마법사왕 아서 328화")</f>
        <v>마법사왕 아서 328화</v>
      </c>
      <c r="F2468">
        <v>329</v>
      </c>
      <c r="G2468" t="str">
        <f>T("하란사")</f>
        <v>하란사</v>
      </c>
      <c r="J2468" t="str">
        <f>T("매드햇")</f>
        <v>매드햇</v>
      </c>
      <c r="K2468" t="str">
        <f>T("마법사왕 아서")</f>
        <v>마법사왕 아서</v>
      </c>
      <c r="L2468">
        <v>100</v>
      </c>
      <c r="M2468">
        <v>100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100</v>
      </c>
      <c r="AJ2468">
        <v>1</v>
      </c>
      <c r="AK2468">
        <v>0</v>
      </c>
      <c r="AL2468">
        <v>0</v>
      </c>
      <c r="AM2468">
        <v>100</v>
      </c>
      <c r="AN2468">
        <v>0</v>
      </c>
      <c r="AO2468">
        <v>0</v>
      </c>
      <c r="AP2468">
        <v>0</v>
      </c>
      <c r="AQ2468">
        <v>0</v>
      </c>
      <c r="AS2468">
        <v>0</v>
      </c>
      <c r="AT2468">
        <v>0</v>
      </c>
      <c r="AV2468">
        <v>0</v>
      </c>
      <c r="AW2468">
        <v>0</v>
      </c>
      <c r="AY2468">
        <v>0</v>
      </c>
      <c r="AZ2468">
        <v>0</v>
      </c>
      <c r="BA2468">
        <v>60</v>
      </c>
      <c r="BE2468" t="str">
        <f>T("9791137019256")</f>
        <v>9791137019256</v>
      </c>
      <c r="BF2468" t="str">
        <f>T("D147758")</f>
        <v>D147758</v>
      </c>
      <c r="BG2468" t="str">
        <f>T("판타지 웹소설 &gt; 정통 판타지")</f>
        <v>판타지 웹소설 &gt; 정통 판타지</v>
      </c>
    </row>
    <row r="2469" spans="1:59">
      <c r="A2469" t="s">
        <v>60</v>
      </c>
      <c r="B2469" s="1">
        <v>46131</v>
      </c>
      <c r="C2469">
        <v>2378066888</v>
      </c>
      <c r="D2469">
        <v>2378080124</v>
      </c>
      <c r="E2469" t="str">
        <f>T("마법사왕 아서 329화")</f>
        <v>마법사왕 아서 329화</v>
      </c>
      <c r="F2469">
        <v>330</v>
      </c>
      <c r="G2469" t="str">
        <f>T("하란사")</f>
        <v>하란사</v>
      </c>
      <c r="J2469" t="str">
        <f>T("매드햇")</f>
        <v>매드햇</v>
      </c>
      <c r="K2469" t="str">
        <f>T("마법사왕 아서")</f>
        <v>마법사왕 아서</v>
      </c>
      <c r="L2469">
        <v>100</v>
      </c>
      <c r="M2469">
        <v>100</v>
      </c>
      <c r="N2469">
        <v>1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100</v>
      </c>
      <c r="AJ2469">
        <v>1</v>
      </c>
      <c r="AK2469">
        <v>0</v>
      </c>
      <c r="AL2469">
        <v>0</v>
      </c>
      <c r="AM2469">
        <v>100</v>
      </c>
      <c r="AN2469">
        <v>0</v>
      </c>
      <c r="AO2469">
        <v>0</v>
      </c>
      <c r="AP2469">
        <v>0</v>
      </c>
      <c r="AQ2469">
        <v>0</v>
      </c>
      <c r="AS2469">
        <v>0</v>
      </c>
      <c r="AT2469">
        <v>0</v>
      </c>
      <c r="AV2469">
        <v>0</v>
      </c>
      <c r="AW2469">
        <v>0</v>
      </c>
      <c r="AY2469">
        <v>0</v>
      </c>
      <c r="AZ2469">
        <v>0</v>
      </c>
      <c r="BA2469">
        <v>60</v>
      </c>
      <c r="BE2469" t="str">
        <f>T("9791137019256")</f>
        <v>9791137019256</v>
      </c>
      <c r="BF2469" t="str">
        <f>T("D147759")</f>
        <v>D147759</v>
      </c>
      <c r="BG2469" t="str">
        <f>T("판타지 웹소설 &gt; 정통 판타지")</f>
        <v>판타지 웹소설 &gt; 정통 판타지</v>
      </c>
    </row>
    <row r="2470" spans="1:59">
      <c r="A2470" t="s">
        <v>60</v>
      </c>
      <c r="B2470" s="1">
        <v>46131</v>
      </c>
      <c r="C2470">
        <v>2378066888</v>
      </c>
      <c r="D2470">
        <v>2378080316</v>
      </c>
      <c r="E2470" t="str">
        <f>T("마법사왕 아서 330화")</f>
        <v>마법사왕 아서 330화</v>
      </c>
      <c r="F2470">
        <v>331</v>
      </c>
      <c r="G2470" t="str">
        <f>T("하란사")</f>
        <v>하란사</v>
      </c>
      <c r="J2470" t="str">
        <f>T("매드햇")</f>
        <v>매드햇</v>
      </c>
      <c r="K2470" t="str">
        <f>T("마법사왕 아서")</f>
        <v>마법사왕 아서</v>
      </c>
      <c r="L2470">
        <v>100</v>
      </c>
      <c r="M2470">
        <v>100</v>
      </c>
      <c r="N2470">
        <v>1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100</v>
      </c>
      <c r="AJ2470">
        <v>1</v>
      </c>
      <c r="AK2470">
        <v>0</v>
      </c>
      <c r="AL2470">
        <v>0</v>
      </c>
      <c r="AM2470">
        <v>100</v>
      </c>
      <c r="AN2470">
        <v>0</v>
      </c>
      <c r="AO2470">
        <v>0</v>
      </c>
      <c r="AP2470">
        <v>0</v>
      </c>
      <c r="AQ2470">
        <v>0</v>
      </c>
      <c r="AS2470">
        <v>0</v>
      </c>
      <c r="AT2470">
        <v>0</v>
      </c>
      <c r="AV2470">
        <v>0</v>
      </c>
      <c r="AW2470">
        <v>0</v>
      </c>
      <c r="AY2470">
        <v>0</v>
      </c>
      <c r="AZ2470">
        <v>0</v>
      </c>
      <c r="BA2470">
        <v>60</v>
      </c>
      <c r="BE2470" t="str">
        <f>T("9791137019256")</f>
        <v>9791137019256</v>
      </c>
      <c r="BF2470" t="str">
        <f>T("D147760")</f>
        <v>D147760</v>
      </c>
      <c r="BG2470" t="str">
        <f>T("판타지 웹소설 &gt; 정통 판타지")</f>
        <v>판타지 웹소설 &gt; 정통 판타지</v>
      </c>
    </row>
    <row r="2471" spans="1:59">
      <c r="A2471" t="s">
        <v>60</v>
      </c>
      <c r="B2471" s="1">
        <v>46131</v>
      </c>
      <c r="C2471">
        <v>2378066888</v>
      </c>
      <c r="D2471">
        <v>2378080318</v>
      </c>
      <c r="E2471" t="str">
        <f>T("마법사왕 아서 331화")</f>
        <v>마법사왕 아서 331화</v>
      </c>
      <c r="F2471">
        <v>332</v>
      </c>
      <c r="G2471" t="str">
        <f>T("하란사")</f>
        <v>하란사</v>
      </c>
      <c r="J2471" t="str">
        <f>T("매드햇")</f>
        <v>매드햇</v>
      </c>
      <c r="K2471" t="str">
        <f>T("마법사왕 아서")</f>
        <v>마법사왕 아서</v>
      </c>
      <c r="L2471">
        <v>100</v>
      </c>
      <c r="M2471">
        <v>100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100</v>
      </c>
      <c r="AJ2471">
        <v>1</v>
      </c>
      <c r="AK2471">
        <v>0</v>
      </c>
      <c r="AL2471">
        <v>0</v>
      </c>
      <c r="AM2471">
        <v>100</v>
      </c>
      <c r="AN2471">
        <v>0</v>
      </c>
      <c r="AO2471">
        <v>0</v>
      </c>
      <c r="AP2471">
        <v>0</v>
      </c>
      <c r="AQ2471">
        <v>0</v>
      </c>
      <c r="AS2471">
        <v>0</v>
      </c>
      <c r="AT2471">
        <v>0</v>
      </c>
      <c r="AV2471">
        <v>0</v>
      </c>
      <c r="AW2471">
        <v>0</v>
      </c>
      <c r="AY2471">
        <v>0</v>
      </c>
      <c r="AZ2471">
        <v>0</v>
      </c>
      <c r="BA2471">
        <v>60</v>
      </c>
      <c r="BE2471" t="str">
        <f>T("9791137019256")</f>
        <v>9791137019256</v>
      </c>
      <c r="BF2471" t="str">
        <f>T("D147761")</f>
        <v>D147761</v>
      </c>
      <c r="BG2471" t="str">
        <f>T("판타지 웹소설 &gt; 정통 판타지")</f>
        <v>판타지 웹소설 &gt; 정통 판타지</v>
      </c>
    </row>
    <row r="2472" spans="1:59">
      <c r="A2472" t="s">
        <v>60</v>
      </c>
      <c r="B2472" s="1">
        <v>46131</v>
      </c>
      <c r="C2472">
        <v>2378066888</v>
      </c>
      <c r="D2472">
        <v>2378080319</v>
      </c>
      <c r="E2472" t="str">
        <f>T("마법사왕 아서 332화")</f>
        <v>마법사왕 아서 332화</v>
      </c>
      <c r="F2472">
        <v>333</v>
      </c>
      <c r="G2472" t="str">
        <f>T("하란사")</f>
        <v>하란사</v>
      </c>
      <c r="J2472" t="str">
        <f>T("매드햇")</f>
        <v>매드햇</v>
      </c>
      <c r="K2472" t="str">
        <f>T("마법사왕 아서")</f>
        <v>마법사왕 아서</v>
      </c>
      <c r="L2472">
        <v>100</v>
      </c>
      <c r="M2472">
        <v>100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100</v>
      </c>
      <c r="AJ2472">
        <v>1</v>
      </c>
      <c r="AK2472">
        <v>0</v>
      </c>
      <c r="AL2472">
        <v>0</v>
      </c>
      <c r="AM2472">
        <v>100</v>
      </c>
      <c r="AN2472">
        <v>0</v>
      </c>
      <c r="AO2472">
        <v>0</v>
      </c>
      <c r="AP2472">
        <v>0</v>
      </c>
      <c r="AQ2472">
        <v>0</v>
      </c>
      <c r="AS2472">
        <v>0</v>
      </c>
      <c r="AT2472">
        <v>0</v>
      </c>
      <c r="AV2472">
        <v>0</v>
      </c>
      <c r="AW2472">
        <v>0</v>
      </c>
      <c r="AY2472">
        <v>0</v>
      </c>
      <c r="AZ2472">
        <v>0</v>
      </c>
      <c r="BA2472">
        <v>60</v>
      </c>
      <c r="BE2472" t="str">
        <f>T("9791137019256")</f>
        <v>9791137019256</v>
      </c>
      <c r="BF2472" t="str">
        <f>T("D147762")</f>
        <v>D147762</v>
      </c>
      <c r="BG2472" t="str">
        <f>T("판타지 웹소설 &gt; 정통 판타지")</f>
        <v>판타지 웹소설 &gt; 정통 판타지</v>
      </c>
    </row>
    <row r="2473" spans="1:59">
      <c r="A2473" t="s">
        <v>60</v>
      </c>
      <c r="B2473" s="1">
        <v>46131</v>
      </c>
      <c r="C2473">
        <v>2378066888</v>
      </c>
      <c r="D2473">
        <v>2378080355</v>
      </c>
      <c r="E2473" t="str">
        <f>T("마법사왕 아서 333화")</f>
        <v>마법사왕 아서 333화</v>
      </c>
      <c r="F2473">
        <v>334</v>
      </c>
      <c r="G2473" t="str">
        <f>T("하란사")</f>
        <v>하란사</v>
      </c>
      <c r="J2473" t="str">
        <f>T("매드햇")</f>
        <v>매드햇</v>
      </c>
      <c r="K2473" t="str">
        <f>T("마법사왕 아서")</f>
        <v>마법사왕 아서</v>
      </c>
      <c r="L2473">
        <v>100</v>
      </c>
      <c r="M2473">
        <v>100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100</v>
      </c>
      <c r="AJ2473">
        <v>1</v>
      </c>
      <c r="AK2473">
        <v>0</v>
      </c>
      <c r="AL2473">
        <v>0</v>
      </c>
      <c r="AM2473">
        <v>100</v>
      </c>
      <c r="AN2473">
        <v>0</v>
      </c>
      <c r="AO2473">
        <v>0</v>
      </c>
      <c r="AP2473">
        <v>0</v>
      </c>
      <c r="AQ2473">
        <v>0</v>
      </c>
      <c r="AS2473">
        <v>0</v>
      </c>
      <c r="AT2473">
        <v>0</v>
      </c>
      <c r="AV2473">
        <v>0</v>
      </c>
      <c r="AW2473">
        <v>0</v>
      </c>
      <c r="AY2473">
        <v>0</v>
      </c>
      <c r="AZ2473">
        <v>0</v>
      </c>
      <c r="BA2473">
        <v>60</v>
      </c>
      <c r="BE2473" t="str">
        <f>T("9791137019256")</f>
        <v>9791137019256</v>
      </c>
      <c r="BF2473" t="str">
        <f>T("D147763")</f>
        <v>D147763</v>
      </c>
      <c r="BG2473" t="str">
        <f>T("판타지 웹소설 &gt; 정통 판타지")</f>
        <v>판타지 웹소설 &gt; 정통 판타지</v>
      </c>
    </row>
    <row r="2474" spans="1:59">
      <c r="A2474" t="s">
        <v>60</v>
      </c>
      <c r="B2474" s="1">
        <v>46131</v>
      </c>
      <c r="C2474">
        <v>2378066888</v>
      </c>
      <c r="D2474">
        <v>2378080357</v>
      </c>
      <c r="E2474" t="str">
        <f>T("마법사왕 아서 334화")</f>
        <v>마법사왕 아서 334화</v>
      </c>
      <c r="F2474">
        <v>335</v>
      </c>
      <c r="G2474" t="str">
        <f>T("하란사")</f>
        <v>하란사</v>
      </c>
      <c r="J2474" t="str">
        <f>T("매드햇")</f>
        <v>매드햇</v>
      </c>
      <c r="K2474" t="str">
        <f>T("마법사왕 아서")</f>
        <v>마법사왕 아서</v>
      </c>
      <c r="L2474">
        <v>100</v>
      </c>
      <c r="M2474">
        <v>100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100</v>
      </c>
      <c r="AJ2474">
        <v>1</v>
      </c>
      <c r="AK2474">
        <v>0</v>
      </c>
      <c r="AL2474">
        <v>0</v>
      </c>
      <c r="AM2474">
        <v>100</v>
      </c>
      <c r="AN2474">
        <v>0</v>
      </c>
      <c r="AO2474">
        <v>0</v>
      </c>
      <c r="AP2474">
        <v>0</v>
      </c>
      <c r="AQ2474">
        <v>0</v>
      </c>
      <c r="AS2474">
        <v>0</v>
      </c>
      <c r="AT2474">
        <v>0</v>
      </c>
      <c r="AV2474">
        <v>0</v>
      </c>
      <c r="AW2474">
        <v>0</v>
      </c>
      <c r="AY2474">
        <v>0</v>
      </c>
      <c r="AZ2474">
        <v>0</v>
      </c>
      <c r="BA2474">
        <v>60</v>
      </c>
      <c r="BE2474" t="str">
        <f>T("9791137019256")</f>
        <v>9791137019256</v>
      </c>
      <c r="BF2474" t="str">
        <f>T("D147764")</f>
        <v>D147764</v>
      </c>
      <c r="BG2474" t="str">
        <f>T("판타지 웹소설 &gt; 정통 판타지")</f>
        <v>판타지 웹소설 &gt; 정통 판타지</v>
      </c>
    </row>
    <row r="2475" spans="1:59">
      <c r="A2475" t="s">
        <v>60</v>
      </c>
      <c r="B2475" s="1">
        <v>46131</v>
      </c>
      <c r="C2475">
        <v>2378066888</v>
      </c>
      <c r="D2475">
        <v>2378080368</v>
      </c>
      <c r="E2475" t="str">
        <f>T("마법사왕 아서 335화")</f>
        <v>마법사왕 아서 335화</v>
      </c>
      <c r="F2475">
        <v>336</v>
      </c>
      <c r="G2475" t="str">
        <f>T("하란사")</f>
        <v>하란사</v>
      </c>
      <c r="J2475" t="str">
        <f>T("매드햇")</f>
        <v>매드햇</v>
      </c>
      <c r="K2475" t="str">
        <f>T("마법사왕 아서")</f>
        <v>마법사왕 아서</v>
      </c>
      <c r="L2475">
        <v>100</v>
      </c>
      <c r="M2475">
        <v>100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0</v>
      </c>
      <c r="AI2475">
        <v>100</v>
      </c>
      <c r="AJ2475">
        <v>1</v>
      </c>
      <c r="AK2475">
        <v>0</v>
      </c>
      <c r="AL2475">
        <v>0</v>
      </c>
      <c r="AM2475">
        <v>100</v>
      </c>
      <c r="AN2475">
        <v>0</v>
      </c>
      <c r="AO2475">
        <v>0</v>
      </c>
      <c r="AP2475">
        <v>0</v>
      </c>
      <c r="AQ2475">
        <v>0</v>
      </c>
      <c r="AS2475">
        <v>0</v>
      </c>
      <c r="AT2475">
        <v>0</v>
      </c>
      <c r="AV2475">
        <v>0</v>
      </c>
      <c r="AW2475">
        <v>0</v>
      </c>
      <c r="AY2475">
        <v>0</v>
      </c>
      <c r="AZ2475">
        <v>0</v>
      </c>
      <c r="BA2475">
        <v>60</v>
      </c>
      <c r="BE2475" t="str">
        <f>T("9791137019256")</f>
        <v>9791137019256</v>
      </c>
      <c r="BF2475" t="str">
        <f>T("D147765")</f>
        <v>D147765</v>
      </c>
      <c r="BG2475" t="str">
        <f>T("판타지 웹소설 &gt; 정통 판타지")</f>
        <v>판타지 웹소설 &gt; 정통 판타지</v>
      </c>
    </row>
    <row r="2476" spans="1:59">
      <c r="A2476" t="s">
        <v>60</v>
      </c>
      <c r="B2476" s="1">
        <v>46131</v>
      </c>
      <c r="C2476">
        <v>2378066888</v>
      </c>
      <c r="D2476">
        <v>2378080382</v>
      </c>
      <c r="E2476" t="str">
        <f>T("마법사왕 아서 336화")</f>
        <v>마법사왕 아서 336화</v>
      </c>
      <c r="F2476">
        <v>337</v>
      </c>
      <c r="G2476" t="str">
        <f>T("하란사")</f>
        <v>하란사</v>
      </c>
      <c r="J2476" t="str">
        <f>T("매드햇")</f>
        <v>매드햇</v>
      </c>
      <c r="K2476" t="str">
        <f>T("마법사왕 아서")</f>
        <v>마법사왕 아서</v>
      </c>
      <c r="L2476">
        <v>100</v>
      </c>
      <c r="M2476">
        <v>200</v>
      </c>
      <c r="N2476">
        <v>2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200</v>
      </c>
      <c r="AJ2476">
        <v>2</v>
      </c>
      <c r="AK2476">
        <v>0</v>
      </c>
      <c r="AL2476">
        <v>0</v>
      </c>
      <c r="AM2476">
        <v>200</v>
      </c>
      <c r="AN2476">
        <v>0</v>
      </c>
      <c r="AO2476">
        <v>0</v>
      </c>
      <c r="AP2476">
        <v>0</v>
      </c>
      <c r="AQ2476">
        <v>0</v>
      </c>
      <c r="AS2476">
        <v>0</v>
      </c>
      <c r="AT2476">
        <v>0</v>
      </c>
      <c r="AV2476">
        <v>0</v>
      </c>
      <c r="AW2476">
        <v>0</v>
      </c>
      <c r="AY2476">
        <v>0</v>
      </c>
      <c r="AZ2476">
        <v>0</v>
      </c>
      <c r="BA2476">
        <v>120</v>
      </c>
      <c r="BE2476" t="str">
        <f>T("9791137019256")</f>
        <v>9791137019256</v>
      </c>
      <c r="BF2476" t="str">
        <f>T("D147766")</f>
        <v>D147766</v>
      </c>
      <c r="BG2476" t="str">
        <f>T("판타지 웹소설 &gt; 정통 판타지")</f>
        <v>판타지 웹소설 &gt; 정통 판타지</v>
      </c>
    </row>
    <row r="2477" spans="1:59">
      <c r="A2477" t="s">
        <v>60</v>
      </c>
      <c r="B2477" s="1">
        <v>46131</v>
      </c>
      <c r="C2477">
        <v>2378066888</v>
      </c>
      <c r="D2477">
        <v>2378080385</v>
      </c>
      <c r="E2477" t="str">
        <f>T("마법사왕 아서 337화")</f>
        <v>마법사왕 아서 337화</v>
      </c>
      <c r="F2477">
        <v>338</v>
      </c>
      <c r="G2477" t="str">
        <f>T("하란사")</f>
        <v>하란사</v>
      </c>
      <c r="J2477" t="str">
        <f>T("매드햇")</f>
        <v>매드햇</v>
      </c>
      <c r="K2477" t="str">
        <f>T("마법사왕 아서")</f>
        <v>마법사왕 아서</v>
      </c>
      <c r="L2477">
        <v>100</v>
      </c>
      <c r="M2477">
        <v>200</v>
      </c>
      <c r="N2477">
        <v>2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200</v>
      </c>
      <c r="AJ2477">
        <v>2</v>
      </c>
      <c r="AK2477">
        <v>0</v>
      </c>
      <c r="AL2477">
        <v>0</v>
      </c>
      <c r="AM2477">
        <v>200</v>
      </c>
      <c r="AN2477">
        <v>0</v>
      </c>
      <c r="AO2477">
        <v>0</v>
      </c>
      <c r="AP2477">
        <v>0</v>
      </c>
      <c r="AQ2477">
        <v>0</v>
      </c>
      <c r="AS2477">
        <v>0</v>
      </c>
      <c r="AT2477">
        <v>0</v>
      </c>
      <c r="AV2477">
        <v>0</v>
      </c>
      <c r="AW2477">
        <v>0</v>
      </c>
      <c r="AY2477">
        <v>0</v>
      </c>
      <c r="AZ2477">
        <v>0</v>
      </c>
      <c r="BA2477">
        <v>120</v>
      </c>
      <c r="BE2477" t="str">
        <f>T("9791137019256")</f>
        <v>9791137019256</v>
      </c>
      <c r="BF2477" t="str">
        <f>T("D147767")</f>
        <v>D147767</v>
      </c>
      <c r="BG2477" t="str">
        <f>T("판타지 웹소설 &gt; 정통 판타지")</f>
        <v>판타지 웹소설 &gt; 정통 판타지</v>
      </c>
    </row>
    <row r="2478" spans="1:59">
      <c r="A2478" t="s">
        <v>60</v>
      </c>
      <c r="B2478" s="1">
        <v>46131</v>
      </c>
      <c r="C2478">
        <v>2378066888</v>
      </c>
      <c r="D2478">
        <v>2378080387</v>
      </c>
      <c r="E2478" t="str">
        <f>T("마법사왕 아서 338화")</f>
        <v>마법사왕 아서 338화</v>
      </c>
      <c r="F2478">
        <v>339</v>
      </c>
      <c r="G2478" t="str">
        <f>T("하란사")</f>
        <v>하란사</v>
      </c>
      <c r="J2478" t="str">
        <f>T("매드햇")</f>
        <v>매드햇</v>
      </c>
      <c r="K2478" t="str">
        <f>T("마법사왕 아서")</f>
        <v>마법사왕 아서</v>
      </c>
      <c r="L2478">
        <v>100</v>
      </c>
      <c r="M2478">
        <v>200</v>
      </c>
      <c r="N2478">
        <v>2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200</v>
      </c>
      <c r="AJ2478">
        <v>2</v>
      </c>
      <c r="AK2478">
        <v>0</v>
      </c>
      <c r="AL2478">
        <v>0</v>
      </c>
      <c r="AM2478">
        <v>200</v>
      </c>
      <c r="AN2478">
        <v>0</v>
      </c>
      <c r="AO2478">
        <v>0</v>
      </c>
      <c r="AP2478">
        <v>0</v>
      </c>
      <c r="AQ2478">
        <v>0</v>
      </c>
      <c r="AS2478">
        <v>0</v>
      </c>
      <c r="AT2478">
        <v>0</v>
      </c>
      <c r="AV2478">
        <v>0</v>
      </c>
      <c r="AW2478">
        <v>0</v>
      </c>
      <c r="AY2478">
        <v>0</v>
      </c>
      <c r="AZ2478">
        <v>0</v>
      </c>
      <c r="BA2478">
        <v>120</v>
      </c>
      <c r="BE2478" t="str">
        <f>T("9791137019256")</f>
        <v>9791137019256</v>
      </c>
      <c r="BF2478" t="str">
        <f>T("D147768")</f>
        <v>D147768</v>
      </c>
      <c r="BG2478" t="str">
        <f>T("판타지 웹소설 &gt; 정통 판타지")</f>
        <v>판타지 웹소설 &gt; 정통 판타지</v>
      </c>
    </row>
    <row r="2479" spans="1:59">
      <c r="A2479" t="s">
        <v>60</v>
      </c>
      <c r="B2479" s="1">
        <v>46131</v>
      </c>
      <c r="C2479">
        <v>2378066888</v>
      </c>
      <c r="D2479">
        <v>2378080397</v>
      </c>
      <c r="E2479" t="str">
        <f>T("마법사왕 아서 339화")</f>
        <v>마법사왕 아서 339화</v>
      </c>
      <c r="F2479">
        <v>340</v>
      </c>
      <c r="G2479" t="str">
        <f>T("하란사")</f>
        <v>하란사</v>
      </c>
      <c r="J2479" t="str">
        <f>T("매드햇")</f>
        <v>매드햇</v>
      </c>
      <c r="K2479" t="str">
        <f>T("마법사왕 아서")</f>
        <v>마법사왕 아서</v>
      </c>
      <c r="L2479">
        <v>100</v>
      </c>
      <c r="M2479">
        <v>200</v>
      </c>
      <c r="N2479">
        <v>2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200</v>
      </c>
      <c r="AJ2479">
        <v>2</v>
      </c>
      <c r="AK2479">
        <v>0</v>
      </c>
      <c r="AL2479">
        <v>0</v>
      </c>
      <c r="AM2479">
        <v>200</v>
      </c>
      <c r="AN2479">
        <v>0</v>
      </c>
      <c r="AO2479">
        <v>0</v>
      </c>
      <c r="AP2479">
        <v>0</v>
      </c>
      <c r="AQ2479">
        <v>0</v>
      </c>
      <c r="AS2479">
        <v>0</v>
      </c>
      <c r="AT2479">
        <v>0</v>
      </c>
      <c r="AV2479">
        <v>0</v>
      </c>
      <c r="AW2479">
        <v>0</v>
      </c>
      <c r="AY2479">
        <v>0</v>
      </c>
      <c r="AZ2479">
        <v>0</v>
      </c>
      <c r="BA2479">
        <v>120</v>
      </c>
      <c r="BE2479" t="str">
        <f>T("9791137019256")</f>
        <v>9791137019256</v>
      </c>
      <c r="BF2479" t="str">
        <f>T("D147769")</f>
        <v>D147769</v>
      </c>
      <c r="BG2479" t="str">
        <f>T("판타지 웹소설 &gt; 정통 판타지")</f>
        <v>판타지 웹소설 &gt; 정통 판타지</v>
      </c>
    </row>
    <row r="2480" spans="1:59">
      <c r="A2480" t="s">
        <v>60</v>
      </c>
      <c r="B2480" s="1">
        <v>46131</v>
      </c>
      <c r="C2480">
        <v>2378066888</v>
      </c>
      <c r="D2480">
        <v>2378080415</v>
      </c>
      <c r="E2480" t="str">
        <f>T("마법사왕 아서 340화")</f>
        <v>마법사왕 아서 340화</v>
      </c>
      <c r="F2480">
        <v>341</v>
      </c>
      <c r="G2480" t="str">
        <f>T("하란사")</f>
        <v>하란사</v>
      </c>
      <c r="J2480" t="str">
        <f>T("매드햇")</f>
        <v>매드햇</v>
      </c>
      <c r="K2480" t="str">
        <f>T("마법사왕 아서")</f>
        <v>마법사왕 아서</v>
      </c>
      <c r="L2480">
        <v>100</v>
      </c>
      <c r="M2480">
        <v>200</v>
      </c>
      <c r="N2480">
        <v>2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200</v>
      </c>
      <c r="AJ2480">
        <v>2</v>
      </c>
      <c r="AK2480">
        <v>0</v>
      </c>
      <c r="AL2480">
        <v>0</v>
      </c>
      <c r="AM2480">
        <v>200</v>
      </c>
      <c r="AN2480">
        <v>0</v>
      </c>
      <c r="AO2480">
        <v>0</v>
      </c>
      <c r="AP2480">
        <v>0</v>
      </c>
      <c r="AQ2480">
        <v>0</v>
      </c>
      <c r="AS2480">
        <v>0</v>
      </c>
      <c r="AT2480">
        <v>0</v>
      </c>
      <c r="AV2480">
        <v>0</v>
      </c>
      <c r="AW2480">
        <v>0</v>
      </c>
      <c r="AY2480">
        <v>0</v>
      </c>
      <c r="AZ2480">
        <v>0</v>
      </c>
      <c r="BA2480">
        <v>120</v>
      </c>
      <c r="BE2480" t="str">
        <f>T("9791137019256")</f>
        <v>9791137019256</v>
      </c>
      <c r="BF2480" t="str">
        <f>T("D147770")</f>
        <v>D147770</v>
      </c>
      <c r="BG2480" t="str">
        <f>T("판타지 웹소설 &gt; 정통 판타지")</f>
        <v>판타지 웹소설 &gt; 정통 판타지</v>
      </c>
    </row>
    <row r="2481" spans="1:59">
      <c r="A2481" t="s">
        <v>60</v>
      </c>
      <c r="B2481" s="1">
        <v>46131</v>
      </c>
      <c r="C2481">
        <v>2378066888</v>
      </c>
      <c r="D2481">
        <v>2378080485</v>
      </c>
      <c r="E2481" t="str">
        <f>T("마법사왕 아서 341화")</f>
        <v>마법사왕 아서 341화</v>
      </c>
      <c r="F2481">
        <v>342</v>
      </c>
      <c r="G2481" t="str">
        <f>T("하란사")</f>
        <v>하란사</v>
      </c>
      <c r="J2481" t="str">
        <f>T("매드햇")</f>
        <v>매드햇</v>
      </c>
      <c r="K2481" t="str">
        <f>T("마법사왕 아서")</f>
        <v>마법사왕 아서</v>
      </c>
      <c r="L2481">
        <v>100</v>
      </c>
      <c r="M2481">
        <v>200</v>
      </c>
      <c r="N2481">
        <v>2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200</v>
      </c>
      <c r="AJ2481">
        <v>2</v>
      </c>
      <c r="AK2481">
        <v>0</v>
      </c>
      <c r="AL2481">
        <v>0</v>
      </c>
      <c r="AM2481">
        <v>200</v>
      </c>
      <c r="AN2481">
        <v>0</v>
      </c>
      <c r="AO2481">
        <v>0</v>
      </c>
      <c r="AP2481">
        <v>0</v>
      </c>
      <c r="AQ2481">
        <v>0</v>
      </c>
      <c r="AS2481">
        <v>0</v>
      </c>
      <c r="AT2481">
        <v>0</v>
      </c>
      <c r="AV2481">
        <v>0</v>
      </c>
      <c r="AW2481">
        <v>0</v>
      </c>
      <c r="AY2481">
        <v>0</v>
      </c>
      <c r="AZ2481">
        <v>0</v>
      </c>
      <c r="BA2481">
        <v>120</v>
      </c>
      <c r="BE2481" t="str">
        <f>T("9791137019256")</f>
        <v>9791137019256</v>
      </c>
      <c r="BF2481" t="str">
        <f>T("D203802")</f>
        <v>D203802</v>
      </c>
      <c r="BG2481" t="str">
        <f>T("판타지 웹소설 &gt; 정통 판타지")</f>
        <v>판타지 웹소설 &gt; 정통 판타지</v>
      </c>
    </row>
    <row r="2482" spans="1:59">
      <c r="A2482" t="s">
        <v>60</v>
      </c>
      <c r="B2482" s="1">
        <v>46131</v>
      </c>
      <c r="C2482">
        <v>2378066888</v>
      </c>
      <c r="D2482">
        <v>2378081199</v>
      </c>
      <c r="E2482" t="str">
        <f>T("마법사왕 아서 355화")</f>
        <v>마법사왕 아서 355화</v>
      </c>
      <c r="F2482">
        <v>356</v>
      </c>
      <c r="G2482" t="str">
        <f>T("하란사")</f>
        <v>하란사</v>
      </c>
      <c r="J2482" t="str">
        <f>T("매드햇")</f>
        <v>매드햇</v>
      </c>
      <c r="K2482" t="str">
        <f>T("마법사왕 아서")</f>
        <v>마법사왕 아서</v>
      </c>
      <c r="L2482">
        <v>100</v>
      </c>
      <c r="M2482">
        <v>300</v>
      </c>
      <c r="N2482">
        <v>3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300</v>
      </c>
      <c r="AJ2482">
        <v>3</v>
      </c>
      <c r="AK2482">
        <v>0</v>
      </c>
      <c r="AL2482">
        <v>0</v>
      </c>
      <c r="AM2482">
        <v>300</v>
      </c>
      <c r="AN2482">
        <v>0</v>
      </c>
      <c r="AO2482">
        <v>0</v>
      </c>
      <c r="AP2482">
        <v>0</v>
      </c>
      <c r="AQ2482">
        <v>0</v>
      </c>
      <c r="AS2482">
        <v>0</v>
      </c>
      <c r="AT2482">
        <v>0</v>
      </c>
      <c r="AV2482">
        <v>0</v>
      </c>
      <c r="AW2482">
        <v>0</v>
      </c>
      <c r="AY2482">
        <v>0</v>
      </c>
      <c r="AZ2482">
        <v>0</v>
      </c>
      <c r="BA2482">
        <v>180</v>
      </c>
      <c r="BE2482" t="str">
        <f>T("9791137019256")</f>
        <v>9791137019256</v>
      </c>
      <c r="BF2482" t="str">
        <f>T("D227162")</f>
        <v>D227162</v>
      </c>
      <c r="BG2482" t="str">
        <f>T("판타지 웹소설 &gt; 정통 판타지")</f>
        <v>판타지 웹소설 &gt; 정통 판타지</v>
      </c>
    </row>
    <row r="2483" spans="1:59">
      <c r="A2483" t="s">
        <v>60</v>
      </c>
      <c r="B2483" s="1">
        <v>46131</v>
      </c>
      <c r="C2483">
        <v>2378066888</v>
      </c>
      <c r="D2483">
        <v>2378081222</v>
      </c>
      <c r="E2483" t="str">
        <f>T("마법사왕 아서 356화")</f>
        <v>마법사왕 아서 356화</v>
      </c>
      <c r="F2483">
        <v>357</v>
      </c>
      <c r="G2483" t="str">
        <f>T("하란사")</f>
        <v>하란사</v>
      </c>
      <c r="J2483" t="str">
        <f>T("매드햇")</f>
        <v>매드햇</v>
      </c>
      <c r="K2483" t="str">
        <f>T("마법사왕 아서")</f>
        <v>마법사왕 아서</v>
      </c>
      <c r="L2483">
        <v>100</v>
      </c>
      <c r="M2483">
        <v>300</v>
      </c>
      <c r="N2483">
        <v>3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300</v>
      </c>
      <c r="AJ2483">
        <v>3</v>
      </c>
      <c r="AK2483">
        <v>0</v>
      </c>
      <c r="AL2483">
        <v>0</v>
      </c>
      <c r="AM2483">
        <v>300</v>
      </c>
      <c r="AN2483">
        <v>0</v>
      </c>
      <c r="AO2483">
        <v>0</v>
      </c>
      <c r="AP2483">
        <v>0</v>
      </c>
      <c r="AQ2483">
        <v>0</v>
      </c>
      <c r="AS2483">
        <v>0</v>
      </c>
      <c r="AT2483">
        <v>0</v>
      </c>
      <c r="AV2483">
        <v>0</v>
      </c>
      <c r="AW2483">
        <v>0</v>
      </c>
      <c r="AY2483">
        <v>0</v>
      </c>
      <c r="AZ2483">
        <v>0</v>
      </c>
      <c r="BA2483">
        <v>180</v>
      </c>
      <c r="BE2483" t="str">
        <f>T("9791137019256")</f>
        <v>9791137019256</v>
      </c>
      <c r="BF2483" t="str">
        <f>T("D227163")</f>
        <v>D227163</v>
      </c>
      <c r="BG2483" t="str">
        <f>T("판타지 웹소설 &gt; 정통 판타지")</f>
        <v>판타지 웹소설 &gt; 정통 판타지</v>
      </c>
    </row>
    <row r="2484" spans="1:59">
      <c r="A2484" t="s">
        <v>60</v>
      </c>
      <c r="B2484" s="1">
        <v>46131</v>
      </c>
      <c r="C2484">
        <v>2378066888</v>
      </c>
      <c r="D2484">
        <v>2378081235</v>
      </c>
      <c r="E2484" t="str">
        <f>T("마법사왕 아서 357화")</f>
        <v>마법사왕 아서 357화</v>
      </c>
      <c r="F2484">
        <v>358</v>
      </c>
      <c r="G2484" t="str">
        <f>T("하란사")</f>
        <v>하란사</v>
      </c>
      <c r="J2484" t="str">
        <f>T("매드햇")</f>
        <v>매드햇</v>
      </c>
      <c r="K2484" t="str">
        <f>T("마법사왕 아서")</f>
        <v>마법사왕 아서</v>
      </c>
      <c r="L2484">
        <v>100</v>
      </c>
      <c r="M2484">
        <v>300</v>
      </c>
      <c r="N2484">
        <v>3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300</v>
      </c>
      <c r="AJ2484">
        <v>3</v>
      </c>
      <c r="AK2484">
        <v>0</v>
      </c>
      <c r="AL2484">
        <v>0</v>
      </c>
      <c r="AM2484">
        <v>300</v>
      </c>
      <c r="AN2484">
        <v>0</v>
      </c>
      <c r="AO2484">
        <v>0</v>
      </c>
      <c r="AP2484">
        <v>0</v>
      </c>
      <c r="AQ2484">
        <v>0</v>
      </c>
      <c r="AS2484">
        <v>0</v>
      </c>
      <c r="AT2484">
        <v>0</v>
      </c>
      <c r="AV2484">
        <v>0</v>
      </c>
      <c r="AW2484">
        <v>0</v>
      </c>
      <c r="AY2484">
        <v>0</v>
      </c>
      <c r="AZ2484">
        <v>0</v>
      </c>
      <c r="BA2484">
        <v>180</v>
      </c>
      <c r="BE2484" t="str">
        <f>T("9791137019256")</f>
        <v>9791137019256</v>
      </c>
      <c r="BF2484" t="str">
        <f>T("D227164")</f>
        <v>D227164</v>
      </c>
      <c r="BG2484" t="str">
        <f>T("판타지 웹소설 &gt; 정통 판타지")</f>
        <v>판타지 웹소설 &gt; 정통 판타지</v>
      </c>
    </row>
    <row r="2485" spans="1:59">
      <c r="A2485" t="s">
        <v>60</v>
      </c>
      <c r="B2485" s="1">
        <v>46131</v>
      </c>
      <c r="C2485">
        <v>2378066888</v>
      </c>
      <c r="D2485">
        <v>2378081238</v>
      </c>
      <c r="E2485" t="str">
        <f>T("마법사왕 아서 358화")</f>
        <v>마법사왕 아서 358화</v>
      </c>
      <c r="F2485">
        <v>359</v>
      </c>
      <c r="G2485" t="str">
        <f>T("하란사")</f>
        <v>하란사</v>
      </c>
      <c r="J2485" t="str">
        <f>T("매드햇")</f>
        <v>매드햇</v>
      </c>
      <c r="K2485" t="str">
        <f>T("마법사왕 아서")</f>
        <v>마법사왕 아서</v>
      </c>
      <c r="L2485">
        <v>100</v>
      </c>
      <c r="M2485">
        <v>300</v>
      </c>
      <c r="N2485">
        <v>3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300</v>
      </c>
      <c r="AJ2485">
        <v>3</v>
      </c>
      <c r="AK2485">
        <v>0</v>
      </c>
      <c r="AL2485">
        <v>0</v>
      </c>
      <c r="AM2485">
        <v>300</v>
      </c>
      <c r="AN2485">
        <v>0</v>
      </c>
      <c r="AO2485">
        <v>0</v>
      </c>
      <c r="AP2485">
        <v>0</v>
      </c>
      <c r="AQ2485">
        <v>0</v>
      </c>
      <c r="AS2485">
        <v>0</v>
      </c>
      <c r="AT2485">
        <v>0</v>
      </c>
      <c r="AV2485">
        <v>0</v>
      </c>
      <c r="AW2485">
        <v>0</v>
      </c>
      <c r="AY2485">
        <v>0</v>
      </c>
      <c r="AZ2485">
        <v>0</v>
      </c>
      <c r="BA2485">
        <v>180</v>
      </c>
      <c r="BE2485" t="str">
        <f>T("9791137019256")</f>
        <v>9791137019256</v>
      </c>
      <c r="BG2485" t="str">
        <f>T("판타지 웹소설 &gt; 정통 판타지")</f>
        <v>판타지 웹소설 &gt; 정통 판타지</v>
      </c>
    </row>
    <row r="2486" spans="1:59">
      <c r="A2486" t="s">
        <v>60</v>
      </c>
      <c r="B2486" s="1">
        <v>46129</v>
      </c>
      <c r="C2486">
        <v>2378062014</v>
      </c>
      <c r="D2486">
        <v>2378062016</v>
      </c>
      <c r="E2486" t="str">
        <f>T("마법소녀였는데, 퇴마합니다! 3화")</f>
        <v>마법소녀였는데, 퇴마합니다! 3화</v>
      </c>
      <c r="F2486">
        <v>3</v>
      </c>
      <c r="G2486" t="str">
        <f>T("괭잩낛")</f>
        <v>괭잩낛</v>
      </c>
      <c r="J2486" t="str">
        <f>T("매드햇")</f>
        <v>매드햇</v>
      </c>
      <c r="K2486" t="str">
        <f>T("마법소녀였는데, 퇴마합니다!")</f>
        <v>마법소녀였는데, 퇴마합니다!</v>
      </c>
      <c r="L2486">
        <v>0</v>
      </c>
      <c r="M2486">
        <v>0</v>
      </c>
      <c r="N2486">
        <v>0</v>
      </c>
      <c r="O2486">
        <v>1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1</v>
      </c>
      <c r="AK2486">
        <v>0</v>
      </c>
      <c r="AL2486">
        <v>0</v>
      </c>
      <c r="AM2486">
        <v>0</v>
      </c>
      <c r="AN2486">
        <v>0</v>
      </c>
      <c r="AO2486">
        <v>0</v>
      </c>
      <c r="AP2486">
        <v>0</v>
      </c>
      <c r="AQ2486">
        <v>0</v>
      </c>
      <c r="AS2486">
        <v>0</v>
      </c>
      <c r="AT2486">
        <v>0</v>
      </c>
      <c r="AV2486">
        <v>0</v>
      </c>
      <c r="AW2486">
        <v>0</v>
      </c>
      <c r="AY2486">
        <v>0</v>
      </c>
      <c r="AZ2486">
        <v>0</v>
      </c>
      <c r="BA2486">
        <v>0</v>
      </c>
      <c r="BE2486" t="str">
        <f>T("9791137018617")</f>
        <v>9791137018617</v>
      </c>
      <c r="BF2486" t="str">
        <f>T("k241842")</f>
        <v>k241842</v>
      </c>
      <c r="BG2486" t="str">
        <f>T("판타지 웹소설 &gt; 퓨전 판타지")</f>
        <v>판타지 웹소설 &gt; 퓨전 판타지</v>
      </c>
    </row>
    <row r="2487" spans="1:59">
      <c r="A2487" t="s">
        <v>60</v>
      </c>
      <c r="B2487" s="1">
        <v>46130</v>
      </c>
      <c r="C2487">
        <v>2378062014</v>
      </c>
      <c r="D2487">
        <v>2378062022</v>
      </c>
      <c r="E2487" t="str">
        <f>T("마법소녀였는데, 퇴마합니다! 9화")</f>
        <v>마법소녀였는데, 퇴마합니다! 9화</v>
      </c>
      <c r="F2487">
        <v>9</v>
      </c>
      <c r="G2487" t="str">
        <f>T("괭잩낛")</f>
        <v>괭잩낛</v>
      </c>
      <c r="J2487" t="str">
        <f>T("매드햇")</f>
        <v>매드햇</v>
      </c>
      <c r="K2487" t="str">
        <f>T("마법소녀였는데, 퇴마합니다!")</f>
        <v>마법소녀였는데, 퇴마합니다!</v>
      </c>
      <c r="L2487">
        <v>0</v>
      </c>
      <c r="M2487">
        <v>0</v>
      </c>
      <c r="N2487">
        <v>0</v>
      </c>
      <c r="O2487">
        <v>1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1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S2487">
        <v>0</v>
      </c>
      <c r="AT2487">
        <v>0</v>
      </c>
      <c r="AV2487">
        <v>0</v>
      </c>
      <c r="AW2487">
        <v>0</v>
      </c>
      <c r="AY2487">
        <v>0</v>
      </c>
      <c r="AZ2487">
        <v>0</v>
      </c>
      <c r="BA2487">
        <v>0</v>
      </c>
      <c r="BE2487" t="str">
        <f>T("9791137018617")</f>
        <v>9791137018617</v>
      </c>
      <c r="BF2487" t="str">
        <f>T("k241848")</f>
        <v>k241848</v>
      </c>
      <c r="BG2487" t="str">
        <f>T("판타지 웹소설 &gt; 퓨전 판타지")</f>
        <v>판타지 웹소설 &gt; 퓨전 판타지</v>
      </c>
    </row>
    <row r="2488" spans="1:59">
      <c r="A2488" t="s">
        <v>60</v>
      </c>
      <c r="B2488" s="1">
        <v>46130</v>
      </c>
      <c r="C2488">
        <v>2378062014</v>
      </c>
      <c r="D2488">
        <v>2378062014</v>
      </c>
      <c r="E2488" t="str">
        <f>T("마법소녀였는데, 퇴마합니다! 1화")</f>
        <v>마법소녀였는데, 퇴마합니다! 1화</v>
      </c>
      <c r="F2488">
        <v>1</v>
      </c>
      <c r="G2488" t="str">
        <f>T("괭잩낛")</f>
        <v>괭잩낛</v>
      </c>
      <c r="J2488" t="str">
        <f>T("매드햇")</f>
        <v>매드햇</v>
      </c>
      <c r="K2488" t="str">
        <f>T("마법소녀였는데, 퇴마합니다!")</f>
        <v>마법소녀였는데, 퇴마합니다!</v>
      </c>
      <c r="L2488">
        <v>0</v>
      </c>
      <c r="M2488">
        <v>0</v>
      </c>
      <c r="N2488">
        <v>0</v>
      </c>
      <c r="O2488">
        <v>1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1</v>
      </c>
      <c r="AK2488">
        <v>0</v>
      </c>
      <c r="AL2488">
        <v>0</v>
      </c>
      <c r="AM2488">
        <v>0</v>
      </c>
      <c r="AN2488">
        <v>0</v>
      </c>
      <c r="AO2488">
        <v>0</v>
      </c>
      <c r="AP2488">
        <v>0</v>
      </c>
      <c r="AQ2488">
        <v>0</v>
      </c>
      <c r="AS2488">
        <v>0</v>
      </c>
      <c r="AT2488">
        <v>0</v>
      </c>
      <c r="AV2488">
        <v>0</v>
      </c>
      <c r="AW2488">
        <v>0</v>
      </c>
      <c r="AY2488">
        <v>0</v>
      </c>
      <c r="AZ2488">
        <v>0</v>
      </c>
      <c r="BA2488">
        <v>0</v>
      </c>
      <c r="BE2488" t="str">
        <f>T("9791137018617")</f>
        <v>9791137018617</v>
      </c>
      <c r="BF2488" t="str">
        <f>T("k241840")</f>
        <v>k241840</v>
      </c>
      <c r="BG2488" t="str">
        <f>T("판타지 웹소설 &gt; 퓨전 판타지")</f>
        <v>판타지 웹소설 &gt; 퓨전 판타지</v>
      </c>
    </row>
    <row r="2489" spans="1:59">
      <c r="A2489" t="s">
        <v>60</v>
      </c>
      <c r="B2489" s="1">
        <v>46130</v>
      </c>
      <c r="C2489">
        <v>2378062014</v>
      </c>
      <c r="D2489">
        <v>2378071435</v>
      </c>
      <c r="E2489" t="str">
        <f>T("마법소녀였는데, 퇴마합니다! 301화")</f>
        <v>마법소녀였는데, 퇴마합니다! 301화</v>
      </c>
      <c r="F2489">
        <v>301</v>
      </c>
      <c r="G2489" t="str">
        <f>T("괭잩낛")</f>
        <v>괭잩낛</v>
      </c>
      <c r="J2489" t="str">
        <f>T("매드햇")</f>
        <v>매드햇</v>
      </c>
      <c r="K2489" t="str">
        <f>T("마법소녀였는데, 퇴마합니다!")</f>
        <v>마법소녀였는데, 퇴마합니다!</v>
      </c>
      <c r="L2489">
        <v>100</v>
      </c>
      <c r="M2489">
        <v>100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100</v>
      </c>
      <c r="AJ2489">
        <v>1</v>
      </c>
      <c r="AK2489">
        <v>0</v>
      </c>
      <c r="AL2489">
        <v>0</v>
      </c>
      <c r="AM2489">
        <v>100</v>
      </c>
      <c r="AN2489">
        <v>0</v>
      </c>
      <c r="AO2489">
        <v>0</v>
      </c>
      <c r="AP2489">
        <v>0</v>
      </c>
      <c r="AQ2489">
        <v>0</v>
      </c>
      <c r="AS2489">
        <v>0</v>
      </c>
      <c r="AT2489">
        <v>0</v>
      </c>
      <c r="AV2489">
        <v>0</v>
      </c>
      <c r="AW2489">
        <v>0</v>
      </c>
      <c r="AY2489">
        <v>0</v>
      </c>
      <c r="AZ2489">
        <v>0</v>
      </c>
      <c r="BA2489">
        <v>70</v>
      </c>
      <c r="BE2489" t="str">
        <f>T("9791137018617")</f>
        <v>9791137018617</v>
      </c>
      <c r="BF2489" t="str">
        <f>T("k447768")</f>
        <v>k447768</v>
      </c>
      <c r="BG2489" t="str">
        <f>T("판타지 웹소설 &gt; 퓨전 판타지")</f>
        <v>판타지 웹소설 &gt; 퓨전 판타지</v>
      </c>
    </row>
    <row r="2490" spans="1:59">
      <c r="A2490" t="s">
        <v>60</v>
      </c>
      <c r="B2490" s="1">
        <v>46131</v>
      </c>
      <c r="C2490">
        <v>2378062014</v>
      </c>
      <c r="D2490">
        <v>2378066201</v>
      </c>
      <c r="E2490" t="str">
        <f>T("마법소녀였는데, 퇴마합니다! 177화")</f>
        <v>마법소녀였는데, 퇴마합니다! 177화</v>
      </c>
      <c r="F2490">
        <v>177</v>
      </c>
      <c r="G2490" t="str">
        <f>T("괭잩낛")</f>
        <v>괭잩낛</v>
      </c>
      <c r="J2490" t="str">
        <f>T("매드햇")</f>
        <v>매드햇</v>
      </c>
      <c r="K2490" t="str">
        <f>T("마법소녀였는데, 퇴마합니다!")</f>
        <v>마법소녀였는데, 퇴마합니다!</v>
      </c>
      <c r="L2490">
        <v>100</v>
      </c>
      <c r="M2490">
        <v>100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100</v>
      </c>
      <c r="AJ2490">
        <v>1</v>
      </c>
      <c r="AK2490">
        <v>0</v>
      </c>
      <c r="AL2490">
        <v>0</v>
      </c>
      <c r="AM2490">
        <v>100</v>
      </c>
      <c r="AN2490">
        <v>0</v>
      </c>
      <c r="AO2490">
        <v>0</v>
      </c>
      <c r="AP2490">
        <v>0</v>
      </c>
      <c r="AQ2490">
        <v>0</v>
      </c>
      <c r="AS2490">
        <v>0</v>
      </c>
      <c r="AT2490">
        <v>0</v>
      </c>
      <c r="AV2490">
        <v>0</v>
      </c>
      <c r="AW2490">
        <v>0</v>
      </c>
      <c r="AY2490">
        <v>0</v>
      </c>
      <c r="AZ2490">
        <v>0</v>
      </c>
      <c r="BA2490">
        <v>70</v>
      </c>
      <c r="BE2490" t="str">
        <f>T("9791137018617")</f>
        <v>9791137018617</v>
      </c>
      <c r="BF2490" t="str">
        <f>T("k296803")</f>
        <v>k296803</v>
      </c>
      <c r="BG2490" t="str">
        <f>T("판타지 웹소설 &gt; 퓨전 판타지")</f>
        <v>판타지 웹소설 &gt; 퓨전 판타지</v>
      </c>
    </row>
    <row r="2491" spans="1:59">
      <c r="A2491" t="s">
        <v>60</v>
      </c>
      <c r="B2491" s="1">
        <v>46131</v>
      </c>
      <c r="C2491">
        <v>2378062014</v>
      </c>
      <c r="D2491">
        <v>2378070899</v>
      </c>
      <c r="E2491" t="str">
        <f>T("마법소녀였는데, 퇴마합니다! 296화")</f>
        <v>마법소녀였는데, 퇴마합니다! 296화</v>
      </c>
      <c r="F2491">
        <v>296</v>
      </c>
      <c r="G2491" t="str">
        <f>T("괭잩낛")</f>
        <v>괭잩낛</v>
      </c>
      <c r="J2491" t="str">
        <f>T("매드햇")</f>
        <v>매드햇</v>
      </c>
      <c r="K2491" t="str">
        <f>T("마법소녀였는데, 퇴마합니다!")</f>
        <v>마법소녀였는데, 퇴마합니다!</v>
      </c>
      <c r="L2491">
        <v>100</v>
      </c>
      <c r="M2491">
        <v>100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100</v>
      </c>
      <c r="AJ2491">
        <v>1</v>
      </c>
      <c r="AK2491">
        <v>0</v>
      </c>
      <c r="AL2491">
        <v>0</v>
      </c>
      <c r="AM2491">
        <v>100</v>
      </c>
      <c r="AN2491">
        <v>0</v>
      </c>
      <c r="AO2491">
        <v>0</v>
      </c>
      <c r="AP2491">
        <v>0</v>
      </c>
      <c r="AQ2491">
        <v>0</v>
      </c>
      <c r="AS2491">
        <v>0</v>
      </c>
      <c r="AT2491">
        <v>0</v>
      </c>
      <c r="AV2491">
        <v>0</v>
      </c>
      <c r="AW2491">
        <v>0</v>
      </c>
      <c r="AY2491">
        <v>0</v>
      </c>
      <c r="AZ2491">
        <v>0</v>
      </c>
      <c r="BA2491">
        <v>70</v>
      </c>
      <c r="BE2491" t="str">
        <f>T("9791137018617")</f>
        <v>9791137018617</v>
      </c>
      <c r="BF2491" t="str">
        <f>T("k440257")</f>
        <v>k440257</v>
      </c>
      <c r="BG2491" t="str">
        <f>T("판타지 웹소설 &gt; 퓨전 판타지")</f>
        <v>판타지 웹소설 &gt; 퓨전 판타지</v>
      </c>
    </row>
    <row r="2492" spans="1:59">
      <c r="A2492" t="s">
        <v>60</v>
      </c>
      <c r="B2492" s="1">
        <v>46131</v>
      </c>
      <c r="C2492">
        <v>2378062014</v>
      </c>
      <c r="D2492">
        <v>2378070879</v>
      </c>
      <c r="E2492" t="str">
        <f>T("마법소녀였는데, 퇴마합니다! 295화")</f>
        <v>마법소녀였는데, 퇴마합니다! 295화</v>
      </c>
      <c r="F2492">
        <v>295</v>
      </c>
      <c r="G2492" t="str">
        <f>T("괭잩낛")</f>
        <v>괭잩낛</v>
      </c>
      <c r="J2492" t="str">
        <f>T("매드햇")</f>
        <v>매드햇</v>
      </c>
      <c r="K2492" t="str">
        <f>T("마법소녀였는데, 퇴마합니다!")</f>
        <v>마법소녀였는데, 퇴마합니다!</v>
      </c>
      <c r="L2492">
        <v>100</v>
      </c>
      <c r="M2492">
        <v>100</v>
      </c>
      <c r="N2492">
        <v>1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100</v>
      </c>
      <c r="AJ2492">
        <v>1</v>
      </c>
      <c r="AK2492">
        <v>0</v>
      </c>
      <c r="AL2492">
        <v>0</v>
      </c>
      <c r="AM2492">
        <v>100</v>
      </c>
      <c r="AN2492">
        <v>0</v>
      </c>
      <c r="AO2492">
        <v>0</v>
      </c>
      <c r="AP2492">
        <v>0</v>
      </c>
      <c r="AQ2492">
        <v>0</v>
      </c>
      <c r="AS2492">
        <v>0</v>
      </c>
      <c r="AT2492">
        <v>0</v>
      </c>
      <c r="AV2492">
        <v>0</v>
      </c>
      <c r="AW2492">
        <v>0</v>
      </c>
      <c r="AY2492">
        <v>0</v>
      </c>
      <c r="AZ2492">
        <v>0</v>
      </c>
      <c r="BA2492">
        <v>70</v>
      </c>
      <c r="BE2492" t="str">
        <f>T("9791137018617")</f>
        <v>9791137018617</v>
      </c>
      <c r="BF2492" t="str">
        <f>T("k434395")</f>
        <v>k434395</v>
      </c>
      <c r="BG2492" t="str">
        <f>T("판타지 웹소설 &gt; 퓨전 판타지")</f>
        <v>판타지 웹소설 &gt; 퓨전 판타지</v>
      </c>
    </row>
    <row r="2493" spans="1:59">
      <c r="A2493" t="s">
        <v>60</v>
      </c>
      <c r="B2493" s="1">
        <v>46131</v>
      </c>
      <c r="C2493">
        <v>2378062014</v>
      </c>
      <c r="D2493">
        <v>2378066200</v>
      </c>
      <c r="E2493" t="str">
        <f>T("마법소녀였는데, 퇴마합니다! 176화")</f>
        <v>마법소녀였는데, 퇴마합니다! 176화</v>
      </c>
      <c r="F2493">
        <v>176</v>
      </c>
      <c r="G2493" t="str">
        <f>T("괭잩낛")</f>
        <v>괭잩낛</v>
      </c>
      <c r="J2493" t="str">
        <f>T("매드햇")</f>
        <v>매드햇</v>
      </c>
      <c r="K2493" t="str">
        <f>T("마법소녀였는데, 퇴마합니다!")</f>
        <v>마법소녀였는데, 퇴마합니다!</v>
      </c>
      <c r="L2493">
        <v>100</v>
      </c>
      <c r="M2493">
        <v>100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100</v>
      </c>
      <c r="AJ2493">
        <v>1</v>
      </c>
      <c r="AK2493">
        <v>0</v>
      </c>
      <c r="AL2493">
        <v>0</v>
      </c>
      <c r="AM2493">
        <v>100</v>
      </c>
      <c r="AN2493">
        <v>0</v>
      </c>
      <c r="AO2493">
        <v>0</v>
      </c>
      <c r="AP2493">
        <v>0</v>
      </c>
      <c r="AQ2493">
        <v>0</v>
      </c>
      <c r="AS2493">
        <v>0</v>
      </c>
      <c r="AT2493">
        <v>0</v>
      </c>
      <c r="AV2493">
        <v>0</v>
      </c>
      <c r="AW2493">
        <v>0</v>
      </c>
      <c r="AY2493">
        <v>0</v>
      </c>
      <c r="AZ2493">
        <v>0</v>
      </c>
      <c r="BA2493">
        <v>70</v>
      </c>
      <c r="BE2493" t="str">
        <f>T("9791137018617")</f>
        <v>9791137018617</v>
      </c>
      <c r="BF2493" t="str">
        <f>T("k296802")</f>
        <v>k296802</v>
      </c>
      <c r="BG2493" t="str">
        <f>T("판타지 웹소설 &gt; 퓨전 판타지")</f>
        <v>판타지 웹소설 &gt; 퓨전 판타지</v>
      </c>
    </row>
    <row r="2494" spans="1:59">
      <c r="A2494" t="s">
        <v>60</v>
      </c>
      <c r="B2494" s="1">
        <v>46131</v>
      </c>
      <c r="C2494">
        <v>2378062014</v>
      </c>
      <c r="D2494">
        <v>2378062014</v>
      </c>
      <c r="E2494" t="str">
        <f>T("마법소녀였는데, 퇴마합니다! 1화")</f>
        <v>마법소녀였는데, 퇴마합니다! 1화</v>
      </c>
      <c r="F2494">
        <v>1</v>
      </c>
      <c r="G2494" t="str">
        <f>T("괭잩낛")</f>
        <v>괭잩낛</v>
      </c>
      <c r="J2494" t="str">
        <f>T("매드햇")</f>
        <v>매드햇</v>
      </c>
      <c r="K2494" t="str">
        <f>T("마법소녀였는데, 퇴마합니다!")</f>
        <v>마법소녀였는데, 퇴마합니다!</v>
      </c>
      <c r="L2494">
        <v>0</v>
      </c>
      <c r="M2494">
        <v>0</v>
      </c>
      <c r="N2494">
        <v>0</v>
      </c>
      <c r="O2494">
        <v>5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0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5</v>
      </c>
      <c r="AK2494">
        <v>0</v>
      </c>
      <c r="AL2494">
        <v>0</v>
      </c>
      <c r="AM2494">
        <v>0</v>
      </c>
      <c r="AN2494">
        <v>0</v>
      </c>
      <c r="AO2494">
        <v>0</v>
      </c>
      <c r="AP2494">
        <v>0</v>
      </c>
      <c r="AQ2494">
        <v>0</v>
      </c>
      <c r="AS2494">
        <v>0</v>
      </c>
      <c r="AT2494">
        <v>0</v>
      </c>
      <c r="AV2494">
        <v>0</v>
      </c>
      <c r="AW2494">
        <v>0</v>
      </c>
      <c r="AY2494">
        <v>0</v>
      </c>
      <c r="AZ2494">
        <v>0</v>
      </c>
      <c r="BA2494">
        <v>0</v>
      </c>
      <c r="BE2494" t="str">
        <f>T("9791137018617")</f>
        <v>9791137018617</v>
      </c>
      <c r="BF2494" t="str">
        <f>T("k241840")</f>
        <v>k241840</v>
      </c>
      <c r="BG2494" t="str">
        <f>T("판타지 웹소설 &gt; 퓨전 판타지")</f>
        <v>판타지 웹소설 &gt; 퓨전 판타지</v>
      </c>
    </row>
    <row r="2495" spans="1:59">
      <c r="A2495" t="s">
        <v>60</v>
      </c>
      <c r="B2495" s="1">
        <v>46131</v>
      </c>
      <c r="C2495">
        <v>2378062014</v>
      </c>
      <c r="D2495">
        <v>2378071417</v>
      </c>
      <c r="E2495" t="str">
        <f>T("마법소녀였는데, 퇴마합니다! 300화")</f>
        <v>마법소녀였는데, 퇴마합니다! 300화</v>
      </c>
      <c r="F2495">
        <v>300</v>
      </c>
      <c r="G2495" t="str">
        <f>T("괭잩낛")</f>
        <v>괭잩낛</v>
      </c>
      <c r="J2495" t="str">
        <f>T("매드햇")</f>
        <v>매드햇</v>
      </c>
      <c r="K2495" t="str">
        <f>T("마법소녀였는데, 퇴마합니다!")</f>
        <v>마법소녀였는데, 퇴마합니다!</v>
      </c>
      <c r="L2495">
        <v>100</v>
      </c>
      <c r="M2495">
        <v>100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100</v>
      </c>
      <c r="AJ2495">
        <v>1</v>
      </c>
      <c r="AK2495">
        <v>0</v>
      </c>
      <c r="AL2495">
        <v>0</v>
      </c>
      <c r="AM2495">
        <v>100</v>
      </c>
      <c r="AN2495">
        <v>0</v>
      </c>
      <c r="AO2495">
        <v>0</v>
      </c>
      <c r="AP2495">
        <v>0</v>
      </c>
      <c r="AQ2495">
        <v>0</v>
      </c>
      <c r="AS2495">
        <v>0</v>
      </c>
      <c r="AT2495">
        <v>0</v>
      </c>
      <c r="AV2495">
        <v>0</v>
      </c>
      <c r="AW2495">
        <v>0</v>
      </c>
      <c r="AY2495">
        <v>0</v>
      </c>
      <c r="AZ2495">
        <v>0</v>
      </c>
      <c r="BA2495">
        <v>70</v>
      </c>
      <c r="BE2495" t="str">
        <f>T("9791137018617")</f>
        <v>9791137018617</v>
      </c>
      <c r="BF2495" t="str">
        <f>T("k441783")</f>
        <v>k441783</v>
      </c>
      <c r="BG2495" t="str">
        <f>T("판타지 웹소설 &gt; 퓨전 판타지")</f>
        <v>판타지 웹소설 &gt; 퓨전 판타지</v>
      </c>
    </row>
    <row r="2496" spans="1:59">
      <c r="A2496" t="s">
        <v>60</v>
      </c>
      <c r="B2496" s="1">
        <v>46131</v>
      </c>
      <c r="C2496">
        <v>2378062014</v>
      </c>
      <c r="D2496">
        <v>2378071132</v>
      </c>
      <c r="E2496" t="str">
        <f>T("마법소녀였는데, 퇴마합니다! 299화")</f>
        <v>마법소녀였는데, 퇴마합니다! 299화</v>
      </c>
      <c r="F2496">
        <v>299</v>
      </c>
      <c r="G2496" t="str">
        <f>T("괭잩낛")</f>
        <v>괭잩낛</v>
      </c>
      <c r="J2496" t="str">
        <f>T("매드햇")</f>
        <v>매드햇</v>
      </c>
      <c r="K2496" t="str">
        <f>T("마법소녀였는데, 퇴마합니다!")</f>
        <v>마법소녀였는데, 퇴마합니다!</v>
      </c>
      <c r="L2496">
        <v>100</v>
      </c>
      <c r="M2496">
        <v>100</v>
      </c>
      <c r="N2496">
        <v>1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100</v>
      </c>
      <c r="AJ2496">
        <v>1</v>
      </c>
      <c r="AK2496">
        <v>0</v>
      </c>
      <c r="AL2496">
        <v>0</v>
      </c>
      <c r="AM2496">
        <v>100</v>
      </c>
      <c r="AN2496">
        <v>0</v>
      </c>
      <c r="AO2496">
        <v>0</v>
      </c>
      <c r="AP2496">
        <v>0</v>
      </c>
      <c r="AQ2496">
        <v>0</v>
      </c>
      <c r="AS2496">
        <v>0</v>
      </c>
      <c r="AT2496">
        <v>0</v>
      </c>
      <c r="AV2496">
        <v>0</v>
      </c>
      <c r="AW2496">
        <v>0</v>
      </c>
      <c r="AY2496">
        <v>0</v>
      </c>
      <c r="AZ2496">
        <v>0</v>
      </c>
      <c r="BA2496">
        <v>70</v>
      </c>
      <c r="BE2496" t="str">
        <f>T("9791137018617")</f>
        <v>9791137018617</v>
      </c>
      <c r="BF2496" t="str">
        <f>T("k441782")</f>
        <v>k441782</v>
      </c>
      <c r="BG2496" t="str">
        <f>T("판타지 웹소설 &gt; 퓨전 판타지")</f>
        <v>판타지 웹소설 &gt; 퓨전 판타지</v>
      </c>
    </row>
    <row r="2497" spans="1:59">
      <c r="A2497" t="s">
        <v>60</v>
      </c>
      <c r="B2497" s="1">
        <v>46131</v>
      </c>
      <c r="C2497">
        <v>2378062014</v>
      </c>
      <c r="D2497">
        <v>2378070957</v>
      </c>
      <c r="E2497" t="str">
        <f>T("마법소녀였는데, 퇴마합니다! 298화")</f>
        <v>마법소녀였는데, 퇴마합니다! 298화</v>
      </c>
      <c r="F2497">
        <v>298</v>
      </c>
      <c r="G2497" t="str">
        <f>T("괭잩낛")</f>
        <v>괭잩낛</v>
      </c>
      <c r="J2497" t="str">
        <f>T("매드햇")</f>
        <v>매드햇</v>
      </c>
      <c r="K2497" t="str">
        <f>T("마법소녀였는데, 퇴마합니다!")</f>
        <v>마법소녀였는데, 퇴마합니다!</v>
      </c>
      <c r="L2497">
        <v>100</v>
      </c>
      <c r="M2497">
        <v>100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100</v>
      </c>
      <c r="AJ2497">
        <v>1</v>
      </c>
      <c r="AK2497">
        <v>0</v>
      </c>
      <c r="AL2497">
        <v>0</v>
      </c>
      <c r="AM2497">
        <v>100</v>
      </c>
      <c r="AN2497">
        <v>0</v>
      </c>
      <c r="AO2497">
        <v>0</v>
      </c>
      <c r="AP2497">
        <v>0</v>
      </c>
      <c r="AQ2497">
        <v>0</v>
      </c>
      <c r="AS2497">
        <v>0</v>
      </c>
      <c r="AT2497">
        <v>0</v>
      </c>
      <c r="AV2497">
        <v>0</v>
      </c>
      <c r="AW2497">
        <v>0</v>
      </c>
      <c r="AY2497">
        <v>0</v>
      </c>
      <c r="AZ2497">
        <v>0</v>
      </c>
      <c r="BA2497">
        <v>70</v>
      </c>
      <c r="BE2497" t="str">
        <f>T("9791137018617")</f>
        <v>9791137018617</v>
      </c>
      <c r="BF2497" t="str">
        <f>T("k440259")</f>
        <v>k440259</v>
      </c>
      <c r="BG2497" t="str">
        <f>T("판타지 웹소설 &gt; 퓨전 판타지")</f>
        <v>판타지 웹소설 &gt; 퓨전 판타지</v>
      </c>
    </row>
    <row r="2498" spans="1:59">
      <c r="A2498" t="s">
        <v>60</v>
      </c>
      <c r="B2498" s="1">
        <v>46131</v>
      </c>
      <c r="C2498">
        <v>2378062014</v>
      </c>
      <c r="D2498">
        <v>2378062015</v>
      </c>
      <c r="E2498" t="str">
        <f>T("마법소녀였는데, 퇴마합니다! 2화")</f>
        <v>마법소녀였는데, 퇴마합니다! 2화</v>
      </c>
      <c r="F2498">
        <v>2</v>
      </c>
      <c r="G2498" t="str">
        <f>T("괭잩낛")</f>
        <v>괭잩낛</v>
      </c>
      <c r="J2498" t="str">
        <f>T("매드햇")</f>
        <v>매드햇</v>
      </c>
      <c r="K2498" t="str">
        <f>T("마법소녀였는데, 퇴마합니다!")</f>
        <v>마법소녀였는데, 퇴마합니다!</v>
      </c>
      <c r="L2498">
        <v>0</v>
      </c>
      <c r="M2498">
        <v>0</v>
      </c>
      <c r="N2498">
        <v>0</v>
      </c>
      <c r="O2498">
        <v>1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1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0</v>
      </c>
      <c r="AQ2498">
        <v>0</v>
      </c>
      <c r="AS2498">
        <v>0</v>
      </c>
      <c r="AT2498">
        <v>0</v>
      </c>
      <c r="AV2498">
        <v>0</v>
      </c>
      <c r="AW2498">
        <v>0</v>
      </c>
      <c r="AY2498">
        <v>0</v>
      </c>
      <c r="AZ2498">
        <v>0</v>
      </c>
      <c r="BA2498">
        <v>0</v>
      </c>
      <c r="BE2498" t="str">
        <f>T("9791137018617")</f>
        <v>9791137018617</v>
      </c>
      <c r="BF2498" t="str">
        <f>T("k241841")</f>
        <v>k241841</v>
      </c>
      <c r="BG2498" t="str">
        <f>T("판타지 웹소설 &gt; 퓨전 판타지")</f>
        <v>판타지 웹소설 &gt; 퓨전 판타지</v>
      </c>
    </row>
    <row r="2499" spans="1:59">
      <c r="A2499" t="s">
        <v>60</v>
      </c>
      <c r="B2499" s="1">
        <v>46130</v>
      </c>
      <c r="C2499">
        <v>2378041229</v>
      </c>
      <c r="D2499">
        <v>2378041229</v>
      </c>
      <c r="E2499" t="str">
        <f>T("맛보게 해줘 (15세 개정판) 1화")</f>
        <v>맛보게 해줘 (15세 개정판) 1화</v>
      </c>
      <c r="F2499">
        <v>1</v>
      </c>
      <c r="G2499" t="str">
        <f>T("무하")</f>
        <v>무하</v>
      </c>
      <c r="J2499" t="str">
        <f>T("하트퀸")</f>
        <v>하트퀸</v>
      </c>
      <c r="K2499" t="str">
        <f>T("맛보게 해줘 (15세 개정판)")</f>
        <v>맛보게 해줘 (15세 개정판)</v>
      </c>
      <c r="L2499">
        <v>0</v>
      </c>
      <c r="M2499">
        <v>0</v>
      </c>
      <c r="N2499">
        <v>0</v>
      </c>
      <c r="O2499">
        <v>1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1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S2499">
        <v>0</v>
      </c>
      <c r="AT2499">
        <v>0</v>
      </c>
      <c r="AV2499">
        <v>0</v>
      </c>
      <c r="AW2499">
        <v>0</v>
      </c>
      <c r="AY2499">
        <v>0</v>
      </c>
      <c r="AZ2499">
        <v>0</v>
      </c>
      <c r="BA2499">
        <v>0</v>
      </c>
      <c r="BE2499" t="str">
        <f>T("9791164977864")</f>
        <v>9791164977864</v>
      </c>
      <c r="BF2499" t="str">
        <f>T("N193123")</f>
        <v>N193123</v>
      </c>
      <c r="BG2499" t="str">
        <f>T("로맨스 웹소설 &gt; 현대물")</f>
        <v>로맨스 웹소설 &gt; 현대물</v>
      </c>
    </row>
    <row r="2500" spans="1:59">
      <c r="A2500" t="s">
        <v>60</v>
      </c>
      <c r="B2500" s="1">
        <v>46130</v>
      </c>
      <c r="C2500">
        <v>2378041229</v>
      </c>
      <c r="D2500">
        <v>2378041230</v>
      </c>
      <c r="E2500" t="str">
        <f>T("맛보게 해줘 (15세 개정판) 2화")</f>
        <v>맛보게 해줘 (15세 개정판) 2화</v>
      </c>
      <c r="F2500">
        <v>2</v>
      </c>
      <c r="G2500" t="str">
        <f>T("무하")</f>
        <v>무하</v>
      </c>
      <c r="J2500" t="str">
        <f>T("하트퀸")</f>
        <v>하트퀸</v>
      </c>
      <c r="K2500" t="str">
        <f>T("맛보게 해줘 (15세 개정판)")</f>
        <v>맛보게 해줘 (15세 개정판)</v>
      </c>
      <c r="L2500">
        <v>0</v>
      </c>
      <c r="M2500">
        <v>0</v>
      </c>
      <c r="N2500">
        <v>0</v>
      </c>
      <c r="O2500">
        <v>1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1</v>
      </c>
      <c r="AK2500">
        <v>0</v>
      </c>
      <c r="AL2500">
        <v>0</v>
      </c>
      <c r="AM2500">
        <v>0</v>
      </c>
      <c r="AN2500">
        <v>0</v>
      </c>
      <c r="AO2500">
        <v>0</v>
      </c>
      <c r="AP2500">
        <v>0</v>
      </c>
      <c r="AQ2500">
        <v>0</v>
      </c>
      <c r="AS2500">
        <v>0</v>
      </c>
      <c r="AT2500">
        <v>0</v>
      </c>
      <c r="AV2500">
        <v>0</v>
      </c>
      <c r="AW2500">
        <v>0</v>
      </c>
      <c r="AY2500">
        <v>0</v>
      </c>
      <c r="AZ2500">
        <v>0</v>
      </c>
      <c r="BA2500">
        <v>0</v>
      </c>
      <c r="BE2500" t="str">
        <f>T("9791164977864")</f>
        <v>9791164977864</v>
      </c>
      <c r="BF2500" t="str">
        <f>T("N193124")</f>
        <v>N193124</v>
      </c>
      <c r="BG2500" t="str">
        <f>T("로맨스 웹소설 &gt; 현대물")</f>
        <v>로맨스 웹소설 &gt; 현대물</v>
      </c>
    </row>
    <row r="2501" spans="1:59">
      <c r="A2501" t="s">
        <v>60</v>
      </c>
      <c r="B2501" s="1">
        <v>46130</v>
      </c>
      <c r="C2501">
        <v>2378041229</v>
      </c>
      <c r="D2501">
        <v>2378041231</v>
      </c>
      <c r="E2501" t="str">
        <f>T("맛보게 해줘 (15세 개정판) 3화")</f>
        <v>맛보게 해줘 (15세 개정판) 3화</v>
      </c>
      <c r="F2501">
        <v>3</v>
      </c>
      <c r="G2501" t="str">
        <f>T("무하")</f>
        <v>무하</v>
      </c>
      <c r="J2501" t="str">
        <f>T("하트퀸")</f>
        <v>하트퀸</v>
      </c>
      <c r="K2501" t="str">
        <f>T("맛보게 해줘 (15세 개정판)")</f>
        <v>맛보게 해줘 (15세 개정판)</v>
      </c>
      <c r="L2501">
        <v>0</v>
      </c>
      <c r="M2501">
        <v>0</v>
      </c>
      <c r="N2501">
        <v>0</v>
      </c>
      <c r="O2501">
        <v>1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1</v>
      </c>
      <c r="AK2501">
        <v>0</v>
      </c>
      <c r="AL2501">
        <v>0</v>
      </c>
      <c r="AM2501">
        <v>0</v>
      </c>
      <c r="AN2501">
        <v>0</v>
      </c>
      <c r="AO2501">
        <v>0</v>
      </c>
      <c r="AP2501">
        <v>0</v>
      </c>
      <c r="AQ2501">
        <v>0</v>
      </c>
      <c r="AS2501">
        <v>0</v>
      </c>
      <c r="AT2501">
        <v>0</v>
      </c>
      <c r="AV2501">
        <v>0</v>
      </c>
      <c r="AW2501">
        <v>0</v>
      </c>
      <c r="AY2501">
        <v>0</v>
      </c>
      <c r="AZ2501">
        <v>0</v>
      </c>
      <c r="BA2501">
        <v>0</v>
      </c>
      <c r="BE2501" t="str">
        <f>T("9791164977864")</f>
        <v>9791164977864</v>
      </c>
      <c r="BF2501" t="str">
        <f>T("N193125")</f>
        <v>N193125</v>
      </c>
      <c r="BG2501" t="str">
        <f>T("로맨스 웹소설 &gt; 현대물")</f>
        <v>로맨스 웹소설 &gt; 현대물</v>
      </c>
    </row>
    <row r="2502" spans="1:59">
      <c r="A2502" t="s">
        <v>60</v>
      </c>
      <c r="B2502" s="1">
        <v>46130</v>
      </c>
      <c r="C2502">
        <v>2378041229</v>
      </c>
      <c r="D2502">
        <v>2378041255</v>
      </c>
      <c r="E2502" t="str">
        <f>T("맛보게 해줘 (15세 개정판) 27화")</f>
        <v>맛보게 해줘 (15세 개정판) 27화</v>
      </c>
      <c r="F2502">
        <v>27</v>
      </c>
      <c r="G2502" t="str">
        <f>T("무하")</f>
        <v>무하</v>
      </c>
      <c r="J2502" t="str">
        <f>T("하트퀸")</f>
        <v>하트퀸</v>
      </c>
      <c r="K2502" t="str">
        <f>T("맛보게 해줘 (15세 개정판)")</f>
        <v>맛보게 해줘 (15세 개정판)</v>
      </c>
      <c r="L2502">
        <v>100</v>
      </c>
      <c r="M2502">
        <v>100</v>
      </c>
      <c r="N2502">
        <v>1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100</v>
      </c>
      <c r="AJ2502">
        <v>1</v>
      </c>
      <c r="AK2502">
        <v>0</v>
      </c>
      <c r="AL2502">
        <v>0</v>
      </c>
      <c r="AM2502">
        <v>0</v>
      </c>
      <c r="AN2502">
        <v>0</v>
      </c>
      <c r="AO2502">
        <v>120</v>
      </c>
      <c r="AP2502">
        <v>-12</v>
      </c>
      <c r="AQ2502">
        <v>0</v>
      </c>
      <c r="AS2502">
        <v>0</v>
      </c>
      <c r="AT2502">
        <v>0</v>
      </c>
      <c r="AU2502">
        <v>120</v>
      </c>
      <c r="AV2502">
        <v>-12</v>
      </c>
      <c r="AW2502">
        <v>0</v>
      </c>
      <c r="AY2502">
        <v>0</v>
      </c>
      <c r="AZ2502">
        <v>0</v>
      </c>
      <c r="BA2502">
        <v>64.8</v>
      </c>
      <c r="BE2502" t="str">
        <f>T("9791164977864")</f>
        <v>9791164977864</v>
      </c>
      <c r="BF2502" t="str">
        <f>T("N193149")</f>
        <v>N193149</v>
      </c>
      <c r="BG2502" t="str">
        <f>T("로맨스 웹소설 &gt; 현대물")</f>
        <v>로맨스 웹소설 &gt; 현대물</v>
      </c>
    </row>
    <row r="2503" spans="1:59">
      <c r="A2503" t="s">
        <v>60</v>
      </c>
      <c r="B2503" s="1">
        <v>46130</v>
      </c>
      <c r="C2503">
        <v>2378041229</v>
      </c>
      <c r="D2503">
        <v>2378041276</v>
      </c>
      <c r="E2503" t="str">
        <f>T("맛보게 해줘 (15세 개정판) 48화")</f>
        <v>맛보게 해줘 (15세 개정판) 48화</v>
      </c>
      <c r="F2503">
        <v>48</v>
      </c>
      <c r="G2503" t="str">
        <f>T("무하")</f>
        <v>무하</v>
      </c>
      <c r="J2503" t="str">
        <f>T("하트퀸")</f>
        <v>하트퀸</v>
      </c>
      <c r="K2503" t="str">
        <f>T("맛보게 해줘 (15세 개정판)")</f>
        <v>맛보게 해줘 (15세 개정판)</v>
      </c>
      <c r="L2503">
        <v>100</v>
      </c>
      <c r="M2503">
        <v>100</v>
      </c>
      <c r="N2503">
        <v>1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100</v>
      </c>
      <c r="AJ2503">
        <v>1</v>
      </c>
      <c r="AK2503">
        <v>0</v>
      </c>
      <c r="AL2503">
        <v>0</v>
      </c>
      <c r="AM2503">
        <v>0</v>
      </c>
      <c r="AN2503">
        <v>0</v>
      </c>
      <c r="AO2503">
        <v>120</v>
      </c>
      <c r="AP2503">
        <v>-12</v>
      </c>
      <c r="AQ2503">
        <v>0</v>
      </c>
      <c r="AS2503">
        <v>0</v>
      </c>
      <c r="AT2503">
        <v>0</v>
      </c>
      <c r="AU2503">
        <v>120</v>
      </c>
      <c r="AV2503">
        <v>-12</v>
      </c>
      <c r="AW2503">
        <v>0</v>
      </c>
      <c r="AY2503">
        <v>0</v>
      </c>
      <c r="AZ2503">
        <v>0</v>
      </c>
      <c r="BA2503">
        <v>64.8</v>
      </c>
      <c r="BE2503" t="str">
        <f>T("9791164977864")</f>
        <v>9791164977864</v>
      </c>
      <c r="BF2503" t="str">
        <f>T("N193170")</f>
        <v>N193170</v>
      </c>
      <c r="BG2503" t="str">
        <f>T("로맨스 웹소설 &gt; 현대물")</f>
        <v>로맨스 웹소설 &gt; 현대물</v>
      </c>
    </row>
    <row r="2504" spans="1:59">
      <c r="A2504" t="s">
        <v>60</v>
      </c>
      <c r="B2504" s="1">
        <v>46130</v>
      </c>
      <c r="C2504">
        <v>2378041229</v>
      </c>
      <c r="D2504">
        <v>2378041277</v>
      </c>
      <c r="E2504" t="str">
        <f>T("맛보게 해줘 (15세 개정판) 49화")</f>
        <v>맛보게 해줘 (15세 개정판) 49화</v>
      </c>
      <c r="F2504">
        <v>49</v>
      </c>
      <c r="G2504" t="str">
        <f>T("무하")</f>
        <v>무하</v>
      </c>
      <c r="J2504" t="str">
        <f>T("하트퀸")</f>
        <v>하트퀸</v>
      </c>
      <c r="K2504" t="str">
        <f>T("맛보게 해줘 (15세 개정판)")</f>
        <v>맛보게 해줘 (15세 개정판)</v>
      </c>
      <c r="L2504">
        <v>100</v>
      </c>
      <c r="M2504">
        <v>100</v>
      </c>
      <c r="N2504">
        <v>1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100</v>
      </c>
      <c r="AJ2504">
        <v>1</v>
      </c>
      <c r="AK2504">
        <v>0</v>
      </c>
      <c r="AL2504">
        <v>0</v>
      </c>
      <c r="AM2504">
        <v>0</v>
      </c>
      <c r="AN2504">
        <v>0</v>
      </c>
      <c r="AO2504">
        <v>120</v>
      </c>
      <c r="AP2504">
        <v>-12</v>
      </c>
      <c r="AQ2504">
        <v>0</v>
      </c>
      <c r="AS2504">
        <v>0</v>
      </c>
      <c r="AT2504">
        <v>0</v>
      </c>
      <c r="AU2504">
        <v>120</v>
      </c>
      <c r="AV2504">
        <v>-12</v>
      </c>
      <c r="AW2504">
        <v>0</v>
      </c>
      <c r="AY2504">
        <v>0</v>
      </c>
      <c r="AZ2504">
        <v>0</v>
      </c>
      <c r="BA2504">
        <v>64.8</v>
      </c>
      <c r="BE2504" t="str">
        <f>T("9791164977864")</f>
        <v>9791164977864</v>
      </c>
      <c r="BF2504" t="str">
        <f>T("N193171")</f>
        <v>N193171</v>
      </c>
      <c r="BG2504" t="str">
        <f>T("로맨스 웹소설 &gt; 현대물")</f>
        <v>로맨스 웹소설 &gt; 현대물</v>
      </c>
    </row>
    <row r="2505" spans="1:59">
      <c r="A2505" t="s">
        <v>60</v>
      </c>
      <c r="B2505" s="1">
        <v>46130</v>
      </c>
      <c r="C2505">
        <v>2378041229</v>
      </c>
      <c r="D2505">
        <v>2378041287</v>
      </c>
      <c r="E2505" t="str">
        <f>T("맛보게 해줘 (15세 개정판) 59화")</f>
        <v>맛보게 해줘 (15세 개정판) 59화</v>
      </c>
      <c r="F2505">
        <v>59</v>
      </c>
      <c r="G2505" t="str">
        <f>T("무하")</f>
        <v>무하</v>
      </c>
      <c r="J2505" t="str">
        <f>T("하트퀸")</f>
        <v>하트퀸</v>
      </c>
      <c r="K2505" t="str">
        <f>T("맛보게 해줘 (15세 개정판)")</f>
        <v>맛보게 해줘 (15세 개정판)</v>
      </c>
      <c r="L2505">
        <v>100</v>
      </c>
      <c r="M2505">
        <v>100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100</v>
      </c>
      <c r="AJ2505">
        <v>1</v>
      </c>
      <c r="AK2505">
        <v>0</v>
      </c>
      <c r="AL2505">
        <v>0</v>
      </c>
      <c r="AM2505">
        <v>0</v>
      </c>
      <c r="AN2505">
        <v>0</v>
      </c>
      <c r="AO2505">
        <v>120</v>
      </c>
      <c r="AP2505">
        <v>-12</v>
      </c>
      <c r="AQ2505">
        <v>0</v>
      </c>
      <c r="AS2505">
        <v>0</v>
      </c>
      <c r="AT2505">
        <v>0</v>
      </c>
      <c r="AU2505">
        <v>120</v>
      </c>
      <c r="AV2505">
        <v>-12</v>
      </c>
      <c r="AW2505">
        <v>0</v>
      </c>
      <c r="AY2505">
        <v>0</v>
      </c>
      <c r="AZ2505">
        <v>0</v>
      </c>
      <c r="BA2505">
        <v>64.8</v>
      </c>
      <c r="BE2505" t="str">
        <f>T("9791164977864")</f>
        <v>9791164977864</v>
      </c>
      <c r="BF2505" t="str">
        <f>T("N193181")</f>
        <v>N193181</v>
      </c>
      <c r="BG2505" t="str">
        <f>T("로맨스 웹소설 &gt; 현대물")</f>
        <v>로맨스 웹소설 &gt; 현대물</v>
      </c>
    </row>
    <row r="2506" spans="1:59">
      <c r="A2506" t="s">
        <v>60</v>
      </c>
      <c r="B2506" s="1">
        <v>46130</v>
      </c>
      <c r="C2506">
        <v>2378041229</v>
      </c>
      <c r="D2506">
        <v>2378042472</v>
      </c>
      <c r="E2506" t="str">
        <f>T("맛보게 해줘 (15세이용가) 67화")</f>
        <v>맛보게 해줘 (15세이용가) 67화</v>
      </c>
      <c r="F2506">
        <v>67</v>
      </c>
      <c r="G2506" t="str">
        <f>T("무하")</f>
        <v>무하</v>
      </c>
      <c r="J2506" t="str">
        <f>T("하트퀸")</f>
        <v>하트퀸</v>
      </c>
      <c r="K2506" t="str">
        <f>T("맛보게 해줘 (15세 개정판)")</f>
        <v>맛보게 해줘 (15세 개정판)</v>
      </c>
      <c r="L2506">
        <v>100</v>
      </c>
      <c r="M2506">
        <v>100</v>
      </c>
      <c r="N2506">
        <v>1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100</v>
      </c>
      <c r="AJ2506">
        <v>1</v>
      </c>
      <c r="AK2506">
        <v>0</v>
      </c>
      <c r="AL2506">
        <v>0</v>
      </c>
      <c r="AM2506">
        <v>0</v>
      </c>
      <c r="AN2506">
        <v>0</v>
      </c>
      <c r="AO2506">
        <v>120</v>
      </c>
      <c r="AP2506">
        <v>-12</v>
      </c>
      <c r="AQ2506">
        <v>0</v>
      </c>
      <c r="AS2506">
        <v>0</v>
      </c>
      <c r="AT2506">
        <v>0</v>
      </c>
      <c r="AU2506">
        <v>120</v>
      </c>
      <c r="AV2506">
        <v>-12</v>
      </c>
      <c r="AW2506">
        <v>0</v>
      </c>
      <c r="AY2506">
        <v>0</v>
      </c>
      <c r="AZ2506">
        <v>0</v>
      </c>
      <c r="BA2506">
        <v>64.8</v>
      </c>
      <c r="BE2506" t="str">
        <f>T("9791164977864")</f>
        <v>9791164977864</v>
      </c>
      <c r="BF2506" t="str">
        <f>T("N193189")</f>
        <v>N193189</v>
      </c>
      <c r="BG2506" t="str">
        <f>T("로맨스 웹소설 &gt; 현대물")</f>
        <v>로맨스 웹소설 &gt; 현대물</v>
      </c>
    </row>
    <row r="2507" spans="1:59">
      <c r="A2507" t="s">
        <v>60</v>
      </c>
      <c r="B2507" s="1">
        <v>46130</v>
      </c>
      <c r="C2507">
        <v>2378041229</v>
      </c>
      <c r="D2507">
        <v>2378042941</v>
      </c>
      <c r="E2507" t="str">
        <f>T("맛보게 해줘 (15세이용가) 75화")</f>
        <v>맛보게 해줘 (15세이용가) 75화</v>
      </c>
      <c r="F2507">
        <v>75</v>
      </c>
      <c r="G2507" t="str">
        <f>T("무하")</f>
        <v>무하</v>
      </c>
      <c r="J2507" t="str">
        <f>T("하트퀸")</f>
        <v>하트퀸</v>
      </c>
      <c r="K2507" t="str">
        <f>T("맛보게 해줘 (15세 개정판)")</f>
        <v>맛보게 해줘 (15세 개정판)</v>
      </c>
      <c r="L2507">
        <v>100</v>
      </c>
      <c r="M2507">
        <v>100</v>
      </c>
      <c r="N2507">
        <v>1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100</v>
      </c>
      <c r="AJ2507">
        <v>1</v>
      </c>
      <c r="AK2507">
        <v>0</v>
      </c>
      <c r="AL2507">
        <v>0</v>
      </c>
      <c r="AM2507">
        <v>0</v>
      </c>
      <c r="AN2507">
        <v>0</v>
      </c>
      <c r="AO2507">
        <v>120</v>
      </c>
      <c r="AP2507">
        <v>-12</v>
      </c>
      <c r="AQ2507">
        <v>0</v>
      </c>
      <c r="AS2507">
        <v>0</v>
      </c>
      <c r="AT2507">
        <v>0</v>
      </c>
      <c r="AU2507">
        <v>120</v>
      </c>
      <c r="AV2507">
        <v>-12</v>
      </c>
      <c r="AW2507">
        <v>0</v>
      </c>
      <c r="AY2507">
        <v>0</v>
      </c>
      <c r="AZ2507">
        <v>0</v>
      </c>
      <c r="BA2507">
        <v>64.8</v>
      </c>
      <c r="BE2507" t="str">
        <f>T("9791164977864")</f>
        <v>9791164977864</v>
      </c>
      <c r="BF2507" t="str">
        <f>T("N193197")</f>
        <v>N193197</v>
      </c>
      <c r="BG2507" t="str">
        <f>T("로맨스 웹소설 &gt; 현대물")</f>
        <v>로맨스 웹소설 &gt; 현대물</v>
      </c>
    </row>
    <row r="2508" spans="1:59">
      <c r="A2508" t="s">
        <v>60</v>
      </c>
      <c r="B2508" s="1">
        <v>46130</v>
      </c>
      <c r="C2508">
        <v>2378041229</v>
      </c>
      <c r="D2508">
        <v>2378043079</v>
      </c>
      <c r="E2508" t="str">
        <f>T("맛보게 해줘 (15세이용가) 82화")</f>
        <v>맛보게 해줘 (15세이용가) 82화</v>
      </c>
      <c r="F2508">
        <v>82</v>
      </c>
      <c r="G2508" t="str">
        <f>T("무하")</f>
        <v>무하</v>
      </c>
      <c r="J2508" t="str">
        <f>T("하트퀸")</f>
        <v>하트퀸</v>
      </c>
      <c r="K2508" t="str">
        <f>T("맛보게 해줘 (15세 개정판)")</f>
        <v>맛보게 해줘 (15세 개정판)</v>
      </c>
      <c r="L2508">
        <v>100</v>
      </c>
      <c r="M2508">
        <v>100</v>
      </c>
      <c r="N2508">
        <v>1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100</v>
      </c>
      <c r="AJ2508">
        <v>1</v>
      </c>
      <c r="AK2508">
        <v>0</v>
      </c>
      <c r="AL2508">
        <v>0</v>
      </c>
      <c r="AM2508">
        <v>0</v>
      </c>
      <c r="AN2508">
        <v>0</v>
      </c>
      <c r="AO2508">
        <v>120</v>
      </c>
      <c r="AP2508">
        <v>-12</v>
      </c>
      <c r="AQ2508">
        <v>0</v>
      </c>
      <c r="AS2508">
        <v>0</v>
      </c>
      <c r="AT2508">
        <v>0</v>
      </c>
      <c r="AU2508">
        <v>120</v>
      </c>
      <c r="AV2508">
        <v>-12</v>
      </c>
      <c r="AW2508">
        <v>0</v>
      </c>
      <c r="AY2508">
        <v>0</v>
      </c>
      <c r="AZ2508">
        <v>0</v>
      </c>
      <c r="BA2508">
        <v>64.8</v>
      </c>
      <c r="BE2508" t="str">
        <f>T("9791164977864")</f>
        <v>9791164977864</v>
      </c>
      <c r="BF2508" t="str">
        <f>T("N207683")</f>
        <v>N207683</v>
      </c>
      <c r="BG2508" t="str">
        <f>T("로맨스 웹소설 &gt; 현대물")</f>
        <v>로맨스 웹소설 &gt; 현대물</v>
      </c>
    </row>
    <row r="2509" spans="1:59">
      <c r="A2509" t="s">
        <v>60</v>
      </c>
      <c r="B2509" s="1">
        <v>46129</v>
      </c>
      <c r="C2509">
        <v>2378075135</v>
      </c>
      <c r="D2509">
        <v>2378075135</v>
      </c>
      <c r="E2509" t="str">
        <f>T("매버릭(Maverick) 1화")</f>
        <v>매버릭(Maverick) 1화</v>
      </c>
      <c r="F2509">
        <v>1</v>
      </c>
      <c r="G2509" t="str">
        <f>T("윤산")</f>
        <v>윤산</v>
      </c>
      <c r="J2509" t="str">
        <f>T("하트퀸")</f>
        <v>하트퀸</v>
      </c>
      <c r="K2509" t="str">
        <f>T("매버릭(Maverick)")</f>
        <v>매버릭(Maverick)</v>
      </c>
      <c r="L2509">
        <v>0</v>
      </c>
      <c r="M2509">
        <v>0</v>
      </c>
      <c r="N2509">
        <v>0</v>
      </c>
      <c r="O2509">
        <v>1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1</v>
      </c>
      <c r="AK2509">
        <v>0</v>
      </c>
      <c r="AL2509">
        <v>0</v>
      </c>
      <c r="AM2509">
        <v>0</v>
      </c>
      <c r="AN2509">
        <v>0</v>
      </c>
      <c r="AO2509">
        <v>0</v>
      </c>
      <c r="AP2509">
        <v>0</v>
      </c>
      <c r="AQ2509">
        <v>0</v>
      </c>
      <c r="AS2509">
        <v>0</v>
      </c>
      <c r="AT2509">
        <v>0</v>
      </c>
      <c r="AV2509">
        <v>0</v>
      </c>
      <c r="AW2509">
        <v>0</v>
      </c>
      <c r="AY2509">
        <v>0</v>
      </c>
      <c r="AZ2509">
        <v>0</v>
      </c>
      <c r="BA2509">
        <v>0</v>
      </c>
      <c r="BE2509" t="str">
        <f>T("9791171502066")</f>
        <v>9791171502066</v>
      </c>
      <c r="BF2509" t="str">
        <f>T("D005617")</f>
        <v>D005617</v>
      </c>
      <c r="BG2509" t="str">
        <f>T("로맨스 웹소설 &gt; 현대물")</f>
        <v>로맨스 웹소설 &gt; 현대물</v>
      </c>
    </row>
    <row r="2510" spans="1:59">
      <c r="A2510" t="s">
        <v>60</v>
      </c>
      <c r="B2510" s="1">
        <v>46129</v>
      </c>
      <c r="C2510">
        <v>2378075135</v>
      </c>
      <c r="D2510">
        <v>2378075136</v>
      </c>
      <c r="E2510" t="str">
        <f>T("매버릭(Maverick) 2화")</f>
        <v>매버릭(Maverick) 2화</v>
      </c>
      <c r="F2510">
        <v>2</v>
      </c>
      <c r="G2510" t="str">
        <f>T("윤산")</f>
        <v>윤산</v>
      </c>
      <c r="J2510" t="str">
        <f>T("하트퀸")</f>
        <v>하트퀸</v>
      </c>
      <c r="K2510" t="str">
        <f>T("매버릭(Maverick)")</f>
        <v>매버릭(Maverick)</v>
      </c>
      <c r="L2510">
        <v>0</v>
      </c>
      <c r="M2510">
        <v>0</v>
      </c>
      <c r="N2510">
        <v>0</v>
      </c>
      <c r="O2510">
        <v>1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1</v>
      </c>
      <c r="AK2510">
        <v>0</v>
      </c>
      <c r="AL2510">
        <v>0</v>
      </c>
      <c r="AM2510">
        <v>0</v>
      </c>
      <c r="AN2510">
        <v>0</v>
      </c>
      <c r="AO2510">
        <v>0</v>
      </c>
      <c r="AP2510">
        <v>0</v>
      </c>
      <c r="AQ2510">
        <v>0</v>
      </c>
      <c r="AS2510">
        <v>0</v>
      </c>
      <c r="AT2510">
        <v>0</v>
      </c>
      <c r="AV2510">
        <v>0</v>
      </c>
      <c r="AW2510">
        <v>0</v>
      </c>
      <c r="AY2510">
        <v>0</v>
      </c>
      <c r="AZ2510">
        <v>0</v>
      </c>
      <c r="BA2510">
        <v>0</v>
      </c>
      <c r="BE2510" t="str">
        <f>T("9791171502066")</f>
        <v>9791171502066</v>
      </c>
      <c r="BF2510" t="str">
        <f>T("D005618")</f>
        <v>D005618</v>
      </c>
      <c r="BG2510" t="str">
        <f>T("로맨스 웹소설 &gt; 현대물")</f>
        <v>로맨스 웹소설 &gt; 현대물</v>
      </c>
    </row>
    <row r="2511" spans="1:59">
      <c r="A2511" t="s">
        <v>60</v>
      </c>
      <c r="B2511" s="1">
        <v>46129</v>
      </c>
      <c r="C2511">
        <v>2378075135</v>
      </c>
      <c r="D2511">
        <v>2378075137</v>
      </c>
      <c r="E2511" t="str">
        <f>T("매버릭(Maverick) 3화")</f>
        <v>매버릭(Maverick) 3화</v>
      </c>
      <c r="F2511">
        <v>3</v>
      </c>
      <c r="G2511" t="str">
        <f>T("윤산")</f>
        <v>윤산</v>
      </c>
      <c r="J2511" t="str">
        <f>T("하트퀸")</f>
        <v>하트퀸</v>
      </c>
      <c r="K2511" t="str">
        <f>T("매버릭(Maverick)")</f>
        <v>매버릭(Maverick)</v>
      </c>
      <c r="L2511">
        <v>0</v>
      </c>
      <c r="M2511">
        <v>0</v>
      </c>
      <c r="N2511">
        <v>0</v>
      </c>
      <c r="O2511">
        <v>1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1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S2511">
        <v>0</v>
      </c>
      <c r="AT2511">
        <v>0</v>
      </c>
      <c r="AV2511">
        <v>0</v>
      </c>
      <c r="AW2511">
        <v>0</v>
      </c>
      <c r="AY2511">
        <v>0</v>
      </c>
      <c r="AZ2511">
        <v>0</v>
      </c>
      <c r="BA2511">
        <v>0</v>
      </c>
      <c r="BE2511" t="str">
        <f>T("9791171502066")</f>
        <v>9791171502066</v>
      </c>
      <c r="BF2511" t="str">
        <f>T("D005619")</f>
        <v>D005619</v>
      </c>
      <c r="BG2511" t="str">
        <f>T("로맨스 웹소설 &gt; 현대물")</f>
        <v>로맨스 웹소설 &gt; 현대물</v>
      </c>
    </row>
    <row r="2512" spans="1:59">
      <c r="A2512" t="s">
        <v>60</v>
      </c>
      <c r="B2512" s="1">
        <v>46129</v>
      </c>
      <c r="C2512">
        <v>2378075135</v>
      </c>
      <c r="D2512">
        <v>2378075139</v>
      </c>
      <c r="E2512" t="str">
        <f>T("매버릭(Maverick) 5화")</f>
        <v>매버릭(Maverick) 5화</v>
      </c>
      <c r="F2512">
        <v>5</v>
      </c>
      <c r="G2512" t="str">
        <f>T("윤산")</f>
        <v>윤산</v>
      </c>
      <c r="J2512" t="str">
        <f>T("하트퀸")</f>
        <v>하트퀸</v>
      </c>
      <c r="K2512" t="str">
        <f>T("매버릭(Maverick)")</f>
        <v>매버릭(Maverick)</v>
      </c>
      <c r="L2512">
        <v>100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1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1</v>
      </c>
      <c r="AK2512">
        <v>0</v>
      </c>
      <c r="AL2512">
        <v>0</v>
      </c>
      <c r="AM2512">
        <v>0</v>
      </c>
      <c r="AN2512">
        <v>0</v>
      </c>
      <c r="AO2512">
        <v>0</v>
      </c>
      <c r="AP2512">
        <v>0</v>
      </c>
      <c r="AQ2512">
        <v>0</v>
      </c>
      <c r="AS2512">
        <v>0</v>
      </c>
      <c r="AT2512">
        <v>0</v>
      </c>
      <c r="AV2512">
        <v>0</v>
      </c>
      <c r="AW2512">
        <v>0</v>
      </c>
      <c r="AY2512">
        <v>0</v>
      </c>
      <c r="AZ2512">
        <v>0</v>
      </c>
      <c r="BA2512">
        <v>0</v>
      </c>
      <c r="BE2512" t="str">
        <f>T("9791171502066")</f>
        <v>9791171502066</v>
      </c>
      <c r="BF2512" t="str">
        <f>T("D005621")</f>
        <v>D005621</v>
      </c>
      <c r="BG2512" t="str">
        <f>T("로맨스 웹소설 &gt; 현대물")</f>
        <v>로맨스 웹소설 &gt; 현대물</v>
      </c>
    </row>
    <row r="2513" spans="1:59">
      <c r="A2513" t="s">
        <v>60</v>
      </c>
      <c r="B2513" s="1">
        <v>46129</v>
      </c>
      <c r="C2513">
        <v>2378075135</v>
      </c>
      <c r="D2513">
        <v>2378075140</v>
      </c>
      <c r="E2513" t="str">
        <f>T("매버릭(Maverick) 6화")</f>
        <v>매버릭(Maverick) 6화</v>
      </c>
      <c r="F2513">
        <v>6</v>
      </c>
      <c r="G2513" t="str">
        <f>T("윤산")</f>
        <v>윤산</v>
      </c>
      <c r="J2513" t="str">
        <f>T("하트퀸")</f>
        <v>하트퀸</v>
      </c>
      <c r="K2513" t="str">
        <f>T("매버릭(Maverick)")</f>
        <v>매버릭(Maverick)</v>
      </c>
      <c r="L2513">
        <v>100</v>
      </c>
      <c r="M2513">
        <v>100</v>
      </c>
      <c r="N2513">
        <v>1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100</v>
      </c>
      <c r="AJ2513">
        <v>1</v>
      </c>
      <c r="AK2513">
        <v>0</v>
      </c>
      <c r="AL2513">
        <v>0</v>
      </c>
      <c r="AM2513">
        <v>100</v>
      </c>
      <c r="AN2513">
        <v>0</v>
      </c>
      <c r="AO2513">
        <v>0</v>
      </c>
      <c r="AP2513">
        <v>0</v>
      </c>
      <c r="AQ2513">
        <v>0</v>
      </c>
      <c r="AS2513">
        <v>0</v>
      </c>
      <c r="AT2513">
        <v>0</v>
      </c>
      <c r="AV2513">
        <v>0</v>
      </c>
      <c r="AW2513">
        <v>0</v>
      </c>
      <c r="AY2513">
        <v>0</v>
      </c>
      <c r="AZ2513">
        <v>0</v>
      </c>
      <c r="BA2513">
        <v>70</v>
      </c>
      <c r="BE2513" t="str">
        <f>T("9791171502066")</f>
        <v>9791171502066</v>
      </c>
      <c r="BF2513" t="str">
        <f>T("D005622")</f>
        <v>D005622</v>
      </c>
      <c r="BG2513" t="str">
        <f>T("로맨스 웹소설 &gt; 현대물")</f>
        <v>로맨스 웹소설 &gt; 현대물</v>
      </c>
    </row>
    <row r="2514" spans="1:59">
      <c r="A2514" t="s">
        <v>60</v>
      </c>
      <c r="B2514" s="1">
        <v>46129</v>
      </c>
      <c r="C2514">
        <v>2378075135</v>
      </c>
      <c r="D2514">
        <v>2378075141</v>
      </c>
      <c r="E2514" t="str">
        <f>T("매버릭(Maverick) 7화")</f>
        <v>매버릭(Maverick) 7화</v>
      </c>
      <c r="F2514">
        <v>7</v>
      </c>
      <c r="G2514" t="str">
        <f>T("윤산")</f>
        <v>윤산</v>
      </c>
      <c r="J2514" t="str">
        <f>T("하트퀸")</f>
        <v>하트퀸</v>
      </c>
      <c r="K2514" t="str">
        <f>T("매버릭(Maverick)")</f>
        <v>매버릭(Maverick)</v>
      </c>
      <c r="L2514">
        <v>100</v>
      </c>
      <c r="M2514">
        <v>100</v>
      </c>
      <c r="N2514">
        <v>1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100</v>
      </c>
      <c r="AJ2514">
        <v>1</v>
      </c>
      <c r="AK2514">
        <v>0</v>
      </c>
      <c r="AL2514">
        <v>0</v>
      </c>
      <c r="AM2514">
        <v>100</v>
      </c>
      <c r="AN2514">
        <v>0</v>
      </c>
      <c r="AO2514">
        <v>0</v>
      </c>
      <c r="AP2514">
        <v>0</v>
      </c>
      <c r="AQ2514">
        <v>0</v>
      </c>
      <c r="AS2514">
        <v>0</v>
      </c>
      <c r="AT2514">
        <v>0</v>
      </c>
      <c r="AV2514">
        <v>0</v>
      </c>
      <c r="AW2514">
        <v>0</v>
      </c>
      <c r="AY2514">
        <v>0</v>
      </c>
      <c r="AZ2514">
        <v>0</v>
      </c>
      <c r="BA2514">
        <v>70</v>
      </c>
      <c r="BE2514" t="str">
        <f>T("9791171502066")</f>
        <v>9791171502066</v>
      </c>
      <c r="BF2514" t="str">
        <f>T("D005623")</f>
        <v>D005623</v>
      </c>
      <c r="BG2514" t="str">
        <f>T("로맨스 웹소설 &gt; 현대물")</f>
        <v>로맨스 웹소설 &gt; 현대물</v>
      </c>
    </row>
    <row r="2515" spans="1:59">
      <c r="A2515" t="s">
        <v>60</v>
      </c>
      <c r="B2515" s="1">
        <v>46130</v>
      </c>
      <c r="C2515">
        <v>2378075135</v>
      </c>
      <c r="D2515">
        <v>2378075135</v>
      </c>
      <c r="E2515" t="str">
        <f>T("매버릭(Maverick) 1화")</f>
        <v>매버릭(Maverick) 1화</v>
      </c>
      <c r="F2515">
        <v>1</v>
      </c>
      <c r="G2515" t="str">
        <f>T("윤산")</f>
        <v>윤산</v>
      </c>
      <c r="J2515" t="str">
        <f>T("하트퀸")</f>
        <v>하트퀸</v>
      </c>
      <c r="K2515" t="str">
        <f>T("매버릭(Maverick)")</f>
        <v>매버릭(Maverick)</v>
      </c>
      <c r="L2515">
        <v>0</v>
      </c>
      <c r="M2515">
        <v>0</v>
      </c>
      <c r="N2515">
        <v>0</v>
      </c>
      <c r="O2515">
        <v>2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0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2</v>
      </c>
      <c r="AK2515">
        <v>0</v>
      </c>
      <c r="AL2515">
        <v>0</v>
      </c>
      <c r="AM2515">
        <v>0</v>
      </c>
      <c r="AN2515">
        <v>0</v>
      </c>
      <c r="AO2515">
        <v>0</v>
      </c>
      <c r="AP2515">
        <v>0</v>
      </c>
      <c r="AQ2515">
        <v>0</v>
      </c>
      <c r="AS2515">
        <v>0</v>
      </c>
      <c r="AT2515">
        <v>0</v>
      </c>
      <c r="AV2515">
        <v>0</v>
      </c>
      <c r="AW2515">
        <v>0</v>
      </c>
      <c r="AY2515">
        <v>0</v>
      </c>
      <c r="AZ2515">
        <v>0</v>
      </c>
      <c r="BA2515">
        <v>0</v>
      </c>
      <c r="BE2515" t="str">
        <f>T("9791171502066")</f>
        <v>9791171502066</v>
      </c>
      <c r="BF2515" t="str">
        <f>T("D005617")</f>
        <v>D005617</v>
      </c>
      <c r="BG2515" t="str">
        <f>T("로맨스 웹소설 &gt; 현대물")</f>
        <v>로맨스 웹소설 &gt; 현대물</v>
      </c>
    </row>
    <row r="2516" spans="1:59">
      <c r="A2516" t="s">
        <v>60</v>
      </c>
      <c r="B2516" s="1">
        <v>46130</v>
      </c>
      <c r="C2516">
        <v>2378075135</v>
      </c>
      <c r="D2516">
        <v>2378075136</v>
      </c>
      <c r="E2516" t="str">
        <f>T("매버릭(Maverick) 2화")</f>
        <v>매버릭(Maverick) 2화</v>
      </c>
      <c r="F2516">
        <v>2</v>
      </c>
      <c r="G2516" t="str">
        <f>T("윤산")</f>
        <v>윤산</v>
      </c>
      <c r="J2516" t="str">
        <f>T("하트퀸")</f>
        <v>하트퀸</v>
      </c>
      <c r="K2516" t="str">
        <f>T("매버릭(Maverick)")</f>
        <v>매버릭(Maverick)</v>
      </c>
      <c r="L2516">
        <v>0</v>
      </c>
      <c r="M2516">
        <v>0</v>
      </c>
      <c r="N2516">
        <v>0</v>
      </c>
      <c r="O2516">
        <v>1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1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S2516">
        <v>0</v>
      </c>
      <c r="AT2516">
        <v>0</v>
      </c>
      <c r="AV2516">
        <v>0</v>
      </c>
      <c r="AW2516">
        <v>0</v>
      </c>
      <c r="AY2516">
        <v>0</v>
      </c>
      <c r="AZ2516">
        <v>0</v>
      </c>
      <c r="BA2516">
        <v>0</v>
      </c>
      <c r="BE2516" t="str">
        <f>T("9791171502066")</f>
        <v>9791171502066</v>
      </c>
      <c r="BF2516" t="str">
        <f>T("D005618")</f>
        <v>D005618</v>
      </c>
      <c r="BG2516" t="str">
        <f>T("로맨스 웹소설 &gt; 현대물")</f>
        <v>로맨스 웹소설 &gt; 현대물</v>
      </c>
    </row>
    <row r="2517" spans="1:59">
      <c r="A2517" t="s">
        <v>60</v>
      </c>
      <c r="B2517" s="1">
        <v>46130</v>
      </c>
      <c r="C2517">
        <v>2378075135</v>
      </c>
      <c r="D2517">
        <v>2378075142</v>
      </c>
      <c r="E2517" t="str">
        <f>T("매버릭(Maverick) 8화")</f>
        <v>매버릭(Maverick) 8화</v>
      </c>
      <c r="F2517">
        <v>8</v>
      </c>
      <c r="G2517" t="str">
        <f>T("윤산")</f>
        <v>윤산</v>
      </c>
      <c r="J2517" t="str">
        <f>T("하트퀸")</f>
        <v>하트퀸</v>
      </c>
      <c r="K2517" t="str">
        <f>T("매버릭(Maverick)")</f>
        <v>매버릭(Maverick)</v>
      </c>
      <c r="L2517">
        <v>100</v>
      </c>
      <c r="M2517">
        <v>100</v>
      </c>
      <c r="N2517">
        <v>1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100</v>
      </c>
      <c r="AJ2517">
        <v>1</v>
      </c>
      <c r="AK2517">
        <v>0</v>
      </c>
      <c r="AL2517">
        <v>0</v>
      </c>
      <c r="AM2517">
        <v>100</v>
      </c>
      <c r="AN2517">
        <v>0</v>
      </c>
      <c r="AO2517">
        <v>0</v>
      </c>
      <c r="AP2517">
        <v>0</v>
      </c>
      <c r="AQ2517">
        <v>0</v>
      </c>
      <c r="AS2517">
        <v>0</v>
      </c>
      <c r="AT2517">
        <v>0</v>
      </c>
      <c r="AV2517">
        <v>0</v>
      </c>
      <c r="AW2517">
        <v>0</v>
      </c>
      <c r="AY2517">
        <v>0</v>
      </c>
      <c r="AZ2517">
        <v>0</v>
      </c>
      <c r="BA2517">
        <v>70</v>
      </c>
      <c r="BE2517" t="str">
        <f>T("9791171502066")</f>
        <v>9791171502066</v>
      </c>
      <c r="BF2517" t="str">
        <f>T("D005624")</f>
        <v>D005624</v>
      </c>
      <c r="BG2517" t="str">
        <f>T("로맨스 웹소설 &gt; 현대물")</f>
        <v>로맨스 웹소설 &gt; 현대물</v>
      </c>
    </row>
    <row r="2518" spans="1:59">
      <c r="A2518" t="s">
        <v>60</v>
      </c>
      <c r="B2518" s="1">
        <v>46130</v>
      </c>
      <c r="C2518">
        <v>2378075135</v>
      </c>
      <c r="D2518">
        <v>2378075143</v>
      </c>
      <c r="E2518" t="str">
        <f>T("매버릭(Maverick) 9화")</f>
        <v>매버릭(Maverick) 9화</v>
      </c>
      <c r="F2518">
        <v>9</v>
      </c>
      <c r="G2518" t="str">
        <f>T("윤산")</f>
        <v>윤산</v>
      </c>
      <c r="J2518" t="str">
        <f>T("하트퀸")</f>
        <v>하트퀸</v>
      </c>
      <c r="K2518" t="str">
        <f>T("매버릭(Maverick)")</f>
        <v>매버릭(Maverick)</v>
      </c>
      <c r="L2518">
        <v>100</v>
      </c>
      <c r="M2518">
        <v>100</v>
      </c>
      <c r="N2518">
        <v>1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0</v>
      </c>
      <c r="AE2518">
        <v>0</v>
      </c>
      <c r="AF2518">
        <v>0</v>
      </c>
      <c r="AG2518">
        <v>0</v>
      </c>
      <c r="AH2518">
        <v>0</v>
      </c>
      <c r="AI2518">
        <v>100</v>
      </c>
      <c r="AJ2518">
        <v>1</v>
      </c>
      <c r="AK2518">
        <v>0</v>
      </c>
      <c r="AL2518">
        <v>0</v>
      </c>
      <c r="AM2518">
        <v>100</v>
      </c>
      <c r="AN2518">
        <v>0</v>
      </c>
      <c r="AO2518">
        <v>0</v>
      </c>
      <c r="AP2518">
        <v>0</v>
      </c>
      <c r="AQ2518">
        <v>0</v>
      </c>
      <c r="AS2518">
        <v>0</v>
      </c>
      <c r="AT2518">
        <v>0</v>
      </c>
      <c r="AV2518">
        <v>0</v>
      </c>
      <c r="AW2518">
        <v>0</v>
      </c>
      <c r="AY2518">
        <v>0</v>
      </c>
      <c r="AZ2518">
        <v>0</v>
      </c>
      <c r="BA2518">
        <v>70</v>
      </c>
      <c r="BE2518" t="str">
        <f>T("9791171502066")</f>
        <v>9791171502066</v>
      </c>
      <c r="BF2518" t="str">
        <f>T("D005625")</f>
        <v>D005625</v>
      </c>
      <c r="BG2518" t="str">
        <f>T("로맨스 웹소설 &gt; 현대물")</f>
        <v>로맨스 웹소설 &gt; 현대물</v>
      </c>
    </row>
    <row r="2519" spans="1:59">
      <c r="A2519" t="s">
        <v>60</v>
      </c>
      <c r="B2519" s="1">
        <v>46130</v>
      </c>
      <c r="C2519">
        <v>2378075135</v>
      </c>
      <c r="D2519">
        <v>2378075144</v>
      </c>
      <c r="E2519" t="str">
        <f>T("매버릭(Maverick) 10화")</f>
        <v>매버릭(Maverick) 10화</v>
      </c>
      <c r="F2519">
        <v>10</v>
      </c>
      <c r="G2519" t="str">
        <f>T("윤산")</f>
        <v>윤산</v>
      </c>
      <c r="J2519" t="str">
        <f>T("하트퀸")</f>
        <v>하트퀸</v>
      </c>
      <c r="K2519" t="str">
        <f>T("매버릭(Maverick)")</f>
        <v>매버릭(Maverick)</v>
      </c>
      <c r="L2519">
        <v>100</v>
      </c>
      <c r="M2519">
        <v>100</v>
      </c>
      <c r="N2519">
        <v>1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0</v>
      </c>
      <c r="AE2519">
        <v>0</v>
      </c>
      <c r="AF2519">
        <v>0</v>
      </c>
      <c r="AG2519">
        <v>0</v>
      </c>
      <c r="AH2519">
        <v>0</v>
      </c>
      <c r="AI2519">
        <v>100</v>
      </c>
      <c r="AJ2519">
        <v>1</v>
      </c>
      <c r="AK2519">
        <v>0</v>
      </c>
      <c r="AL2519">
        <v>0</v>
      </c>
      <c r="AM2519">
        <v>100</v>
      </c>
      <c r="AN2519">
        <v>0</v>
      </c>
      <c r="AO2519">
        <v>0</v>
      </c>
      <c r="AP2519">
        <v>0</v>
      </c>
      <c r="AQ2519">
        <v>0</v>
      </c>
      <c r="AS2519">
        <v>0</v>
      </c>
      <c r="AT2519">
        <v>0</v>
      </c>
      <c r="AV2519">
        <v>0</v>
      </c>
      <c r="AW2519">
        <v>0</v>
      </c>
      <c r="AY2519">
        <v>0</v>
      </c>
      <c r="AZ2519">
        <v>0</v>
      </c>
      <c r="BA2519">
        <v>70</v>
      </c>
      <c r="BE2519" t="str">
        <f>T("9791171502066")</f>
        <v>9791171502066</v>
      </c>
      <c r="BF2519" t="str">
        <f>T("D005626")</f>
        <v>D005626</v>
      </c>
      <c r="BG2519" t="str">
        <f>T("로맨스 웹소설 &gt; 현대물")</f>
        <v>로맨스 웹소설 &gt; 현대물</v>
      </c>
    </row>
    <row r="2520" spans="1:59">
      <c r="A2520" t="s">
        <v>60</v>
      </c>
      <c r="B2520" s="1">
        <v>46130</v>
      </c>
      <c r="C2520">
        <v>2378075135</v>
      </c>
      <c r="D2520">
        <v>2378075145</v>
      </c>
      <c r="E2520" t="str">
        <f>T("매버릭(Maverick) 11화")</f>
        <v>매버릭(Maverick) 11화</v>
      </c>
      <c r="F2520">
        <v>11</v>
      </c>
      <c r="G2520" t="str">
        <f>T("윤산")</f>
        <v>윤산</v>
      </c>
      <c r="J2520" t="str">
        <f>T("하트퀸")</f>
        <v>하트퀸</v>
      </c>
      <c r="K2520" t="str">
        <f>T("매버릭(Maverick)")</f>
        <v>매버릭(Maverick)</v>
      </c>
      <c r="L2520">
        <v>100</v>
      </c>
      <c r="M2520">
        <v>100</v>
      </c>
      <c r="N2520">
        <v>1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0</v>
      </c>
      <c r="AI2520">
        <v>100</v>
      </c>
      <c r="AJ2520">
        <v>1</v>
      </c>
      <c r="AK2520">
        <v>0</v>
      </c>
      <c r="AL2520">
        <v>0</v>
      </c>
      <c r="AM2520">
        <v>100</v>
      </c>
      <c r="AN2520">
        <v>0</v>
      </c>
      <c r="AO2520">
        <v>0</v>
      </c>
      <c r="AP2520">
        <v>0</v>
      </c>
      <c r="AQ2520">
        <v>0</v>
      </c>
      <c r="AS2520">
        <v>0</v>
      </c>
      <c r="AT2520">
        <v>0</v>
      </c>
      <c r="AV2520">
        <v>0</v>
      </c>
      <c r="AW2520">
        <v>0</v>
      </c>
      <c r="AY2520">
        <v>0</v>
      </c>
      <c r="AZ2520">
        <v>0</v>
      </c>
      <c r="BA2520">
        <v>70</v>
      </c>
      <c r="BE2520" t="str">
        <f>T("9791171502066")</f>
        <v>9791171502066</v>
      </c>
      <c r="BF2520" t="str">
        <f>T("D005627")</f>
        <v>D005627</v>
      </c>
      <c r="BG2520" t="str">
        <f>T("로맨스 웹소설 &gt; 현대물")</f>
        <v>로맨스 웹소설 &gt; 현대물</v>
      </c>
    </row>
    <row r="2521" spans="1:59">
      <c r="A2521" t="s">
        <v>60</v>
      </c>
      <c r="B2521" s="1">
        <v>46130</v>
      </c>
      <c r="C2521">
        <v>2378075135</v>
      </c>
      <c r="D2521">
        <v>2378075146</v>
      </c>
      <c r="E2521" t="str">
        <f>T("매버릭(Maverick) 12화")</f>
        <v>매버릭(Maverick) 12화</v>
      </c>
      <c r="F2521">
        <v>12</v>
      </c>
      <c r="G2521" t="str">
        <f>T("윤산")</f>
        <v>윤산</v>
      </c>
      <c r="J2521" t="str">
        <f>T("하트퀸")</f>
        <v>하트퀸</v>
      </c>
      <c r="K2521" t="str">
        <f>T("매버릭(Maverick)")</f>
        <v>매버릭(Maverick)</v>
      </c>
      <c r="L2521">
        <v>100</v>
      </c>
      <c r="M2521">
        <v>100</v>
      </c>
      <c r="N2521">
        <v>1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100</v>
      </c>
      <c r="AJ2521">
        <v>1</v>
      </c>
      <c r="AK2521">
        <v>0</v>
      </c>
      <c r="AL2521">
        <v>0</v>
      </c>
      <c r="AM2521">
        <v>100</v>
      </c>
      <c r="AN2521">
        <v>0</v>
      </c>
      <c r="AO2521">
        <v>0</v>
      </c>
      <c r="AP2521">
        <v>0</v>
      </c>
      <c r="AQ2521">
        <v>0</v>
      </c>
      <c r="AS2521">
        <v>0</v>
      </c>
      <c r="AT2521">
        <v>0</v>
      </c>
      <c r="AV2521">
        <v>0</v>
      </c>
      <c r="AW2521">
        <v>0</v>
      </c>
      <c r="AY2521">
        <v>0</v>
      </c>
      <c r="AZ2521">
        <v>0</v>
      </c>
      <c r="BA2521">
        <v>70</v>
      </c>
      <c r="BE2521" t="str">
        <f>T("9791171502066")</f>
        <v>9791171502066</v>
      </c>
      <c r="BF2521" t="str">
        <f>T("D005628")</f>
        <v>D005628</v>
      </c>
      <c r="BG2521" t="str">
        <f>T("로맨스 웹소설 &gt; 현대물")</f>
        <v>로맨스 웹소설 &gt; 현대물</v>
      </c>
    </row>
    <row r="2522" spans="1:59">
      <c r="A2522" t="s">
        <v>60</v>
      </c>
      <c r="B2522" s="1">
        <v>46130</v>
      </c>
      <c r="C2522">
        <v>2378075135</v>
      </c>
      <c r="D2522">
        <v>2378075147</v>
      </c>
      <c r="E2522" t="str">
        <f>T("매버릭(Maverick) 13화")</f>
        <v>매버릭(Maverick) 13화</v>
      </c>
      <c r="F2522">
        <v>13</v>
      </c>
      <c r="G2522" t="str">
        <f>T("윤산")</f>
        <v>윤산</v>
      </c>
      <c r="J2522" t="str">
        <f>T("하트퀸")</f>
        <v>하트퀸</v>
      </c>
      <c r="K2522" t="str">
        <f>T("매버릭(Maverick)")</f>
        <v>매버릭(Maverick)</v>
      </c>
      <c r="L2522">
        <v>100</v>
      </c>
      <c r="M2522">
        <v>100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100</v>
      </c>
      <c r="AJ2522">
        <v>1</v>
      </c>
      <c r="AK2522">
        <v>0</v>
      </c>
      <c r="AL2522">
        <v>0</v>
      </c>
      <c r="AM2522">
        <v>100</v>
      </c>
      <c r="AN2522">
        <v>0</v>
      </c>
      <c r="AO2522">
        <v>0</v>
      </c>
      <c r="AP2522">
        <v>0</v>
      </c>
      <c r="AQ2522">
        <v>0</v>
      </c>
      <c r="AS2522">
        <v>0</v>
      </c>
      <c r="AT2522">
        <v>0</v>
      </c>
      <c r="AV2522">
        <v>0</v>
      </c>
      <c r="AW2522">
        <v>0</v>
      </c>
      <c r="AY2522">
        <v>0</v>
      </c>
      <c r="AZ2522">
        <v>0</v>
      </c>
      <c r="BA2522">
        <v>70</v>
      </c>
      <c r="BE2522" t="str">
        <f>T("9791171502066")</f>
        <v>9791171502066</v>
      </c>
      <c r="BF2522" t="str">
        <f>T("D005629")</f>
        <v>D005629</v>
      </c>
      <c r="BG2522" t="str">
        <f>T("로맨스 웹소설 &gt; 현대물")</f>
        <v>로맨스 웹소설 &gt; 현대물</v>
      </c>
    </row>
    <row r="2523" spans="1:59">
      <c r="A2523" t="s">
        <v>60</v>
      </c>
      <c r="B2523" s="1">
        <v>46130</v>
      </c>
      <c r="C2523">
        <v>2378075135</v>
      </c>
      <c r="D2523">
        <v>2378075148</v>
      </c>
      <c r="E2523" t="str">
        <f>T("매버릭(Maverick) 14화")</f>
        <v>매버릭(Maverick) 14화</v>
      </c>
      <c r="F2523">
        <v>14</v>
      </c>
      <c r="G2523" t="str">
        <f>T("윤산")</f>
        <v>윤산</v>
      </c>
      <c r="J2523" t="str">
        <f>T("하트퀸")</f>
        <v>하트퀸</v>
      </c>
      <c r="K2523" t="str">
        <f>T("매버릭(Maverick)")</f>
        <v>매버릭(Maverick)</v>
      </c>
      <c r="L2523">
        <v>100</v>
      </c>
      <c r="M2523">
        <v>100</v>
      </c>
      <c r="N2523">
        <v>1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100</v>
      </c>
      <c r="AJ2523">
        <v>1</v>
      </c>
      <c r="AK2523">
        <v>0</v>
      </c>
      <c r="AL2523">
        <v>0</v>
      </c>
      <c r="AM2523">
        <v>100</v>
      </c>
      <c r="AN2523">
        <v>0</v>
      </c>
      <c r="AO2523">
        <v>0</v>
      </c>
      <c r="AP2523">
        <v>0</v>
      </c>
      <c r="AQ2523">
        <v>0</v>
      </c>
      <c r="AS2523">
        <v>0</v>
      </c>
      <c r="AT2523">
        <v>0</v>
      </c>
      <c r="AV2523">
        <v>0</v>
      </c>
      <c r="AW2523">
        <v>0</v>
      </c>
      <c r="AY2523">
        <v>0</v>
      </c>
      <c r="AZ2523">
        <v>0</v>
      </c>
      <c r="BA2523">
        <v>70</v>
      </c>
      <c r="BE2523" t="str">
        <f>T("9791171502066")</f>
        <v>9791171502066</v>
      </c>
      <c r="BF2523" t="str">
        <f>T("D005630")</f>
        <v>D005630</v>
      </c>
      <c r="BG2523" t="str">
        <f>T("로맨스 웹소설 &gt; 현대물")</f>
        <v>로맨스 웹소설 &gt; 현대물</v>
      </c>
    </row>
    <row r="2524" spans="1:59">
      <c r="A2524" t="s">
        <v>60</v>
      </c>
      <c r="B2524" s="1">
        <v>46130</v>
      </c>
      <c r="C2524">
        <v>2378075135</v>
      </c>
      <c r="D2524">
        <v>2378075149</v>
      </c>
      <c r="E2524" t="str">
        <f>T("매버릭(Maverick) 15화")</f>
        <v>매버릭(Maverick) 15화</v>
      </c>
      <c r="F2524">
        <v>15</v>
      </c>
      <c r="G2524" t="str">
        <f>T("윤산")</f>
        <v>윤산</v>
      </c>
      <c r="J2524" t="str">
        <f>T("하트퀸")</f>
        <v>하트퀸</v>
      </c>
      <c r="K2524" t="str">
        <f>T("매버릭(Maverick)")</f>
        <v>매버릭(Maverick)</v>
      </c>
      <c r="L2524">
        <v>100</v>
      </c>
      <c r="M2524">
        <v>100</v>
      </c>
      <c r="N2524">
        <v>1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100</v>
      </c>
      <c r="AJ2524">
        <v>1</v>
      </c>
      <c r="AK2524">
        <v>0</v>
      </c>
      <c r="AL2524">
        <v>0</v>
      </c>
      <c r="AM2524">
        <v>100</v>
      </c>
      <c r="AN2524">
        <v>0</v>
      </c>
      <c r="AO2524">
        <v>0</v>
      </c>
      <c r="AP2524">
        <v>0</v>
      </c>
      <c r="AQ2524">
        <v>0</v>
      </c>
      <c r="AS2524">
        <v>0</v>
      </c>
      <c r="AT2524">
        <v>0</v>
      </c>
      <c r="AV2524">
        <v>0</v>
      </c>
      <c r="AW2524">
        <v>0</v>
      </c>
      <c r="AY2524">
        <v>0</v>
      </c>
      <c r="AZ2524">
        <v>0</v>
      </c>
      <c r="BA2524">
        <v>70</v>
      </c>
      <c r="BE2524" t="str">
        <f>T("9791171502066")</f>
        <v>9791171502066</v>
      </c>
      <c r="BF2524" t="str">
        <f>T("D005631")</f>
        <v>D005631</v>
      </c>
      <c r="BG2524" t="str">
        <f>T("로맨스 웹소설 &gt; 현대물")</f>
        <v>로맨스 웹소설 &gt; 현대물</v>
      </c>
    </row>
    <row r="2525" spans="1:59">
      <c r="A2525" t="s">
        <v>60</v>
      </c>
      <c r="B2525" s="1">
        <v>46130</v>
      </c>
      <c r="C2525">
        <v>2378075135</v>
      </c>
      <c r="D2525">
        <v>2378075150</v>
      </c>
      <c r="E2525" t="str">
        <f>T("매버릭(Maverick) 16화")</f>
        <v>매버릭(Maverick) 16화</v>
      </c>
      <c r="F2525">
        <v>16</v>
      </c>
      <c r="G2525" t="str">
        <f>T("윤산")</f>
        <v>윤산</v>
      </c>
      <c r="J2525" t="str">
        <f>T("하트퀸")</f>
        <v>하트퀸</v>
      </c>
      <c r="K2525" t="str">
        <f>T("매버릭(Maverick)")</f>
        <v>매버릭(Maverick)</v>
      </c>
      <c r="L2525">
        <v>100</v>
      </c>
      <c r="M2525">
        <v>100</v>
      </c>
      <c r="N2525">
        <v>1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100</v>
      </c>
      <c r="AJ2525">
        <v>1</v>
      </c>
      <c r="AK2525">
        <v>0</v>
      </c>
      <c r="AL2525">
        <v>0</v>
      </c>
      <c r="AM2525">
        <v>100</v>
      </c>
      <c r="AN2525">
        <v>0</v>
      </c>
      <c r="AO2525">
        <v>0</v>
      </c>
      <c r="AP2525">
        <v>0</v>
      </c>
      <c r="AQ2525">
        <v>0</v>
      </c>
      <c r="AS2525">
        <v>0</v>
      </c>
      <c r="AT2525">
        <v>0</v>
      </c>
      <c r="AV2525">
        <v>0</v>
      </c>
      <c r="AW2525">
        <v>0</v>
      </c>
      <c r="AY2525">
        <v>0</v>
      </c>
      <c r="AZ2525">
        <v>0</v>
      </c>
      <c r="BA2525">
        <v>70</v>
      </c>
      <c r="BE2525" t="str">
        <f>T("9791171502066")</f>
        <v>9791171502066</v>
      </c>
      <c r="BF2525" t="str">
        <f>T("D005632")</f>
        <v>D005632</v>
      </c>
      <c r="BG2525" t="str">
        <f>T("로맨스 웹소설 &gt; 현대물")</f>
        <v>로맨스 웹소설 &gt; 현대물</v>
      </c>
    </row>
    <row r="2526" spans="1:59">
      <c r="A2526" t="s">
        <v>60</v>
      </c>
      <c r="B2526" s="1">
        <v>46130</v>
      </c>
      <c r="C2526">
        <v>2378075135</v>
      </c>
      <c r="D2526">
        <v>2378075151</v>
      </c>
      <c r="E2526" t="str">
        <f>T("매버릭(Maverick) 17화")</f>
        <v>매버릭(Maverick) 17화</v>
      </c>
      <c r="F2526">
        <v>17</v>
      </c>
      <c r="G2526" t="str">
        <f>T("윤산")</f>
        <v>윤산</v>
      </c>
      <c r="J2526" t="str">
        <f>T("하트퀸")</f>
        <v>하트퀸</v>
      </c>
      <c r="K2526" t="str">
        <f>T("매버릭(Maverick)")</f>
        <v>매버릭(Maverick)</v>
      </c>
      <c r="L2526">
        <v>100</v>
      </c>
      <c r="M2526">
        <v>100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100</v>
      </c>
      <c r="AJ2526">
        <v>1</v>
      </c>
      <c r="AK2526">
        <v>0</v>
      </c>
      <c r="AL2526">
        <v>0</v>
      </c>
      <c r="AM2526">
        <v>100</v>
      </c>
      <c r="AN2526">
        <v>0</v>
      </c>
      <c r="AO2526">
        <v>0</v>
      </c>
      <c r="AP2526">
        <v>0</v>
      </c>
      <c r="AQ2526">
        <v>0</v>
      </c>
      <c r="AS2526">
        <v>0</v>
      </c>
      <c r="AT2526">
        <v>0</v>
      </c>
      <c r="AV2526">
        <v>0</v>
      </c>
      <c r="AW2526">
        <v>0</v>
      </c>
      <c r="AY2526">
        <v>0</v>
      </c>
      <c r="AZ2526">
        <v>0</v>
      </c>
      <c r="BA2526">
        <v>70</v>
      </c>
      <c r="BE2526" t="str">
        <f>T("9791171502066")</f>
        <v>9791171502066</v>
      </c>
      <c r="BF2526" t="str">
        <f>T("D005633")</f>
        <v>D005633</v>
      </c>
      <c r="BG2526" t="str">
        <f>T("로맨스 웹소설 &gt; 현대물")</f>
        <v>로맨스 웹소설 &gt; 현대물</v>
      </c>
    </row>
    <row r="2527" spans="1:59">
      <c r="A2527" t="s">
        <v>60</v>
      </c>
      <c r="B2527" s="1">
        <v>46130</v>
      </c>
      <c r="C2527">
        <v>2378075135</v>
      </c>
      <c r="D2527">
        <v>2378075152</v>
      </c>
      <c r="E2527" t="str">
        <f>T("매버릭(Maverick) 18화")</f>
        <v>매버릭(Maverick) 18화</v>
      </c>
      <c r="F2527">
        <v>18</v>
      </c>
      <c r="G2527" t="str">
        <f>T("윤산")</f>
        <v>윤산</v>
      </c>
      <c r="J2527" t="str">
        <f>T("하트퀸")</f>
        <v>하트퀸</v>
      </c>
      <c r="K2527" t="str">
        <f>T("매버릭(Maverick)")</f>
        <v>매버릭(Maverick)</v>
      </c>
      <c r="L2527">
        <v>100</v>
      </c>
      <c r="M2527">
        <v>100</v>
      </c>
      <c r="N2527">
        <v>1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100</v>
      </c>
      <c r="AJ2527">
        <v>1</v>
      </c>
      <c r="AK2527">
        <v>0</v>
      </c>
      <c r="AL2527">
        <v>0</v>
      </c>
      <c r="AM2527">
        <v>100</v>
      </c>
      <c r="AN2527">
        <v>0</v>
      </c>
      <c r="AO2527">
        <v>0</v>
      </c>
      <c r="AP2527">
        <v>0</v>
      </c>
      <c r="AQ2527">
        <v>0</v>
      </c>
      <c r="AS2527">
        <v>0</v>
      </c>
      <c r="AT2527">
        <v>0</v>
      </c>
      <c r="AV2527">
        <v>0</v>
      </c>
      <c r="AW2527">
        <v>0</v>
      </c>
      <c r="AY2527">
        <v>0</v>
      </c>
      <c r="AZ2527">
        <v>0</v>
      </c>
      <c r="BA2527">
        <v>70</v>
      </c>
      <c r="BE2527" t="str">
        <f>T("9791171502066")</f>
        <v>9791171502066</v>
      </c>
      <c r="BF2527" t="str">
        <f>T("D005634")</f>
        <v>D005634</v>
      </c>
      <c r="BG2527" t="str">
        <f>T("로맨스 웹소설 &gt; 현대물")</f>
        <v>로맨스 웹소설 &gt; 현대물</v>
      </c>
    </row>
    <row r="2528" spans="1:59">
      <c r="A2528" t="s">
        <v>60</v>
      </c>
      <c r="B2528" s="1">
        <v>46130</v>
      </c>
      <c r="C2528">
        <v>2378075135</v>
      </c>
      <c r="D2528">
        <v>2378075153</v>
      </c>
      <c r="E2528" t="str">
        <f>T("매버릭(Maverick) 19화")</f>
        <v>매버릭(Maverick) 19화</v>
      </c>
      <c r="F2528">
        <v>19</v>
      </c>
      <c r="G2528" t="str">
        <f>T("윤산")</f>
        <v>윤산</v>
      </c>
      <c r="J2528" t="str">
        <f>T("하트퀸")</f>
        <v>하트퀸</v>
      </c>
      <c r="K2528" t="str">
        <f>T("매버릭(Maverick)")</f>
        <v>매버릭(Maverick)</v>
      </c>
      <c r="L2528">
        <v>100</v>
      </c>
      <c r="M2528">
        <v>100</v>
      </c>
      <c r="N2528">
        <v>1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100</v>
      </c>
      <c r="AJ2528">
        <v>1</v>
      </c>
      <c r="AK2528">
        <v>0</v>
      </c>
      <c r="AL2528">
        <v>0</v>
      </c>
      <c r="AM2528">
        <v>100</v>
      </c>
      <c r="AN2528">
        <v>0</v>
      </c>
      <c r="AO2528">
        <v>0</v>
      </c>
      <c r="AP2528">
        <v>0</v>
      </c>
      <c r="AQ2528">
        <v>0</v>
      </c>
      <c r="AS2528">
        <v>0</v>
      </c>
      <c r="AT2528">
        <v>0</v>
      </c>
      <c r="AV2528">
        <v>0</v>
      </c>
      <c r="AW2528">
        <v>0</v>
      </c>
      <c r="AY2528">
        <v>0</v>
      </c>
      <c r="AZ2528">
        <v>0</v>
      </c>
      <c r="BA2528">
        <v>70</v>
      </c>
      <c r="BE2528" t="str">
        <f>T("9791171502066")</f>
        <v>9791171502066</v>
      </c>
      <c r="BF2528" t="str">
        <f>T("D005635")</f>
        <v>D005635</v>
      </c>
      <c r="BG2528" t="str">
        <f>T("로맨스 웹소설 &gt; 현대물")</f>
        <v>로맨스 웹소설 &gt; 현대물</v>
      </c>
    </row>
    <row r="2529" spans="1:59">
      <c r="A2529" t="s">
        <v>60</v>
      </c>
      <c r="B2529" s="1">
        <v>46130</v>
      </c>
      <c r="C2529">
        <v>2378075135</v>
      </c>
      <c r="D2529">
        <v>2378075154</v>
      </c>
      <c r="E2529" t="str">
        <f>T("매버릭(Maverick) 20화")</f>
        <v>매버릭(Maverick) 20화</v>
      </c>
      <c r="F2529">
        <v>20</v>
      </c>
      <c r="G2529" t="str">
        <f>T("윤산")</f>
        <v>윤산</v>
      </c>
      <c r="J2529" t="str">
        <f>T("하트퀸")</f>
        <v>하트퀸</v>
      </c>
      <c r="K2529" t="str">
        <f>T("매버릭(Maverick)")</f>
        <v>매버릭(Maverick)</v>
      </c>
      <c r="L2529">
        <v>100</v>
      </c>
      <c r="M2529">
        <v>100</v>
      </c>
      <c r="N2529">
        <v>1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100</v>
      </c>
      <c r="AJ2529">
        <v>1</v>
      </c>
      <c r="AK2529">
        <v>0</v>
      </c>
      <c r="AL2529">
        <v>0</v>
      </c>
      <c r="AM2529">
        <v>100</v>
      </c>
      <c r="AN2529">
        <v>0</v>
      </c>
      <c r="AO2529">
        <v>0</v>
      </c>
      <c r="AP2529">
        <v>0</v>
      </c>
      <c r="AQ2529">
        <v>0</v>
      </c>
      <c r="AS2529">
        <v>0</v>
      </c>
      <c r="AT2529">
        <v>0</v>
      </c>
      <c r="AV2529">
        <v>0</v>
      </c>
      <c r="AW2529">
        <v>0</v>
      </c>
      <c r="AY2529">
        <v>0</v>
      </c>
      <c r="AZ2529">
        <v>0</v>
      </c>
      <c r="BA2529">
        <v>70</v>
      </c>
      <c r="BE2529" t="str">
        <f>T("9791171502066")</f>
        <v>9791171502066</v>
      </c>
      <c r="BF2529" t="str">
        <f>T("D005636")</f>
        <v>D005636</v>
      </c>
      <c r="BG2529" t="str">
        <f>T("로맨스 웹소설 &gt; 현대물")</f>
        <v>로맨스 웹소설 &gt; 현대물</v>
      </c>
    </row>
    <row r="2530" spans="1:59">
      <c r="A2530" t="s">
        <v>60</v>
      </c>
      <c r="B2530" s="1">
        <v>46131</v>
      </c>
      <c r="C2530">
        <v>2378075135</v>
      </c>
      <c r="D2530">
        <v>2378075135</v>
      </c>
      <c r="E2530" t="str">
        <f>T("매버릭(Maverick) 1화")</f>
        <v>매버릭(Maverick) 1화</v>
      </c>
      <c r="F2530">
        <v>1</v>
      </c>
      <c r="G2530" t="str">
        <f>T("윤산")</f>
        <v>윤산</v>
      </c>
      <c r="J2530" t="str">
        <f>T("하트퀸")</f>
        <v>하트퀸</v>
      </c>
      <c r="K2530" t="str">
        <f>T("매버릭(Maverick)")</f>
        <v>매버릭(Maverick)</v>
      </c>
      <c r="L2530">
        <v>0</v>
      </c>
      <c r="M2530">
        <v>0</v>
      </c>
      <c r="N2530">
        <v>0</v>
      </c>
      <c r="O2530">
        <v>1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1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S2530">
        <v>0</v>
      </c>
      <c r="AT2530">
        <v>0</v>
      </c>
      <c r="AV2530">
        <v>0</v>
      </c>
      <c r="AW2530">
        <v>0</v>
      </c>
      <c r="AY2530">
        <v>0</v>
      </c>
      <c r="AZ2530">
        <v>0</v>
      </c>
      <c r="BA2530">
        <v>0</v>
      </c>
      <c r="BE2530" t="str">
        <f>T("9791171502066")</f>
        <v>9791171502066</v>
      </c>
      <c r="BF2530" t="str">
        <f>T("D005617")</f>
        <v>D005617</v>
      </c>
      <c r="BG2530" t="str">
        <f>T("로맨스 웹소설 &gt; 현대물")</f>
        <v>로맨스 웹소설 &gt; 현대물</v>
      </c>
    </row>
    <row r="2531" spans="1:59">
      <c r="A2531" t="s">
        <v>60</v>
      </c>
      <c r="B2531" s="1">
        <v>46131</v>
      </c>
      <c r="C2531">
        <v>2378075081</v>
      </c>
      <c r="D2531">
        <v>2378075099</v>
      </c>
      <c r="E2531" t="str">
        <f>T("매버릭(Maverick)(15세 개정판) 19화")</f>
        <v>매버릭(Maverick)(15세 개정판) 19화</v>
      </c>
      <c r="F2531">
        <v>19</v>
      </c>
      <c r="G2531" t="str">
        <f>T("윤산")</f>
        <v>윤산</v>
      </c>
      <c r="J2531" t="str">
        <f>T("하트퀸")</f>
        <v>하트퀸</v>
      </c>
      <c r="K2531" t="str">
        <f>T("매버릭(Maverick)(15세 개정판)")</f>
        <v>매버릭(Maverick)(15세 개정판)</v>
      </c>
      <c r="L2531">
        <v>100</v>
      </c>
      <c r="M2531">
        <v>100</v>
      </c>
      <c r="N2531">
        <v>1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100</v>
      </c>
      <c r="AJ2531">
        <v>1</v>
      </c>
      <c r="AK2531">
        <v>0</v>
      </c>
      <c r="AL2531">
        <v>0</v>
      </c>
      <c r="AM2531">
        <v>100</v>
      </c>
      <c r="AN2531">
        <v>0</v>
      </c>
      <c r="AO2531">
        <v>0</v>
      </c>
      <c r="AP2531">
        <v>0</v>
      </c>
      <c r="AQ2531">
        <v>0</v>
      </c>
      <c r="AS2531">
        <v>0</v>
      </c>
      <c r="AT2531">
        <v>0</v>
      </c>
      <c r="AV2531">
        <v>0</v>
      </c>
      <c r="AW2531">
        <v>0</v>
      </c>
      <c r="AY2531">
        <v>0</v>
      </c>
      <c r="AZ2531">
        <v>0</v>
      </c>
      <c r="BA2531">
        <v>70</v>
      </c>
      <c r="BE2531" t="str">
        <f>T("9791171502073")</f>
        <v>9791171502073</v>
      </c>
      <c r="BF2531" t="str">
        <f>T("D005581")</f>
        <v>D005581</v>
      </c>
      <c r="BG2531" t="str">
        <f>T("로맨스 웹소설 &gt; 현대물")</f>
        <v>로맨스 웹소설 &gt; 현대물</v>
      </c>
    </row>
    <row r="2532" spans="1:59">
      <c r="A2532" t="s">
        <v>60</v>
      </c>
      <c r="B2532" s="1">
        <v>46131</v>
      </c>
      <c r="C2532">
        <v>2378075081</v>
      </c>
      <c r="D2532">
        <v>2378075100</v>
      </c>
      <c r="E2532" t="str">
        <f>T("매버릭(Maverick)(15세 개정판) 20화")</f>
        <v>매버릭(Maverick)(15세 개정판) 20화</v>
      </c>
      <c r="F2532">
        <v>20</v>
      </c>
      <c r="G2532" t="str">
        <f>T("윤산")</f>
        <v>윤산</v>
      </c>
      <c r="J2532" t="str">
        <f>T("하트퀸")</f>
        <v>하트퀸</v>
      </c>
      <c r="K2532" t="str">
        <f>T("매버릭(Maverick)(15세 개정판)")</f>
        <v>매버릭(Maverick)(15세 개정판)</v>
      </c>
      <c r="L2532">
        <v>100</v>
      </c>
      <c r="M2532">
        <v>100</v>
      </c>
      <c r="N2532">
        <v>1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100</v>
      </c>
      <c r="AJ2532">
        <v>1</v>
      </c>
      <c r="AK2532">
        <v>0</v>
      </c>
      <c r="AL2532">
        <v>0</v>
      </c>
      <c r="AM2532">
        <v>100</v>
      </c>
      <c r="AN2532">
        <v>0</v>
      </c>
      <c r="AO2532">
        <v>0</v>
      </c>
      <c r="AP2532">
        <v>0</v>
      </c>
      <c r="AQ2532">
        <v>0</v>
      </c>
      <c r="AS2532">
        <v>0</v>
      </c>
      <c r="AT2532">
        <v>0</v>
      </c>
      <c r="AV2532">
        <v>0</v>
      </c>
      <c r="AW2532">
        <v>0</v>
      </c>
      <c r="AY2532">
        <v>0</v>
      </c>
      <c r="AZ2532">
        <v>0</v>
      </c>
      <c r="BA2532">
        <v>70</v>
      </c>
      <c r="BE2532" t="str">
        <f>T("9791171502073")</f>
        <v>9791171502073</v>
      </c>
      <c r="BF2532" t="str">
        <f>T("D005582")</f>
        <v>D005582</v>
      </c>
      <c r="BG2532" t="str">
        <f>T("로맨스 웹소설 &gt; 현대물")</f>
        <v>로맨스 웹소설 &gt; 현대물</v>
      </c>
    </row>
    <row r="2533" spans="1:59">
      <c r="A2533" t="s">
        <v>60</v>
      </c>
      <c r="B2533" s="1">
        <v>46131</v>
      </c>
      <c r="C2533">
        <v>2378075081</v>
      </c>
      <c r="D2533">
        <v>2378075101</v>
      </c>
      <c r="E2533" t="str">
        <f>T("매버릭(Maverick)(15세 개정판) 21화")</f>
        <v>매버릭(Maverick)(15세 개정판) 21화</v>
      </c>
      <c r="F2533">
        <v>21</v>
      </c>
      <c r="G2533" t="str">
        <f>T("윤산")</f>
        <v>윤산</v>
      </c>
      <c r="J2533" t="str">
        <f>T("하트퀸")</f>
        <v>하트퀸</v>
      </c>
      <c r="K2533" t="str">
        <f>T("매버릭(Maverick)(15세 개정판)")</f>
        <v>매버릭(Maverick)(15세 개정판)</v>
      </c>
      <c r="L2533">
        <v>100</v>
      </c>
      <c r="M2533">
        <v>100</v>
      </c>
      <c r="N2533">
        <v>1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100</v>
      </c>
      <c r="AJ2533">
        <v>1</v>
      </c>
      <c r="AK2533">
        <v>0</v>
      </c>
      <c r="AL2533">
        <v>0</v>
      </c>
      <c r="AM2533">
        <v>100</v>
      </c>
      <c r="AN2533">
        <v>0</v>
      </c>
      <c r="AO2533">
        <v>0</v>
      </c>
      <c r="AP2533">
        <v>0</v>
      </c>
      <c r="AQ2533">
        <v>0</v>
      </c>
      <c r="AS2533">
        <v>0</v>
      </c>
      <c r="AT2533">
        <v>0</v>
      </c>
      <c r="AV2533">
        <v>0</v>
      </c>
      <c r="AW2533">
        <v>0</v>
      </c>
      <c r="AY2533">
        <v>0</v>
      </c>
      <c r="AZ2533">
        <v>0</v>
      </c>
      <c r="BA2533">
        <v>70</v>
      </c>
      <c r="BE2533" t="str">
        <f>T("9791171502073")</f>
        <v>9791171502073</v>
      </c>
      <c r="BF2533" t="str">
        <f>T("D005583")</f>
        <v>D005583</v>
      </c>
      <c r="BG2533" t="str">
        <f>T("로맨스 웹소설 &gt; 현대물")</f>
        <v>로맨스 웹소설 &gt; 현대물</v>
      </c>
    </row>
    <row r="2534" spans="1:59">
      <c r="A2534" t="s">
        <v>60</v>
      </c>
      <c r="B2534" s="1">
        <v>46131</v>
      </c>
      <c r="C2534">
        <v>2378075081</v>
      </c>
      <c r="D2534">
        <v>2378075102</v>
      </c>
      <c r="E2534" t="str">
        <f>T("매버릭(Maverick)(15세 개정판) 22화")</f>
        <v>매버릭(Maverick)(15세 개정판) 22화</v>
      </c>
      <c r="F2534">
        <v>22</v>
      </c>
      <c r="G2534" t="str">
        <f>T("윤산")</f>
        <v>윤산</v>
      </c>
      <c r="J2534" t="str">
        <f>T("하트퀸")</f>
        <v>하트퀸</v>
      </c>
      <c r="K2534" t="str">
        <f>T("매버릭(Maverick)(15세 개정판)")</f>
        <v>매버릭(Maverick)(15세 개정판)</v>
      </c>
      <c r="L2534">
        <v>100</v>
      </c>
      <c r="M2534">
        <v>100</v>
      </c>
      <c r="N2534">
        <v>1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100</v>
      </c>
      <c r="AJ2534">
        <v>1</v>
      </c>
      <c r="AK2534">
        <v>0</v>
      </c>
      <c r="AL2534">
        <v>0</v>
      </c>
      <c r="AM2534">
        <v>100</v>
      </c>
      <c r="AN2534">
        <v>0</v>
      </c>
      <c r="AO2534">
        <v>0</v>
      </c>
      <c r="AP2534">
        <v>0</v>
      </c>
      <c r="AQ2534">
        <v>0</v>
      </c>
      <c r="AS2534">
        <v>0</v>
      </c>
      <c r="AT2534">
        <v>0</v>
      </c>
      <c r="AV2534">
        <v>0</v>
      </c>
      <c r="AW2534">
        <v>0</v>
      </c>
      <c r="AY2534">
        <v>0</v>
      </c>
      <c r="AZ2534">
        <v>0</v>
      </c>
      <c r="BA2534">
        <v>70</v>
      </c>
      <c r="BE2534" t="str">
        <f>T("9791171502073")</f>
        <v>9791171502073</v>
      </c>
      <c r="BF2534" t="str">
        <f>T("D005584")</f>
        <v>D005584</v>
      </c>
      <c r="BG2534" t="str">
        <f>T("로맨스 웹소설 &gt; 현대물")</f>
        <v>로맨스 웹소설 &gt; 현대물</v>
      </c>
    </row>
    <row r="2535" spans="1:59">
      <c r="A2535" t="s">
        <v>60</v>
      </c>
      <c r="B2535" s="1">
        <v>46131</v>
      </c>
      <c r="C2535">
        <v>2378075081</v>
      </c>
      <c r="D2535">
        <v>2378075103</v>
      </c>
      <c r="E2535" t="str">
        <f>T("매버릭(Maverick)(15세 개정판) 23화")</f>
        <v>매버릭(Maverick)(15세 개정판) 23화</v>
      </c>
      <c r="F2535">
        <v>23</v>
      </c>
      <c r="G2535" t="str">
        <f>T("윤산")</f>
        <v>윤산</v>
      </c>
      <c r="J2535" t="str">
        <f>T("하트퀸")</f>
        <v>하트퀸</v>
      </c>
      <c r="K2535" t="str">
        <f>T("매버릭(Maverick)(15세 개정판)")</f>
        <v>매버릭(Maverick)(15세 개정판)</v>
      </c>
      <c r="L2535">
        <v>100</v>
      </c>
      <c r="M2535">
        <v>100</v>
      </c>
      <c r="N2535">
        <v>1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100</v>
      </c>
      <c r="AJ2535">
        <v>1</v>
      </c>
      <c r="AK2535">
        <v>0</v>
      </c>
      <c r="AL2535">
        <v>0</v>
      </c>
      <c r="AM2535">
        <v>100</v>
      </c>
      <c r="AN2535">
        <v>0</v>
      </c>
      <c r="AO2535">
        <v>0</v>
      </c>
      <c r="AP2535">
        <v>0</v>
      </c>
      <c r="AQ2535">
        <v>0</v>
      </c>
      <c r="AS2535">
        <v>0</v>
      </c>
      <c r="AT2535">
        <v>0</v>
      </c>
      <c r="AV2535">
        <v>0</v>
      </c>
      <c r="AW2535">
        <v>0</v>
      </c>
      <c r="AY2535">
        <v>0</v>
      </c>
      <c r="AZ2535">
        <v>0</v>
      </c>
      <c r="BA2535">
        <v>70</v>
      </c>
      <c r="BE2535" t="str">
        <f>T("9791171502073")</f>
        <v>9791171502073</v>
      </c>
      <c r="BF2535" t="str">
        <f>T("D005585")</f>
        <v>D005585</v>
      </c>
      <c r="BG2535" t="str">
        <f>T("로맨스 웹소설 &gt; 현대물")</f>
        <v>로맨스 웹소설 &gt; 현대물</v>
      </c>
    </row>
    <row r="2536" spans="1:59">
      <c r="A2536" t="s">
        <v>60</v>
      </c>
      <c r="B2536" s="1">
        <v>46131</v>
      </c>
      <c r="C2536">
        <v>2378075081</v>
      </c>
      <c r="D2536">
        <v>2378075104</v>
      </c>
      <c r="E2536" t="str">
        <f>T("매버릭(Maverick)(15세 개정판) 24화")</f>
        <v>매버릭(Maverick)(15세 개정판) 24화</v>
      </c>
      <c r="F2536">
        <v>24</v>
      </c>
      <c r="G2536" t="str">
        <f>T("윤산")</f>
        <v>윤산</v>
      </c>
      <c r="J2536" t="str">
        <f>T("하트퀸")</f>
        <v>하트퀸</v>
      </c>
      <c r="K2536" t="str">
        <f>T("매버릭(Maverick)(15세 개정판)")</f>
        <v>매버릭(Maverick)(15세 개정판)</v>
      </c>
      <c r="L2536">
        <v>100</v>
      </c>
      <c r="M2536">
        <v>100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100</v>
      </c>
      <c r="AJ2536">
        <v>1</v>
      </c>
      <c r="AK2536">
        <v>0</v>
      </c>
      <c r="AL2536">
        <v>0</v>
      </c>
      <c r="AM2536">
        <v>100</v>
      </c>
      <c r="AN2536">
        <v>0</v>
      </c>
      <c r="AO2536">
        <v>0</v>
      </c>
      <c r="AP2536">
        <v>0</v>
      </c>
      <c r="AQ2536">
        <v>0</v>
      </c>
      <c r="AS2536">
        <v>0</v>
      </c>
      <c r="AT2536">
        <v>0</v>
      </c>
      <c r="AV2536">
        <v>0</v>
      </c>
      <c r="AW2536">
        <v>0</v>
      </c>
      <c r="AY2536">
        <v>0</v>
      </c>
      <c r="AZ2536">
        <v>0</v>
      </c>
      <c r="BA2536">
        <v>70</v>
      </c>
      <c r="BE2536" t="str">
        <f>T("9791171502073")</f>
        <v>9791171502073</v>
      </c>
      <c r="BF2536" t="str">
        <f>T("D005586")</f>
        <v>D005586</v>
      </c>
      <c r="BG2536" t="str">
        <f>T("로맨스 웹소설 &gt; 현대물")</f>
        <v>로맨스 웹소설 &gt; 현대물</v>
      </c>
    </row>
    <row r="2537" spans="1:59">
      <c r="A2537" t="s">
        <v>60</v>
      </c>
      <c r="B2537" s="1">
        <v>46131</v>
      </c>
      <c r="C2537">
        <v>2378075081</v>
      </c>
      <c r="D2537">
        <v>2378075105</v>
      </c>
      <c r="E2537" t="str">
        <f>T("매버릭(Maverick)(15세 개정판) 25화")</f>
        <v>매버릭(Maverick)(15세 개정판) 25화</v>
      </c>
      <c r="F2537">
        <v>25</v>
      </c>
      <c r="G2537" t="str">
        <f>T("윤산")</f>
        <v>윤산</v>
      </c>
      <c r="J2537" t="str">
        <f>T("하트퀸")</f>
        <v>하트퀸</v>
      </c>
      <c r="K2537" t="str">
        <f>T("매버릭(Maverick)(15세 개정판)")</f>
        <v>매버릭(Maverick)(15세 개정판)</v>
      </c>
      <c r="L2537">
        <v>100</v>
      </c>
      <c r="M2537">
        <v>100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100</v>
      </c>
      <c r="AJ2537">
        <v>1</v>
      </c>
      <c r="AK2537">
        <v>0</v>
      </c>
      <c r="AL2537">
        <v>0</v>
      </c>
      <c r="AM2537">
        <v>100</v>
      </c>
      <c r="AN2537">
        <v>0</v>
      </c>
      <c r="AO2537">
        <v>0</v>
      </c>
      <c r="AP2537">
        <v>0</v>
      </c>
      <c r="AQ2537">
        <v>0</v>
      </c>
      <c r="AS2537">
        <v>0</v>
      </c>
      <c r="AT2537">
        <v>0</v>
      </c>
      <c r="AV2537">
        <v>0</v>
      </c>
      <c r="AW2537">
        <v>0</v>
      </c>
      <c r="AY2537">
        <v>0</v>
      </c>
      <c r="AZ2537">
        <v>0</v>
      </c>
      <c r="BA2537">
        <v>70</v>
      </c>
      <c r="BE2537" t="str">
        <f>T("9791171502073")</f>
        <v>9791171502073</v>
      </c>
      <c r="BF2537" t="str">
        <f>T("D005587")</f>
        <v>D005587</v>
      </c>
      <c r="BG2537" t="str">
        <f>T("로맨스 웹소설 &gt; 현대물")</f>
        <v>로맨스 웹소설 &gt; 현대물</v>
      </c>
    </row>
    <row r="2538" spans="1:59">
      <c r="A2538" t="s">
        <v>60</v>
      </c>
      <c r="B2538" s="1">
        <v>46131</v>
      </c>
      <c r="C2538">
        <v>2378075081</v>
      </c>
      <c r="D2538">
        <v>2378075106</v>
      </c>
      <c r="E2538" t="str">
        <f>T("매버릭(Maverick)(15세 개정판) 26화")</f>
        <v>매버릭(Maverick)(15세 개정판) 26화</v>
      </c>
      <c r="F2538">
        <v>26</v>
      </c>
      <c r="G2538" t="str">
        <f>T("윤산")</f>
        <v>윤산</v>
      </c>
      <c r="J2538" t="str">
        <f>T("하트퀸")</f>
        <v>하트퀸</v>
      </c>
      <c r="K2538" t="str">
        <f>T("매버릭(Maverick)(15세 개정판)")</f>
        <v>매버릭(Maverick)(15세 개정판)</v>
      </c>
      <c r="L2538">
        <v>100</v>
      </c>
      <c r="M2538">
        <v>100</v>
      </c>
      <c r="N2538">
        <v>1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100</v>
      </c>
      <c r="AJ2538">
        <v>1</v>
      </c>
      <c r="AK2538">
        <v>0</v>
      </c>
      <c r="AL2538">
        <v>0</v>
      </c>
      <c r="AM2538">
        <v>100</v>
      </c>
      <c r="AN2538">
        <v>0</v>
      </c>
      <c r="AO2538">
        <v>0</v>
      </c>
      <c r="AP2538">
        <v>0</v>
      </c>
      <c r="AQ2538">
        <v>0</v>
      </c>
      <c r="AS2538">
        <v>0</v>
      </c>
      <c r="AT2538">
        <v>0</v>
      </c>
      <c r="AV2538">
        <v>0</v>
      </c>
      <c r="AW2538">
        <v>0</v>
      </c>
      <c r="AY2538">
        <v>0</v>
      </c>
      <c r="AZ2538">
        <v>0</v>
      </c>
      <c r="BA2538">
        <v>70</v>
      </c>
      <c r="BE2538" t="str">
        <f>T("9791171502073")</f>
        <v>9791171502073</v>
      </c>
      <c r="BF2538" t="str">
        <f>T("D005588")</f>
        <v>D005588</v>
      </c>
      <c r="BG2538" t="str">
        <f>T("로맨스 웹소설 &gt; 현대물")</f>
        <v>로맨스 웹소설 &gt; 현대물</v>
      </c>
    </row>
    <row r="2539" spans="1:59">
      <c r="A2539" t="s">
        <v>60</v>
      </c>
      <c r="B2539" s="1">
        <v>46131</v>
      </c>
      <c r="C2539">
        <v>2378075081</v>
      </c>
      <c r="D2539">
        <v>2378075107</v>
      </c>
      <c r="E2539" t="str">
        <f>T("매버릭(Maverick)(15세 개정판) 27화")</f>
        <v>매버릭(Maverick)(15세 개정판) 27화</v>
      </c>
      <c r="F2539">
        <v>27</v>
      </c>
      <c r="G2539" t="str">
        <f>T("윤산")</f>
        <v>윤산</v>
      </c>
      <c r="J2539" t="str">
        <f>T("하트퀸")</f>
        <v>하트퀸</v>
      </c>
      <c r="K2539" t="str">
        <f>T("매버릭(Maverick)(15세 개정판)")</f>
        <v>매버릭(Maverick)(15세 개정판)</v>
      </c>
      <c r="L2539">
        <v>100</v>
      </c>
      <c r="M2539">
        <v>100</v>
      </c>
      <c r="N2539">
        <v>1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0</v>
      </c>
      <c r="AF2539">
        <v>0</v>
      </c>
      <c r="AG2539">
        <v>0</v>
      </c>
      <c r="AH2539">
        <v>0</v>
      </c>
      <c r="AI2539">
        <v>100</v>
      </c>
      <c r="AJ2539">
        <v>1</v>
      </c>
      <c r="AK2539">
        <v>0</v>
      </c>
      <c r="AL2539">
        <v>0</v>
      </c>
      <c r="AM2539">
        <v>100</v>
      </c>
      <c r="AN2539">
        <v>0</v>
      </c>
      <c r="AO2539">
        <v>0</v>
      </c>
      <c r="AP2539">
        <v>0</v>
      </c>
      <c r="AQ2539">
        <v>0</v>
      </c>
      <c r="AS2539">
        <v>0</v>
      </c>
      <c r="AT2539">
        <v>0</v>
      </c>
      <c r="AV2539">
        <v>0</v>
      </c>
      <c r="AW2539">
        <v>0</v>
      </c>
      <c r="AY2539">
        <v>0</v>
      </c>
      <c r="AZ2539">
        <v>0</v>
      </c>
      <c r="BA2539">
        <v>70</v>
      </c>
      <c r="BE2539" t="str">
        <f>T("9791171502073")</f>
        <v>9791171502073</v>
      </c>
      <c r="BF2539" t="str">
        <f>T("D005589")</f>
        <v>D005589</v>
      </c>
      <c r="BG2539" t="str">
        <f>T("로맨스 웹소설 &gt; 현대물")</f>
        <v>로맨스 웹소설 &gt; 현대물</v>
      </c>
    </row>
    <row r="2540" spans="1:59">
      <c r="A2540" t="s">
        <v>60</v>
      </c>
      <c r="B2540" s="1">
        <v>46131</v>
      </c>
      <c r="C2540">
        <v>2378075081</v>
      </c>
      <c r="D2540">
        <v>2378075108</v>
      </c>
      <c r="E2540" t="str">
        <f>T("매버릭(Maverick)(15세 개정판) 28화")</f>
        <v>매버릭(Maverick)(15세 개정판) 28화</v>
      </c>
      <c r="F2540">
        <v>28</v>
      </c>
      <c r="G2540" t="str">
        <f>T("윤산")</f>
        <v>윤산</v>
      </c>
      <c r="J2540" t="str">
        <f>T("하트퀸")</f>
        <v>하트퀸</v>
      </c>
      <c r="K2540" t="str">
        <f>T("매버릭(Maverick)(15세 개정판)")</f>
        <v>매버릭(Maverick)(15세 개정판)</v>
      </c>
      <c r="L2540">
        <v>100</v>
      </c>
      <c r="M2540">
        <v>100</v>
      </c>
      <c r="N2540">
        <v>1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100</v>
      </c>
      <c r="AJ2540">
        <v>1</v>
      </c>
      <c r="AK2540">
        <v>0</v>
      </c>
      <c r="AL2540">
        <v>0</v>
      </c>
      <c r="AM2540">
        <v>100</v>
      </c>
      <c r="AN2540">
        <v>0</v>
      </c>
      <c r="AO2540">
        <v>0</v>
      </c>
      <c r="AP2540">
        <v>0</v>
      </c>
      <c r="AQ2540">
        <v>0</v>
      </c>
      <c r="AS2540">
        <v>0</v>
      </c>
      <c r="AT2540">
        <v>0</v>
      </c>
      <c r="AV2540">
        <v>0</v>
      </c>
      <c r="AW2540">
        <v>0</v>
      </c>
      <c r="AY2540">
        <v>0</v>
      </c>
      <c r="AZ2540">
        <v>0</v>
      </c>
      <c r="BA2540">
        <v>70</v>
      </c>
      <c r="BE2540" t="str">
        <f>T("9791171502073")</f>
        <v>9791171502073</v>
      </c>
      <c r="BF2540" t="str">
        <f>T("D005590")</f>
        <v>D005590</v>
      </c>
      <c r="BG2540" t="str">
        <f>T("로맨스 웹소설 &gt; 현대물")</f>
        <v>로맨스 웹소설 &gt; 현대물</v>
      </c>
    </row>
    <row r="2541" spans="1:59">
      <c r="A2541" t="s">
        <v>60</v>
      </c>
      <c r="B2541" s="1">
        <v>46130</v>
      </c>
      <c r="C2541">
        <v>2378001710</v>
      </c>
      <c r="D2541">
        <v>2378001827</v>
      </c>
      <c r="E2541" t="str">
        <f>T("무사 118화")</f>
        <v>무사 118화</v>
      </c>
      <c r="F2541">
        <v>118</v>
      </c>
      <c r="G2541" t="str">
        <f>T("보헤미아")</f>
        <v>보헤미아</v>
      </c>
      <c r="J2541" t="str">
        <f>T("매드햇")</f>
        <v>매드햇</v>
      </c>
      <c r="K2541" t="str">
        <f>T("무사")</f>
        <v>무사</v>
      </c>
      <c r="L2541">
        <v>100</v>
      </c>
      <c r="M2541">
        <v>100</v>
      </c>
      <c r="N2541">
        <v>1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0</v>
      </c>
      <c r="AI2541">
        <v>100</v>
      </c>
      <c r="AJ2541">
        <v>1</v>
      </c>
      <c r="AK2541">
        <v>0</v>
      </c>
      <c r="AL2541">
        <v>0</v>
      </c>
      <c r="AM2541">
        <v>100</v>
      </c>
      <c r="AN2541">
        <v>0</v>
      </c>
      <c r="AO2541">
        <v>0</v>
      </c>
      <c r="AP2541">
        <v>0</v>
      </c>
      <c r="AQ2541">
        <v>0</v>
      </c>
      <c r="AS2541">
        <v>0</v>
      </c>
      <c r="AT2541">
        <v>0</v>
      </c>
      <c r="AV2541">
        <v>0</v>
      </c>
      <c r="AW2541">
        <v>0</v>
      </c>
      <c r="AY2541">
        <v>0</v>
      </c>
      <c r="AZ2541">
        <v>0</v>
      </c>
      <c r="BA2541">
        <v>70</v>
      </c>
      <c r="BE2541" t="str">
        <f>T("9791162581254")</f>
        <v>9791162581254</v>
      </c>
      <c r="BF2541" t="str">
        <f>T("E303346")</f>
        <v>E303346</v>
      </c>
      <c r="BG2541" t="str">
        <f>T("판타지 웹소설 &gt; 퓨전 판타지")</f>
        <v>판타지 웹소설 &gt; 퓨전 판타지</v>
      </c>
    </row>
    <row r="2542" spans="1:59">
      <c r="A2542" t="s">
        <v>60</v>
      </c>
      <c r="B2542" s="1">
        <v>46130</v>
      </c>
      <c r="C2542">
        <v>2378001710</v>
      </c>
      <c r="D2542">
        <v>2378001829</v>
      </c>
      <c r="E2542" t="str">
        <f>T("무사 120화 (완결)")</f>
        <v>무사 120화 (완결)</v>
      </c>
      <c r="F2542">
        <v>120</v>
      </c>
      <c r="G2542" t="str">
        <f>T("보헤미아")</f>
        <v>보헤미아</v>
      </c>
      <c r="J2542" t="str">
        <f>T("매드햇")</f>
        <v>매드햇</v>
      </c>
      <c r="K2542" t="str">
        <f>T("무사")</f>
        <v>무사</v>
      </c>
      <c r="L2542">
        <v>100</v>
      </c>
      <c r="M2542">
        <v>100</v>
      </c>
      <c r="N2542">
        <v>1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0</v>
      </c>
      <c r="AE2542">
        <v>0</v>
      </c>
      <c r="AF2542">
        <v>0</v>
      </c>
      <c r="AG2542">
        <v>0</v>
      </c>
      <c r="AH2542">
        <v>0</v>
      </c>
      <c r="AI2542">
        <v>100</v>
      </c>
      <c r="AJ2542">
        <v>1</v>
      </c>
      <c r="AK2542">
        <v>0</v>
      </c>
      <c r="AL2542">
        <v>0</v>
      </c>
      <c r="AM2542">
        <v>100</v>
      </c>
      <c r="AN2542">
        <v>0</v>
      </c>
      <c r="AO2542">
        <v>0</v>
      </c>
      <c r="AP2542">
        <v>0</v>
      </c>
      <c r="AQ2542">
        <v>0</v>
      </c>
      <c r="AS2542">
        <v>0</v>
      </c>
      <c r="AT2542">
        <v>0</v>
      </c>
      <c r="AV2542">
        <v>0</v>
      </c>
      <c r="AW2542">
        <v>0</v>
      </c>
      <c r="AY2542">
        <v>0</v>
      </c>
      <c r="AZ2542">
        <v>0</v>
      </c>
      <c r="BA2542">
        <v>70</v>
      </c>
      <c r="BE2542" t="str">
        <f>T("9791162581254")</f>
        <v>9791162581254</v>
      </c>
      <c r="BF2542" t="str">
        <f>T("E303348")</f>
        <v>E303348</v>
      </c>
      <c r="BG2542" t="str">
        <f>T("판타지 웹소설 &gt; 퓨전 판타지")</f>
        <v>판타지 웹소설 &gt; 퓨전 판타지</v>
      </c>
    </row>
    <row r="2543" spans="1:59">
      <c r="A2543" t="s">
        <v>60</v>
      </c>
      <c r="B2543" s="1">
        <v>46129</v>
      </c>
      <c r="C2543">
        <v>2378009513</v>
      </c>
      <c r="D2543">
        <v>2378009513</v>
      </c>
      <c r="E2543" t="str">
        <f>T("문과라도 안 죄송한 이세계로 감 1화")</f>
        <v>문과라도 안 죄송한 이세계로 감 1화</v>
      </c>
      <c r="F2543">
        <v>1</v>
      </c>
      <c r="G2543" t="str">
        <f>T("정수읠")</f>
        <v>정수읠</v>
      </c>
      <c r="J2543" t="str">
        <f>T("매드햇")</f>
        <v>매드햇</v>
      </c>
      <c r="K2543" t="str">
        <f>T("문과라도 안 죄송한 이세계로 감")</f>
        <v>문과라도 안 죄송한 이세계로 감</v>
      </c>
      <c r="L2543">
        <v>0</v>
      </c>
      <c r="M2543">
        <v>0</v>
      </c>
      <c r="N2543">
        <v>0</v>
      </c>
      <c r="O2543">
        <v>6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0</v>
      </c>
      <c r="AI2543">
        <v>0</v>
      </c>
      <c r="AJ2543">
        <v>6</v>
      </c>
      <c r="AK2543">
        <v>0</v>
      </c>
      <c r="AL2543">
        <v>0</v>
      </c>
      <c r="AM2543">
        <v>0</v>
      </c>
      <c r="AN2543">
        <v>0</v>
      </c>
      <c r="AO2543">
        <v>0</v>
      </c>
      <c r="AP2543">
        <v>0</v>
      </c>
      <c r="AQ2543">
        <v>0</v>
      </c>
      <c r="AS2543">
        <v>0</v>
      </c>
      <c r="AT2543">
        <v>0</v>
      </c>
      <c r="AV2543">
        <v>0</v>
      </c>
      <c r="AW2543">
        <v>0</v>
      </c>
      <c r="AY2543">
        <v>0</v>
      </c>
      <c r="AZ2543">
        <v>0</v>
      </c>
      <c r="BA2543">
        <v>0</v>
      </c>
      <c r="BE2543" t="str">
        <f>T("9791162589724")</f>
        <v>9791162589724</v>
      </c>
      <c r="BF2543" t="str">
        <f>T("E448237")</f>
        <v>E448237</v>
      </c>
      <c r="BG2543" t="str">
        <f>T("판타지 웹소설 &gt; 퓨전 판타지")</f>
        <v>판타지 웹소설 &gt; 퓨전 판타지</v>
      </c>
    </row>
    <row r="2544" spans="1:59">
      <c r="A2544" t="s">
        <v>60</v>
      </c>
      <c r="B2544" s="1">
        <v>46129</v>
      </c>
      <c r="C2544">
        <v>2378009513</v>
      </c>
      <c r="D2544">
        <v>2378009514</v>
      </c>
      <c r="E2544" t="str">
        <f>T("문과라도 안 죄송한 이세계로 감 2화")</f>
        <v>문과라도 안 죄송한 이세계로 감 2화</v>
      </c>
      <c r="F2544">
        <v>2</v>
      </c>
      <c r="G2544" t="str">
        <f>T("정수읠")</f>
        <v>정수읠</v>
      </c>
      <c r="J2544" t="str">
        <f>T("매드햇")</f>
        <v>매드햇</v>
      </c>
      <c r="K2544" t="str">
        <f>T("문과라도 안 죄송한 이세계로 감")</f>
        <v>문과라도 안 죄송한 이세계로 감</v>
      </c>
      <c r="L2544">
        <v>0</v>
      </c>
      <c r="M2544">
        <v>0</v>
      </c>
      <c r="N2544">
        <v>0</v>
      </c>
      <c r="O2544">
        <v>5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5</v>
      </c>
      <c r="AK2544">
        <v>0</v>
      </c>
      <c r="AL2544">
        <v>0</v>
      </c>
      <c r="AM2544">
        <v>0</v>
      </c>
      <c r="AN2544">
        <v>0</v>
      </c>
      <c r="AO2544">
        <v>0</v>
      </c>
      <c r="AP2544">
        <v>0</v>
      </c>
      <c r="AQ2544">
        <v>0</v>
      </c>
      <c r="AS2544">
        <v>0</v>
      </c>
      <c r="AT2544">
        <v>0</v>
      </c>
      <c r="AV2544">
        <v>0</v>
      </c>
      <c r="AW2544">
        <v>0</v>
      </c>
      <c r="AY2544">
        <v>0</v>
      </c>
      <c r="AZ2544">
        <v>0</v>
      </c>
      <c r="BA2544">
        <v>0</v>
      </c>
      <c r="BE2544" t="str">
        <f>T("9791162589724")</f>
        <v>9791162589724</v>
      </c>
      <c r="BF2544" t="str">
        <f>T("E448238")</f>
        <v>E448238</v>
      </c>
      <c r="BG2544" t="str">
        <f>T("판타지 웹소설 &gt; 퓨전 판타지")</f>
        <v>판타지 웹소설 &gt; 퓨전 판타지</v>
      </c>
    </row>
    <row r="2545" spans="1:59">
      <c r="A2545" t="s">
        <v>60</v>
      </c>
      <c r="B2545" s="1">
        <v>46129</v>
      </c>
      <c r="C2545">
        <v>2378009513</v>
      </c>
      <c r="D2545">
        <v>2378009515</v>
      </c>
      <c r="E2545" t="str">
        <f>T("문과라도 안 죄송한 이세계로 감 3화")</f>
        <v>문과라도 안 죄송한 이세계로 감 3화</v>
      </c>
      <c r="F2545">
        <v>3</v>
      </c>
      <c r="G2545" t="str">
        <f>T("정수읠")</f>
        <v>정수읠</v>
      </c>
      <c r="J2545" t="str">
        <f>T("매드햇")</f>
        <v>매드햇</v>
      </c>
      <c r="K2545" t="str">
        <f>T("문과라도 안 죄송한 이세계로 감")</f>
        <v>문과라도 안 죄송한 이세계로 감</v>
      </c>
      <c r="L2545">
        <v>0</v>
      </c>
      <c r="M2545">
        <v>0</v>
      </c>
      <c r="N2545">
        <v>0</v>
      </c>
      <c r="O2545">
        <v>4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0</v>
      </c>
      <c r="AH2545">
        <v>0</v>
      </c>
      <c r="AI2545">
        <v>0</v>
      </c>
      <c r="AJ2545">
        <v>4</v>
      </c>
      <c r="AK2545">
        <v>0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S2545">
        <v>0</v>
      </c>
      <c r="AT2545">
        <v>0</v>
      </c>
      <c r="AV2545">
        <v>0</v>
      </c>
      <c r="AW2545">
        <v>0</v>
      </c>
      <c r="AY2545">
        <v>0</v>
      </c>
      <c r="AZ2545">
        <v>0</v>
      </c>
      <c r="BA2545">
        <v>0</v>
      </c>
      <c r="BE2545" t="str">
        <f>T("9791162589724")</f>
        <v>9791162589724</v>
      </c>
      <c r="BF2545" t="str">
        <f>T("E448239")</f>
        <v>E448239</v>
      </c>
      <c r="BG2545" t="str">
        <f>T("판타지 웹소설 &gt; 퓨전 판타지")</f>
        <v>판타지 웹소설 &gt; 퓨전 판타지</v>
      </c>
    </row>
    <row r="2546" spans="1:59">
      <c r="A2546" t="s">
        <v>60</v>
      </c>
      <c r="B2546" s="1">
        <v>46129</v>
      </c>
      <c r="C2546">
        <v>2378009513</v>
      </c>
      <c r="D2546">
        <v>2378009516</v>
      </c>
      <c r="E2546" t="str">
        <f>T("문과라도 안 죄송한 이세계로 감 4화")</f>
        <v>문과라도 안 죄송한 이세계로 감 4화</v>
      </c>
      <c r="F2546">
        <v>4</v>
      </c>
      <c r="G2546" t="str">
        <f>T("정수읠")</f>
        <v>정수읠</v>
      </c>
      <c r="J2546" t="str">
        <f>T("매드햇")</f>
        <v>매드햇</v>
      </c>
      <c r="K2546" t="str">
        <f>T("문과라도 안 죄송한 이세계로 감")</f>
        <v>문과라도 안 죄송한 이세계로 감</v>
      </c>
      <c r="L2546">
        <v>0</v>
      </c>
      <c r="M2546">
        <v>0</v>
      </c>
      <c r="N2546">
        <v>0</v>
      </c>
      <c r="O2546">
        <v>2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2</v>
      </c>
      <c r="AK2546">
        <v>0</v>
      </c>
      <c r="AL2546">
        <v>0</v>
      </c>
      <c r="AM2546">
        <v>0</v>
      </c>
      <c r="AN2546">
        <v>0</v>
      </c>
      <c r="AO2546">
        <v>0</v>
      </c>
      <c r="AP2546">
        <v>0</v>
      </c>
      <c r="AQ2546">
        <v>0</v>
      </c>
      <c r="AS2546">
        <v>0</v>
      </c>
      <c r="AT2546">
        <v>0</v>
      </c>
      <c r="AV2546">
        <v>0</v>
      </c>
      <c r="AW2546">
        <v>0</v>
      </c>
      <c r="AY2546">
        <v>0</v>
      </c>
      <c r="AZ2546">
        <v>0</v>
      </c>
      <c r="BA2546">
        <v>0</v>
      </c>
      <c r="BE2546" t="str">
        <f>T("9791162589724")</f>
        <v>9791162589724</v>
      </c>
      <c r="BF2546" t="str">
        <f>T("E448240")</f>
        <v>E448240</v>
      </c>
      <c r="BG2546" t="str">
        <f>T("판타지 웹소설 &gt; 퓨전 판타지")</f>
        <v>판타지 웹소설 &gt; 퓨전 판타지</v>
      </c>
    </row>
    <row r="2547" spans="1:59">
      <c r="A2547" t="s">
        <v>60</v>
      </c>
      <c r="B2547" s="1">
        <v>46129</v>
      </c>
      <c r="C2547">
        <v>2378009513</v>
      </c>
      <c r="D2547">
        <v>2378009517</v>
      </c>
      <c r="E2547" t="str">
        <f>T("문과라도 안 죄송한 이세계로 감 5화")</f>
        <v>문과라도 안 죄송한 이세계로 감 5화</v>
      </c>
      <c r="F2547">
        <v>5</v>
      </c>
      <c r="G2547" t="str">
        <f>T("정수읠")</f>
        <v>정수읠</v>
      </c>
      <c r="J2547" t="str">
        <f>T("매드햇")</f>
        <v>매드햇</v>
      </c>
      <c r="K2547" t="str">
        <f>T("문과라도 안 죄송한 이세계로 감")</f>
        <v>문과라도 안 죄송한 이세계로 감</v>
      </c>
      <c r="L2547">
        <v>0</v>
      </c>
      <c r="M2547">
        <v>0</v>
      </c>
      <c r="N2547">
        <v>0</v>
      </c>
      <c r="O2547">
        <v>2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2</v>
      </c>
      <c r="AK2547">
        <v>0</v>
      </c>
      <c r="AL2547">
        <v>0</v>
      </c>
      <c r="AM2547">
        <v>0</v>
      </c>
      <c r="AN2547">
        <v>0</v>
      </c>
      <c r="AO2547">
        <v>0</v>
      </c>
      <c r="AP2547">
        <v>0</v>
      </c>
      <c r="AQ2547">
        <v>0</v>
      </c>
      <c r="AS2547">
        <v>0</v>
      </c>
      <c r="AT2547">
        <v>0</v>
      </c>
      <c r="AV2547">
        <v>0</v>
      </c>
      <c r="AW2547">
        <v>0</v>
      </c>
      <c r="AY2547">
        <v>0</v>
      </c>
      <c r="AZ2547">
        <v>0</v>
      </c>
      <c r="BA2547">
        <v>0</v>
      </c>
      <c r="BE2547" t="str">
        <f>T("9791162589724")</f>
        <v>9791162589724</v>
      </c>
      <c r="BF2547" t="str">
        <f>T("E448241")</f>
        <v>E448241</v>
      </c>
      <c r="BG2547" t="str">
        <f>T("판타지 웹소설 &gt; 퓨전 판타지")</f>
        <v>판타지 웹소설 &gt; 퓨전 판타지</v>
      </c>
    </row>
    <row r="2548" spans="1:59">
      <c r="A2548" t="s">
        <v>60</v>
      </c>
      <c r="B2548" s="1">
        <v>46129</v>
      </c>
      <c r="C2548">
        <v>2378009513</v>
      </c>
      <c r="D2548">
        <v>2378009518</v>
      </c>
      <c r="E2548" t="str">
        <f>T("문과라도 안 죄송한 이세계로 감 6화")</f>
        <v>문과라도 안 죄송한 이세계로 감 6화</v>
      </c>
      <c r="F2548">
        <v>6</v>
      </c>
      <c r="G2548" t="str">
        <f>T("정수읠")</f>
        <v>정수읠</v>
      </c>
      <c r="J2548" t="str">
        <f>T("매드햇")</f>
        <v>매드햇</v>
      </c>
      <c r="K2548" t="str">
        <f>T("문과라도 안 죄송한 이세계로 감")</f>
        <v>문과라도 안 죄송한 이세계로 감</v>
      </c>
      <c r="L2548">
        <v>0</v>
      </c>
      <c r="M2548">
        <v>0</v>
      </c>
      <c r="N2548">
        <v>0</v>
      </c>
      <c r="O2548">
        <v>2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0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2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S2548">
        <v>0</v>
      </c>
      <c r="AT2548">
        <v>0</v>
      </c>
      <c r="AV2548">
        <v>0</v>
      </c>
      <c r="AW2548">
        <v>0</v>
      </c>
      <c r="AY2548">
        <v>0</v>
      </c>
      <c r="AZ2548">
        <v>0</v>
      </c>
      <c r="BA2548">
        <v>0</v>
      </c>
      <c r="BE2548" t="str">
        <f>T("9791162589724")</f>
        <v>9791162589724</v>
      </c>
      <c r="BF2548" t="str">
        <f>T("E448242")</f>
        <v>E448242</v>
      </c>
      <c r="BG2548" t="str">
        <f>T("판타지 웹소설 &gt; 퓨전 판타지")</f>
        <v>판타지 웹소설 &gt; 퓨전 판타지</v>
      </c>
    </row>
    <row r="2549" spans="1:59">
      <c r="A2549" t="s">
        <v>60</v>
      </c>
      <c r="B2549" s="1">
        <v>46129</v>
      </c>
      <c r="C2549">
        <v>2378009513</v>
      </c>
      <c r="D2549">
        <v>2378009519</v>
      </c>
      <c r="E2549" t="str">
        <f>T("문과라도 안 죄송한 이세계로 감 7화")</f>
        <v>문과라도 안 죄송한 이세계로 감 7화</v>
      </c>
      <c r="F2549">
        <v>7</v>
      </c>
      <c r="G2549" t="str">
        <f>T("정수읠")</f>
        <v>정수읠</v>
      </c>
      <c r="J2549" t="str">
        <f>T("매드햇")</f>
        <v>매드햇</v>
      </c>
      <c r="K2549" t="str">
        <f>T("문과라도 안 죄송한 이세계로 감")</f>
        <v>문과라도 안 죄송한 이세계로 감</v>
      </c>
      <c r="L2549">
        <v>0</v>
      </c>
      <c r="M2549">
        <v>0</v>
      </c>
      <c r="N2549">
        <v>0</v>
      </c>
      <c r="O2549">
        <v>2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2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S2549">
        <v>0</v>
      </c>
      <c r="AT2549">
        <v>0</v>
      </c>
      <c r="AV2549">
        <v>0</v>
      </c>
      <c r="AW2549">
        <v>0</v>
      </c>
      <c r="AY2549">
        <v>0</v>
      </c>
      <c r="AZ2549">
        <v>0</v>
      </c>
      <c r="BA2549">
        <v>0</v>
      </c>
      <c r="BE2549" t="str">
        <f>T("9791162589724")</f>
        <v>9791162589724</v>
      </c>
      <c r="BF2549" t="str">
        <f>T("E448243")</f>
        <v>E448243</v>
      </c>
      <c r="BG2549" t="str">
        <f>T("판타지 웹소설 &gt; 퓨전 판타지")</f>
        <v>판타지 웹소설 &gt; 퓨전 판타지</v>
      </c>
    </row>
    <row r="2550" spans="1:59">
      <c r="A2550" t="s">
        <v>60</v>
      </c>
      <c r="B2550" s="1">
        <v>46129</v>
      </c>
      <c r="C2550">
        <v>2378009513</v>
      </c>
      <c r="D2550">
        <v>2378009520</v>
      </c>
      <c r="E2550" t="str">
        <f>T("문과라도 안 죄송한 이세계로 감 8화")</f>
        <v>문과라도 안 죄송한 이세계로 감 8화</v>
      </c>
      <c r="F2550">
        <v>8</v>
      </c>
      <c r="G2550" t="str">
        <f>T("정수읠")</f>
        <v>정수읠</v>
      </c>
      <c r="J2550" t="str">
        <f>T("매드햇")</f>
        <v>매드햇</v>
      </c>
      <c r="K2550" t="str">
        <f>T("문과라도 안 죄송한 이세계로 감")</f>
        <v>문과라도 안 죄송한 이세계로 감</v>
      </c>
      <c r="L2550">
        <v>0</v>
      </c>
      <c r="M2550">
        <v>0</v>
      </c>
      <c r="N2550">
        <v>0</v>
      </c>
      <c r="O2550">
        <v>2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2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S2550">
        <v>0</v>
      </c>
      <c r="AT2550">
        <v>0</v>
      </c>
      <c r="AV2550">
        <v>0</v>
      </c>
      <c r="AW2550">
        <v>0</v>
      </c>
      <c r="AY2550">
        <v>0</v>
      </c>
      <c r="AZ2550">
        <v>0</v>
      </c>
      <c r="BA2550">
        <v>0</v>
      </c>
      <c r="BE2550" t="str">
        <f>T("9791162589724")</f>
        <v>9791162589724</v>
      </c>
      <c r="BF2550" t="str">
        <f>T("E448244")</f>
        <v>E448244</v>
      </c>
      <c r="BG2550" t="str">
        <f>T("판타지 웹소설 &gt; 퓨전 판타지")</f>
        <v>판타지 웹소설 &gt; 퓨전 판타지</v>
      </c>
    </row>
    <row r="2551" spans="1:59">
      <c r="A2551" t="s">
        <v>60</v>
      </c>
      <c r="B2551" s="1">
        <v>46129</v>
      </c>
      <c r="C2551">
        <v>2378009513</v>
      </c>
      <c r="D2551">
        <v>2378009521</v>
      </c>
      <c r="E2551" t="str">
        <f>T("문과라도 안 죄송한 이세계로 감 9화")</f>
        <v>문과라도 안 죄송한 이세계로 감 9화</v>
      </c>
      <c r="F2551">
        <v>9</v>
      </c>
      <c r="G2551" t="str">
        <f>T("정수읠")</f>
        <v>정수읠</v>
      </c>
      <c r="J2551" t="str">
        <f>T("매드햇")</f>
        <v>매드햇</v>
      </c>
      <c r="K2551" t="str">
        <f>T("문과라도 안 죄송한 이세계로 감")</f>
        <v>문과라도 안 죄송한 이세계로 감</v>
      </c>
      <c r="L2551">
        <v>0</v>
      </c>
      <c r="M2551">
        <v>0</v>
      </c>
      <c r="N2551">
        <v>0</v>
      </c>
      <c r="O2551">
        <v>3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3</v>
      </c>
      <c r="AK2551">
        <v>0</v>
      </c>
      <c r="AL2551">
        <v>0</v>
      </c>
      <c r="AM2551">
        <v>0</v>
      </c>
      <c r="AN2551">
        <v>0</v>
      </c>
      <c r="AO2551">
        <v>0</v>
      </c>
      <c r="AP2551">
        <v>0</v>
      </c>
      <c r="AQ2551">
        <v>0</v>
      </c>
      <c r="AS2551">
        <v>0</v>
      </c>
      <c r="AT2551">
        <v>0</v>
      </c>
      <c r="AV2551">
        <v>0</v>
      </c>
      <c r="AW2551">
        <v>0</v>
      </c>
      <c r="AY2551">
        <v>0</v>
      </c>
      <c r="AZ2551">
        <v>0</v>
      </c>
      <c r="BA2551">
        <v>0</v>
      </c>
      <c r="BE2551" t="str">
        <f>T("9791162589724")</f>
        <v>9791162589724</v>
      </c>
      <c r="BF2551" t="str">
        <f>T("E448245")</f>
        <v>E448245</v>
      </c>
      <c r="BG2551" t="str">
        <f>T("판타지 웹소설 &gt; 퓨전 판타지")</f>
        <v>판타지 웹소설 &gt; 퓨전 판타지</v>
      </c>
    </row>
    <row r="2552" spans="1:59">
      <c r="A2552" t="s">
        <v>60</v>
      </c>
      <c r="B2552" s="1">
        <v>46129</v>
      </c>
      <c r="C2552">
        <v>2378009513</v>
      </c>
      <c r="D2552">
        <v>2378009522</v>
      </c>
      <c r="E2552" t="str">
        <f>T("문과라도 안 죄송한 이세계로 감 10화")</f>
        <v>문과라도 안 죄송한 이세계로 감 10화</v>
      </c>
      <c r="F2552">
        <v>10</v>
      </c>
      <c r="G2552" t="str">
        <f>T("정수읠")</f>
        <v>정수읠</v>
      </c>
      <c r="J2552" t="str">
        <f>T("매드햇")</f>
        <v>매드햇</v>
      </c>
      <c r="K2552" t="str">
        <f>T("문과라도 안 죄송한 이세계로 감")</f>
        <v>문과라도 안 죄송한 이세계로 감</v>
      </c>
      <c r="L2552">
        <v>0</v>
      </c>
      <c r="M2552">
        <v>0</v>
      </c>
      <c r="N2552">
        <v>0</v>
      </c>
      <c r="O2552">
        <v>3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3</v>
      </c>
      <c r="AK2552">
        <v>0</v>
      </c>
      <c r="AL2552">
        <v>0</v>
      </c>
      <c r="AM2552">
        <v>0</v>
      </c>
      <c r="AN2552">
        <v>0</v>
      </c>
      <c r="AO2552">
        <v>0</v>
      </c>
      <c r="AP2552">
        <v>0</v>
      </c>
      <c r="AQ2552">
        <v>0</v>
      </c>
      <c r="AS2552">
        <v>0</v>
      </c>
      <c r="AT2552">
        <v>0</v>
      </c>
      <c r="AV2552">
        <v>0</v>
      </c>
      <c r="AW2552">
        <v>0</v>
      </c>
      <c r="AY2552">
        <v>0</v>
      </c>
      <c r="AZ2552">
        <v>0</v>
      </c>
      <c r="BA2552">
        <v>0</v>
      </c>
      <c r="BE2552" t="str">
        <f>T("9791162589724")</f>
        <v>9791162589724</v>
      </c>
      <c r="BF2552" t="str">
        <f>T("E448246")</f>
        <v>E448246</v>
      </c>
      <c r="BG2552" t="str">
        <f>T("판타지 웹소설 &gt; 퓨전 판타지")</f>
        <v>판타지 웹소설 &gt; 퓨전 판타지</v>
      </c>
    </row>
    <row r="2553" spans="1:59">
      <c r="A2553" t="s">
        <v>60</v>
      </c>
      <c r="B2553" s="1">
        <v>46129</v>
      </c>
      <c r="C2553">
        <v>2378009513</v>
      </c>
      <c r="D2553">
        <v>2378009523</v>
      </c>
      <c r="E2553" t="str">
        <f>T("문과라도 안 죄송한 이세계로 감 11화")</f>
        <v>문과라도 안 죄송한 이세계로 감 11화</v>
      </c>
      <c r="F2553">
        <v>11</v>
      </c>
      <c r="G2553" t="str">
        <f>T("정수읠")</f>
        <v>정수읠</v>
      </c>
      <c r="J2553" t="str">
        <f>T("매드햇")</f>
        <v>매드햇</v>
      </c>
      <c r="K2553" t="str">
        <f>T("문과라도 안 죄송한 이세계로 감")</f>
        <v>문과라도 안 죄송한 이세계로 감</v>
      </c>
      <c r="L2553">
        <v>0</v>
      </c>
      <c r="M2553">
        <v>0</v>
      </c>
      <c r="N2553">
        <v>0</v>
      </c>
      <c r="O2553">
        <v>4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4</v>
      </c>
      <c r="AK2553">
        <v>0</v>
      </c>
      <c r="AL2553">
        <v>0</v>
      </c>
      <c r="AM2553">
        <v>0</v>
      </c>
      <c r="AN2553">
        <v>0</v>
      </c>
      <c r="AO2553">
        <v>0</v>
      </c>
      <c r="AP2553">
        <v>0</v>
      </c>
      <c r="AQ2553">
        <v>0</v>
      </c>
      <c r="AS2553">
        <v>0</v>
      </c>
      <c r="AT2553">
        <v>0</v>
      </c>
      <c r="AV2553">
        <v>0</v>
      </c>
      <c r="AW2553">
        <v>0</v>
      </c>
      <c r="AY2553">
        <v>0</v>
      </c>
      <c r="AZ2553">
        <v>0</v>
      </c>
      <c r="BA2553">
        <v>0</v>
      </c>
      <c r="BE2553" t="str">
        <f>T("9791162589724")</f>
        <v>9791162589724</v>
      </c>
      <c r="BF2553" t="str">
        <f>T("E448247")</f>
        <v>E448247</v>
      </c>
      <c r="BG2553" t="str">
        <f>T("판타지 웹소설 &gt; 퓨전 판타지")</f>
        <v>판타지 웹소설 &gt; 퓨전 판타지</v>
      </c>
    </row>
    <row r="2554" spans="1:59">
      <c r="A2554" t="s">
        <v>60</v>
      </c>
      <c r="B2554" s="1">
        <v>46129</v>
      </c>
      <c r="C2554">
        <v>2378009513</v>
      </c>
      <c r="D2554">
        <v>2378009524</v>
      </c>
      <c r="E2554" t="str">
        <f>T("문과라도 안 죄송한 이세계로 감 12화")</f>
        <v>문과라도 안 죄송한 이세계로 감 12화</v>
      </c>
      <c r="F2554">
        <v>12</v>
      </c>
      <c r="G2554" t="str">
        <f>T("정수읠")</f>
        <v>정수읠</v>
      </c>
      <c r="J2554" t="str">
        <f>T("매드햇")</f>
        <v>매드햇</v>
      </c>
      <c r="K2554" t="str">
        <f>T("문과라도 안 죄송한 이세계로 감")</f>
        <v>문과라도 안 죄송한 이세계로 감</v>
      </c>
      <c r="L2554">
        <v>0</v>
      </c>
      <c r="M2554">
        <v>0</v>
      </c>
      <c r="N2554">
        <v>0</v>
      </c>
      <c r="O2554">
        <v>4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4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S2554">
        <v>0</v>
      </c>
      <c r="AT2554">
        <v>0</v>
      </c>
      <c r="AV2554">
        <v>0</v>
      </c>
      <c r="AW2554">
        <v>0</v>
      </c>
      <c r="AY2554">
        <v>0</v>
      </c>
      <c r="AZ2554">
        <v>0</v>
      </c>
      <c r="BA2554">
        <v>0</v>
      </c>
      <c r="BE2554" t="str">
        <f>T("9791162589724")</f>
        <v>9791162589724</v>
      </c>
      <c r="BF2554" t="str">
        <f>T("E448248")</f>
        <v>E448248</v>
      </c>
      <c r="BG2554" t="str">
        <f>T("판타지 웹소설 &gt; 퓨전 판타지")</f>
        <v>판타지 웹소설 &gt; 퓨전 판타지</v>
      </c>
    </row>
    <row r="2555" spans="1:59">
      <c r="A2555" t="s">
        <v>60</v>
      </c>
      <c r="B2555" s="1">
        <v>46129</v>
      </c>
      <c r="C2555">
        <v>2378009513</v>
      </c>
      <c r="D2555">
        <v>2378009525</v>
      </c>
      <c r="E2555" t="str">
        <f>T("문과라도 안 죄송한 이세계로 감 13화")</f>
        <v>문과라도 안 죄송한 이세계로 감 13화</v>
      </c>
      <c r="F2555">
        <v>13</v>
      </c>
      <c r="G2555" t="str">
        <f>T("정수읠")</f>
        <v>정수읠</v>
      </c>
      <c r="J2555" t="str">
        <f>T("매드햇")</f>
        <v>매드햇</v>
      </c>
      <c r="K2555" t="str">
        <f>T("문과라도 안 죄송한 이세계로 감")</f>
        <v>문과라도 안 죄송한 이세계로 감</v>
      </c>
      <c r="L2555">
        <v>0</v>
      </c>
      <c r="M2555">
        <v>0</v>
      </c>
      <c r="N2555">
        <v>0</v>
      </c>
      <c r="O2555">
        <v>4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4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0</v>
      </c>
      <c r="AQ2555">
        <v>0</v>
      </c>
      <c r="AS2555">
        <v>0</v>
      </c>
      <c r="AT2555">
        <v>0</v>
      </c>
      <c r="AV2555">
        <v>0</v>
      </c>
      <c r="AW2555">
        <v>0</v>
      </c>
      <c r="AY2555">
        <v>0</v>
      </c>
      <c r="AZ2555">
        <v>0</v>
      </c>
      <c r="BA2555">
        <v>0</v>
      </c>
      <c r="BE2555" t="str">
        <f>T("9791162589724")</f>
        <v>9791162589724</v>
      </c>
      <c r="BF2555" t="str">
        <f>T("E448249")</f>
        <v>E448249</v>
      </c>
      <c r="BG2555" t="str">
        <f>T("판타지 웹소설 &gt; 퓨전 판타지")</f>
        <v>판타지 웹소설 &gt; 퓨전 판타지</v>
      </c>
    </row>
    <row r="2556" spans="1:59">
      <c r="A2556" t="s">
        <v>60</v>
      </c>
      <c r="B2556" s="1">
        <v>46129</v>
      </c>
      <c r="C2556">
        <v>2378009513</v>
      </c>
      <c r="D2556">
        <v>2378009526</v>
      </c>
      <c r="E2556" t="str">
        <f>T("문과라도 안 죄송한 이세계로 감 14화")</f>
        <v>문과라도 안 죄송한 이세계로 감 14화</v>
      </c>
      <c r="F2556">
        <v>14</v>
      </c>
      <c r="G2556" t="str">
        <f>T("정수읠")</f>
        <v>정수읠</v>
      </c>
      <c r="J2556" t="str">
        <f>T("매드햇")</f>
        <v>매드햇</v>
      </c>
      <c r="K2556" t="str">
        <f>T("문과라도 안 죄송한 이세계로 감")</f>
        <v>문과라도 안 죄송한 이세계로 감</v>
      </c>
      <c r="L2556">
        <v>0</v>
      </c>
      <c r="M2556">
        <v>0</v>
      </c>
      <c r="N2556">
        <v>0</v>
      </c>
      <c r="O2556">
        <v>4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4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0</v>
      </c>
      <c r="AQ2556">
        <v>0</v>
      </c>
      <c r="AS2556">
        <v>0</v>
      </c>
      <c r="AT2556">
        <v>0</v>
      </c>
      <c r="AV2556">
        <v>0</v>
      </c>
      <c r="AW2556">
        <v>0</v>
      </c>
      <c r="AY2556">
        <v>0</v>
      </c>
      <c r="AZ2556">
        <v>0</v>
      </c>
      <c r="BA2556">
        <v>0</v>
      </c>
      <c r="BE2556" t="str">
        <f>T("9791162589724")</f>
        <v>9791162589724</v>
      </c>
      <c r="BF2556" t="str">
        <f>T("E448250")</f>
        <v>E448250</v>
      </c>
      <c r="BG2556" t="str">
        <f>T("판타지 웹소설 &gt; 퓨전 판타지")</f>
        <v>판타지 웹소설 &gt; 퓨전 판타지</v>
      </c>
    </row>
    <row r="2557" spans="1:59">
      <c r="A2557" t="s">
        <v>60</v>
      </c>
      <c r="B2557" s="1">
        <v>46129</v>
      </c>
      <c r="C2557">
        <v>2378009513</v>
      </c>
      <c r="D2557">
        <v>2378009527</v>
      </c>
      <c r="E2557" t="str">
        <f>T("문과라도 안 죄송한 이세계로 감 15화")</f>
        <v>문과라도 안 죄송한 이세계로 감 15화</v>
      </c>
      <c r="F2557">
        <v>15</v>
      </c>
      <c r="G2557" t="str">
        <f>T("정수읠")</f>
        <v>정수읠</v>
      </c>
      <c r="J2557" t="str">
        <f>T("매드햇")</f>
        <v>매드햇</v>
      </c>
      <c r="K2557" t="str">
        <f>T("문과라도 안 죄송한 이세계로 감")</f>
        <v>문과라도 안 죄송한 이세계로 감</v>
      </c>
      <c r="L2557">
        <v>0</v>
      </c>
      <c r="M2557">
        <v>0</v>
      </c>
      <c r="N2557">
        <v>0</v>
      </c>
      <c r="O2557">
        <v>2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2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S2557">
        <v>0</v>
      </c>
      <c r="AT2557">
        <v>0</v>
      </c>
      <c r="AV2557">
        <v>0</v>
      </c>
      <c r="AW2557">
        <v>0</v>
      </c>
      <c r="AY2557">
        <v>0</v>
      </c>
      <c r="AZ2557">
        <v>0</v>
      </c>
      <c r="BA2557">
        <v>0</v>
      </c>
      <c r="BE2557" t="str">
        <f>T("9791162589724")</f>
        <v>9791162589724</v>
      </c>
      <c r="BF2557" t="str">
        <f>T("E448251")</f>
        <v>E448251</v>
      </c>
      <c r="BG2557" t="str">
        <f>T("판타지 웹소설 &gt; 퓨전 판타지")</f>
        <v>판타지 웹소설 &gt; 퓨전 판타지</v>
      </c>
    </row>
    <row r="2558" spans="1:59">
      <c r="A2558" t="s">
        <v>60</v>
      </c>
      <c r="B2558" s="1">
        <v>46129</v>
      </c>
      <c r="C2558">
        <v>2378009513</v>
      </c>
      <c r="D2558">
        <v>2378009528</v>
      </c>
      <c r="E2558" t="str">
        <f>T("문과라도 안 죄송한 이세계로 감 16화")</f>
        <v>문과라도 안 죄송한 이세계로 감 16화</v>
      </c>
      <c r="F2558">
        <v>16</v>
      </c>
      <c r="G2558" t="str">
        <f>T("정수읠")</f>
        <v>정수읠</v>
      </c>
      <c r="J2558" t="str">
        <f>T("매드햇")</f>
        <v>매드햇</v>
      </c>
      <c r="K2558" t="str">
        <f>T("문과라도 안 죄송한 이세계로 감")</f>
        <v>문과라도 안 죄송한 이세계로 감</v>
      </c>
      <c r="L2558">
        <v>0</v>
      </c>
      <c r="M2558">
        <v>0</v>
      </c>
      <c r="N2558">
        <v>0</v>
      </c>
      <c r="O2558">
        <v>2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2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S2558">
        <v>0</v>
      </c>
      <c r="AT2558">
        <v>0</v>
      </c>
      <c r="AV2558">
        <v>0</v>
      </c>
      <c r="AW2558">
        <v>0</v>
      </c>
      <c r="AY2558">
        <v>0</v>
      </c>
      <c r="AZ2558">
        <v>0</v>
      </c>
      <c r="BA2558">
        <v>0</v>
      </c>
      <c r="BE2558" t="str">
        <f>T("9791162589724")</f>
        <v>9791162589724</v>
      </c>
      <c r="BF2558" t="str">
        <f>T("E448252")</f>
        <v>E448252</v>
      </c>
      <c r="BG2558" t="str">
        <f>T("판타지 웹소설 &gt; 퓨전 판타지")</f>
        <v>판타지 웹소설 &gt; 퓨전 판타지</v>
      </c>
    </row>
    <row r="2559" spans="1:59">
      <c r="A2559" t="s">
        <v>60</v>
      </c>
      <c r="B2559" s="1">
        <v>46129</v>
      </c>
      <c r="C2559">
        <v>2378009513</v>
      </c>
      <c r="D2559">
        <v>2378009529</v>
      </c>
      <c r="E2559" t="str">
        <f>T("문과라도 안 죄송한 이세계로 감 17화")</f>
        <v>문과라도 안 죄송한 이세계로 감 17화</v>
      </c>
      <c r="F2559">
        <v>17</v>
      </c>
      <c r="G2559" t="str">
        <f>T("정수읠")</f>
        <v>정수읠</v>
      </c>
      <c r="J2559" t="str">
        <f>T("매드햇")</f>
        <v>매드햇</v>
      </c>
      <c r="K2559" t="str">
        <f>T("문과라도 안 죄송한 이세계로 감")</f>
        <v>문과라도 안 죄송한 이세계로 감</v>
      </c>
      <c r="L2559">
        <v>0</v>
      </c>
      <c r="M2559">
        <v>0</v>
      </c>
      <c r="N2559">
        <v>0</v>
      </c>
      <c r="O2559">
        <v>3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3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S2559">
        <v>0</v>
      </c>
      <c r="AT2559">
        <v>0</v>
      </c>
      <c r="AV2559">
        <v>0</v>
      </c>
      <c r="AW2559">
        <v>0</v>
      </c>
      <c r="AY2559">
        <v>0</v>
      </c>
      <c r="AZ2559">
        <v>0</v>
      </c>
      <c r="BA2559">
        <v>0</v>
      </c>
      <c r="BE2559" t="str">
        <f>T("9791162589724")</f>
        <v>9791162589724</v>
      </c>
      <c r="BF2559" t="str">
        <f>T("E448253")</f>
        <v>E448253</v>
      </c>
      <c r="BG2559" t="str">
        <f>T("판타지 웹소설 &gt; 퓨전 판타지")</f>
        <v>판타지 웹소설 &gt; 퓨전 판타지</v>
      </c>
    </row>
    <row r="2560" spans="1:59">
      <c r="A2560" t="s">
        <v>60</v>
      </c>
      <c r="B2560" s="1">
        <v>46129</v>
      </c>
      <c r="C2560">
        <v>2378009513</v>
      </c>
      <c r="D2560">
        <v>2378009530</v>
      </c>
      <c r="E2560" t="str">
        <f>T("문과라도 안 죄송한 이세계로 감 18화")</f>
        <v>문과라도 안 죄송한 이세계로 감 18화</v>
      </c>
      <c r="F2560">
        <v>18</v>
      </c>
      <c r="G2560" t="str">
        <f>T("정수읠")</f>
        <v>정수읠</v>
      </c>
      <c r="J2560" t="str">
        <f>T("매드햇")</f>
        <v>매드햇</v>
      </c>
      <c r="K2560" t="str">
        <f>T("문과라도 안 죄송한 이세계로 감")</f>
        <v>문과라도 안 죄송한 이세계로 감</v>
      </c>
      <c r="L2560">
        <v>0</v>
      </c>
      <c r="M2560">
        <v>0</v>
      </c>
      <c r="N2560">
        <v>0</v>
      </c>
      <c r="O2560">
        <v>3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0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3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S2560">
        <v>0</v>
      </c>
      <c r="AT2560">
        <v>0</v>
      </c>
      <c r="AV2560">
        <v>0</v>
      </c>
      <c r="AW2560">
        <v>0</v>
      </c>
      <c r="AY2560">
        <v>0</v>
      </c>
      <c r="AZ2560">
        <v>0</v>
      </c>
      <c r="BA2560">
        <v>0</v>
      </c>
      <c r="BE2560" t="str">
        <f>T("9791162589724")</f>
        <v>9791162589724</v>
      </c>
      <c r="BF2560" t="str">
        <f>T("E448254")</f>
        <v>E448254</v>
      </c>
      <c r="BG2560" t="str">
        <f>T("판타지 웹소설 &gt; 퓨전 판타지")</f>
        <v>판타지 웹소설 &gt; 퓨전 판타지</v>
      </c>
    </row>
    <row r="2561" spans="1:59">
      <c r="A2561" t="s">
        <v>60</v>
      </c>
      <c r="B2561" s="1">
        <v>46129</v>
      </c>
      <c r="C2561">
        <v>2378009513</v>
      </c>
      <c r="D2561">
        <v>2378009531</v>
      </c>
      <c r="E2561" t="str">
        <f>T("문과라도 안 죄송한 이세계로 감 19화")</f>
        <v>문과라도 안 죄송한 이세계로 감 19화</v>
      </c>
      <c r="F2561">
        <v>19</v>
      </c>
      <c r="G2561" t="str">
        <f>T("정수읠")</f>
        <v>정수읠</v>
      </c>
      <c r="J2561" t="str">
        <f>T("매드햇")</f>
        <v>매드햇</v>
      </c>
      <c r="K2561" t="str">
        <f>T("문과라도 안 죄송한 이세계로 감")</f>
        <v>문과라도 안 죄송한 이세계로 감</v>
      </c>
      <c r="L2561">
        <v>0</v>
      </c>
      <c r="M2561">
        <v>0</v>
      </c>
      <c r="N2561">
        <v>0</v>
      </c>
      <c r="O2561">
        <v>3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0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3</v>
      </c>
      <c r="AK2561">
        <v>0</v>
      </c>
      <c r="AL2561">
        <v>0</v>
      </c>
      <c r="AM2561">
        <v>0</v>
      </c>
      <c r="AN2561">
        <v>0</v>
      </c>
      <c r="AO2561">
        <v>0</v>
      </c>
      <c r="AP2561">
        <v>0</v>
      </c>
      <c r="AQ2561">
        <v>0</v>
      </c>
      <c r="AS2561">
        <v>0</v>
      </c>
      <c r="AT2561">
        <v>0</v>
      </c>
      <c r="AV2561">
        <v>0</v>
      </c>
      <c r="AW2561">
        <v>0</v>
      </c>
      <c r="AY2561">
        <v>0</v>
      </c>
      <c r="AZ2561">
        <v>0</v>
      </c>
      <c r="BA2561">
        <v>0</v>
      </c>
      <c r="BE2561" t="str">
        <f>T("9791162589724")</f>
        <v>9791162589724</v>
      </c>
      <c r="BF2561" t="str">
        <f>T("E448255")</f>
        <v>E448255</v>
      </c>
      <c r="BG2561" t="str">
        <f>T("판타지 웹소설 &gt; 퓨전 판타지")</f>
        <v>판타지 웹소설 &gt; 퓨전 판타지</v>
      </c>
    </row>
    <row r="2562" spans="1:59">
      <c r="A2562" t="s">
        <v>60</v>
      </c>
      <c r="B2562" s="1">
        <v>46129</v>
      </c>
      <c r="C2562">
        <v>2378009513</v>
      </c>
      <c r="D2562">
        <v>2378009532</v>
      </c>
      <c r="E2562" t="str">
        <f>T("문과라도 안 죄송한 이세계로 감 20화")</f>
        <v>문과라도 안 죄송한 이세계로 감 20화</v>
      </c>
      <c r="F2562">
        <v>20</v>
      </c>
      <c r="G2562" t="str">
        <f>T("정수읠")</f>
        <v>정수읠</v>
      </c>
      <c r="J2562" t="str">
        <f>T("매드햇")</f>
        <v>매드햇</v>
      </c>
      <c r="K2562" t="str">
        <f>T("문과라도 안 죄송한 이세계로 감")</f>
        <v>문과라도 안 죄송한 이세계로 감</v>
      </c>
      <c r="L2562">
        <v>0</v>
      </c>
      <c r="M2562">
        <v>0</v>
      </c>
      <c r="N2562">
        <v>0</v>
      </c>
      <c r="O2562">
        <v>3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0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3</v>
      </c>
      <c r="AK2562">
        <v>0</v>
      </c>
      <c r="AL2562">
        <v>0</v>
      </c>
      <c r="AM2562">
        <v>0</v>
      </c>
      <c r="AN2562">
        <v>0</v>
      </c>
      <c r="AO2562">
        <v>0</v>
      </c>
      <c r="AP2562">
        <v>0</v>
      </c>
      <c r="AQ2562">
        <v>0</v>
      </c>
      <c r="AS2562">
        <v>0</v>
      </c>
      <c r="AT2562">
        <v>0</v>
      </c>
      <c r="AV2562">
        <v>0</v>
      </c>
      <c r="AW2562">
        <v>0</v>
      </c>
      <c r="AY2562">
        <v>0</v>
      </c>
      <c r="AZ2562">
        <v>0</v>
      </c>
      <c r="BA2562">
        <v>0</v>
      </c>
      <c r="BE2562" t="str">
        <f>T("9791162589724")</f>
        <v>9791162589724</v>
      </c>
      <c r="BF2562" t="str">
        <f>T("E448256")</f>
        <v>E448256</v>
      </c>
      <c r="BG2562" t="str">
        <f>T("판타지 웹소설 &gt; 퓨전 판타지")</f>
        <v>판타지 웹소설 &gt; 퓨전 판타지</v>
      </c>
    </row>
    <row r="2563" spans="1:59">
      <c r="A2563" t="s">
        <v>60</v>
      </c>
      <c r="B2563" s="1">
        <v>46129</v>
      </c>
      <c r="C2563">
        <v>2378009513</v>
      </c>
      <c r="D2563">
        <v>2378009533</v>
      </c>
      <c r="E2563" t="str">
        <f>T("문과라도 안 죄송한 이세계로 감 21화")</f>
        <v>문과라도 안 죄송한 이세계로 감 21화</v>
      </c>
      <c r="F2563">
        <v>21</v>
      </c>
      <c r="G2563" t="str">
        <f>T("정수읠")</f>
        <v>정수읠</v>
      </c>
      <c r="J2563" t="str">
        <f>T("매드햇")</f>
        <v>매드햇</v>
      </c>
      <c r="K2563" t="str">
        <f>T("문과라도 안 죄송한 이세계로 감")</f>
        <v>문과라도 안 죄송한 이세계로 감</v>
      </c>
      <c r="L2563">
        <v>0</v>
      </c>
      <c r="M2563">
        <v>0</v>
      </c>
      <c r="N2563">
        <v>0</v>
      </c>
      <c r="O2563">
        <v>3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0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3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S2563">
        <v>0</v>
      </c>
      <c r="AT2563">
        <v>0</v>
      </c>
      <c r="AV2563">
        <v>0</v>
      </c>
      <c r="AW2563">
        <v>0</v>
      </c>
      <c r="AY2563">
        <v>0</v>
      </c>
      <c r="AZ2563">
        <v>0</v>
      </c>
      <c r="BA2563">
        <v>0</v>
      </c>
      <c r="BE2563" t="str">
        <f>T("9791162589724")</f>
        <v>9791162589724</v>
      </c>
      <c r="BF2563" t="str">
        <f>T("E448257")</f>
        <v>E448257</v>
      </c>
      <c r="BG2563" t="str">
        <f>T("판타지 웹소설 &gt; 퓨전 판타지")</f>
        <v>판타지 웹소설 &gt; 퓨전 판타지</v>
      </c>
    </row>
    <row r="2564" spans="1:59">
      <c r="A2564" t="s">
        <v>60</v>
      </c>
      <c r="B2564" s="1">
        <v>46129</v>
      </c>
      <c r="C2564">
        <v>2378009513</v>
      </c>
      <c r="D2564">
        <v>2378009534</v>
      </c>
      <c r="E2564" t="str">
        <f>T("문과라도 안 죄송한 이세계로 감 22화")</f>
        <v>문과라도 안 죄송한 이세계로 감 22화</v>
      </c>
      <c r="F2564">
        <v>22</v>
      </c>
      <c r="G2564" t="str">
        <f>T("정수읠")</f>
        <v>정수읠</v>
      </c>
      <c r="J2564" t="str">
        <f>T("매드햇")</f>
        <v>매드햇</v>
      </c>
      <c r="K2564" t="str">
        <f>T("문과라도 안 죄송한 이세계로 감")</f>
        <v>문과라도 안 죄송한 이세계로 감</v>
      </c>
      <c r="L2564">
        <v>0</v>
      </c>
      <c r="M2564">
        <v>0</v>
      </c>
      <c r="N2564">
        <v>0</v>
      </c>
      <c r="O2564">
        <v>3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0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3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S2564">
        <v>0</v>
      </c>
      <c r="AT2564">
        <v>0</v>
      </c>
      <c r="AV2564">
        <v>0</v>
      </c>
      <c r="AW2564">
        <v>0</v>
      </c>
      <c r="AY2564">
        <v>0</v>
      </c>
      <c r="AZ2564">
        <v>0</v>
      </c>
      <c r="BA2564">
        <v>0</v>
      </c>
      <c r="BE2564" t="str">
        <f>T("9791162589724")</f>
        <v>9791162589724</v>
      </c>
      <c r="BF2564" t="str">
        <f>T("E448258")</f>
        <v>E448258</v>
      </c>
      <c r="BG2564" t="str">
        <f>T("판타지 웹소설 &gt; 퓨전 판타지")</f>
        <v>판타지 웹소설 &gt; 퓨전 판타지</v>
      </c>
    </row>
    <row r="2565" spans="1:59">
      <c r="A2565" t="s">
        <v>60</v>
      </c>
      <c r="B2565" s="1">
        <v>46129</v>
      </c>
      <c r="C2565">
        <v>2378009513</v>
      </c>
      <c r="D2565">
        <v>2378009535</v>
      </c>
      <c r="E2565" t="str">
        <f>T("문과라도 안 죄송한 이세계로 감 23화")</f>
        <v>문과라도 안 죄송한 이세계로 감 23화</v>
      </c>
      <c r="F2565">
        <v>23</v>
      </c>
      <c r="G2565" t="str">
        <f>T("정수읠")</f>
        <v>정수읠</v>
      </c>
      <c r="J2565" t="str">
        <f>T("매드햇")</f>
        <v>매드햇</v>
      </c>
      <c r="K2565" t="str">
        <f>T("문과라도 안 죄송한 이세계로 감")</f>
        <v>문과라도 안 죄송한 이세계로 감</v>
      </c>
      <c r="L2565">
        <v>0</v>
      </c>
      <c r="M2565">
        <v>0</v>
      </c>
      <c r="N2565">
        <v>0</v>
      </c>
      <c r="O2565">
        <v>2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0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2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S2565">
        <v>0</v>
      </c>
      <c r="AT2565">
        <v>0</v>
      </c>
      <c r="AV2565">
        <v>0</v>
      </c>
      <c r="AW2565">
        <v>0</v>
      </c>
      <c r="AY2565">
        <v>0</v>
      </c>
      <c r="AZ2565">
        <v>0</v>
      </c>
      <c r="BA2565">
        <v>0</v>
      </c>
      <c r="BE2565" t="str">
        <f>T("9791162589724")</f>
        <v>9791162589724</v>
      </c>
      <c r="BF2565" t="str">
        <f>T("E448259")</f>
        <v>E448259</v>
      </c>
      <c r="BG2565" t="str">
        <f>T("판타지 웹소설 &gt; 퓨전 판타지")</f>
        <v>판타지 웹소설 &gt; 퓨전 판타지</v>
      </c>
    </row>
    <row r="2566" spans="1:59">
      <c r="A2566" t="s">
        <v>60</v>
      </c>
      <c r="B2566" s="1">
        <v>46129</v>
      </c>
      <c r="C2566">
        <v>2378009513</v>
      </c>
      <c r="D2566">
        <v>2378009536</v>
      </c>
      <c r="E2566" t="str">
        <f>T("문과라도 안 죄송한 이세계로 감 24화")</f>
        <v>문과라도 안 죄송한 이세계로 감 24화</v>
      </c>
      <c r="F2566">
        <v>24</v>
      </c>
      <c r="G2566" t="str">
        <f>T("정수읠")</f>
        <v>정수읠</v>
      </c>
      <c r="J2566" t="str">
        <f>T("매드햇")</f>
        <v>매드햇</v>
      </c>
      <c r="K2566" t="str">
        <f>T("문과라도 안 죄송한 이세계로 감")</f>
        <v>문과라도 안 죄송한 이세계로 감</v>
      </c>
      <c r="L2566">
        <v>0</v>
      </c>
      <c r="M2566">
        <v>0</v>
      </c>
      <c r="N2566">
        <v>0</v>
      </c>
      <c r="O2566">
        <v>2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0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2</v>
      </c>
      <c r="AK2566">
        <v>0</v>
      </c>
      <c r="AL2566">
        <v>0</v>
      </c>
      <c r="AM2566">
        <v>0</v>
      </c>
      <c r="AN2566">
        <v>0</v>
      </c>
      <c r="AO2566">
        <v>0</v>
      </c>
      <c r="AP2566">
        <v>0</v>
      </c>
      <c r="AQ2566">
        <v>0</v>
      </c>
      <c r="AS2566">
        <v>0</v>
      </c>
      <c r="AT2566">
        <v>0</v>
      </c>
      <c r="AV2566">
        <v>0</v>
      </c>
      <c r="AW2566">
        <v>0</v>
      </c>
      <c r="AY2566">
        <v>0</v>
      </c>
      <c r="AZ2566">
        <v>0</v>
      </c>
      <c r="BA2566">
        <v>0</v>
      </c>
      <c r="BE2566" t="str">
        <f>T("9791162589724")</f>
        <v>9791162589724</v>
      </c>
      <c r="BF2566" t="str">
        <f>T("E448260")</f>
        <v>E448260</v>
      </c>
      <c r="BG2566" t="str">
        <f>T("판타지 웹소설 &gt; 퓨전 판타지")</f>
        <v>판타지 웹소설 &gt; 퓨전 판타지</v>
      </c>
    </row>
    <row r="2567" spans="1:59">
      <c r="A2567" t="s">
        <v>60</v>
      </c>
      <c r="B2567" s="1">
        <v>46129</v>
      </c>
      <c r="C2567">
        <v>2378009513</v>
      </c>
      <c r="D2567">
        <v>2378009537</v>
      </c>
      <c r="E2567" t="str">
        <f>T("문과라도 안 죄송한 이세계로 감 25화")</f>
        <v>문과라도 안 죄송한 이세계로 감 25화</v>
      </c>
      <c r="F2567">
        <v>25</v>
      </c>
      <c r="G2567" t="str">
        <f>T("정수읠")</f>
        <v>정수읠</v>
      </c>
      <c r="J2567" t="str">
        <f>T("매드햇")</f>
        <v>매드햇</v>
      </c>
      <c r="K2567" t="str">
        <f>T("문과라도 안 죄송한 이세계로 감")</f>
        <v>문과라도 안 죄송한 이세계로 감</v>
      </c>
      <c r="L2567">
        <v>0</v>
      </c>
      <c r="M2567">
        <v>0</v>
      </c>
      <c r="N2567">
        <v>0</v>
      </c>
      <c r="O2567">
        <v>2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0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2</v>
      </c>
      <c r="AK2567">
        <v>0</v>
      </c>
      <c r="AL2567">
        <v>0</v>
      </c>
      <c r="AM2567">
        <v>0</v>
      </c>
      <c r="AN2567">
        <v>0</v>
      </c>
      <c r="AO2567">
        <v>0</v>
      </c>
      <c r="AP2567">
        <v>0</v>
      </c>
      <c r="AQ2567">
        <v>0</v>
      </c>
      <c r="AS2567">
        <v>0</v>
      </c>
      <c r="AT2567">
        <v>0</v>
      </c>
      <c r="AV2567">
        <v>0</v>
      </c>
      <c r="AW2567">
        <v>0</v>
      </c>
      <c r="AY2567">
        <v>0</v>
      </c>
      <c r="AZ2567">
        <v>0</v>
      </c>
      <c r="BA2567">
        <v>0</v>
      </c>
      <c r="BE2567" t="str">
        <f>T("9791162589724")</f>
        <v>9791162589724</v>
      </c>
      <c r="BF2567" t="str">
        <f>T("E448261")</f>
        <v>E448261</v>
      </c>
      <c r="BG2567" t="str">
        <f>T("판타지 웹소설 &gt; 퓨전 판타지")</f>
        <v>판타지 웹소설 &gt; 퓨전 판타지</v>
      </c>
    </row>
    <row r="2568" spans="1:59">
      <c r="A2568" t="s">
        <v>60</v>
      </c>
      <c r="B2568" s="1">
        <v>46129</v>
      </c>
      <c r="C2568">
        <v>2378009513</v>
      </c>
      <c r="D2568">
        <v>2378009538</v>
      </c>
      <c r="E2568" t="str">
        <f>T("문과라도 안 죄송한 이세계로 감 26화")</f>
        <v>문과라도 안 죄송한 이세계로 감 26화</v>
      </c>
      <c r="F2568">
        <v>26</v>
      </c>
      <c r="G2568" t="str">
        <f>T("정수읠")</f>
        <v>정수읠</v>
      </c>
      <c r="J2568" t="str">
        <f>T("매드햇")</f>
        <v>매드햇</v>
      </c>
      <c r="K2568" t="str">
        <f>T("문과라도 안 죄송한 이세계로 감")</f>
        <v>문과라도 안 죄송한 이세계로 감</v>
      </c>
      <c r="L2568">
        <v>0</v>
      </c>
      <c r="M2568">
        <v>0</v>
      </c>
      <c r="N2568">
        <v>0</v>
      </c>
      <c r="O2568">
        <v>2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0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2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S2568">
        <v>0</v>
      </c>
      <c r="AT2568">
        <v>0</v>
      </c>
      <c r="AV2568">
        <v>0</v>
      </c>
      <c r="AW2568">
        <v>0</v>
      </c>
      <c r="AY2568">
        <v>0</v>
      </c>
      <c r="AZ2568">
        <v>0</v>
      </c>
      <c r="BA2568">
        <v>0</v>
      </c>
      <c r="BE2568" t="str">
        <f>T("9791162589724")</f>
        <v>9791162589724</v>
      </c>
      <c r="BF2568" t="str">
        <f>T("E448262")</f>
        <v>E448262</v>
      </c>
      <c r="BG2568" t="str">
        <f>T("판타지 웹소설 &gt; 퓨전 판타지")</f>
        <v>판타지 웹소설 &gt; 퓨전 판타지</v>
      </c>
    </row>
    <row r="2569" spans="1:59">
      <c r="A2569" t="s">
        <v>60</v>
      </c>
      <c r="B2569" s="1">
        <v>46129</v>
      </c>
      <c r="C2569">
        <v>2378009513</v>
      </c>
      <c r="D2569">
        <v>2378009539</v>
      </c>
      <c r="E2569" t="str">
        <f>T("문과라도 안 죄송한 이세계로 감 27화")</f>
        <v>문과라도 안 죄송한 이세계로 감 27화</v>
      </c>
      <c r="F2569">
        <v>27</v>
      </c>
      <c r="G2569" t="str">
        <f>T("정수읠")</f>
        <v>정수읠</v>
      </c>
      <c r="J2569" t="str">
        <f>T("매드햇")</f>
        <v>매드햇</v>
      </c>
      <c r="K2569" t="str">
        <f>T("문과라도 안 죄송한 이세계로 감")</f>
        <v>문과라도 안 죄송한 이세계로 감</v>
      </c>
      <c r="L2569">
        <v>100</v>
      </c>
      <c r="M2569">
        <v>100</v>
      </c>
      <c r="N2569">
        <v>1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0</v>
      </c>
      <c r="AE2569">
        <v>0</v>
      </c>
      <c r="AF2569">
        <v>0</v>
      </c>
      <c r="AG2569">
        <v>0</v>
      </c>
      <c r="AH2569">
        <v>0</v>
      </c>
      <c r="AI2569">
        <v>100</v>
      </c>
      <c r="AJ2569">
        <v>1</v>
      </c>
      <c r="AK2569">
        <v>0</v>
      </c>
      <c r="AL2569">
        <v>0</v>
      </c>
      <c r="AM2569">
        <v>100</v>
      </c>
      <c r="AN2569">
        <v>0</v>
      </c>
      <c r="AO2569">
        <v>0</v>
      </c>
      <c r="AP2569">
        <v>0</v>
      </c>
      <c r="AQ2569">
        <v>0</v>
      </c>
      <c r="AS2569">
        <v>0</v>
      </c>
      <c r="AT2569">
        <v>0</v>
      </c>
      <c r="AV2569">
        <v>0</v>
      </c>
      <c r="AW2569">
        <v>0</v>
      </c>
      <c r="AY2569">
        <v>0</v>
      </c>
      <c r="AZ2569">
        <v>0</v>
      </c>
      <c r="BA2569">
        <v>70</v>
      </c>
      <c r="BE2569" t="str">
        <f>T("9791162589724")</f>
        <v>9791162589724</v>
      </c>
      <c r="BF2569" t="str">
        <f>T("E448263")</f>
        <v>E448263</v>
      </c>
      <c r="BG2569" t="str">
        <f>T("판타지 웹소설 &gt; 퓨전 판타지")</f>
        <v>판타지 웹소설 &gt; 퓨전 판타지</v>
      </c>
    </row>
    <row r="2570" spans="1:59">
      <c r="A2570" t="s">
        <v>60</v>
      </c>
      <c r="B2570" s="1">
        <v>46129</v>
      </c>
      <c r="C2570">
        <v>2378009513</v>
      </c>
      <c r="D2570">
        <v>2378009540</v>
      </c>
      <c r="E2570" t="str">
        <f>T("문과라도 안 죄송한 이세계로 감 28화")</f>
        <v>문과라도 안 죄송한 이세계로 감 28화</v>
      </c>
      <c r="F2570">
        <v>28</v>
      </c>
      <c r="G2570" t="str">
        <f>T("정수읠")</f>
        <v>정수읠</v>
      </c>
      <c r="J2570" t="str">
        <f>T("매드햇")</f>
        <v>매드햇</v>
      </c>
      <c r="K2570" t="str">
        <f>T("문과라도 안 죄송한 이세계로 감")</f>
        <v>문과라도 안 죄송한 이세계로 감</v>
      </c>
      <c r="L2570">
        <v>100</v>
      </c>
      <c r="M2570">
        <v>100</v>
      </c>
      <c r="N2570">
        <v>1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0</v>
      </c>
      <c r="AE2570">
        <v>0</v>
      </c>
      <c r="AF2570">
        <v>0</v>
      </c>
      <c r="AG2570">
        <v>0</v>
      </c>
      <c r="AH2570">
        <v>0</v>
      </c>
      <c r="AI2570">
        <v>100</v>
      </c>
      <c r="AJ2570">
        <v>1</v>
      </c>
      <c r="AK2570">
        <v>0</v>
      </c>
      <c r="AL2570">
        <v>0</v>
      </c>
      <c r="AM2570">
        <v>100</v>
      </c>
      <c r="AN2570">
        <v>0</v>
      </c>
      <c r="AO2570">
        <v>0</v>
      </c>
      <c r="AP2570">
        <v>0</v>
      </c>
      <c r="AQ2570">
        <v>0</v>
      </c>
      <c r="AS2570">
        <v>0</v>
      </c>
      <c r="AT2570">
        <v>0</v>
      </c>
      <c r="AV2570">
        <v>0</v>
      </c>
      <c r="AW2570">
        <v>0</v>
      </c>
      <c r="AY2570">
        <v>0</v>
      </c>
      <c r="AZ2570">
        <v>0</v>
      </c>
      <c r="BA2570">
        <v>70</v>
      </c>
      <c r="BE2570" t="str">
        <f>T("9791162589724")</f>
        <v>9791162589724</v>
      </c>
      <c r="BF2570" t="str">
        <f>T("E448264")</f>
        <v>E448264</v>
      </c>
      <c r="BG2570" t="str">
        <f>T("판타지 웹소설 &gt; 퓨전 판타지")</f>
        <v>판타지 웹소설 &gt; 퓨전 판타지</v>
      </c>
    </row>
    <row r="2571" spans="1:59">
      <c r="A2571" t="s">
        <v>60</v>
      </c>
      <c r="B2571" s="1">
        <v>46129</v>
      </c>
      <c r="C2571">
        <v>2378009513</v>
      </c>
      <c r="D2571">
        <v>2378009541</v>
      </c>
      <c r="E2571" t="str">
        <f>T("문과라도 안 죄송한 이세계로 감 29화")</f>
        <v>문과라도 안 죄송한 이세계로 감 29화</v>
      </c>
      <c r="F2571">
        <v>29</v>
      </c>
      <c r="G2571" t="str">
        <f>T("정수읠")</f>
        <v>정수읠</v>
      </c>
      <c r="J2571" t="str">
        <f>T("매드햇")</f>
        <v>매드햇</v>
      </c>
      <c r="K2571" t="str">
        <f>T("문과라도 안 죄송한 이세계로 감")</f>
        <v>문과라도 안 죄송한 이세계로 감</v>
      </c>
      <c r="L2571">
        <v>100</v>
      </c>
      <c r="M2571">
        <v>200</v>
      </c>
      <c r="N2571">
        <v>2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0</v>
      </c>
      <c r="AE2571">
        <v>0</v>
      </c>
      <c r="AF2571">
        <v>0</v>
      </c>
      <c r="AG2571">
        <v>0</v>
      </c>
      <c r="AH2571">
        <v>0</v>
      </c>
      <c r="AI2571">
        <v>200</v>
      </c>
      <c r="AJ2571">
        <v>2</v>
      </c>
      <c r="AK2571">
        <v>0</v>
      </c>
      <c r="AL2571">
        <v>0</v>
      </c>
      <c r="AM2571">
        <v>200</v>
      </c>
      <c r="AN2571">
        <v>0</v>
      </c>
      <c r="AO2571">
        <v>0</v>
      </c>
      <c r="AP2571">
        <v>0</v>
      </c>
      <c r="AQ2571">
        <v>0</v>
      </c>
      <c r="AS2571">
        <v>0</v>
      </c>
      <c r="AT2571">
        <v>0</v>
      </c>
      <c r="AV2571">
        <v>0</v>
      </c>
      <c r="AW2571">
        <v>0</v>
      </c>
      <c r="AY2571">
        <v>0</v>
      </c>
      <c r="AZ2571">
        <v>0</v>
      </c>
      <c r="BA2571">
        <v>140</v>
      </c>
      <c r="BE2571" t="str">
        <f>T("9791162589724")</f>
        <v>9791162589724</v>
      </c>
      <c r="BF2571" t="str">
        <f>T("E448265")</f>
        <v>E448265</v>
      </c>
      <c r="BG2571" t="str">
        <f>T("판타지 웹소설 &gt; 퓨전 판타지")</f>
        <v>판타지 웹소설 &gt; 퓨전 판타지</v>
      </c>
    </row>
    <row r="2572" spans="1:59">
      <c r="A2572" t="s">
        <v>60</v>
      </c>
      <c r="B2572" s="1">
        <v>46129</v>
      </c>
      <c r="C2572">
        <v>2378009513</v>
      </c>
      <c r="D2572">
        <v>2378009542</v>
      </c>
      <c r="E2572" t="str">
        <f>T("문과라도 안 죄송한 이세계로 감 30화")</f>
        <v>문과라도 안 죄송한 이세계로 감 30화</v>
      </c>
      <c r="F2572">
        <v>30</v>
      </c>
      <c r="G2572" t="str">
        <f>T("정수읠")</f>
        <v>정수읠</v>
      </c>
      <c r="J2572" t="str">
        <f>T("매드햇")</f>
        <v>매드햇</v>
      </c>
      <c r="K2572" t="str">
        <f>T("문과라도 안 죄송한 이세계로 감")</f>
        <v>문과라도 안 죄송한 이세계로 감</v>
      </c>
      <c r="L2572">
        <v>100</v>
      </c>
      <c r="M2572">
        <v>100</v>
      </c>
      <c r="N2572">
        <v>1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0</v>
      </c>
      <c r="AE2572">
        <v>0</v>
      </c>
      <c r="AF2572">
        <v>0</v>
      </c>
      <c r="AG2572">
        <v>0</v>
      </c>
      <c r="AH2572">
        <v>0</v>
      </c>
      <c r="AI2572">
        <v>100</v>
      </c>
      <c r="AJ2572">
        <v>1</v>
      </c>
      <c r="AK2572">
        <v>0</v>
      </c>
      <c r="AL2572">
        <v>0</v>
      </c>
      <c r="AM2572">
        <v>100</v>
      </c>
      <c r="AN2572">
        <v>0</v>
      </c>
      <c r="AO2572">
        <v>0</v>
      </c>
      <c r="AP2572">
        <v>0</v>
      </c>
      <c r="AQ2572">
        <v>0</v>
      </c>
      <c r="AS2572">
        <v>0</v>
      </c>
      <c r="AT2572">
        <v>0</v>
      </c>
      <c r="AV2572">
        <v>0</v>
      </c>
      <c r="AW2572">
        <v>0</v>
      </c>
      <c r="AY2572">
        <v>0</v>
      </c>
      <c r="AZ2572">
        <v>0</v>
      </c>
      <c r="BA2572">
        <v>70</v>
      </c>
      <c r="BE2572" t="str">
        <f>T("9791162589724")</f>
        <v>9791162589724</v>
      </c>
      <c r="BF2572" t="str">
        <f>T("E448266")</f>
        <v>E448266</v>
      </c>
      <c r="BG2572" t="str">
        <f>T("판타지 웹소설 &gt; 퓨전 판타지")</f>
        <v>판타지 웹소설 &gt; 퓨전 판타지</v>
      </c>
    </row>
    <row r="2573" spans="1:59">
      <c r="A2573" t="s">
        <v>60</v>
      </c>
      <c r="B2573" s="1">
        <v>46129</v>
      </c>
      <c r="C2573">
        <v>2378009513</v>
      </c>
      <c r="D2573">
        <v>2378009543</v>
      </c>
      <c r="E2573" t="str">
        <f>T("문과라도 안 죄송한 이세계로 감 31화")</f>
        <v>문과라도 안 죄송한 이세계로 감 31화</v>
      </c>
      <c r="F2573">
        <v>31</v>
      </c>
      <c r="G2573" t="str">
        <f>T("정수읠")</f>
        <v>정수읠</v>
      </c>
      <c r="J2573" t="str">
        <f>T("매드햇")</f>
        <v>매드햇</v>
      </c>
      <c r="K2573" t="str">
        <f>T("문과라도 안 죄송한 이세계로 감")</f>
        <v>문과라도 안 죄송한 이세계로 감</v>
      </c>
      <c r="L2573">
        <v>100</v>
      </c>
      <c r="M2573">
        <v>100</v>
      </c>
      <c r="N2573">
        <v>1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0</v>
      </c>
      <c r="AE2573">
        <v>0</v>
      </c>
      <c r="AF2573">
        <v>0</v>
      </c>
      <c r="AG2573">
        <v>0</v>
      </c>
      <c r="AH2573">
        <v>0</v>
      </c>
      <c r="AI2573">
        <v>100</v>
      </c>
      <c r="AJ2573">
        <v>1</v>
      </c>
      <c r="AK2573">
        <v>0</v>
      </c>
      <c r="AL2573">
        <v>0</v>
      </c>
      <c r="AM2573">
        <v>100</v>
      </c>
      <c r="AN2573">
        <v>0</v>
      </c>
      <c r="AO2573">
        <v>0</v>
      </c>
      <c r="AP2573">
        <v>0</v>
      </c>
      <c r="AQ2573">
        <v>0</v>
      </c>
      <c r="AS2573">
        <v>0</v>
      </c>
      <c r="AT2573">
        <v>0</v>
      </c>
      <c r="AV2573">
        <v>0</v>
      </c>
      <c r="AW2573">
        <v>0</v>
      </c>
      <c r="AY2573">
        <v>0</v>
      </c>
      <c r="AZ2573">
        <v>0</v>
      </c>
      <c r="BA2573">
        <v>70</v>
      </c>
      <c r="BE2573" t="str">
        <f>T("9791162589724")</f>
        <v>9791162589724</v>
      </c>
      <c r="BF2573" t="str">
        <f>T("E448267")</f>
        <v>E448267</v>
      </c>
      <c r="BG2573" t="str">
        <f>T("판타지 웹소설 &gt; 퓨전 판타지")</f>
        <v>판타지 웹소설 &gt; 퓨전 판타지</v>
      </c>
    </row>
    <row r="2574" spans="1:59">
      <c r="A2574" t="s">
        <v>60</v>
      </c>
      <c r="B2574" s="1">
        <v>46129</v>
      </c>
      <c r="C2574">
        <v>2378009513</v>
      </c>
      <c r="D2574">
        <v>2378009544</v>
      </c>
      <c r="E2574" t="str">
        <f>T("문과라도 안 죄송한 이세계로 감 32화")</f>
        <v>문과라도 안 죄송한 이세계로 감 32화</v>
      </c>
      <c r="F2574">
        <v>32</v>
      </c>
      <c r="G2574" t="str">
        <f>T("정수읠")</f>
        <v>정수읠</v>
      </c>
      <c r="J2574" t="str">
        <f>T("매드햇")</f>
        <v>매드햇</v>
      </c>
      <c r="K2574" t="str">
        <f>T("문과라도 안 죄송한 이세계로 감")</f>
        <v>문과라도 안 죄송한 이세계로 감</v>
      </c>
      <c r="L2574">
        <v>100</v>
      </c>
      <c r="M2574">
        <v>100</v>
      </c>
      <c r="N2574">
        <v>1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0</v>
      </c>
      <c r="AE2574">
        <v>0</v>
      </c>
      <c r="AF2574">
        <v>0</v>
      </c>
      <c r="AG2574">
        <v>0</v>
      </c>
      <c r="AH2574">
        <v>0</v>
      </c>
      <c r="AI2574">
        <v>100</v>
      </c>
      <c r="AJ2574">
        <v>1</v>
      </c>
      <c r="AK2574">
        <v>0</v>
      </c>
      <c r="AL2574">
        <v>0</v>
      </c>
      <c r="AM2574">
        <v>100</v>
      </c>
      <c r="AN2574">
        <v>0</v>
      </c>
      <c r="AO2574">
        <v>0</v>
      </c>
      <c r="AP2574">
        <v>0</v>
      </c>
      <c r="AQ2574">
        <v>0</v>
      </c>
      <c r="AS2574">
        <v>0</v>
      </c>
      <c r="AT2574">
        <v>0</v>
      </c>
      <c r="AV2574">
        <v>0</v>
      </c>
      <c r="AW2574">
        <v>0</v>
      </c>
      <c r="AY2574">
        <v>0</v>
      </c>
      <c r="AZ2574">
        <v>0</v>
      </c>
      <c r="BA2574">
        <v>70</v>
      </c>
      <c r="BE2574" t="str">
        <f>T("9791162589724")</f>
        <v>9791162589724</v>
      </c>
      <c r="BF2574" t="str">
        <f>T("E448268")</f>
        <v>E448268</v>
      </c>
      <c r="BG2574" t="str">
        <f>T("판타지 웹소설 &gt; 퓨전 판타지")</f>
        <v>판타지 웹소설 &gt; 퓨전 판타지</v>
      </c>
    </row>
    <row r="2575" spans="1:59">
      <c r="A2575" t="s">
        <v>60</v>
      </c>
      <c r="B2575" s="1">
        <v>46129</v>
      </c>
      <c r="C2575">
        <v>2378009513</v>
      </c>
      <c r="D2575">
        <v>2378009545</v>
      </c>
      <c r="E2575" t="str">
        <f>T("문과라도 안 죄송한 이세계로 감 33화")</f>
        <v>문과라도 안 죄송한 이세계로 감 33화</v>
      </c>
      <c r="F2575">
        <v>33</v>
      </c>
      <c r="G2575" t="str">
        <f>T("정수읠")</f>
        <v>정수읠</v>
      </c>
      <c r="J2575" t="str">
        <f>T("매드햇")</f>
        <v>매드햇</v>
      </c>
      <c r="K2575" t="str">
        <f>T("문과라도 안 죄송한 이세계로 감")</f>
        <v>문과라도 안 죄송한 이세계로 감</v>
      </c>
      <c r="L2575">
        <v>100</v>
      </c>
      <c r="M2575">
        <v>100</v>
      </c>
      <c r="N2575">
        <v>1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0</v>
      </c>
      <c r="AE2575">
        <v>0</v>
      </c>
      <c r="AF2575">
        <v>0</v>
      </c>
      <c r="AG2575">
        <v>0</v>
      </c>
      <c r="AH2575">
        <v>0</v>
      </c>
      <c r="AI2575">
        <v>100</v>
      </c>
      <c r="AJ2575">
        <v>1</v>
      </c>
      <c r="AK2575">
        <v>0</v>
      </c>
      <c r="AL2575">
        <v>0</v>
      </c>
      <c r="AM2575">
        <v>100</v>
      </c>
      <c r="AN2575">
        <v>0</v>
      </c>
      <c r="AO2575">
        <v>0</v>
      </c>
      <c r="AP2575">
        <v>0</v>
      </c>
      <c r="AQ2575">
        <v>0</v>
      </c>
      <c r="AS2575">
        <v>0</v>
      </c>
      <c r="AT2575">
        <v>0</v>
      </c>
      <c r="AV2575">
        <v>0</v>
      </c>
      <c r="AW2575">
        <v>0</v>
      </c>
      <c r="AY2575">
        <v>0</v>
      </c>
      <c r="AZ2575">
        <v>0</v>
      </c>
      <c r="BA2575">
        <v>70</v>
      </c>
      <c r="BE2575" t="str">
        <f>T("9791162589724")</f>
        <v>9791162589724</v>
      </c>
      <c r="BF2575" t="str">
        <f>T("E448269")</f>
        <v>E448269</v>
      </c>
      <c r="BG2575" t="str">
        <f>T("판타지 웹소설 &gt; 퓨전 판타지")</f>
        <v>판타지 웹소설 &gt; 퓨전 판타지</v>
      </c>
    </row>
    <row r="2576" spans="1:59">
      <c r="A2576" t="s">
        <v>60</v>
      </c>
      <c r="B2576" s="1">
        <v>46129</v>
      </c>
      <c r="C2576">
        <v>2378009513</v>
      </c>
      <c r="D2576">
        <v>2378009546</v>
      </c>
      <c r="E2576" t="str">
        <f>T("문과라도 안 죄송한 이세계로 감 34화")</f>
        <v>문과라도 안 죄송한 이세계로 감 34화</v>
      </c>
      <c r="F2576">
        <v>34</v>
      </c>
      <c r="G2576" t="str">
        <f>T("정수읠")</f>
        <v>정수읠</v>
      </c>
      <c r="J2576" t="str">
        <f>T("매드햇")</f>
        <v>매드햇</v>
      </c>
      <c r="K2576" t="str">
        <f>T("문과라도 안 죄송한 이세계로 감")</f>
        <v>문과라도 안 죄송한 이세계로 감</v>
      </c>
      <c r="L2576">
        <v>100</v>
      </c>
      <c r="M2576">
        <v>100</v>
      </c>
      <c r="N2576">
        <v>1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0</v>
      </c>
      <c r="AE2576">
        <v>0</v>
      </c>
      <c r="AF2576">
        <v>0</v>
      </c>
      <c r="AG2576">
        <v>0</v>
      </c>
      <c r="AH2576">
        <v>0</v>
      </c>
      <c r="AI2576">
        <v>100</v>
      </c>
      <c r="AJ2576">
        <v>1</v>
      </c>
      <c r="AK2576">
        <v>0</v>
      </c>
      <c r="AL2576">
        <v>0</v>
      </c>
      <c r="AM2576">
        <v>100</v>
      </c>
      <c r="AN2576">
        <v>0</v>
      </c>
      <c r="AO2576">
        <v>0</v>
      </c>
      <c r="AP2576">
        <v>0</v>
      </c>
      <c r="AQ2576">
        <v>0</v>
      </c>
      <c r="AS2576">
        <v>0</v>
      </c>
      <c r="AT2576">
        <v>0</v>
      </c>
      <c r="AV2576">
        <v>0</v>
      </c>
      <c r="AW2576">
        <v>0</v>
      </c>
      <c r="AY2576">
        <v>0</v>
      </c>
      <c r="AZ2576">
        <v>0</v>
      </c>
      <c r="BA2576">
        <v>70</v>
      </c>
      <c r="BE2576" t="str">
        <f>T("9791162589724")</f>
        <v>9791162589724</v>
      </c>
      <c r="BF2576" t="str">
        <f>T("E448270")</f>
        <v>E448270</v>
      </c>
      <c r="BG2576" t="str">
        <f>T("판타지 웹소설 &gt; 퓨전 판타지")</f>
        <v>판타지 웹소설 &gt; 퓨전 판타지</v>
      </c>
    </row>
    <row r="2577" spans="1:59">
      <c r="A2577" t="s">
        <v>60</v>
      </c>
      <c r="B2577" s="1">
        <v>46129</v>
      </c>
      <c r="C2577">
        <v>2378009513</v>
      </c>
      <c r="D2577">
        <v>2378009547</v>
      </c>
      <c r="E2577" t="str">
        <f>T("문과라도 안 죄송한 이세계로 감 35화")</f>
        <v>문과라도 안 죄송한 이세계로 감 35화</v>
      </c>
      <c r="F2577">
        <v>35</v>
      </c>
      <c r="G2577" t="str">
        <f>T("정수읠")</f>
        <v>정수읠</v>
      </c>
      <c r="J2577" t="str">
        <f>T("매드햇")</f>
        <v>매드햇</v>
      </c>
      <c r="K2577" t="str">
        <f>T("문과라도 안 죄송한 이세계로 감")</f>
        <v>문과라도 안 죄송한 이세계로 감</v>
      </c>
      <c r="L2577">
        <v>100</v>
      </c>
      <c r="M2577">
        <v>100</v>
      </c>
      <c r="N2577">
        <v>1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0</v>
      </c>
      <c r="AE2577">
        <v>0</v>
      </c>
      <c r="AF2577">
        <v>0</v>
      </c>
      <c r="AG2577">
        <v>0</v>
      </c>
      <c r="AH2577">
        <v>0</v>
      </c>
      <c r="AI2577">
        <v>100</v>
      </c>
      <c r="AJ2577">
        <v>1</v>
      </c>
      <c r="AK2577">
        <v>0</v>
      </c>
      <c r="AL2577">
        <v>0</v>
      </c>
      <c r="AM2577">
        <v>100</v>
      </c>
      <c r="AN2577">
        <v>0</v>
      </c>
      <c r="AO2577">
        <v>0</v>
      </c>
      <c r="AP2577">
        <v>0</v>
      </c>
      <c r="AQ2577">
        <v>0</v>
      </c>
      <c r="AS2577">
        <v>0</v>
      </c>
      <c r="AT2577">
        <v>0</v>
      </c>
      <c r="AV2577">
        <v>0</v>
      </c>
      <c r="AW2577">
        <v>0</v>
      </c>
      <c r="AY2577">
        <v>0</v>
      </c>
      <c r="AZ2577">
        <v>0</v>
      </c>
      <c r="BA2577">
        <v>70</v>
      </c>
      <c r="BE2577" t="str">
        <f>T("9791162589724")</f>
        <v>9791162589724</v>
      </c>
      <c r="BF2577" t="str">
        <f>T("E448271")</f>
        <v>E448271</v>
      </c>
      <c r="BG2577" t="str">
        <f>T("판타지 웹소설 &gt; 퓨전 판타지")</f>
        <v>판타지 웹소설 &gt; 퓨전 판타지</v>
      </c>
    </row>
    <row r="2578" spans="1:59">
      <c r="A2578" t="s">
        <v>60</v>
      </c>
      <c r="B2578" s="1">
        <v>46129</v>
      </c>
      <c r="C2578">
        <v>2378009513</v>
      </c>
      <c r="D2578">
        <v>2378009548</v>
      </c>
      <c r="E2578" t="str">
        <f>T("문과라도 안 죄송한 이세계로 감 36화")</f>
        <v>문과라도 안 죄송한 이세계로 감 36화</v>
      </c>
      <c r="F2578">
        <v>36</v>
      </c>
      <c r="G2578" t="str">
        <f>T("정수읠")</f>
        <v>정수읠</v>
      </c>
      <c r="J2578" t="str">
        <f>T("매드햇")</f>
        <v>매드햇</v>
      </c>
      <c r="K2578" t="str">
        <f>T("문과라도 안 죄송한 이세계로 감")</f>
        <v>문과라도 안 죄송한 이세계로 감</v>
      </c>
      <c r="L2578">
        <v>100</v>
      </c>
      <c r="M2578">
        <v>200</v>
      </c>
      <c r="N2578">
        <v>2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0</v>
      </c>
      <c r="AE2578">
        <v>0</v>
      </c>
      <c r="AF2578">
        <v>0</v>
      </c>
      <c r="AG2578">
        <v>0</v>
      </c>
      <c r="AH2578">
        <v>0</v>
      </c>
      <c r="AI2578">
        <v>200</v>
      </c>
      <c r="AJ2578">
        <v>2</v>
      </c>
      <c r="AK2578">
        <v>0</v>
      </c>
      <c r="AL2578">
        <v>0</v>
      </c>
      <c r="AM2578">
        <v>200</v>
      </c>
      <c r="AN2578">
        <v>0</v>
      </c>
      <c r="AO2578">
        <v>0</v>
      </c>
      <c r="AP2578">
        <v>0</v>
      </c>
      <c r="AQ2578">
        <v>0</v>
      </c>
      <c r="AS2578">
        <v>0</v>
      </c>
      <c r="AT2578">
        <v>0</v>
      </c>
      <c r="AV2578">
        <v>0</v>
      </c>
      <c r="AW2578">
        <v>0</v>
      </c>
      <c r="AY2578">
        <v>0</v>
      </c>
      <c r="AZ2578">
        <v>0</v>
      </c>
      <c r="BA2578">
        <v>140</v>
      </c>
      <c r="BE2578" t="str">
        <f>T("9791162589724")</f>
        <v>9791162589724</v>
      </c>
      <c r="BF2578" t="str">
        <f>T("E448272")</f>
        <v>E448272</v>
      </c>
      <c r="BG2578" t="str">
        <f>T("판타지 웹소설 &gt; 퓨전 판타지")</f>
        <v>판타지 웹소설 &gt; 퓨전 판타지</v>
      </c>
    </row>
    <row r="2579" spans="1:59">
      <c r="A2579" t="s">
        <v>60</v>
      </c>
      <c r="B2579" s="1">
        <v>46129</v>
      </c>
      <c r="C2579">
        <v>2378009513</v>
      </c>
      <c r="D2579">
        <v>2378009549</v>
      </c>
      <c r="E2579" t="str">
        <f>T("문과라도 안 죄송한 이세계로 감 37화")</f>
        <v>문과라도 안 죄송한 이세계로 감 37화</v>
      </c>
      <c r="F2579">
        <v>37</v>
      </c>
      <c r="G2579" t="str">
        <f>T("정수읠")</f>
        <v>정수읠</v>
      </c>
      <c r="J2579" t="str">
        <f>T("매드햇")</f>
        <v>매드햇</v>
      </c>
      <c r="K2579" t="str">
        <f>T("문과라도 안 죄송한 이세계로 감")</f>
        <v>문과라도 안 죄송한 이세계로 감</v>
      </c>
      <c r="L2579">
        <v>100</v>
      </c>
      <c r="M2579">
        <v>200</v>
      </c>
      <c r="N2579">
        <v>2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0</v>
      </c>
      <c r="AE2579">
        <v>0</v>
      </c>
      <c r="AF2579">
        <v>0</v>
      </c>
      <c r="AG2579">
        <v>0</v>
      </c>
      <c r="AH2579">
        <v>0</v>
      </c>
      <c r="AI2579">
        <v>200</v>
      </c>
      <c r="AJ2579">
        <v>2</v>
      </c>
      <c r="AK2579">
        <v>0</v>
      </c>
      <c r="AL2579">
        <v>0</v>
      </c>
      <c r="AM2579">
        <v>200</v>
      </c>
      <c r="AN2579">
        <v>0</v>
      </c>
      <c r="AO2579">
        <v>0</v>
      </c>
      <c r="AP2579">
        <v>0</v>
      </c>
      <c r="AQ2579">
        <v>0</v>
      </c>
      <c r="AS2579">
        <v>0</v>
      </c>
      <c r="AT2579">
        <v>0</v>
      </c>
      <c r="AV2579">
        <v>0</v>
      </c>
      <c r="AW2579">
        <v>0</v>
      </c>
      <c r="AY2579">
        <v>0</v>
      </c>
      <c r="AZ2579">
        <v>0</v>
      </c>
      <c r="BA2579">
        <v>140</v>
      </c>
      <c r="BE2579" t="str">
        <f>T("9791162589724")</f>
        <v>9791162589724</v>
      </c>
      <c r="BF2579" t="str">
        <f>T("E448273")</f>
        <v>E448273</v>
      </c>
      <c r="BG2579" t="str">
        <f>T("판타지 웹소설 &gt; 퓨전 판타지")</f>
        <v>판타지 웹소설 &gt; 퓨전 판타지</v>
      </c>
    </row>
    <row r="2580" spans="1:59">
      <c r="A2580" t="s">
        <v>60</v>
      </c>
      <c r="B2580" s="1">
        <v>46129</v>
      </c>
      <c r="C2580">
        <v>2378009513</v>
      </c>
      <c r="D2580">
        <v>2378009550</v>
      </c>
      <c r="E2580" t="str">
        <f>T("문과라도 안 죄송한 이세계로 감 38화")</f>
        <v>문과라도 안 죄송한 이세계로 감 38화</v>
      </c>
      <c r="F2580">
        <v>38</v>
      </c>
      <c r="G2580" t="str">
        <f>T("정수읠")</f>
        <v>정수읠</v>
      </c>
      <c r="J2580" t="str">
        <f>T("매드햇")</f>
        <v>매드햇</v>
      </c>
      <c r="K2580" t="str">
        <f>T("문과라도 안 죄송한 이세계로 감")</f>
        <v>문과라도 안 죄송한 이세계로 감</v>
      </c>
      <c r="L2580">
        <v>100</v>
      </c>
      <c r="M2580">
        <v>200</v>
      </c>
      <c r="N2580">
        <v>2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0</v>
      </c>
      <c r="AE2580">
        <v>0</v>
      </c>
      <c r="AF2580">
        <v>0</v>
      </c>
      <c r="AG2580">
        <v>0</v>
      </c>
      <c r="AH2580">
        <v>0</v>
      </c>
      <c r="AI2580">
        <v>200</v>
      </c>
      <c r="AJ2580">
        <v>2</v>
      </c>
      <c r="AK2580">
        <v>0</v>
      </c>
      <c r="AL2580">
        <v>0</v>
      </c>
      <c r="AM2580">
        <v>200</v>
      </c>
      <c r="AN2580">
        <v>0</v>
      </c>
      <c r="AO2580">
        <v>0</v>
      </c>
      <c r="AP2580">
        <v>0</v>
      </c>
      <c r="AQ2580">
        <v>0</v>
      </c>
      <c r="AS2580">
        <v>0</v>
      </c>
      <c r="AT2580">
        <v>0</v>
      </c>
      <c r="AV2580">
        <v>0</v>
      </c>
      <c r="AW2580">
        <v>0</v>
      </c>
      <c r="AY2580">
        <v>0</v>
      </c>
      <c r="AZ2580">
        <v>0</v>
      </c>
      <c r="BA2580">
        <v>140</v>
      </c>
      <c r="BE2580" t="str">
        <f>T("9791162589724")</f>
        <v>9791162589724</v>
      </c>
      <c r="BF2580" t="str">
        <f>T("E448274")</f>
        <v>E448274</v>
      </c>
      <c r="BG2580" t="str">
        <f>T("판타지 웹소설 &gt; 퓨전 판타지")</f>
        <v>판타지 웹소설 &gt; 퓨전 판타지</v>
      </c>
    </row>
    <row r="2581" spans="1:59">
      <c r="A2581" t="s">
        <v>60</v>
      </c>
      <c r="B2581" s="1">
        <v>46129</v>
      </c>
      <c r="C2581">
        <v>2378009513</v>
      </c>
      <c r="D2581">
        <v>2378009551</v>
      </c>
      <c r="E2581" t="str">
        <f>T("문과라도 안 죄송한 이세계로 감 39화")</f>
        <v>문과라도 안 죄송한 이세계로 감 39화</v>
      </c>
      <c r="F2581">
        <v>39</v>
      </c>
      <c r="G2581" t="str">
        <f>T("정수읠")</f>
        <v>정수읠</v>
      </c>
      <c r="J2581" t="str">
        <f>T("매드햇")</f>
        <v>매드햇</v>
      </c>
      <c r="K2581" t="str">
        <f>T("문과라도 안 죄송한 이세계로 감")</f>
        <v>문과라도 안 죄송한 이세계로 감</v>
      </c>
      <c r="L2581">
        <v>100</v>
      </c>
      <c r="M2581">
        <v>300</v>
      </c>
      <c r="N2581">
        <v>3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0</v>
      </c>
      <c r="AE2581">
        <v>0</v>
      </c>
      <c r="AF2581">
        <v>0</v>
      </c>
      <c r="AG2581">
        <v>0</v>
      </c>
      <c r="AH2581">
        <v>0</v>
      </c>
      <c r="AI2581">
        <v>300</v>
      </c>
      <c r="AJ2581">
        <v>3</v>
      </c>
      <c r="AK2581">
        <v>0</v>
      </c>
      <c r="AL2581">
        <v>0</v>
      </c>
      <c r="AM2581">
        <v>300</v>
      </c>
      <c r="AN2581">
        <v>0</v>
      </c>
      <c r="AO2581">
        <v>0</v>
      </c>
      <c r="AP2581">
        <v>0</v>
      </c>
      <c r="AQ2581">
        <v>0</v>
      </c>
      <c r="AS2581">
        <v>0</v>
      </c>
      <c r="AT2581">
        <v>0</v>
      </c>
      <c r="AV2581">
        <v>0</v>
      </c>
      <c r="AW2581">
        <v>0</v>
      </c>
      <c r="AY2581">
        <v>0</v>
      </c>
      <c r="AZ2581">
        <v>0</v>
      </c>
      <c r="BA2581">
        <v>210</v>
      </c>
      <c r="BE2581" t="str">
        <f>T("9791162589724")</f>
        <v>9791162589724</v>
      </c>
      <c r="BF2581" t="str">
        <f>T("E448275")</f>
        <v>E448275</v>
      </c>
      <c r="BG2581" t="str">
        <f>T("판타지 웹소설 &gt; 퓨전 판타지")</f>
        <v>판타지 웹소설 &gt; 퓨전 판타지</v>
      </c>
    </row>
    <row r="2582" spans="1:59">
      <c r="A2582" t="s">
        <v>60</v>
      </c>
      <c r="B2582" s="1">
        <v>46129</v>
      </c>
      <c r="C2582">
        <v>2378009513</v>
      </c>
      <c r="D2582">
        <v>2378009552</v>
      </c>
      <c r="E2582" t="str">
        <f>T("문과라도 안 죄송한 이세계로 감 40화")</f>
        <v>문과라도 안 죄송한 이세계로 감 40화</v>
      </c>
      <c r="F2582">
        <v>40</v>
      </c>
      <c r="G2582" t="str">
        <f>T("정수읠")</f>
        <v>정수읠</v>
      </c>
      <c r="J2582" t="str">
        <f>T("매드햇")</f>
        <v>매드햇</v>
      </c>
      <c r="K2582" t="str">
        <f>T("문과라도 안 죄송한 이세계로 감")</f>
        <v>문과라도 안 죄송한 이세계로 감</v>
      </c>
      <c r="L2582">
        <v>100</v>
      </c>
      <c r="M2582">
        <v>300</v>
      </c>
      <c r="N2582">
        <v>3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0</v>
      </c>
      <c r="AE2582">
        <v>0</v>
      </c>
      <c r="AF2582">
        <v>0</v>
      </c>
      <c r="AG2582">
        <v>0</v>
      </c>
      <c r="AH2582">
        <v>0</v>
      </c>
      <c r="AI2582">
        <v>300</v>
      </c>
      <c r="AJ2582">
        <v>3</v>
      </c>
      <c r="AK2582">
        <v>0</v>
      </c>
      <c r="AL2582">
        <v>0</v>
      </c>
      <c r="AM2582">
        <v>300</v>
      </c>
      <c r="AN2582">
        <v>0</v>
      </c>
      <c r="AO2582">
        <v>0</v>
      </c>
      <c r="AP2582">
        <v>0</v>
      </c>
      <c r="AQ2582">
        <v>0</v>
      </c>
      <c r="AS2582">
        <v>0</v>
      </c>
      <c r="AT2582">
        <v>0</v>
      </c>
      <c r="AV2582">
        <v>0</v>
      </c>
      <c r="AW2582">
        <v>0</v>
      </c>
      <c r="AY2582">
        <v>0</v>
      </c>
      <c r="AZ2582">
        <v>0</v>
      </c>
      <c r="BA2582">
        <v>210</v>
      </c>
      <c r="BE2582" t="str">
        <f>T("9791162589724")</f>
        <v>9791162589724</v>
      </c>
      <c r="BF2582" t="str">
        <f>T("E448276")</f>
        <v>E448276</v>
      </c>
      <c r="BG2582" t="str">
        <f>T("판타지 웹소설 &gt; 퓨전 판타지")</f>
        <v>판타지 웹소설 &gt; 퓨전 판타지</v>
      </c>
    </row>
    <row r="2583" spans="1:59">
      <c r="A2583" t="s">
        <v>60</v>
      </c>
      <c r="B2583" s="1">
        <v>46129</v>
      </c>
      <c r="C2583">
        <v>2378009513</v>
      </c>
      <c r="D2583">
        <v>2378009553</v>
      </c>
      <c r="E2583" t="str">
        <f>T("문과라도 안 죄송한 이세계로 감 41화")</f>
        <v>문과라도 안 죄송한 이세계로 감 41화</v>
      </c>
      <c r="F2583">
        <v>41</v>
      </c>
      <c r="G2583" t="str">
        <f>T("정수읠")</f>
        <v>정수읠</v>
      </c>
      <c r="J2583" t="str">
        <f>T("매드햇")</f>
        <v>매드햇</v>
      </c>
      <c r="K2583" t="str">
        <f>T("문과라도 안 죄송한 이세계로 감")</f>
        <v>문과라도 안 죄송한 이세계로 감</v>
      </c>
      <c r="L2583">
        <v>100</v>
      </c>
      <c r="M2583">
        <v>300</v>
      </c>
      <c r="N2583">
        <v>3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0</v>
      </c>
      <c r="AE2583">
        <v>0</v>
      </c>
      <c r="AF2583">
        <v>0</v>
      </c>
      <c r="AG2583">
        <v>0</v>
      </c>
      <c r="AH2583">
        <v>0</v>
      </c>
      <c r="AI2583">
        <v>300</v>
      </c>
      <c r="AJ2583">
        <v>3</v>
      </c>
      <c r="AK2583">
        <v>0</v>
      </c>
      <c r="AL2583">
        <v>0</v>
      </c>
      <c r="AM2583">
        <v>300</v>
      </c>
      <c r="AN2583">
        <v>0</v>
      </c>
      <c r="AO2583">
        <v>0</v>
      </c>
      <c r="AP2583">
        <v>0</v>
      </c>
      <c r="AQ2583">
        <v>0</v>
      </c>
      <c r="AS2583">
        <v>0</v>
      </c>
      <c r="AT2583">
        <v>0</v>
      </c>
      <c r="AV2583">
        <v>0</v>
      </c>
      <c r="AW2583">
        <v>0</v>
      </c>
      <c r="AY2583">
        <v>0</v>
      </c>
      <c r="AZ2583">
        <v>0</v>
      </c>
      <c r="BA2583">
        <v>210</v>
      </c>
      <c r="BE2583" t="str">
        <f>T("9791162589724")</f>
        <v>9791162589724</v>
      </c>
      <c r="BF2583" t="str">
        <f>T("E448277")</f>
        <v>E448277</v>
      </c>
      <c r="BG2583" t="str">
        <f>T("판타지 웹소설 &gt; 퓨전 판타지")</f>
        <v>판타지 웹소설 &gt; 퓨전 판타지</v>
      </c>
    </row>
    <row r="2584" spans="1:59">
      <c r="A2584" t="s">
        <v>60</v>
      </c>
      <c r="B2584" s="1">
        <v>46129</v>
      </c>
      <c r="C2584">
        <v>2378009513</v>
      </c>
      <c r="D2584">
        <v>2378009554</v>
      </c>
      <c r="E2584" t="str">
        <f>T("문과라도 안 죄송한 이세계로 감 42화")</f>
        <v>문과라도 안 죄송한 이세계로 감 42화</v>
      </c>
      <c r="F2584">
        <v>42</v>
      </c>
      <c r="G2584" t="str">
        <f>T("정수읠")</f>
        <v>정수읠</v>
      </c>
      <c r="J2584" t="str">
        <f>T("매드햇")</f>
        <v>매드햇</v>
      </c>
      <c r="K2584" t="str">
        <f>T("문과라도 안 죄송한 이세계로 감")</f>
        <v>문과라도 안 죄송한 이세계로 감</v>
      </c>
      <c r="L2584">
        <v>100</v>
      </c>
      <c r="M2584">
        <v>300</v>
      </c>
      <c r="N2584">
        <v>3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0</v>
      </c>
      <c r="AE2584">
        <v>0</v>
      </c>
      <c r="AF2584">
        <v>0</v>
      </c>
      <c r="AG2584">
        <v>0</v>
      </c>
      <c r="AH2584">
        <v>0</v>
      </c>
      <c r="AI2584">
        <v>300</v>
      </c>
      <c r="AJ2584">
        <v>3</v>
      </c>
      <c r="AK2584">
        <v>0</v>
      </c>
      <c r="AL2584">
        <v>0</v>
      </c>
      <c r="AM2584">
        <v>300</v>
      </c>
      <c r="AN2584">
        <v>0</v>
      </c>
      <c r="AO2584">
        <v>0</v>
      </c>
      <c r="AP2584">
        <v>0</v>
      </c>
      <c r="AQ2584">
        <v>0</v>
      </c>
      <c r="AS2584">
        <v>0</v>
      </c>
      <c r="AT2584">
        <v>0</v>
      </c>
      <c r="AV2584">
        <v>0</v>
      </c>
      <c r="AW2584">
        <v>0</v>
      </c>
      <c r="AY2584">
        <v>0</v>
      </c>
      <c r="AZ2584">
        <v>0</v>
      </c>
      <c r="BA2584">
        <v>210</v>
      </c>
      <c r="BE2584" t="str">
        <f>T("9791162589724")</f>
        <v>9791162589724</v>
      </c>
      <c r="BF2584" t="str">
        <f>T("E448278")</f>
        <v>E448278</v>
      </c>
      <c r="BG2584" t="str">
        <f>T("판타지 웹소설 &gt; 퓨전 판타지")</f>
        <v>판타지 웹소설 &gt; 퓨전 판타지</v>
      </c>
    </row>
    <row r="2585" spans="1:59">
      <c r="A2585" t="s">
        <v>60</v>
      </c>
      <c r="B2585" s="1">
        <v>46129</v>
      </c>
      <c r="C2585">
        <v>2378009513</v>
      </c>
      <c r="D2585">
        <v>2378009555</v>
      </c>
      <c r="E2585" t="str">
        <f>T("문과라도 안 죄송한 이세계로 감 43화")</f>
        <v>문과라도 안 죄송한 이세계로 감 43화</v>
      </c>
      <c r="F2585">
        <v>43</v>
      </c>
      <c r="G2585" t="str">
        <f>T("정수읠")</f>
        <v>정수읠</v>
      </c>
      <c r="J2585" t="str">
        <f>T("매드햇")</f>
        <v>매드햇</v>
      </c>
      <c r="K2585" t="str">
        <f>T("문과라도 안 죄송한 이세계로 감")</f>
        <v>문과라도 안 죄송한 이세계로 감</v>
      </c>
      <c r="L2585">
        <v>100</v>
      </c>
      <c r="M2585">
        <v>300</v>
      </c>
      <c r="N2585">
        <v>3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0</v>
      </c>
      <c r="AE2585">
        <v>0</v>
      </c>
      <c r="AF2585">
        <v>0</v>
      </c>
      <c r="AG2585">
        <v>0</v>
      </c>
      <c r="AH2585">
        <v>0</v>
      </c>
      <c r="AI2585">
        <v>300</v>
      </c>
      <c r="AJ2585">
        <v>3</v>
      </c>
      <c r="AK2585">
        <v>0</v>
      </c>
      <c r="AL2585">
        <v>0</v>
      </c>
      <c r="AM2585">
        <v>300</v>
      </c>
      <c r="AN2585">
        <v>0</v>
      </c>
      <c r="AO2585">
        <v>0</v>
      </c>
      <c r="AP2585">
        <v>0</v>
      </c>
      <c r="AQ2585">
        <v>0</v>
      </c>
      <c r="AS2585">
        <v>0</v>
      </c>
      <c r="AT2585">
        <v>0</v>
      </c>
      <c r="AV2585">
        <v>0</v>
      </c>
      <c r="AW2585">
        <v>0</v>
      </c>
      <c r="AY2585">
        <v>0</v>
      </c>
      <c r="AZ2585">
        <v>0</v>
      </c>
      <c r="BA2585">
        <v>210</v>
      </c>
      <c r="BE2585" t="str">
        <f>T("9791162589724")</f>
        <v>9791162589724</v>
      </c>
      <c r="BF2585" t="str">
        <f>T("E448279")</f>
        <v>E448279</v>
      </c>
      <c r="BG2585" t="str">
        <f>T("판타지 웹소설 &gt; 퓨전 판타지")</f>
        <v>판타지 웹소설 &gt; 퓨전 판타지</v>
      </c>
    </row>
    <row r="2586" spans="1:59">
      <c r="A2586" t="s">
        <v>60</v>
      </c>
      <c r="B2586" s="1">
        <v>46129</v>
      </c>
      <c r="C2586">
        <v>2378009513</v>
      </c>
      <c r="D2586">
        <v>2378009556</v>
      </c>
      <c r="E2586" t="str">
        <f>T("문과라도 안 죄송한 이세계로 감 44화")</f>
        <v>문과라도 안 죄송한 이세계로 감 44화</v>
      </c>
      <c r="F2586">
        <v>44</v>
      </c>
      <c r="G2586" t="str">
        <f>T("정수읠")</f>
        <v>정수읠</v>
      </c>
      <c r="J2586" t="str">
        <f>T("매드햇")</f>
        <v>매드햇</v>
      </c>
      <c r="K2586" t="str">
        <f>T("문과라도 안 죄송한 이세계로 감")</f>
        <v>문과라도 안 죄송한 이세계로 감</v>
      </c>
      <c r="L2586">
        <v>100</v>
      </c>
      <c r="M2586">
        <v>300</v>
      </c>
      <c r="N2586">
        <v>3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0</v>
      </c>
      <c r="AE2586">
        <v>0</v>
      </c>
      <c r="AF2586">
        <v>0</v>
      </c>
      <c r="AG2586">
        <v>0</v>
      </c>
      <c r="AH2586">
        <v>0</v>
      </c>
      <c r="AI2586">
        <v>300</v>
      </c>
      <c r="AJ2586">
        <v>3</v>
      </c>
      <c r="AK2586">
        <v>0</v>
      </c>
      <c r="AL2586">
        <v>0</v>
      </c>
      <c r="AM2586">
        <v>300</v>
      </c>
      <c r="AN2586">
        <v>0</v>
      </c>
      <c r="AO2586">
        <v>0</v>
      </c>
      <c r="AP2586">
        <v>0</v>
      </c>
      <c r="AQ2586">
        <v>0</v>
      </c>
      <c r="AS2586">
        <v>0</v>
      </c>
      <c r="AT2586">
        <v>0</v>
      </c>
      <c r="AV2586">
        <v>0</v>
      </c>
      <c r="AW2586">
        <v>0</v>
      </c>
      <c r="AY2586">
        <v>0</v>
      </c>
      <c r="AZ2586">
        <v>0</v>
      </c>
      <c r="BA2586">
        <v>210</v>
      </c>
      <c r="BE2586" t="str">
        <f>T("9791162589724")</f>
        <v>9791162589724</v>
      </c>
      <c r="BF2586" t="str">
        <f>T("E448280")</f>
        <v>E448280</v>
      </c>
      <c r="BG2586" t="str">
        <f>T("판타지 웹소설 &gt; 퓨전 판타지")</f>
        <v>판타지 웹소설 &gt; 퓨전 판타지</v>
      </c>
    </row>
    <row r="2587" spans="1:59">
      <c r="A2587" t="s">
        <v>60</v>
      </c>
      <c r="B2587" s="1">
        <v>46129</v>
      </c>
      <c r="C2587">
        <v>2378009513</v>
      </c>
      <c r="D2587">
        <v>2378009557</v>
      </c>
      <c r="E2587" t="str">
        <f>T("문과라도 안 죄송한 이세계로 감 45화")</f>
        <v>문과라도 안 죄송한 이세계로 감 45화</v>
      </c>
      <c r="F2587">
        <v>45</v>
      </c>
      <c r="G2587" t="str">
        <f>T("정수읠")</f>
        <v>정수읠</v>
      </c>
      <c r="J2587" t="str">
        <f>T("매드햇")</f>
        <v>매드햇</v>
      </c>
      <c r="K2587" t="str">
        <f>T("문과라도 안 죄송한 이세계로 감")</f>
        <v>문과라도 안 죄송한 이세계로 감</v>
      </c>
      <c r="L2587">
        <v>100</v>
      </c>
      <c r="M2587">
        <v>300</v>
      </c>
      <c r="N2587">
        <v>3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0</v>
      </c>
      <c r="AE2587">
        <v>0</v>
      </c>
      <c r="AF2587">
        <v>0</v>
      </c>
      <c r="AG2587">
        <v>0</v>
      </c>
      <c r="AH2587">
        <v>0</v>
      </c>
      <c r="AI2587">
        <v>300</v>
      </c>
      <c r="AJ2587">
        <v>3</v>
      </c>
      <c r="AK2587">
        <v>0</v>
      </c>
      <c r="AL2587">
        <v>0</v>
      </c>
      <c r="AM2587">
        <v>300</v>
      </c>
      <c r="AN2587">
        <v>0</v>
      </c>
      <c r="AO2587">
        <v>0</v>
      </c>
      <c r="AP2587">
        <v>0</v>
      </c>
      <c r="AQ2587">
        <v>0</v>
      </c>
      <c r="AS2587">
        <v>0</v>
      </c>
      <c r="AT2587">
        <v>0</v>
      </c>
      <c r="AV2587">
        <v>0</v>
      </c>
      <c r="AW2587">
        <v>0</v>
      </c>
      <c r="AY2587">
        <v>0</v>
      </c>
      <c r="AZ2587">
        <v>0</v>
      </c>
      <c r="BA2587">
        <v>210</v>
      </c>
      <c r="BE2587" t="str">
        <f>T("9791162589724")</f>
        <v>9791162589724</v>
      </c>
      <c r="BF2587" t="str">
        <f>T("E448281")</f>
        <v>E448281</v>
      </c>
      <c r="BG2587" t="str">
        <f>T("판타지 웹소설 &gt; 퓨전 판타지")</f>
        <v>판타지 웹소설 &gt; 퓨전 판타지</v>
      </c>
    </row>
    <row r="2588" spans="1:59">
      <c r="A2588" t="s">
        <v>60</v>
      </c>
      <c r="B2588" s="1">
        <v>46129</v>
      </c>
      <c r="C2588">
        <v>2378009513</v>
      </c>
      <c r="D2588">
        <v>2378009558</v>
      </c>
      <c r="E2588" t="str">
        <f>T("문과라도 안 죄송한 이세계로 감 46화")</f>
        <v>문과라도 안 죄송한 이세계로 감 46화</v>
      </c>
      <c r="F2588">
        <v>46</v>
      </c>
      <c r="G2588" t="str">
        <f>T("정수읠")</f>
        <v>정수읠</v>
      </c>
      <c r="J2588" t="str">
        <f>T("매드햇")</f>
        <v>매드햇</v>
      </c>
      <c r="K2588" t="str">
        <f>T("문과라도 안 죄송한 이세계로 감")</f>
        <v>문과라도 안 죄송한 이세계로 감</v>
      </c>
      <c r="L2588">
        <v>100</v>
      </c>
      <c r="M2588">
        <v>300</v>
      </c>
      <c r="N2588">
        <v>3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0</v>
      </c>
      <c r="AE2588">
        <v>0</v>
      </c>
      <c r="AF2588">
        <v>0</v>
      </c>
      <c r="AG2588">
        <v>0</v>
      </c>
      <c r="AH2588">
        <v>0</v>
      </c>
      <c r="AI2588">
        <v>300</v>
      </c>
      <c r="AJ2588">
        <v>3</v>
      </c>
      <c r="AK2588">
        <v>0</v>
      </c>
      <c r="AL2588">
        <v>0</v>
      </c>
      <c r="AM2588">
        <v>300</v>
      </c>
      <c r="AN2588">
        <v>0</v>
      </c>
      <c r="AO2588">
        <v>0</v>
      </c>
      <c r="AP2588">
        <v>0</v>
      </c>
      <c r="AQ2588">
        <v>0</v>
      </c>
      <c r="AS2588">
        <v>0</v>
      </c>
      <c r="AT2588">
        <v>0</v>
      </c>
      <c r="AV2588">
        <v>0</v>
      </c>
      <c r="AW2588">
        <v>0</v>
      </c>
      <c r="AY2588">
        <v>0</v>
      </c>
      <c r="AZ2588">
        <v>0</v>
      </c>
      <c r="BA2588">
        <v>210</v>
      </c>
      <c r="BE2588" t="str">
        <f>T("9791162589724")</f>
        <v>9791162589724</v>
      </c>
      <c r="BF2588" t="str">
        <f>T("E448282")</f>
        <v>E448282</v>
      </c>
      <c r="BG2588" t="str">
        <f>T("판타지 웹소설 &gt; 퓨전 판타지")</f>
        <v>판타지 웹소설 &gt; 퓨전 판타지</v>
      </c>
    </row>
    <row r="2589" spans="1:59">
      <c r="A2589" t="s">
        <v>60</v>
      </c>
      <c r="B2589" s="1">
        <v>46129</v>
      </c>
      <c r="C2589">
        <v>2378009513</v>
      </c>
      <c r="D2589">
        <v>2378009559</v>
      </c>
      <c r="E2589" t="str">
        <f>T("문과라도 안 죄송한 이세계로 감 47화")</f>
        <v>문과라도 안 죄송한 이세계로 감 47화</v>
      </c>
      <c r="F2589">
        <v>47</v>
      </c>
      <c r="G2589" t="str">
        <f>T("정수읠")</f>
        <v>정수읠</v>
      </c>
      <c r="J2589" t="str">
        <f>T("매드햇")</f>
        <v>매드햇</v>
      </c>
      <c r="K2589" t="str">
        <f>T("문과라도 안 죄송한 이세계로 감")</f>
        <v>문과라도 안 죄송한 이세계로 감</v>
      </c>
      <c r="L2589">
        <v>100</v>
      </c>
      <c r="M2589">
        <v>300</v>
      </c>
      <c r="N2589">
        <v>3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0</v>
      </c>
      <c r="AE2589">
        <v>0</v>
      </c>
      <c r="AF2589">
        <v>0</v>
      </c>
      <c r="AG2589">
        <v>0</v>
      </c>
      <c r="AH2589">
        <v>0</v>
      </c>
      <c r="AI2589">
        <v>300</v>
      </c>
      <c r="AJ2589">
        <v>3</v>
      </c>
      <c r="AK2589">
        <v>0</v>
      </c>
      <c r="AL2589">
        <v>0</v>
      </c>
      <c r="AM2589">
        <v>300</v>
      </c>
      <c r="AN2589">
        <v>0</v>
      </c>
      <c r="AO2589">
        <v>0</v>
      </c>
      <c r="AP2589">
        <v>0</v>
      </c>
      <c r="AQ2589">
        <v>0</v>
      </c>
      <c r="AS2589">
        <v>0</v>
      </c>
      <c r="AT2589">
        <v>0</v>
      </c>
      <c r="AV2589">
        <v>0</v>
      </c>
      <c r="AW2589">
        <v>0</v>
      </c>
      <c r="AY2589">
        <v>0</v>
      </c>
      <c r="AZ2589">
        <v>0</v>
      </c>
      <c r="BA2589">
        <v>210</v>
      </c>
      <c r="BE2589" t="str">
        <f>T("9791162589724")</f>
        <v>9791162589724</v>
      </c>
      <c r="BF2589" t="str">
        <f>T("E448283")</f>
        <v>E448283</v>
      </c>
      <c r="BG2589" t="str">
        <f>T("판타지 웹소설 &gt; 퓨전 판타지")</f>
        <v>판타지 웹소설 &gt; 퓨전 판타지</v>
      </c>
    </row>
    <row r="2590" spans="1:59">
      <c r="A2590" t="s">
        <v>60</v>
      </c>
      <c r="B2590" s="1">
        <v>46129</v>
      </c>
      <c r="C2590">
        <v>2378009513</v>
      </c>
      <c r="D2590">
        <v>2378009560</v>
      </c>
      <c r="E2590" t="str">
        <f>T("문과라도 안 죄송한 이세계로 감 48화")</f>
        <v>문과라도 안 죄송한 이세계로 감 48화</v>
      </c>
      <c r="F2590">
        <v>48</v>
      </c>
      <c r="G2590" t="str">
        <f>T("정수읠")</f>
        <v>정수읠</v>
      </c>
      <c r="J2590" t="str">
        <f>T("매드햇")</f>
        <v>매드햇</v>
      </c>
      <c r="K2590" t="str">
        <f>T("문과라도 안 죄송한 이세계로 감")</f>
        <v>문과라도 안 죄송한 이세계로 감</v>
      </c>
      <c r="L2590">
        <v>100</v>
      </c>
      <c r="M2590">
        <v>300</v>
      </c>
      <c r="N2590">
        <v>3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0</v>
      </c>
      <c r="AE2590">
        <v>0</v>
      </c>
      <c r="AF2590">
        <v>0</v>
      </c>
      <c r="AG2590">
        <v>0</v>
      </c>
      <c r="AH2590">
        <v>0</v>
      </c>
      <c r="AI2590">
        <v>300</v>
      </c>
      <c r="AJ2590">
        <v>3</v>
      </c>
      <c r="AK2590">
        <v>0</v>
      </c>
      <c r="AL2590">
        <v>0</v>
      </c>
      <c r="AM2590">
        <v>300</v>
      </c>
      <c r="AN2590">
        <v>0</v>
      </c>
      <c r="AO2590">
        <v>0</v>
      </c>
      <c r="AP2590">
        <v>0</v>
      </c>
      <c r="AQ2590">
        <v>0</v>
      </c>
      <c r="AS2590">
        <v>0</v>
      </c>
      <c r="AT2590">
        <v>0</v>
      </c>
      <c r="AV2590">
        <v>0</v>
      </c>
      <c r="AW2590">
        <v>0</v>
      </c>
      <c r="AY2590">
        <v>0</v>
      </c>
      <c r="AZ2590">
        <v>0</v>
      </c>
      <c r="BA2590">
        <v>210</v>
      </c>
      <c r="BE2590" t="str">
        <f>T("9791162589724")</f>
        <v>9791162589724</v>
      </c>
      <c r="BF2590" t="str">
        <f>T("E448284")</f>
        <v>E448284</v>
      </c>
      <c r="BG2590" t="str">
        <f>T("판타지 웹소설 &gt; 퓨전 판타지")</f>
        <v>판타지 웹소설 &gt; 퓨전 판타지</v>
      </c>
    </row>
    <row r="2591" spans="1:59">
      <c r="A2591" t="s">
        <v>60</v>
      </c>
      <c r="B2591" s="1">
        <v>46129</v>
      </c>
      <c r="C2591">
        <v>2378009513</v>
      </c>
      <c r="D2591">
        <v>2378009561</v>
      </c>
      <c r="E2591" t="str">
        <f>T("문과라도 안 죄송한 이세계로 감 49화")</f>
        <v>문과라도 안 죄송한 이세계로 감 49화</v>
      </c>
      <c r="F2591">
        <v>49</v>
      </c>
      <c r="G2591" t="str">
        <f>T("정수읠")</f>
        <v>정수읠</v>
      </c>
      <c r="J2591" t="str">
        <f>T("매드햇")</f>
        <v>매드햇</v>
      </c>
      <c r="K2591" t="str">
        <f>T("문과라도 안 죄송한 이세계로 감")</f>
        <v>문과라도 안 죄송한 이세계로 감</v>
      </c>
      <c r="L2591">
        <v>100</v>
      </c>
      <c r="M2591">
        <v>200</v>
      </c>
      <c r="N2591">
        <v>2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0</v>
      </c>
      <c r="AE2591">
        <v>0</v>
      </c>
      <c r="AF2591">
        <v>0</v>
      </c>
      <c r="AG2591">
        <v>0</v>
      </c>
      <c r="AH2591">
        <v>0</v>
      </c>
      <c r="AI2591">
        <v>200</v>
      </c>
      <c r="AJ2591">
        <v>2</v>
      </c>
      <c r="AK2591">
        <v>0</v>
      </c>
      <c r="AL2591">
        <v>0</v>
      </c>
      <c r="AM2591">
        <v>200</v>
      </c>
      <c r="AN2591">
        <v>0</v>
      </c>
      <c r="AO2591">
        <v>0</v>
      </c>
      <c r="AP2591">
        <v>0</v>
      </c>
      <c r="AQ2591">
        <v>0</v>
      </c>
      <c r="AS2591">
        <v>0</v>
      </c>
      <c r="AT2591">
        <v>0</v>
      </c>
      <c r="AV2591">
        <v>0</v>
      </c>
      <c r="AW2591">
        <v>0</v>
      </c>
      <c r="AY2591">
        <v>0</v>
      </c>
      <c r="AZ2591">
        <v>0</v>
      </c>
      <c r="BA2591">
        <v>140</v>
      </c>
      <c r="BE2591" t="str">
        <f>T("9791162589724")</f>
        <v>9791162589724</v>
      </c>
      <c r="BF2591" t="str">
        <f>T("E448285")</f>
        <v>E448285</v>
      </c>
      <c r="BG2591" t="str">
        <f>T("판타지 웹소설 &gt; 퓨전 판타지")</f>
        <v>판타지 웹소설 &gt; 퓨전 판타지</v>
      </c>
    </row>
    <row r="2592" spans="1:59">
      <c r="A2592" t="s">
        <v>60</v>
      </c>
      <c r="B2592" s="1">
        <v>46129</v>
      </c>
      <c r="C2592">
        <v>2378009513</v>
      </c>
      <c r="D2592">
        <v>2378009562</v>
      </c>
      <c r="E2592" t="str">
        <f>T("문과라도 안 죄송한 이세계로 감 50화")</f>
        <v>문과라도 안 죄송한 이세계로 감 50화</v>
      </c>
      <c r="F2592">
        <v>50</v>
      </c>
      <c r="G2592" t="str">
        <f>T("정수읠")</f>
        <v>정수읠</v>
      </c>
      <c r="J2592" t="str">
        <f>T("매드햇")</f>
        <v>매드햇</v>
      </c>
      <c r="K2592" t="str">
        <f>T("문과라도 안 죄송한 이세계로 감")</f>
        <v>문과라도 안 죄송한 이세계로 감</v>
      </c>
      <c r="L2592">
        <v>100</v>
      </c>
      <c r="M2592">
        <v>200</v>
      </c>
      <c r="N2592">
        <v>2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0</v>
      </c>
      <c r="AE2592">
        <v>0</v>
      </c>
      <c r="AF2592">
        <v>0</v>
      </c>
      <c r="AG2592">
        <v>0</v>
      </c>
      <c r="AH2592">
        <v>0</v>
      </c>
      <c r="AI2592">
        <v>200</v>
      </c>
      <c r="AJ2592">
        <v>2</v>
      </c>
      <c r="AK2592">
        <v>0</v>
      </c>
      <c r="AL2592">
        <v>0</v>
      </c>
      <c r="AM2592">
        <v>200</v>
      </c>
      <c r="AN2592">
        <v>0</v>
      </c>
      <c r="AO2592">
        <v>0</v>
      </c>
      <c r="AP2592">
        <v>0</v>
      </c>
      <c r="AQ2592">
        <v>0</v>
      </c>
      <c r="AS2592">
        <v>0</v>
      </c>
      <c r="AT2592">
        <v>0</v>
      </c>
      <c r="AV2592">
        <v>0</v>
      </c>
      <c r="AW2592">
        <v>0</v>
      </c>
      <c r="AY2592">
        <v>0</v>
      </c>
      <c r="AZ2592">
        <v>0</v>
      </c>
      <c r="BA2592">
        <v>140</v>
      </c>
      <c r="BE2592" t="str">
        <f>T("9791162589724")</f>
        <v>9791162589724</v>
      </c>
      <c r="BF2592" t="str">
        <f>T("E448286")</f>
        <v>E448286</v>
      </c>
      <c r="BG2592" t="str">
        <f>T("판타지 웹소설 &gt; 퓨전 판타지")</f>
        <v>판타지 웹소설 &gt; 퓨전 판타지</v>
      </c>
    </row>
    <row r="2593" spans="1:59">
      <c r="A2593" t="s">
        <v>60</v>
      </c>
      <c r="B2593" s="1">
        <v>46129</v>
      </c>
      <c r="C2593">
        <v>2378009513</v>
      </c>
      <c r="D2593">
        <v>2378009563</v>
      </c>
      <c r="E2593" t="str">
        <f>T("문과라도 안 죄송한 이세계로 감 51화")</f>
        <v>문과라도 안 죄송한 이세계로 감 51화</v>
      </c>
      <c r="F2593">
        <v>51</v>
      </c>
      <c r="G2593" t="str">
        <f>T("정수읠")</f>
        <v>정수읠</v>
      </c>
      <c r="J2593" t="str">
        <f>T("매드햇")</f>
        <v>매드햇</v>
      </c>
      <c r="K2593" t="str">
        <f>T("문과라도 안 죄송한 이세계로 감")</f>
        <v>문과라도 안 죄송한 이세계로 감</v>
      </c>
      <c r="L2593">
        <v>100</v>
      </c>
      <c r="M2593">
        <v>200</v>
      </c>
      <c r="N2593">
        <v>2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0</v>
      </c>
      <c r="AE2593">
        <v>0</v>
      </c>
      <c r="AF2593">
        <v>0</v>
      </c>
      <c r="AG2593">
        <v>0</v>
      </c>
      <c r="AH2593">
        <v>0</v>
      </c>
      <c r="AI2593">
        <v>200</v>
      </c>
      <c r="AJ2593">
        <v>2</v>
      </c>
      <c r="AK2593">
        <v>0</v>
      </c>
      <c r="AL2593">
        <v>0</v>
      </c>
      <c r="AM2593">
        <v>200</v>
      </c>
      <c r="AN2593">
        <v>0</v>
      </c>
      <c r="AO2593">
        <v>0</v>
      </c>
      <c r="AP2593">
        <v>0</v>
      </c>
      <c r="AQ2593">
        <v>0</v>
      </c>
      <c r="AS2593">
        <v>0</v>
      </c>
      <c r="AT2593">
        <v>0</v>
      </c>
      <c r="AV2593">
        <v>0</v>
      </c>
      <c r="AW2593">
        <v>0</v>
      </c>
      <c r="AY2593">
        <v>0</v>
      </c>
      <c r="AZ2593">
        <v>0</v>
      </c>
      <c r="BA2593">
        <v>140</v>
      </c>
      <c r="BE2593" t="str">
        <f>T("9791162589724")</f>
        <v>9791162589724</v>
      </c>
      <c r="BF2593" t="str">
        <f>T("E448287")</f>
        <v>E448287</v>
      </c>
      <c r="BG2593" t="str">
        <f>T("판타지 웹소설 &gt; 퓨전 판타지")</f>
        <v>판타지 웹소설 &gt; 퓨전 판타지</v>
      </c>
    </row>
    <row r="2594" spans="1:59">
      <c r="A2594" t="s">
        <v>60</v>
      </c>
      <c r="B2594" s="1">
        <v>46129</v>
      </c>
      <c r="C2594">
        <v>2378009513</v>
      </c>
      <c r="D2594">
        <v>2378009564</v>
      </c>
      <c r="E2594" t="str">
        <f>T("문과라도 안 죄송한 이세계로 감 52화")</f>
        <v>문과라도 안 죄송한 이세계로 감 52화</v>
      </c>
      <c r="F2594">
        <v>52</v>
      </c>
      <c r="G2594" t="str">
        <f>T("정수읠")</f>
        <v>정수읠</v>
      </c>
      <c r="J2594" t="str">
        <f>T("매드햇")</f>
        <v>매드햇</v>
      </c>
      <c r="K2594" t="str">
        <f>T("문과라도 안 죄송한 이세계로 감")</f>
        <v>문과라도 안 죄송한 이세계로 감</v>
      </c>
      <c r="L2594">
        <v>100</v>
      </c>
      <c r="M2594">
        <v>200</v>
      </c>
      <c r="N2594">
        <v>2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0</v>
      </c>
      <c r="AE2594">
        <v>0</v>
      </c>
      <c r="AF2594">
        <v>0</v>
      </c>
      <c r="AG2594">
        <v>0</v>
      </c>
      <c r="AH2594">
        <v>0</v>
      </c>
      <c r="AI2594">
        <v>200</v>
      </c>
      <c r="AJ2594">
        <v>2</v>
      </c>
      <c r="AK2594">
        <v>0</v>
      </c>
      <c r="AL2594">
        <v>0</v>
      </c>
      <c r="AM2594">
        <v>200</v>
      </c>
      <c r="AN2594">
        <v>0</v>
      </c>
      <c r="AO2594">
        <v>0</v>
      </c>
      <c r="AP2594">
        <v>0</v>
      </c>
      <c r="AQ2594">
        <v>0</v>
      </c>
      <c r="AS2594">
        <v>0</v>
      </c>
      <c r="AT2594">
        <v>0</v>
      </c>
      <c r="AV2594">
        <v>0</v>
      </c>
      <c r="AW2594">
        <v>0</v>
      </c>
      <c r="AY2594">
        <v>0</v>
      </c>
      <c r="AZ2594">
        <v>0</v>
      </c>
      <c r="BA2594">
        <v>140</v>
      </c>
      <c r="BE2594" t="str">
        <f>T("9791162589724")</f>
        <v>9791162589724</v>
      </c>
      <c r="BF2594" t="str">
        <f>T("E448288")</f>
        <v>E448288</v>
      </c>
      <c r="BG2594" t="str">
        <f>T("판타지 웹소설 &gt; 퓨전 판타지")</f>
        <v>판타지 웹소설 &gt; 퓨전 판타지</v>
      </c>
    </row>
    <row r="2595" spans="1:59">
      <c r="A2595" t="s">
        <v>60</v>
      </c>
      <c r="B2595" s="1">
        <v>46129</v>
      </c>
      <c r="C2595">
        <v>2378009513</v>
      </c>
      <c r="D2595">
        <v>2378009565</v>
      </c>
      <c r="E2595" t="str">
        <f>T("문과라도 안 죄송한 이세계로 감 53화")</f>
        <v>문과라도 안 죄송한 이세계로 감 53화</v>
      </c>
      <c r="F2595">
        <v>53</v>
      </c>
      <c r="G2595" t="str">
        <f>T("정수읠")</f>
        <v>정수읠</v>
      </c>
      <c r="J2595" t="str">
        <f>T("매드햇")</f>
        <v>매드햇</v>
      </c>
      <c r="K2595" t="str">
        <f>T("문과라도 안 죄송한 이세계로 감")</f>
        <v>문과라도 안 죄송한 이세계로 감</v>
      </c>
      <c r="L2595">
        <v>100</v>
      </c>
      <c r="M2595">
        <v>200</v>
      </c>
      <c r="N2595">
        <v>2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0</v>
      </c>
      <c r="AE2595">
        <v>0</v>
      </c>
      <c r="AF2595">
        <v>0</v>
      </c>
      <c r="AG2595">
        <v>0</v>
      </c>
      <c r="AH2595">
        <v>0</v>
      </c>
      <c r="AI2595">
        <v>200</v>
      </c>
      <c r="AJ2595">
        <v>2</v>
      </c>
      <c r="AK2595">
        <v>0</v>
      </c>
      <c r="AL2595">
        <v>0</v>
      </c>
      <c r="AM2595">
        <v>200</v>
      </c>
      <c r="AN2595">
        <v>0</v>
      </c>
      <c r="AO2595">
        <v>0</v>
      </c>
      <c r="AP2595">
        <v>0</v>
      </c>
      <c r="AQ2595">
        <v>0</v>
      </c>
      <c r="AS2595">
        <v>0</v>
      </c>
      <c r="AT2595">
        <v>0</v>
      </c>
      <c r="AV2595">
        <v>0</v>
      </c>
      <c r="AW2595">
        <v>0</v>
      </c>
      <c r="AY2595">
        <v>0</v>
      </c>
      <c r="AZ2595">
        <v>0</v>
      </c>
      <c r="BA2595">
        <v>140</v>
      </c>
      <c r="BE2595" t="str">
        <f>T("9791162589724")</f>
        <v>9791162589724</v>
      </c>
      <c r="BF2595" t="str">
        <f>T("E448289")</f>
        <v>E448289</v>
      </c>
      <c r="BG2595" t="str">
        <f>T("판타지 웹소설 &gt; 퓨전 판타지")</f>
        <v>판타지 웹소설 &gt; 퓨전 판타지</v>
      </c>
    </row>
    <row r="2596" spans="1:59">
      <c r="A2596" t="s">
        <v>60</v>
      </c>
      <c r="B2596" s="1">
        <v>46129</v>
      </c>
      <c r="C2596">
        <v>2378009513</v>
      </c>
      <c r="D2596">
        <v>2378009566</v>
      </c>
      <c r="E2596" t="str">
        <f>T("문과라도 안 죄송한 이세계로 감 54화")</f>
        <v>문과라도 안 죄송한 이세계로 감 54화</v>
      </c>
      <c r="F2596">
        <v>54</v>
      </c>
      <c r="G2596" t="str">
        <f>T("정수읠")</f>
        <v>정수읠</v>
      </c>
      <c r="J2596" t="str">
        <f>T("매드햇")</f>
        <v>매드햇</v>
      </c>
      <c r="K2596" t="str">
        <f>T("문과라도 안 죄송한 이세계로 감")</f>
        <v>문과라도 안 죄송한 이세계로 감</v>
      </c>
      <c r="L2596">
        <v>100</v>
      </c>
      <c r="M2596">
        <v>200</v>
      </c>
      <c r="N2596">
        <v>2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0</v>
      </c>
      <c r="AE2596">
        <v>0</v>
      </c>
      <c r="AF2596">
        <v>0</v>
      </c>
      <c r="AG2596">
        <v>0</v>
      </c>
      <c r="AH2596">
        <v>0</v>
      </c>
      <c r="AI2596">
        <v>200</v>
      </c>
      <c r="AJ2596">
        <v>2</v>
      </c>
      <c r="AK2596">
        <v>0</v>
      </c>
      <c r="AL2596">
        <v>0</v>
      </c>
      <c r="AM2596">
        <v>200</v>
      </c>
      <c r="AN2596">
        <v>0</v>
      </c>
      <c r="AO2596">
        <v>0</v>
      </c>
      <c r="AP2596">
        <v>0</v>
      </c>
      <c r="AQ2596">
        <v>0</v>
      </c>
      <c r="AS2596">
        <v>0</v>
      </c>
      <c r="AT2596">
        <v>0</v>
      </c>
      <c r="AV2596">
        <v>0</v>
      </c>
      <c r="AW2596">
        <v>0</v>
      </c>
      <c r="AY2596">
        <v>0</v>
      </c>
      <c r="AZ2596">
        <v>0</v>
      </c>
      <c r="BA2596">
        <v>140</v>
      </c>
      <c r="BE2596" t="str">
        <f>T("9791162589724")</f>
        <v>9791162589724</v>
      </c>
      <c r="BF2596" t="str">
        <f>T("E448290")</f>
        <v>E448290</v>
      </c>
      <c r="BG2596" t="str">
        <f>T("판타지 웹소설 &gt; 퓨전 판타지")</f>
        <v>판타지 웹소설 &gt; 퓨전 판타지</v>
      </c>
    </row>
    <row r="2597" spans="1:59">
      <c r="A2597" t="s">
        <v>60</v>
      </c>
      <c r="B2597" s="1">
        <v>46129</v>
      </c>
      <c r="C2597">
        <v>2378009513</v>
      </c>
      <c r="D2597">
        <v>2378009567</v>
      </c>
      <c r="E2597" t="str">
        <f>T("문과라도 안 죄송한 이세계로 감 55화")</f>
        <v>문과라도 안 죄송한 이세계로 감 55화</v>
      </c>
      <c r="F2597">
        <v>55</v>
      </c>
      <c r="G2597" t="str">
        <f>T("정수읠")</f>
        <v>정수읠</v>
      </c>
      <c r="J2597" t="str">
        <f>T("매드햇")</f>
        <v>매드햇</v>
      </c>
      <c r="K2597" t="str">
        <f>T("문과라도 안 죄송한 이세계로 감")</f>
        <v>문과라도 안 죄송한 이세계로 감</v>
      </c>
      <c r="L2597">
        <v>100</v>
      </c>
      <c r="M2597">
        <v>200</v>
      </c>
      <c r="N2597">
        <v>2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0</v>
      </c>
      <c r="AE2597">
        <v>0</v>
      </c>
      <c r="AF2597">
        <v>0</v>
      </c>
      <c r="AG2597">
        <v>0</v>
      </c>
      <c r="AH2597">
        <v>0</v>
      </c>
      <c r="AI2597">
        <v>200</v>
      </c>
      <c r="AJ2597">
        <v>2</v>
      </c>
      <c r="AK2597">
        <v>0</v>
      </c>
      <c r="AL2597">
        <v>0</v>
      </c>
      <c r="AM2597">
        <v>200</v>
      </c>
      <c r="AN2597">
        <v>0</v>
      </c>
      <c r="AO2597">
        <v>0</v>
      </c>
      <c r="AP2597">
        <v>0</v>
      </c>
      <c r="AQ2597">
        <v>0</v>
      </c>
      <c r="AS2597">
        <v>0</v>
      </c>
      <c r="AT2597">
        <v>0</v>
      </c>
      <c r="AV2597">
        <v>0</v>
      </c>
      <c r="AW2597">
        <v>0</v>
      </c>
      <c r="AY2597">
        <v>0</v>
      </c>
      <c r="AZ2597">
        <v>0</v>
      </c>
      <c r="BA2597">
        <v>140</v>
      </c>
      <c r="BE2597" t="str">
        <f>T("9791162589724")</f>
        <v>9791162589724</v>
      </c>
      <c r="BF2597" t="str">
        <f>T("E448291")</f>
        <v>E448291</v>
      </c>
      <c r="BG2597" t="str">
        <f>T("판타지 웹소설 &gt; 퓨전 판타지")</f>
        <v>판타지 웹소설 &gt; 퓨전 판타지</v>
      </c>
    </row>
    <row r="2598" spans="1:59">
      <c r="A2598" t="s">
        <v>60</v>
      </c>
      <c r="B2598" s="1">
        <v>46129</v>
      </c>
      <c r="C2598">
        <v>2378009513</v>
      </c>
      <c r="D2598">
        <v>2378009568</v>
      </c>
      <c r="E2598" t="str">
        <f>T("문과라도 안 죄송한 이세계로 감 56화")</f>
        <v>문과라도 안 죄송한 이세계로 감 56화</v>
      </c>
      <c r="F2598">
        <v>56</v>
      </c>
      <c r="G2598" t="str">
        <f>T("정수읠")</f>
        <v>정수읠</v>
      </c>
      <c r="J2598" t="str">
        <f>T("매드햇")</f>
        <v>매드햇</v>
      </c>
      <c r="K2598" t="str">
        <f>T("문과라도 안 죄송한 이세계로 감")</f>
        <v>문과라도 안 죄송한 이세계로 감</v>
      </c>
      <c r="L2598">
        <v>100</v>
      </c>
      <c r="M2598">
        <v>200</v>
      </c>
      <c r="N2598">
        <v>2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0</v>
      </c>
      <c r="AE2598">
        <v>0</v>
      </c>
      <c r="AF2598">
        <v>0</v>
      </c>
      <c r="AG2598">
        <v>0</v>
      </c>
      <c r="AH2598">
        <v>0</v>
      </c>
      <c r="AI2598">
        <v>200</v>
      </c>
      <c r="AJ2598">
        <v>2</v>
      </c>
      <c r="AK2598">
        <v>0</v>
      </c>
      <c r="AL2598">
        <v>0</v>
      </c>
      <c r="AM2598">
        <v>200</v>
      </c>
      <c r="AN2598">
        <v>0</v>
      </c>
      <c r="AO2598">
        <v>0</v>
      </c>
      <c r="AP2598">
        <v>0</v>
      </c>
      <c r="AQ2598">
        <v>0</v>
      </c>
      <c r="AS2598">
        <v>0</v>
      </c>
      <c r="AT2598">
        <v>0</v>
      </c>
      <c r="AV2598">
        <v>0</v>
      </c>
      <c r="AW2598">
        <v>0</v>
      </c>
      <c r="AY2598">
        <v>0</v>
      </c>
      <c r="AZ2598">
        <v>0</v>
      </c>
      <c r="BA2598">
        <v>140</v>
      </c>
      <c r="BE2598" t="str">
        <f>T("9791162589724")</f>
        <v>9791162589724</v>
      </c>
      <c r="BF2598" t="str">
        <f>T("E448292")</f>
        <v>E448292</v>
      </c>
      <c r="BG2598" t="str">
        <f>T("판타지 웹소설 &gt; 퓨전 판타지")</f>
        <v>판타지 웹소설 &gt; 퓨전 판타지</v>
      </c>
    </row>
    <row r="2599" spans="1:59">
      <c r="A2599" t="s">
        <v>60</v>
      </c>
      <c r="B2599" s="1">
        <v>46129</v>
      </c>
      <c r="C2599">
        <v>2378009513</v>
      </c>
      <c r="D2599">
        <v>2378009569</v>
      </c>
      <c r="E2599" t="str">
        <f>T("문과라도 안 죄송한 이세계로 감 57화")</f>
        <v>문과라도 안 죄송한 이세계로 감 57화</v>
      </c>
      <c r="F2599">
        <v>57</v>
      </c>
      <c r="G2599" t="str">
        <f>T("정수읠")</f>
        <v>정수읠</v>
      </c>
      <c r="J2599" t="str">
        <f>T("매드햇")</f>
        <v>매드햇</v>
      </c>
      <c r="K2599" t="str">
        <f>T("문과라도 안 죄송한 이세계로 감")</f>
        <v>문과라도 안 죄송한 이세계로 감</v>
      </c>
      <c r="L2599">
        <v>100</v>
      </c>
      <c r="M2599">
        <v>200</v>
      </c>
      <c r="N2599">
        <v>2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0</v>
      </c>
      <c r="AE2599">
        <v>0</v>
      </c>
      <c r="AF2599">
        <v>0</v>
      </c>
      <c r="AG2599">
        <v>0</v>
      </c>
      <c r="AH2599">
        <v>0</v>
      </c>
      <c r="AI2599">
        <v>200</v>
      </c>
      <c r="AJ2599">
        <v>2</v>
      </c>
      <c r="AK2599">
        <v>0</v>
      </c>
      <c r="AL2599">
        <v>0</v>
      </c>
      <c r="AM2599">
        <v>200</v>
      </c>
      <c r="AN2599">
        <v>0</v>
      </c>
      <c r="AO2599">
        <v>0</v>
      </c>
      <c r="AP2599">
        <v>0</v>
      </c>
      <c r="AQ2599">
        <v>0</v>
      </c>
      <c r="AS2599">
        <v>0</v>
      </c>
      <c r="AT2599">
        <v>0</v>
      </c>
      <c r="AV2599">
        <v>0</v>
      </c>
      <c r="AW2599">
        <v>0</v>
      </c>
      <c r="AY2599">
        <v>0</v>
      </c>
      <c r="AZ2599">
        <v>0</v>
      </c>
      <c r="BA2599">
        <v>140</v>
      </c>
      <c r="BE2599" t="str">
        <f>T("9791162589724")</f>
        <v>9791162589724</v>
      </c>
      <c r="BF2599" t="str">
        <f>T("E448293")</f>
        <v>E448293</v>
      </c>
      <c r="BG2599" t="str">
        <f>T("판타지 웹소설 &gt; 퓨전 판타지")</f>
        <v>판타지 웹소설 &gt; 퓨전 판타지</v>
      </c>
    </row>
    <row r="2600" spans="1:59">
      <c r="A2600" t="s">
        <v>60</v>
      </c>
      <c r="B2600" s="1">
        <v>46129</v>
      </c>
      <c r="C2600">
        <v>2378009513</v>
      </c>
      <c r="D2600">
        <v>2378009570</v>
      </c>
      <c r="E2600" t="str">
        <f>T("문과라도 안 죄송한 이세계로 감 58화")</f>
        <v>문과라도 안 죄송한 이세계로 감 58화</v>
      </c>
      <c r="F2600">
        <v>58</v>
      </c>
      <c r="G2600" t="str">
        <f>T("정수읠")</f>
        <v>정수읠</v>
      </c>
      <c r="J2600" t="str">
        <f>T("매드햇")</f>
        <v>매드햇</v>
      </c>
      <c r="K2600" t="str">
        <f>T("문과라도 안 죄송한 이세계로 감")</f>
        <v>문과라도 안 죄송한 이세계로 감</v>
      </c>
      <c r="L2600">
        <v>100</v>
      </c>
      <c r="M2600">
        <v>200</v>
      </c>
      <c r="N2600">
        <v>2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0</v>
      </c>
      <c r="AE2600">
        <v>0</v>
      </c>
      <c r="AF2600">
        <v>0</v>
      </c>
      <c r="AG2600">
        <v>0</v>
      </c>
      <c r="AH2600">
        <v>0</v>
      </c>
      <c r="AI2600">
        <v>200</v>
      </c>
      <c r="AJ2600">
        <v>2</v>
      </c>
      <c r="AK2600">
        <v>0</v>
      </c>
      <c r="AL2600">
        <v>0</v>
      </c>
      <c r="AM2600">
        <v>200</v>
      </c>
      <c r="AN2600">
        <v>0</v>
      </c>
      <c r="AO2600">
        <v>0</v>
      </c>
      <c r="AP2600">
        <v>0</v>
      </c>
      <c r="AQ2600">
        <v>0</v>
      </c>
      <c r="AS2600">
        <v>0</v>
      </c>
      <c r="AT2600">
        <v>0</v>
      </c>
      <c r="AV2600">
        <v>0</v>
      </c>
      <c r="AW2600">
        <v>0</v>
      </c>
      <c r="AY2600">
        <v>0</v>
      </c>
      <c r="AZ2600">
        <v>0</v>
      </c>
      <c r="BA2600">
        <v>140</v>
      </c>
      <c r="BE2600" t="str">
        <f>T("9791162589724")</f>
        <v>9791162589724</v>
      </c>
      <c r="BF2600" t="str">
        <f>T("E448294")</f>
        <v>E448294</v>
      </c>
      <c r="BG2600" t="str">
        <f>T("판타지 웹소설 &gt; 퓨전 판타지")</f>
        <v>판타지 웹소설 &gt; 퓨전 판타지</v>
      </c>
    </row>
    <row r="2601" spans="1:59">
      <c r="A2601" t="s">
        <v>60</v>
      </c>
      <c r="B2601" s="1">
        <v>46129</v>
      </c>
      <c r="C2601">
        <v>2378009513</v>
      </c>
      <c r="D2601">
        <v>2378009571</v>
      </c>
      <c r="E2601" t="str">
        <f>T("문과라도 안 죄송한 이세계로 감 59화")</f>
        <v>문과라도 안 죄송한 이세계로 감 59화</v>
      </c>
      <c r="F2601">
        <v>59</v>
      </c>
      <c r="G2601" t="str">
        <f>T("정수읠")</f>
        <v>정수읠</v>
      </c>
      <c r="J2601" t="str">
        <f>T("매드햇")</f>
        <v>매드햇</v>
      </c>
      <c r="K2601" t="str">
        <f>T("문과라도 안 죄송한 이세계로 감")</f>
        <v>문과라도 안 죄송한 이세계로 감</v>
      </c>
      <c r="L2601">
        <v>100</v>
      </c>
      <c r="M2601">
        <v>200</v>
      </c>
      <c r="N2601">
        <v>2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0</v>
      </c>
      <c r="AE2601">
        <v>0</v>
      </c>
      <c r="AF2601">
        <v>0</v>
      </c>
      <c r="AG2601">
        <v>0</v>
      </c>
      <c r="AH2601">
        <v>0</v>
      </c>
      <c r="AI2601">
        <v>200</v>
      </c>
      <c r="AJ2601">
        <v>2</v>
      </c>
      <c r="AK2601">
        <v>0</v>
      </c>
      <c r="AL2601">
        <v>0</v>
      </c>
      <c r="AM2601">
        <v>200</v>
      </c>
      <c r="AN2601">
        <v>0</v>
      </c>
      <c r="AO2601">
        <v>0</v>
      </c>
      <c r="AP2601">
        <v>0</v>
      </c>
      <c r="AQ2601">
        <v>0</v>
      </c>
      <c r="AS2601">
        <v>0</v>
      </c>
      <c r="AT2601">
        <v>0</v>
      </c>
      <c r="AV2601">
        <v>0</v>
      </c>
      <c r="AW2601">
        <v>0</v>
      </c>
      <c r="AY2601">
        <v>0</v>
      </c>
      <c r="AZ2601">
        <v>0</v>
      </c>
      <c r="BA2601">
        <v>140</v>
      </c>
      <c r="BE2601" t="str">
        <f>T("9791162589724")</f>
        <v>9791162589724</v>
      </c>
      <c r="BF2601" t="str">
        <f>T("E448295")</f>
        <v>E448295</v>
      </c>
      <c r="BG2601" t="str">
        <f>T("판타지 웹소설 &gt; 퓨전 판타지")</f>
        <v>판타지 웹소설 &gt; 퓨전 판타지</v>
      </c>
    </row>
    <row r="2602" spans="1:59">
      <c r="A2602" t="s">
        <v>60</v>
      </c>
      <c r="B2602" s="1">
        <v>46129</v>
      </c>
      <c r="C2602">
        <v>2378009513</v>
      </c>
      <c r="D2602">
        <v>2378009572</v>
      </c>
      <c r="E2602" t="str">
        <f>T("문과라도 안 죄송한 이세계로 감 60화")</f>
        <v>문과라도 안 죄송한 이세계로 감 60화</v>
      </c>
      <c r="F2602">
        <v>60</v>
      </c>
      <c r="G2602" t="str">
        <f>T("정수읠")</f>
        <v>정수읠</v>
      </c>
      <c r="J2602" t="str">
        <f>T("매드햇")</f>
        <v>매드햇</v>
      </c>
      <c r="K2602" t="str">
        <f>T("문과라도 안 죄송한 이세계로 감")</f>
        <v>문과라도 안 죄송한 이세계로 감</v>
      </c>
      <c r="L2602">
        <v>100</v>
      </c>
      <c r="M2602">
        <v>200</v>
      </c>
      <c r="N2602">
        <v>2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0</v>
      </c>
      <c r="AE2602">
        <v>0</v>
      </c>
      <c r="AF2602">
        <v>0</v>
      </c>
      <c r="AG2602">
        <v>0</v>
      </c>
      <c r="AH2602">
        <v>0</v>
      </c>
      <c r="AI2602">
        <v>200</v>
      </c>
      <c r="AJ2602">
        <v>2</v>
      </c>
      <c r="AK2602">
        <v>0</v>
      </c>
      <c r="AL2602">
        <v>0</v>
      </c>
      <c r="AM2602">
        <v>200</v>
      </c>
      <c r="AN2602">
        <v>0</v>
      </c>
      <c r="AO2602">
        <v>0</v>
      </c>
      <c r="AP2602">
        <v>0</v>
      </c>
      <c r="AQ2602">
        <v>0</v>
      </c>
      <c r="AS2602">
        <v>0</v>
      </c>
      <c r="AT2602">
        <v>0</v>
      </c>
      <c r="AV2602">
        <v>0</v>
      </c>
      <c r="AW2602">
        <v>0</v>
      </c>
      <c r="AY2602">
        <v>0</v>
      </c>
      <c r="AZ2602">
        <v>0</v>
      </c>
      <c r="BA2602">
        <v>140</v>
      </c>
      <c r="BE2602" t="str">
        <f>T("9791162589724")</f>
        <v>9791162589724</v>
      </c>
      <c r="BF2602" t="str">
        <f>T("E448296")</f>
        <v>E448296</v>
      </c>
      <c r="BG2602" t="str">
        <f>T("판타지 웹소설 &gt; 퓨전 판타지")</f>
        <v>판타지 웹소설 &gt; 퓨전 판타지</v>
      </c>
    </row>
    <row r="2603" spans="1:59">
      <c r="A2603" t="s">
        <v>60</v>
      </c>
      <c r="B2603" s="1">
        <v>46129</v>
      </c>
      <c r="C2603">
        <v>2378009513</v>
      </c>
      <c r="D2603">
        <v>2378009573</v>
      </c>
      <c r="E2603" t="str">
        <f>T("문과라도 안 죄송한 이세계로 감 61화")</f>
        <v>문과라도 안 죄송한 이세계로 감 61화</v>
      </c>
      <c r="F2603">
        <v>61</v>
      </c>
      <c r="G2603" t="str">
        <f>T("정수읠")</f>
        <v>정수읠</v>
      </c>
      <c r="J2603" t="str">
        <f>T("매드햇")</f>
        <v>매드햇</v>
      </c>
      <c r="K2603" t="str">
        <f>T("문과라도 안 죄송한 이세계로 감")</f>
        <v>문과라도 안 죄송한 이세계로 감</v>
      </c>
      <c r="L2603">
        <v>100</v>
      </c>
      <c r="M2603">
        <v>200</v>
      </c>
      <c r="N2603">
        <v>2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0</v>
      </c>
      <c r="AE2603">
        <v>0</v>
      </c>
      <c r="AF2603">
        <v>0</v>
      </c>
      <c r="AG2603">
        <v>0</v>
      </c>
      <c r="AH2603">
        <v>0</v>
      </c>
      <c r="AI2603">
        <v>200</v>
      </c>
      <c r="AJ2603">
        <v>2</v>
      </c>
      <c r="AK2603">
        <v>0</v>
      </c>
      <c r="AL2603">
        <v>0</v>
      </c>
      <c r="AM2603">
        <v>200</v>
      </c>
      <c r="AN2603">
        <v>0</v>
      </c>
      <c r="AO2603">
        <v>0</v>
      </c>
      <c r="AP2603">
        <v>0</v>
      </c>
      <c r="AQ2603">
        <v>0</v>
      </c>
      <c r="AS2603">
        <v>0</v>
      </c>
      <c r="AT2603">
        <v>0</v>
      </c>
      <c r="AV2603">
        <v>0</v>
      </c>
      <c r="AW2603">
        <v>0</v>
      </c>
      <c r="AY2603">
        <v>0</v>
      </c>
      <c r="AZ2603">
        <v>0</v>
      </c>
      <c r="BA2603">
        <v>140</v>
      </c>
      <c r="BE2603" t="str">
        <f>T("9791162589724")</f>
        <v>9791162589724</v>
      </c>
      <c r="BF2603" t="str">
        <f>T("E448297")</f>
        <v>E448297</v>
      </c>
      <c r="BG2603" t="str">
        <f>T("판타지 웹소설 &gt; 퓨전 판타지")</f>
        <v>판타지 웹소설 &gt; 퓨전 판타지</v>
      </c>
    </row>
    <row r="2604" spans="1:59">
      <c r="A2604" t="s">
        <v>60</v>
      </c>
      <c r="B2604" s="1">
        <v>46129</v>
      </c>
      <c r="C2604">
        <v>2378009513</v>
      </c>
      <c r="D2604">
        <v>2378009574</v>
      </c>
      <c r="E2604" t="str">
        <f>T("문과라도 안 죄송한 이세계로 감 62화")</f>
        <v>문과라도 안 죄송한 이세계로 감 62화</v>
      </c>
      <c r="F2604">
        <v>62</v>
      </c>
      <c r="G2604" t="str">
        <f>T("정수읠")</f>
        <v>정수읠</v>
      </c>
      <c r="J2604" t="str">
        <f>T("매드햇")</f>
        <v>매드햇</v>
      </c>
      <c r="K2604" t="str">
        <f>T("문과라도 안 죄송한 이세계로 감")</f>
        <v>문과라도 안 죄송한 이세계로 감</v>
      </c>
      <c r="L2604">
        <v>100</v>
      </c>
      <c r="M2604">
        <v>200</v>
      </c>
      <c r="N2604">
        <v>2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0</v>
      </c>
      <c r="AE2604">
        <v>0</v>
      </c>
      <c r="AF2604">
        <v>0</v>
      </c>
      <c r="AG2604">
        <v>0</v>
      </c>
      <c r="AH2604">
        <v>0</v>
      </c>
      <c r="AI2604">
        <v>200</v>
      </c>
      <c r="AJ2604">
        <v>2</v>
      </c>
      <c r="AK2604">
        <v>0</v>
      </c>
      <c r="AL2604">
        <v>0</v>
      </c>
      <c r="AM2604">
        <v>200</v>
      </c>
      <c r="AN2604">
        <v>0</v>
      </c>
      <c r="AO2604">
        <v>0</v>
      </c>
      <c r="AP2604">
        <v>0</v>
      </c>
      <c r="AQ2604">
        <v>0</v>
      </c>
      <c r="AS2604">
        <v>0</v>
      </c>
      <c r="AT2604">
        <v>0</v>
      </c>
      <c r="AV2604">
        <v>0</v>
      </c>
      <c r="AW2604">
        <v>0</v>
      </c>
      <c r="AY2604">
        <v>0</v>
      </c>
      <c r="AZ2604">
        <v>0</v>
      </c>
      <c r="BA2604">
        <v>140</v>
      </c>
      <c r="BE2604" t="str">
        <f>T("9791162589724")</f>
        <v>9791162589724</v>
      </c>
      <c r="BF2604" t="str">
        <f>T("E448298")</f>
        <v>E448298</v>
      </c>
      <c r="BG2604" t="str">
        <f>T("판타지 웹소설 &gt; 퓨전 판타지")</f>
        <v>판타지 웹소설 &gt; 퓨전 판타지</v>
      </c>
    </row>
    <row r="2605" spans="1:59">
      <c r="A2605" t="s">
        <v>60</v>
      </c>
      <c r="B2605" s="1">
        <v>46129</v>
      </c>
      <c r="C2605">
        <v>2378009513</v>
      </c>
      <c r="D2605">
        <v>2378009575</v>
      </c>
      <c r="E2605" t="str">
        <f>T("문과라도 안 죄송한 이세계로 감 63화")</f>
        <v>문과라도 안 죄송한 이세계로 감 63화</v>
      </c>
      <c r="F2605">
        <v>63</v>
      </c>
      <c r="G2605" t="str">
        <f>T("정수읠")</f>
        <v>정수읠</v>
      </c>
      <c r="J2605" t="str">
        <f>T("매드햇")</f>
        <v>매드햇</v>
      </c>
      <c r="K2605" t="str">
        <f>T("문과라도 안 죄송한 이세계로 감")</f>
        <v>문과라도 안 죄송한 이세계로 감</v>
      </c>
      <c r="L2605">
        <v>100</v>
      </c>
      <c r="M2605">
        <v>200</v>
      </c>
      <c r="N2605">
        <v>2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0</v>
      </c>
      <c r="AE2605">
        <v>0</v>
      </c>
      <c r="AF2605">
        <v>0</v>
      </c>
      <c r="AG2605">
        <v>0</v>
      </c>
      <c r="AH2605">
        <v>0</v>
      </c>
      <c r="AI2605">
        <v>200</v>
      </c>
      <c r="AJ2605">
        <v>2</v>
      </c>
      <c r="AK2605">
        <v>0</v>
      </c>
      <c r="AL2605">
        <v>0</v>
      </c>
      <c r="AM2605">
        <v>200</v>
      </c>
      <c r="AN2605">
        <v>0</v>
      </c>
      <c r="AO2605">
        <v>0</v>
      </c>
      <c r="AP2605">
        <v>0</v>
      </c>
      <c r="AQ2605">
        <v>0</v>
      </c>
      <c r="AS2605">
        <v>0</v>
      </c>
      <c r="AT2605">
        <v>0</v>
      </c>
      <c r="AV2605">
        <v>0</v>
      </c>
      <c r="AW2605">
        <v>0</v>
      </c>
      <c r="AY2605">
        <v>0</v>
      </c>
      <c r="AZ2605">
        <v>0</v>
      </c>
      <c r="BA2605">
        <v>140</v>
      </c>
      <c r="BE2605" t="str">
        <f>T("9791162589724")</f>
        <v>9791162589724</v>
      </c>
      <c r="BF2605" t="str">
        <f>T("E448299")</f>
        <v>E448299</v>
      </c>
      <c r="BG2605" t="str">
        <f>T("판타지 웹소설 &gt; 퓨전 판타지")</f>
        <v>판타지 웹소설 &gt; 퓨전 판타지</v>
      </c>
    </row>
    <row r="2606" spans="1:59">
      <c r="A2606" t="s">
        <v>60</v>
      </c>
      <c r="B2606" s="1">
        <v>46129</v>
      </c>
      <c r="C2606">
        <v>2378009513</v>
      </c>
      <c r="D2606">
        <v>2378009576</v>
      </c>
      <c r="E2606" t="str">
        <f>T("문과라도 안 죄송한 이세계로 감 64화")</f>
        <v>문과라도 안 죄송한 이세계로 감 64화</v>
      </c>
      <c r="F2606">
        <v>64</v>
      </c>
      <c r="G2606" t="str">
        <f>T("정수읠")</f>
        <v>정수읠</v>
      </c>
      <c r="J2606" t="str">
        <f>T("매드햇")</f>
        <v>매드햇</v>
      </c>
      <c r="K2606" t="str">
        <f>T("문과라도 안 죄송한 이세계로 감")</f>
        <v>문과라도 안 죄송한 이세계로 감</v>
      </c>
      <c r="L2606">
        <v>100</v>
      </c>
      <c r="M2606">
        <v>200</v>
      </c>
      <c r="N2606">
        <v>2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0</v>
      </c>
      <c r="AE2606">
        <v>0</v>
      </c>
      <c r="AF2606">
        <v>0</v>
      </c>
      <c r="AG2606">
        <v>0</v>
      </c>
      <c r="AH2606">
        <v>0</v>
      </c>
      <c r="AI2606">
        <v>200</v>
      </c>
      <c r="AJ2606">
        <v>2</v>
      </c>
      <c r="AK2606">
        <v>0</v>
      </c>
      <c r="AL2606">
        <v>0</v>
      </c>
      <c r="AM2606">
        <v>200</v>
      </c>
      <c r="AN2606">
        <v>0</v>
      </c>
      <c r="AO2606">
        <v>0</v>
      </c>
      <c r="AP2606">
        <v>0</v>
      </c>
      <c r="AQ2606">
        <v>0</v>
      </c>
      <c r="AS2606">
        <v>0</v>
      </c>
      <c r="AT2606">
        <v>0</v>
      </c>
      <c r="AV2606">
        <v>0</v>
      </c>
      <c r="AW2606">
        <v>0</v>
      </c>
      <c r="AY2606">
        <v>0</v>
      </c>
      <c r="AZ2606">
        <v>0</v>
      </c>
      <c r="BA2606">
        <v>140</v>
      </c>
      <c r="BE2606" t="str">
        <f>T("9791162589724")</f>
        <v>9791162589724</v>
      </c>
      <c r="BF2606" t="str">
        <f>T("E448300")</f>
        <v>E448300</v>
      </c>
      <c r="BG2606" t="str">
        <f>T("판타지 웹소설 &gt; 퓨전 판타지")</f>
        <v>판타지 웹소설 &gt; 퓨전 판타지</v>
      </c>
    </row>
    <row r="2607" spans="1:59">
      <c r="A2607" t="s">
        <v>60</v>
      </c>
      <c r="B2607" s="1">
        <v>46129</v>
      </c>
      <c r="C2607">
        <v>2378009513</v>
      </c>
      <c r="D2607">
        <v>2378009577</v>
      </c>
      <c r="E2607" t="str">
        <f>T("문과라도 안 죄송한 이세계로 감 65화")</f>
        <v>문과라도 안 죄송한 이세계로 감 65화</v>
      </c>
      <c r="F2607">
        <v>65</v>
      </c>
      <c r="G2607" t="str">
        <f>T("정수읠")</f>
        <v>정수읠</v>
      </c>
      <c r="J2607" t="str">
        <f>T("매드햇")</f>
        <v>매드햇</v>
      </c>
      <c r="K2607" t="str">
        <f>T("문과라도 안 죄송한 이세계로 감")</f>
        <v>문과라도 안 죄송한 이세계로 감</v>
      </c>
      <c r="L2607">
        <v>100</v>
      </c>
      <c r="M2607">
        <v>200</v>
      </c>
      <c r="N2607">
        <v>2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0</v>
      </c>
      <c r="AE2607">
        <v>0</v>
      </c>
      <c r="AF2607">
        <v>0</v>
      </c>
      <c r="AG2607">
        <v>0</v>
      </c>
      <c r="AH2607">
        <v>0</v>
      </c>
      <c r="AI2607">
        <v>200</v>
      </c>
      <c r="AJ2607">
        <v>2</v>
      </c>
      <c r="AK2607">
        <v>0</v>
      </c>
      <c r="AL2607">
        <v>0</v>
      </c>
      <c r="AM2607">
        <v>200</v>
      </c>
      <c r="AN2607">
        <v>0</v>
      </c>
      <c r="AO2607">
        <v>0</v>
      </c>
      <c r="AP2607">
        <v>0</v>
      </c>
      <c r="AQ2607">
        <v>0</v>
      </c>
      <c r="AS2607">
        <v>0</v>
      </c>
      <c r="AT2607">
        <v>0</v>
      </c>
      <c r="AV2607">
        <v>0</v>
      </c>
      <c r="AW2607">
        <v>0</v>
      </c>
      <c r="AY2607">
        <v>0</v>
      </c>
      <c r="AZ2607">
        <v>0</v>
      </c>
      <c r="BA2607">
        <v>140</v>
      </c>
      <c r="BE2607" t="str">
        <f>T("9791162589724")</f>
        <v>9791162589724</v>
      </c>
      <c r="BF2607" t="str">
        <f>T("E448301")</f>
        <v>E448301</v>
      </c>
      <c r="BG2607" t="str">
        <f>T("판타지 웹소설 &gt; 퓨전 판타지")</f>
        <v>판타지 웹소설 &gt; 퓨전 판타지</v>
      </c>
    </row>
    <row r="2608" spans="1:59">
      <c r="A2608" t="s">
        <v>60</v>
      </c>
      <c r="B2608" s="1">
        <v>46129</v>
      </c>
      <c r="C2608">
        <v>2378009513</v>
      </c>
      <c r="D2608">
        <v>2378009578</v>
      </c>
      <c r="E2608" t="str">
        <f>T("문과라도 안 죄송한 이세계로 감 66화")</f>
        <v>문과라도 안 죄송한 이세계로 감 66화</v>
      </c>
      <c r="F2608">
        <v>66</v>
      </c>
      <c r="G2608" t="str">
        <f>T("정수읠")</f>
        <v>정수읠</v>
      </c>
      <c r="J2608" t="str">
        <f>T("매드햇")</f>
        <v>매드햇</v>
      </c>
      <c r="K2608" t="str">
        <f>T("문과라도 안 죄송한 이세계로 감")</f>
        <v>문과라도 안 죄송한 이세계로 감</v>
      </c>
      <c r="L2608">
        <v>100</v>
      </c>
      <c r="M2608">
        <v>200</v>
      </c>
      <c r="N2608">
        <v>2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0</v>
      </c>
      <c r="AE2608">
        <v>0</v>
      </c>
      <c r="AF2608">
        <v>0</v>
      </c>
      <c r="AG2608">
        <v>0</v>
      </c>
      <c r="AH2608">
        <v>0</v>
      </c>
      <c r="AI2608">
        <v>200</v>
      </c>
      <c r="AJ2608">
        <v>2</v>
      </c>
      <c r="AK2608">
        <v>0</v>
      </c>
      <c r="AL2608">
        <v>0</v>
      </c>
      <c r="AM2608">
        <v>200</v>
      </c>
      <c r="AN2608">
        <v>0</v>
      </c>
      <c r="AO2608">
        <v>0</v>
      </c>
      <c r="AP2608">
        <v>0</v>
      </c>
      <c r="AQ2608">
        <v>0</v>
      </c>
      <c r="AS2608">
        <v>0</v>
      </c>
      <c r="AT2608">
        <v>0</v>
      </c>
      <c r="AV2608">
        <v>0</v>
      </c>
      <c r="AW2608">
        <v>0</v>
      </c>
      <c r="AY2608">
        <v>0</v>
      </c>
      <c r="AZ2608">
        <v>0</v>
      </c>
      <c r="BA2608">
        <v>140</v>
      </c>
      <c r="BE2608" t="str">
        <f>T("9791162589724")</f>
        <v>9791162589724</v>
      </c>
      <c r="BF2608" t="str">
        <f>T("E448302")</f>
        <v>E448302</v>
      </c>
      <c r="BG2608" t="str">
        <f>T("판타지 웹소설 &gt; 퓨전 판타지")</f>
        <v>판타지 웹소설 &gt; 퓨전 판타지</v>
      </c>
    </row>
    <row r="2609" spans="1:59">
      <c r="A2609" t="s">
        <v>60</v>
      </c>
      <c r="B2609" s="1">
        <v>46129</v>
      </c>
      <c r="C2609">
        <v>2378009513</v>
      </c>
      <c r="D2609">
        <v>2378009579</v>
      </c>
      <c r="E2609" t="str">
        <f>T("문과라도 안 죄송한 이세계로 감 67화")</f>
        <v>문과라도 안 죄송한 이세계로 감 67화</v>
      </c>
      <c r="F2609">
        <v>67</v>
      </c>
      <c r="G2609" t="str">
        <f>T("정수읠")</f>
        <v>정수읠</v>
      </c>
      <c r="J2609" t="str">
        <f>T("매드햇")</f>
        <v>매드햇</v>
      </c>
      <c r="K2609" t="str">
        <f>T("문과라도 안 죄송한 이세계로 감")</f>
        <v>문과라도 안 죄송한 이세계로 감</v>
      </c>
      <c r="L2609">
        <v>100</v>
      </c>
      <c r="M2609">
        <v>100</v>
      </c>
      <c r="N2609">
        <v>1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0</v>
      </c>
      <c r="AE2609">
        <v>0</v>
      </c>
      <c r="AF2609">
        <v>0</v>
      </c>
      <c r="AG2609">
        <v>0</v>
      </c>
      <c r="AH2609">
        <v>0</v>
      </c>
      <c r="AI2609">
        <v>100</v>
      </c>
      <c r="AJ2609">
        <v>1</v>
      </c>
      <c r="AK2609">
        <v>0</v>
      </c>
      <c r="AL2609">
        <v>0</v>
      </c>
      <c r="AM2609">
        <v>100</v>
      </c>
      <c r="AN2609">
        <v>0</v>
      </c>
      <c r="AO2609">
        <v>0</v>
      </c>
      <c r="AP2609">
        <v>0</v>
      </c>
      <c r="AQ2609">
        <v>0</v>
      </c>
      <c r="AS2609">
        <v>0</v>
      </c>
      <c r="AT2609">
        <v>0</v>
      </c>
      <c r="AV2609">
        <v>0</v>
      </c>
      <c r="AW2609">
        <v>0</v>
      </c>
      <c r="AY2609">
        <v>0</v>
      </c>
      <c r="AZ2609">
        <v>0</v>
      </c>
      <c r="BA2609">
        <v>70</v>
      </c>
      <c r="BE2609" t="str">
        <f>T("9791162589724")</f>
        <v>9791162589724</v>
      </c>
      <c r="BF2609" t="str">
        <f>T("E448303")</f>
        <v>E448303</v>
      </c>
      <c r="BG2609" t="str">
        <f>T("판타지 웹소설 &gt; 퓨전 판타지")</f>
        <v>판타지 웹소설 &gt; 퓨전 판타지</v>
      </c>
    </row>
    <row r="2610" spans="1:59">
      <c r="A2610" t="s">
        <v>60</v>
      </c>
      <c r="B2610" s="1">
        <v>46129</v>
      </c>
      <c r="C2610">
        <v>2378009513</v>
      </c>
      <c r="D2610">
        <v>2378009580</v>
      </c>
      <c r="E2610" t="str">
        <f>T("문과라도 안 죄송한 이세계로 감 68화")</f>
        <v>문과라도 안 죄송한 이세계로 감 68화</v>
      </c>
      <c r="F2610">
        <v>68</v>
      </c>
      <c r="G2610" t="str">
        <f>T("정수읠")</f>
        <v>정수읠</v>
      </c>
      <c r="J2610" t="str">
        <f>T("매드햇")</f>
        <v>매드햇</v>
      </c>
      <c r="K2610" t="str">
        <f>T("문과라도 안 죄송한 이세계로 감")</f>
        <v>문과라도 안 죄송한 이세계로 감</v>
      </c>
      <c r="L2610">
        <v>100</v>
      </c>
      <c r="M2610">
        <v>100</v>
      </c>
      <c r="N2610">
        <v>1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0</v>
      </c>
      <c r="AE2610">
        <v>0</v>
      </c>
      <c r="AF2610">
        <v>0</v>
      </c>
      <c r="AG2610">
        <v>0</v>
      </c>
      <c r="AH2610">
        <v>0</v>
      </c>
      <c r="AI2610">
        <v>100</v>
      </c>
      <c r="AJ2610">
        <v>1</v>
      </c>
      <c r="AK2610">
        <v>0</v>
      </c>
      <c r="AL2610">
        <v>0</v>
      </c>
      <c r="AM2610">
        <v>100</v>
      </c>
      <c r="AN2610">
        <v>0</v>
      </c>
      <c r="AO2610">
        <v>0</v>
      </c>
      <c r="AP2610">
        <v>0</v>
      </c>
      <c r="AQ2610">
        <v>0</v>
      </c>
      <c r="AS2610">
        <v>0</v>
      </c>
      <c r="AT2610">
        <v>0</v>
      </c>
      <c r="AV2610">
        <v>0</v>
      </c>
      <c r="AW2610">
        <v>0</v>
      </c>
      <c r="AY2610">
        <v>0</v>
      </c>
      <c r="AZ2610">
        <v>0</v>
      </c>
      <c r="BA2610">
        <v>70</v>
      </c>
      <c r="BE2610" t="str">
        <f>T("9791162589724")</f>
        <v>9791162589724</v>
      </c>
      <c r="BF2610" t="str">
        <f>T("E448304")</f>
        <v>E448304</v>
      </c>
      <c r="BG2610" t="str">
        <f>T("판타지 웹소설 &gt; 퓨전 판타지")</f>
        <v>판타지 웹소설 &gt; 퓨전 판타지</v>
      </c>
    </row>
    <row r="2611" spans="1:59">
      <c r="A2611" t="s">
        <v>60</v>
      </c>
      <c r="B2611" s="1">
        <v>46129</v>
      </c>
      <c r="C2611">
        <v>2378009513</v>
      </c>
      <c r="D2611">
        <v>2378009581</v>
      </c>
      <c r="E2611" t="str">
        <f>T("문과라도 안 죄송한 이세계로 감 69화")</f>
        <v>문과라도 안 죄송한 이세계로 감 69화</v>
      </c>
      <c r="F2611">
        <v>69</v>
      </c>
      <c r="G2611" t="str">
        <f>T("정수읠")</f>
        <v>정수읠</v>
      </c>
      <c r="J2611" t="str">
        <f>T("매드햇")</f>
        <v>매드햇</v>
      </c>
      <c r="K2611" t="str">
        <f>T("문과라도 안 죄송한 이세계로 감")</f>
        <v>문과라도 안 죄송한 이세계로 감</v>
      </c>
      <c r="L2611">
        <v>100</v>
      </c>
      <c r="M2611">
        <v>100</v>
      </c>
      <c r="N2611">
        <v>1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0</v>
      </c>
      <c r="AE2611">
        <v>0</v>
      </c>
      <c r="AF2611">
        <v>0</v>
      </c>
      <c r="AG2611">
        <v>0</v>
      </c>
      <c r="AH2611">
        <v>0</v>
      </c>
      <c r="AI2611">
        <v>100</v>
      </c>
      <c r="AJ2611">
        <v>1</v>
      </c>
      <c r="AK2611">
        <v>0</v>
      </c>
      <c r="AL2611">
        <v>0</v>
      </c>
      <c r="AM2611">
        <v>100</v>
      </c>
      <c r="AN2611">
        <v>0</v>
      </c>
      <c r="AO2611">
        <v>0</v>
      </c>
      <c r="AP2611">
        <v>0</v>
      </c>
      <c r="AQ2611">
        <v>0</v>
      </c>
      <c r="AS2611">
        <v>0</v>
      </c>
      <c r="AT2611">
        <v>0</v>
      </c>
      <c r="AV2611">
        <v>0</v>
      </c>
      <c r="AW2611">
        <v>0</v>
      </c>
      <c r="AY2611">
        <v>0</v>
      </c>
      <c r="AZ2611">
        <v>0</v>
      </c>
      <c r="BA2611">
        <v>70</v>
      </c>
      <c r="BE2611" t="str">
        <f>T("9791162589724")</f>
        <v>9791162589724</v>
      </c>
      <c r="BF2611" t="str">
        <f>T("E448305")</f>
        <v>E448305</v>
      </c>
      <c r="BG2611" t="str">
        <f>T("판타지 웹소설 &gt; 퓨전 판타지")</f>
        <v>판타지 웹소설 &gt; 퓨전 판타지</v>
      </c>
    </row>
    <row r="2612" spans="1:59">
      <c r="A2612" t="s">
        <v>60</v>
      </c>
      <c r="B2612" s="1">
        <v>46129</v>
      </c>
      <c r="C2612">
        <v>2378009513</v>
      </c>
      <c r="D2612">
        <v>2378009582</v>
      </c>
      <c r="E2612" t="str">
        <f>T("문과라도 안 죄송한 이세계로 감 70화")</f>
        <v>문과라도 안 죄송한 이세계로 감 70화</v>
      </c>
      <c r="F2612">
        <v>70</v>
      </c>
      <c r="G2612" t="str">
        <f>T("정수읠")</f>
        <v>정수읠</v>
      </c>
      <c r="J2612" t="str">
        <f>T("매드햇")</f>
        <v>매드햇</v>
      </c>
      <c r="K2612" t="str">
        <f>T("문과라도 안 죄송한 이세계로 감")</f>
        <v>문과라도 안 죄송한 이세계로 감</v>
      </c>
      <c r="L2612">
        <v>100</v>
      </c>
      <c r="M2612">
        <v>100</v>
      </c>
      <c r="N2612">
        <v>1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0</v>
      </c>
      <c r="AE2612">
        <v>0</v>
      </c>
      <c r="AF2612">
        <v>0</v>
      </c>
      <c r="AG2612">
        <v>0</v>
      </c>
      <c r="AH2612">
        <v>0</v>
      </c>
      <c r="AI2612">
        <v>100</v>
      </c>
      <c r="AJ2612">
        <v>1</v>
      </c>
      <c r="AK2612">
        <v>0</v>
      </c>
      <c r="AL2612">
        <v>0</v>
      </c>
      <c r="AM2612">
        <v>100</v>
      </c>
      <c r="AN2612">
        <v>0</v>
      </c>
      <c r="AO2612">
        <v>0</v>
      </c>
      <c r="AP2612">
        <v>0</v>
      </c>
      <c r="AQ2612">
        <v>0</v>
      </c>
      <c r="AS2612">
        <v>0</v>
      </c>
      <c r="AT2612">
        <v>0</v>
      </c>
      <c r="AV2612">
        <v>0</v>
      </c>
      <c r="AW2612">
        <v>0</v>
      </c>
      <c r="AY2612">
        <v>0</v>
      </c>
      <c r="AZ2612">
        <v>0</v>
      </c>
      <c r="BA2612">
        <v>70</v>
      </c>
      <c r="BE2612" t="str">
        <f>T("9791162589724")</f>
        <v>9791162589724</v>
      </c>
      <c r="BF2612" t="str">
        <f>T("E448306")</f>
        <v>E448306</v>
      </c>
      <c r="BG2612" t="str">
        <f>T("판타지 웹소설 &gt; 퓨전 판타지")</f>
        <v>판타지 웹소설 &gt; 퓨전 판타지</v>
      </c>
    </row>
    <row r="2613" spans="1:59">
      <c r="A2613" t="s">
        <v>60</v>
      </c>
      <c r="B2613" s="1">
        <v>46129</v>
      </c>
      <c r="C2613">
        <v>2378009513</v>
      </c>
      <c r="D2613">
        <v>2378009583</v>
      </c>
      <c r="E2613" t="str">
        <f>T("문과라도 안 죄송한 이세계로 감 71화")</f>
        <v>문과라도 안 죄송한 이세계로 감 71화</v>
      </c>
      <c r="F2613">
        <v>71</v>
      </c>
      <c r="G2613" t="str">
        <f>T("정수읠")</f>
        <v>정수읠</v>
      </c>
      <c r="J2613" t="str">
        <f>T("매드햇")</f>
        <v>매드햇</v>
      </c>
      <c r="K2613" t="str">
        <f>T("문과라도 안 죄송한 이세계로 감")</f>
        <v>문과라도 안 죄송한 이세계로 감</v>
      </c>
      <c r="L2613">
        <v>100</v>
      </c>
      <c r="M2613">
        <v>100</v>
      </c>
      <c r="N2613">
        <v>1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0</v>
      </c>
      <c r="AE2613">
        <v>0</v>
      </c>
      <c r="AF2613">
        <v>0</v>
      </c>
      <c r="AG2613">
        <v>0</v>
      </c>
      <c r="AH2613">
        <v>0</v>
      </c>
      <c r="AI2613">
        <v>100</v>
      </c>
      <c r="AJ2613">
        <v>1</v>
      </c>
      <c r="AK2613">
        <v>0</v>
      </c>
      <c r="AL2613">
        <v>0</v>
      </c>
      <c r="AM2613">
        <v>100</v>
      </c>
      <c r="AN2613">
        <v>0</v>
      </c>
      <c r="AO2613">
        <v>0</v>
      </c>
      <c r="AP2613">
        <v>0</v>
      </c>
      <c r="AQ2613">
        <v>0</v>
      </c>
      <c r="AS2613">
        <v>0</v>
      </c>
      <c r="AT2613">
        <v>0</v>
      </c>
      <c r="AV2613">
        <v>0</v>
      </c>
      <c r="AW2613">
        <v>0</v>
      </c>
      <c r="AY2613">
        <v>0</v>
      </c>
      <c r="AZ2613">
        <v>0</v>
      </c>
      <c r="BA2613">
        <v>70</v>
      </c>
      <c r="BE2613" t="str">
        <f>T("9791162589724")</f>
        <v>9791162589724</v>
      </c>
      <c r="BF2613" t="str">
        <f>T("E448307")</f>
        <v>E448307</v>
      </c>
      <c r="BG2613" t="str">
        <f>T("판타지 웹소설 &gt; 퓨전 판타지")</f>
        <v>판타지 웹소설 &gt; 퓨전 판타지</v>
      </c>
    </row>
    <row r="2614" spans="1:59">
      <c r="A2614" t="s">
        <v>60</v>
      </c>
      <c r="B2614" s="1">
        <v>46129</v>
      </c>
      <c r="C2614">
        <v>2378009513</v>
      </c>
      <c r="D2614">
        <v>2378009584</v>
      </c>
      <c r="E2614" t="str">
        <f>T("문과라도 안 죄송한 이세계로 감 72화")</f>
        <v>문과라도 안 죄송한 이세계로 감 72화</v>
      </c>
      <c r="F2614">
        <v>72</v>
      </c>
      <c r="G2614" t="str">
        <f>T("정수읠")</f>
        <v>정수읠</v>
      </c>
      <c r="J2614" t="str">
        <f>T("매드햇")</f>
        <v>매드햇</v>
      </c>
      <c r="K2614" t="str">
        <f>T("문과라도 안 죄송한 이세계로 감")</f>
        <v>문과라도 안 죄송한 이세계로 감</v>
      </c>
      <c r="L2614">
        <v>100</v>
      </c>
      <c r="M2614">
        <v>100</v>
      </c>
      <c r="N2614">
        <v>1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0</v>
      </c>
      <c r="AE2614">
        <v>0</v>
      </c>
      <c r="AF2614">
        <v>0</v>
      </c>
      <c r="AG2614">
        <v>0</v>
      </c>
      <c r="AH2614">
        <v>0</v>
      </c>
      <c r="AI2614">
        <v>100</v>
      </c>
      <c r="AJ2614">
        <v>1</v>
      </c>
      <c r="AK2614">
        <v>0</v>
      </c>
      <c r="AL2614">
        <v>0</v>
      </c>
      <c r="AM2614">
        <v>100</v>
      </c>
      <c r="AN2614">
        <v>0</v>
      </c>
      <c r="AO2614">
        <v>0</v>
      </c>
      <c r="AP2614">
        <v>0</v>
      </c>
      <c r="AQ2614">
        <v>0</v>
      </c>
      <c r="AS2614">
        <v>0</v>
      </c>
      <c r="AT2614">
        <v>0</v>
      </c>
      <c r="AV2614">
        <v>0</v>
      </c>
      <c r="AW2614">
        <v>0</v>
      </c>
      <c r="AY2614">
        <v>0</v>
      </c>
      <c r="AZ2614">
        <v>0</v>
      </c>
      <c r="BA2614">
        <v>70</v>
      </c>
      <c r="BE2614" t="str">
        <f>T("9791162589724")</f>
        <v>9791162589724</v>
      </c>
      <c r="BF2614" t="str">
        <f>T("E448308")</f>
        <v>E448308</v>
      </c>
      <c r="BG2614" t="str">
        <f>T("판타지 웹소설 &gt; 퓨전 판타지")</f>
        <v>판타지 웹소설 &gt; 퓨전 판타지</v>
      </c>
    </row>
    <row r="2615" spans="1:59">
      <c r="A2615" t="s">
        <v>60</v>
      </c>
      <c r="B2615" s="1">
        <v>46129</v>
      </c>
      <c r="C2615">
        <v>2378009513</v>
      </c>
      <c r="D2615">
        <v>2378009585</v>
      </c>
      <c r="E2615" t="str">
        <f>T("문과라도 안 죄송한 이세계로 감 73화")</f>
        <v>문과라도 안 죄송한 이세계로 감 73화</v>
      </c>
      <c r="F2615">
        <v>73</v>
      </c>
      <c r="G2615" t="str">
        <f>T("정수읠")</f>
        <v>정수읠</v>
      </c>
      <c r="J2615" t="str">
        <f>T("매드햇")</f>
        <v>매드햇</v>
      </c>
      <c r="K2615" t="str">
        <f>T("문과라도 안 죄송한 이세계로 감")</f>
        <v>문과라도 안 죄송한 이세계로 감</v>
      </c>
      <c r="L2615">
        <v>100</v>
      </c>
      <c r="M2615">
        <v>100</v>
      </c>
      <c r="N2615">
        <v>1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0</v>
      </c>
      <c r="AE2615">
        <v>0</v>
      </c>
      <c r="AF2615">
        <v>0</v>
      </c>
      <c r="AG2615">
        <v>0</v>
      </c>
      <c r="AH2615">
        <v>0</v>
      </c>
      <c r="AI2615">
        <v>100</v>
      </c>
      <c r="AJ2615">
        <v>1</v>
      </c>
      <c r="AK2615">
        <v>0</v>
      </c>
      <c r="AL2615">
        <v>0</v>
      </c>
      <c r="AM2615">
        <v>100</v>
      </c>
      <c r="AN2615">
        <v>0</v>
      </c>
      <c r="AO2615">
        <v>0</v>
      </c>
      <c r="AP2615">
        <v>0</v>
      </c>
      <c r="AQ2615">
        <v>0</v>
      </c>
      <c r="AS2615">
        <v>0</v>
      </c>
      <c r="AT2615">
        <v>0</v>
      </c>
      <c r="AV2615">
        <v>0</v>
      </c>
      <c r="AW2615">
        <v>0</v>
      </c>
      <c r="AY2615">
        <v>0</v>
      </c>
      <c r="AZ2615">
        <v>0</v>
      </c>
      <c r="BA2615">
        <v>70</v>
      </c>
      <c r="BE2615" t="str">
        <f>T("9791162589724")</f>
        <v>9791162589724</v>
      </c>
      <c r="BF2615" t="str">
        <f>T("E448309")</f>
        <v>E448309</v>
      </c>
      <c r="BG2615" t="str">
        <f>T("판타지 웹소설 &gt; 퓨전 판타지")</f>
        <v>판타지 웹소설 &gt; 퓨전 판타지</v>
      </c>
    </row>
    <row r="2616" spans="1:59">
      <c r="A2616" t="s">
        <v>60</v>
      </c>
      <c r="B2616" s="1">
        <v>46129</v>
      </c>
      <c r="C2616">
        <v>2378009513</v>
      </c>
      <c r="D2616">
        <v>2378009586</v>
      </c>
      <c r="E2616" t="str">
        <f>T("문과라도 안 죄송한 이세계로 감 74화")</f>
        <v>문과라도 안 죄송한 이세계로 감 74화</v>
      </c>
      <c r="F2616">
        <v>74</v>
      </c>
      <c r="G2616" t="str">
        <f>T("정수읠")</f>
        <v>정수읠</v>
      </c>
      <c r="J2616" t="str">
        <f>T("매드햇")</f>
        <v>매드햇</v>
      </c>
      <c r="K2616" t="str">
        <f>T("문과라도 안 죄송한 이세계로 감")</f>
        <v>문과라도 안 죄송한 이세계로 감</v>
      </c>
      <c r="L2616">
        <v>100</v>
      </c>
      <c r="M2616">
        <v>100</v>
      </c>
      <c r="N2616">
        <v>1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0</v>
      </c>
      <c r="AE2616">
        <v>0</v>
      </c>
      <c r="AF2616">
        <v>0</v>
      </c>
      <c r="AG2616">
        <v>0</v>
      </c>
      <c r="AH2616">
        <v>0</v>
      </c>
      <c r="AI2616">
        <v>100</v>
      </c>
      <c r="AJ2616">
        <v>1</v>
      </c>
      <c r="AK2616">
        <v>0</v>
      </c>
      <c r="AL2616">
        <v>0</v>
      </c>
      <c r="AM2616">
        <v>100</v>
      </c>
      <c r="AN2616">
        <v>0</v>
      </c>
      <c r="AO2616">
        <v>0</v>
      </c>
      <c r="AP2616">
        <v>0</v>
      </c>
      <c r="AQ2616">
        <v>0</v>
      </c>
      <c r="AS2616">
        <v>0</v>
      </c>
      <c r="AT2616">
        <v>0</v>
      </c>
      <c r="AV2616">
        <v>0</v>
      </c>
      <c r="AW2616">
        <v>0</v>
      </c>
      <c r="AY2616">
        <v>0</v>
      </c>
      <c r="AZ2616">
        <v>0</v>
      </c>
      <c r="BA2616">
        <v>70</v>
      </c>
      <c r="BE2616" t="str">
        <f>T("9791162589724")</f>
        <v>9791162589724</v>
      </c>
      <c r="BF2616" t="str">
        <f>T("E448310")</f>
        <v>E448310</v>
      </c>
      <c r="BG2616" t="str">
        <f>T("판타지 웹소설 &gt; 퓨전 판타지")</f>
        <v>판타지 웹소설 &gt; 퓨전 판타지</v>
      </c>
    </row>
    <row r="2617" spans="1:59">
      <c r="A2617" t="s">
        <v>60</v>
      </c>
      <c r="B2617" s="1">
        <v>46129</v>
      </c>
      <c r="C2617">
        <v>2378009513</v>
      </c>
      <c r="D2617">
        <v>2378009587</v>
      </c>
      <c r="E2617" t="str">
        <f>T("문과라도 안 죄송한 이세계로 감 75화")</f>
        <v>문과라도 안 죄송한 이세계로 감 75화</v>
      </c>
      <c r="F2617">
        <v>75</v>
      </c>
      <c r="G2617" t="str">
        <f>T("정수읠")</f>
        <v>정수읠</v>
      </c>
      <c r="J2617" t="str">
        <f>T("매드햇")</f>
        <v>매드햇</v>
      </c>
      <c r="K2617" t="str">
        <f>T("문과라도 안 죄송한 이세계로 감")</f>
        <v>문과라도 안 죄송한 이세계로 감</v>
      </c>
      <c r="L2617">
        <v>100</v>
      </c>
      <c r="M2617">
        <v>100</v>
      </c>
      <c r="N2617">
        <v>1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0</v>
      </c>
      <c r="AE2617">
        <v>0</v>
      </c>
      <c r="AF2617">
        <v>0</v>
      </c>
      <c r="AG2617">
        <v>0</v>
      </c>
      <c r="AH2617">
        <v>0</v>
      </c>
      <c r="AI2617">
        <v>100</v>
      </c>
      <c r="AJ2617">
        <v>1</v>
      </c>
      <c r="AK2617">
        <v>0</v>
      </c>
      <c r="AL2617">
        <v>0</v>
      </c>
      <c r="AM2617">
        <v>100</v>
      </c>
      <c r="AN2617">
        <v>0</v>
      </c>
      <c r="AO2617">
        <v>0</v>
      </c>
      <c r="AP2617">
        <v>0</v>
      </c>
      <c r="AQ2617">
        <v>0</v>
      </c>
      <c r="AS2617">
        <v>0</v>
      </c>
      <c r="AT2617">
        <v>0</v>
      </c>
      <c r="AV2617">
        <v>0</v>
      </c>
      <c r="AW2617">
        <v>0</v>
      </c>
      <c r="AY2617">
        <v>0</v>
      </c>
      <c r="AZ2617">
        <v>0</v>
      </c>
      <c r="BA2617">
        <v>70</v>
      </c>
      <c r="BE2617" t="str">
        <f>T("9791162589724")</f>
        <v>9791162589724</v>
      </c>
      <c r="BF2617" t="str">
        <f>T("E448311")</f>
        <v>E448311</v>
      </c>
      <c r="BG2617" t="str">
        <f>T("판타지 웹소설 &gt; 퓨전 판타지")</f>
        <v>판타지 웹소설 &gt; 퓨전 판타지</v>
      </c>
    </row>
    <row r="2618" spans="1:59">
      <c r="A2618" t="s">
        <v>60</v>
      </c>
      <c r="B2618" s="1">
        <v>46129</v>
      </c>
      <c r="C2618">
        <v>2378009513</v>
      </c>
      <c r="D2618">
        <v>2378009588</v>
      </c>
      <c r="E2618" t="str">
        <f>T("문과라도 안 죄송한 이세계로 감 76화")</f>
        <v>문과라도 안 죄송한 이세계로 감 76화</v>
      </c>
      <c r="F2618">
        <v>76</v>
      </c>
      <c r="G2618" t="str">
        <f>T("정수읠")</f>
        <v>정수읠</v>
      </c>
      <c r="J2618" t="str">
        <f>T("매드햇")</f>
        <v>매드햇</v>
      </c>
      <c r="K2618" t="str">
        <f>T("문과라도 안 죄송한 이세계로 감")</f>
        <v>문과라도 안 죄송한 이세계로 감</v>
      </c>
      <c r="L2618">
        <v>100</v>
      </c>
      <c r="M2618">
        <v>100</v>
      </c>
      <c r="N2618">
        <v>1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0</v>
      </c>
      <c r="AE2618">
        <v>0</v>
      </c>
      <c r="AF2618">
        <v>0</v>
      </c>
      <c r="AG2618">
        <v>0</v>
      </c>
      <c r="AH2618">
        <v>0</v>
      </c>
      <c r="AI2618">
        <v>100</v>
      </c>
      <c r="AJ2618">
        <v>1</v>
      </c>
      <c r="AK2618">
        <v>0</v>
      </c>
      <c r="AL2618">
        <v>0</v>
      </c>
      <c r="AM2618">
        <v>100</v>
      </c>
      <c r="AN2618">
        <v>0</v>
      </c>
      <c r="AO2618">
        <v>0</v>
      </c>
      <c r="AP2618">
        <v>0</v>
      </c>
      <c r="AQ2618">
        <v>0</v>
      </c>
      <c r="AS2618">
        <v>0</v>
      </c>
      <c r="AT2618">
        <v>0</v>
      </c>
      <c r="AV2618">
        <v>0</v>
      </c>
      <c r="AW2618">
        <v>0</v>
      </c>
      <c r="AY2618">
        <v>0</v>
      </c>
      <c r="AZ2618">
        <v>0</v>
      </c>
      <c r="BA2618">
        <v>70</v>
      </c>
      <c r="BE2618" t="str">
        <f>T("9791162589724")</f>
        <v>9791162589724</v>
      </c>
      <c r="BF2618" t="str">
        <f>T("E448312")</f>
        <v>E448312</v>
      </c>
      <c r="BG2618" t="str">
        <f>T("판타지 웹소설 &gt; 퓨전 판타지")</f>
        <v>판타지 웹소설 &gt; 퓨전 판타지</v>
      </c>
    </row>
    <row r="2619" spans="1:59">
      <c r="A2619" t="s">
        <v>60</v>
      </c>
      <c r="B2619" s="1">
        <v>46129</v>
      </c>
      <c r="C2619">
        <v>2378009513</v>
      </c>
      <c r="D2619">
        <v>2378009589</v>
      </c>
      <c r="E2619" t="str">
        <f>T("문과라도 안 죄송한 이세계로 감 77화")</f>
        <v>문과라도 안 죄송한 이세계로 감 77화</v>
      </c>
      <c r="F2619">
        <v>77</v>
      </c>
      <c r="G2619" t="str">
        <f>T("정수읠")</f>
        <v>정수읠</v>
      </c>
      <c r="J2619" t="str">
        <f>T("매드햇")</f>
        <v>매드햇</v>
      </c>
      <c r="K2619" t="str">
        <f>T("문과라도 안 죄송한 이세계로 감")</f>
        <v>문과라도 안 죄송한 이세계로 감</v>
      </c>
      <c r="L2619">
        <v>100</v>
      </c>
      <c r="M2619">
        <v>100</v>
      </c>
      <c r="N2619">
        <v>1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0</v>
      </c>
      <c r="AE2619">
        <v>0</v>
      </c>
      <c r="AF2619">
        <v>0</v>
      </c>
      <c r="AG2619">
        <v>0</v>
      </c>
      <c r="AH2619">
        <v>0</v>
      </c>
      <c r="AI2619">
        <v>100</v>
      </c>
      <c r="AJ2619">
        <v>1</v>
      </c>
      <c r="AK2619">
        <v>0</v>
      </c>
      <c r="AL2619">
        <v>0</v>
      </c>
      <c r="AM2619">
        <v>100</v>
      </c>
      <c r="AN2619">
        <v>0</v>
      </c>
      <c r="AO2619">
        <v>0</v>
      </c>
      <c r="AP2619">
        <v>0</v>
      </c>
      <c r="AQ2619">
        <v>0</v>
      </c>
      <c r="AS2619">
        <v>0</v>
      </c>
      <c r="AT2619">
        <v>0</v>
      </c>
      <c r="AV2619">
        <v>0</v>
      </c>
      <c r="AW2619">
        <v>0</v>
      </c>
      <c r="AY2619">
        <v>0</v>
      </c>
      <c r="AZ2619">
        <v>0</v>
      </c>
      <c r="BA2619">
        <v>70</v>
      </c>
      <c r="BE2619" t="str">
        <f>T("9791162589724")</f>
        <v>9791162589724</v>
      </c>
      <c r="BF2619" t="str">
        <f>T("E448313")</f>
        <v>E448313</v>
      </c>
      <c r="BG2619" t="str">
        <f>T("판타지 웹소설 &gt; 퓨전 판타지")</f>
        <v>판타지 웹소설 &gt; 퓨전 판타지</v>
      </c>
    </row>
    <row r="2620" spans="1:59">
      <c r="A2620" t="s">
        <v>60</v>
      </c>
      <c r="B2620" s="1">
        <v>46129</v>
      </c>
      <c r="C2620">
        <v>2378009513</v>
      </c>
      <c r="D2620">
        <v>2378009590</v>
      </c>
      <c r="E2620" t="str">
        <f>T("문과라도 안 죄송한 이세계로 감 78화")</f>
        <v>문과라도 안 죄송한 이세계로 감 78화</v>
      </c>
      <c r="F2620">
        <v>78</v>
      </c>
      <c r="G2620" t="str">
        <f>T("정수읠")</f>
        <v>정수읠</v>
      </c>
      <c r="J2620" t="str">
        <f>T("매드햇")</f>
        <v>매드햇</v>
      </c>
      <c r="K2620" t="str">
        <f>T("문과라도 안 죄송한 이세계로 감")</f>
        <v>문과라도 안 죄송한 이세계로 감</v>
      </c>
      <c r="L2620">
        <v>100</v>
      </c>
      <c r="M2620">
        <v>100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0</v>
      </c>
      <c r="AE2620">
        <v>0</v>
      </c>
      <c r="AF2620">
        <v>0</v>
      </c>
      <c r="AG2620">
        <v>0</v>
      </c>
      <c r="AH2620">
        <v>0</v>
      </c>
      <c r="AI2620">
        <v>100</v>
      </c>
      <c r="AJ2620">
        <v>1</v>
      </c>
      <c r="AK2620">
        <v>0</v>
      </c>
      <c r="AL2620">
        <v>0</v>
      </c>
      <c r="AM2620">
        <v>100</v>
      </c>
      <c r="AN2620">
        <v>0</v>
      </c>
      <c r="AO2620">
        <v>0</v>
      </c>
      <c r="AP2620">
        <v>0</v>
      </c>
      <c r="AQ2620">
        <v>0</v>
      </c>
      <c r="AS2620">
        <v>0</v>
      </c>
      <c r="AT2620">
        <v>0</v>
      </c>
      <c r="AV2620">
        <v>0</v>
      </c>
      <c r="AW2620">
        <v>0</v>
      </c>
      <c r="AY2620">
        <v>0</v>
      </c>
      <c r="AZ2620">
        <v>0</v>
      </c>
      <c r="BA2620">
        <v>70</v>
      </c>
      <c r="BE2620" t="str">
        <f>T("9791162589724")</f>
        <v>9791162589724</v>
      </c>
      <c r="BF2620" t="str">
        <f>T("E448314")</f>
        <v>E448314</v>
      </c>
      <c r="BG2620" t="str">
        <f>T("판타지 웹소설 &gt; 퓨전 판타지")</f>
        <v>판타지 웹소설 &gt; 퓨전 판타지</v>
      </c>
    </row>
    <row r="2621" spans="1:59">
      <c r="A2621" t="s">
        <v>60</v>
      </c>
      <c r="B2621" s="1">
        <v>46129</v>
      </c>
      <c r="C2621">
        <v>2378009513</v>
      </c>
      <c r="D2621">
        <v>2378009591</v>
      </c>
      <c r="E2621" t="str">
        <f>T("문과라도 안 죄송한 이세계로 감 79화")</f>
        <v>문과라도 안 죄송한 이세계로 감 79화</v>
      </c>
      <c r="F2621">
        <v>79</v>
      </c>
      <c r="G2621" t="str">
        <f>T("정수읠")</f>
        <v>정수읠</v>
      </c>
      <c r="J2621" t="str">
        <f>T("매드햇")</f>
        <v>매드햇</v>
      </c>
      <c r="K2621" t="str">
        <f>T("문과라도 안 죄송한 이세계로 감")</f>
        <v>문과라도 안 죄송한 이세계로 감</v>
      </c>
      <c r="L2621">
        <v>100</v>
      </c>
      <c r="M2621">
        <v>100</v>
      </c>
      <c r="N2621">
        <v>1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0</v>
      </c>
      <c r="AE2621">
        <v>0</v>
      </c>
      <c r="AF2621">
        <v>0</v>
      </c>
      <c r="AG2621">
        <v>0</v>
      </c>
      <c r="AH2621">
        <v>0</v>
      </c>
      <c r="AI2621">
        <v>100</v>
      </c>
      <c r="AJ2621">
        <v>1</v>
      </c>
      <c r="AK2621">
        <v>0</v>
      </c>
      <c r="AL2621">
        <v>0</v>
      </c>
      <c r="AM2621">
        <v>100</v>
      </c>
      <c r="AN2621">
        <v>0</v>
      </c>
      <c r="AO2621">
        <v>0</v>
      </c>
      <c r="AP2621">
        <v>0</v>
      </c>
      <c r="AQ2621">
        <v>0</v>
      </c>
      <c r="AS2621">
        <v>0</v>
      </c>
      <c r="AT2621">
        <v>0</v>
      </c>
      <c r="AV2621">
        <v>0</v>
      </c>
      <c r="AW2621">
        <v>0</v>
      </c>
      <c r="AY2621">
        <v>0</v>
      </c>
      <c r="AZ2621">
        <v>0</v>
      </c>
      <c r="BA2621">
        <v>70</v>
      </c>
      <c r="BE2621" t="str">
        <f>T("9791162589724")</f>
        <v>9791162589724</v>
      </c>
      <c r="BF2621" t="str">
        <f>T("E448315")</f>
        <v>E448315</v>
      </c>
      <c r="BG2621" t="str">
        <f>T("판타지 웹소설 &gt; 퓨전 판타지")</f>
        <v>판타지 웹소설 &gt; 퓨전 판타지</v>
      </c>
    </row>
    <row r="2622" spans="1:59">
      <c r="A2622" t="s">
        <v>60</v>
      </c>
      <c r="B2622" s="1">
        <v>46129</v>
      </c>
      <c r="C2622">
        <v>2378009513</v>
      </c>
      <c r="D2622">
        <v>2378009592</v>
      </c>
      <c r="E2622" t="str">
        <f>T("문과라도 안 죄송한 이세계로 감 80화")</f>
        <v>문과라도 안 죄송한 이세계로 감 80화</v>
      </c>
      <c r="F2622">
        <v>80</v>
      </c>
      <c r="G2622" t="str">
        <f>T("정수읠")</f>
        <v>정수읠</v>
      </c>
      <c r="J2622" t="str">
        <f>T("매드햇")</f>
        <v>매드햇</v>
      </c>
      <c r="K2622" t="str">
        <f>T("문과라도 안 죄송한 이세계로 감")</f>
        <v>문과라도 안 죄송한 이세계로 감</v>
      </c>
      <c r="L2622">
        <v>100</v>
      </c>
      <c r="M2622">
        <v>100</v>
      </c>
      <c r="N2622">
        <v>1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0</v>
      </c>
      <c r="AE2622">
        <v>0</v>
      </c>
      <c r="AF2622">
        <v>0</v>
      </c>
      <c r="AG2622">
        <v>0</v>
      </c>
      <c r="AH2622">
        <v>0</v>
      </c>
      <c r="AI2622">
        <v>100</v>
      </c>
      <c r="AJ2622">
        <v>1</v>
      </c>
      <c r="AK2622">
        <v>0</v>
      </c>
      <c r="AL2622">
        <v>0</v>
      </c>
      <c r="AM2622">
        <v>100</v>
      </c>
      <c r="AN2622">
        <v>0</v>
      </c>
      <c r="AO2622">
        <v>0</v>
      </c>
      <c r="AP2622">
        <v>0</v>
      </c>
      <c r="AQ2622">
        <v>0</v>
      </c>
      <c r="AS2622">
        <v>0</v>
      </c>
      <c r="AT2622">
        <v>0</v>
      </c>
      <c r="AV2622">
        <v>0</v>
      </c>
      <c r="AW2622">
        <v>0</v>
      </c>
      <c r="AY2622">
        <v>0</v>
      </c>
      <c r="AZ2622">
        <v>0</v>
      </c>
      <c r="BA2622">
        <v>70</v>
      </c>
      <c r="BE2622" t="str">
        <f>T("9791162589724")</f>
        <v>9791162589724</v>
      </c>
      <c r="BF2622" t="str">
        <f>T("E448316")</f>
        <v>E448316</v>
      </c>
      <c r="BG2622" t="str">
        <f>T("판타지 웹소설 &gt; 퓨전 판타지")</f>
        <v>판타지 웹소설 &gt; 퓨전 판타지</v>
      </c>
    </row>
    <row r="2623" spans="1:59">
      <c r="A2623" t="s">
        <v>60</v>
      </c>
      <c r="B2623" s="1">
        <v>46129</v>
      </c>
      <c r="C2623">
        <v>2378009513</v>
      </c>
      <c r="D2623">
        <v>2378009593</v>
      </c>
      <c r="E2623" t="str">
        <f>T("문과라도 안 죄송한 이세계로 감 81화")</f>
        <v>문과라도 안 죄송한 이세계로 감 81화</v>
      </c>
      <c r="F2623">
        <v>81</v>
      </c>
      <c r="G2623" t="str">
        <f>T("정수읠")</f>
        <v>정수읠</v>
      </c>
      <c r="J2623" t="str">
        <f>T("매드햇")</f>
        <v>매드햇</v>
      </c>
      <c r="K2623" t="str">
        <f>T("문과라도 안 죄송한 이세계로 감")</f>
        <v>문과라도 안 죄송한 이세계로 감</v>
      </c>
      <c r="L2623">
        <v>100</v>
      </c>
      <c r="M2623">
        <v>100</v>
      </c>
      <c r="N2623">
        <v>1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0</v>
      </c>
      <c r="AE2623">
        <v>0</v>
      </c>
      <c r="AF2623">
        <v>0</v>
      </c>
      <c r="AG2623">
        <v>0</v>
      </c>
      <c r="AH2623">
        <v>0</v>
      </c>
      <c r="AI2623">
        <v>100</v>
      </c>
      <c r="AJ2623">
        <v>1</v>
      </c>
      <c r="AK2623">
        <v>0</v>
      </c>
      <c r="AL2623">
        <v>0</v>
      </c>
      <c r="AM2623">
        <v>100</v>
      </c>
      <c r="AN2623">
        <v>0</v>
      </c>
      <c r="AO2623">
        <v>0</v>
      </c>
      <c r="AP2623">
        <v>0</v>
      </c>
      <c r="AQ2623">
        <v>0</v>
      </c>
      <c r="AS2623">
        <v>0</v>
      </c>
      <c r="AT2623">
        <v>0</v>
      </c>
      <c r="AV2623">
        <v>0</v>
      </c>
      <c r="AW2623">
        <v>0</v>
      </c>
      <c r="AY2623">
        <v>0</v>
      </c>
      <c r="AZ2623">
        <v>0</v>
      </c>
      <c r="BA2623">
        <v>70</v>
      </c>
      <c r="BE2623" t="str">
        <f>T("9791162589724")</f>
        <v>9791162589724</v>
      </c>
      <c r="BF2623" t="str">
        <f>T("E448317")</f>
        <v>E448317</v>
      </c>
      <c r="BG2623" t="str">
        <f>T("판타지 웹소설 &gt; 퓨전 판타지")</f>
        <v>판타지 웹소설 &gt; 퓨전 판타지</v>
      </c>
    </row>
    <row r="2624" spans="1:59">
      <c r="A2624" t="s">
        <v>60</v>
      </c>
      <c r="B2624" s="1">
        <v>46129</v>
      </c>
      <c r="C2624">
        <v>2378009513</v>
      </c>
      <c r="D2624">
        <v>2378009594</v>
      </c>
      <c r="E2624" t="str">
        <f>T("문과라도 안 죄송한 이세계로 감 82화")</f>
        <v>문과라도 안 죄송한 이세계로 감 82화</v>
      </c>
      <c r="F2624">
        <v>82</v>
      </c>
      <c r="G2624" t="str">
        <f>T("정수읠")</f>
        <v>정수읠</v>
      </c>
      <c r="J2624" t="str">
        <f>T("매드햇")</f>
        <v>매드햇</v>
      </c>
      <c r="K2624" t="str">
        <f>T("문과라도 안 죄송한 이세계로 감")</f>
        <v>문과라도 안 죄송한 이세계로 감</v>
      </c>
      <c r="L2624">
        <v>100</v>
      </c>
      <c r="M2624">
        <v>100</v>
      </c>
      <c r="N2624">
        <v>1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0</v>
      </c>
      <c r="AE2624">
        <v>0</v>
      </c>
      <c r="AF2624">
        <v>0</v>
      </c>
      <c r="AG2624">
        <v>0</v>
      </c>
      <c r="AH2624">
        <v>0</v>
      </c>
      <c r="AI2624">
        <v>100</v>
      </c>
      <c r="AJ2624">
        <v>1</v>
      </c>
      <c r="AK2624">
        <v>0</v>
      </c>
      <c r="AL2624">
        <v>0</v>
      </c>
      <c r="AM2624">
        <v>100</v>
      </c>
      <c r="AN2624">
        <v>0</v>
      </c>
      <c r="AO2624">
        <v>0</v>
      </c>
      <c r="AP2624">
        <v>0</v>
      </c>
      <c r="AQ2624">
        <v>0</v>
      </c>
      <c r="AS2624">
        <v>0</v>
      </c>
      <c r="AT2624">
        <v>0</v>
      </c>
      <c r="AV2624">
        <v>0</v>
      </c>
      <c r="AW2624">
        <v>0</v>
      </c>
      <c r="AY2624">
        <v>0</v>
      </c>
      <c r="AZ2624">
        <v>0</v>
      </c>
      <c r="BA2624">
        <v>70</v>
      </c>
      <c r="BE2624" t="str">
        <f>T("9791162589724")</f>
        <v>9791162589724</v>
      </c>
      <c r="BF2624" t="str">
        <f>T("E448318")</f>
        <v>E448318</v>
      </c>
      <c r="BG2624" t="str">
        <f>T("판타지 웹소설 &gt; 퓨전 판타지")</f>
        <v>판타지 웹소설 &gt; 퓨전 판타지</v>
      </c>
    </row>
    <row r="2625" spans="1:59">
      <c r="A2625" t="s">
        <v>60</v>
      </c>
      <c r="B2625" s="1">
        <v>46129</v>
      </c>
      <c r="C2625">
        <v>2378009513</v>
      </c>
      <c r="D2625">
        <v>2378009595</v>
      </c>
      <c r="E2625" t="str">
        <f>T("문과라도 안 죄송한 이세계로 감 83화")</f>
        <v>문과라도 안 죄송한 이세계로 감 83화</v>
      </c>
      <c r="F2625">
        <v>83</v>
      </c>
      <c r="G2625" t="str">
        <f>T("정수읠")</f>
        <v>정수읠</v>
      </c>
      <c r="J2625" t="str">
        <f>T("매드햇")</f>
        <v>매드햇</v>
      </c>
      <c r="K2625" t="str">
        <f>T("문과라도 안 죄송한 이세계로 감")</f>
        <v>문과라도 안 죄송한 이세계로 감</v>
      </c>
      <c r="L2625">
        <v>100</v>
      </c>
      <c r="M2625">
        <v>100</v>
      </c>
      <c r="N2625">
        <v>1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0</v>
      </c>
      <c r="AH2625">
        <v>0</v>
      </c>
      <c r="AI2625">
        <v>100</v>
      </c>
      <c r="AJ2625">
        <v>1</v>
      </c>
      <c r="AK2625">
        <v>0</v>
      </c>
      <c r="AL2625">
        <v>0</v>
      </c>
      <c r="AM2625">
        <v>100</v>
      </c>
      <c r="AN2625">
        <v>0</v>
      </c>
      <c r="AO2625">
        <v>0</v>
      </c>
      <c r="AP2625">
        <v>0</v>
      </c>
      <c r="AQ2625">
        <v>0</v>
      </c>
      <c r="AS2625">
        <v>0</v>
      </c>
      <c r="AT2625">
        <v>0</v>
      </c>
      <c r="AV2625">
        <v>0</v>
      </c>
      <c r="AW2625">
        <v>0</v>
      </c>
      <c r="AY2625">
        <v>0</v>
      </c>
      <c r="AZ2625">
        <v>0</v>
      </c>
      <c r="BA2625">
        <v>70</v>
      </c>
      <c r="BE2625" t="str">
        <f>T("9791162589724")</f>
        <v>9791162589724</v>
      </c>
      <c r="BF2625" t="str">
        <f>T("E448319")</f>
        <v>E448319</v>
      </c>
      <c r="BG2625" t="str">
        <f>T("판타지 웹소설 &gt; 퓨전 판타지")</f>
        <v>판타지 웹소설 &gt; 퓨전 판타지</v>
      </c>
    </row>
    <row r="2626" spans="1:59">
      <c r="A2626" t="s">
        <v>60</v>
      </c>
      <c r="B2626" s="1">
        <v>46129</v>
      </c>
      <c r="C2626">
        <v>2378009513</v>
      </c>
      <c r="D2626">
        <v>2378009596</v>
      </c>
      <c r="E2626" t="str">
        <f>T("문과라도 안 죄송한 이세계로 감 84화")</f>
        <v>문과라도 안 죄송한 이세계로 감 84화</v>
      </c>
      <c r="F2626">
        <v>84</v>
      </c>
      <c r="G2626" t="str">
        <f>T("정수읠")</f>
        <v>정수읠</v>
      </c>
      <c r="J2626" t="str">
        <f>T("매드햇")</f>
        <v>매드햇</v>
      </c>
      <c r="K2626" t="str">
        <f>T("문과라도 안 죄송한 이세계로 감")</f>
        <v>문과라도 안 죄송한 이세계로 감</v>
      </c>
      <c r="L2626">
        <v>100</v>
      </c>
      <c r="M2626">
        <v>100</v>
      </c>
      <c r="N2626">
        <v>1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0</v>
      </c>
      <c r="AH2626">
        <v>0</v>
      </c>
      <c r="AI2626">
        <v>100</v>
      </c>
      <c r="AJ2626">
        <v>1</v>
      </c>
      <c r="AK2626">
        <v>0</v>
      </c>
      <c r="AL2626">
        <v>0</v>
      </c>
      <c r="AM2626">
        <v>100</v>
      </c>
      <c r="AN2626">
        <v>0</v>
      </c>
      <c r="AO2626">
        <v>0</v>
      </c>
      <c r="AP2626">
        <v>0</v>
      </c>
      <c r="AQ2626">
        <v>0</v>
      </c>
      <c r="AS2626">
        <v>0</v>
      </c>
      <c r="AT2626">
        <v>0</v>
      </c>
      <c r="AV2626">
        <v>0</v>
      </c>
      <c r="AW2626">
        <v>0</v>
      </c>
      <c r="AY2626">
        <v>0</v>
      </c>
      <c r="AZ2626">
        <v>0</v>
      </c>
      <c r="BA2626">
        <v>70</v>
      </c>
      <c r="BE2626" t="str">
        <f>T("9791162589724")</f>
        <v>9791162589724</v>
      </c>
      <c r="BF2626" t="str">
        <f>T("E448320")</f>
        <v>E448320</v>
      </c>
      <c r="BG2626" t="str">
        <f>T("판타지 웹소설 &gt; 퓨전 판타지")</f>
        <v>판타지 웹소설 &gt; 퓨전 판타지</v>
      </c>
    </row>
    <row r="2627" spans="1:59">
      <c r="A2627" t="s">
        <v>60</v>
      </c>
      <c r="B2627" s="1">
        <v>46129</v>
      </c>
      <c r="C2627">
        <v>2378009513</v>
      </c>
      <c r="D2627">
        <v>2378009597</v>
      </c>
      <c r="E2627" t="str">
        <f>T("문과라도 안 죄송한 이세계로 감 85화")</f>
        <v>문과라도 안 죄송한 이세계로 감 85화</v>
      </c>
      <c r="F2627">
        <v>85</v>
      </c>
      <c r="G2627" t="str">
        <f>T("정수읠")</f>
        <v>정수읠</v>
      </c>
      <c r="J2627" t="str">
        <f>T("매드햇")</f>
        <v>매드햇</v>
      </c>
      <c r="K2627" t="str">
        <f>T("문과라도 안 죄송한 이세계로 감")</f>
        <v>문과라도 안 죄송한 이세계로 감</v>
      </c>
      <c r="L2627">
        <v>100</v>
      </c>
      <c r="M2627">
        <v>100</v>
      </c>
      <c r="N2627">
        <v>1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0</v>
      </c>
      <c r="AH2627">
        <v>0</v>
      </c>
      <c r="AI2627">
        <v>100</v>
      </c>
      <c r="AJ2627">
        <v>1</v>
      </c>
      <c r="AK2627">
        <v>0</v>
      </c>
      <c r="AL2627">
        <v>0</v>
      </c>
      <c r="AM2627">
        <v>100</v>
      </c>
      <c r="AN2627">
        <v>0</v>
      </c>
      <c r="AO2627">
        <v>0</v>
      </c>
      <c r="AP2627">
        <v>0</v>
      </c>
      <c r="AQ2627">
        <v>0</v>
      </c>
      <c r="AS2627">
        <v>0</v>
      </c>
      <c r="AT2627">
        <v>0</v>
      </c>
      <c r="AV2627">
        <v>0</v>
      </c>
      <c r="AW2627">
        <v>0</v>
      </c>
      <c r="AY2627">
        <v>0</v>
      </c>
      <c r="AZ2627">
        <v>0</v>
      </c>
      <c r="BA2627">
        <v>70</v>
      </c>
      <c r="BE2627" t="str">
        <f>T("9791162589724")</f>
        <v>9791162589724</v>
      </c>
      <c r="BF2627" t="str">
        <f>T("E448321")</f>
        <v>E448321</v>
      </c>
      <c r="BG2627" t="str">
        <f>T("판타지 웹소설 &gt; 퓨전 판타지")</f>
        <v>판타지 웹소설 &gt; 퓨전 판타지</v>
      </c>
    </row>
    <row r="2628" spans="1:59">
      <c r="A2628" t="s">
        <v>60</v>
      </c>
      <c r="B2628" s="1">
        <v>46129</v>
      </c>
      <c r="C2628">
        <v>2378009513</v>
      </c>
      <c r="D2628">
        <v>2378009598</v>
      </c>
      <c r="E2628" t="str">
        <f>T("문과라도 안 죄송한 이세계로 감 86화")</f>
        <v>문과라도 안 죄송한 이세계로 감 86화</v>
      </c>
      <c r="F2628">
        <v>86</v>
      </c>
      <c r="G2628" t="str">
        <f>T("정수읠")</f>
        <v>정수읠</v>
      </c>
      <c r="J2628" t="str">
        <f>T("매드햇")</f>
        <v>매드햇</v>
      </c>
      <c r="K2628" t="str">
        <f>T("문과라도 안 죄송한 이세계로 감")</f>
        <v>문과라도 안 죄송한 이세계로 감</v>
      </c>
      <c r="L2628">
        <v>100</v>
      </c>
      <c r="M2628">
        <v>100</v>
      </c>
      <c r="N2628">
        <v>1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0</v>
      </c>
      <c r="AH2628">
        <v>0</v>
      </c>
      <c r="AI2628">
        <v>100</v>
      </c>
      <c r="AJ2628">
        <v>1</v>
      </c>
      <c r="AK2628">
        <v>0</v>
      </c>
      <c r="AL2628">
        <v>0</v>
      </c>
      <c r="AM2628">
        <v>100</v>
      </c>
      <c r="AN2628">
        <v>0</v>
      </c>
      <c r="AO2628">
        <v>0</v>
      </c>
      <c r="AP2628">
        <v>0</v>
      </c>
      <c r="AQ2628">
        <v>0</v>
      </c>
      <c r="AS2628">
        <v>0</v>
      </c>
      <c r="AT2628">
        <v>0</v>
      </c>
      <c r="AV2628">
        <v>0</v>
      </c>
      <c r="AW2628">
        <v>0</v>
      </c>
      <c r="AY2628">
        <v>0</v>
      </c>
      <c r="AZ2628">
        <v>0</v>
      </c>
      <c r="BA2628">
        <v>70</v>
      </c>
      <c r="BE2628" t="str">
        <f>T("9791162589724")</f>
        <v>9791162589724</v>
      </c>
      <c r="BF2628" t="str">
        <f>T("E448322")</f>
        <v>E448322</v>
      </c>
      <c r="BG2628" t="str">
        <f>T("판타지 웹소설 &gt; 퓨전 판타지")</f>
        <v>판타지 웹소설 &gt; 퓨전 판타지</v>
      </c>
    </row>
    <row r="2629" spans="1:59">
      <c r="A2629" t="s">
        <v>60</v>
      </c>
      <c r="B2629" s="1">
        <v>46129</v>
      </c>
      <c r="C2629">
        <v>2378009513</v>
      </c>
      <c r="D2629">
        <v>2378009599</v>
      </c>
      <c r="E2629" t="str">
        <f>T("문과라도 안 죄송한 이세계로 감 87화")</f>
        <v>문과라도 안 죄송한 이세계로 감 87화</v>
      </c>
      <c r="F2629">
        <v>87</v>
      </c>
      <c r="G2629" t="str">
        <f>T("정수읠")</f>
        <v>정수읠</v>
      </c>
      <c r="J2629" t="str">
        <f>T("매드햇")</f>
        <v>매드햇</v>
      </c>
      <c r="K2629" t="str">
        <f>T("문과라도 안 죄송한 이세계로 감")</f>
        <v>문과라도 안 죄송한 이세계로 감</v>
      </c>
      <c r="L2629">
        <v>100</v>
      </c>
      <c r="M2629">
        <v>100</v>
      </c>
      <c r="N2629">
        <v>1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0</v>
      </c>
      <c r="AH2629">
        <v>0</v>
      </c>
      <c r="AI2629">
        <v>100</v>
      </c>
      <c r="AJ2629">
        <v>1</v>
      </c>
      <c r="AK2629">
        <v>0</v>
      </c>
      <c r="AL2629">
        <v>0</v>
      </c>
      <c r="AM2629">
        <v>100</v>
      </c>
      <c r="AN2629">
        <v>0</v>
      </c>
      <c r="AO2629">
        <v>0</v>
      </c>
      <c r="AP2629">
        <v>0</v>
      </c>
      <c r="AQ2629">
        <v>0</v>
      </c>
      <c r="AS2629">
        <v>0</v>
      </c>
      <c r="AT2629">
        <v>0</v>
      </c>
      <c r="AV2629">
        <v>0</v>
      </c>
      <c r="AW2629">
        <v>0</v>
      </c>
      <c r="AY2629">
        <v>0</v>
      </c>
      <c r="AZ2629">
        <v>0</v>
      </c>
      <c r="BA2629">
        <v>70</v>
      </c>
      <c r="BE2629" t="str">
        <f>T("9791162589724")</f>
        <v>9791162589724</v>
      </c>
      <c r="BF2629" t="str">
        <f>T("E448323")</f>
        <v>E448323</v>
      </c>
      <c r="BG2629" t="str">
        <f>T("판타지 웹소설 &gt; 퓨전 판타지")</f>
        <v>판타지 웹소설 &gt; 퓨전 판타지</v>
      </c>
    </row>
    <row r="2630" spans="1:59">
      <c r="A2630" t="s">
        <v>60</v>
      </c>
      <c r="B2630" s="1">
        <v>46129</v>
      </c>
      <c r="C2630">
        <v>2378009513</v>
      </c>
      <c r="D2630">
        <v>2378009600</v>
      </c>
      <c r="E2630" t="str">
        <f>T("문과라도 안 죄송한 이세계로 감 88화")</f>
        <v>문과라도 안 죄송한 이세계로 감 88화</v>
      </c>
      <c r="F2630">
        <v>88</v>
      </c>
      <c r="G2630" t="str">
        <f>T("정수읠")</f>
        <v>정수읠</v>
      </c>
      <c r="J2630" t="str">
        <f>T("매드햇")</f>
        <v>매드햇</v>
      </c>
      <c r="K2630" t="str">
        <f>T("문과라도 안 죄송한 이세계로 감")</f>
        <v>문과라도 안 죄송한 이세계로 감</v>
      </c>
      <c r="L2630">
        <v>100</v>
      </c>
      <c r="M2630">
        <v>100</v>
      </c>
      <c r="N2630">
        <v>1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0</v>
      </c>
      <c r="AH2630">
        <v>0</v>
      </c>
      <c r="AI2630">
        <v>100</v>
      </c>
      <c r="AJ2630">
        <v>1</v>
      </c>
      <c r="AK2630">
        <v>0</v>
      </c>
      <c r="AL2630">
        <v>0</v>
      </c>
      <c r="AM2630">
        <v>100</v>
      </c>
      <c r="AN2630">
        <v>0</v>
      </c>
      <c r="AO2630">
        <v>0</v>
      </c>
      <c r="AP2630">
        <v>0</v>
      </c>
      <c r="AQ2630">
        <v>0</v>
      </c>
      <c r="AS2630">
        <v>0</v>
      </c>
      <c r="AT2630">
        <v>0</v>
      </c>
      <c r="AV2630">
        <v>0</v>
      </c>
      <c r="AW2630">
        <v>0</v>
      </c>
      <c r="AY2630">
        <v>0</v>
      </c>
      <c r="AZ2630">
        <v>0</v>
      </c>
      <c r="BA2630">
        <v>70</v>
      </c>
      <c r="BE2630" t="str">
        <f>T("9791162589724")</f>
        <v>9791162589724</v>
      </c>
      <c r="BF2630" t="str">
        <f>T("E448324")</f>
        <v>E448324</v>
      </c>
      <c r="BG2630" t="str">
        <f>T("판타지 웹소설 &gt; 퓨전 판타지")</f>
        <v>판타지 웹소설 &gt; 퓨전 판타지</v>
      </c>
    </row>
    <row r="2631" spans="1:59">
      <c r="A2631" t="s">
        <v>60</v>
      </c>
      <c r="B2631" s="1">
        <v>46129</v>
      </c>
      <c r="C2631">
        <v>2378009513</v>
      </c>
      <c r="D2631">
        <v>2378009601</v>
      </c>
      <c r="E2631" t="str">
        <f>T("문과라도 안 죄송한 이세계로 감 89화")</f>
        <v>문과라도 안 죄송한 이세계로 감 89화</v>
      </c>
      <c r="F2631">
        <v>89</v>
      </c>
      <c r="G2631" t="str">
        <f>T("정수읠")</f>
        <v>정수읠</v>
      </c>
      <c r="J2631" t="str">
        <f>T("매드햇")</f>
        <v>매드햇</v>
      </c>
      <c r="K2631" t="str">
        <f>T("문과라도 안 죄송한 이세계로 감")</f>
        <v>문과라도 안 죄송한 이세계로 감</v>
      </c>
      <c r="L2631">
        <v>100</v>
      </c>
      <c r="M2631">
        <v>100</v>
      </c>
      <c r="N2631">
        <v>1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0</v>
      </c>
      <c r="AH2631">
        <v>0</v>
      </c>
      <c r="AI2631">
        <v>100</v>
      </c>
      <c r="AJ2631">
        <v>1</v>
      </c>
      <c r="AK2631">
        <v>0</v>
      </c>
      <c r="AL2631">
        <v>0</v>
      </c>
      <c r="AM2631">
        <v>100</v>
      </c>
      <c r="AN2631">
        <v>0</v>
      </c>
      <c r="AO2631">
        <v>0</v>
      </c>
      <c r="AP2631">
        <v>0</v>
      </c>
      <c r="AQ2631">
        <v>0</v>
      </c>
      <c r="AS2631">
        <v>0</v>
      </c>
      <c r="AT2631">
        <v>0</v>
      </c>
      <c r="AV2631">
        <v>0</v>
      </c>
      <c r="AW2631">
        <v>0</v>
      </c>
      <c r="AY2631">
        <v>0</v>
      </c>
      <c r="AZ2631">
        <v>0</v>
      </c>
      <c r="BA2631">
        <v>70</v>
      </c>
      <c r="BE2631" t="str">
        <f>T("9791162589724")</f>
        <v>9791162589724</v>
      </c>
      <c r="BF2631" t="str">
        <f>T("E448325")</f>
        <v>E448325</v>
      </c>
      <c r="BG2631" t="str">
        <f>T("판타지 웹소설 &gt; 퓨전 판타지")</f>
        <v>판타지 웹소설 &gt; 퓨전 판타지</v>
      </c>
    </row>
    <row r="2632" spans="1:59">
      <c r="A2632" t="s">
        <v>60</v>
      </c>
      <c r="B2632" s="1">
        <v>46129</v>
      </c>
      <c r="C2632">
        <v>2378009513</v>
      </c>
      <c r="D2632">
        <v>2378009602</v>
      </c>
      <c r="E2632" t="str">
        <f>T("문과라도 안 죄송한 이세계로 감 90화")</f>
        <v>문과라도 안 죄송한 이세계로 감 90화</v>
      </c>
      <c r="F2632">
        <v>90</v>
      </c>
      <c r="G2632" t="str">
        <f>T("정수읠")</f>
        <v>정수읠</v>
      </c>
      <c r="J2632" t="str">
        <f>T("매드햇")</f>
        <v>매드햇</v>
      </c>
      <c r="K2632" t="str">
        <f>T("문과라도 안 죄송한 이세계로 감")</f>
        <v>문과라도 안 죄송한 이세계로 감</v>
      </c>
      <c r="L2632">
        <v>100</v>
      </c>
      <c r="M2632">
        <v>200</v>
      </c>
      <c r="N2632">
        <v>2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0</v>
      </c>
      <c r="AH2632">
        <v>0</v>
      </c>
      <c r="AI2632">
        <v>200</v>
      </c>
      <c r="AJ2632">
        <v>2</v>
      </c>
      <c r="AK2632">
        <v>0</v>
      </c>
      <c r="AL2632">
        <v>0</v>
      </c>
      <c r="AM2632">
        <v>200</v>
      </c>
      <c r="AN2632">
        <v>0</v>
      </c>
      <c r="AO2632">
        <v>0</v>
      </c>
      <c r="AP2632">
        <v>0</v>
      </c>
      <c r="AQ2632">
        <v>0</v>
      </c>
      <c r="AS2632">
        <v>0</v>
      </c>
      <c r="AT2632">
        <v>0</v>
      </c>
      <c r="AV2632">
        <v>0</v>
      </c>
      <c r="AW2632">
        <v>0</v>
      </c>
      <c r="AY2632">
        <v>0</v>
      </c>
      <c r="AZ2632">
        <v>0</v>
      </c>
      <c r="BA2632">
        <v>140</v>
      </c>
      <c r="BE2632" t="str">
        <f>T("9791162589724")</f>
        <v>9791162589724</v>
      </c>
      <c r="BF2632" t="str">
        <f>T("E448326")</f>
        <v>E448326</v>
      </c>
      <c r="BG2632" t="str">
        <f>T("판타지 웹소설 &gt; 퓨전 판타지")</f>
        <v>판타지 웹소설 &gt; 퓨전 판타지</v>
      </c>
    </row>
    <row r="2633" spans="1:59">
      <c r="A2633" t="s">
        <v>60</v>
      </c>
      <c r="B2633" s="1">
        <v>46129</v>
      </c>
      <c r="C2633">
        <v>2378009513</v>
      </c>
      <c r="D2633">
        <v>2378009603</v>
      </c>
      <c r="E2633" t="str">
        <f>T("문과라도 안 죄송한 이세계로 감 91화")</f>
        <v>문과라도 안 죄송한 이세계로 감 91화</v>
      </c>
      <c r="F2633">
        <v>91</v>
      </c>
      <c r="G2633" t="str">
        <f>T("정수읠")</f>
        <v>정수읠</v>
      </c>
      <c r="J2633" t="str">
        <f>T("매드햇")</f>
        <v>매드햇</v>
      </c>
      <c r="K2633" t="str">
        <f>T("문과라도 안 죄송한 이세계로 감")</f>
        <v>문과라도 안 죄송한 이세계로 감</v>
      </c>
      <c r="L2633">
        <v>100</v>
      </c>
      <c r="M2633">
        <v>200</v>
      </c>
      <c r="N2633">
        <v>2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0</v>
      </c>
      <c r="AH2633">
        <v>0</v>
      </c>
      <c r="AI2633">
        <v>200</v>
      </c>
      <c r="AJ2633">
        <v>2</v>
      </c>
      <c r="AK2633">
        <v>0</v>
      </c>
      <c r="AL2633">
        <v>0</v>
      </c>
      <c r="AM2633">
        <v>200</v>
      </c>
      <c r="AN2633">
        <v>0</v>
      </c>
      <c r="AO2633">
        <v>0</v>
      </c>
      <c r="AP2633">
        <v>0</v>
      </c>
      <c r="AQ2633">
        <v>0</v>
      </c>
      <c r="AS2633">
        <v>0</v>
      </c>
      <c r="AT2633">
        <v>0</v>
      </c>
      <c r="AV2633">
        <v>0</v>
      </c>
      <c r="AW2633">
        <v>0</v>
      </c>
      <c r="AY2633">
        <v>0</v>
      </c>
      <c r="AZ2633">
        <v>0</v>
      </c>
      <c r="BA2633">
        <v>140</v>
      </c>
      <c r="BE2633" t="str">
        <f>T("9791162589724")</f>
        <v>9791162589724</v>
      </c>
      <c r="BF2633" t="str">
        <f>T("E448327")</f>
        <v>E448327</v>
      </c>
      <c r="BG2633" t="str">
        <f>T("판타지 웹소설 &gt; 퓨전 판타지")</f>
        <v>판타지 웹소설 &gt; 퓨전 판타지</v>
      </c>
    </row>
    <row r="2634" spans="1:59">
      <c r="A2634" t="s">
        <v>60</v>
      </c>
      <c r="B2634" s="1">
        <v>46129</v>
      </c>
      <c r="C2634">
        <v>2378009513</v>
      </c>
      <c r="D2634">
        <v>2378009604</v>
      </c>
      <c r="E2634" t="str">
        <f>T("문과라도 안 죄송한 이세계로 감 92화")</f>
        <v>문과라도 안 죄송한 이세계로 감 92화</v>
      </c>
      <c r="F2634">
        <v>92</v>
      </c>
      <c r="G2634" t="str">
        <f>T("정수읠")</f>
        <v>정수읠</v>
      </c>
      <c r="J2634" t="str">
        <f>T("매드햇")</f>
        <v>매드햇</v>
      </c>
      <c r="K2634" t="str">
        <f>T("문과라도 안 죄송한 이세계로 감")</f>
        <v>문과라도 안 죄송한 이세계로 감</v>
      </c>
      <c r="L2634">
        <v>100</v>
      </c>
      <c r="M2634">
        <v>200</v>
      </c>
      <c r="N2634">
        <v>2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0</v>
      </c>
      <c r="AH2634">
        <v>0</v>
      </c>
      <c r="AI2634">
        <v>200</v>
      </c>
      <c r="AJ2634">
        <v>2</v>
      </c>
      <c r="AK2634">
        <v>0</v>
      </c>
      <c r="AL2634">
        <v>0</v>
      </c>
      <c r="AM2634">
        <v>200</v>
      </c>
      <c r="AN2634">
        <v>0</v>
      </c>
      <c r="AO2634">
        <v>0</v>
      </c>
      <c r="AP2634">
        <v>0</v>
      </c>
      <c r="AQ2634">
        <v>0</v>
      </c>
      <c r="AS2634">
        <v>0</v>
      </c>
      <c r="AT2634">
        <v>0</v>
      </c>
      <c r="AV2634">
        <v>0</v>
      </c>
      <c r="AW2634">
        <v>0</v>
      </c>
      <c r="AY2634">
        <v>0</v>
      </c>
      <c r="AZ2634">
        <v>0</v>
      </c>
      <c r="BA2634">
        <v>140</v>
      </c>
      <c r="BE2634" t="str">
        <f>T("9791162589724")</f>
        <v>9791162589724</v>
      </c>
      <c r="BF2634" t="str">
        <f>T("E448328")</f>
        <v>E448328</v>
      </c>
      <c r="BG2634" t="str">
        <f>T("판타지 웹소설 &gt; 퓨전 판타지")</f>
        <v>판타지 웹소설 &gt; 퓨전 판타지</v>
      </c>
    </row>
    <row r="2635" spans="1:59">
      <c r="A2635" t="s">
        <v>60</v>
      </c>
      <c r="B2635" s="1">
        <v>46129</v>
      </c>
      <c r="C2635">
        <v>2378009513</v>
      </c>
      <c r="D2635">
        <v>2378009605</v>
      </c>
      <c r="E2635" t="str">
        <f>T("문과라도 안 죄송한 이세계로 감 93화")</f>
        <v>문과라도 안 죄송한 이세계로 감 93화</v>
      </c>
      <c r="F2635">
        <v>93</v>
      </c>
      <c r="G2635" t="str">
        <f>T("정수읠")</f>
        <v>정수읠</v>
      </c>
      <c r="J2635" t="str">
        <f>T("매드햇")</f>
        <v>매드햇</v>
      </c>
      <c r="K2635" t="str">
        <f>T("문과라도 안 죄송한 이세계로 감")</f>
        <v>문과라도 안 죄송한 이세계로 감</v>
      </c>
      <c r="L2635">
        <v>100</v>
      </c>
      <c r="M2635">
        <v>200</v>
      </c>
      <c r="N2635">
        <v>2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0</v>
      </c>
      <c r="AH2635">
        <v>0</v>
      </c>
      <c r="AI2635">
        <v>200</v>
      </c>
      <c r="AJ2635">
        <v>2</v>
      </c>
      <c r="AK2635">
        <v>0</v>
      </c>
      <c r="AL2635">
        <v>0</v>
      </c>
      <c r="AM2635">
        <v>200</v>
      </c>
      <c r="AN2635">
        <v>0</v>
      </c>
      <c r="AO2635">
        <v>0</v>
      </c>
      <c r="AP2635">
        <v>0</v>
      </c>
      <c r="AQ2635">
        <v>0</v>
      </c>
      <c r="AS2635">
        <v>0</v>
      </c>
      <c r="AT2635">
        <v>0</v>
      </c>
      <c r="AV2635">
        <v>0</v>
      </c>
      <c r="AW2635">
        <v>0</v>
      </c>
      <c r="AY2635">
        <v>0</v>
      </c>
      <c r="AZ2635">
        <v>0</v>
      </c>
      <c r="BA2635">
        <v>140</v>
      </c>
      <c r="BE2635" t="str">
        <f>T("9791162589724")</f>
        <v>9791162589724</v>
      </c>
      <c r="BF2635" t="str">
        <f>T("E448329")</f>
        <v>E448329</v>
      </c>
      <c r="BG2635" t="str">
        <f>T("판타지 웹소설 &gt; 퓨전 판타지")</f>
        <v>판타지 웹소설 &gt; 퓨전 판타지</v>
      </c>
    </row>
    <row r="2636" spans="1:59">
      <c r="A2636" t="s">
        <v>60</v>
      </c>
      <c r="B2636" s="1">
        <v>46129</v>
      </c>
      <c r="C2636">
        <v>2378009513</v>
      </c>
      <c r="D2636">
        <v>2378009606</v>
      </c>
      <c r="E2636" t="str">
        <f>T("문과라도 안 죄송한 이세계로 감 94화")</f>
        <v>문과라도 안 죄송한 이세계로 감 94화</v>
      </c>
      <c r="F2636">
        <v>94</v>
      </c>
      <c r="G2636" t="str">
        <f>T("정수읠")</f>
        <v>정수읠</v>
      </c>
      <c r="J2636" t="str">
        <f>T("매드햇")</f>
        <v>매드햇</v>
      </c>
      <c r="K2636" t="str">
        <f>T("문과라도 안 죄송한 이세계로 감")</f>
        <v>문과라도 안 죄송한 이세계로 감</v>
      </c>
      <c r="L2636">
        <v>100</v>
      </c>
      <c r="M2636">
        <v>200</v>
      </c>
      <c r="N2636">
        <v>2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0</v>
      </c>
      <c r="AH2636">
        <v>0</v>
      </c>
      <c r="AI2636">
        <v>200</v>
      </c>
      <c r="AJ2636">
        <v>2</v>
      </c>
      <c r="AK2636">
        <v>0</v>
      </c>
      <c r="AL2636">
        <v>0</v>
      </c>
      <c r="AM2636">
        <v>200</v>
      </c>
      <c r="AN2636">
        <v>0</v>
      </c>
      <c r="AO2636">
        <v>0</v>
      </c>
      <c r="AP2636">
        <v>0</v>
      </c>
      <c r="AQ2636">
        <v>0</v>
      </c>
      <c r="AS2636">
        <v>0</v>
      </c>
      <c r="AT2636">
        <v>0</v>
      </c>
      <c r="AV2636">
        <v>0</v>
      </c>
      <c r="AW2636">
        <v>0</v>
      </c>
      <c r="AY2636">
        <v>0</v>
      </c>
      <c r="AZ2636">
        <v>0</v>
      </c>
      <c r="BA2636">
        <v>140</v>
      </c>
      <c r="BE2636" t="str">
        <f>T("9791162589724")</f>
        <v>9791162589724</v>
      </c>
      <c r="BF2636" t="str">
        <f>T("E448330")</f>
        <v>E448330</v>
      </c>
      <c r="BG2636" t="str">
        <f>T("판타지 웹소설 &gt; 퓨전 판타지")</f>
        <v>판타지 웹소설 &gt; 퓨전 판타지</v>
      </c>
    </row>
    <row r="2637" spans="1:59">
      <c r="A2637" t="s">
        <v>60</v>
      </c>
      <c r="B2637" s="1">
        <v>46129</v>
      </c>
      <c r="C2637">
        <v>2378009513</v>
      </c>
      <c r="D2637">
        <v>2378009607</v>
      </c>
      <c r="E2637" t="str">
        <f>T("문과라도 안 죄송한 이세계로 감 95화")</f>
        <v>문과라도 안 죄송한 이세계로 감 95화</v>
      </c>
      <c r="F2637">
        <v>95</v>
      </c>
      <c r="G2637" t="str">
        <f>T("정수읠")</f>
        <v>정수읠</v>
      </c>
      <c r="J2637" t="str">
        <f>T("매드햇")</f>
        <v>매드햇</v>
      </c>
      <c r="K2637" t="str">
        <f>T("문과라도 안 죄송한 이세계로 감")</f>
        <v>문과라도 안 죄송한 이세계로 감</v>
      </c>
      <c r="L2637">
        <v>100</v>
      </c>
      <c r="M2637">
        <v>200</v>
      </c>
      <c r="N2637">
        <v>2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0</v>
      </c>
      <c r="AH2637">
        <v>0</v>
      </c>
      <c r="AI2637">
        <v>200</v>
      </c>
      <c r="AJ2637">
        <v>2</v>
      </c>
      <c r="AK2637">
        <v>0</v>
      </c>
      <c r="AL2637">
        <v>0</v>
      </c>
      <c r="AM2637">
        <v>200</v>
      </c>
      <c r="AN2637">
        <v>0</v>
      </c>
      <c r="AO2637">
        <v>0</v>
      </c>
      <c r="AP2637">
        <v>0</v>
      </c>
      <c r="AQ2637">
        <v>0</v>
      </c>
      <c r="AS2637">
        <v>0</v>
      </c>
      <c r="AT2637">
        <v>0</v>
      </c>
      <c r="AV2637">
        <v>0</v>
      </c>
      <c r="AW2637">
        <v>0</v>
      </c>
      <c r="AY2637">
        <v>0</v>
      </c>
      <c r="AZ2637">
        <v>0</v>
      </c>
      <c r="BA2637">
        <v>140</v>
      </c>
      <c r="BE2637" t="str">
        <f>T("9791162589724")</f>
        <v>9791162589724</v>
      </c>
      <c r="BF2637" t="str">
        <f>T("E448331")</f>
        <v>E448331</v>
      </c>
      <c r="BG2637" t="str">
        <f>T("판타지 웹소설 &gt; 퓨전 판타지")</f>
        <v>판타지 웹소설 &gt; 퓨전 판타지</v>
      </c>
    </row>
    <row r="2638" spans="1:59">
      <c r="A2638" t="s">
        <v>60</v>
      </c>
      <c r="B2638" s="1">
        <v>46129</v>
      </c>
      <c r="C2638">
        <v>2378009513</v>
      </c>
      <c r="D2638">
        <v>2378009608</v>
      </c>
      <c r="E2638" t="str">
        <f>T("문과라도 안 죄송한 이세계로 감 96화")</f>
        <v>문과라도 안 죄송한 이세계로 감 96화</v>
      </c>
      <c r="F2638">
        <v>96</v>
      </c>
      <c r="G2638" t="str">
        <f>T("정수읠")</f>
        <v>정수읠</v>
      </c>
      <c r="J2638" t="str">
        <f>T("매드햇")</f>
        <v>매드햇</v>
      </c>
      <c r="K2638" t="str">
        <f>T("문과라도 안 죄송한 이세계로 감")</f>
        <v>문과라도 안 죄송한 이세계로 감</v>
      </c>
      <c r="L2638">
        <v>100</v>
      </c>
      <c r="M2638">
        <v>200</v>
      </c>
      <c r="N2638">
        <v>2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0</v>
      </c>
      <c r="AH2638">
        <v>0</v>
      </c>
      <c r="AI2638">
        <v>200</v>
      </c>
      <c r="AJ2638">
        <v>2</v>
      </c>
      <c r="AK2638">
        <v>0</v>
      </c>
      <c r="AL2638">
        <v>0</v>
      </c>
      <c r="AM2638">
        <v>200</v>
      </c>
      <c r="AN2638">
        <v>0</v>
      </c>
      <c r="AO2638">
        <v>0</v>
      </c>
      <c r="AP2638">
        <v>0</v>
      </c>
      <c r="AQ2638">
        <v>0</v>
      </c>
      <c r="AS2638">
        <v>0</v>
      </c>
      <c r="AT2638">
        <v>0</v>
      </c>
      <c r="AV2638">
        <v>0</v>
      </c>
      <c r="AW2638">
        <v>0</v>
      </c>
      <c r="AY2638">
        <v>0</v>
      </c>
      <c r="AZ2638">
        <v>0</v>
      </c>
      <c r="BA2638">
        <v>140</v>
      </c>
      <c r="BE2638" t="str">
        <f>T("9791162589724")</f>
        <v>9791162589724</v>
      </c>
      <c r="BF2638" t="str">
        <f>T("E448332")</f>
        <v>E448332</v>
      </c>
      <c r="BG2638" t="str">
        <f>T("판타지 웹소설 &gt; 퓨전 판타지")</f>
        <v>판타지 웹소설 &gt; 퓨전 판타지</v>
      </c>
    </row>
    <row r="2639" spans="1:59">
      <c r="A2639" t="s">
        <v>60</v>
      </c>
      <c r="B2639" s="1">
        <v>46129</v>
      </c>
      <c r="C2639">
        <v>2378009513</v>
      </c>
      <c r="D2639">
        <v>2378009609</v>
      </c>
      <c r="E2639" t="str">
        <f>T("문과라도 안 죄송한 이세계로 감 97화")</f>
        <v>문과라도 안 죄송한 이세계로 감 97화</v>
      </c>
      <c r="F2639">
        <v>97</v>
      </c>
      <c r="G2639" t="str">
        <f>T("정수읠")</f>
        <v>정수읠</v>
      </c>
      <c r="J2639" t="str">
        <f>T("매드햇")</f>
        <v>매드햇</v>
      </c>
      <c r="K2639" t="str">
        <f>T("문과라도 안 죄송한 이세계로 감")</f>
        <v>문과라도 안 죄송한 이세계로 감</v>
      </c>
      <c r="L2639">
        <v>100</v>
      </c>
      <c r="M2639">
        <v>200</v>
      </c>
      <c r="N2639">
        <v>2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0</v>
      </c>
      <c r="AH2639">
        <v>0</v>
      </c>
      <c r="AI2639">
        <v>200</v>
      </c>
      <c r="AJ2639">
        <v>2</v>
      </c>
      <c r="AK2639">
        <v>0</v>
      </c>
      <c r="AL2639">
        <v>0</v>
      </c>
      <c r="AM2639">
        <v>200</v>
      </c>
      <c r="AN2639">
        <v>0</v>
      </c>
      <c r="AO2639">
        <v>0</v>
      </c>
      <c r="AP2639">
        <v>0</v>
      </c>
      <c r="AQ2639">
        <v>0</v>
      </c>
      <c r="AS2639">
        <v>0</v>
      </c>
      <c r="AT2639">
        <v>0</v>
      </c>
      <c r="AV2639">
        <v>0</v>
      </c>
      <c r="AW2639">
        <v>0</v>
      </c>
      <c r="AY2639">
        <v>0</v>
      </c>
      <c r="AZ2639">
        <v>0</v>
      </c>
      <c r="BA2639">
        <v>140</v>
      </c>
      <c r="BE2639" t="str">
        <f>T("9791162589724")</f>
        <v>9791162589724</v>
      </c>
      <c r="BF2639" t="str">
        <f>T("E448333")</f>
        <v>E448333</v>
      </c>
      <c r="BG2639" t="str">
        <f>T("판타지 웹소설 &gt; 퓨전 판타지")</f>
        <v>판타지 웹소설 &gt; 퓨전 판타지</v>
      </c>
    </row>
    <row r="2640" spans="1:59">
      <c r="A2640" t="s">
        <v>60</v>
      </c>
      <c r="B2640" s="1">
        <v>46129</v>
      </c>
      <c r="C2640">
        <v>2378009513</v>
      </c>
      <c r="D2640">
        <v>2378009610</v>
      </c>
      <c r="E2640" t="str">
        <f>T("문과라도 안 죄송한 이세계로 감 98화")</f>
        <v>문과라도 안 죄송한 이세계로 감 98화</v>
      </c>
      <c r="F2640">
        <v>98</v>
      </c>
      <c r="G2640" t="str">
        <f>T("정수읠")</f>
        <v>정수읠</v>
      </c>
      <c r="J2640" t="str">
        <f>T("매드햇")</f>
        <v>매드햇</v>
      </c>
      <c r="K2640" t="str">
        <f>T("문과라도 안 죄송한 이세계로 감")</f>
        <v>문과라도 안 죄송한 이세계로 감</v>
      </c>
      <c r="L2640">
        <v>100</v>
      </c>
      <c r="M2640">
        <v>200</v>
      </c>
      <c r="N2640">
        <v>2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0</v>
      </c>
      <c r="AH2640">
        <v>0</v>
      </c>
      <c r="AI2640">
        <v>200</v>
      </c>
      <c r="AJ2640">
        <v>2</v>
      </c>
      <c r="AK2640">
        <v>0</v>
      </c>
      <c r="AL2640">
        <v>0</v>
      </c>
      <c r="AM2640">
        <v>200</v>
      </c>
      <c r="AN2640">
        <v>0</v>
      </c>
      <c r="AO2640">
        <v>0</v>
      </c>
      <c r="AP2640">
        <v>0</v>
      </c>
      <c r="AQ2640">
        <v>0</v>
      </c>
      <c r="AS2640">
        <v>0</v>
      </c>
      <c r="AT2640">
        <v>0</v>
      </c>
      <c r="AV2640">
        <v>0</v>
      </c>
      <c r="AW2640">
        <v>0</v>
      </c>
      <c r="AY2640">
        <v>0</v>
      </c>
      <c r="AZ2640">
        <v>0</v>
      </c>
      <c r="BA2640">
        <v>140</v>
      </c>
      <c r="BE2640" t="str">
        <f>T("9791162589724")</f>
        <v>9791162589724</v>
      </c>
      <c r="BF2640" t="str">
        <f>T("E448334")</f>
        <v>E448334</v>
      </c>
      <c r="BG2640" t="str">
        <f>T("판타지 웹소설 &gt; 퓨전 판타지")</f>
        <v>판타지 웹소설 &gt; 퓨전 판타지</v>
      </c>
    </row>
    <row r="2641" spans="1:59">
      <c r="A2641" t="s">
        <v>60</v>
      </c>
      <c r="B2641" s="1">
        <v>46129</v>
      </c>
      <c r="C2641">
        <v>2378009513</v>
      </c>
      <c r="D2641">
        <v>2378009611</v>
      </c>
      <c r="E2641" t="str">
        <f>T("문과라도 안 죄송한 이세계로 감 99화")</f>
        <v>문과라도 안 죄송한 이세계로 감 99화</v>
      </c>
      <c r="F2641">
        <v>99</v>
      </c>
      <c r="G2641" t="str">
        <f>T("정수읠")</f>
        <v>정수읠</v>
      </c>
      <c r="J2641" t="str">
        <f>T("매드햇")</f>
        <v>매드햇</v>
      </c>
      <c r="K2641" t="str">
        <f>T("문과라도 안 죄송한 이세계로 감")</f>
        <v>문과라도 안 죄송한 이세계로 감</v>
      </c>
      <c r="L2641">
        <v>100</v>
      </c>
      <c r="M2641">
        <v>200</v>
      </c>
      <c r="N2641">
        <v>2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0</v>
      </c>
      <c r="AH2641">
        <v>0</v>
      </c>
      <c r="AI2641">
        <v>200</v>
      </c>
      <c r="AJ2641">
        <v>2</v>
      </c>
      <c r="AK2641">
        <v>0</v>
      </c>
      <c r="AL2641">
        <v>0</v>
      </c>
      <c r="AM2641">
        <v>200</v>
      </c>
      <c r="AN2641">
        <v>0</v>
      </c>
      <c r="AO2641">
        <v>0</v>
      </c>
      <c r="AP2641">
        <v>0</v>
      </c>
      <c r="AQ2641">
        <v>0</v>
      </c>
      <c r="AS2641">
        <v>0</v>
      </c>
      <c r="AT2641">
        <v>0</v>
      </c>
      <c r="AV2641">
        <v>0</v>
      </c>
      <c r="AW2641">
        <v>0</v>
      </c>
      <c r="AY2641">
        <v>0</v>
      </c>
      <c r="AZ2641">
        <v>0</v>
      </c>
      <c r="BA2641">
        <v>140</v>
      </c>
      <c r="BE2641" t="str">
        <f>T("9791162589724")</f>
        <v>9791162589724</v>
      </c>
      <c r="BF2641" t="str">
        <f>T("E448335")</f>
        <v>E448335</v>
      </c>
      <c r="BG2641" t="str">
        <f>T("판타지 웹소설 &gt; 퓨전 판타지")</f>
        <v>판타지 웹소설 &gt; 퓨전 판타지</v>
      </c>
    </row>
    <row r="2642" spans="1:59">
      <c r="A2642" t="s">
        <v>60</v>
      </c>
      <c r="B2642" s="1">
        <v>46129</v>
      </c>
      <c r="C2642">
        <v>2378009513</v>
      </c>
      <c r="D2642">
        <v>2378009612</v>
      </c>
      <c r="E2642" t="str">
        <f>T("문과라도 안 죄송한 이세계로 감 100화")</f>
        <v>문과라도 안 죄송한 이세계로 감 100화</v>
      </c>
      <c r="F2642">
        <v>100</v>
      </c>
      <c r="G2642" t="str">
        <f>T("정수읠")</f>
        <v>정수읠</v>
      </c>
      <c r="J2642" t="str">
        <f>T("매드햇")</f>
        <v>매드햇</v>
      </c>
      <c r="K2642" t="str">
        <f>T("문과라도 안 죄송한 이세계로 감")</f>
        <v>문과라도 안 죄송한 이세계로 감</v>
      </c>
      <c r="L2642">
        <v>100</v>
      </c>
      <c r="M2642">
        <v>200</v>
      </c>
      <c r="N2642">
        <v>2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0</v>
      </c>
      <c r="AH2642">
        <v>0</v>
      </c>
      <c r="AI2642">
        <v>200</v>
      </c>
      <c r="AJ2642">
        <v>2</v>
      </c>
      <c r="AK2642">
        <v>0</v>
      </c>
      <c r="AL2642">
        <v>0</v>
      </c>
      <c r="AM2642">
        <v>200</v>
      </c>
      <c r="AN2642">
        <v>0</v>
      </c>
      <c r="AO2642">
        <v>0</v>
      </c>
      <c r="AP2642">
        <v>0</v>
      </c>
      <c r="AQ2642">
        <v>0</v>
      </c>
      <c r="AS2642">
        <v>0</v>
      </c>
      <c r="AT2642">
        <v>0</v>
      </c>
      <c r="AV2642">
        <v>0</v>
      </c>
      <c r="AW2642">
        <v>0</v>
      </c>
      <c r="AY2642">
        <v>0</v>
      </c>
      <c r="AZ2642">
        <v>0</v>
      </c>
      <c r="BA2642">
        <v>140</v>
      </c>
      <c r="BC2642" t="str">
        <f>T("0000000000000")</f>
        <v>0000000000000</v>
      </c>
      <c r="BE2642" t="str">
        <f>T("9791162589724")</f>
        <v>9791162589724</v>
      </c>
      <c r="BF2642" t="str">
        <f>T("E448336")</f>
        <v>E448336</v>
      </c>
      <c r="BG2642" t="str">
        <f>T("판타지 웹소설 &gt; 퓨전 판타지")</f>
        <v>판타지 웹소설 &gt; 퓨전 판타지</v>
      </c>
    </row>
    <row r="2643" spans="1:59">
      <c r="A2643" t="s">
        <v>60</v>
      </c>
      <c r="B2643" s="1">
        <v>46129</v>
      </c>
      <c r="C2643">
        <v>2378009513</v>
      </c>
      <c r="D2643">
        <v>2378009615</v>
      </c>
      <c r="E2643" t="str">
        <f>T("문과라도 안 죄송한 이세계로 감 101화")</f>
        <v>문과라도 안 죄송한 이세계로 감 101화</v>
      </c>
      <c r="F2643">
        <v>101</v>
      </c>
      <c r="G2643" t="str">
        <f>T("정수읠")</f>
        <v>정수읠</v>
      </c>
      <c r="J2643" t="str">
        <f>T("매드햇")</f>
        <v>매드햇</v>
      </c>
      <c r="K2643" t="str">
        <f>T("문과라도 안 죄송한 이세계로 감")</f>
        <v>문과라도 안 죄송한 이세계로 감</v>
      </c>
      <c r="L2643">
        <v>100</v>
      </c>
      <c r="M2643">
        <v>200</v>
      </c>
      <c r="N2643">
        <v>2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0</v>
      </c>
      <c r="AH2643">
        <v>0</v>
      </c>
      <c r="AI2643">
        <v>200</v>
      </c>
      <c r="AJ2643">
        <v>2</v>
      </c>
      <c r="AK2643">
        <v>0</v>
      </c>
      <c r="AL2643">
        <v>0</v>
      </c>
      <c r="AM2643">
        <v>200</v>
      </c>
      <c r="AN2643">
        <v>0</v>
      </c>
      <c r="AO2643">
        <v>0</v>
      </c>
      <c r="AP2643">
        <v>0</v>
      </c>
      <c r="AQ2643">
        <v>0</v>
      </c>
      <c r="AS2643">
        <v>0</v>
      </c>
      <c r="AT2643">
        <v>0</v>
      </c>
      <c r="AV2643">
        <v>0</v>
      </c>
      <c r="AW2643">
        <v>0</v>
      </c>
      <c r="AY2643">
        <v>0</v>
      </c>
      <c r="AZ2643">
        <v>0</v>
      </c>
      <c r="BA2643">
        <v>140</v>
      </c>
      <c r="BC2643" t="str">
        <f>T("0000000000000")</f>
        <v>0000000000000</v>
      </c>
      <c r="BE2643" t="str">
        <f>T("9791162589724")</f>
        <v>9791162589724</v>
      </c>
      <c r="BF2643" t="str">
        <f>T("E448650")</f>
        <v>E448650</v>
      </c>
      <c r="BG2643" t="str">
        <f>T("판타지 웹소설 &gt; 퓨전 판타지")</f>
        <v>판타지 웹소설 &gt; 퓨전 판타지</v>
      </c>
    </row>
    <row r="2644" spans="1:59">
      <c r="A2644" t="s">
        <v>60</v>
      </c>
      <c r="B2644" s="1">
        <v>46129</v>
      </c>
      <c r="C2644">
        <v>2378009513</v>
      </c>
      <c r="D2644">
        <v>2378009616</v>
      </c>
      <c r="E2644" t="str">
        <f>T("문과라도 안 죄송한 이세계로 감 102화")</f>
        <v>문과라도 안 죄송한 이세계로 감 102화</v>
      </c>
      <c r="F2644">
        <v>102</v>
      </c>
      <c r="G2644" t="str">
        <f>T("정수읠")</f>
        <v>정수읠</v>
      </c>
      <c r="J2644" t="str">
        <f>T("매드햇")</f>
        <v>매드햇</v>
      </c>
      <c r="K2644" t="str">
        <f>T("문과라도 안 죄송한 이세계로 감")</f>
        <v>문과라도 안 죄송한 이세계로 감</v>
      </c>
      <c r="L2644">
        <v>100</v>
      </c>
      <c r="M2644">
        <v>200</v>
      </c>
      <c r="N2644">
        <v>2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0</v>
      </c>
      <c r="AH2644">
        <v>0</v>
      </c>
      <c r="AI2644">
        <v>200</v>
      </c>
      <c r="AJ2644">
        <v>2</v>
      </c>
      <c r="AK2644">
        <v>0</v>
      </c>
      <c r="AL2644">
        <v>0</v>
      </c>
      <c r="AM2644">
        <v>200</v>
      </c>
      <c r="AN2644">
        <v>0</v>
      </c>
      <c r="AO2644">
        <v>0</v>
      </c>
      <c r="AP2644">
        <v>0</v>
      </c>
      <c r="AQ2644">
        <v>0</v>
      </c>
      <c r="AS2644">
        <v>0</v>
      </c>
      <c r="AT2644">
        <v>0</v>
      </c>
      <c r="AV2644">
        <v>0</v>
      </c>
      <c r="AW2644">
        <v>0</v>
      </c>
      <c r="AY2644">
        <v>0</v>
      </c>
      <c r="AZ2644">
        <v>0</v>
      </c>
      <c r="BA2644">
        <v>140</v>
      </c>
      <c r="BC2644" t="str">
        <f>T("0000000000000")</f>
        <v>0000000000000</v>
      </c>
      <c r="BE2644" t="str">
        <f>T("9791162589724")</f>
        <v>9791162589724</v>
      </c>
      <c r="BF2644" t="str">
        <f>T("E448651")</f>
        <v>E448651</v>
      </c>
      <c r="BG2644" t="str">
        <f>T("판타지 웹소설 &gt; 퓨전 판타지")</f>
        <v>판타지 웹소설 &gt; 퓨전 판타지</v>
      </c>
    </row>
    <row r="2645" spans="1:59">
      <c r="A2645" t="s">
        <v>60</v>
      </c>
      <c r="B2645" s="1">
        <v>46129</v>
      </c>
      <c r="C2645">
        <v>2378009513</v>
      </c>
      <c r="D2645">
        <v>2378009617</v>
      </c>
      <c r="E2645" t="str">
        <f>T("문과라도 안 죄송한 이세계로 감 103화")</f>
        <v>문과라도 안 죄송한 이세계로 감 103화</v>
      </c>
      <c r="F2645">
        <v>103</v>
      </c>
      <c r="G2645" t="str">
        <f>T("정수읠")</f>
        <v>정수읠</v>
      </c>
      <c r="J2645" t="str">
        <f>T("매드햇")</f>
        <v>매드햇</v>
      </c>
      <c r="K2645" t="str">
        <f>T("문과라도 안 죄송한 이세계로 감")</f>
        <v>문과라도 안 죄송한 이세계로 감</v>
      </c>
      <c r="L2645">
        <v>100</v>
      </c>
      <c r="M2645">
        <v>200</v>
      </c>
      <c r="N2645">
        <v>2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0</v>
      </c>
      <c r="AE2645">
        <v>0</v>
      </c>
      <c r="AF2645">
        <v>0</v>
      </c>
      <c r="AG2645">
        <v>0</v>
      </c>
      <c r="AH2645">
        <v>0</v>
      </c>
      <c r="AI2645">
        <v>200</v>
      </c>
      <c r="AJ2645">
        <v>2</v>
      </c>
      <c r="AK2645">
        <v>0</v>
      </c>
      <c r="AL2645">
        <v>0</v>
      </c>
      <c r="AM2645">
        <v>200</v>
      </c>
      <c r="AN2645">
        <v>0</v>
      </c>
      <c r="AO2645">
        <v>0</v>
      </c>
      <c r="AP2645">
        <v>0</v>
      </c>
      <c r="AQ2645">
        <v>0</v>
      </c>
      <c r="AS2645">
        <v>0</v>
      </c>
      <c r="AT2645">
        <v>0</v>
      </c>
      <c r="AV2645">
        <v>0</v>
      </c>
      <c r="AW2645">
        <v>0</v>
      </c>
      <c r="AY2645">
        <v>0</v>
      </c>
      <c r="AZ2645">
        <v>0</v>
      </c>
      <c r="BA2645">
        <v>140</v>
      </c>
      <c r="BC2645" t="str">
        <f>T("0000000000000")</f>
        <v>0000000000000</v>
      </c>
      <c r="BE2645" t="str">
        <f>T("9791162589724")</f>
        <v>9791162589724</v>
      </c>
      <c r="BF2645" t="str">
        <f>T("E448652")</f>
        <v>E448652</v>
      </c>
      <c r="BG2645" t="str">
        <f>T("판타지 웹소설 &gt; 퓨전 판타지")</f>
        <v>판타지 웹소설 &gt; 퓨전 판타지</v>
      </c>
    </row>
    <row r="2646" spans="1:59">
      <c r="A2646" t="s">
        <v>60</v>
      </c>
      <c r="B2646" s="1">
        <v>46129</v>
      </c>
      <c r="C2646">
        <v>2378009513</v>
      </c>
      <c r="D2646">
        <v>2378009618</v>
      </c>
      <c r="E2646" t="str">
        <f>T("문과라도 안 죄송한 이세계로 감 104화")</f>
        <v>문과라도 안 죄송한 이세계로 감 104화</v>
      </c>
      <c r="F2646">
        <v>104</v>
      </c>
      <c r="G2646" t="str">
        <f>T("정수읠")</f>
        <v>정수읠</v>
      </c>
      <c r="J2646" t="str">
        <f>T("매드햇")</f>
        <v>매드햇</v>
      </c>
      <c r="K2646" t="str">
        <f>T("문과라도 안 죄송한 이세계로 감")</f>
        <v>문과라도 안 죄송한 이세계로 감</v>
      </c>
      <c r="L2646">
        <v>100</v>
      </c>
      <c r="M2646">
        <v>200</v>
      </c>
      <c r="N2646">
        <v>2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0</v>
      </c>
      <c r="AE2646">
        <v>0</v>
      </c>
      <c r="AF2646">
        <v>0</v>
      </c>
      <c r="AG2646">
        <v>0</v>
      </c>
      <c r="AH2646">
        <v>0</v>
      </c>
      <c r="AI2646">
        <v>200</v>
      </c>
      <c r="AJ2646">
        <v>2</v>
      </c>
      <c r="AK2646">
        <v>0</v>
      </c>
      <c r="AL2646">
        <v>0</v>
      </c>
      <c r="AM2646">
        <v>200</v>
      </c>
      <c r="AN2646">
        <v>0</v>
      </c>
      <c r="AO2646">
        <v>0</v>
      </c>
      <c r="AP2646">
        <v>0</v>
      </c>
      <c r="AQ2646">
        <v>0</v>
      </c>
      <c r="AS2646">
        <v>0</v>
      </c>
      <c r="AT2646">
        <v>0</v>
      </c>
      <c r="AV2646">
        <v>0</v>
      </c>
      <c r="AW2646">
        <v>0</v>
      </c>
      <c r="AY2646">
        <v>0</v>
      </c>
      <c r="AZ2646">
        <v>0</v>
      </c>
      <c r="BA2646">
        <v>140</v>
      </c>
      <c r="BC2646" t="str">
        <f>T("0000000000000")</f>
        <v>0000000000000</v>
      </c>
      <c r="BE2646" t="str">
        <f>T("9791162589724")</f>
        <v>9791162589724</v>
      </c>
      <c r="BF2646" t="str">
        <f>T("E448653")</f>
        <v>E448653</v>
      </c>
      <c r="BG2646" t="str">
        <f>T("판타지 웹소설 &gt; 퓨전 판타지")</f>
        <v>판타지 웹소설 &gt; 퓨전 판타지</v>
      </c>
    </row>
    <row r="2647" spans="1:59">
      <c r="A2647" t="s">
        <v>60</v>
      </c>
      <c r="B2647" s="1">
        <v>46129</v>
      </c>
      <c r="C2647">
        <v>2378009513</v>
      </c>
      <c r="D2647">
        <v>2378009645</v>
      </c>
      <c r="E2647" t="str">
        <f>T("문과라도 안 죄송한 이세계로 감 105화")</f>
        <v>문과라도 안 죄송한 이세계로 감 105화</v>
      </c>
      <c r="F2647">
        <v>105</v>
      </c>
      <c r="G2647" t="str">
        <f>T("정수읠")</f>
        <v>정수읠</v>
      </c>
      <c r="J2647" t="str">
        <f>T("매드햇")</f>
        <v>매드햇</v>
      </c>
      <c r="K2647" t="str">
        <f>T("문과라도 안 죄송한 이세계로 감")</f>
        <v>문과라도 안 죄송한 이세계로 감</v>
      </c>
      <c r="L2647">
        <v>100</v>
      </c>
      <c r="M2647">
        <v>200</v>
      </c>
      <c r="N2647">
        <v>2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0</v>
      </c>
      <c r="AE2647">
        <v>0</v>
      </c>
      <c r="AF2647">
        <v>0</v>
      </c>
      <c r="AG2647">
        <v>0</v>
      </c>
      <c r="AH2647">
        <v>0</v>
      </c>
      <c r="AI2647">
        <v>200</v>
      </c>
      <c r="AJ2647">
        <v>2</v>
      </c>
      <c r="AK2647">
        <v>0</v>
      </c>
      <c r="AL2647">
        <v>0</v>
      </c>
      <c r="AM2647">
        <v>200</v>
      </c>
      <c r="AN2647">
        <v>0</v>
      </c>
      <c r="AO2647">
        <v>0</v>
      </c>
      <c r="AP2647">
        <v>0</v>
      </c>
      <c r="AQ2647">
        <v>0</v>
      </c>
      <c r="AS2647">
        <v>0</v>
      </c>
      <c r="AT2647">
        <v>0</v>
      </c>
      <c r="AV2647">
        <v>0</v>
      </c>
      <c r="AW2647">
        <v>0</v>
      </c>
      <c r="AY2647">
        <v>0</v>
      </c>
      <c r="AZ2647">
        <v>0</v>
      </c>
      <c r="BA2647">
        <v>140</v>
      </c>
      <c r="BC2647" t="str">
        <f>T("0000000000000")</f>
        <v>0000000000000</v>
      </c>
      <c r="BE2647" t="str">
        <f>T("9791162589724")</f>
        <v>9791162589724</v>
      </c>
      <c r="BF2647" t="str">
        <f>T("E449144")</f>
        <v>E449144</v>
      </c>
      <c r="BG2647" t="str">
        <f>T("판타지 웹소설 &gt; 퓨전 판타지")</f>
        <v>판타지 웹소설 &gt; 퓨전 판타지</v>
      </c>
    </row>
    <row r="2648" spans="1:59">
      <c r="A2648" t="s">
        <v>60</v>
      </c>
      <c r="B2648" s="1">
        <v>46129</v>
      </c>
      <c r="C2648">
        <v>2378009513</v>
      </c>
      <c r="D2648">
        <v>2378009646</v>
      </c>
      <c r="E2648" t="str">
        <f>T("문과라도 안 죄송한 이세계로 감 106화")</f>
        <v>문과라도 안 죄송한 이세계로 감 106화</v>
      </c>
      <c r="F2648">
        <v>106</v>
      </c>
      <c r="G2648" t="str">
        <f>T("정수읠")</f>
        <v>정수읠</v>
      </c>
      <c r="J2648" t="str">
        <f>T("매드햇")</f>
        <v>매드햇</v>
      </c>
      <c r="K2648" t="str">
        <f>T("문과라도 안 죄송한 이세계로 감")</f>
        <v>문과라도 안 죄송한 이세계로 감</v>
      </c>
      <c r="L2648">
        <v>100</v>
      </c>
      <c r="M2648">
        <v>200</v>
      </c>
      <c r="N2648">
        <v>2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0</v>
      </c>
      <c r="AE2648">
        <v>0</v>
      </c>
      <c r="AF2648">
        <v>0</v>
      </c>
      <c r="AG2648">
        <v>0</v>
      </c>
      <c r="AH2648">
        <v>0</v>
      </c>
      <c r="AI2648">
        <v>200</v>
      </c>
      <c r="AJ2648">
        <v>2</v>
      </c>
      <c r="AK2648">
        <v>0</v>
      </c>
      <c r="AL2648">
        <v>0</v>
      </c>
      <c r="AM2648">
        <v>200</v>
      </c>
      <c r="AN2648">
        <v>0</v>
      </c>
      <c r="AO2648">
        <v>0</v>
      </c>
      <c r="AP2648">
        <v>0</v>
      </c>
      <c r="AQ2648">
        <v>0</v>
      </c>
      <c r="AS2648">
        <v>0</v>
      </c>
      <c r="AT2648">
        <v>0</v>
      </c>
      <c r="AV2648">
        <v>0</v>
      </c>
      <c r="AW2648">
        <v>0</v>
      </c>
      <c r="AY2648">
        <v>0</v>
      </c>
      <c r="AZ2648">
        <v>0</v>
      </c>
      <c r="BA2648">
        <v>140</v>
      </c>
      <c r="BC2648" t="str">
        <f>T("0000000000000")</f>
        <v>0000000000000</v>
      </c>
      <c r="BE2648" t="str">
        <f>T("9791162589724")</f>
        <v>9791162589724</v>
      </c>
      <c r="BF2648" t="str">
        <f>T("E449145")</f>
        <v>E449145</v>
      </c>
      <c r="BG2648" t="str">
        <f>T("판타지 웹소설 &gt; 퓨전 판타지")</f>
        <v>판타지 웹소설 &gt; 퓨전 판타지</v>
      </c>
    </row>
    <row r="2649" spans="1:59">
      <c r="A2649" t="s">
        <v>60</v>
      </c>
      <c r="B2649" s="1">
        <v>46129</v>
      </c>
      <c r="C2649">
        <v>2378009513</v>
      </c>
      <c r="D2649">
        <v>2378009647</v>
      </c>
      <c r="E2649" t="str">
        <f>T("문과라도 안 죄송한 이세계로 감 107화")</f>
        <v>문과라도 안 죄송한 이세계로 감 107화</v>
      </c>
      <c r="F2649">
        <v>107</v>
      </c>
      <c r="G2649" t="str">
        <f>T("정수읠")</f>
        <v>정수읠</v>
      </c>
      <c r="J2649" t="str">
        <f>T("매드햇")</f>
        <v>매드햇</v>
      </c>
      <c r="K2649" t="str">
        <f>T("문과라도 안 죄송한 이세계로 감")</f>
        <v>문과라도 안 죄송한 이세계로 감</v>
      </c>
      <c r="L2649">
        <v>100</v>
      </c>
      <c r="M2649">
        <v>200</v>
      </c>
      <c r="N2649">
        <v>2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0</v>
      </c>
      <c r="AE2649">
        <v>0</v>
      </c>
      <c r="AF2649">
        <v>0</v>
      </c>
      <c r="AG2649">
        <v>0</v>
      </c>
      <c r="AH2649">
        <v>0</v>
      </c>
      <c r="AI2649">
        <v>200</v>
      </c>
      <c r="AJ2649">
        <v>2</v>
      </c>
      <c r="AK2649">
        <v>0</v>
      </c>
      <c r="AL2649">
        <v>0</v>
      </c>
      <c r="AM2649">
        <v>200</v>
      </c>
      <c r="AN2649">
        <v>0</v>
      </c>
      <c r="AO2649">
        <v>0</v>
      </c>
      <c r="AP2649">
        <v>0</v>
      </c>
      <c r="AQ2649">
        <v>0</v>
      </c>
      <c r="AS2649">
        <v>0</v>
      </c>
      <c r="AT2649">
        <v>0</v>
      </c>
      <c r="AV2649">
        <v>0</v>
      </c>
      <c r="AW2649">
        <v>0</v>
      </c>
      <c r="AY2649">
        <v>0</v>
      </c>
      <c r="AZ2649">
        <v>0</v>
      </c>
      <c r="BA2649">
        <v>140</v>
      </c>
      <c r="BC2649" t="str">
        <f>T("0000000000000")</f>
        <v>0000000000000</v>
      </c>
      <c r="BE2649" t="str">
        <f>T("9791162589724")</f>
        <v>9791162589724</v>
      </c>
      <c r="BF2649" t="str">
        <f>T("E449146")</f>
        <v>E449146</v>
      </c>
      <c r="BG2649" t="str">
        <f>T("판타지 웹소설 &gt; 퓨전 판타지")</f>
        <v>판타지 웹소설 &gt; 퓨전 판타지</v>
      </c>
    </row>
    <row r="2650" spans="1:59">
      <c r="A2650" t="s">
        <v>60</v>
      </c>
      <c r="B2650" s="1">
        <v>46129</v>
      </c>
      <c r="C2650">
        <v>2378009513</v>
      </c>
      <c r="D2650">
        <v>2378009648</v>
      </c>
      <c r="E2650" t="str">
        <f>T("문과라도 안 죄송한 이세계로 감 108화")</f>
        <v>문과라도 안 죄송한 이세계로 감 108화</v>
      </c>
      <c r="F2650">
        <v>108</v>
      </c>
      <c r="G2650" t="str">
        <f>T("정수읠")</f>
        <v>정수읠</v>
      </c>
      <c r="J2650" t="str">
        <f>T("매드햇")</f>
        <v>매드햇</v>
      </c>
      <c r="K2650" t="str">
        <f>T("문과라도 안 죄송한 이세계로 감")</f>
        <v>문과라도 안 죄송한 이세계로 감</v>
      </c>
      <c r="L2650">
        <v>100</v>
      </c>
      <c r="M2650">
        <v>200</v>
      </c>
      <c r="N2650">
        <v>2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0</v>
      </c>
      <c r="AE2650">
        <v>0</v>
      </c>
      <c r="AF2650">
        <v>0</v>
      </c>
      <c r="AG2650">
        <v>0</v>
      </c>
      <c r="AH2650">
        <v>0</v>
      </c>
      <c r="AI2650">
        <v>200</v>
      </c>
      <c r="AJ2650">
        <v>2</v>
      </c>
      <c r="AK2650">
        <v>0</v>
      </c>
      <c r="AL2650">
        <v>0</v>
      </c>
      <c r="AM2650">
        <v>200</v>
      </c>
      <c r="AN2650">
        <v>0</v>
      </c>
      <c r="AO2650">
        <v>0</v>
      </c>
      <c r="AP2650">
        <v>0</v>
      </c>
      <c r="AQ2650">
        <v>0</v>
      </c>
      <c r="AS2650">
        <v>0</v>
      </c>
      <c r="AT2650">
        <v>0</v>
      </c>
      <c r="AV2650">
        <v>0</v>
      </c>
      <c r="AW2650">
        <v>0</v>
      </c>
      <c r="AY2650">
        <v>0</v>
      </c>
      <c r="AZ2650">
        <v>0</v>
      </c>
      <c r="BA2650">
        <v>140</v>
      </c>
      <c r="BC2650" t="str">
        <f>T("0000000000000")</f>
        <v>0000000000000</v>
      </c>
      <c r="BE2650" t="str">
        <f>T("9791162589724")</f>
        <v>9791162589724</v>
      </c>
      <c r="BF2650" t="str">
        <f>T("E449147")</f>
        <v>E449147</v>
      </c>
      <c r="BG2650" t="str">
        <f>T("판타지 웹소설 &gt; 퓨전 판타지")</f>
        <v>판타지 웹소설 &gt; 퓨전 판타지</v>
      </c>
    </row>
    <row r="2651" spans="1:59">
      <c r="A2651" t="s">
        <v>60</v>
      </c>
      <c r="B2651" s="1">
        <v>46129</v>
      </c>
      <c r="C2651">
        <v>2378009513</v>
      </c>
      <c r="D2651">
        <v>2378009693</v>
      </c>
      <c r="E2651" t="str">
        <f>T("문과라도 안 죄송한 이세계로 감 109화")</f>
        <v>문과라도 안 죄송한 이세계로 감 109화</v>
      </c>
      <c r="F2651">
        <v>109</v>
      </c>
      <c r="G2651" t="str">
        <f>T("정수읠")</f>
        <v>정수읠</v>
      </c>
      <c r="J2651" t="str">
        <f>T("매드햇")</f>
        <v>매드햇</v>
      </c>
      <c r="K2651" t="str">
        <f>T("문과라도 안 죄송한 이세계로 감")</f>
        <v>문과라도 안 죄송한 이세계로 감</v>
      </c>
      <c r="L2651">
        <v>100</v>
      </c>
      <c r="M2651">
        <v>200</v>
      </c>
      <c r="N2651">
        <v>2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0</v>
      </c>
      <c r="AE2651">
        <v>0</v>
      </c>
      <c r="AF2651">
        <v>0</v>
      </c>
      <c r="AG2651">
        <v>0</v>
      </c>
      <c r="AH2651">
        <v>0</v>
      </c>
      <c r="AI2651">
        <v>200</v>
      </c>
      <c r="AJ2651">
        <v>2</v>
      </c>
      <c r="AK2651">
        <v>0</v>
      </c>
      <c r="AL2651">
        <v>0</v>
      </c>
      <c r="AM2651">
        <v>200</v>
      </c>
      <c r="AN2651">
        <v>0</v>
      </c>
      <c r="AO2651">
        <v>0</v>
      </c>
      <c r="AP2651">
        <v>0</v>
      </c>
      <c r="AQ2651">
        <v>0</v>
      </c>
      <c r="AS2651">
        <v>0</v>
      </c>
      <c r="AT2651">
        <v>0</v>
      </c>
      <c r="AV2651">
        <v>0</v>
      </c>
      <c r="AW2651">
        <v>0</v>
      </c>
      <c r="AY2651">
        <v>0</v>
      </c>
      <c r="AZ2651">
        <v>0</v>
      </c>
      <c r="BA2651">
        <v>140</v>
      </c>
      <c r="BC2651" t="str">
        <f>T("0000000000000")</f>
        <v>0000000000000</v>
      </c>
      <c r="BE2651" t="str">
        <f>T("9791162589724")</f>
        <v>9791162589724</v>
      </c>
      <c r="BF2651" t="str">
        <f>T("E458050")</f>
        <v>E458050</v>
      </c>
      <c r="BG2651" t="str">
        <f>T("판타지 웹소설 &gt; 퓨전 판타지")</f>
        <v>판타지 웹소설 &gt; 퓨전 판타지</v>
      </c>
    </row>
    <row r="2652" spans="1:59">
      <c r="A2652" t="s">
        <v>60</v>
      </c>
      <c r="B2652" s="1">
        <v>46129</v>
      </c>
      <c r="C2652">
        <v>2378009513</v>
      </c>
      <c r="D2652">
        <v>2378009694</v>
      </c>
      <c r="E2652" t="str">
        <f>T("문과라도 안 죄송한 이세계로 감 110화")</f>
        <v>문과라도 안 죄송한 이세계로 감 110화</v>
      </c>
      <c r="F2652">
        <v>110</v>
      </c>
      <c r="G2652" t="str">
        <f>T("정수읠")</f>
        <v>정수읠</v>
      </c>
      <c r="J2652" t="str">
        <f>T("매드햇")</f>
        <v>매드햇</v>
      </c>
      <c r="K2652" t="str">
        <f>T("문과라도 안 죄송한 이세계로 감")</f>
        <v>문과라도 안 죄송한 이세계로 감</v>
      </c>
      <c r="L2652">
        <v>100</v>
      </c>
      <c r="M2652">
        <v>200</v>
      </c>
      <c r="N2652">
        <v>2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0</v>
      </c>
      <c r="AE2652">
        <v>0</v>
      </c>
      <c r="AF2652">
        <v>0</v>
      </c>
      <c r="AG2652">
        <v>0</v>
      </c>
      <c r="AH2652">
        <v>0</v>
      </c>
      <c r="AI2652">
        <v>200</v>
      </c>
      <c r="AJ2652">
        <v>2</v>
      </c>
      <c r="AK2652">
        <v>0</v>
      </c>
      <c r="AL2652">
        <v>0</v>
      </c>
      <c r="AM2652">
        <v>200</v>
      </c>
      <c r="AN2652">
        <v>0</v>
      </c>
      <c r="AO2652">
        <v>0</v>
      </c>
      <c r="AP2652">
        <v>0</v>
      </c>
      <c r="AQ2652">
        <v>0</v>
      </c>
      <c r="AS2652">
        <v>0</v>
      </c>
      <c r="AT2652">
        <v>0</v>
      </c>
      <c r="AV2652">
        <v>0</v>
      </c>
      <c r="AW2652">
        <v>0</v>
      </c>
      <c r="AY2652">
        <v>0</v>
      </c>
      <c r="AZ2652">
        <v>0</v>
      </c>
      <c r="BA2652">
        <v>140</v>
      </c>
      <c r="BC2652" t="str">
        <f>T("0000000000000")</f>
        <v>0000000000000</v>
      </c>
      <c r="BE2652" t="str">
        <f>T("9791162589724")</f>
        <v>9791162589724</v>
      </c>
      <c r="BF2652" t="str">
        <f>T("E458051")</f>
        <v>E458051</v>
      </c>
      <c r="BG2652" t="str">
        <f>T("판타지 웹소설 &gt; 퓨전 판타지")</f>
        <v>판타지 웹소설 &gt; 퓨전 판타지</v>
      </c>
    </row>
    <row r="2653" spans="1:59">
      <c r="A2653" t="s">
        <v>60</v>
      </c>
      <c r="B2653" s="1">
        <v>46129</v>
      </c>
      <c r="C2653">
        <v>2378009513</v>
      </c>
      <c r="D2653">
        <v>2378009695</v>
      </c>
      <c r="E2653" t="str">
        <f>T("문과라도 안 죄송한 이세계로 감 111화")</f>
        <v>문과라도 안 죄송한 이세계로 감 111화</v>
      </c>
      <c r="F2653">
        <v>111</v>
      </c>
      <c r="G2653" t="str">
        <f>T("정수읠")</f>
        <v>정수읠</v>
      </c>
      <c r="J2653" t="str">
        <f>T("매드햇")</f>
        <v>매드햇</v>
      </c>
      <c r="K2653" t="str">
        <f>T("문과라도 안 죄송한 이세계로 감")</f>
        <v>문과라도 안 죄송한 이세계로 감</v>
      </c>
      <c r="L2653">
        <v>100</v>
      </c>
      <c r="M2653">
        <v>200</v>
      </c>
      <c r="N2653">
        <v>2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0</v>
      </c>
      <c r="AE2653">
        <v>0</v>
      </c>
      <c r="AF2653">
        <v>0</v>
      </c>
      <c r="AG2653">
        <v>0</v>
      </c>
      <c r="AH2653">
        <v>0</v>
      </c>
      <c r="AI2653">
        <v>200</v>
      </c>
      <c r="AJ2653">
        <v>2</v>
      </c>
      <c r="AK2653">
        <v>0</v>
      </c>
      <c r="AL2653">
        <v>0</v>
      </c>
      <c r="AM2653">
        <v>200</v>
      </c>
      <c r="AN2653">
        <v>0</v>
      </c>
      <c r="AO2653">
        <v>0</v>
      </c>
      <c r="AP2653">
        <v>0</v>
      </c>
      <c r="AQ2653">
        <v>0</v>
      </c>
      <c r="AS2653">
        <v>0</v>
      </c>
      <c r="AT2653">
        <v>0</v>
      </c>
      <c r="AV2653">
        <v>0</v>
      </c>
      <c r="AW2653">
        <v>0</v>
      </c>
      <c r="AY2653">
        <v>0</v>
      </c>
      <c r="AZ2653">
        <v>0</v>
      </c>
      <c r="BA2653">
        <v>140</v>
      </c>
      <c r="BC2653" t="str">
        <f>T("0000000000000")</f>
        <v>0000000000000</v>
      </c>
      <c r="BE2653" t="str">
        <f>T("9791162589724")</f>
        <v>9791162589724</v>
      </c>
      <c r="BF2653" t="str">
        <f>T("E458052")</f>
        <v>E458052</v>
      </c>
      <c r="BG2653" t="str">
        <f>T("판타지 웹소설 &gt; 퓨전 판타지")</f>
        <v>판타지 웹소설 &gt; 퓨전 판타지</v>
      </c>
    </row>
    <row r="2654" spans="1:59">
      <c r="A2654" t="s">
        <v>60</v>
      </c>
      <c r="B2654" s="1">
        <v>46129</v>
      </c>
      <c r="C2654">
        <v>2378009513</v>
      </c>
      <c r="D2654">
        <v>2378009696</v>
      </c>
      <c r="E2654" t="str">
        <f>T("문과라도 안 죄송한 이세계로 감 112화")</f>
        <v>문과라도 안 죄송한 이세계로 감 112화</v>
      </c>
      <c r="F2654">
        <v>112</v>
      </c>
      <c r="G2654" t="str">
        <f>T("정수읠")</f>
        <v>정수읠</v>
      </c>
      <c r="J2654" t="str">
        <f>T("매드햇")</f>
        <v>매드햇</v>
      </c>
      <c r="K2654" t="str">
        <f>T("문과라도 안 죄송한 이세계로 감")</f>
        <v>문과라도 안 죄송한 이세계로 감</v>
      </c>
      <c r="L2654">
        <v>100</v>
      </c>
      <c r="M2654">
        <v>100</v>
      </c>
      <c r="N2654">
        <v>1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0</v>
      </c>
      <c r="AE2654">
        <v>0</v>
      </c>
      <c r="AF2654">
        <v>0</v>
      </c>
      <c r="AG2654">
        <v>0</v>
      </c>
      <c r="AH2654">
        <v>0</v>
      </c>
      <c r="AI2654">
        <v>100</v>
      </c>
      <c r="AJ2654">
        <v>1</v>
      </c>
      <c r="AK2654">
        <v>0</v>
      </c>
      <c r="AL2654">
        <v>0</v>
      </c>
      <c r="AM2654">
        <v>100</v>
      </c>
      <c r="AN2654">
        <v>0</v>
      </c>
      <c r="AO2654">
        <v>0</v>
      </c>
      <c r="AP2654">
        <v>0</v>
      </c>
      <c r="AQ2654">
        <v>0</v>
      </c>
      <c r="AS2654">
        <v>0</v>
      </c>
      <c r="AT2654">
        <v>0</v>
      </c>
      <c r="AV2654">
        <v>0</v>
      </c>
      <c r="AW2654">
        <v>0</v>
      </c>
      <c r="AY2654">
        <v>0</v>
      </c>
      <c r="AZ2654">
        <v>0</v>
      </c>
      <c r="BA2654">
        <v>70</v>
      </c>
      <c r="BC2654" t="str">
        <f>T("0000000000000")</f>
        <v>0000000000000</v>
      </c>
      <c r="BE2654" t="str">
        <f>T("9791162589724")</f>
        <v>9791162589724</v>
      </c>
      <c r="BF2654" t="str">
        <f>T("E458053")</f>
        <v>E458053</v>
      </c>
      <c r="BG2654" t="str">
        <f>T("판타지 웹소설 &gt; 퓨전 판타지")</f>
        <v>판타지 웹소설 &gt; 퓨전 판타지</v>
      </c>
    </row>
    <row r="2655" spans="1:59">
      <c r="A2655" t="s">
        <v>60</v>
      </c>
      <c r="B2655" s="1">
        <v>46129</v>
      </c>
      <c r="C2655">
        <v>2378009513</v>
      </c>
      <c r="D2655">
        <v>2378009722</v>
      </c>
      <c r="E2655" t="str">
        <f>T("문과라도 안 죄송한 이세계로 감 113화")</f>
        <v>문과라도 안 죄송한 이세계로 감 113화</v>
      </c>
      <c r="F2655">
        <v>113</v>
      </c>
      <c r="G2655" t="str">
        <f>T("정수읠")</f>
        <v>정수읠</v>
      </c>
      <c r="J2655" t="str">
        <f>T("매드햇")</f>
        <v>매드햇</v>
      </c>
      <c r="K2655" t="str">
        <f>T("문과라도 안 죄송한 이세계로 감")</f>
        <v>문과라도 안 죄송한 이세계로 감</v>
      </c>
      <c r="L2655">
        <v>100</v>
      </c>
      <c r="M2655">
        <v>100</v>
      </c>
      <c r="N2655">
        <v>1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0</v>
      </c>
      <c r="AE2655">
        <v>0</v>
      </c>
      <c r="AF2655">
        <v>0</v>
      </c>
      <c r="AG2655">
        <v>0</v>
      </c>
      <c r="AH2655">
        <v>0</v>
      </c>
      <c r="AI2655">
        <v>100</v>
      </c>
      <c r="AJ2655">
        <v>1</v>
      </c>
      <c r="AK2655">
        <v>0</v>
      </c>
      <c r="AL2655">
        <v>0</v>
      </c>
      <c r="AM2655">
        <v>100</v>
      </c>
      <c r="AN2655">
        <v>0</v>
      </c>
      <c r="AO2655">
        <v>0</v>
      </c>
      <c r="AP2655">
        <v>0</v>
      </c>
      <c r="AQ2655">
        <v>0</v>
      </c>
      <c r="AS2655">
        <v>0</v>
      </c>
      <c r="AT2655">
        <v>0</v>
      </c>
      <c r="AV2655">
        <v>0</v>
      </c>
      <c r="AW2655">
        <v>0</v>
      </c>
      <c r="AY2655">
        <v>0</v>
      </c>
      <c r="AZ2655">
        <v>0</v>
      </c>
      <c r="BA2655">
        <v>70</v>
      </c>
      <c r="BC2655" t="str">
        <f>T("0000000000000")</f>
        <v>0000000000000</v>
      </c>
      <c r="BE2655" t="str">
        <f>T("9791162589724")</f>
        <v>9791162589724</v>
      </c>
      <c r="BF2655" t="str">
        <f>T("E465117")</f>
        <v>E465117</v>
      </c>
      <c r="BG2655" t="str">
        <f>T("판타지 웹소설 &gt; 퓨전 판타지")</f>
        <v>판타지 웹소설 &gt; 퓨전 판타지</v>
      </c>
    </row>
    <row r="2656" spans="1:59">
      <c r="A2656" t="s">
        <v>60</v>
      </c>
      <c r="B2656" s="1">
        <v>46129</v>
      </c>
      <c r="C2656">
        <v>2378009513</v>
      </c>
      <c r="D2656">
        <v>2378009723</v>
      </c>
      <c r="E2656" t="str">
        <f>T("문과라도 안 죄송한 이세계로 감 114화")</f>
        <v>문과라도 안 죄송한 이세계로 감 114화</v>
      </c>
      <c r="F2656">
        <v>114</v>
      </c>
      <c r="G2656" t="str">
        <f>T("정수읠")</f>
        <v>정수읠</v>
      </c>
      <c r="J2656" t="str">
        <f>T("매드햇")</f>
        <v>매드햇</v>
      </c>
      <c r="K2656" t="str">
        <f>T("문과라도 안 죄송한 이세계로 감")</f>
        <v>문과라도 안 죄송한 이세계로 감</v>
      </c>
      <c r="L2656">
        <v>100</v>
      </c>
      <c r="M2656">
        <v>100</v>
      </c>
      <c r="N2656">
        <v>1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0</v>
      </c>
      <c r="AE2656">
        <v>0</v>
      </c>
      <c r="AF2656">
        <v>0</v>
      </c>
      <c r="AG2656">
        <v>0</v>
      </c>
      <c r="AH2656">
        <v>0</v>
      </c>
      <c r="AI2656">
        <v>100</v>
      </c>
      <c r="AJ2656">
        <v>1</v>
      </c>
      <c r="AK2656">
        <v>0</v>
      </c>
      <c r="AL2656">
        <v>0</v>
      </c>
      <c r="AM2656">
        <v>100</v>
      </c>
      <c r="AN2656">
        <v>0</v>
      </c>
      <c r="AO2656">
        <v>0</v>
      </c>
      <c r="AP2656">
        <v>0</v>
      </c>
      <c r="AQ2656">
        <v>0</v>
      </c>
      <c r="AS2656">
        <v>0</v>
      </c>
      <c r="AT2656">
        <v>0</v>
      </c>
      <c r="AV2656">
        <v>0</v>
      </c>
      <c r="AW2656">
        <v>0</v>
      </c>
      <c r="AY2656">
        <v>0</v>
      </c>
      <c r="AZ2656">
        <v>0</v>
      </c>
      <c r="BA2656">
        <v>70</v>
      </c>
      <c r="BC2656" t="str">
        <f>T("0000000000000")</f>
        <v>0000000000000</v>
      </c>
      <c r="BE2656" t="str">
        <f>T("9791162589724")</f>
        <v>9791162589724</v>
      </c>
      <c r="BF2656" t="str">
        <f>T("E465118")</f>
        <v>E465118</v>
      </c>
      <c r="BG2656" t="str">
        <f>T("판타지 웹소설 &gt; 퓨전 판타지")</f>
        <v>판타지 웹소설 &gt; 퓨전 판타지</v>
      </c>
    </row>
    <row r="2657" spans="1:59">
      <c r="A2657" t="s">
        <v>60</v>
      </c>
      <c r="B2657" s="1">
        <v>46129</v>
      </c>
      <c r="C2657">
        <v>2378009513</v>
      </c>
      <c r="D2657">
        <v>2378009724</v>
      </c>
      <c r="E2657" t="str">
        <f>T("문과라도 안 죄송한 이세계로 감 115화")</f>
        <v>문과라도 안 죄송한 이세계로 감 115화</v>
      </c>
      <c r="F2657">
        <v>115</v>
      </c>
      <c r="G2657" t="str">
        <f>T("정수읠")</f>
        <v>정수읠</v>
      </c>
      <c r="J2657" t="str">
        <f>T("매드햇")</f>
        <v>매드햇</v>
      </c>
      <c r="K2657" t="str">
        <f>T("문과라도 안 죄송한 이세계로 감")</f>
        <v>문과라도 안 죄송한 이세계로 감</v>
      </c>
      <c r="L2657">
        <v>100</v>
      </c>
      <c r="M2657">
        <v>100</v>
      </c>
      <c r="N2657">
        <v>1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0</v>
      </c>
      <c r="AE2657">
        <v>0</v>
      </c>
      <c r="AF2657">
        <v>0</v>
      </c>
      <c r="AG2657">
        <v>0</v>
      </c>
      <c r="AH2657">
        <v>0</v>
      </c>
      <c r="AI2657">
        <v>100</v>
      </c>
      <c r="AJ2657">
        <v>1</v>
      </c>
      <c r="AK2657">
        <v>0</v>
      </c>
      <c r="AL2657">
        <v>0</v>
      </c>
      <c r="AM2657">
        <v>100</v>
      </c>
      <c r="AN2657">
        <v>0</v>
      </c>
      <c r="AO2657">
        <v>0</v>
      </c>
      <c r="AP2657">
        <v>0</v>
      </c>
      <c r="AQ2657">
        <v>0</v>
      </c>
      <c r="AS2657">
        <v>0</v>
      </c>
      <c r="AT2657">
        <v>0</v>
      </c>
      <c r="AV2657">
        <v>0</v>
      </c>
      <c r="AW2657">
        <v>0</v>
      </c>
      <c r="AY2657">
        <v>0</v>
      </c>
      <c r="AZ2657">
        <v>0</v>
      </c>
      <c r="BA2657">
        <v>70</v>
      </c>
      <c r="BC2657" t="str">
        <f>T("0000000000000")</f>
        <v>0000000000000</v>
      </c>
      <c r="BE2657" t="str">
        <f>T("9791162589724")</f>
        <v>9791162589724</v>
      </c>
      <c r="BF2657" t="str">
        <f>T("E465119")</f>
        <v>E465119</v>
      </c>
      <c r="BG2657" t="str">
        <f>T("판타지 웹소설 &gt; 퓨전 판타지")</f>
        <v>판타지 웹소설 &gt; 퓨전 판타지</v>
      </c>
    </row>
    <row r="2658" spans="1:59">
      <c r="A2658" t="s">
        <v>60</v>
      </c>
      <c r="B2658" s="1">
        <v>46129</v>
      </c>
      <c r="C2658">
        <v>2378009513</v>
      </c>
      <c r="D2658">
        <v>2378009725</v>
      </c>
      <c r="E2658" t="str">
        <f>T("문과라도 안 죄송한 이세계로 감 116화")</f>
        <v>문과라도 안 죄송한 이세계로 감 116화</v>
      </c>
      <c r="F2658">
        <v>116</v>
      </c>
      <c r="G2658" t="str">
        <f>T("정수읠")</f>
        <v>정수읠</v>
      </c>
      <c r="J2658" t="str">
        <f>T("매드햇")</f>
        <v>매드햇</v>
      </c>
      <c r="K2658" t="str">
        <f>T("문과라도 안 죄송한 이세계로 감")</f>
        <v>문과라도 안 죄송한 이세계로 감</v>
      </c>
      <c r="L2658">
        <v>100</v>
      </c>
      <c r="M2658">
        <v>100</v>
      </c>
      <c r="N2658">
        <v>1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0</v>
      </c>
      <c r="AE2658">
        <v>0</v>
      </c>
      <c r="AF2658">
        <v>0</v>
      </c>
      <c r="AG2658">
        <v>0</v>
      </c>
      <c r="AH2658">
        <v>0</v>
      </c>
      <c r="AI2658">
        <v>100</v>
      </c>
      <c r="AJ2658">
        <v>1</v>
      </c>
      <c r="AK2658">
        <v>0</v>
      </c>
      <c r="AL2658">
        <v>0</v>
      </c>
      <c r="AM2658">
        <v>100</v>
      </c>
      <c r="AN2658">
        <v>0</v>
      </c>
      <c r="AO2658">
        <v>0</v>
      </c>
      <c r="AP2658">
        <v>0</v>
      </c>
      <c r="AQ2658">
        <v>0</v>
      </c>
      <c r="AS2658">
        <v>0</v>
      </c>
      <c r="AT2658">
        <v>0</v>
      </c>
      <c r="AV2658">
        <v>0</v>
      </c>
      <c r="AW2658">
        <v>0</v>
      </c>
      <c r="AY2658">
        <v>0</v>
      </c>
      <c r="AZ2658">
        <v>0</v>
      </c>
      <c r="BA2658">
        <v>70</v>
      </c>
      <c r="BC2658" t="str">
        <f>T("0000000000000")</f>
        <v>0000000000000</v>
      </c>
      <c r="BE2658" t="str">
        <f>T("9791162589724")</f>
        <v>9791162589724</v>
      </c>
      <c r="BF2658" t="str">
        <f>T("E465120")</f>
        <v>E465120</v>
      </c>
      <c r="BG2658" t="str">
        <f>T("판타지 웹소설 &gt; 퓨전 판타지")</f>
        <v>판타지 웹소설 &gt; 퓨전 판타지</v>
      </c>
    </row>
    <row r="2659" spans="1:59">
      <c r="A2659" t="s">
        <v>60</v>
      </c>
      <c r="B2659" s="1">
        <v>46129</v>
      </c>
      <c r="C2659">
        <v>2378009513</v>
      </c>
      <c r="D2659">
        <v>2378009893</v>
      </c>
      <c r="E2659" t="str">
        <f>T("문과라도 안 죄송한 이세계로 감 117화")</f>
        <v>문과라도 안 죄송한 이세계로 감 117화</v>
      </c>
      <c r="F2659">
        <v>117</v>
      </c>
      <c r="G2659" t="str">
        <f>T("정수읠")</f>
        <v>정수읠</v>
      </c>
      <c r="J2659" t="str">
        <f>T("매드햇")</f>
        <v>매드햇</v>
      </c>
      <c r="K2659" t="str">
        <f>T("문과라도 안 죄송한 이세계로 감")</f>
        <v>문과라도 안 죄송한 이세계로 감</v>
      </c>
      <c r="L2659">
        <v>100</v>
      </c>
      <c r="M2659">
        <v>200</v>
      </c>
      <c r="N2659">
        <v>2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0</v>
      </c>
      <c r="AE2659">
        <v>0</v>
      </c>
      <c r="AF2659">
        <v>0</v>
      </c>
      <c r="AG2659">
        <v>0</v>
      </c>
      <c r="AH2659">
        <v>0</v>
      </c>
      <c r="AI2659">
        <v>200</v>
      </c>
      <c r="AJ2659">
        <v>2</v>
      </c>
      <c r="AK2659">
        <v>0</v>
      </c>
      <c r="AL2659">
        <v>0</v>
      </c>
      <c r="AM2659">
        <v>200</v>
      </c>
      <c r="AN2659">
        <v>0</v>
      </c>
      <c r="AO2659">
        <v>0</v>
      </c>
      <c r="AP2659">
        <v>0</v>
      </c>
      <c r="AQ2659">
        <v>0</v>
      </c>
      <c r="AS2659">
        <v>0</v>
      </c>
      <c r="AT2659">
        <v>0</v>
      </c>
      <c r="AV2659">
        <v>0</v>
      </c>
      <c r="AW2659">
        <v>0</v>
      </c>
      <c r="AY2659">
        <v>0</v>
      </c>
      <c r="AZ2659">
        <v>0</v>
      </c>
      <c r="BA2659">
        <v>140</v>
      </c>
      <c r="BC2659" t="str">
        <f>T("0000000000000")</f>
        <v>0000000000000</v>
      </c>
      <c r="BE2659" t="str">
        <f>T("9791162589724")</f>
        <v>9791162589724</v>
      </c>
      <c r="BF2659" t="str">
        <f>T("E469522")</f>
        <v>E469522</v>
      </c>
      <c r="BG2659" t="str">
        <f>T("판타지 웹소설 &gt; 퓨전 판타지")</f>
        <v>판타지 웹소설 &gt; 퓨전 판타지</v>
      </c>
    </row>
    <row r="2660" spans="1:59">
      <c r="A2660" t="s">
        <v>60</v>
      </c>
      <c r="B2660" s="1">
        <v>46129</v>
      </c>
      <c r="C2660">
        <v>2378009513</v>
      </c>
      <c r="D2660">
        <v>2378009894</v>
      </c>
      <c r="E2660" t="str">
        <f>T("문과라도 안 죄송한 이세계로 감 118화")</f>
        <v>문과라도 안 죄송한 이세계로 감 118화</v>
      </c>
      <c r="F2660">
        <v>118</v>
      </c>
      <c r="G2660" t="str">
        <f>T("정수읠")</f>
        <v>정수읠</v>
      </c>
      <c r="J2660" t="str">
        <f>T("매드햇")</f>
        <v>매드햇</v>
      </c>
      <c r="K2660" t="str">
        <f>T("문과라도 안 죄송한 이세계로 감")</f>
        <v>문과라도 안 죄송한 이세계로 감</v>
      </c>
      <c r="L2660">
        <v>100</v>
      </c>
      <c r="M2660">
        <v>200</v>
      </c>
      <c r="N2660">
        <v>2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0</v>
      </c>
      <c r="AE2660">
        <v>0</v>
      </c>
      <c r="AF2660">
        <v>0</v>
      </c>
      <c r="AG2660">
        <v>0</v>
      </c>
      <c r="AH2660">
        <v>0</v>
      </c>
      <c r="AI2660">
        <v>200</v>
      </c>
      <c r="AJ2660">
        <v>2</v>
      </c>
      <c r="AK2660">
        <v>0</v>
      </c>
      <c r="AL2660">
        <v>0</v>
      </c>
      <c r="AM2660">
        <v>200</v>
      </c>
      <c r="AN2660">
        <v>0</v>
      </c>
      <c r="AO2660">
        <v>0</v>
      </c>
      <c r="AP2660">
        <v>0</v>
      </c>
      <c r="AQ2660">
        <v>0</v>
      </c>
      <c r="AS2660">
        <v>0</v>
      </c>
      <c r="AT2660">
        <v>0</v>
      </c>
      <c r="AV2660">
        <v>0</v>
      </c>
      <c r="AW2660">
        <v>0</v>
      </c>
      <c r="AY2660">
        <v>0</v>
      </c>
      <c r="AZ2660">
        <v>0</v>
      </c>
      <c r="BA2660">
        <v>140</v>
      </c>
      <c r="BC2660" t="str">
        <f>T("0000000000000")</f>
        <v>0000000000000</v>
      </c>
      <c r="BE2660" t="str">
        <f>T("9791162589724")</f>
        <v>9791162589724</v>
      </c>
      <c r="BF2660" t="str">
        <f>T("E469523")</f>
        <v>E469523</v>
      </c>
      <c r="BG2660" t="str">
        <f>T("판타지 웹소설 &gt; 퓨전 판타지")</f>
        <v>판타지 웹소설 &gt; 퓨전 판타지</v>
      </c>
    </row>
    <row r="2661" spans="1:59">
      <c r="A2661" t="s">
        <v>60</v>
      </c>
      <c r="B2661" s="1">
        <v>46129</v>
      </c>
      <c r="C2661">
        <v>2378009513</v>
      </c>
      <c r="D2661">
        <v>2378009895</v>
      </c>
      <c r="E2661" t="str">
        <f>T("문과라도 안 죄송한 이세계로 감 119화")</f>
        <v>문과라도 안 죄송한 이세계로 감 119화</v>
      </c>
      <c r="F2661">
        <v>119</v>
      </c>
      <c r="G2661" t="str">
        <f>T("정수읠")</f>
        <v>정수읠</v>
      </c>
      <c r="J2661" t="str">
        <f>T("매드햇")</f>
        <v>매드햇</v>
      </c>
      <c r="K2661" t="str">
        <f>T("문과라도 안 죄송한 이세계로 감")</f>
        <v>문과라도 안 죄송한 이세계로 감</v>
      </c>
      <c r="L2661">
        <v>100</v>
      </c>
      <c r="M2661">
        <v>200</v>
      </c>
      <c r="N2661">
        <v>2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0</v>
      </c>
      <c r="AE2661">
        <v>0</v>
      </c>
      <c r="AF2661">
        <v>0</v>
      </c>
      <c r="AG2661">
        <v>0</v>
      </c>
      <c r="AH2661">
        <v>0</v>
      </c>
      <c r="AI2661">
        <v>200</v>
      </c>
      <c r="AJ2661">
        <v>2</v>
      </c>
      <c r="AK2661">
        <v>0</v>
      </c>
      <c r="AL2661">
        <v>0</v>
      </c>
      <c r="AM2661">
        <v>200</v>
      </c>
      <c r="AN2661">
        <v>0</v>
      </c>
      <c r="AO2661">
        <v>0</v>
      </c>
      <c r="AP2661">
        <v>0</v>
      </c>
      <c r="AQ2661">
        <v>0</v>
      </c>
      <c r="AS2661">
        <v>0</v>
      </c>
      <c r="AT2661">
        <v>0</v>
      </c>
      <c r="AV2661">
        <v>0</v>
      </c>
      <c r="AW2661">
        <v>0</v>
      </c>
      <c r="AY2661">
        <v>0</v>
      </c>
      <c r="AZ2661">
        <v>0</v>
      </c>
      <c r="BA2661">
        <v>140</v>
      </c>
      <c r="BC2661" t="str">
        <f>T("0000000000000")</f>
        <v>0000000000000</v>
      </c>
      <c r="BE2661" t="str">
        <f>T("9791162589724")</f>
        <v>9791162589724</v>
      </c>
      <c r="BF2661" t="str">
        <f>T("E469524")</f>
        <v>E469524</v>
      </c>
      <c r="BG2661" t="str">
        <f>T("판타지 웹소설 &gt; 퓨전 판타지")</f>
        <v>판타지 웹소설 &gt; 퓨전 판타지</v>
      </c>
    </row>
    <row r="2662" spans="1:59">
      <c r="A2662" t="s">
        <v>60</v>
      </c>
      <c r="B2662" s="1">
        <v>46129</v>
      </c>
      <c r="C2662">
        <v>2378009513</v>
      </c>
      <c r="D2662">
        <v>2378009896</v>
      </c>
      <c r="E2662" t="str">
        <f>T("문과라도 안 죄송한 이세계로 감 120화")</f>
        <v>문과라도 안 죄송한 이세계로 감 120화</v>
      </c>
      <c r="F2662">
        <v>120</v>
      </c>
      <c r="G2662" t="str">
        <f>T("정수읠")</f>
        <v>정수읠</v>
      </c>
      <c r="J2662" t="str">
        <f>T("매드햇")</f>
        <v>매드햇</v>
      </c>
      <c r="K2662" t="str">
        <f>T("문과라도 안 죄송한 이세계로 감")</f>
        <v>문과라도 안 죄송한 이세계로 감</v>
      </c>
      <c r="L2662">
        <v>100</v>
      </c>
      <c r="M2662">
        <v>200</v>
      </c>
      <c r="N2662">
        <v>2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0</v>
      </c>
      <c r="AE2662">
        <v>0</v>
      </c>
      <c r="AF2662">
        <v>0</v>
      </c>
      <c r="AG2662">
        <v>0</v>
      </c>
      <c r="AH2662">
        <v>0</v>
      </c>
      <c r="AI2662">
        <v>200</v>
      </c>
      <c r="AJ2662">
        <v>2</v>
      </c>
      <c r="AK2662">
        <v>0</v>
      </c>
      <c r="AL2662">
        <v>0</v>
      </c>
      <c r="AM2662">
        <v>200</v>
      </c>
      <c r="AN2662">
        <v>0</v>
      </c>
      <c r="AO2662">
        <v>0</v>
      </c>
      <c r="AP2662">
        <v>0</v>
      </c>
      <c r="AQ2662">
        <v>0</v>
      </c>
      <c r="AS2662">
        <v>0</v>
      </c>
      <c r="AT2662">
        <v>0</v>
      </c>
      <c r="AV2662">
        <v>0</v>
      </c>
      <c r="AW2662">
        <v>0</v>
      </c>
      <c r="AY2662">
        <v>0</v>
      </c>
      <c r="AZ2662">
        <v>0</v>
      </c>
      <c r="BA2662">
        <v>140</v>
      </c>
      <c r="BC2662" t="str">
        <f>T("0000000000000")</f>
        <v>0000000000000</v>
      </c>
      <c r="BE2662" t="str">
        <f>T("9791162589724")</f>
        <v>9791162589724</v>
      </c>
      <c r="BF2662" t="str">
        <f>T("E469525")</f>
        <v>E469525</v>
      </c>
      <c r="BG2662" t="str">
        <f>T("판타지 웹소설 &gt; 퓨전 판타지")</f>
        <v>판타지 웹소설 &gt; 퓨전 판타지</v>
      </c>
    </row>
    <row r="2663" spans="1:59">
      <c r="A2663" t="s">
        <v>60</v>
      </c>
      <c r="B2663" s="1">
        <v>46129</v>
      </c>
      <c r="C2663">
        <v>2378009513</v>
      </c>
      <c r="D2663">
        <v>2378009897</v>
      </c>
      <c r="E2663" t="str">
        <f>T("문과라도 안 죄송한 이세계로 감 121화")</f>
        <v>문과라도 안 죄송한 이세계로 감 121화</v>
      </c>
      <c r="F2663">
        <v>121</v>
      </c>
      <c r="G2663" t="str">
        <f>T("정수읠")</f>
        <v>정수읠</v>
      </c>
      <c r="J2663" t="str">
        <f>T("매드햇")</f>
        <v>매드햇</v>
      </c>
      <c r="K2663" t="str">
        <f>T("문과라도 안 죄송한 이세계로 감")</f>
        <v>문과라도 안 죄송한 이세계로 감</v>
      </c>
      <c r="L2663">
        <v>100</v>
      </c>
      <c r="M2663">
        <v>200</v>
      </c>
      <c r="N2663">
        <v>2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0</v>
      </c>
      <c r="AE2663">
        <v>0</v>
      </c>
      <c r="AF2663">
        <v>0</v>
      </c>
      <c r="AG2663">
        <v>0</v>
      </c>
      <c r="AH2663">
        <v>0</v>
      </c>
      <c r="AI2663">
        <v>200</v>
      </c>
      <c r="AJ2663">
        <v>2</v>
      </c>
      <c r="AK2663">
        <v>0</v>
      </c>
      <c r="AL2663">
        <v>0</v>
      </c>
      <c r="AM2663">
        <v>200</v>
      </c>
      <c r="AN2663">
        <v>0</v>
      </c>
      <c r="AO2663">
        <v>0</v>
      </c>
      <c r="AP2663">
        <v>0</v>
      </c>
      <c r="AQ2663">
        <v>0</v>
      </c>
      <c r="AS2663">
        <v>0</v>
      </c>
      <c r="AT2663">
        <v>0</v>
      </c>
      <c r="AV2663">
        <v>0</v>
      </c>
      <c r="AW2663">
        <v>0</v>
      </c>
      <c r="AY2663">
        <v>0</v>
      </c>
      <c r="AZ2663">
        <v>0</v>
      </c>
      <c r="BA2663">
        <v>140</v>
      </c>
      <c r="BC2663" t="str">
        <f>T("0000000000000")</f>
        <v>0000000000000</v>
      </c>
      <c r="BE2663" t="str">
        <f>T("9791162589724")</f>
        <v>9791162589724</v>
      </c>
      <c r="BF2663" t="str">
        <f>T("E469526")</f>
        <v>E469526</v>
      </c>
      <c r="BG2663" t="str">
        <f>T("판타지 웹소설 &gt; 퓨전 판타지")</f>
        <v>판타지 웹소설 &gt; 퓨전 판타지</v>
      </c>
    </row>
    <row r="2664" spans="1:59">
      <c r="A2664" t="s">
        <v>60</v>
      </c>
      <c r="B2664" s="1">
        <v>46129</v>
      </c>
      <c r="C2664">
        <v>2378009513</v>
      </c>
      <c r="D2664">
        <v>2378009898</v>
      </c>
      <c r="E2664" t="str">
        <f>T("문과라도 안 죄송한 이세계로 감 122화")</f>
        <v>문과라도 안 죄송한 이세계로 감 122화</v>
      </c>
      <c r="F2664">
        <v>122</v>
      </c>
      <c r="G2664" t="str">
        <f>T("정수읠")</f>
        <v>정수읠</v>
      </c>
      <c r="J2664" t="str">
        <f>T("매드햇")</f>
        <v>매드햇</v>
      </c>
      <c r="K2664" t="str">
        <f>T("문과라도 안 죄송한 이세계로 감")</f>
        <v>문과라도 안 죄송한 이세계로 감</v>
      </c>
      <c r="L2664">
        <v>100</v>
      </c>
      <c r="M2664">
        <v>200</v>
      </c>
      <c r="N2664">
        <v>2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0</v>
      </c>
      <c r="AE2664">
        <v>0</v>
      </c>
      <c r="AF2664">
        <v>0</v>
      </c>
      <c r="AG2664">
        <v>0</v>
      </c>
      <c r="AH2664">
        <v>0</v>
      </c>
      <c r="AI2664">
        <v>200</v>
      </c>
      <c r="AJ2664">
        <v>2</v>
      </c>
      <c r="AK2664">
        <v>0</v>
      </c>
      <c r="AL2664">
        <v>0</v>
      </c>
      <c r="AM2664">
        <v>200</v>
      </c>
      <c r="AN2664">
        <v>0</v>
      </c>
      <c r="AO2664">
        <v>0</v>
      </c>
      <c r="AP2664">
        <v>0</v>
      </c>
      <c r="AQ2664">
        <v>0</v>
      </c>
      <c r="AS2664">
        <v>0</v>
      </c>
      <c r="AT2664">
        <v>0</v>
      </c>
      <c r="AV2664">
        <v>0</v>
      </c>
      <c r="AW2664">
        <v>0</v>
      </c>
      <c r="AY2664">
        <v>0</v>
      </c>
      <c r="AZ2664">
        <v>0</v>
      </c>
      <c r="BA2664">
        <v>140</v>
      </c>
      <c r="BC2664" t="str">
        <f>T("0000000000000")</f>
        <v>0000000000000</v>
      </c>
      <c r="BE2664" t="str">
        <f>T("9791162589724")</f>
        <v>9791162589724</v>
      </c>
      <c r="BF2664" t="str">
        <f>T("E469527")</f>
        <v>E469527</v>
      </c>
      <c r="BG2664" t="str">
        <f>T("판타지 웹소설 &gt; 퓨전 판타지")</f>
        <v>판타지 웹소설 &gt; 퓨전 판타지</v>
      </c>
    </row>
    <row r="2665" spans="1:59">
      <c r="A2665" t="s">
        <v>60</v>
      </c>
      <c r="B2665" s="1">
        <v>46129</v>
      </c>
      <c r="C2665">
        <v>2378009513</v>
      </c>
      <c r="D2665">
        <v>2378009899</v>
      </c>
      <c r="E2665" t="str">
        <f>T("문과라도 안 죄송한 이세계로 감 123화")</f>
        <v>문과라도 안 죄송한 이세계로 감 123화</v>
      </c>
      <c r="F2665">
        <v>123</v>
      </c>
      <c r="G2665" t="str">
        <f>T("정수읠")</f>
        <v>정수읠</v>
      </c>
      <c r="J2665" t="str">
        <f>T("매드햇")</f>
        <v>매드햇</v>
      </c>
      <c r="K2665" t="str">
        <f>T("문과라도 안 죄송한 이세계로 감")</f>
        <v>문과라도 안 죄송한 이세계로 감</v>
      </c>
      <c r="L2665">
        <v>100</v>
      </c>
      <c r="M2665">
        <v>200</v>
      </c>
      <c r="N2665">
        <v>2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0</v>
      </c>
      <c r="AE2665">
        <v>0</v>
      </c>
      <c r="AF2665">
        <v>0</v>
      </c>
      <c r="AG2665">
        <v>0</v>
      </c>
      <c r="AH2665">
        <v>0</v>
      </c>
      <c r="AI2665">
        <v>200</v>
      </c>
      <c r="AJ2665">
        <v>2</v>
      </c>
      <c r="AK2665">
        <v>0</v>
      </c>
      <c r="AL2665">
        <v>0</v>
      </c>
      <c r="AM2665">
        <v>200</v>
      </c>
      <c r="AN2665">
        <v>0</v>
      </c>
      <c r="AO2665">
        <v>0</v>
      </c>
      <c r="AP2665">
        <v>0</v>
      </c>
      <c r="AQ2665">
        <v>0</v>
      </c>
      <c r="AS2665">
        <v>0</v>
      </c>
      <c r="AT2665">
        <v>0</v>
      </c>
      <c r="AV2665">
        <v>0</v>
      </c>
      <c r="AW2665">
        <v>0</v>
      </c>
      <c r="AY2665">
        <v>0</v>
      </c>
      <c r="AZ2665">
        <v>0</v>
      </c>
      <c r="BA2665">
        <v>140</v>
      </c>
      <c r="BC2665" t="str">
        <f>T("0000000000000")</f>
        <v>0000000000000</v>
      </c>
      <c r="BE2665" t="str">
        <f>T("9791162589724")</f>
        <v>9791162589724</v>
      </c>
      <c r="BF2665" t="str">
        <f>T("E469528")</f>
        <v>E469528</v>
      </c>
      <c r="BG2665" t="str">
        <f>T("판타지 웹소설 &gt; 퓨전 판타지")</f>
        <v>판타지 웹소설 &gt; 퓨전 판타지</v>
      </c>
    </row>
    <row r="2666" spans="1:59">
      <c r="A2666" t="s">
        <v>60</v>
      </c>
      <c r="B2666" s="1">
        <v>46129</v>
      </c>
      <c r="C2666">
        <v>2378009513</v>
      </c>
      <c r="D2666">
        <v>2378009900</v>
      </c>
      <c r="E2666" t="str">
        <f>T("문과라도 안 죄송한 이세계로 감 124화")</f>
        <v>문과라도 안 죄송한 이세계로 감 124화</v>
      </c>
      <c r="F2666">
        <v>124</v>
      </c>
      <c r="G2666" t="str">
        <f>T("정수읠")</f>
        <v>정수읠</v>
      </c>
      <c r="J2666" t="str">
        <f>T("매드햇")</f>
        <v>매드햇</v>
      </c>
      <c r="K2666" t="str">
        <f>T("문과라도 안 죄송한 이세계로 감")</f>
        <v>문과라도 안 죄송한 이세계로 감</v>
      </c>
      <c r="L2666">
        <v>100</v>
      </c>
      <c r="M2666">
        <v>200</v>
      </c>
      <c r="N2666">
        <v>2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0</v>
      </c>
      <c r="AE2666">
        <v>0</v>
      </c>
      <c r="AF2666">
        <v>0</v>
      </c>
      <c r="AG2666">
        <v>0</v>
      </c>
      <c r="AH2666">
        <v>0</v>
      </c>
      <c r="AI2666">
        <v>200</v>
      </c>
      <c r="AJ2666">
        <v>2</v>
      </c>
      <c r="AK2666">
        <v>0</v>
      </c>
      <c r="AL2666">
        <v>0</v>
      </c>
      <c r="AM2666">
        <v>200</v>
      </c>
      <c r="AN2666">
        <v>0</v>
      </c>
      <c r="AO2666">
        <v>0</v>
      </c>
      <c r="AP2666">
        <v>0</v>
      </c>
      <c r="AQ2666">
        <v>0</v>
      </c>
      <c r="AS2666">
        <v>0</v>
      </c>
      <c r="AT2666">
        <v>0</v>
      </c>
      <c r="AV2666">
        <v>0</v>
      </c>
      <c r="AW2666">
        <v>0</v>
      </c>
      <c r="AY2666">
        <v>0</v>
      </c>
      <c r="AZ2666">
        <v>0</v>
      </c>
      <c r="BA2666">
        <v>140</v>
      </c>
      <c r="BC2666" t="str">
        <f>T("0000000000000")</f>
        <v>0000000000000</v>
      </c>
      <c r="BE2666" t="str">
        <f>T("9791162589724")</f>
        <v>9791162589724</v>
      </c>
      <c r="BF2666" t="str">
        <f>T("E469529")</f>
        <v>E469529</v>
      </c>
      <c r="BG2666" t="str">
        <f>T("판타지 웹소설 &gt; 퓨전 판타지")</f>
        <v>판타지 웹소설 &gt; 퓨전 판타지</v>
      </c>
    </row>
    <row r="2667" spans="1:59">
      <c r="A2667" t="s">
        <v>60</v>
      </c>
      <c r="B2667" s="1">
        <v>46129</v>
      </c>
      <c r="C2667">
        <v>2378009513</v>
      </c>
      <c r="D2667">
        <v>2378010109</v>
      </c>
      <c r="E2667" t="str">
        <f>T("문과라도 안 죄송한 이세계로 감 125화")</f>
        <v>문과라도 안 죄송한 이세계로 감 125화</v>
      </c>
      <c r="F2667">
        <v>125</v>
      </c>
      <c r="G2667" t="str">
        <f>T("정수읠")</f>
        <v>정수읠</v>
      </c>
      <c r="J2667" t="str">
        <f>T("매드햇")</f>
        <v>매드햇</v>
      </c>
      <c r="K2667" t="str">
        <f>T("문과라도 안 죄송한 이세계로 감")</f>
        <v>문과라도 안 죄송한 이세계로 감</v>
      </c>
      <c r="L2667">
        <v>100</v>
      </c>
      <c r="M2667">
        <v>200</v>
      </c>
      <c r="N2667">
        <v>2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0</v>
      </c>
      <c r="AE2667">
        <v>0</v>
      </c>
      <c r="AF2667">
        <v>0</v>
      </c>
      <c r="AG2667">
        <v>0</v>
      </c>
      <c r="AH2667">
        <v>0</v>
      </c>
      <c r="AI2667">
        <v>200</v>
      </c>
      <c r="AJ2667">
        <v>2</v>
      </c>
      <c r="AK2667">
        <v>0</v>
      </c>
      <c r="AL2667">
        <v>0</v>
      </c>
      <c r="AM2667">
        <v>200</v>
      </c>
      <c r="AN2667">
        <v>0</v>
      </c>
      <c r="AO2667">
        <v>0</v>
      </c>
      <c r="AP2667">
        <v>0</v>
      </c>
      <c r="AQ2667">
        <v>0</v>
      </c>
      <c r="AS2667">
        <v>0</v>
      </c>
      <c r="AT2667">
        <v>0</v>
      </c>
      <c r="AV2667">
        <v>0</v>
      </c>
      <c r="AW2667">
        <v>0</v>
      </c>
      <c r="AY2667">
        <v>0</v>
      </c>
      <c r="AZ2667">
        <v>0</v>
      </c>
      <c r="BA2667">
        <v>140</v>
      </c>
      <c r="BC2667" t="str">
        <f>T("0000000000000")</f>
        <v>0000000000000</v>
      </c>
      <c r="BE2667" t="str">
        <f>T("9791162589724")</f>
        <v>9791162589724</v>
      </c>
      <c r="BF2667" t="str">
        <f>T("E521967")</f>
        <v>E521967</v>
      </c>
      <c r="BG2667" t="str">
        <f>T("판타지 웹소설 &gt; 퓨전 판타지")</f>
        <v>판타지 웹소설 &gt; 퓨전 판타지</v>
      </c>
    </row>
    <row r="2668" spans="1:59">
      <c r="A2668" t="s">
        <v>60</v>
      </c>
      <c r="B2668" s="1">
        <v>46129</v>
      </c>
      <c r="C2668">
        <v>2378009513</v>
      </c>
      <c r="D2668">
        <v>2378010110</v>
      </c>
      <c r="E2668" t="str">
        <f>T("문과라도 안 죄송한 이세계로 감 126화")</f>
        <v>문과라도 안 죄송한 이세계로 감 126화</v>
      </c>
      <c r="F2668">
        <v>126</v>
      </c>
      <c r="G2668" t="str">
        <f>T("정수읠")</f>
        <v>정수읠</v>
      </c>
      <c r="J2668" t="str">
        <f>T("매드햇")</f>
        <v>매드햇</v>
      </c>
      <c r="K2668" t="str">
        <f>T("문과라도 안 죄송한 이세계로 감")</f>
        <v>문과라도 안 죄송한 이세계로 감</v>
      </c>
      <c r="L2668">
        <v>100</v>
      </c>
      <c r="M2668">
        <v>200</v>
      </c>
      <c r="N2668">
        <v>2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0</v>
      </c>
      <c r="AE2668">
        <v>0</v>
      </c>
      <c r="AF2668">
        <v>0</v>
      </c>
      <c r="AG2668">
        <v>0</v>
      </c>
      <c r="AH2668">
        <v>0</v>
      </c>
      <c r="AI2668">
        <v>200</v>
      </c>
      <c r="AJ2668">
        <v>2</v>
      </c>
      <c r="AK2668">
        <v>0</v>
      </c>
      <c r="AL2668">
        <v>0</v>
      </c>
      <c r="AM2668">
        <v>200</v>
      </c>
      <c r="AN2668">
        <v>0</v>
      </c>
      <c r="AO2668">
        <v>0</v>
      </c>
      <c r="AP2668">
        <v>0</v>
      </c>
      <c r="AQ2668">
        <v>0</v>
      </c>
      <c r="AS2668">
        <v>0</v>
      </c>
      <c r="AT2668">
        <v>0</v>
      </c>
      <c r="AV2668">
        <v>0</v>
      </c>
      <c r="AW2668">
        <v>0</v>
      </c>
      <c r="AY2668">
        <v>0</v>
      </c>
      <c r="AZ2668">
        <v>0</v>
      </c>
      <c r="BA2668">
        <v>140</v>
      </c>
      <c r="BC2668" t="str">
        <f>T("0000000000000")</f>
        <v>0000000000000</v>
      </c>
      <c r="BE2668" t="str">
        <f>T("9791162589724")</f>
        <v>9791162589724</v>
      </c>
      <c r="BF2668" t="str">
        <f>T("E521968")</f>
        <v>E521968</v>
      </c>
      <c r="BG2668" t="str">
        <f>T("판타지 웹소설 &gt; 퓨전 판타지")</f>
        <v>판타지 웹소설 &gt; 퓨전 판타지</v>
      </c>
    </row>
    <row r="2669" spans="1:59">
      <c r="A2669" t="s">
        <v>60</v>
      </c>
      <c r="B2669" s="1">
        <v>46129</v>
      </c>
      <c r="C2669">
        <v>2378009513</v>
      </c>
      <c r="D2669">
        <v>2378010111</v>
      </c>
      <c r="E2669" t="str">
        <f>T("문과라도 안 죄송한 이세계로 감 127화")</f>
        <v>문과라도 안 죄송한 이세계로 감 127화</v>
      </c>
      <c r="F2669">
        <v>127</v>
      </c>
      <c r="G2669" t="str">
        <f>T("정수읠")</f>
        <v>정수읠</v>
      </c>
      <c r="J2669" t="str">
        <f>T("매드햇")</f>
        <v>매드햇</v>
      </c>
      <c r="K2669" t="str">
        <f>T("문과라도 안 죄송한 이세계로 감")</f>
        <v>문과라도 안 죄송한 이세계로 감</v>
      </c>
      <c r="L2669">
        <v>100</v>
      </c>
      <c r="M2669">
        <v>200</v>
      </c>
      <c r="N2669">
        <v>2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0</v>
      </c>
      <c r="AH2669">
        <v>0</v>
      </c>
      <c r="AI2669">
        <v>200</v>
      </c>
      <c r="AJ2669">
        <v>2</v>
      </c>
      <c r="AK2669">
        <v>0</v>
      </c>
      <c r="AL2669">
        <v>0</v>
      </c>
      <c r="AM2669">
        <v>200</v>
      </c>
      <c r="AN2669">
        <v>0</v>
      </c>
      <c r="AO2669">
        <v>0</v>
      </c>
      <c r="AP2669">
        <v>0</v>
      </c>
      <c r="AQ2669">
        <v>0</v>
      </c>
      <c r="AS2669">
        <v>0</v>
      </c>
      <c r="AT2669">
        <v>0</v>
      </c>
      <c r="AV2669">
        <v>0</v>
      </c>
      <c r="AW2669">
        <v>0</v>
      </c>
      <c r="AY2669">
        <v>0</v>
      </c>
      <c r="AZ2669">
        <v>0</v>
      </c>
      <c r="BA2669">
        <v>140</v>
      </c>
      <c r="BC2669" t="str">
        <f>T("0000000000000")</f>
        <v>0000000000000</v>
      </c>
      <c r="BE2669" t="str">
        <f>T("9791162589724")</f>
        <v>9791162589724</v>
      </c>
      <c r="BF2669" t="str">
        <f>T("E521969")</f>
        <v>E521969</v>
      </c>
      <c r="BG2669" t="str">
        <f>T("판타지 웹소설 &gt; 퓨전 판타지")</f>
        <v>판타지 웹소설 &gt; 퓨전 판타지</v>
      </c>
    </row>
    <row r="2670" spans="1:59">
      <c r="A2670" t="s">
        <v>60</v>
      </c>
      <c r="B2670" s="1">
        <v>46129</v>
      </c>
      <c r="C2670">
        <v>2378009513</v>
      </c>
      <c r="D2670">
        <v>2378010112</v>
      </c>
      <c r="E2670" t="str">
        <f>T("문과라도 안 죄송한 이세계로 감 128화")</f>
        <v>문과라도 안 죄송한 이세계로 감 128화</v>
      </c>
      <c r="F2670">
        <v>128</v>
      </c>
      <c r="G2670" t="str">
        <f>T("정수읠")</f>
        <v>정수읠</v>
      </c>
      <c r="J2670" t="str">
        <f>T("매드햇")</f>
        <v>매드햇</v>
      </c>
      <c r="K2670" t="str">
        <f>T("문과라도 안 죄송한 이세계로 감")</f>
        <v>문과라도 안 죄송한 이세계로 감</v>
      </c>
      <c r="L2670">
        <v>100</v>
      </c>
      <c r="M2670">
        <v>200</v>
      </c>
      <c r="N2670">
        <v>2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0</v>
      </c>
      <c r="AH2670">
        <v>0</v>
      </c>
      <c r="AI2670">
        <v>200</v>
      </c>
      <c r="AJ2670">
        <v>2</v>
      </c>
      <c r="AK2670">
        <v>0</v>
      </c>
      <c r="AL2670">
        <v>0</v>
      </c>
      <c r="AM2670">
        <v>200</v>
      </c>
      <c r="AN2670">
        <v>0</v>
      </c>
      <c r="AO2670">
        <v>0</v>
      </c>
      <c r="AP2670">
        <v>0</v>
      </c>
      <c r="AQ2670">
        <v>0</v>
      </c>
      <c r="AS2670">
        <v>0</v>
      </c>
      <c r="AT2670">
        <v>0</v>
      </c>
      <c r="AV2670">
        <v>0</v>
      </c>
      <c r="AW2670">
        <v>0</v>
      </c>
      <c r="AY2670">
        <v>0</v>
      </c>
      <c r="AZ2670">
        <v>0</v>
      </c>
      <c r="BA2670">
        <v>140</v>
      </c>
      <c r="BC2670" t="str">
        <f>T("0000000000000")</f>
        <v>0000000000000</v>
      </c>
      <c r="BE2670" t="str">
        <f>T("9791162589724")</f>
        <v>9791162589724</v>
      </c>
      <c r="BF2670" t="str">
        <f>T("E521970")</f>
        <v>E521970</v>
      </c>
      <c r="BG2670" t="str">
        <f>T("판타지 웹소설 &gt; 퓨전 판타지")</f>
        <v>판타지 웹소설 &gt; 퓨전 판타지</v>
      </c>
    </row>
    <row r="2671" spans="1:59">
      <c r="A2671" t="s">
        <v>60</v>
      </c>
      <c r="B2671" s="1">
        <v>46129</v>
      </c>
      <c r="C2671">
        <v>2378009513</v>
      </c>
      <c r="D2671">
        <v>2378010369</v>
      </c>
      <c r="E2671" t="str">
        <f>T("문과라도 안 죄송한 이세계로 감 129화")</f>
        <v>문과라도 안 죄송한 이세계로 감 129화</v>
      </c>
      <c r="F2671">
        <v>129</v>
      </c>
      <c r="G2671" t="str">
        <f>T("정수읠")</f>
        <v>정수읠</v>
      </c>
      <c r="J2671" t="str">
        <f>T("매드햇")</f>
        <v>매드햇</v>
      </c>
      <c r="K2671" t="str">
        <f>T("문과라도 안 죄송한 이세계로 감")</f>
        <v>문과라도 안 죄송한 이세계로 감</v>
      </c>
      <c r="L2671">
        <v>100</v>
      </c>
      <c r="M2671">
        <v>200</v>
      </c>
      <c r="N2671">
        <v>2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0</v>
      </c>
      <c r="AH2671">
        <v>0</v>
      </c>
      <c r="AI2671">
        <v>200</v>
      </c>
      <c r="AJ2671">
        <v>2</v>
      </c>
      <c r="AK2671">
        <v>0</v>
      </c>
      <c r="AL2671">
        <v>0</v>
      </c>
      <c r="AM2671">
        <v>200</v>
      </c>
      <c r="AN2671">
        <v>0</v>
      </c>
      <c r="AO2671">
        <v>0</v>
      </c>
      <c r="AP2671">
        <v>0</v>
      </c>
      <c r="AQ2671">
        <v>0</v>
      </c>
      <c r="AS2671">
        <v>0</v>
      </c>
      <c r="AT2671">
        <v>0</v>
      </c>
      <c r="AV2671">
        <v>0</v>
      </c>
      <c r="AW2671">
        <v>0</v>
      </c>
      <c r="AY2671">
        <v>0</v>
      </c>
      <c r="AZ2671">
        <v>0</v>
      </c>
      <c r="BA2671">
        <v>140</v>
      </c>
      <c r="BC2671" t="str">
        <f>T("0000000000000")</f>
        <v>0000000000000</v>
      </c>
      <c r="BE2671" t="str">
        <f>T("9791162589724")</f>
        <v>9791162589724</v>
      </c>
      <c r="BF2671" t="str">
        <f>T("E524892")</f>
        <v>E524892</v>
      </c>
      <c r="BG2671" t="str">
        <f>T("판타지 웹소설 &gt; 퓨전 판타지")</f>
        <v>판타지 웹소설 &gt; 퓨전 판타지</v>
      </c>
    </row>
    <row r="2672" spans="1:59">
      <c r="A2672" t="s">
        <v>60</v>
      </c>
      <c r="B2672" s="1">
        <v>46129</v>
      </c>
      <c r="C2672">
        <v>2378009513</v>
      </c>
      <c r="D2672">
        <v>2378010484</v>
      </c>
      <c r="E2672" t="str">
        <f>T("문과라도 안 죄송한 이세계로 감 130화")</f>
        <v>문과라도 안 죄송한 이세계로 감 130화</v>
      </c>
      <c r="F2672">
        <v>130</v>
      </c>
      <c r="G2672" t="str">
        <f>T("정수읠")</f>
        <v>정수읠</v>
      </c>
      <c r="J2672" t="str">
        <f>T("매드햇")</f>
        <v>매드햇</v>
      </c>
      <c r="K2672" t="str">
        <f>T("문과라도 안 죄송한 이세계로 감")</f>
        <v>문과라도 안 죄송한 이세계로 감</v>
      </c>
      <c r="L2672">
        <v>100</v>
      </c>
      <c r="M2672">
        <v>200</v>
      </c>
      <c r="N2672">
        <v>2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0</v>
      </c>
      <c r="AH2672">
        <v>0</v>
      </c>
      <c r="AI2672">
        <v>200</v>
      </c>
      <c r="AJ2672">
        <v>2</v>
      </c>
      <c r="AK2672">
        <v>0</v>
      </c>
      <c r="AL2672">
        <v>0</v>
      </c>
      <c r="AM2672">
        <v>200</v>
      </c>
      <c r="AN2672">
        <v>0</v>
      </c>
      <c r="AO2672">
        <v>0</v>
      </c>
      <c r="AP2672">
        <v>0</v>
      </c>
      <c r="AQ2672">
        <v>0</v>
      </c>
      <c r="AS2672">
        <v>0</v>
      </c>
      <c r="AT2672">
        <v>0</v>
      </c>
      <c r="AV2672">
        <v>0</v>
      </c>
      <c r="AW2672">
        <v>0</v>
      </c>
      <c r="AY2672">
        <v>0</v>
      </c>
      <c r="AZ2672">
        <v>0</v>
      </c>
      <c r="BA2672">
        <v>140</v>
      </c>
      <c r="BC2672" t="str">
        <f>T("0000000000000")</f>
        <v>0000000000000</v>
      </c>
      <c r="BE2672" t="str">
        <f>T("9791162589724")</f>
        <v>9791162589724</v>
      </c>
      <c r="BF2672" t="str">
        <f>T("E524893")</f>
        <v>E524893</v>
      </c>
      <c r="BG2672" t="str">
        <f>T("판타지 웹소설 &gt; 퓨전 판타지")</f>
        <v>판타지 웹소설 &gt; 퓨전 판타지</v>
      </c>
    </row>
    <row r="2673" spans="1:59">
      <c r="A2673" t="s">
        <v>60</v>
      </c>
      <c r="B2673" s="1">
        <v>46129</v>
      </c>
      <c r="C2673">
        <v>2378009513</v>
      </c>
      <c r="D2673">
        <v>2378010485</v>
      </c>
      <c r="E2673" t="str">
        <f>T("문과라도 안 죄송한 이세계로 감 131화")</f>
        <v>문과라도 안 죄송한 이세계로 감 131화</v>
      </c>
      <c r="F2673">
        <v>131</v>
      </c>
      <c r="G2673" t="str">
        <f>T("정수읠")</f>
        <v>정수읠</v>
      </c>
      <c r="J2673" t="str">
        <f>T("매드햇")</f>
        <v>매드햇</v>
      </c>
      <c r="K2673" t="str">
        <f>T("문과라도 안 죄송한 이세계로 감")</f>
        <v>문과라도 안 죄송한 이세계로 감</v>
      </c>
      <c r="L2673">
        <v>100</v>
      </c>
      <c r="M2673">
        <v>300</v>
      </c>
      <c r="N2673">
        <v>3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0</v>
      </c>
      <c r="AH2673">
        <v>0</v>
      </c>
      <c r="AI2673">
        <v>300</v>
      </c>
      <c r="AJ2673">
        <v>3</v>
      </c>
      <c r="AK2673">
        <v>0</v>
      </c>
      <c r="AL2673">
        <v>0</v>
      </c>
      <c r="AM2673">
        <v>300</v>
      </c>
      <c r="AN2673">
        <v>0</v>
      </c>
      <c r="AO2673">
        <v>0</v>
      </c>
      <c r="AP2673">
        <v>0</v>
      </c>
      <c r="AQ2673">
        <v>0</v>
      </c>
      <c r="AS2673">
        <v>0</v>
      </c>
      <c r="AT2673">
        <v>0</v>
      </c>
      <c r="AV2673">
        <v>0</v>
      </c>
      <c r="AW2673">
        <v>0</v>
      </c>
      <c r="AY2673">
        <v>0</v>
      </c>
      <c r="AZ2673">
        <v>0</v>
      </c>
      <c r="BA2673">
        <v>210</v>
      </c>
      <c r="BC2673" t="str">
        <f>T("0000000000000")</f>
        <v>0000000000000</v>
      </c>
      <c r="BE2673" t="str">
        <f>T("9791162589724")</f>
        <v>9791162589724</v>
      </c>
      <c r="BF2673" t="str">
        <f>T("E524894")</f>
        <v>E524894</v>
      </c>
      <c r="BG2673" t="str">
        <f>T("판타지 웹소설 &gt; 퓨전 판타지")</f>
        <v>판타지 웹소설 &gt; 퓨전 판타지</v>
      </c>
    </row>
    <row r="2674" spans="1:59">
      <c r="A2674" t="s">
        <v>60</v>
      </c>
      <c r="B2674" s="1">
        <v>46129</v>
      </c>
      <c r="C2674">
        <v>2378009513</v>
      </c>
      <c r="D2674">
        <v>2378010486</v>
      </c>
      <c r="E2674" t="str">
        <f>T("문과라도 안 죄송한 이세계로 감 132화")</f>
        <v>문과라도 안 죄송한 이세계로 감 132화</v>
      </c>
      <c r="F2674">
        <v>132</v>
      </c>
      <c r="G2674" t="str">
        <f>T("정수읠")</f>
        <v>정수읠</v>
      </c>
      <c r="J2674" t="str">
        <f>T("매드햇")</f>
        <v>매드햇</v>
      </c>
      <c r="K2674" t="str">
        <f>T("문과라도 안 죄송한 이세계로 감")</f>
        <v>문과라도 안 죄송한 이세계로 감</v>
      </c>
      <c r="L2674">
        <v>100</v>
      </c>
      <c r="M2674">
        <v>300</v>
      </c>
      <c r="N2674">
        <v>3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0</v>
      </c>
      <c r="AH2674">
        <v>0</v>
      </c>
      <c r="AI2674">
        <v>300</v>
      </c>
      <c r="AJ2674">
        <v>3</v>
      </c>
      <c r="AK2674">
        <v>0</v>
      </c>
      <c r="AL2674">
        <v>0</v>
      </c>
      <c r="AM2674">
        <v>300</v>
      </c>
      <c r="AN2674">
        <v>0</v>
      </c>
      <c r="AO2674">
        <v>0</v>
      </c>
      <c r="AP2674">
        <v>0</v>
      </c>
      <c r="AQ2674">
        <v>0</v>
      </c>
      <c r="AS2674">
        <v>0</v>
      </c>
      <c r="AT2674">
        <v>0</v>
      </c>
      <c r="AV2674">
        <v>0</v>
      </c>
      <c r="AW2674">
        <v>0</v>
      </c>
      <c r="AY2674">
        <v>0</v>
      </c>
      <c r="AZ2674">
        <v>0</v>
      </c>
      <c r="BA2674">
        <v>210</v>
      </c>
      <c r="BC2674" t="str">
        <f>T("0000000000000")</f>
        <v>0000000000000</v>
      </c>
      <c r="BE2674" t="str">
        <f>T("9791162589724")</f>
        <v>9791162589724</v>
      </c>
      <c r="BF2674" t="str">
        <f>T("E524895")</f>
        <v>E524895</v>
      </c>
      <c r="BG2674" t="str">
        <f>T("판타지 웹소설 &gt; 퓨전 판타지")</f>
        <v>판타지 웹소설 &gt; 퓨전 판타지</v>
      </c>
    </row>
    <row r="2675" spans="1:59">
      <c r="A2675" t="s">
        <v>60</v>
      </c>
      <c r="B2675" s="1">
        <v>46129</v>
      </c>
      <c r="C2675">
        <v>2378009513</v>
      </c>
      <c r="D2675">
        <v>2378010516</v>
      </c>
      <c r="E2675" t="str">
        <f>T("문과라도 안 죄송한 이세계로 감 133화")</f>
        <v>문과라도 안 죄송한 이세계로 감 133화</v>
      </c>
      <c r="F2675">
        <v>133</v>
      </c>
      <c r="G2675" t="str">
        <f>T("정수읠")</f>
        <v>정수읠</v>
      </c>
      <c r="J2675" t="str">
        <f>T("매드햇")</f>
        <v>매드햇</v>
      </c>
      <c r="K2675" t="str">
        <f>T("문과라도 안 죄송한 이세계로 감")</f>
        <v>문과라도 안 죄송한 이세계로 감</v>
      </c>
      <c r="L2675">
        <v>100</v>
      </c>
      <c r="M2675">
        <v>400</v>
      </c>
      <c r="N2675">
        <v>4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0</v>
      </c>
      <c r="AH2675">
        <v>0</v>
      </c>
      <c r="AI2675">
        <v>400</v>
      </c>
      <c r="AJ2675">
        <v>4</v>
      </c>
      <c r="AK2675">
        <v>0</v>
      </c>
      <c r="AL2675">
        <v>0</v>
      </c>
      <c r="AM2675">
        <v>400</v>
      </c>
      <c r="AN2675">
        <v>0</v>
      </c>
      <c r="AO2675">
        <v>0</v>
      </c>
      <c r="AP2675">
        <v>0</v>
      </c>
      <c r="AQ2675">
        <v>0</v>
      </c>
      <c r="AS2675">
        <v>0</v>
      </c>
      <c r="AT2675">
        <v>0</v>
      </c>
      <c r="AV2675">
        <v>0</v>
      </c>
      <c r="AW2675">
        <v>0</v>
      </c>
      <c r="AY2675">
        <v>0</v>
      </c>
      <c r="AZ2675">
        <v>0</v>
      </c>
      <c r="BA2675">
        <v>280</v>
      </c>
      <c r="BC2675" t="str">
        <f>T("0000000000000")</f>
        <v>0000000000000</v>
      </c>
      <c r="BE2675" t="str">
        <f>T("9791162589724")</f>
        <v>9791162589724</v>
      </c>
      <c r="BF2675" t="str">
        <f>T("E527836")</f>
        <v>E527836</v>
      </c>
      <c r="BG2675" t="str">
        <f>T("판타지 웹소설 &gt; 퓨전 판타지")</f>
        <v>판타지 웹소설 &gt; 퓨전 판타지</v>
      </c>
    </row>
    <row r="2676" spans="1:59">
      <c r="A2676" t="s">
        <v>60</v>
      </c>
      <c r="B2676" s="1">
        <v>46129</v>
      </c>
      <c r="C2676">
        <v>2378009513</v>
      </c>
      <c r="D2676">
        <v>2378010526</v>
      </c>
      <c r="E2676" t="str">
        <f>T("문과라도 안 죄송한 이세계로 감 134화")</f>
        <v>문과라도 안 죄송한 이세계로 감 134화</v>
      </c>
      <c r="F2676">
        <v>134</v>
      </c>
      <c r="G2676" t="str">
        <f>T("정수읠")</f>
        <v>정수읠</v>
      </c>
      <c r="J2676" t="str">
        <f>T("매드햇")</f>
        <v>매드햇</v>
      </c>
      <c r="K2676" t="str">
        <f>T("문과라도 안 죄송한 이세계로 감")</f>
        <v>문과라도 안 죄송한 이세계로 감</v>
      </c>
      <c r="L2676">
        <v>100</v>
      </c>
      <c r="M2676">
        <v>300</v>
      </c>
      <c r="N2676">
        <v>3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0</v>
      </c>
      <c r="AH2676">
        <v>0</v>
      </c>
      <c r="AI2676">
        <v>300</v>
      </c>
      <c r="AJ2676">
        <v>3</v>
      </c>
      <c r="AK2676">
        <v>0</v>
      </c>
      <c r="AL2676">
        <v>0</v>
      </c>
      <c r="AM2676">
        <v>300</v>
      </c>
      <c r="AN2676">
        <v>0</v>
      </c>
      <c r="AO2676">
        <v>0</v>
      </c>
      <c r="AP2676">
        <v>0</v>
      </c>
      <c r="AQ2676">
        <v>0</v>
      </c>
      <c r="AS2676">
        <v>0</v>
      </c>
      <c r="AT2676">
        <v>0</v>
      </c>
      <c r="AV2676">
        <v>0</v>
      </c>
      <c r="AW2676">
        <v>0</v>
      </c>
      <c r="AY2676">
        <v>0</v>
      </c>
      <c r="AZ2676">
        <v>0</v>
      </c>
      <c r="BA2676">
        <v>210</v>
      </c>
      <c r="BC2676" t="str">
        <f>T("0000000000000")</f>
        <v>0000000000000</v>
      </c>
      <c r="BE2676" t="str">
        <f>T("9791162589724")</f>
        <v>9791162589724</v>
      </c>
      <c r="BF2676" t="str">
        <f>T("E527837")</f>
        <v>E527837</v>
      </c>
      <c r="BG2676" t="str">
        <f>T("판타지 웹소설 &gt; 퓨전 판타지")</f>
        <v>판타지 웹소설 &gt; 퓨전 판타지</v>
      </c>
    </row>
    <row r="2677" spans="1:59">
      <c r="A2677" t="s">
        <v>60</v>
      </c>
      <c r="B2677" s="1">
        <v>46129</v>
      </c>
      <c r="C2677">
        <v>2378009513</v>
      </c>
      <c r="D2677">
        <v>2378010537</v>
      </c>
      <c r="E2677" t="str">
        <f>T("문과라도 안 죄송한 이세계로 감 135화")</f>
        <v>문과라도 안 죄송한 이세계로 감 135화</v>
      </c>
      <c r="F2677">
        <v>135</v>
      </c>
      <c r="G2677" t="str">
        <f>T("정수읠")</f>
        <v>정수읠</v>
      </c>
      <c r="J2677" t="str">
        <f>T("매드햇")</f>
        <v>매드햇</v>
      </c>
      <c r="K2677" t="str">
        <f>T("문과라도 안 죄송한 이세계로 감")</f>
        <v>문과라도 안 죄송한 이세계로 감</v>
      </c>
      <c r="L2677">
        <v>100</v>
      </c>
      <c r="M2677">
        <v>300</v>
      </c>
      <c r="N2677">
        <v>3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0</v>
      </c>
      <c r="AH2677">
        <v>0</v>
      </c>
      <c r="AI2677">
        <v>300</v>
      </c>
      <c r="AJ2677">
        <v>3</v>
      </c>
      <c r="AK2677">
        <v>0</v>
      </c>
      <c r="AL2677">
        <v>0</v>
      </c>
      <c r="AM2677">
        <v>300</v>
      </c>
      <c r="AN2677">
        <v>0</v>
      </c>
      <c r="AO2677">
        <v>0</v>
      </c>
      <c r="AP2677">
        <v>0</v>
      </c>
      <c r="AQ2677">
        <v>0</v>
      </c>
      <c r="AS2677">
        <v>0</v>
      </c>
      <c r="AT2677">
        <v>0</v>
      </c>
      <c r="AV2677">
        <v>0</v>
      </c>
      <c r="AW2677">
        <v>0</v>
      </c>
      <c r="AY2677">
        <v>0</v>
      </c>
      <c r="AZ2677">
        <v>0</v>
      </c>
      <c r="BA2677">
        <v>210</v>
      </c>
      <c r="BC2677" t="str">
        <f>T("0000000000000")</f>
        <v>0000000000000</v>
      </c>
      <c r="BE2677" t="str">
        <f>T("9791162589724")</f>
        <v>9791162589724</v>
      </c>
      <c r="BF2677" t="str">
        <f>T("E527838")</f>
        <v>E527838</v>
      </c>
      <c r="BG2677" t="str">
        <f>T("판타지 웹소설 &gt; 퓨전 판타지")</f>
        <v>판타지 웹소설 &gt; 퓨전 판타지</v>
      </c>
    </row>
    <row r="2678" spans="1:59">
      <c r="A2678" t="s">
        <v>60</v>
      </c>
      <c r="B2678" s="1">
        <v>46129</v>
      </c>
      <c r="C2678">
        <v>2378009513</v>
      </c>
      <c r="D2678">
        <v>2378010541</v>
      </c>
      <c r="E2678" t="str">
        <f>T("문과라도 안 죄송한 이세계로 감 136화")</f>
        <v>문과라도 안 죄송한 이세계로 감 136화</v>
      </c>
      <c r="F2678">
        <v>136</v>
      </c>
      <c r="G2678" t="str">
        <f>T("정수읠")</f>
        <v>정수읠</v>
      </c>
      <c r="J2678" t="str">
        <f>T("매드햇")</f>
        <v>매드햇</v>
      </c>
      <c r="K2678" t="str">
        <f>T("문과라도 안 죄송한 이세계로 감")</f>
        <v>문과라도 안 죄송한 이세계로 감</v>
      </c>
      <c r="L2678">
        <v>100</v>
      </c>
      <c r="M2678">
        <v>300</v>
      </c>
      <c r="N2678">
        <v>3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0</v>
      </c>
      <c r="AH2678">
        <v>0</v>
      </c>
      <c r="AI2678">
        <v>300</v>
      </c>
      <c r="AJ2678">
        <v>3</v>
      </c>
      <c r="AK2678">
        <v>0</v>
      </c>
      <c r="AL2678">
        <v>0</v>
      </c>
      <c r="AM2678">
        <v>300</v>
      </c>
      <c r="AN2678">
        <v>0</v>
      </c>
      <c r="AO2678">
        <v>0</v>
      </c>
      <c r="AP2678">
        <v>0</v>
      </c>
      <c r="AQ2678">
        <v>0</v>
      </c>
      <c r="AS2678">
        <v>0</v>
      </c>
      <c r="AT2678">
        <v>0</v>
      </c>
      <c r="AV2678">
        <v>0</v>
      </c>
      <c r="AW2678">
        <v>0</v>
      </c>
      <c r="AY2678">
        <v>0</v>
      </c>
      <c r="AZ2678">
        <v>0</v>
      </c>
      <c r="BA2678">
        <v>210</v>
      </c>
      <c r="BC2678" t="str">
        <f>T("0000000000000")</f>
        <v>0000000000000</v>
      </c>
      <c r="BE2678" t="str">
        <f>T("9791162589724")</f>
        <v>9791162589724</v>
      </c>
      <c r="BF2678" t="str">
        <f>T("E527838")</f>
        <v>E527838</v>
      </c>
      <c r="BG2678" t="str">
        <f>T("판타지 웹소설 &gt; 퓨전 판타지")</f>
        <v>판타지 웹소설 &gt; 퓨전 판타지</v>
      </c>
    </row>
    <row r="2679" spans="1:59">
      <c r="A2679" t="s">
        <v>60</v>
      </c>
      <c r="B2679" s="1">
        <v>46129</v>
      </c>
      <c r="C2679">
        <v>2378009513</v>
      </c>
      <c r="D2679">
        <v>2378010557</v>
      </c>
      <c r="E2679" t="str">
        <f>T("문과라도 안 죄송한 이세계로 감 137화")</f>
        <v>문과라도 안 죄송한 이세계로 감 137화</v>
      </c>
      <c r="F2679">
        <v>137</v>
      </c>
      <c r="G2679" t="str">
        <f>T("정수읠")</f>
        <v>정수읠</v>
      </c>
      <c r="J2679" t="str">
        <f>T("매드햇")</f>
        <v>매드햇</v>
      </c>
      <c r="K2679" t="str">
        <f>T("문과라도 안 죄송한 이세계로 감")</f>
        <v>문과라도 안 죄송한 이세계로 감</v>
      </c>
      <c r="L2679">
        <v>100</v>
      </c>
      <c r="M2679">
        <v>300</v>
      </c>
      <c r="N2679">
        <v>3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0</v>
      </c>
      <c r="AH2679">
        <v>0</v>
      </c>
      <c r="AI2679">
        <v>300</v>
      </c>
      <c r="AJ2679">
        <v>3</v>
      </c>
      <c r="AK2679">
        <v>0</v>
      </c>
      <c r="AL2679">
        <v>0</v>
      </c>
      <c r="AM2679">
        <v>300</v>
      </c>
      <c r="AN2679">
        <v>0</v>
      </c>
      <c r="AO2679">
        <v>0</v>
      </c>
      <c r="AP2679">
        <v>0</v>
      </c>
      <c r="AQ2679">
        <v>0</v>
      </c>
      <c r="AS2679">
        <v>0</v>
      </c>
      <c r="AT2679">
        <v>0</v>
      </c>
      <c r="AV2679">
        <v>0</v>
      </c>
      <c r="AW2679">
        <v>0</v>
      </c>
      <c r="AY2679">
        <v>0</v>
      </c>
      <c r="AZ2679">
        <v>0</v>
      </c>
      <c r="BA2679">
        <v>210</v>
      </c>
      <c r="BC2679" t="str">
        <f>T("0000000000000")</f>
        <v>0000000000000</v>
      </c>
      <c r="BE2679" t="str">
        <f>T("9791162589724")</f>
        <v>9791162589724</v>
      </c>
      <c r="BF2679" t="str">
        <f>T("E599526")</f>
        <v>E599526</v>
      </c>
      <c r="BG2679" t="str">
        <f>T("판타지 웹소설 &gt; 퓨전 판타지")</f>
        <v>판타지 웹소설 &gt; 퓨전 판타지</v>
      </c>
    </row>
    <row r="2680" spans="1:59">
      <c r="A2680" t="s">
        <v>60</v>
      </c>
      <c r="B2680" s="1">
        <v>46129</v>
      </c>
      <c r="C2680">
        <v>2378009513</v>
      </c>
      <c r="D2680">
        <v>2378010564</v>
      </c>
      <c r="E2680" t="str">
        <f>T("문과라도 안 죄송한 이세계로 감 138화")</f>
        <v>문과라도 안 죄송한 이세계로 감 138화</v>
      </c>
      <c r="F2680">
        <v>138</v>
      </c>
      <c r="G2680" t="str">
        <f>T("정수읠")</f>
        <v>정수읠</v>
      </c>
      <c r="J2680" t="str">
        <f>T("매드햇")</f>
        <v>매드햇</v>
      </c>
      <c r="K2680" t="str">
        <f>T("문과라도 안 죄송한 이세계로 감")</f>
        <v>문과라도 안 죄송한 이세계로 감</v>
      </c>
      <c r="L2680">
        <v>100</v>
      </c>
      <c r="M2680">
        <v>300</v>
      </c>
      <c r="N2680">
        <v>3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0</v>
      </c>
      <c r="AH2680">
        <v>0</v>
      </c>
      <c r="AI2680">
        <v>300</v>
      </c>
      <c r="AJ2680">
        <v>3</v>
      </c>
      <c r="AK2680">
        <v>0</v>
      </c>
      <c r="AL2680">
        <v>0</v>
      </c>
      <c r="AM2680">
        <v>300</v>
      </c>
      <c r="AN2680">
        <v>0</v>
      </c>
      <c r="AO2680">
        <v>0</v>
      </c>
      <c r="AP2680">
        <v>0</v>
      </c>
      <c r="AQ2680">
        <v>0</v>
      </c>
      <c r="AS2680">
        <v>0</v>
      </c>
      <c r="AT2680">
        <v>0</v>
      </c>
      <c r="AV2680">
        <v>0</v>
      </c>
      <c r="AW2680">
        <v>0</v>
      </c>
      <c r="AY2680">
        <v>0</v>
      </c>
      <c r="AZ2680">
        <v>0</v>
      </c>
      <c r="BA2680">
        <v>210</v>
      </c>
      <c r="BC2680" t="str">
        <f>T("0000000000000")</f>
        <v>0000000000000</v>
      </c>
      <c r="BE2680" t="str">
        <f>T("9791162589724")</f>
        <v>9791162589724</v>
      </c>
      <c r="BF2680" t="str">
        <f>T("E599527")</f>
        <v>E599527</v>
      </c>
      <c r="BG2680" t="str">
        <f>T("판타지 웹소설 &gt; 퓨전 판타지")</f>
        <v>판타지 웹소설 &gt; 퓨전 판타지</v>
      </c>
    </row>
    <row r="2681" spans="1:59">
      <c r="A2681" t="s">
        <v>60</v>
      </c>
      <c r="B2681" s="1">
        <v>46129</v>
      </c>
      <c r="C2681">
        <v>2378009513</v>
      </c>
      <c r="D2681">
        <v>2378010580</v>
      </c>
      <c r="E2681" t="str">
        <f>T("문과라도 안 죄송한 이세계로 감 139화")</f>
        <v>문과라도 안 죄송한 이세계로 감 139화</v>
      </c>
      <c r="F2681">
        <v>139</v>
      </c>
      <c r="G2681" t="str">
        <f>T("정수읠")</f>
        <v>정수읠</v>
      </c>
      <c r="J2681" t="str">
        <f>T("매드햇")</f>
        <v>매드햇</v>
      </c>
      <c r="K2681" t="str">
        <f>T("문과라도 안 죄송한 이세계로 감")</f>
        <v>문과라도 안 죄송한 이세계로 감</v>
      </c>
      <c r="L2681">
        <v>100</v>
      </c>
      <c r="M2681">
        <v>200</v>
      </c>
      <c r="N2681">
        <v>2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0</v>
      </c>
      <c r="AH2681">
        <v>0</v>
      </c>
      <c r="AI2681">
        <v>200</v>
      </c>
      <c r="AJ2681">
        <v>2</v>
      </c>
      <c r="AK2681">
        <v>0</v>
      </c>
      <c r="AL2681">
        <v>0</v>
      </c>
      <c r="AM2681">
        <v>200</v>
      </c>
      <c r="AN2681">
        <v>0</v>
      </c>
      <c r="AO2681">
        <v>0</v>
      </c>
      <c r="AP2681">
        <v>0</v>
      </c>
      <c r="AQ2681">
        <v>0</v>
      </c>
      <c r="AS2681">
        <v>0</v>
      </c>
      <c r="AT2681">
        <v>0</v>
      </c>
      <c r="AV2681">
        <v>0</v>
      </c>
      <c r="AW2681">
        <v>0</v>
      </c>
      <c r="AY2681">
        <v>0</v>
      </c>
      <c r="AZ2681">
        <v>0</v>
      </c>
      <c r="BA2681">
        <v>140</v>
      </c>
      <c r="BC2681" t="str">
        <f>T("0000000000000")</f>
        <v>0000000000000</v>
      </c>
      <c r="BE2681" t="str">
        <f>T("9791162589724")</f>
        <v>9791162589724</v>
      </c>
      <c r="BF2681" t="str">
        <f>T("E599528")</f>
        <v>E599528</v>
      </c>
      <c r="BG2681" t="str">
        <f>T("판타지 웹소설 &gt; 퓨전 판타지")</f>
        <v>판타지 웹소설 &gt; 퓨전 판타지</v>
      </c>
    </row>
    <row r="2682" spans="1:59">
      <c r="A2682" t="s">
        <v>60</v>
      </c>
      <c r="B2682" s="1">
        <v>46129</v>
      </c>
      <c r="C2682">
        <v>2378009513</v>
      </c>
      <c r="D2682">
        <v>2378010618</v>
      </c>
      <c r="E2682" t="str">
        <f>T("문과라도 안 죄송한 이세계로 감 140화")</f>
        <v>문과라도 안 죄송한 이세계로 감 140화</v>
      </c>
      <c r="F2682">
        <v>140</v>
      </c>
      <c r="G2682" t="str">
        <f>T("정수읠")</f>
        <v>정수읠</v>
      </c>
      <c r="J2682" t="str">
        <f>T("매드햇")</f>
        <v>매드햇</v>
      </c>
      <c r="K2682" t="str">
        <f>T("문과라도 안 죄송한 이세계로 감")</f>
        <v>문과라도 안 죄송한 이세계로 감</v>
      </c>
      <c r="L2682">
        <v>100</v>
      </c>
      <c r="M2682">
        <v>200</v>
      </c>
      <c r="N2682">
        <v>2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0</v>
      </c>
      <c r="AH2682">
        <v>0</v>
      </c>
      <c r="AI2682">
        <v>200</v>
      </c>
      <c r="AJ2682">
        <v>2</v>
      </c>
      <c r="AK2682">
        <v>0</v>
      </c>
      <c r="AL2682">
        <v>0</v>
      </c>
      <c r="AM2682">
        <v>200</v>
      </c>
      <c r="AN2682">
        <v>0</v>
      </c>
      <c r="AO2682">
        <v>0</v>
      </c>
      <c r="AP2682">
        <v>0</v>
      </c>
      <c r="AQ2682">
        <v>0</v>
      </c>
      <c r="AS2682">
        <v>0</v>
      </c>
      <c r="AT2682">
        <v>0</v>
      </c>
      <c r="AV2682">
        <v>0</v>
      </c>
      <c r="AW2682">
        <v>0</v>
      </c>
      <c r="AY2682">
        <v>0</v>
      </c>
      <c r="AZ2682">
        <v>0</v>
      </c>
      <c r="BA2682">
        <v>140</v>
      </c>
      <c r="BC2682" t="str">
        <f>T("0000000000000")</f>
        <v>0000000000000</v>
      </c>
      <c r="BE2682" t="str">
        <f>T("9791162589724")</f>
        <v>9791162589724</v>
      </c>
      <c r="BF2682" t="str">
        <f>T("E607523")</f>
        <v>E607523</v>
      </c>
      <c r="BG2682" t="str">
        <f>T("판타지 웹소설 &gt; 퓨전 판타지")</f>
        <v>판타지 웹소설 &gt; 퓨전 판타지</v>
      </c>
    </row>
    <row r="2683" spans="1:59">
      <c r="A2683" t="s">
        <v>60</v>
      </c>
      <c r="B2683" s="1">
        <v>46129</v>
      </c>
      <c r="C2683">
        <v>2378009513</v>
      </c>
      <c r="D2683">
        <v>2378010761</v>
      </c>
      <c r="E2683" t="str">
        <f>T("문과라도 안 죄송한 이세계로 감 141화")</f>
        <v>문과라도 안 죄송한 이세계로 감 141화</v>
      </c>
      <c r="F2683">
        <v>141</v>
      </c>
      <c r="G2683" t="str">
        <f>T("정수읠")</f>
        <v>정수읠</v>
      </c>
      <c r="J2683" t="str">
        <f>T("매드햇")</f>
        <v>매드햇</v>
      </c>
      <c r="K2683" t="str">
        <f>T("문과라도 안 죄송한 이세계로 감")</f>
        <v>문과라도 안 죄송한 이세계로 감</v>
      </c>
      <c r="L2683">
        <v>100</v>
      </c>
      <c r="M2683">
        <v>100</v>
      </c>
      <c r="N2683">
        <v>1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0</v>
      </c>
      <c r="AH2683">
        <v>0</v>
      </c>
      <c r="AI2683">
        <v>100</v>
      </c>
      <c r="AJ2683">
        <v>1</v>
      </c>
      <c r="AK2683">
        <v>0</v>
      </c>
      <c r="AL2683">
        <v>0</v>
      </c>
      <c r="AM2683">
        <v>100</v>
      </c>
      <c r="AN2683">
        <v>0</v>
      </c>
      <c r="AO2683">
        <v>0</v>
      </c>
      <c r="AP2683">
        <v>0</v>
      </c>
      <c r="AQ2683">
        <v>0</v>
      </c>
      <c r="AS2683">
        <v>0</v>
      </c>
      <c r="AT2683">
        <v>0</v>
      </c>
      <c r="AV2683">
        <v>0</v>
      </c>
      <c r="AW2683">
        <v>0</v>
      </c>
      <c r="AY2683">
        <v>0</v>
      </c>
      <c r="AZ2683">
        <v>0</v>
      </c>
      <c r="BA2683">
        <v>70</v>
      </c>
      <c r="BC2683" t="str">
        <f>T("0000000000000")</f>
        <v>0000000000000</v>
      </c>
      <c r="BE2683" t="str">
        <f>T("9791162589724")</f>
        <v>9791162589724</v>
      </c>
      <c r="BF2683" t="str">
        <f>T("E607524")</f>
        <v>E607524</v>
      </c>
      <c r="BG2683" t="str">
        <f>T("판타지 웹소설 &gt; 퓨전 판타지")</f>
        <v>판타지 웹소설 &gt; 퓨전 판타지</v>
      </c>
    </row>
    <row r="2684" spans="1:59">
      <c r="A2684" t="s">
        <v>60</v>
      </c>
      <c r="B2684" s="1">
        <v>46129</v>
      </c>
      <c r="C2684">
        <v>2378009513</v>
      </c>
      <c r="D2684">
        <v>2378011114</v>
      </c>
      <c r="E2684" t="str">
        <f>T("문과라도 안 죄송한 이세계로 감 142화")</f>
        <v>문과라도 안 죄송한 이세계로 감 142화</v>
      </c>
      <c r="F2684">
        <v>142</v>
      </c>
      <c r="G2684" t="str">
        <f>T("정수읠")</f>
        <v>정수읠</v>
      </c>
      <c r="J2684" t="str">
        <f>T("매드햇")</f>
        <v>매드햇</v>
      </c>
      <c r="K2684" t="str">
        <f>T("문과라도 안 죄송한 이세계로 감")</f>
        <v>문과라도 안 죄송한 이세계로 감</v>
      </c>
      <c r="L2684">
        <v>100</v>
      </c>
      <c r="M2684">
        <v>100</v>
      </c>
      <c r="N2684">
        <v>1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0</v>
      </c>
      <c r="AH2684">
        <v>0</v>
      </c>
      <c r="AI2684">
        <v>100</v>
      </c>
      <c r="AJ2684">
        <v>1</v>
      </c>
      <c r="AK2684">
        <v>0</v>
      </c>
      <c r="AL2684">
        <v>0</v>
      </c>
      <c r="AM2684">
        <v>100</v>
      </c>
      <c r="AN2684">
        <v>0</v>
      </c>
      <c r="AO2684">
        <v>0</v>
      </c>
      <c r="AP2684">
        <v>0</v>
      </c>
      <c r="AQ2684">
        <v>0</v>
      </c>
      <c r="AS2684">
        <v>0</v>
      </c>
      <c r="AT2684">
        <v>0</v>
      </c>
      <c r="AV2684">
        <v>0</v>
      </c>
      <c r="AW2684">
        <v>0</v>
      </c>
      <c r="AY2684">
        <v>0</v>
      </c>
      <c r="AZ2684">
        <v>0</v>
      </c>
      <c r="BA2684">
        <v>70</v>
      </c>
      <c r="BC2684" t="str">
        <f>T("0000000000000")</f>
        <v>0000000000000</v>
      </c>
      <c r="BE2684" t="str">
        <f>T("9791162589724")</f>
        <v>9791162589724</v>
      </c>
      <c r="BF2684" t="str">
        <f>T("E615978")</f>
        <v>E615978</v>
      </c>
      <c r="BG2684" t="str">
        <f>T("판타지 웹소설 &gt; 퓨전 판타지")</f>
        <v>판타지 웹소설 &gt; 퓨전 판타지</v>
      </c>
    </row>
    <row r="2685" spans="1:59">
      <c r="A2685" t="s">
        <v>60</v>
      </c>
      <c r="B2685" s="1">
        <v>46129</v>
      </c>
      <c r="C2685">
        <v>2378009513</v>
      </c>
      <c r="D2685">
        <v>2378011115</v>
      </c>
      <c r="E2685" t="str">
        <f>T("문과라도 안 죄송한 이세계로 감 143화")</f>
        <v>문과라도 안 죄송한 이세계로 감 143화</v>
      </c>
      <c r="F2685">
        <v>143</v>
      </c>
      <c r="G2685" t="str">
        <f>T("정수읠")</f>
        <v>정수읠</v>
      </c>
      <c r="J2685" t="str">
        <f>T("매드햇")</f>
        <v>매드햇</v>
      </c>
      <c r="K2685" t="str">
        <f>T("문과라도 안 죄송한 이세계로 감")</f>
        <v>문과라도 안 죄송한 이세계로 감</v>
      </c>
      <c r="L2685">
        <v>100</v>
      </c>
      <c r="M2685">
        <v>100</v>
      </c>
      <c r="N2685">
        <v>1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0</v>
      </c>
      <c r="AH2685">
        <v>0</v>
      </c>
      <c r="AI2685">
        <v>100</v>
      </c>
      <c r="AJ2685">
        <v>1</v>
      </c>
      <c r="AK2685">
        <v>0</v>
      </c>
      <c r="AL2685">
        <v>0</v>
      </c>
      <c r="AM2685">
        <v>100</v>
      </c>
      <c r="AN2685">
        <v>0</v>
      </c>
      <c r="AO2685">
        <v>0</v>
      </c>
      <c r="AP2685">
        <v>0</v>
      </c>
      <c r="AQ2685">
        <v>0</v>
      </c>
      <c r="AS2685">
        <v>0</v>
      </c>
      <c r="AT2685">
        <v>0</v>
      </c>
      <c r="AV2685">
        <v>0</v>
      </c>
      <c r="AW2685">
        <v>0</v>
      </c>
      <c r="AY2685">
        <v>0</v>
      </c>
      <c r="AZ2685">
        <v>0</v>
      </c>
      <c r="BA2685">
        <v>70</v>
      </c>
      <c r="BC2685" t="str">
        <f>T("0000000000000")</f>
        <v>0000000000000</v>
      </c>
      <c r="BE2685" t="str">
        <f>T("9791162589724")</f>
        <v>9791162589724</v>
      </c>
      <c r="BF2685" t="str">
        <f>T("E615979")</f>
        <v>E615979</v>
      </c>
      <c r="BG2685" t="str">
        <f>T("판타지 웹소설 &gt; 퓨전 판타지")</f>
        <v>판타지 웹소설 &gt; 퓨전 판타지</v>
      </c>
    </row>
    <row r="2686" spans="1:59">
      <c r="A2686" t="s">
        <v>60</v>
      </c>
      <c r="B2686" s="1">
        <v>46129</v>
      </c>
      <c r="C2686">
        <v>2378009513</v>
      </c>
      <c r="D2686">
        <v>2378011117</v>
      </c>
      <c r="E2686" t="str">
        <f>T("문과라도 안 죄송한 이세계로 감 144화")</f>
        <v>문과라도 안 죄송한 이세계로 감 144화</v>
      </c>
      <c r="F2686">
        <v>144</v>
      </c>
      <c r="G2686" t="str">
        <f>T("정수읠")</f>
        <v>정수읠</v>
      </c>
      <c r="J2686" t="str">
        <f>T("매드햇")</f>
        <v>매드햇</v>
      </c>
      <c r="K2686" t="str">
        <f>T("문과라도 안 죄송한 이세계로 감")</f>
        <v>문과라도 안 죄송한 이세계로 감</v>
      </c>
      <c r="L2686">
        <v>100</v>
      </c>
      <c r="M2686">
        <v>100</v>
      </c>
      <c r="N2686">
        <v>1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0</v>
      </c>
      <c r="AH2686">
        <v>0</v>
      </c>
      <c r="AI2686">
        <v>100</v>
      </c>
      <c r="AJ2686">
        <v>1</v>
      </c>
      <c r="AK2686">
        <v>0</v>
      </c>
      <c r="AL2686">
        <v>0</v>
      </c>
      <c r="AM2686">
        <v>100</v>
      </c>
      <c r="AN2686">
        <v>0</v>
      </c>
      <c r="AO2686">
        <v>0</v>
      </c>
      <c r="AP2686">
        <v>0</v>
      </c>
      <c r="AQ2686">
        <v>0</v>
      </c>
      <c r="AS2686">
        <v>0</v>
      </c>
      <c r="AT2686">
        <v>0</v>
      </c>
      <c r="AV2686">
        <v>0</v>
      </c>
      <c r="AW2686">
        <v>0</v>
      </c>
      <c r="AY2686">
        <v>0</v>
      </c>
      <c r="AZ2686">
        <v>0</v>
      </c>
      <c r="BA2686">
        <v>70</v>
      </c>
      <c r="BC2686" t="str">
        <f>T("0000000000000")</f>
        <v>0000000000000</v>
      </c>
      <c r="BE2686" t="str">
        <f>T("9791162589724")</f>
        <v>9791162589724</v>
      </c>
      <c r="BF2686" t="str">
        <f>T("E615980")</f>
        <v>E615980</v>
      </c>
      <c r="BG2686" t="str">
        <f>T("판타지 웹소설 &gt; 퓨전 판타지")</f>
        <v>판타지 웹소설 &gt; 퓨전 판타지</v>
      </c>
    </row>
    <row r="2687" spans="1:59">
      <c r="A2687" t="s">
        <v>60</v>
      </c>
      <c r="B2687" s="1">
        <v>46129</v>
      </c>
      <c r="C2687">
        <v>2378009513</v>
      </c>
      <c r="D2687">
        <v>2378011118</v>
      </c>
      <c r="E2687" t="str">
        <f>T("문과라도 안 죄송한 이세계로 감 145화")</f>
        <v>문과라도 안 죄송한 이세계로 감 145화</v>
      </c>
      <c r="F2687">
        <v>145</v>
      </c>
      <c r="G2687" t="str">
        <f>T("정수읠")</f>
        <v>정수읠</v>
      </c>
      <c r="J2687" t="str">
        <f>T("매드햇")</f>
        <v>매드햇</v>
      </c>
      <c r="K2687" t="str">
        <f>T("문과라도 안 죄송한 이세계로 감")</f>
        <v>문과라도 안 죄송한 이세계로 감</v>
      </c>
      <c r="L2687">
        <v>100</v>
      </c>
      <c r="M2687">
        <v>100</v>
      </c>
      <c r="N2687">
        <v>1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0</v>
      </c>
      <c r="AH2687">
        <v>0</v>
      </c>
      <c r="AI2687">
        <v>100</v>
      </c>
      <c r="AJ2687">
        <v>1</v>
      </c>
      <c r="AK2687">
        <v>0</v>
      </c>
      <c r="AL2687">
        <v>0</v>
      </c>
      <c r="AM2687">
        <v>100</v>
      </c>
      <c r="AN2687">
        <v>0</v>
      </c>
      <c r="AO2687">
        <v>0</v>
      </c>
      <c r="AP2687">
        <v>0</v>
      </c>
      <c r="AQ2687">
        <v>0</v>
      </c>
      <c r="AS2687">
        <v>0</v>
      </c>
      <c r="AT2687">
        <v>0</v>
      </c>
      <c r="AV2687">
        <v>0</v>
      </c>
      <c r="AW2687">
        <v>0</v>
      </c>
      <c r="AY2687">
        <v>0</v>
      </c>
      <c r="AZ2687">
        <v>0</v>
      </c>
      <c r="BA2687">
        <v>70</v>
      </c>
      <c r="BC2687" t="str">
        <f>T("0000000000000")</f>
        <v>0000000000000</v>
      </c>
      <c r="BE2687" t="str">
        <f>T("9791162589724")</f>
        <v>9791162589724</v>
      </c>
      <c r="BF2687" t="str">
        <f>T("E615981")</f>
        <v>E615981</v>
      </c>
      <c r="BG2687" t="str">
        <f>T("판타지 웹소설 &gt; 퓨전 판타지")</f>
        <v>판타지 웹소설 &gt; 퓨전 판타지</v>
      </c>
    </row>
    <row r="2688" spans="1:59">
      <c r="A2688" t="s">
        <v>60</v>
      </c>
      <c r="B2688" s="1">
        <v>46129</v>
      </c>
      <c r="C2688">
        <v>2378009513</v>
      </c>
      <c r="D2688">
        <v>2378011119</v>
      </c>
      <c r="E2688" t="str">
        <f>T("문과라도 안 죄송한 이세계로 감 146화")</f>
        <v>문과라도 안 죄송한 이세계로 감 146화</v>
      </c>
      <c r="F2688">
        <v>146</v>
      </c>
      <c r="G2688" t="str">
        <f>T("정수읠")</f>
        <v>정수읠</v>
      </c>
      <c r="J2688" t="str">
        <f>T("매드햇")</f>
        <v>매드햇</v>
      </c>
      <c r="K2688" t="str">
        <f>T("문과라도 안 죄송한 이세계로 감")</f>
        <v>문과라도 안 죄송한 이세계로 감</v>
      </c>
      <c r="L2688">
        <v>100</v>
      </c>
      <c r="M2688">
        <v>100</v>
      </c>
      <c r="N2688">
        <v>1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0</v>
      </c>
      <c r="AH2688">
        <v>0</v>
      </c>
      <c r="AI2688">
        <v>100</v>
      </c>
      <c r="AJ2688">
        <v>1</v>
      </c>
      <c r="AK2688">
        <v>0</v>
      </c>
      <c r="AL2688">
        <v>0</v>
      </c>
      <c r="AM2688">
        <v>100</v>
      </c>
      <c r="AN2688">
        <v>0</v>
      </c>
      <c r="AO2688">
        <v>0</v>
      </c>
      <c r="AP2688">
        <v>0</v>
      </c>
      <c r="AQ2688">
        <v>0</v>
      </c>
      <c r="AS2688">
        <v>0</v>
      </c>
      <c r="AT2688">
        <v>0</v>
      </c>
      <c r="AV2688">
        <v>0</v>
      </c>
      <c r="AW2688">
        <v>0</v>
      </c>
      <c r="AY2688">
        <v>0</v>
      </c>
      <c r="AZ2688">
        <v>0</v>
      </c>
      <c r="BA2688">
        <v>70</v>
      </c>
      <c r="BC2688" t="str">
        <f>T("0000000000000")</f>
        <v>0000000000000</v>
      </c>
      <c r="BE2688" t="str">
        <f>T("9791162589724")</f>
        <v>9791162589724</v>
      </c>
      <c r="BF2688" t="str">
        <f>T("E615982")</f>
        <v>E615982</v>
      </c>
      <c r="BG2688" t="str">
        <f>T("판타지 웹소설 &gt; 퓨전 판타지")</f>
        <v>판타지 웹소설 &gt; 퓨전 판타지</v>
      </c>
    </row>
    <row r="2689" spans="1:59">
      <c r="A2689" t="s">
        <v>60</v>
      </c>
      <c r="B2689" s="1">
        <v>46129</v>
      </c>
      <c r="C2689">
        <v>2378009513</v>
      </c>
      <c r="D2689">
        <v>2378011120</v>
      </c>
      <c r="E2689" t="str">
        <f>T("문과라도 안 죄송한 이세계로 감 147화")</f>
        <v>문과라도 안 죄송한 이세계로 감 147화</v>
      </c>
      <c r="F2689">
        <v>147</v>
      </c>
      <c r="G2689" t="str">
        <f>T("정수읠")</f>
        <v>정수읠</v>
      </c>
      <c r="J2689" t="str">
        <f>T("매드햇")</f>
        <v>매드햇</v>
      </c>
      <c r="K2689" t="str">
        <f>T("문과라도 안 죄송한 이세계로 감")</f>
        <v>문과라도 안 죄송한 이세계로 감</v>
      </c>
      <c r="L2689">
        <v>100</v>
      </c>
      <c r="M2689">
        <v>100</v>
      </c>
      <c r="N2689">
        <v>1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0</v>
      </c>
      <c r="AH2689">
        <v>0</v>
      </c>
      <c r="AI2689">
        <v>100</v>
      </c>
      <c r="AJ2689">
        <v>1</v>
      </c>
      <c r="AK2689">
        <v>0</v>
      </c>
      <c r="AL2689">
        <v>0</v>
      </c>
      <c r="AM2689">
        <v>100</v>
      </c>
      <c r="AN2689">
        <v>0</v>
      </c>
      <c r="AO2689">
        <v>0</v>
      </c>
      <c r="AP2689">
        <v>0</v>
      </c>
      <c r="AQ2689">
        <v>0</v>
      </c>
      <c r="AS2689">
        <v>0</v>
      </c>
      <c r="AT2689">
        <v>0</v>
      </c>
      <c r="AV2689">
        <v>0</v>
      </c>
      <c r="AW2689">
        <v>0</v>
      </c>
      <c r="AY2689">
        <v>0</v>
      </c>
      <c r="AZ2689">
        <v>0</v>
      </c>
      <c r="BA2689">
        <v>70</v>
      </c>
      <c r="BC2689" t="str">
        <f>T("0000000000000")</f>
        <v>0000000000000</v>
      </c>
      <c r="BE2689" t="str">
        <f>T("9791162589724")</f>
        <v>9791162589724</v>
      </c>
      <c r="BF2689" t="str">
        <f>T("E615983")</f>
        <v>E615983</v>
      </c>
      <c r="BG2689" t="str">
        <f>T("판타지 웹소설 &gt; 퓨전 판타지")</f>
        <v>판타지 웹소설 &gt; 퓨전 판타지</v>
      </c>
    </row>
    <row r="2690" spans="1:59">
      <c r="A2690" t="s">
        <v>60</v>
      </c>
      <c r="B2690" s="1">
        <v>46129</v>
      </c>
      <c r="C2690">
        <v>2378009513</v>
      </c>
      <c r="D2690">
        <v>2378011154</v>
      </c>
      <c r="E2690" t="str">
        <f>T("문과라도 안 죄송한 이세계로 감 148화")</f>
        <v>문과라도 안 죄송한 이세계로 감 148화</v>
      </c>
      <c r="F2690">
        <v>148</v>
      </c>
      <c r="G2690" t="str">
        <f>T("정수읠")</f>
        <v>정수읠</v>
      </c>
      <c r="J2690" t="str">
        <f>T("매드햇")</f>
        <v>매드햇</v>
      </c>
      <c r="K2690" t="str">
        <f>T("문과라도 안 죄송한 이세계로 감")</f>
        <v>문과라도 안 죄송한 이세계로 감</v>
      </c>
      <c r="L2690">
        <v>100</v>
      </c>
      <c r="M2690">
        <v>100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0</v>
      </c>
      <c r="AH2690">
        <v>0</v>
      </c>
      <c r="AI2690">
        <v>100</v>
      </c>
      <c r="AJ2690">
        <v>1</v>
      </c>
      <c r="AK2690">
        <v>0</v>
      </c>
      <c r="AL2690">
        <v>0</v>
      </c>
      <c r="AM2690">
        <v>100</v>
      </c>
      <c r="AN2690">
        <v>0</v>
      </c>
      <c r="AO2690">
        <v>0</v>
      </c>
      <c r="AP2690">
        <v>0</v>
      </c>
      <c r="AQ2690">
        <v>0</v>
      </c>
      <c r="AS2690">
        <v>0</v>
      </c>
      <c r="AT2690">
        <v>0</v>
      </c>
      <c r="AV2690">
        <v>0</v>
      </c>
      <c r="AW2690">
        <v>0</v>
      </c>
      <c r="AY2690">
        <v>0</v>
      </c>
      <c r="AZ2690">
        <v>0</v>
      </c>
      <c r="BA2690">
        <v>70</v>
      </c>
      <c r="BC2690" t="str">
        <f>T("0000000000000")</f>
        <v>0000000000000</v>
      </c>
      <c r="BE2690" t="str">
        <f>T("9791162589724")</f>
        <v>9791162589724</v>
      </c>
      <c r="BF2690" t="str">
        <f>T("E615984")</f>
        <v>E615984</v>
      </c>
      <c r="BG2690" t="str">
        <f>T("판타지 웹소설 &gt; 퓨전 판타지")</f>
        <v>판타지 웹소설 &gt; 퓨전 판타지</v>
      </c>
    </row>
    <row r="2691" spans="1:59">
      <c r="A2691" t="s">
        <v>60</v>
      </c>
      <c r="B2691" s="1">
        <v>46129</v>
      </c>
      <c r="C2691">
        <v>2378009513</v>
      </c>
      <c r="D2691">
        <v>2378011164</v>
      </c>
      <c r="E2691" t="str">
        <f>T("문과라도 안 죄송한 이세계로 감 149화")</f>
        <v>문과라도 안 죄송한 이세계로 감 149화</v>
      </c>
      <c r="F2691">
        <v>149</v>
      </c>
      <c r="G2691" t="str">
        <f>T("정수읠")</f>
        <v>정수읠</v>
      </c>
      <c r="J2691" t="str">
        <f>T("매드햇")</f>
        <v>매드햇</v>
      </c>
      <c r="K2691" t="str">
        <f>T("문과라도 안 죄송한 이세계로 감")</f>
        <v>문과라도 안 죄송한 이세계로 감</v>
      </c>
      <c r="L2691">
        <v>100</v>
      </c>
      <c r="M2691">
        <v>100</v>
      </c>
      <c r="N2691">
        <v>1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0</v>
      </c>
      <c r="AH2691">
        <v>0</v>
      </c>
      <c r="AI2691">
        <v>100</v>
      </c>
      <c r="AJ2691">
        <v>1</v>
      </c>
      <c r="AK2691">
        <v>0</v>
      </c>
      <c r="AL2691">
        <v>0</v>
      </c>
      <c r="AM2691">
        <v>100</v>
      </c>
      <c r="AN2691">
        <v>0</v>
      </c>
      <c r="AO2691">
        <v>0</v>
      </c>
      <c r="AP2691">
        <v>0</v>
      </c>
      <c r="AQ2691">
        <v>0</v>
      </c>
      <c r="AS2691">
        <v>0</v>
      </c>
      <c r="AT2691">
        <v>0</v>
      </c>
      <c r="AV2691">
        <v>0</v>
      </c>
      <c r="AW2691">
        <v>0</v>
      </c>
      <c r="AY2691">
        <v>0</v>
      </c>
      <c r="AZ2691">
        <v>0</v>
      </c>
      <c r="BA2691">
        <v>70</v>
      </c>
      <c r="BC2691" t="str">
        <f>T("0000000000000")</f>
        <v>0000000000000</v>
      </c>
      <c r="BE2691" t="str">
        <f>T("9791162589724")</f>
        <v>9791162589724</v>
      </c>
      <c r="BF2691" t="str">
        <f>T("E615985")</f>
        <v>E615985</v>
      </c>
      <c r="BG2691" t="str">
        <f>T("판타지 웹소설 &gt; 퓨전 판타지")</f>
        <v>판타지 웹소설 &gt; 퓨전 판타지</v>
      </c>
    </row>
    <row r="2692" spans="1:59">
      <c r="A2692" t="s">
        <v>60</v>
      </c>
      <c r="B2692" s="1">
        <v>46129</v>
      </c>
      <c r="C2692">
        <v>2378009513</v>
      </c>
      <c r="D2692">
        <v>2378011177</v>
      </c>
      <c r="E2692" t="str">
        <f>T("문과라도 안 죄송한 이세계로 감 150화")</f>
        <v>문과라도 안 죄송한 이세계로 감 150화</v>
      </c>
      <c r="F2692">
        <v>150</v>
      </c>
      <c r="G2692" t="str">
        <f>T("정수읠")</f>
        <v>정수읠</v>
      </c>
      <c r="J2692" t="str">
        <f>T("매드햇")</f>
        <v>매드햇</v>
      </c>
      <c r="K2692" t="str">
        <f>T("문과라도 안 죄송한 이세계로 감")</f>
        <v>문과라도 안 죄송한 이세계로 감</v>
      </c>
      <c r="L2692">
        <v>100</v>
      </c>
      <c r="M2692">
        <v>100</v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0</v>
      </c>
      <c r="AH2692">
        <v>0</v>
      </c>
      <c r="AI2692">
        <v>100</v>
      </c>
      <c r="AJ2692">
        <v>1</v>
      </c>
      <c r="AK2692">
        <v>0</v>
      </c>
      <c r="AL2692">
        <v>0</v>
      </c>
      <c r="AM2692">
        <v>100</v>
      </c>
      <c r="AN2692">
        <v>0</v>
      </c>
      <c r="AO2692">
        <v>0</v>
      </c>
      <c r="AP2692">
        <v>0</v>
      </c>
      <c r="AQ2692">
        <v>0</v>
      </c>
      <c r="AS2692">
        <v>0</v>
      </c>
      <c r="AT2692">
        <v>0</v>
      </c>
      <c r="AV2692">
        <v>0</v>
      </c>
      <c r="AW2692">
        <v>0</v>
      </c>
      <c r="AY2692">
        <v>0</v>
      </c>
      <c r="AZ2692">
        <v>0</v>
      </c>
      <c r="BA2692">
        <v>70</v>
      </c>
      <c r="BC2692" t="str">
        <f>T("0000000000000")</f>
        <v>0000000000000</v>
      </c>
      <c r="BE2692" t="str">
        <f>T("9791162589724")</f>
        <v>9791162589724</v>
      </c>
      <c r="BF2692" t="str">
        <f>T("E615986")</f>
        <v>E615986</v>
      </c>
      <c r="BG2692" t="str">
        <f>T("판타지 웹소설 &gt; 퓨전 판타지")</f>
        <v>판타지 웹소설 &gt; 퓨전 판타지</v>
      </c>
    </row>
    <row r="2693" spans="1:59">
      <c r="A2693" t="s">
        <v>60</v>
      </c>
      <c r="B2693" s="1">
        <v>46129</v>
      </c>
      <c r="C2693">
        <v>2378009513</v>
      </c>
      <c r="D2693">
        <v>2378011196</v>
      </c>
      <c r="E2693" t="str">
        <f>T("문과라도 안 죄송한 이세계로 감 151화")</f>
        <v>문과라도 안 죄송한 이세계로 감 151화</v>
      </c>
      <c r="F2693">
        <v>151</v>
      </c>
      <c r="G2693" t="str">
        <f>T("정수읠")</f>
        <v>정수읠</v>
      </c>
      <c r="J2693" t="str">
        <f>T("매드햇")</f>
        <v>매드햇</v>
      </c>
      <c r="K2693" t="str">
        <f>T("문과라도 안 죄송한 이세계로 감")</f>
        <v>문과라도 안 죄송한 이세계로 감</v>
      </c>
      <c r="L2693">
        <v>100</v>
      </c>
      <c r="M2693">
        <v>100</v>
      </c>
      <c r="N2693">
        <v>1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0</v>
      </c>
      <c r="AH2693">
        <v>0</v>
      </c>
      <c r="AI2693">
        <v>100</v>
      </c>
      <c r="AJ2693">
        <v>1</v>
      </c>
      <c r="AK2693">
        <v>0</v>
      </c>
      <c r="AL2693">
        <v>0</v>
      </c>
      <c r="AM2693">
        <v>100</v>
      </c>
      <c r="AN2693">
        <v>0</v>
      </c>
      <c r="AO2693">
        <v>0</v>
      </c>
      <c r="AP2693">
        <v>0</v>
      </c>
      <c r="AQ2693">
        <v>0</v>
      </c>
      <c r="AS2693">
        <v>0</v>
      </c>
      <c r="AT2693">
        <v>0</v>
      </c>
      <c r="AV2693">
        <v>0</v>
      </c>
      <c r="AW2693">
        <v>0</v>
      </c>
      <c r="AY2693">
        <v>0</v>
      </c>
      <c r="AZ2693">
        <v>0</v>
      </c>
      <c r="BA2693">
        <v>70</v>
      </c>
      <c r="BC2693" t="str">
        <f>T("0000000000000")</f>
        <v>0000000000000</v>
      </c>
      <c r="BE2693" t="str">
        <f>T("9791162589724")</f>
        <v>9791162589724</v>
      </c>
      <c r="BF2693" t="str">
        <f>T("E615987")</f>
        <v>E615987</v>
      </c>
      <c r="BG2693" t="str">
        <f>T("판타지 웹소설 &gt; 퓨전 판타지")</f>
        <v>판타지 웹소설 &gt; 퓨전 판타지</v>
      </c>
    </row>
    <row r="2694" spans="1:59">
      <c r="A2694" t="s">
        <v>60</v>
      </c>
      <c r="B2694" s="1">
        <v>46129</v>
      </c>
      <c r="C2694">
        <v>2378009513</v>
      </c>
      <c r="D2694">
        <v>2378012491</v>
      </c>
      <c r="E2694" t="str">
        <f>T("문과라도 안 죄송한 이세계로 감 212화")</f>
        <v>문과라도 안 죄송한 이세계로 감 212화</v>
      </c>
      <c r="F2694">
        <v>212</v>
      </c>
      <c r="G2694" t="str">
        <f>T("정수읠")</f>
        <v>정수읠</v>
      </c>
      <c r="J2694" t="str">
        <f>T("매드햇")</f>
        <v>매드햇</v>
      </c>
      <c r="K2694" t="str">
        <f>T("문과라도 안 죄송한 이세계로 감")</f>
        <v>문과라도 안 죄송한 이세계로 감</v>
      </c>
      <c r="L2694">
        <v>100</v>
      </c>
      <c r="M2694">
        <v>100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0</v>
      </c>
      <c r="AH2694">
        <v>0</v>
      </c>
      <c r="AI2694">
        <v>100</v>
      </c>
      <c r="AJ2694">
        <v>1</v>
      </c>
      <c r="AK2694">
        <v>0</v>
      </c>
      <c r="AL2694">
        <v>0</v>
      </c>
      <c r="AM2694">
        <v>100</v>
      </c>
      <c r="AN2694">
        <v>0</v>
      </c>
      <c r="AO2694">
        <v>0</v>
      </c>
      <c r="AP2694">
        <v>0</v>
      </c>
      <c r="AQ2694">
        <v>0</v>
      </c>
      <c r="AS2694">
        <v>0</v>
      </c>
      <c r="AT2694">
        <v>0</v>
      </c>
      <c r="AV2694">
        <v>0</v>
      </c>
      <c r="AW2694">
        <v>0</v>
      </c>
      <c r="AY2694">
        <v>0</v>
      </c>
      <c r="AZ2694">
        <v>0</v>
      </c>
      <c r="BA2694">
        <v>70</v>
      </c>
      <c r="BC2694" t="str">
        <f>T("0000000000000")</f>
        <v>0000000000000</v>
      </c>
      <c r="BE2694" t="str">
        <f>T("9791162589724")</f>
        <v>9791162589724</v>
      </c>
      <c r="BF2694" t="str">
        <f>T("E674756")</f>
        <v>E674756</v>
      </c>
      <c r="BG2694" t="str">
        <f>T("판타지 웹소설 &gt; 퓨전 판타지")</f>
        <v>판타지 웹소설 &gt; 퓨전 판타지</v>
      </c>
    </row>
    <row r="2695" spans="1:59">
      <c r="A2695" t="s">
        <v>60</v>
      </c>
      <c r="B2695" s="1">
        <v>46129</v>
      </c>
      <c r="C2695">
        <v>2378009513</v>
      </c>
      <c r="D2695">
        <v>2378012494</v>
      </c>
      <c r="E2695" t="str">
        <f>T("문과라도 안 죄송한 이세계로 감 213화")</f>
        <v>문과라도 안 죄송한 이세계로 감 213화</v>
      </c>
      <c r="F2695">
        <v>213</v>
      </c>
      <c r="G2695" t="str">
        <f>T("정수읠")</f>
        <v>정수읠</v>
      </c>
      <c r="J2695" t="str">
        <f>T("매드햇")</f>
        <v>매드햇</v>
      </c>
      <c r="K2695" t="str">
        <f>T("문과라도 안 죄송한 이세계로 감")</f>
        <v>문과라도 안 죄송한 이세계로 감</v>
      </c>
      <c r="L2695">
        <v>100</v>
      </c>
      <c r="M2695">
        <v>100</v>
      </c>
      <c r="N2695">
        <v>1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0</v>
      </c>
      <c r="AH2695">
        <v>0</v>
      </c>
      <c r="AI2695">
        <v>100</v>
      </c>
      <c r="AJ2695">
        <v>1</v>
      </c>
      <c r="AK2695">
        <v>0</v>
      </c>
      <c r="AL2695">
        <v>0</v>
      </c>
      <c r="AM2695">
        <v>100</v>
      </c>
      <c r="AN2695">
        <v>0</v>
      </c>
      <c r="AO2695">
        <v>0</v>
      </c>
      <c r="AP2695">
        <v>0</v>
      </c>
      <c r="AQ2695">
        <v>0</v>
      </c>
      <c r="AS2695">
        <v>0</v>
      </c>
      <c r="AT2695">
        <v>0</v>
      </c>
      <c r="AV2695">
        <v>0</v>
      </c>
      <c r="AW2695">
        <v>0</v>
      </c>
      <c r="AY2695">
        <v>0</v>
      </c>
      <c r="AZ2695">
        <v>0</v>
      </c>
      <c r="BA2695">
        <v>70</v>
      </c>
      <c r="BC2695" t="str">
        <f>T("0000000000000")</f>
        <v>0000000000000</v>
      </c>
      <c r="BE2695" t="str">
        <f>T("9791162589724")</f>
        <v>9791162589724</v>
      </c>
      <c r="BF2695" t="str">
        <f>T("E674757")</f>
        <v>E674757</v>
      </c>
      <c r="BG2695" t="str">
        <f>T("판타지 웹소설 &gt; 퓨전 판타지")</f>
        <v>판타지 웹소설 &gt; 퓨전 판타지</v>
      </c>
    </row>
    <row r="2696" spans="1:59">
      <c r="A2696" t="s">
        <v>60</v>
      </c>
      <c r="B2696" s="1">
        <v>46129</v>
      </c>
      <c r="C2696">
        <v>2378009513</v>
      </c>
      <c r="D2696">
        <v>2378012498</v>
      </c>
      <c r="E2696" t="str">
        <f>T("문과라도 안 죄송한 이세계로 감 214화")</f>
        <v>문과라도 안 죄송한 이세계로 감 214화</v>
      </c>
      <c r="F2696">
        <v>214</v>
      </c>
      <c r="G2696" t="str">
        <f>T("정수읠")</f>
        <v>정수읠</v>
      </c>
      <c r="J2696" t="str">
        <f>T("매드햇")</f>
        <v>매드햇</v>
      </c>
      <c r="K2696" t="str">
        <f>T("문과라도 안 죄송한 이세계로 감")</f>
        <v>문과라도 안 죄송한 이세계로 감</v>
      </c>
      <c r="L2696">
        <v>100</v>
      </c>
      <c r="M2696">
        <v>100</v>
      </c>
      <c r="N2696">
        <v>1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0</v>
      </c>
      <c r="AH2696">
        <v>0</v>
      </c>
      <c r="AI2696">
        <v>100</v>
      </c>
      <c r="AJ2696">
        <v>1</v>
      </c>
      <c r="AK2696">
        <v>0</v>
      </c>
      <c r="AL2696">
        <v>0</v>
      </c>
      <c r="AM2696">
        <v>100</v>
      </c>
      <c r="AN2696">
        <v>0</v>
      </c>
      <c r="AO2696">
        <v>0</v>
      </c>
      <c r="AP2696">
        <v>0</v>
      </c>
      <c r="AQ2696">
        <v>0</v>
      </c>
      <c r="AS2696">
        <v>0</v>
      </c>
      <c r="AT2696">
        <v>0</v>
      </c>
      <c r="AV2696">
        <v>0</v>
      </c>
      <c r="AW2696">
        <v>0</v>
      </c>
      <c r="AY2696">
        <v>0</v>
      </c>
      <c r="AZ2696">
        <v>0</v>
      </c>
      <c r="BA2696">
        <v>70</v>
      </c>
      <c r="BC2696" t="str">
        <f>T("0000000000000")</f>
        <v>0000000000000</v>
      </c>
      <c r="BE2696" t="str">
        <f>T("9791162589724")</f>
        <v>9791162589724</v>
      </c>
      <c r="BF2696" t="str">
        <f>T("E674758")</f>
        <v>E674758</v>
      </c>
      <c r="BG2696" t="str">
        <f>T("판타지 웹소설 &gt; 퓨전 판타지")</f>
        <v>판타지 웹소설 &gt; 퓨전 판타지</v>
      </c>
    </row>
    <row r="2697" spans="1:59">
      <c r="A2697" t="s">
        <v>60</v>
      </c>
      <c r="B2697" s="1">
        <v>46129</v>
      </c>
      <c r="C2697">
        <v>2378009513</v>
      </c>
      <c r="D2697">
        <v>2378012503</v>
      </c>
      <c r="E2697" t="str">
        <f>T("문과라도 안 죄송한 이세계로 감 215화")</f>
        <v>문과라도 안 죄송한 이세계로 감 215화</v>
      </c>
      <c r="F2697">
        <v>215</v>
      </c>
      <c r="G2697" t="str">
        <f>T("정수읠")</f>
        <v>정수읠</v>
      </c>
      <c r="J2697" t="str">
        <f>T("매드햇")</f>
        <v>매드햇</v>
      </c>
      <c r="K2697" t="str">
        <f>T("문과라도 안 죄송한 이세계로 감")</f>
        <v>문과라도 안 죄송한 이세계로 감</v>
      </c>
      <c r="L2697">
        <v>100</v>
      </c>
      <c r="M2697">
        <v>100</v>
      </c>
      <c r="N2697">
        <v>1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0</v>
      </c>
      <c r="AH2697">
        <v>0</v>
      </c>
      <c r="AI2697">
        <v>100</v>
      </c>
      <c r="AJ2697">
        <v>1</v>
      </c>
      <c r="AK2697">
        <v>0</v>
      </c>
      <c r="AL2697">
        <v>0</v>
      </c>
      <c r="AM2697">
        <v>100</v>
      </c>
      <c r="AN2697">
        <v>0</v>
      </c>
      <c r="AO2697">
        <v>0</v>
      </c>
      <c r="AP2697">
        <v>0</v>
      </c>
      <c r="AQ2697">
        <v>0</v>
      </c>
      <c r="AS2697">
        <v>0</v>
      </c>
      <c r="AT2697">
        <v>0</v>
      </c>
      <c r="AV2697">
        <v>0</v>
      </c>
      <c r="AW2697">
        <v>0</v>
      </c>
      <c r="AY2697">
        <v>0</v>
      </c>
      <c r="AZ2697">
        <v>0</v>
      </c>
      <c r="BA2697">
        <v>70</v>
      </c>
      <c r="BC2697" t="str">
        <f>T("0000000000000")</f>
        <v>0000000000000</v>
      </c>
      <c r="BE2697" t="str">
        <f>T("9791162589724")</f>
        <v>9791162589724</v>
      </c>
      <c r="BF2697" t="str">
        <f>T("E674759")</f>
        <v>E674759</v>
      </c>
      <c r="BG2697" t="str">
        <f>T("판타지 웹소설 &gt; 퓨전 판타지")</f>
        <v>판타지 웹소설 &gt; 퓨전 판타지</v>
      </c>
    </row>
    <row r="2698" spans="1:59">
      <c r="A2698" t="s">
        <v>60</v>
      </c>
      <c r="B2698" s="1">
        <v>46129</v>
      </c>
      <c r="C2698">
        <v>2378009513</v>
      </c>
      <c r="D2698">
        <v>2378012879</v>
      </c>
      <c r="E2698" t="str">
        <f>T("문과라도 안 죄송한 이세계로 감 216화")</f>
        <v>문과라도 안 죄송한 이세계로 감 216화</v>
      </c>
      <c r="F2698">
        <v>216</v>
      </c>
      <c r="G2698" t="str">
        <f>T("정수읠")</f>
        <v>정수읠</v>
      </c>
      <c r="J2698" t="str">
        <f>T("매드햇")</f>
        <v>매드햇</v>
      </c>
      <c r="K2698" t="str">
        <f>T("문과라도 안 죄송한 이세계로 감")</f>
        <v>문과라도 안 죄송한 이세계로 감</v>
      </c>
      <c r="L2698">
        <v>100</v>
      </c>
      <c r="M2698">
        <v>100</v>
      </c>
      <c r="N2698">
        <v>1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0</v>
      </c>
      <c r="AH2698">
        <v>0</v>
      </c>
      <c r="AI2698">
        <v>100</v>
      </c>
      <c r="AJ2698">
        <v>1</v>
      </c>
      <c r="AK2698">
        <v>0</v>
      </c>
      <c r="AL2698">
        <v>0</v>
      </c>
      <c r="AM2698">
        <v>100</v>
      </c>
      <c r="AN2698">
        <v>0</v>
      </c>
      <c r="AO2698">
        <v>0</v>
      </c>
      <c r="AP2698">
        <v>0</v>
      </c>
      <c r="AQ2698">
        <v>0</v>
      </c>
      <c r="AS2698">
        <v>0</v>
      </c>
      <c r="AT2698">
        <v>0</v>
      </c>
      <c r="AV2698">
        <v>0</v>
      </c>
      <c r="AW2698">
        <v>0</v>
      </c>
      <c r="AY2698">
        <v>0</v>
      </c>
      <c r="AZ2698">
        <v>0</v>
      </c>
      <c r="BA2698">
        <v>70</v>
      </c>
      <c r="BC2698" t="str">
        <f>T("0000000000000")</f>
        <v>0000000000000</v>
      </c>
      <c r="BE2698" t="str">
        <f>T("9791162589724")</f>
        <v>9791162589724</v>
      </c>
      <c r="BF2698" t="str">
        <f>T("E678127")</f>
        <v>E678127</v>
      </c>
      <c r="BG2698" t="str">
        <f>T("판타지 웹소설 &gt; 퓨전 판타지")</f>
        <v>판타지 웹소설 &gt; 퓨전 판타지</v>
      </c>
    </row>
    <row r="2699" spans="1:59">
      <c r="A2699" t="s">
        <v>60</v>
      </c>
      <c r="B2699" s="1">
        <v>46129</v>
      </c>
      <c r="C2699">
        <v>2378009513</v>
      </c>
      <c r="D2699">
        <v>2378012883</v>
      </c>
      <c r="E2699" t="str">
        <f>T("문과라도 안 죄송한 이세계로 감 217화")</f>
        <v>문과라도 안 죄송한 이세계로 감 217화</v>
      </c>
      <c r="F2699">
        <v>217</v>
      </c>
      <c r="G2699" t="str">
        <f>T("정수읠")</f>
        <v>정수읠</v>
      </c>
      <c r="J2699" t="str">
        <f>T("매드햇")</f>
        <v>매드햇</v>
      </c>
      <c r="K2699" t="str">
        <f>T("문과라도 안 죄송한 이세계로 감")</f>
        <v>문과라도 안 죄송한 이세계로 감</v>
      </c>
      <c r="L2699">
        <v>100</v>
      </c>
      <c r="M2699">
        <v>100</v>
      </c>
      <c r="N2699">
        <v>1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0</v>
      </c>
      <c r="AH2699">
        <v>0</v>
      </c>
      <c r="AI2699">
        <v>100</v>
      </c>
      <c r="AJ2699">
        <v>1</v>
      </c>
      <c r="AK2699">
        <v>0</v>
      </c>
      <c r="AL2699">
        <v>0</v>
      </c>
      <c r="AM2699">
        <v>100</v>
      </c>
      <c r="AN2699">
        <v>0</v>
      </c>
      <c r="AO2699">
        <v>0</v>
      </c>
      <c r="AP2699">
        <v>0</v>
      </c>
      <c r="AQ2699">
        <v>0</v>
      </c>
      <c r="AS2699">
        <v>0</v>
      </c>
      <c r="AT2699">
        <v>0</v>
      </c>
      <c r="AV2699">
        <v>0</v>
      </c>
      <c r="AW2699">
        <v>0</v>
      </c>
      <c r="AY2699">
        <v>0</v>
      </c>
      <c r="AZ2699">
        <v>0</v>
      </c>
      <c r="BA2699">
        <v>70</v>
      </c>
      <c r="BC2699" t="str">
        <f>T("0000000000000")</f>
        <v>0000000000000</v>
      </c>
      <c r="BE2699" t="str">
        <f>T("9791162589724")</f>
        <v>9791162589724</v>
      </c>
      <c r="BF2699" t="str">
        <f>T("E678128")</f>
        <v>E678128</v>
      </c>
      <c r="BG2699" t="str">
        <f>T("판타지 웹소설 &gt; 퓨전 판타지")</f>
        <v>판타지 웹소설 &gt; 퓨전 판타지</v>
      </c>
    </row>
    <row r="2700" spans="1:59">
      <c r="A2700" t="s">
        <v>60</v>
      </c>
      <c r="B2700" s="1">
        <v>46129</v>
      </c>
      <c r="C2700">
        <v>2378009513</v>
      </c>
      <c r="D2700">
        <v>2378014361</v>
      </c>
      <c r="E2700" t="str">
        <f>T("문과라도 안 죄송한 이세계로 감 253화")</f>
        <v>문과라도 안 죄송한 이세계로 감 253화</v>
      </c>
      <c r="F2700">
        <v>253</v>
      </c>
      <c r="G2700" t="str">
        <f>T("정수읠")</f>
        <v>정수읠</v>
      </c>
      <c r="J2700" t="str">
        <f>T("매드햇")</f>
        <v>매드햇</v>
      </c>
      <c r="K2700" t="str">
        <f>T("문과라도 안 죄송한 이세계로 감")</f>
        <v>문과라도 안 죄송한 이세계로 감</v>
      </c>
      <c r="L2700">
        <v>100</v>
      </c>
      <c r="M2700">
        <v>100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0</v>
      </c>
      <c r="AH2700">
        <v>0</v>
      </c>
      <c r="AI2700">
        <v>100</v>
      </c>
      <c r="AJ2700">
        <v>1</v>
      </c>
      <c r="AK2700">
        <v>0</v>
      </c>
      <c r="AL2700">
        <v>0</v>
      </c>
      <c r="AM2700">
        <v>100</v>
      </c>
      <c r="AN2700">
        <v>0</v>
      </c>
      <c r="AO2700">
        <v>0</v>
      </c>
      <c r="AP2700">
        <v>0</v>
      </c>
      <c r="AQ2700">
        <v>0</v>
      </c>
      <c r="AS2700">
        <v>0</v>
      </c>
      <c r="AT2700">
        <v>0</v>
      </c>
      <c r="AV2700">
        <v>0</v>
      </c>
      <c r="AW2700">
        <v>0</v>
      </c>
      <c r="AY2700">
        <v>0</v>
      </c>
      <c r="AZ2700">
        <v>0</v>
      </c>
      <c r="BA2700">
        <v>70</v>
      </c>
      <c r="BC2700" t="str">
        <f>T("0000000000000")</f>
        <v>0000000000000</v>
      </c>
      <c r="BE2700" t="str">
        <f>T("9791162589724")</f>
        <v>9791162589724</v>
      </c>
      <c r="BF2700" t="str">
        <f>T("E716170")</f>
        <v>E716170</v>
      </c>
      <c r="BG2700" t="str">
        <f>T("판타지 웹소설 &gt; 퓨전 판타지")</f>
        <v>판타지 웹소설 &gt; 퓨전 판타지</v>
      </c>
    </row>
    <row r="2701" spans="1:59">
      <c r="A2701" t="s">
        <v>60</v>
      </c>
      <c r="B2701" s="1">
        <v>46129</v>
      </c>
      <c r="C2701">
        <v>2378009513</v>
      </c>
      <c r="D2701">
        <v>2378015297</v>
      </c>
      <c r="E2701" t="str">
        <f>T("문과라도 안 죄송한 이세계로 감 278화")</f>
        <v>문과라도 안 죄송한 이세계로 감 278화</v>
      </c>
      <c r="F2701">
        <v>278</v>
      </c>
      <c r="G2701" t="str">
        <f>T("정수읠")</f>
        <v>정수읠</v>
      </c>
      <c r="J2701" t="str">
        <f>T("매드햇")</f>
        <v>매드햇</v>
      </c>
      <c r="K2701" t="str">
        <f>T("문과라도 안 죄송한 이세계로 감")</f>
        <v>문과라도 안 죄송한 이세계로 감</v>
      </c>
      <c r="L2701">
        <v>100</v>
      </c>
      <c r="M2701">
        <v>100</v>
      </c>
      <c r="N2701">
        <v>1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0</v>
      </c>
      <c r="AH2701">
        <v>0</v>
      </c>
      <c r="AI2701">
        <v>100</v>
      </c>
      <c r="AJ2701">
        <v>1</v>
      </c>
      <c r="AK2701">
        <v>0</v>
      </c>
      <c r="AL2701">
        <v>0</v>
      </c>
      <c r="AM2701">
        <v>100</v>
      </c>
      <c r="AN2701">
        <v>0</v>
      </c>
      <c r="AO2701">
        <v>0</v>
      </c>
      <c r="AP2701">
        <v>0</v>
      </c>
      <c r="AQ2701">
        <v>0</v>
      </c>
      <c r="AS2701">
        <v>0</v>
      </c>
      <c r="AT2701">
        <v>0</v>
      </c>
      <c r="AV2701">
        <v>0</v>
      </c>
      <c r="AW2701">
        <v>0</v>
      </c>
      <c r="AY2701">
        <v>0</v>
      </c>
      <c r="AZ2701">
        <v>0</v>
      </c>
      <c r="BA2701">
        <v>70</v>
      </c>
      <c r="BC2701" t="str">
        <f>T("0000000000000")</f>
        <v>0000000000000</v>
      </c>
      <c r="BE2701" t="str">
        <f>T("9791162589724")</f>
        <v>9791162589724</v>
      </c>
      <c r="BF2701" t="str">
        <f>T("E746058")</f>
        <v>E746058</v>
      </c>
      <c r="BG2701" t="str">
        <f>T("판타지 웹소설 &gt; 퓨전 판타지")</f>
        <v>판타지 웹소설 &gt; 퓨전 판타지</v>
      </c>
    </row>
    <row r="2702" spans="1:59">
      <c r="A2702" t="s">
        <v>60</v>
      </c>
      <c r="B2702" s="1">
        <v>46129</v>
      </c>
      <c r="C2702">
        <v>2378009513</v>
      </c>
      <c r="D2702">
        <v>2378015298</v>
      </c>
      <c r="E2702" t="str">
        <f>T("문과라도 안 죄송한 이세계로 감 279화")</f>
        <v>문과라도 안 죄송한 이세계로 감 279화</v>
      </c>
      <c r="F2702">
        <v>279</v>
      </c>
      <c r="G2702" t="str">
        <f>T("정수읠")</f>
        <v>정수읠</v>
      </c>
      <c r="J2702" t="str">
        <f>T("매드햇")</f>
        <v>매드햇</v>
      </c>
      <c r="K2702" t="str">
        <f>T("문과라도 안 죄송한 이세계로 감")</f>
        <v>문과라도 안 죄송한 이세계로 감</v>
      </c>
      <c r="L2702">
        <v>100</v>
      </c>
      <c r="M2702">
        <v>100</v>
      </c>
      <c r="N2702">
        <v>1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0</v>
      </c>
      <c r="AH2702">
        <v>0</v>
      </c>
      <c r="AI2702">
        <v>100</v>
      </c>
      <c r="AJ2702">
        <v>1</v>
      </c>
      <c r="AK2702">
        <v>0</v>
      </c>
      <c r="AL2702">
        <v>0</v>
      </c>
      <c r="AM2702">
        <v>100</v>
      </c>
      <c r="AN2702">
        <v>0</v>
      </c>
      <c r="AO2702">
        <v>0</v>
      </c>
      <c r="AP2702">
        <v>0</v>
      </c>
      <c r="AQ2702">
        <v>0</v>
      </c>
      <c r="AS2702">
        <v>0</v>
      </c>
      <c r="AT2702">
        <v>0</v>
      </c>
      <c r="AV2702">
        <v>0</v>
      </c>
      <c r="AW2702">
        <v>0</v>
      </c>
      <c r="AY2702">
        <v>0</v>
      </c>
      <c r="AZ2702">
        <v>0</v>
      </c>
      <c r="BA2702">
        <v>70</v>
      </c>
      <c r="BC2702" t="str">
        <f>T("0000000000000")</f>
        <v>0000000000000</v>
      </c>
      <c r="BE2702" t="str">
        <f>T("9791162589724")</f>
        <v>9791162589724</v>
      </c>
      <c r="BF2702" t="str">
        <f>T("E746059")</f>
        <v>E746059</v>
      </c>
      <c r="BG2702" t="str">
        <f>T("판타지 웹소설 &gt; 퓨전 판타지")</f>
        <v>판타지 웹소설 &gt; 퓨전 판타지</v>
      </c>
    </row>
    <row r="2703" spans="1:59">
      <c r="A2703" t="s">
        <v>60</v>
      </c>
      <c r="B2703" s="1">
        <v>46129</v>
      </c>
      <c r="C2703">
        <v>2378009513</v>
      </c>
      <c r="D2703">
        <v>2378015299</v>
      </c>
      <c r="E2703" t="str">
        <f>T("문과라도 안 죄송한 이세계로 감 280화")</f>
        <v>문과라도 안 죄송한 이세계로 감 280화</v>
      </c>
      <c r="F2703">
        <v>280</v>
      </c>
      <c r="G2703" t="str">
        <f>T("정수읠")</f>
        <v>정수읠</v>
      </c>
      <c r="J2703" t="str">
        <f>T("매드햇")</f>
        <v>매드햇</v>
      </c>
      <c r="K2703" t="str">
        <f>T("문과라도 안 죄송한 이세계로 감")</f>
        <v>문과라도 안 죄송한 이세계로 감</v>
      </c>
      <c r="L2703">
        <v>100</v>
      </c>
      <c r="M2703">
        <v>100</v>
      </c>
      <c r="N2703">
        <v>1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0</v>
      </c>
      <c r="AH2703">
        <v>0</v>
      </c>
      <c r="AI2703">
        <v>100</v>
      </c>
      <c r="AJ2703">
        <v>1</v>
      </c>
      <c r="AK2703">
        <v>0</v>
      </c>
      <c r="AL2703">
        <v>0</v>
      </c>
      <c r="AM2703">
        <v>100</v>
      </c>
      <c r="AN2703">
        <v>0</v>
      </c>
      <c r="AO2703">
        <v>0</v>
      </c>
      <c r="AP2703">
        <v>0</v>
      </c>
      <c r="AQ2703">
        <v>0</v>
      </c>
      <c r="AS2703">
        <v>0</v>
      </c>
      <c r="AT2703">
        <v>0</v>
      </c>
      <c r="AV2703">
        <v>0</v>
      </c>
      <c r="AW2703">
        <v>0</v>
      </c>
      <c r="AY2703">
        <v>0</v>
      </c>
      <c r="AZ2703">
        <v>0</v>
      </c>
      <c r="BA2703">
        <v>70</v>
      </c>
      <c r="BC2703" t="str">
        <f>T("0000000000000")</f>
        <v>0000000000000</v>
      </c>
      <c r="BE2703" t="str">
        <f>T("9791162589724")</f>
        <v>9791162589724</v>
      </c>
      <c r="BF2703" t="str">
        <f>T("E746060")</f>
        <v>E746060</v>
      </c>
      <c r="BG2703" t="str">
        <f>T("판타지 웹소설 &gt; 퓨전 판타지")</f>
        <v>판타지 웹소설 &gt; 퓨전 판타지</v>
      </c>
    </row>
    <row r="2704" spans="1:59">
      <c r="A2704" t="s">
        <v>60</v>
      </c>
      <c r="B2704" s="1">
        <v>46129</v>
      </c>
      <c r="C2704">
        <v>2378009513</v>
      </c>
      <c r="D2704">
        <v>2378015300</v>
      </c>
      <c r="E2704" t="str">
        <f>T("문과라도 안 죄송한 이세계로 감 281화")</f>
        <v>문과라도 안 죄송한 이세계로 감 281화</v>
      </c>
      <c r="F2704">
        <v>281</v>
      </c>
      <c r="G2704" t="str">
        <f>T("정수읠")</f>
        <v>정수읠</v>
      </c>
      <c r="J2704" t="str">
        <f>T("매드햇")</f>
        <v>매드햇</v>
      </c>
      <c r="K2704" t="str">
        <f>T("문과라도 안 죄송한 이세계로 감")</f>
        <v>문과라도 안 죄송한 이세계로 감</v>
      </c>
      <c r="L2704">
        <v>100</v>
      </c>
      <c r="M2704">
        <v>100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0</v>
      </c>
      <c r="AH2704">
        <v>0</v>
      </c>
      <c r="AI2704">
        <v>100</v>
      </c>
      <c r="AJ2704">
        <v>1</v>
      </c>
      <c r="AK2704">
        <v>0</v>
      </c>
      <c r="AL2704">
        <v>0</v>
      </c>
      <c r="AM2704">
        <v>100</v>
      </c>
      <c r="AN2704">
        <v>0</v>
      </c>
      <c r="AO2704">
        <v>0</v>
      </c>
      <c r="AP2704">
        <v>0</v>
      </c>
      <c r="AQ2704">
        <v>0</v>
      </c>
      <c r="AS2704">
        <v>0</v>
      </c>
      <c r="AT2704">
        <v>0</v>
      </c>
      <c r="AV2704">
        <v>0</v>
      </c>
      <c r="AW2704">
        <v>0</v>
      </c>
      <c r="AY2704">
        <v>0</v>
      </c>
      <c r="AZ2704">
        <v>0</v>
      </c>
      <c r="BA2704">
        <v>70</v>
      </c>
      <c r="BC2704" t="str">
        <f>T("0000000000000")</f>
        <v>0000000000000</v>
      </c>
      <c r="BE2704" t="str">
        <f>T("9791162589724")</f>
        <v>9791162589724</v>
      </c>
      <c r="BF2704" t="str">
        <f>T("E746061")</f>
        <v>E746061</v>
      </c>
      <c r="BG2704" t="str">
        <f>T("판타지 웹소설 &gt; 퓨전 판타지")</f>
        <v>판타지 웹소설 &gt; 퓨전 판타지</v>
      </c>
    </row>
    <row r="2705" spans="1:59">
      <c r="A2705" t="s">
        <v>60</v>
      </c>
      <c r="B2705" s="1">
        <v>46129</v>
      </c>
      <c r="C2705">
        <v>2378009513</v>
      </c>
      <c r="D2705">
        <v>2378015377</v>
      </c>
      <c r="E2705" t="str">
        <f>T("문과라도 안 죄송한 이세계로 감 282화")</f>
        <v>문과라도 안 죄송한 이세계로 감 282화</v>
      </c>
      <c r="F2705">
        <v>282</v>
      </c>
      <c r="G2705" t="str">
        <f>T("정수읠")</f>
        <v>정수읠</v>
      </c>
      <c r="J2705" t="str">
        <f>T("매드햇")</f>
        <v>매드햇</v>
      </c>
      <c r="K2705" t="str">
        <f>T("문과라도 안 죄송한 이세계로 감")</f>
        <v>문과라도 안 죄송한 이세계로 감</v>
      </c>
      <c r="L2705">
        <v>100</v>
      </c>
      <c r="M2705">
        <v>100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0</v>
      </c>
      <c r="AH2705">
        <v>0</v>
      </c>
      <c r="AI2705">
        <v>100</v>
      </c>
      <c r="AJ2705">
        <v>1</v>
      </c>
      <c r="AK2705">
        <v>0</v>
      </c>
      <c r="AL2705">
        <v>0</v>
      </c>
      <c r="AM2705">
        <v>100</v>
      </c>
      <c r="AN2705">
        <v>0</v>
      </c>
      <c r="AO2705">
        <v>0</v>
      </c>
      <c r="AP2705">
        <v>0</v>
      </c>
      <c r="AQ2705">
        <v>0</v>
      </c>
      <c r="AS2705">
        <v>0</v>
      </c>
      <c r="AT2705">
        <v>0</v>
      </c>
      <c r="AV2705">
        <v>0</v>
      </c>
      <c r="AW2705">
        <v>0</v>
      </c>
      <c r="AY2705">
        <v>0</v>
      </c>
      <c r="AZ2705">
        <v>0</v>
      </c>
      <c r="BA2705">
        <v>70</v>
      </c>
      <c r="BC2705" t="str">
        <f>T("0000000000000")</f>
        <v>0000000000000</v>
      </c>
      <c r="BE2705" t="str">
        <f>T("9791162589724")</f>
        <v>9791162589724</v>
      </c>
      <c r="BF2705" t="str">
        <f>T("E747495")</f>
        <v>E747495</v>
      </c>
      <c r="BG2705" t="str">
        <f>T("판타지 웹소설 &gt; 퓨전 판타지")</f>
        <v>판타지 웹소설 &gt; 퓨전 판타지</v>
      </c>
    </row>
    <row r="2706" spans="1:59">
      <c r="A2706" t="s">
        <v>60</v>
      </c>
      <c r="B2706" s="1">
        <v>46129</v>
      </c>
      <c r="C2706">
        <v>2378009513</v>
      </c>
      <c r="D2706">
        <v>2378015378</v>
      </c>
      <c r="E2706" t="str">
        <f>T("문과라도 안 죄송한 이세계로 감 283화")</f>
        <v>문과라도 안 죄송한 이세계로 감 283화</v>
      </c>
      <c r="F2706">
        <v>283</v>
      </c>
      <c r="G2706" t="str">
        <f>T("정수읠")</f>
        <v>정수읠</v>
      </c>
      <c r="J2706" t="str">
        <f>T("매드햇")</f>
        <v>매드햇</v>
      </c>
      <c r="K2706" t="str">
        <f>T("문과라도 안 죄송한 이세계로 감")</f>
        <v>문과라도 안 죄송한 이세계로 감</v>
      </c>
      <c r="L2706">
        <v>100</v>
      </c>
      <c r="M2706">
        <v>100</v>
      </c>
      <c r="N2706">
        <v>1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0</v>
      </c>
      <c r="AH2706">
        <v>0</v>
      </c>
      <c r="AI2706">
        <v>100</v>
      </c>
      <c r="AJ2706">
        <v>1</v>
      </c>
      <c r="AK2706">
        <v>0</v>
      </c>
      <c r="AL2706">
        <v>0</v>
      </c>
      <c r="AM2706">
        <v>100</v>
      </c>
      <c r="AN2706">
        <v>0</v>
      </c>
      <c r="AO2706">
        <v>0</v>
      </c>
      <c r="AP2706">
        <v>0</v>
      </c>
      <c r="AQ2706">
        <v>0</v>
      </c>
      <c r="AS2706">
        <v>0</v>
      </c>
      <c r="AT2706">
        <v>0</v>
      </c>
      <c r="AV2706">
        <v>0</v>
      </c>
      <c r="AW2706">
        <v>0</v>
      </c>
      <c r="AY2706">
        <v>0</v>
      </c>
      <c r="AZ2706">
        <v>0</v>
      </c>
      <c r="BA2706">
        <v>70</v>
      </c>
      <c r="BC2706" t="str">
        <f>T("0000000000000")</f>
        <v>0000000000000</v>
      </c>
      <c r="BE2706" t="str">
        <f>T("9791162589724")</f>
        <v>9791162589724</v>
      </c>
      <c r="BF2706" t="str">
        <f>T("E747496")</f>
        <v>E747496</v>
      </c>
      <c r="BG2706" t="str">
        <f>T("판타지 웹소설 &gt; 퓨전 판타지")</f>
        <v>판타지 웹소설 &gt; 퓨전 판타지</v>
      </c>
    </row>
    <row r="2707" spans="1:59">
      <c r="A2707" t="s">
        <v>60</v>
      </c>
      <c r="B2707" s="1">
        <v>46129</v>
      </c>
      <c r="C2707">
        <v>2378009513</v>
      </c>
      <c r="D2707">
        <v>2378015379</v>
      </c>
      <c r="E2707" t="str">
        <f>T("문과라도 안 죄송한 이세계로 감 284화")</f>
        <v>문과라도 안 죄송한 이세계로 감 284화</v>
      </c>
      <c r="F2707">
        <v>284</v>
      </c>
      <c r="G2707" t="str">
        <f>T("정수읠")</f>
        <v>정수읠</v>
      </c>
      <c r="J2707" t="str">
        <f>T("매드햇")</f>
        <v>매드햇</v>
      </c>
      <c r="K2707" t="str">
        <f>T("문과라도 안 죄송한 이세계로 감")</f>
        <v>문과라도 안 죄송한 이세계로 감</v>
      </c>
      <c r="L2707">
        <v>100</v>
      </c>
      <c r="M2707">
        <v>100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0</v>
      </c>
      <c r="AH2707">
        <v>0</v>
      </c>
      <c r="AI2707">
        <v>100</v>
      </c>
      <c r="AJ2707">
        <v>1</v>
      </c>
      <c r="AK2707">
        <v>0</v>
      </c>
      <c r="AL2707">
        <v>0</v>
      </c>
      <c r="AM2707">
        <v>100</v>
      </c>
      <c r="AN2707">
        <v>0</v>
      </c>
      <c r="AO2707">
        <v>0</v>
      </c>
      <c r="AP2707">
        <v>0</v>
      </c>
      <c r="AQ2707">
        <v>0</v>
      </c>
      <c r="AS2707">
        <v>0</v>
      </c>
      <c r="AT2707">
        <v>0</v>
      </c>
      <c r="AV2707">
        <v>0</v>
      </c>
      <c r="AW2707">
        <v>0</v>
      </c>
      <c r="AY2707">
        <v>0</v>
      </c>
      <c r="AZ2707">
        <v>0</v>
      </c>
      <c r="BA2707">
        <v>70</v>
      </c>
      <c r="BC2707" t="str">
        <f>T("0000000000000")</f>
        <v>0000000000000</v>
      </c>
      <c r="BE2707" t="str">
        <f>T("9791162589724")</f>
        <v>9791162589724</v>
      </c>
      <c r="BF2707" t="str">
        <f>T("E747497")</f>
        <v>E747497</v>
      </c>
      <c r="BG2707" t="str">
        <f>T("판타지 웹소설 &gt; 퓨전 판타지")</f>
        <v>판타지 웹소설 &gt; 퓨전 판타지</v>
      </c>
    </row>
    <row r="2708" spans="1:59">
      <c r="A2708" t="s">
        <v>60</v>
      </c>
      <c r="B2708" s="1">
        <v>46129</v>
      </c>
      <c r="C2708">
        <v>2378009513</v>
      </c>
      <c r="D2708">
        <v>2378018885</v>
      </c>
      <c r="E2708" t="str">
        <f>T("문과라도 안 죄송한 이세계로 감 334화")</f>
        <v>문과라도 안 죄송한 이세계로 감 334화</v>
      </c>
      <c r="F2708">
        <v>334</v>
      </c>
      <c r="G2708" t="str">
        <f>T("정수읠")</f>
        <v>정수읠</v>
      </c>
      <c r="J2708" t="str">
        <f>T("매드햇")</f>
        <v>매드햇</v>
      </c>
      <c r="K2708" t="str">
        <f>T("문과라도 안 죄송한 이세계로 감")</f>
        <v>문과라도 안 죄송한 이세계로 감</v>
      </c>
      <c r="L2708">
        <v>100</v>
      </c>
      <c r="M2708">
        <v>100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0</v>
      </c>
      <c r="AH2708">
        <v>0</v>
      </c>
      <c r="AI2708">
        <v>100</v>
      </c>
      <c r="AJ2708">
        <v>1</v>
      </c>
      <c r="AK2708">
        <v>0</v>
      </c>
      <c r="AL2708">
        <v>0</v>
      </c>
      <c r="AM2708">
        <v>100</v>
      </c>
      <c r="AN2708">
        <v>0</v>
      </c>
      <c r="AO2708">
        <v>0</v>
      </c>
      <c r="AP2708">
        <v>0</v>
      </c>
      <c r="AQ2708">
        <v>0</v>
      </c>
      <c r="AS2708">
        <v>0</v>
      </c>
      <c r="AT2708">
        <v>0</v>
      </c>
      <c r="AV2708">
        <v>0</v>
      </c>
      <c r="AW2708">
        <v>0</v>
      </c>
      <c r="AY2708">
        <v>0</v>
      </c>
      <c r="AZ2708">
        <v>0</v>
      </c>
      <c r="BA2708">
        <v>70</v>
      </c>
      <c r="BC2708" t="str">
        <f>T("0000000000000")</f>
        <v>0000000000000</v>
      </c>
      <c r="BE2708" t="str">
        <f>T("9791162589724")</f>
        <v>9791162589724</v>
      </c>
      <c r="BF2708" t="str">
        <f>T("E788230")</f>
        <v>E788230</v>
      </c>
      <c r="BG2708" t="str">
        <f>T("판타지 웹소설 &gt; 퓨전 판타지")</f>
        <v>판타지 웹소설 &gt; 퓨전 판타지</v>
      </c>
    </row>
    <row r="2709" spans="1:59">
      <c r="A2709" t="s">
        <v>60</v>
      </c>
      <c r="B2709" s="1">
        <v>46129</v>
      </c>
      <c r="C2709">
        <v>2378009513</v>
      </c>
      <c r="D2709">
        <v>2378030665</v>
      </c>
      <c r="E2709" t="str">
        <f>T("문과라도 안 죄송한 이세계로 감 397화")</f>
        <v>문과라도 안 죄송한 이세계로 감 397화</v>
      </c>
      <c r="F2709">
        <v>397</v>
      </c>
      <c r="G2709" t="str">
        <f>T("정수읠")</f>
        <v>정수읠</v>
      </c>
      <c r="J2709" t="str">
        <f>T("매드햇")</f>
        <v>매드햇</v>
      </c>
      <c r="K2709" t="str">
        <f>T("문과라도 안 죄송한 이세계로 감")</f>
        <v>문과라도 안 죄송한 이세계로 감</v>
      </c>
      <c r="L2709">
        <v>100</v>
      </c>
      <c r="M2709">
        <v>100</v>
      </c>
      <c r="N2709">
        <v>1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0</v>
      </c>
      <c r="AH2709">
        <v>0</v>
      </c>
      <c r="AI2709">
        <v>100</v>
      </c>
      <c r="AJ2709">
        <v>1</v>
      </c>
      <c r="AK2709">
        <v>0</v>
      </c>
      <c r="AL2709">
        <v>0</v>
      </c>
      <c r="AM2709">
        <v>100</v>
      </c>
      <c r="AN2709">
        <v>0</v>
      </c>
      <c r="AO2709">
        <v>0</v>
      </c>
      <c r="AP2709">
        <v>0</v>
      </c>
      <c r="AQ2709">
        <v>0</v>
      </c>
      <c r="AS2709">
        <v>0</v>
      </c>
      <c r="AT2709">
        <v>0</v>
      </c>
      <c r="AV2709">
        <v>0</v>
      </c>
      <c r="AW2709">
        <v>0</v>
      </c>
      <c r="AY2709">
        <v>0</v>
      </c>
      <c r="AZ2709">
        <v>0</v>
      </c>
      <c r="BA2709">
        <v>70</v>
      </c>
      <c r="BC2709" t="str">
        <f>T("0000000000000")</f>
        <v>0000000000000</v>
      </c>
      <c r="BE2709" t="str">
        <f>T("9791162589724")</f>
        <v>9791162589724</v>
      </c>
      <c r="BF2709" t="str">
        <f>T("E869551")</f>
        <v>E869551</v>
      </c>
      <c r="BG2709" t="str">
        <f>T("판타지 웹소설 &gt; 퓨전 판타지")</f>
        <v>판타지 웹소설 &gt; 퓨전 판타지</v>
      </c>
    </row>
    <row r="2710" spans="1:59">
      <c r="A2710" t="s">
        <v>60</v>
      </c>
      <c r="B2710" s="1">
        <v>46129</v>
      </c>
      <c r="C2710">
        <v>2378009513</v>
      </c>
      <c r="D2710">
        <v>2378031250</v>
      </c>
      <c r="E2710" t="str">
        <f>T("문과라도 안 죄송한 이세계로 감 407화")</f>
        <v>문과라도 안 죄송한 이세계로 감 407화</v>
      </c>
      <c r="F2710">
        <v>407</v>
      </c>
      <c r="G2710" t="str">
        <f>T("정수읠")</f>
        <v>정수읠</v>
      </c>
      <c r="J2710" t="str">
        <f>T("매드햇")</f>
        <v>매드햇</v>
      </c>
      <c r="K2710" t="str">
        <f>T("문과라도 안 죄송한 이세계로 감")</f>
        <v>문과라도 안 죄송한 이세계로 감</v>
      </c>
      <c r="L2710">
        <v>100</v>
      </c>
      <c r="M2710">
        <v>100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0</v>
      </c>
      <c r="AH2710">
        <v>0</v>
      </c>
      <c r="AI2710">
        <v>100</v>
      </c>
      <c r="AJ2710">
        <v>1</v>
      </c>
      <c r="AK2710">
        <v>0</v>
      </c>
      <c r="AL2710">
        <v>0</v>
      </c>
      <c r="AM2710">
        <v>100</v>
      </c>
      <c r="AN2710">
        <v>0</v>
      </c>
      <c r="AO2710">
        <v>0</v>
      </c>
      <c r="AP2710">
        <v>0</v>
      </c>
      <c r="AQ2710">
        <v>0</v>
      </c>
      <c r="AS2710">
        <v>0</v>
      </c>
      <c r="AT2710">
        <v>0</v>
      </c>
      <c r="AV2710">
        <v>0</v>
      </c>
      <c r="AW2710">
        <v>0</v>
      </c>
      <c r="AY2710">
        <v>0</v>
      </c>
      <c r="AZ2710">
        <v>0</v>
      </c>
      <c r="BA2710">
        <v>70</v>
      </c>
      <c r="BC2710" t="str">
        <f>T("0000000000000")</f>
        <v>0000000000000</v>
      </c>
      <c r="BE2710" t="str">
        <f>T("9791162589724")</f>
        <v>9791162589724</v>
      </c>
      <c r="BG2710" t="str">
        <f>T("판타지 웹소설 &gt; 퓨전 판타지")</f>
        <v>판타지 웹소설 &gt; 퓨전 판타지</v>
      </c>
    </row>
    <row r="2711" spans="1:59">
      <c r="A2711" t="s">
        <v>60</v>
      </c>
      <c r="B2711" s="1">
        <v>46129</v>
      </c>
      <c r="C2711">
        <v>2378009513</v>
      </c>
      <c r="D2711">
        <v>2378031280</v>
      </c>
      <c r="E2711" t="str">
        <f>T("문과라도 안 죄송한 이세계로 감 408화")</f>
        <v>문과라도 안 죄송한 이세계로 감 408화</v>
      </c>
      <c r="F2711">
        <v>408</v>
      </c>
      <c r="G2711" t="str">
        <f>T("정수읠")</f>
        <v>정수읠</v>
      </c>
      <c r="J2711" t="str">
        <f>T("매드햇")</f>
        <v>매드햇</v>
      </c>
      <c r="K2711" t="str">
        <f>T("문과라도 안 죄송한 이세계로 감")</f>
        <v>문과라도 안 죄송한 이세계로 감</v>
      </c>
      <c r="L2711">
        <v>100</v>
      </c>
      <c r="M2711">
        <v>100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0</v>
      </c>
      <c r="AH2711">
        <v>0</v>
      </c>
      <c r="AI2711">
        <v>100</v>
      </c>
      <c r="AJ2711">
        <v>1</v>
      </c>
      <c r="AK2711">
        <v>0</v>
      </c>
      <c r="AL2711">
        <v>0</v>
      </c>
      <c r="AM2711">
        <v>100</v>
      </c>
      <c r="AN2711">
        <v>0</v>
      </c>
      <c r="AO2711">
        <v>0</v>
      </c>
      <c r="AP2711">
        <v>0</v>
      </c>
      <c r="AQ2711">
        <v>0</v>
      </c>
      <c r="AS2711">
        <v>0</v>
      </c>
      <c r="AT2711">
        <v>0</v>
      </c>
      <c r="AV2711">
        <v>0</v>
      </c>
      <c r="AW2711">
        <v>0</v>
      </c>
      <c r="AY2711">
        <v>0</v>
      </c>
      <c r="AZ2711">
        <v>0</v>
      </c>
      <c r="BA2711">
        <v>70</v>
      </c>
      <c r="BC2711" t="str">
        <f>T("0000000000000")</f>
        <v>0000000000000</v>
      </c>
      <c r="BE2711" t="str">
        <f>T("9791162589724")</f>
        <v>9791162589724</v>
      </c>
      <c r="BF2711" t="str">
        <f>T("N004896")</f>
        <v>N004896</v>
      </c>
      <c r="BG2711" t="str">
        <f>T("판타지 웹소설 &gt; 퓨전 판타지")</f>
        <v>판타지 웹소설 &gt; 퓨전 판타지</v>
      </c>
    </row>
    <row r="2712" spans="1:59">
      <c r="A2712" t="s">
        <v>60</v>
      </c>
      <c r="B2712" s="1">
        <v>46129</v>
      </c>
      <c r="C2712">
        <v>2378009513</v>
      </c>
      <c r="D2712">
        <v>2378031295</v>
      </c>
      <c r="E2712" t="str">
        <f>T("문과라도 안 죄송한 이세계로 감 409화")</f>
        <v>문과라도 안 죄송한 이세계로 감 409화</v>
      </c>
      <c r="F2712">
        <v>409</v>
      </c>
      <c r="G2712" t="str">
        <f>T("정수읠")</f>
        <v>정수읠</v>
      </c>
      <c r="J2712" t="str">
        <f>T("매드햇")</f>
        <v>매드햇</v>
      </c>
      <c r="K2712" t="str">
        <f>T("문과라도 안 죄송한 이세계로 감")</f>
        <v>문과라도 안 죄송한 이세계로 감</v>
      </c>
      <c r="L2712">
        <v>100</v>
      </c>
      <c r="M2712">
        <v>100</v>
      </c>
      <c r="N2712">
        <v>1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0</v>
      </c>
      <c r="AH2712">
        <v>0</v>
      </c>
      <c r="AI2712">
        <v>100</v>
      </c>
      <c r="AJ2712">
        <v>1</v>
      </c>
      <c r="AK2712">
        <v>0</v>
      </c>
      <c r="AL2712">
        <v>0</v>
      </c>
      <c r="AM2712">
        <v>100</v>
      </c>
      <c r="AN2712">
        <v>0</v>
      </c>
      <c r="AO2712">
        <v>0</v>
      </c>
      <c r="AP2712">
        <v>0</v>
      </c>
      <c r="AQ2712">
        <v>0</v>
      </c>
      <c r="AS2712">
        <v>0</v>
      </c>
      <c r="AT2712">
        <v>0</v>
      </c>
      <c r="AV2712">
        <v>0</v>
      </c>
      <c r="AW2712">
        <v>0</v>
      </c>
      <c r="AY2712">
        <v>0</v>
      </c>
      <c r="AZ2712">
        <v>0</v>
      </c>
      <c r="BA2712">
        <v>70</v>
      </c>
      <c r="BC2712" t="str">
        <f>T("0000000000000")</f>
        <v>0000000000000</v>
      </c>
      <c r="BE2712" t="str">
        <f>T("9791162589724")</f>
        <v>9791162589724</v>
      </c>
      <c r="BF2712" t="str">
        <f>T("N005100")</f>
        <v>N005100</v>
      </c>
      <c r="BG2712" t="str">
        <f>T("판타지 웹소설 &gt; 퓨전 판타지")</f>
        <v>판타지 웹소설 &gt; 퓨전 판타지</v>
      </c>
    </row>
    <row r="2713" spans="1:59">
      <c r="A2713" t="s">
        <v>60</v>
      </c>
      <c r="B2713" s="1">
        <v>46129</v>
      </c>
      <c r="C2713">
        <v>2378009513</v>
      </c>
      <c r="D2713">
        <v>2378031334</v>
      </c>
      <c r="E2713" t="str">
        <f>T("문과라도 안 죄송한 이세계로 감 410화")</f>
        <v>문과라도 안 죄송한 이세계로 감 410화</v>
      </c>
      <c r="F2713">
        <v>410</v>
      </c>
      <c r="G2713" t="str">
        <f>T("정수읠")</f>
        <v>정수읠</v>
      </c>
      <c r="J2713" t="str">
        <f>T("매드햇")</f>
        <v>매드햇</v>
      </c>
      <c r="K2713" t="str">
        <f>T("문과라도 안 죄송한 이세계로 감")</f>
        <v>문과라도 안 죄송한 이세계로 감</v>
      </c>
      <c r="L2713">
        <v>100</v>
      </c>
      <c r="M2713">
        <v>200</v>
      </c>
      <c r="N2713">
        <v>2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0</v>
      </c>
      <c r="AH2713">
        <v>0</v>
      </c>
      <c r="AI2713">
        <v>200</v>
      </c>
      <c r="AJ2713">
        <v>2</v>
      </c>
      <c r="AK2713">
        <v>0</v>
      </c>
      <c r="AL2713">
        <v>0</v>
      </c>
      <c r="AM2713">
        <v>200</v>
      </c>
      <c r="AN2713">
        <v>0</v>
      </c>
      <c r="AO2713">
        <v>0</v>
      </c>
      <c r="AP2713">
        <v>0</v>
      </c>
      <c r="AQ2713">
        <v>0</v>
      </c>
      <c r="AS2713">
        <v>0</v>
      </c>
      <c r="AT2713">
        <v>0</v>
      </c>
      <c r="AV2713">
        <v>0</v>
      </c>
      <c r="AW2713">
        <v>0</v>
      </c>
      <c r="AY2713">
        <v>0</v>
      </c>
      <c r="AZ2713">
        <v>0</v>
      </c>
      <c r="BA2713">
        <v>140</v>
      </c>
      <c r="BC2713" t="str">
        <f>T("0000000000000")</f>
        <v>0000000000000</v>
      </c>
      <c r="BE2713" t="str">
        <f>T("9791162589724")</f>
        <v>9791162589724</v>
      </c>
      <c r="BF2713" t="str">
        <f>T("N006589")</f>
        <v>N006589</v>
      </c>
      <c r="BG2713" t="str">
        <f>T("판타지 웹소설 &gt; 퓨전 판타지")</f>
        <v>판타지 웹소설 &gt; 퓨전 판타지</v>
      </c>
    </row>
    <row r="2714" spans="1:59">
      <c r="A2714" t="s">
        <v>60</v>
      </c>
      <c r="B2714" s="1">
        <v>46129</v>
      </c>
      <c r="C2714">
        <v>2378009513</v>
      </c>
      <c r="D2714">
        <v>2378031354</v>
      </c>
      <c r="E2714" t="str">
        <f>T("문과라도 안 죄송한 이세계로 감 411화")</f>
        <v>문과라도 안 죄송한 이세계로 감 411화</v>
      </c>
      <c r="F2714">
        <v>411</v>
      </c>
      <c r="G2714" t="str">
        <f>T("정수읠")</f>
        <v>정수읠</v>
      </c>
      <c r="J2714" t="str">
        <f>T("매드햇")</f>
        <v>매드햇</v>
      </c>
      <c r="K2714" t="str">
        <f>T("문과라도 안 죄송한 이세계로 감")</f>
        <v>문과라도 안 죄송한 이세계로 감</v>
      </c>
      <c r="L2714">
        <v>100</v>
      </c>
      <c r="M2714">
        <v>200</v>
      </c>
      <c r="N2714">
        <v>2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0</v>
      </c>
      <c r="AH2714">
        <v>0</v>
      </c>
      <c r="AI2714">
        <v>200</v>
      </c>
      <c r="AJ2714">
        <v>2</v>
      </c>
      <c r="AK2714">
        <v>0</v>
      </c>
      <c r="AL2714">
        <v>0</v>
      </c>
      <c r="AM2714">
        <v>200</v>
      </c>
      <c r="AN2714">
        <v>0</v>
      </c>
      <c r="AO2714">
        <v>0</v>
      </c>
      <c r="AP2714">
        <v>0</v>
      </c>
      <c r="AQ2714">
        <v>0</v>
      </c>
      <c r="AS2714">
        <v>0</v>
      </c>
      <c r="AT2714">
        <v>0</v>
      </c>
      <c r="AV2714">
        <v>0</v>
      </c>
      <c r="AW2714">
        <v>0</v>
      </c>
      <c r="AY2714">
        <v>0</v>
      </c>
      <c r="AZ2714">
        <v>0</v>
      </c>
      <c r="BA2714">
        <v>140</v>
      </c>
      <c r="BC2714" t="str">
        <f>T("0000000000000")</f>
        <v>0000000000000</v>
      </c>
      <c r="BE2714" t="str">
        <f>T("9791162589724")</f>
        <v>9791162589724</v>
      </c>
      <c r="BF2714" t="str">
        <f>T("N009330")</f>
        <v>N009330</v>
      </c>
      <c r="BG2714" t="str">
        <f>T("판타지 웹소설 &gt; 퓨전 판타지")</f>
        <v>판타지 웹소설 &gt; 퓨전 판타지</v>
      </c>
    </row>
    <row r="2715" spans="1:59">
      <c r="A2715" t="s">
        <v>60</v>
      </c>
      <c r="B2715" s="1">
        <v>46129</v>
      </c>
      <c r="C2715">
        <v>2378009513</v>
      </c>
      <c r="D2715">
        <v>2378031386</v>
      </c>
      <c r="E2715" t="str">
        <f>T("문과라도 안 죄송한 이세계로 감 412화")</f>
        <v>문과라도 안 죄송한 이세계로 감 412화</v>
      </c>
      <c r="F2715">
        <v>412</v>
      </c>
      <c r="G2715" t="str">
        <f>T("정수읠")</f>
        <v>정수읠</v>
      </c>
      <c r="J2715" t="str">
        <f>T("매드햇")</f>
        <v>매드햇</v>
      </c>
      <c r="K2715" t="str">
        <f>T("문과라도 안 죄송한 이세계로 감")</f>
        <v>문과라도 안 죄송한 이세계로 감</v>
      </c>
      <c r="L2715">
        <v>100</v>
      </c>
      <c r="M2715">
        <v>100</v>
      </c>
      <c r="N2715">
        <v>1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0</v>
      </c>
      <c r="AH2715">
        <v>0</v>
      </c>
      <c r="AI2715">
        <v>100</v>
      </c>
      <c r="AJ2715">
        <v>1</v>
      </c>
      <c r="AK2715">
        <v>0</v>
      </c>
      <c r="AL2715">
        <v>0</v>
      </c>
      <c r="AM2715">
        <v>100</v>
      </c>
      <c r="AN2715">
        <v>0</v>
      </c>
      <c r="AO2715">
        <v>0</v>
      </c>
      <c r="AP2715">
        <v>0</v>
      </c>
      <c r="AQ2715">
        <v>0</v>
      </c>
      <c r="AS2715">
        <v>0</v>
      </c>
      <c r="AT2715">
        <v>0</v>
      </c>
      <c r="AV2715">
        <v>0</v>
      </c>
      <c r="AW2715">
        <v>0</v>
      </c>
      <c r="AY2715">
        <v>0</v>
      </c>
      <c r="AZ2715">
        <v>0</v>
      </c>
      <c r="BA2715">
        <v>70</v>
      </c>
      <c r="BC2715" t="str">
        <f>T("0000000000000")</f>
        <v>0000000000000</v>
      </c>
      <c r="BE2715" t="str">
        <f>T("9791162589724")</f>
        <v>9791162589724</v>
      </c>
      <c r="BF2715" t="str">
        <f>T("N012176")</f>
        <v>N012176</v>
      </c>
      <c r="BG2715" t="str">
        <f>T("판타지 웹소설 &gt; 퓨전 판타지")</f>
        <v>판타지 웹소설 &gt; 퓨전 판타지</v>
      </c>
    </row>
    <row r="2716" spans="1:59">
      <c r="A2716" t="s">
        <v>60</v>
      </c>
      <c r="B2716" s="1">
        <v>46129</v>
      </c>
      <c r="C2716">
        <v>2378009513</v>
      </c>
      <c r="D2716">
        <v>2378031441</v>
      </c>
      <c r="E2716" t="str">
        <f>T("문과라도 안 죄송한 이세계로 감 413화")</f>
        <v>문과라도 안 죄송한 이세계로 감 413화</v>
      </c>
      <c r="F2716">
        <v>413</v>
      </c>
      <c r="G2716" t="str">
        <f>T("정수읠")</f>
        <v>정수읠</v>
      </c>
      <c r="J2716" t="str">
        <f>T("매드햇")</f>
        <v>매드햇</v>
      </c>
      <c r="K2716" t="str">
        <f>T("문과라도 안 죄송한 이세계로 감")</f>
        <v>문과라도 안 죄송한 이세계로 감</v>
      </c>
      <c r="L2716">
        <v>100</v>
      </c>
      <c r="M2716">
        <v>100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0</v>
      </c>
      <c r="AH2716">
        <v>0</v>
      </c>
      <c r="AI2716">
        <v>100</v>
      </c>
      <c r="AJ2716">
        <v>1</v>
      </c>
      <c r="AK2716">
        <v>0</v>
      </c>
      <c r="AL2716">
        <v>0</v>
      </c>
      <c r="AM2716">
        <v>100</v>
      </c>
      <c r="AN2716">
        <v>0</v>
      </c>
      <c r="AO2716">
        <v>0</v>
      </c>
      <c r="AP2716">
        <v>0</v>
      </c>
      <c r="AQ2716">
        <v>0</v>
      </c>
      <c r="AS2716">
        <v>0</v>
      </c>
      <c r="AT2716">
        <v>0</v>
      </c>
      <c r="AV2716">
        <v>0</v>
      </c>
      <c r="AW2716">
        <v>0</v>
      </c>
      <c r="AY2716">
        <v>0</v>
      </c>
      <c r="AZ2716">
        <v>0</v>
      </c>
      <c r="BA2716">
        <v>70</v>
      </c>
      <c r="BC2716" t="str">
        <f>T("0000000000000")</f>
        <v>0000000000000</v>
      </c>
      <c r="BE2716" t="str">
        <f>T("9791162589724")</f>
        <v>9791162589724</v>
      </c>
      <c r="BF2716" t="str">
        <f>T("N015629")</f>
        <v>N015629</v>
      </c>
      <c r="BG2716" t="str">
        <f>T("판타지 웹소설 &gt; 퓨전 판타지")</f>
        <v>판타지 웹소설 &gt; 퓨전 판타지</v>
      </c>
    </row>
    <row r="2717" spans="1:59">
      <c r="A2717" t="s">
        <v>60</v>
      </c>
      <c r="B2717" s="1">
        <v>46129</v>
      </c>
      <c r="C2717">
        <v>2378009513</v>
      </c>
      <c r="D2717">
        <v>2378031668</v>
      </c>
      <c r="E2717" t="str">
        <f>T("문과라도 안 죄송한 이세계로 감 414화")</f>
        <v>문과라도 안 죄송한 이세계로 감 414화</v>
      </c>
      <c r="F2717">
        <v>414</v>
      </c>
      <c r="G2717" t="str">
        <f>T("정수읠")</f>
        <v>정수읠</v>
      </c>
      <c r="J2717" t="str">
        <f>T("매드햇")</f>
        <v>매드햇</v>
      </c>
      <c r="K2717" t="str">
        <f>T("문과라도 안 죄송한 이세계로 감")</f>
        <v>문과라도 안 죄송한 이세계로 감</v>
      </c>
      <c r="L2717">
        <v>100</v>
      </c>
      <c r="M2717">
        <v>100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0</v>
      </c>
      <c r="AH2717">
        <v>0</v>
      </c>
      <c r="AI2717">
        <v>100</v>
      </c>
      <c r="AJ2717">
        <v>1</v>
      </c>
      <c r="AK2717">
        <v>0</v>
      </c>
      <c r="AL2717">
        <v>0</v>
      </c>
      <c r="AM2717">
        <v>100</v>
      </c>
      <c r="AN2717">
        <v>0</v>
      </c>
      <c r="AO2717">
        <v>0</v>
      </c>
      <c r="AP2717">
        <v>0</v>
      </c>
      <c r="AQ2717">
        <v>0</v>
      </c>
      <c r="AS2717">
        <v>0</v>
      </c>
      <c r="AT2717">
        <v>0</v>
      </c>
      <c r="AV2717">
        <v>0</v>
      </c>
      <c r="AW2717">
        <v>0</v>
      </c>
      <c r="AY2717">
        <v>0</v>
      </c>
      <c r="AZ2717">
        <v>0</v>
      </c>
      <c r="BA2717">
        <v>70</v>
      </c>
      <c r="BC2717" t="str">
        <f>T("0000000000000")</f>
        <v>0000000000000</v>
      </c>
      <c r="BE2717" t="str">
        <f>T("9791162589724")</f>
        <v>9791162589724</v>
      </c>
      <c r="BF2717" t="str">
        <f>T("N015649")</f>
        <v>N015649</v>
      </c>
      <c r="BG2717" t="str">
        <f>T("판타지 웹소설 &gt; 퓨전 판타지")</f>
        <v>판타지 웹소설 &gt; 퓨전 판타지</v>
      </c>
    </row>
    <row r="2718" spans="1:59">
      <c r="A2718" t="s">
        <v>60</v>
      </c>
      <c r="B2718" s="1">
        <v>46129</v>
      </c>
      <c r="C2718">
        <v>2378009513</v>
      </c>
      <c r="D2718">
        <v>2378031690</v>
      </c>
      <c r="E2718" t="str">
        <f>T("문과라도 안 죄송한 이세계로 감 415화")</f>
        <v>문과라도 안 죄송한 이세계로 감 415화</v>
      </c>
      <c r="F2718">
        <v>415</v>
      </c>
      <c r="G2718" t="str">
        <f>T("정수읠")</f>
        <v>정수읠</v>
      </c>
      <c r="J2718" t="str">
        <f>T("매드햇")</f>
        <v>매드햇</v>
      </c>
      <c r="K2718" t="str">
        <f>T("문과라도 안 죄송한 이세계로 감")</f>
        <v>문과라도 안 죄송한 이세계로 감</v>
      </c>
      <c r="L2718">
        <v>100</v>
      </c>
      <c r="M2718">
        <v>100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0</v>
      </c>
      <c r="AH2718">
        <v>0</v>
      </c>
      <c r="AI2718">
        <v>100</v>
      </c>
      <c r="AJ2718">
        <v>1</v>
      </c>
      <c r="AK2718">
        <v>0</v>
      </c>
      <c r="AL2718">
        <v>0</v>
      </c>
      <c r="AM2718">
        <v>100</v>
      </c>
      <c r="AN2718">
        <v>0</v>
      </c>
      <c r="AO2718">
        <v>0</v>
      </c>
      <c r="AP2718">
        <v>0</v>
      </c>
      <c r="AQ2718">
        <v>0</v>
      </c>
      <c r="AS2718">
        <v>0</v>
      </c>
      <c r="AT2718">
        <v>0</v>
      </c>
      <c r="AV2718">
        <v>0</v>
      </c>
      <c r="AW2718">
        <v>0</v>
      </c>
      <c r="AY2718">
        <v>0</v>
      </c>
      <c r="AZ2718">
        <v>0</v>
      </c>
      <c r="BA2718">
        <v>70</v>
      </c>
      <c r="BC2718" t="str">
        <f>T("0000000000000")</f>
        <v>0000000000000</v>
      </c>
      <c r="BE2718" t="str">
        <f>T("9791162589724")</f>
        <v>9791162589724</v>
      </c>
      <c r="BF2718" t="str">
        <f>T("N017629")</f>
        <v>N017629</v>
      </c>
      <c r="BG2718" t="str">
        <f>T("판타지 웹소설 &gt; 퓨전 판타지")</f>
        <v>판타지 웹소설 &gt; 퓨전 판타지</v>
      </c>
    </row>
    <row r="2719" spans="1:59">
      <c r="A2719" t="s">
        <v>60</v>
      </c>
      <c r="B2719" s="1">
        <v>46129</v>
      </c>
      <c r="C2719">
        <v>2378009513</v>
      </c>
      <c r="D2719">
        <v>2378031723</v>
      </c>
      <c r="E2719" t="str">
        <f>T("문과라도 안 죄송한 이세계로 감 416화")</f>
        <v>문과라도 안 죄송한 이세계로 감 416화</v>
      </c>
      <c r="F2719">
        <v>416</v>
      </c>
      <c r="G2719" t="str">
        <f>T("정수읠")</f>
        <v>정수읠</v>
      </c>
      <c r="J2719" t="str">
        <f>T("매드햇")</f>
        <v>매드햇</v>
      </c>
      <c r="K2719" t="str">
        <f>T("문과라도 안 죄송한 이세계로 감")</f>
        <v>문과라도 안 죄송한 이세계로 감</v>
      </c>
      <c r="L2719">
        <v>100</v>
      </c>
      <c r="M2719">
        <v>100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0</v>
      </c>
      <c r="AH2719">
        <v>0</v>
      </c>
      <c r="AI2719">
        <v>100</v>
      </c>
      <c r="AJ2719">
        <v>1</v>
      </c>
      <c r="AK2719">
        <v>0</v>
      </c>
      <c r="AL2719">
        <v>0</v>
      </c>
      <c r="AM2719">
        <v>100</v>
      </c>
      <c r="AN2719">
        <v>0</v>
      </c>
      <c r="AO2719">
        <v>0</v>
      </c>
      <c r="AP2719">
        <v>0</v>
      </c>
      <c r="AQ2719">
        <v>0</v>
      </c>
      <c r="AS2719">
        <v>0</v>
      </c>
      <c r="AT2719">
        <v>0</v>
      </c>
      <c r="AV2719">
        <v>0</v>
      </c>
      <c r="AW2719">
        <v>0</v>
      </c>
      <c r="AY2719">
        <v>0</v>
      </c>
      <c r="AZ2719">
        <v>0</v>
      </c>
      <c r="BA2719">
        <v>70</v>
      </c>
      <c r="BC2719" t="str">
        <f>T("0000000000000")</f>
        <v>0000000000000</v>
      </c>
      <c r="BE2719" t="str">
        <f>T("9791162589724")</f>
        <v>9791162589724</v>
      </c>
      <c r="BF2719" t="str">
        <f>T("N021741")</f>
        <v>N021741</v>
      </c>
      <c r="BG2719" t="str">
        <f>T("판타지 웹소설 &gt; 퓨전 판타지")</f>
        <v>판타지 웹소설 &gt; 퓨전 판타지</v>
      </c>
    </row>
    <row r="2720" spans="1:59">
      <c r="A2720" t="s">
        <v>60</v>
      </c>
      <c r="B2720" s="1">
        <v>46129</v>
      </c>
      <c r="C2720">
        <v>2378009513</v>
      </c>
      <c r="D2720">
        <v>2378032226</v>
      </c>
      <c r="E2720" t="str">
        <f>T("문과라도 안 죄송한 이세계로 감 428화")</f>
        <v>문과라도 안 죄송한 이세계로 감 428화</v>
      </c>
      <c r="F2720">
        <v>428</v>
      </c>
      <c r="G2720" t="str">
        <f>T("정수읠")</f>
        <v>정수읠</v>
      </c>
      <c r="J2720" t="str">
        <f>T("매드햇")</f>
        <v>매드햇</v>
      </c>
      <c r="K2720" t="str">
        <f>T("문과라도 안 죄송한 이세계로 감")</f>
        <v>문과라도 안 죄송한 이세계로 감</v>
      </c>
      <c r="L2720">
        <v>100</v>
      </c>
      <c r="M2720">
        <v>100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0</v>
      </c>
      <c r="AH2720">
        <v>0</v>
      </c>
      <c r="AI2720">
        <v>100</v>
      </c>
      <c r="AJ2720">
        <v>1</v>
      </c>
      <c r="AK2720">
        <v>0</v>
      </c>
      <c r="AL2720">
        <v>0</v>
      </c>
      <c r="AM2720">
        <v>100</v>
      </c>
      <c r="AN2720">
        <v>0</v>
      </c>
      <c r="AO2720">
        <v>0</v>
      </c>
      <c r="AP2720">
        <v>0</v>
      </c>
      <c r="AQ2720">
        <v>0</v>
      </c>
      <c r="AS2720">
        <v>0</v>
      </c>
      <c r="AT2720">
        <v>0</v>
      </c>
      <c r="AV2720">
        <v>0</v>
      </c>
      <c r="AW2720">
        <v>0</v>
      </c>
      <c r="AY2720">
        <v>0</v>
      </c>
      <c r="AZ2720">
        <v>0</v>
      </c>
      <c r="BA2720">
        <v>70</v>
      </c>
      <c r="BC2720" t="str">
        <f>T("0000000000000")</f>
        <v>0000000000000</v>
      </c>
      <c r="BE2720" t="str">
        <f>T("9791162589724")</f>
        <v>9791162589724</v>
      </c>
      <c r="BF2720" t="str">
        <f>T("N036618")</f>
        <v>N036618</v>
      </c>
      <c r="BG2720" t="str">
        <f>T("판타지 웹소설 &gt; 퓨전 판타지")</f>
        <v>판타지 웹소설 &gt; 퓨전 판타지</v>
      </c>
    </row>
    <row r="2721" spans="1:59">
      <c r="A2721" t="s">
        <v>60</v>
      </c>
      <c r="B2721" s="1">
        <v>46129</v>
      </c>
      <c r="C2721">
        <v>2378009513</v>
      </c>
      <c r="D2721">
        <v>2378033015</v>
      </c>
      <c r="E2721" t="str">
        <f>T("문과라도 안 죄송한 이세계로 감 437화")</f>
        <v>문과라도 안 죄송한 이세계로 감 437화</v>
      </c>
      <c r="F2721">
        <v>437</v>
      </c>
      <c r="G2721" t="str">
        <f>T("정수읠")</f>
        <v>정수읠</v>
      </c>
      <c r="J2721" t="str">
        <f>T("매드햇")</f>
        <v>매드햇</v>
      </c>
      <c r="K2721" t="str">
        <f>T("문과라도 안 죄송한 이세계로 감")</f>
        <v>문과라도 안 죄송한 이세계로 감</v>
      </c>
      <c r="L2721">
        <v>100</v>
      </c>
      <c r="M2721">
        <v>100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0</v>
      </c>
      <c r="AH2721">
        <v>0</v>
      </c>
      <c r="AI2721">
        <v>100</v>
      </c>
      <c r="AJ2721">
        <v>1</v>
      </c>
      <c r="AK2721">
        <v>0</v>
      </c>
      <c r="AL2721">
        <v>0</v>
      </c>
      <c r="AM2721">
        <v>100</v>
      </c>
      <c r="AN2721">
        <v>0</v>
      </c>
      <c r="AO2721">
        <v>0</v>
      </c>
      <c r="AP2721">
        <v>0</v>
      </c>
      <c r="AQ2721">
        <v>0</v>
      </c>
      <c r="AS2721">
        <v>0</v>
      </c>
      <c r="AT2721">
        <v>0</v>
      </c>
      <c r="AV2721">
        <v>0</v>
      </c>
      <c r="AW2721">
        <v>0</v>
      </c>
      <c r="AY2721">
        <v>0</v>
      </c>
      <c r="AZ2721">
        <v>0</v>
      </c>
      <c r="BA2721">
        <v>70</v>
      </c>
      <c r="BC2721" t="str">
        <f>T("0000000000000")</f>
        <v>0000000000000</v>
      </c>
      <c r="BE2721" t="str">
        <f>T("9791162589724")</f>
        <v>9791162589724</v>
      </c>
      <c r="BF2721" t="str">
        <f>T("N049020")</f>
        <v>N049020</v>
      </c>
      <c r="BG2721" t="str">
        <f>T("판타지 웹소설 &gt; 퓨전 판타지")</f>
        <v>판타지 웹소설 &gt; 퓨전 판타지</v>
      </c>
    </row>
    <row r="2722" spans="1:59">
      <c r="A2722" t="s">
        <v>60</v>
      </c>
      <c r="B2722" s="1">
        <v>46129</v>
      </c>
      <c r="C2722">
        <v>2378009513</v>
      </c>
      <c r="D2722">
        <v>2378034085</v>
      </c>
      <c r="E2722" t="str">
        <f>T("문과라도 안 죄송한 이세계로 감 457화")</f>
        <v>문과라도 안 죄송한 이세계로 감 457화</v>
      </c>
      <c r="F2722">
        <v>457</v>
      </c>
      <c r="G2722" t="str">
        <f>T("정수읠")</f>
        <v>정수읠</v>
      </c>
      <c r="J2722" t="str">
        <f>T("매드햇")</f>
        <v>매드햇</v>
      </c>
      <c r="K2722" t="str">
        <f>T("문과라도 안 죄송한 이세계로 감")</f>
        <v>문과라도 안 죄송한 이세계로 감</v>
      </c>
      <c r="L2722">
        <v>100</v>
      </c>
      <c r="M2722">
        <v>100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0</v>
      </c>
      <c r="AH2722">
        <v>0</v>
      </c>
      <c r="AI2722">
        <v>100</v>
      </c>
      <c r="AJ2722">
        <v>1</v>
      </c>
      <c r="AK2722">
        <v>0</v>
      </c>
      <c r="AL2722">
        <v>0</v>
      </c>
      <c r="AM2722">
        <v>100</v>
      </c>
      <c r="AN2722">
        <v>0</v>
      </c>
      <c r="AO2722">
        <v>0</v>
      </c>
      <c r="AP2722">
        <v>0</v>
      </c>
      <c r="AQ2722">
        <v>0</v>
      </c>
      <c r="AS2722">
        <v>0</v>
      </c>
      <c r="AT2722">
        <v>0</v>
      </c>
      <c r="AV2722">
        <v>0</v>
      </c>
      <c r="AW2722">
        <v>0</v>
      </c>
      <c r="AY2722">
        <v>0</v>
      </c>
      <c r="AZ2722">
        <v>0</v>
      </c>
      <c r="BA2722">
        <v>70</v>
      </c>
      <c r="BC2722" t="str">
        <f>T("0000000000000")</f>
        <v>0000000000000</v>
      </c>
      <c r="BE2722" t="str">
        <f>T("9791162589724")</f>
        <v>9791162589724</v>
      </c>
      <c r="BF2722" t="str">
        <f>T("N089779")</f>
        <v>N089779</v>
      </c>
      <c r="BG2722" t="str">
        <f>T("판타지 웹소설 &gt; 퓨전 판타지")</f>
        <v>판타지 웹소설 &gt; 퓨전 판타지</v>
      </c>
    </row>
    <row r="2723" spans="1:59">
      <c r="A2723" t="s">
        <v>60</v>
      </c>
      <c r="B2723" s="1">
        <v>46129</v>
      </c>
      <c r="C2723">
        <v>2378009513</v>
      </c>
      <c r="D2723">
        <v>2378037469</v>
      </c>
      <c r="E2723" t="str">
        <f>T("문과라도 안 죄송한 이세계로 감 485화")</f>
        <v>문과라도 안 죄송한 이세계로 감 485화</v>
      </c>
      <c r="F2723">
        <v>485</v>
      </c>
      <c r="G2723" t="str">
        <f>T("정수읠")</f>
        <v>정수읠</v>
      </c>
      <c r="J2723" t="str">
        <f>T("매드햇")</f>
        <v>매드햇</v>
      </c>
      <c r="K2723" t="str">
        <f>T("문과라도 안 죄송한 이세계로 감")</f>
        <v>문과라도 안 죄송한 이세계로 감</v>
      </c>
      <c r="L2723">
        <v>100</v>
      </c>
      <c r="M2723">
        <v>100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0</v>
      </c>
      <c r="AH2723">
        <v>0</v>
      </c>
      <c r="AI2723">
        <v>100</v>
      </c>
      <c r="AJ2723">
        <v>1</v>
      </c>
      <c r="AK2723">
        <v>0</v>
      </c>
      <c r="AL2723">
        <v>0</v>
      </c>
      <c r="AM2723">
        <v>100</v>
      </c>
      <c r="AN2723">
        <v>0</v>
      </c>
      <c r="AO2723">
        <v>0</v>
      </c>
      <c r="AP2723">
        <v>0</v>
      </c>
      <c r="AQ2723">
        <v>0</v>
      </c>
      <c r="AS2723">
        <v>0</v>
      </c>
      <c r="AT2723">
        <v>0</v>
      </c>
      <c r="AV2723">
        <v>0</v>
      </c>
      <c r="AW2723">
        <v>0</v>
      </c>
      <c r="AY2723">
        <v>0</v>
      </c>
      <c r="AZ2723">
        <v>0</v>
      </c>
      <c r="BA2723">
        <v>70</v>
      </c>
      <c r="BC2723" t="str">
        <f>T("0000000000000")</f>
        <v>0000000000000</v>
      </c>
      <c r="BE2723" t="str">
        <f>T("9791162589724")</f>
        <v>9791162589724</v>
      </c>
      <c r="BF2723" t="str">
        <f>T("N129465")</f>
        <v>N129465</v>
      </c>
      <c r="BG2723" t="str">
        <f>T("판타지 웹소설 &gt; 퓨전 판타지")</f>
        <v>판타지 웹소설 &gt; 퓨전 판타지</v>
      </c>
    </row>
    <row r="2724" spans="1:59">
      <c r="A2724" t="s">
        <v>60</v>
      </c>
      <c r="B2724" s="1">
        <v>46129</v>
      </c>
      <c r="C2724">
        <v>2378009513</v>
      </c>
      <c r="D2724">
        <v>2378037594</v>
      </c>
      <c r="E2724" t="str">
        <f>T("문과라도 안 죄송한 이세계로 감 486화")</f>
        <v>문과라도 안 죄송한 이세계로 감 486화</v>
      </c>
      <c r="F2724">
        <v>486</v>
      </c>
      <c r="G2724" t="str">
        <f>T("정수읠")</f>
        <v>정수읠</v>
      </c>
      <c r="J2724" t="str">
        <f>T("매드햇")</f>
        <v>매드햇</v>
      </c>
      <c r="K2724" t="str">
        <f>T("문과라도 안 죄송한 이세계로 감")</f>
        <v>문과라도 안 죄송한 이세계로 감</v>
      </c>
      <c r="L2724">
        <v>100</v>
      </c>
      <c r="M2724">
        <v>100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0</v>
      </c>
      <c r="AH2724">
        <v>0</v>
      </c>
      <c r="AI2724">
        <v>100</v>
      </c>
      <c r="AJ2724">
        <v>1</v>
      </c>
      <c r="AK2724">
        <v>0</v>
      </c>
      <c r="AL2724">
        <v>0</v>
      </c>
      <c r="AM2724">
        <v>100</v>
      </c>
      <c r="AN2724">
        <v>0</v>
      </c>
      <c r="AO2724">
        <v>0</v>
      </c>
      <c r="AP2724">
        <v>0</v>
      </c>
      <c r="AQ2724">
        <v>0</v>
      </c>
      <c r="AS2724">
        <v>0</v>
      </c>
      <c r="AT2724">
        <v>0</v>
      </c>
      <c r="AV2724">
        <v>0</v>
      </c>
      <c r="AW2724">
        <v>0</v>
      </c>
      <c r="AY2724">
        <v>0</v>
      </c>
      <c r="AZ2724">
        <v>0</v>
      </c>
      <c r="BA2724">
        <v>70</v>
      </c>
      <c r="BC2724" t="str">
        <f>T("0000000000000")</f>
        <v>0000000000000</v>
      </c>
      <c r="BE2724" t="str">
        <f>T("9791162589724")</f>
        <v>9791162589724</v>
      </c>
      <c r="BF2724" t="str">
        <f>T("N129466")</f>
        <v>N129466</v>
      </c>
      <c r="BG2724" t="str">
        <f>T("판타지 웹소설 &gt; 퓨전 판타지")</f>
        <v>판타지 웹소설 &gt; 퓨전 판타지</v>
      </c>
    </row>
    <row r="2725" spans="1:59">
      <c r="A2725" t="s">
        <v>60</v>
      </c>
      <c r="B2725" s="1">
        <v>46130</v>
      </c>
      <c r="C2725">
        <v>2378009513</v>
      </c>
      <c r="D2725">
        <v>2378009513</v>
      </c>
      <c r="E2725" t="str">
        <f>T("문과라도 안 죄송한 이세계로 감 1화")</f>
        <v>문과라도 안 죄송한 이세계로 감 1화</v>
      </c>
      <c r="F2725">
        <v>1</v>
      </c>
      <c r="G2725" t="str">
        <f>T("정수읠")</f>
        <v>정수읠</v>
      </c>
      <c r="J2725" t="str">
        <f>T("매드햇")</f>
        <v>매드햇</v>
      </c>
      <c r="K2725" t="str">
        <f>T("문과라도 안 죄송한 이세계로 감")</f>
        <v>문과라도 안 죄송한 이세계로 감</v>
      </c>
      <c r="L2725">
        <v>0</v>
      </c>
      <c r="M2725">
        <v>0</v>
      </c>
      <c r="N2725">
        <v>0</v>
      </c>
      <c r="O2725">
        <v>5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0</v>
      </c>
      <c r="AH2725">
        <v>0</v>
      </c>
      <c r="AI2725">
        <v>0</v>
      </c>
      <c r="AJ2725">
        <v>5</v>
      </c>
      <c r="AK2725">
        <v>0</v>
      </c>
      <c r="AL2725">
        <v>0</v>
      </c>
      <c r="AM2725">
        <v>0</v>
      </c>
      <c r="AN2725">
        <v>0</v>
      </c>
      <c r="AO2725">
        <v>0</v>
      </c>
      <c r="AP2725">
        <v>0</v>
      </c>
      <c r="AQ2725">
        <v>0</v>
      </c>
      <c r="AS2725">
        <v>0</v>
      </c>
      <c r="AT2725">
        <v>0</v>
      </c>
      <c r="AV2725">
        <v>0</v>
      </c>
      <c r="AW2725">
        <v>0</v>
      </c>
      <c r="AY2725">
        <v>0</v>
      </c>
      <c r="AZ2725">
        <v>0</v>
      </c>
      <c r="BA2725">
        <v>0</v>
      </c>
      <c r="BE2725" t="str">
        <f>T("9791162589724")</f>
        <v>9791162589724</v>
      </c>
      <c r="BF2725" t="str">
        <f>T("E448237")</f>
        <v>E448237</v>
      </c>
      <c r="BG2725" t="str">
        <f>T("판타지 웹소설 &gt; 퓨전 판타지")</f>
        <v>판타지 웹소설 &gt; 퓨전 판타지</v>
      </c>
    </row>
    <row r="2726" spans="1:59">
      <c r="A2726" t="s">
        <v>60</v>
      </c>
      <c r="B2726" s="1">
        <v>46130</v>
      </c>
      <c r="C2726">
        <v>2378009513</v>
      </c>
      <c r="D2726">
        <v>2378015379</v>
      </c>
      <c r="E2726" t="str">
        <f>T("문과라도 안 죄송한 이세계로 감 284화")</f>
        <v>문과라도 안 죄송한 이세계로 감 284화</v>
      </c>
      <c r="F2726">
        <v>284</v>
      </c>
      <c r="G2726" t="str">
        <f>T("정수읠")</f>
        <v>정수읠</v>
      </c>
      <c r="J2726" t="str">
        <f>T("매드햇")</f>
        <v>매드햇</v>
      </c>
      <c r="K2726" t="str">
        <f>T("문과라도 안 죄송한 이세계로 감")</f>
        <v>문과라도 안 죄송한 이세계로 감</v>
      </c>
      <c r="L2726">
        <v>100</v>
      </c>
      <c r="M2726">
        <v>100</v>
      </c>
      <c r="N2726">
        <v>1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0</v>
      </c>
      <c r="AH2726">
        <v>0</v>
      </c>
      <c r="AI2726">
        <v>100</v>
      </c>
      <c r="AJ2726">
        <v>1</v>
      </c>
      <c r="AK2726">
        <v>0</v>
      </c>
      <c r="AL2726">
        <v>0</v>
      </c>
      <c r="AM2726">
        <v>100</v>
      </c>
      <c r="AN2726">
        <v>0</v>
      </c>
      <c r="AO2726">
        <v>0</v>
      </c>
      <c r="AP2726">
        <v>0</v>
      </c>
      <c r="AQ2726">
        <v>0</v>
      </c>
      <c r="AS2726">
        <v>0</v>
      </c>
      <c r="AT2726">
        <v>0</v>
      </c>
      <c r="AV2726">
        <v>0</v>
      </c>
      <c r="AW2726">
        <v>0</v>
      </c>
      <c r="AY2726">
        <v>0</v>
      </c>
      <c r="AZ2726">
        <v>0</v>
      </c>
      <c r="BA2726">
        <v>70</v>
      </c>
      <c r="BC2726" t="str">
        <f>T("0000000000000")</f>
        <v>0000000000000</v>
      </c>
      <c r="BE2726" t="str">
        <f>T("9791162589724")</f>
        <v>9791162589724</v>
      </c>
      <c r="BF2726" t="str">
        <f>T("E747497")</f>
        <v>E747497</v>
      </c>
      <c r="BG2726" t="str">
        <f>T("판타지 웹소설 &gt; 퓨전 판타지")</f>
        <v>판타지 웹소설 &gt; 퓨전 판타지</v>
      </c>
    </row>
    <row r="2727" spans="1:59">
      <c r="A2727" t="s">
        <v>60</v>
      </c>
      <c r="B2727" s="1">
        <v>46130</v>
      </c>
      <c r="C2727">
        <v>2378009513</v>
      </c>
      <c r="D2727">
        <v>2378015380</v>
      </c>
      <c r="E2727" t="str">
        <f>T("문과라도 안 죄송한 이세계로 감 285화")</f>
        <v>문과라도 안 죄송한 이세계로 감 285화</v>
      </c>
      <c r="F2727">
        <v>285</v>
      </c>
      <c r="G2727" t="str">
        <f>T("정수읠")</f>
        <v>정수읠</v>
      </c>
      <c r="J2727" t="str">
        <f>T("매드햇")</f>
        <v>매드햇</v>
      </c>
      <c r="K2727" t="str">
        <f>T("문과라도 안 죄송한 이세계로 감")</f>
        <v>문과라도 안 죄송한 이세계로 감</v>
      </c>
      <c r="L2727">
        <v>100</v>
      </c>
      <c r="M2727">
        <v>200</v>
      </c>
      <c r="N2727">
        <v>2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0</v>
      </c>
      <c r="AH2727">
        <v>0</v>
      </c>
      <c r="AI2727">
        <v>200</v>
      </c>
      <c r="AJ2727">
        <v>2</v>
      </c>
      <c r="AK2727">
        <v>0</v>
      </c>
      <c r="AL2727">
        <v>0</v>
      </c>
      <c r="AM2727">
        <v>200</v>
      </c>
      <c r="AN2727">
        <v>0</v>
      </c>
      <c r="AO2727">
        <v>0</v>
      </c>
      <c r="AP2727">
        <v>0</v>
      </c>
      <c r="AQ2727">
        <v>0</v>
      </c>
      <c r="AS2727">
        <v>0</v>
      </c>
      <c r="AT2727">
        <v>0</v>
      </c>
      <c r="AV2727">
        <v>0</v>
      </c>
      <c r="AW2727">
        <v>0</v>
      </c>
      <c r="AY2727">
        <v>0</v>
      </c>
      <c r="AZ2727">
        <v>0</v>
      </c>
      <c r="BA2727">
        <v>140</v>
      </c>
      <c r="BC2727" t="str">
        <f>T("0000000000000")</f>
        <v>0000000000000</v>
      </c>
      <c r="BE2727" t="str">
        <f>T("9791162589724")</f>
        <v>9791162589724</v>
      </c>
      <c r="BF2727" t="str">
        <f>T("E747498")</f>
        <v>E747498</v>
      </c>
      <c r="BG2727" t="str">
        <f>T("판타지 웹소설 &gt; 퓨전 판타지")</f>
        <v>판타지 웹소설 &gt; 퓨전 판타지</v>
      </c>
    </row>
    <row r="2728" spans="1:59">
      <c r="A2728" t="s">
        <v>60</v>
      </c>
      <c r="B2728" s="1">
        <v>46130</v>
      </c>
      <c r="C2728">
        <v>2378009513</v>
      </c>
      <c r="D2728">
        <v>2378015549</v>
      </c>
      <c r="E2728" t="str">
        <f>T("문과라도 안 죄송한 이세계로 감 286화")</f>
        <v>문과라도 안 죄송한 이세계로 감 286화</v>
      </c>
      <c r="F2728">
        <v>286</v>
      </c>
      <c r="G2728" t="str">
        <f>T("정수읠")</f>
        <v>정수읠</v>
      </c>
      <c r="J2728" t="str">
        <f>T("매드햇")</f>
        <v>매드햇</v>
      </c>
      <c r="K2728" t="str">
        <f>T("문과라도 안 죄송한 이세계로 감")</f>
        <v>문과라도 안 죄송한 이세계로 감</v>
      </c>
      <c r="L2728">
        <v>100</v>
      </c>
      <c r="M2728">
        <v>200</v>
      </c>
      <c r="N2728">
        <v>2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0</v>
      </c>
      <c r="AH2728">
        <v>0</v>
      </c>
      <c r="AI2728">
        <v>200</v>
      </c>
      <c r="AJ2728">
        <v>2</v>
      </c>
      <c r="AK2728">
        <v>0</v>
      </c>
      <c r="AL2728">
        <v>0</v>
      </c>
      <c r="AM2728">
        <v>200</v>
      </c>
      <c r="AN2728">
        <v>0</v>
      </c>
      <c r="AO2728">
        <v>0</v>
      </c>
      <c r="AP2728">
        <v>0</v>
      </c>
      <c r="AQ2728">
        <v>0</v>
      </c>
      <c r="AS2728">
        <v>0</v>
      </c>
      <c r="AT2728">
        <v>0</v>
      </c>
      <c r="AV2728">
        <v>0</v>
      </c>
      <c r="AW2728">
        <v>0</v>
      </c>
      <c r="AY2728">
        <v>0</v>
      </c>
      <c r="AZ2728">
        <v>0</v>
      </c>
      <c r="BA2728">
        <v>140</v>
      </c>
      <c r="BC2728" t="str">
        <f>T("0000000000000")</f>
        <v>0000000000000</v>
      </c>
      <c r="BE2728" t="str">
        <f>T("9791162589724")</f>
        <v>9791162589724</v>
      </c>
      <c r="BF2728" t="str">
        <f>T("E749030")</f>
        <v>E749030</v>
      </c>
      <c r="BG2728" t="str">
        <f>T("판타지 웹소설 &gt; 퓨전 판타지")</f>
        <v>판타지 웹소설 &gt; 퓨전 판타지</v>
      </c>
    </row>
    <row r="2729" spans="1:59">
      <c r="A2729" t="s">
        <v>60</v>
      </c>
      <c r="B2729" s="1">
        <v>46130</v>
      </c>
      <c r="C2729">
        <v>2378009513</v>
      </c>
      <c r="D2729">
        <v>2378015550</v>
      </c>
      <c r="E2729" t="str">
        <f>T("문과라도 안 죄송한 이세계로 감 287화")</f>
        <v>문과라도 안 죄송한 이세계로 감 287화</v>
      </c>
      <c r="F2729">
        <v>287</v>
      </c>
      <c r="G2729" t="str">
        <f>T("정수읠")</f>
        <v>정수읠</v>
      </c>
      <c r="J2729" t="str">
        <f>T("매드햇")</f>
        <v>매드햇</v>
      </c>
      <c r="K2729" t="str">
        <f>T("문과라도 안 죄송한 이세계로 감")</f>
        <v>문과라도 안 죄송한 이세계로 감</v>
      </c>
      <c r="L2729">
        <v>100</v>
      </c>
      <c r="M2729">
        <v>200</v>
      </c>
      <c r="N2729">
        <v>2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0</v>
      </c>
      <c r="AH2729">
        <v>0</v>
      </c>
      <c r="AI2729">
        <v>200</v>
      </c>
      <c r="AJ2729">
        <v>2</v>
      </c>
      <c r="AK2729">
        <v>0</v>
      </c>
      <c r="AL2729">
        <v>0</v>
      </c>
      <c r="AM2729">
        <v>200</v>
      </c>
      <c r="AN2729">
        <v>0</v>
      </c>
      <c r="AO2729">
        <v>0</v>
      </c>
      <c r="AP2729">
        <v>0</v>
      </c>
      <c r="AQ2729">
        <v>0</v>
      </c>
      <c r="AS2729">
        <v>0</v>
      </c>
      <c r="AT2729">
        <v>0</v>
      </c>
      <c r="AV2729">
        <v>0</v>
      </c>
      <c r="AW2729">
        <v>0</v>
      </c>
      <c r="AY2729">
        <v>0</v>
      </c>
      <c r="AZ2729">
        <v>0</v>
      </c>
      <c r="BA2729">
        <v>140</v>
      </c>
      <c r="BC2729" t="str">
        <f>T("0000000000000")</f>
        <v>0000000000000</v>
      </c>
      <c r="BE2729" t="str">
        <f>T("9791162589724")</f>
        <v>9791162589724</v>
      </c>
      <c r="BF2729" t="str">
        <f>T("E749031")</f>
        <v>E749031</v>
      </c>
      <c r="BG2729" t="str">
        <f>T("판타지 웹소설 &gt; 퓨전 판타지")</f>
        <v>판타지 웹소설 &gt; 퓨전 판타지</v>
      </c>
    </row>
    <row r="2730" spans="1:59">
      <c r="A2730" t="s">
        <v>60</v>
      </c>
      <c r="B2730" s="1">
        <v>46130</v>
      </c>
      <c r="C2730">
        <v>2378009513</v>
      </c>
      <c r="D2730">
        <v>2378015551</v>
      </c>
      <c r="E2730" t="str">
        <f>T("문과라도 안 죄송한 이세계로 감 288화")</f>
        <v>문과라도 안 죄송한 이세계로 감 288화</v>
      </c>
      <c r="F2730">
        <v>288</v>
      </c>
      <c r="G2730" t="str">
        <f>T("정수읠")</f>
        <v>정수읠</v>
      </c>
      <c r="J2730" t="str">
        <f>T("매드햇")</f>
        <v>매드햇</v>
      </c>
      <c r="K2730" t="str">
        <f>T("문과라도 안 죄송한 이세계로 감")</f>
        <v>문과라도 안 죄송한 이세계로 감</v>
      </c>
      <c r="L2730">
        <v>100</v>
      </c>
      <c r="M2730">
        <v>200</v>
      </c>
      <c r="N2730">
        <v>2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0</v>
      </c>
      <c r="AH2730">
        <v>0</v>
      </c>
      <c r="AI2730">
        <v>200</v>
      </c>
      <c r="AJ2730">
        <v>2</v>
      </c>
      <c r="AK2730">
        <v>0</v>
      </c>
      <c r="AL2730">
        <v>0</v>
      </c>
      <c r="AM2730">
        <v>200</v>
      </c>
      <c r="AN2730">
        <v>0</v>
      </c>
      <c r="AO2730">
        <v>0</v>
      </c>
      <c r="AP2730">
        <v>0</v>
      </c>
      <c r="AQ2730">
        <v>0</v>
      </c>
      <c r="AS2730">
        <v>0</v>
      </c>
      <c r="AT2730">
        <v>0</v>
      </c>
      <c r="AV2730">
        <v>0</v>
      </c>
      <c r="AW2730">
        <v>0</v>
      </c>
      <c r="AY2730">
        <v>0</v>
      </c>
      <c r="AZ2730">
        <v>0</v>
      </c>
      <c r="BA2730">
        <v>140</v>
      </c>
      <c r="BC2730" t="str">
        <f>T("0000000000000")</f>
        <v>0000000000000</v>
      </c>
      <c r="BE2730" t="str">
        <f>T("9791162589724")</f>
        <v>9791162589724</v>
      </c>
      <c r="BF2730" t="str">
        <f>T("E749032")</f>
        <v>E749032</v>
      </c>
      <c r="BG2730" t="str">
        <f>T("판타지 웹소설 &gt; 퓨전 판타지")</f>
        <v>판타지 웹소설 &gt; 퓨전 판타지</v>
      </c>
    </row>
    <row r="2731" spans="1:59">
      <c r="A2731" t="s">
        <v>60</v>
      </c>
      <c r="B2731" s="1">
        <v>46130</v>
      </c>
      <c r="C2731">
        <v>2378009513</v>
      </c>
      <c r="D2731">
        <v>2378015552</v>
      </c>
      <c r="E2731" t="str">
        <f>T("문과라도 안 죄송한 이세계로 감 289화")</f>
        <v>문과라도 안 죄송한 이세계로 감 289화</v>
      </c>
      <c r="F2731">
        <v>289</v>
      </c>
      <c r="G2731" t="str">
        <f>T("정수읠")</f>
        <v>정수읠</v>
      </c>
      <c r="J2731" t="str">
        <f>T("매드햇")</f>
        <v>매드햇</v>
      </c>
      <c r="K2731" t="str">
        <f>T("문과라도 안 죄송한 이세계로 감")</f>
        <v>문과라도 안 죄송한 이세계로 감</v>
      </c>
      <c r="L2731">
        <v>100</v>
      </c>
      <c r="M2731">
        <v>200</v>
      </c>
      <c r="N2731">
        <v>2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0</v>
      </c>
      <c r="AH2731">
        <v>0</v>
      </c>
      <c r="AI2731">
        <v>200</v>
      </c>
      <c r="AJ2731">
        <v>2</v>
      </c>
      <c r="AK2731">
        <v>0</v>
      </c>
      <c r="AL2731">
        <v>0</v>
      </c>
      <c r="AM2731">
        <v>200</v>
      </c>
      <c r="AN2731">
        <v>0</v>
      </c>
      <c r="AO2731">
        <v>0</v>
      </c>
      <c r="AP2731">
        <v>0</v>
      </c>
      <c r="AQ2731">
        <v>0</v>
      </c>
      <c r="AS2731">
        <v>0</v>
      </c>
      <c r="AT2731">
        <v>0</v>
      </c>
      <c r="AV2731">
        <v>0</v>
      </c>
      <c r="AW2731">
        <v>0</v>
      </c>
      <c r="AY2731">
        <v>0</v>
      </c>
      <c r="AZ2731">
        <v>0</v>
      </c>
      <c r="BA2731">
        <v>140</v>
      </c>
      <c r="BC2731" t="str">
        <f>T("0000000000000")</f>
        <v>0000000000000</v>
      </c>
      <c r="BE2731" t="str">
        <f>T("9791162589724")</f>
        <v>9791162589724</v>
      </c>
      <c r="BF2731" t="str">
        <f>T("E749033")</f>
        <v>E749033</v>
      </c>
      <c r="BG2731" t="str">
        <f>T("판타지 웹소설 &gt; 퓨전 판타지")</f>
        <v>판타지 웹소설 &gt; 퓨전 판타지</v>
      </c>
    </row>
    <row r="2732" spans="1:59">
      <c r="A2732" t="s">
        <v>60</v>
      </c>
      <c r="B2732" s="1">
        <v>46130</v>
      </c>
      <c r="C2732">
        <v>2378009513</v>
      </c>
      <c r="D2732">
        <v>2378015604</v>
      </c>
      <c r="E2732" t="str">
        <f>T("문과라도 안 죄송한 이세계로 감 290화")</f>
        <v>문과라도 안 죄송한 이세계로 감 290화</v>
      </c>
      <c r="F2732">
        <v>290</v>
      </c>
      <c r="G2732" t="str">
        <f>T("정수읠")</f>
        <v>정수읠</v>
      </c>
      <c r="J2732" t="str">
        <f>T("매드햇")</f>
        <v>매드햇</v>
      </c>
      <c r="K2732" t="str">
        <f>T("문과라도 안 죄송한 이세계로 감")</f>
        <v>문과라도 안 죄송한 이세계로 감</v>
      </c>
      <c r="L2732">
        <v>100</v>
      </c>
      <c r="M2732">
        <v>200</v>
      </c>
      <c r="N2732">
        <v>2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0</v>
      </c>
      <c r="AH2732">
        <v>0</v>
      </c>
      <c r="AI2732">
        <v>200</v>
      </c>
      <c r="AJ2732">
        <v>2</v>
      </c>
      <c r="AK2732">
        <v>0</v>
      </c>
      <c r="AL2732">
        <v>0</v>
      </c>
      <c r="AM2732">
        <v>200</v>
      </c>
      <c r="AN2732">
        <v>0</v>
      </c>
      <c r="AO2732">
        <v>0</v>
      </c>
      <c r="AP2732">
        <v>0</v>
      </c>
      <c r="AQ2732">
        <v>0</v>
      </c>
      <c r="AS2732">
        <v>0</v>
      </c>
      <c r="AT2732">
        <v>0</v>
      </c>
      <c r="AV2732">
        <v>0</v>
      </c>
      <c r="AW2732">
        <v>0</v>
      </c>
      <c r="AY2732">
        <v>0</v>
      </c>
      <c r="AZ2732">
        <v>0</v>
      </c>
      <c r="BA2732">
        <v>140</v>
      </c>
      <c r="BC2732" t="str">
        <f>T("0000000000000")</f>
        <v>0000000000000</v>
      </c>
      <c r="BE2732" t="str">
        <f>T("9791162589724")</f>
        <v>9791162589724</v>
      </c>
      <c r="BF2732" t="str">
        <f>T("E750461")</f>
        <v>E750461</v>
      </c>
      <c r="BG2732" t="str">
        <f>T("판타지 웹소설 &gt; 퓨전 판타지")</f>
        <v>판타지 웹소설 &gt; 퓨전 판타지</v>
      </c>
    </row>
    <row r="2733" spans="1:59">
      <c r="A2733" t="s">
        <v>60</v>
      </c>
      <c r="B2733" s="1">
        <v>46130</v>
      </c>
      <c r="C2733">
        <v>2378009513</v>
      </c>
      <c r="D2733">
        <v>2378015605</v>
      </c>
      <c r="E2733" t="str">
        <f>T("문과라도 안 죄송한 이세계로 감 291화")</f>
        <v>문과라도 안 죄송한 이세계로 감 291화</v>
      </c>
      <c r="F2733">
        <v>291</v>
      </c>
      <c r="G2733" t="str">
        <f>T("정수읠")</f>
        <v>정수읠</v>
      </c>
      <c r="J2733" t="str">
        <f>T("매드햇")</f>
        <v>매드햇</v>
      </c>
      <c r="K2733" t="str">
        <f>T("문과라도 안 죄송한 이세계로 감")</f>
        <v>문과라도 안 죄송한 이세계로 감</v>
      </c>
      <c r="L2733">
        <v>100</v>
      </c>
      <c r="M2733">
        <v>200</v>
      </c>
      <c r="N2733">
        <v>2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0</v>
      </c>
      <c r="AH2733">
        <v>0</v>
      </c>
      <c r="AI2733">
        <v>200</v>
      </c>
      <c r="AJ2733">
        <v>2</v>
      </c>
      <c r="AK2733">
        <v>0</v>
      </c>
      <c r="AL2733">
        <v>0</v>
      </c>
      <c r="AM2733">
        <v>200</v>
      </c>
      <c r="AN2733">
        <v>0</v>
      </c>
      <c r="AO2733">
        <v>0</v>
      </c>
      <c r="AP2733">
        <v>0</v>
      </c>
      <c r="AQ2733">
        <v>0</v>
      </c>
      <c r="AS2733">
        <v>0</v>
      </c>
      <c r="AT2733">
        <v>0</v>
      </c>
      <c r="AV2733">
        <v>0</v>
      </c>
      <c r="AW2733">
        <v>0</v>
      </c>
      <c r="AY2733">
        <v>0</v>
      </c>
      <c r="AZ2733">
        <v>0</v>
      </c>
      <c r="BA2733">
        <v>140</v>
      </c>
      <c r="BC2733" t="str">
        <f>T("0000000000000")</f>
        <v>0000000000000</v>
      </c>
      <c r="BE2733" t="str">
        <f>T("9791162589724")</f>
        <v>9791162589724</v>
      </c>
      <c r="BF2733" t="str">
        <f>T("E750462")</f>
        <v>E750462</v>
      </c>
      <c r="BG2733" t="str">
        <f>T("판타지 웹소설 &gt; 퓨전 판타지")</f>
        <v>판타지 웹소설 &gt; 퓨전 판타지</v>
      </c>
    </row>
    <row r="2734" spans="1:59">
      <c r="A2734" t="s">
        <v>60</v>
      </c>
      <c r="B2734" s="1">
        <v>46130</v>
      </c>
      <c r="C2734">
        <v>2378009513</v>
      </c>
      <c r="D2734">
        <v>2378015606</v>
      </c>
      <c r="E2734" t="str">
        <f>T("문과라도 안 죄송한 이세계로 감 292화")</f>
        <v>문과라도 안 죄송한 이세계로 감 292화</v>
      </c>
      <c r="F2734">
        <v>292</v>
      </c>
      <c r="G2734" t="str">
        <f>T("정수읠")</f>
        <v>정수읠</v>
      </c>
      <c r="J2734" t="str">
        <f>T("매드햇")</f>
        <v>매드햇</v>
      </c>
      <c r="K2734" t="str">
        <f>T("문과라도 안 죄송한 이세계로 감")</f>
        <v>문과라도 안 죄송한 이세계로 감</v>
      </c>
      <c r="L2734">
        <v>100</v>
      </c>
      <c r="M2734">
        <v>200</v>
      </c>
      <c r="N2734">
        <v>2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0</v>
      </c>
      <c r="AH2734">
        <v>0</v>
      </c>
      <c r="AI2734">
        <v>200</v>
      </c>
      <c r="AJ2734">
        <v>2</v>
      </c>
      <c r="AK2734">
        <v>0</v>
      </c>
      <c r="AL2734">
        <v>0</v>
      </c>
      <c r="AM2734">
        <v>200</v>
      </c>
      <c r="AN2734">
        <v>0</v>
      </c>
      <c r="AO2734">
        <v>0</v>
      </c>
      <c r="AP2734">
        <v>0</v>
      </c>
      <c r="AQ2734">
        <v>0</v>
      </c>
      <c r="AS2734">
        <v>0</v>
      </c>
      <c r="AT2734">
        <v>0</v>
      </c>
      <c r="AV2734">
        <v>0</v>
      </c>
      <c r="AW2734">
        <v>0</v>
      </c>
      <c r="AY2734">
        <v>0</v>
      </c>
      <c r="AZ2734">
        <v>0</v>
      </c>
      <c r="BA2734">
        <v>140</v>
      </c>
      <c r="BC2734" t="str">
        <f>T("0000000000000")</f>
        <v>0000000000000</v>
      </c>
      <c r="BE2734" t="str">
        <f>T("9791162589724")</f>
        <v>9791162589724</v>
      </c>
      <c r="BF2734" t="str">
        <f>T("E750463")</f>
        <v>E750463</v>
      </c>
      <c r="BG2734" t="str">
        <f>T("판타지 웹소설 &gt; 퓨전 판타지")</f>
        <v>판타지 웹소설 &gt; 퓨전 판타지</v>
      </c>
    </row>
    <row r="2735" spans="1:59">
      <c r="A2735" t="s">
        <v>60</v>
      </c>
      <c r="B2735" s="1">
        <v>46130</v>
      </c>
      <c r="C2735">
        <v>2378009513</v>
      </c>
      <c r="D2735">
        <v>2378015607</v>
      </c>
      <c r="E2735" t="str">
        <f>T("문과라도 안 죄송한 이세계로 감 293화")</f>
        <v>문과라도 안 죄송한 이세계로 감 293화</v>
      </c>
      <c r="F2735">
        <v>293</v>
      </c>
      <c r="G2735" t="str">
        <f>T("정수읠")</f>
        <v>정수읠</v>
      </c>
      <c r="J2735" t="str">
        <f>T("매드햇")</f>
        <v>매드햇</v>
      </c>
      <c r="K2735" t="str">
        <f>T("문과라도 안 죄송한 이세계로 감")</f>
        <v>문과라도 안 죄송한 이세계로 감</v>
      </c>
      <c r="L2735">
        <v>100</v>
      </c>
      <c r="M2735">
        <v>100</v>
      </c>
      <c r="N2735">
        <v>1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0</v>
      </c>
      <c r="AH2735">
        <v>0</v>
      </c>
      <c r="AI2735">
        <v>100</v>
      </c>
      <c r="AJ2735">
        <v>1</v>
      </c>
      <c r="AK2735">
        <v>0</v>
      </c>
      <c r="AL2735">
        <v>0</v>
      </c>
      <c r="AM2735">
        <v>100</v>
      </c>
      <c r="AN2735">
        <v>0</v>
      </c>
      <c r="AO2735">
        <v>0</v>
      </c>
      <c r="AP2735">
        <v>0</v>
      </c>
      <c r="AQ2735">
        <v>0</v>
      </c>
      <c r="AS2735">
        <v>0</v>
      </c>
      <c r="AT2735">
        <v>0</v>
      </c>
      <c r="AV2735">
        <v>0</v>
      </c>
      <c r="AW2735">
        <v>0</v>
      </c>
      <c r="AY2735">
        <v>0</v>
      </c>
      <c r="AZ2735">
        <v>0</v>
      </c>
      <c r="BA2735">
        <v>70</v>
      </c>
      <c r="BC2735" t="str">
        <f>T("0000000000000")</f>
        <v>0000000000000</v>
      </c>
      <c r="BE2735" t="str">
        <f>T("9791162589724")</f>
        <v>9791162589724</v>
      </c>
      <c r="BF2735" t="str">
        <f>T("E750464")</f>
        <v>E750464</v>
      </c>
      <c r="BG2735" t="str">
        <f>T("판타지 웹소설 &gt; 퓨전 판타지")</f>
        <v>판타지 웹소설 &gt; 퓨전 판타지</v>
      </c>
    </row>
    <row r="2736" spans="1:59">
      <c r="A2736" t="s">
        <v>60</v>
      </c>
      <c r="B2736" s="1">
        <v>46130</v>
      </c>
      <c r="C2736">
        <v>2378009513</v>
      </c>
      <c r="D2736">
        <v>2378015779</v>
      </c>
      <c r="E2736" t="str">
        <f>T("문과라도 안 죄송한 이세계로 감 294화")</f>
        <v>문과라도 안 죄송한 이세계로 감 294화</v>
      </c>
      <c r="F2736">
        <v>294</v>
      </c>
      <c r="G2736" t="str">
        <f>T("정수읠")</f>
        <v>정수읠</v>
      </c>
      <c r="J2736" t="str">
        <f>T("매드햇")</f>
        <v>매드햇</v>
      </c>
      <c r="K2736" t="str">
        <f>T("문과라도 안 죄송한 이세계로 감")</f>
        <v>문과라도 안 죄송한 이세계로 감</v>
      </c>
      <c r="L2736">
        <v>100</v>
      </c>
      <c r="M2736">
        <v>100</v>
      </c>
      <c r="N2736">
        <v>1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0</v>
      </c>
      <c r="AH2736">
        <v>0</v>
      </c>
      <c r="AI2736">
        <v>100</v>
      </c>
      <c r="AJ2736">
        <v>1</v>
      </c>
      <c r="AK2736">
        <v>0</v>
      </c>
      <c r="AL2736">
        <v>0</v>
      </c>
      <c r="AM2736">
        <v>100</v>
      </c>
      <c r="AN2736">
        <v>0</v>
      </c>
      <c r="AO2736">
        <v>0</v>
      </c>
      <c r="AP2736">
        <v>0</v>
      </c>
      <c r="AQ2736">
        <v>0</v>
      </c>
      <c r="AS2736">
        <v>0</v>
      </c>
      <c r="AT2736">
        <v>0</v>
      </c>
      <c r="AV2736">
        <v>0</v>
      </c>
      <c r="AW2736">
        <v>0</v>
      </c>
      <c r="AY2736">
        <v>0</v>
      </c>
      <c r="AZ2736">
        <v>0</v>
      </c>
      <c r="BA2736">
        <v>70</v>
      </c>
      <c r="BC2736" t="str">
        <f>T("0000000000000")</f>
        <v>0000000000000</v>
      </c>
      <c r="BE2736" t="str">
        <f>T("9791162589724")</f>
        <v>9791162589724</v>
      </c>
      <c r="BF2736" t="str">
        <f>T("E758221")</f>
        <v>E758221</v>
      </c>
      <c r="BG2736" t="str">
        <f>T("판타지 웹소설 &gt; 퓨전 판타지")</f>
        <v>판타지 웹소설 &gt; 퓨전 판타지</v>
      </c>
    </row>
    <row r="2737" spans="1:59">
      <c r="A2737" t="s">
        <v>60</v>
      </c>
      <c r="B2737" s="1">
        <v>46130</v>
      </c>
      <c r="C2737">
        <v>2378009513</v>
      </c>
      <c r="D2737">
        <v>2378015780</v>
      </c>
      <c r="E2737" t="str">
        <f>T("문과라도 안 죄송한 이세계로 감 295화")</f>
        <v>문과라도 안 죄송한 이세계로 감 295화</v>
      </c>
      <c r="F2737">
        <v>295</v>
      </c>
      <c r="G2737" t="str">
        <f>T("정수읠")</f>
        <v>정수읠</v>
      </c>
      <c r="J2737" t="str">
        <f>T("매드햇")</f>
        <v>매드햇</v>
      </c>
      <c r="K2737" t="str">
        <f>T("문과라도 안 죄송한 이세계로 감")</f>
        <v>문과라도 안 죄송한 이세계로 감</v>
      </c>
      <c r="L2737">
        <v>100</v>
      </c>
      <c r="M2737">
        <v>100</v>
      </c>
      <c r="N2737">
        <v>1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0</v>
      </c>
      <c r="AH2737">
        <v>0</v>
      </c>
      <c r="AI2737">
        <v>100</v>
      </c>
      <c r="AJ2737">
        <v>1</v>
      </c>
      <c r="AK2737">
        <v>0</v>
      </c>
      <c r="AL2737">
        <v>0</v>
      </c>
      <c r="AM2737">
        <v>100</v>
      </c>
      <c r="AN2737">
        <v>0</v>
      </c>
      <c r="AO2737">
        <v>0</v>
      </c>
      <c r="AP2737">
        <v>0</v>
      </c>
      <c r="AQ2737">
        <v>0</v>
      </c>
      <c r="AS2737">
        <v>0</v>
      </c>
      <c r="AT2737">
        <v>0</v>
      </c>
      <c r="AV2737">
        <v>0</v>
      </c>
      <c r="AW2737">
        <v>0</v>
      </c>
      <c r="AY2737">
        <v>0</v>
      </c>
      <c r="AZ2737">
        <v>0</v>
      </c>
      <c r="BA2737">
        <v>70</v>
      </c>
      <c r="BC2737" t="str">
        <f>T("0000000000000")</f>
        <v>0000000000000</v>
      </c>
      <c r="BE2737" t="str">
        <f>T("9791162589724")</f>
        <v>9791162589724</v>
      </c>
      <c r="BF2737" t="str">
        <f>T("E758222")</f>
        <v>E758222</v>
      </c>
      <c r="BG2737" t="str">
        <f>T("판타지 웹소설 &gt; 퓨전 판타지")</f>
        <v>판타지 웹소설 &gt; 퓨전 판타지</v>
      </c>
    </row>
    <row r="2738" spans="1:59">
      <c r="A2738" t="s">
        <v>60</v>
      </c>
      <c r="B2738" s="1">
        <v>46130</v>
      </c>
      <c r="C2738">
        <v>2378009513</v>
      </c>
      <c r="D2738">
        <v>2378015781</v>
      </c>
      <c r="E2738" t="str">
        <f>T("문과라도 안 죄송한 이세계로 감 296화")</f>
        <v>문과라도 안 죄송한 이세계로 감 296화</v>
      </c>
      <c r="F2738">
        <v>296</v>
      </c>
      <c r="G2738" t="str">
        <f>T("정수읠")</f>
        <v>정수읠</v>
      </c>
      <c r="J2738" t="str">
        <f>T("매드햇")</f>
        <v>매드햇</v>
      </c>
      <c r="K2738" t="str">
        <f>T("문과라도 안 죄송한 이세계로 감")</f>
        <v>문과라도 안 죄송한 이세계로 감</v>
      </c>
      <c r="L2738">
        <v>100</v>
      </c>
      <c r="M2738">
        <v>100</v>
      </c>
      <c r="N2738">
        <v>1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0</v>
      </c>
      <c r="AH2738">
        <v>0</v>
      </c>
      <c r="AI2738">
        <v>100</v>
      </c>
      <c r="AJ2738">
        <v>1</v>
      </c>
      <c r="AK2738">
        <v>0</v>
      </c>
      <c r="AL2738">
        <v>0</v>
      </c>
      <c r="AM2738">
        <v>100</v>
      </c>
      <c r="AN2738">
        <v>0</v>
      </c>
      <c r="AO2738">
        <v>0</v>
      </c>
      <c r="AP2738">
        <v>0</v>
      </c>
      <c r="AQ2738">
        <v>0</v>
      </c>
      <c r="AS2738">
        <v>0</v>
      </c>
      <c r="AT2738">
        <v>0</v>
      </c>
      <c r="AV2738">
        <v>0</v>
      </c>
      <c r="AW2738">
        <v>0</v>
      </c>
      <c r="AY2738">
        <v>0</v>
      </c>
      <c r="AZ2738">
        <v>0</v>
      </c>
      <c r="BA2738">
        <v>70</v>
      </c>
      <c r="BC2738" t="str">
        <f>T("0000000000000")</f>
        <v>0000000000000</v>
      </c>
      <c r="BE2738" t="str">
        <f>T("9791162589724")</f>
        <v>9791162589724</v>
      </c>
      <c r="BF2738" t="str">
        <f>T("E758223")</f>
        <v>E758223</v>
      </c>
      <c r="BG2738" t="str">
        <f>T("판타지 웹소설 &gt; 퓨전 판타지")</f>
        <v>판타지 웹소설 &gt; 퓨전 판타지</v>
      </c>
    </row>
    <row r="2739" spans="1:59">
      <c r="A2739" t="s">
        <v>60</v>
      </c>
      <c r="B2739" s="1">
        <v>46130</v>
      </c>
      <c r="C2739">
        <v>2378009513</v>
      </c>
      <c r="D2739">
        <v>2378015782</v>
      </c>
      <c r="E2739" t="str">
        <f>T("문과라도 안 죄송한 이세계로 감 297화")</f>
        <v>문과라도 안 죄송한 이세계로 감 297화</v>
      </c>
      <c r="F2739">
        <v>297</v>
      </c>
      <c r="G2739" t="str">
        <f>T("정수읠")</f>
        <v>정수읠</v>
      </c>
      <c r="J2739" t="str">
        <f>T("매드햇")</f>
        <v>매드햇</v>
      </c>
      <c r="K2739" t="str">
        <f>T("문과라도 안 죄송한 이세계로 감")</f>
        <v>문과라도 안 죄송한 이세계로 감</v>
      </c>
      <c r="L2739">
        <v>100</v>
      </c>
      <c r="M2739">
        <v>100</v>
      </c>
      <c r="N2739">
        <v>1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0</v>
      </c>
      <c r="AH2739">
        <v>0</v>
      </c>
      <c r="AI2739">
        <v>100</v>
      </c>
      <c r="AJ2739">
        <v>1</v>
      </c>
      <c r="AK2739">
        <v>0</v>
      </c>
      <c r="AL2739">
        <v>0</v>
      </c>
      <c r="AM2739">
        <v>100</v>
      </c>
      <c r="AN2739">
        <v>0</v>
      </c>
      <c r="AO2739">
        <v>0</v>
      </c>
      <c r="AP2739">
        <v>0</v>
      </c>
      <c r="AQ2739">
        <v>0</v>
      </c>
      <c r="AS2739">
        <v>0</v>
      </c>
      <c r="AT2739">
        <v>0</v>
      </c>
      <c r="AV2739">
        <v>0</v>
      </c>
      <c r="AW2739">
        <v>0</v>
      </c>
      <c r="AY2739">
        <v>0</v>
      </c>
      <c r="AZ2739">
        <v>0</v>
      </c>
      <c r="BA2739">
        <v>70</v>
      </c>
      <c r="BC2739" t="str">
        <f>T("0000000000000")</f>
        <v>0000000000000</v>
      </c>
      <c r="BE2739" t="str">
        <f>T("9791162589724")</f>
        <v>9791162589724</v>
      </c>
      <c r="BF2739" t="str">
        <f>T("E758224")</f>
        <v>E758224</v>
      </c>
      <c r="BG2739" t="str">
        <f>T("판타지 웹소설 &gt; 퓨전 판타지")</f>
        <v>판타지 웹소설 &gt; 퓨전 판타지</v>
      </c>
    </row>
    <row r="2740" spans="1:59">
      <c r="A2740" t="s">
        <v>60</v>
      </c>
      <c r="B2740" s="1">
        <v>46130</v>
      </c>
      <c r="C2740">
        <v>2378009513</v>
      </c>
      <c r="D2740">
        <v>2378015971</v>
      </c>
      <c r="E2740" t="str">
        <f>T("문과라도 안 죄송한 이세계로 감 298화")</f>
        <v>문과라도 안 죄송한 이세계로 감 298화</v>
      </c>
      <c r="F2740">
        <v>298</v>
      </c>
      <c r="G2740" t="str">
        <f>T("정수읠")</f>
        <v>정수읠</v>
      </c>
      <c r="J2740" t="str">
        <f>T("매드햇")</f>
        <v>매드햇</v>
      </c>
      <c r="K2740" t="str">
        <f>T("문과라도 안 죄송한 이세계로 감")</f>
        <v>문과라도 안 죄송한 이세계로 감</v>
      </c>
      <c r="L2740">
        <v>100</v>
      </c>
      <c r="M2740">
        <v>100</v>
      </c>
      <c r="N2740">
        <v>1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0</v>
      </c>
      <c r="AH2740">
        <v>0</v>
      </c>
      <c r="AI2740">
        <v>100</v>
      </c>
      <c r="AJ2740">
        <v>1</v>
      </c>
      <c r="AK2740">
        <v>0</v>
      </c>
      <c r="AL2740">
        <v>0</v>
      </c>
      <c r="AM2740">
        <v>100</v>
      </c>
      <c r="AN2740">
        <v>0</v>
      </c>
      <c r="AO2740">
        <v>0</v>
      </c>
      <c r="AP2740">
        <v>0</v>
      </c>
      <c r="AQ2740">
        <v>0</v>
      </c>
      <c r="AS2740">
        <v>0</v>
      </c>
      <c r="AT2740">
        <v>0</v>
      </c>
      <c r="AV2740">
        <v>0</v>
      </c>
      <c r="AW2740">
        <v>0</v>
      </c>
      <c r="AY2740">
        <v>0</v>
      </c>
      <c r="AZ2740">
        <v>0</v>
      </c>
      <c r="BA2740">
        <v>70</v>
      </c>
      <c r="BC2740" t="str">
        <f>T("0000000000000")</f>
        <v>0000000000000</v>
      </c>
      <c r="BE2740" t="str">
        <f>T("9791162589724")</f>
        <v>9791162589724</v>
      </c>
      <c r="BF2740" t="str">
        <f>T("E761132")</f>
        <v>E761132</v>
      </c>
      <c r="BG2740" t="str">
        <f>T("판타지 웹소설 &gt; 퓨전 판타지")</f>
        <v>판타지 웹소설 &gt; 퓨전 판타지</v>
      </c>
    </row>
    <row r="2741" spans="1:59">
      <c r="A2741" t="s">
        <v>60</v>
      </c>
      <c r="B2741" s="1">
        <v>46130</v>
      </c>
      <c r="C2741">
        <v>2378009513</v>
      </c>
      <c r="D2741">
        <v>2378015972</v>
      </c>
      <c r="E2741" t="str">
        <f>T("문과라도 안 죄송한 이세계로 감 299화")</f>
        <v>문과라도 안 죄송한 이세계로 감 299화</v>
      </c>
      <c r="F2741">
        <v>299</v>
      </c>
      <c r="G2741" t="str">
        <f>T("정수읠")</f>
        <v>정수읠</v>
      </c>
      <c r="J2741" t="str">
        <f>T("매드햇")</f>
        <v>매드햇</v>
      </c>
      <c r="K2741" t="str">
        <f>T("문과라도 안 죄송한 이세계로 감")</f>
        <v>문과라도 안 죄송한 이세계로 감</v>
      </c>
      <c r="L2741">
        <v>100</v>
      </c>
      <c r="M2741">
        <v>100</v>
      </c>
      <c r="N2741">
        <v>1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0</v>
      </c>
      <c r="AH2741">
        <v>0</v>
      </c>
      <c r="AI2741">
        <v>100</v>
      </c>
      <c r="AJ2741">
        <v>1</v>
      </c>
      <c r="AK2741">
        <v>0</v>
      </c>
      <c r="AL2741">
        <v>0</v>
      </c>
      <c r="AM2741">
        <v>100</v>
      </c>
      <c r="AN2741">
        <v>0</v>
      </c>
      <c r="AO2741">
        <v>0</v>
      </c>
      <c r="AP2741">
        <v>0</v>
      </c>
      <c r="AQ2741">
        <v>0</v>
      </c>
      <c r="AS2741">
        <v>0</v>
      </c>
      <c r="AT2741">
        <v>0</v>
      </c>
      <c r="AV2741">
        <v>0</v>
      </c>
      <c r="AW2741">
        <v>0</v>
      </c>
      <c r="AY2741">
        <v>0</v>
      </c>
      <c r="AZ2741">
        <v>0</v>
      </c>
      <c r="BA2741">
        <v>70</v>
      </c>
      <c r="BC2741" t="str">
        <f>T("0000000000000")</f>
        <v>0000000000000</v>
      </c>
      <c r="BE2741" t="str">
        <f>T("9791162589724")</f>
        <v>9791162589724</v>
      </c>
      <c r="BF2741" t="str">
        <f>T("E761133")</f>
        <v>E761133</v>
      </c>
      <c r="BG2741" t="str">
        <f>T("판타지 웹소설 &gt; 퓨전 판타지")</f>
        <v>판타지 웹소설 &gt; 퓨전 판타지</v>
      </c>
    </row>
    <row r="2742" spans="1:59">
      <c r="A2742" t="s">
        <v>60</v>
      </c>
      <c r="B2742" s="1">
        <v>46130</v>
      </c>
      <c r="C2742">
        <v>2378009513</v>
      </c>
      <c r="D2742">
        <v>2378015973</v>
      </c>
      <c r="E2742" t="str">
        <f>T("문과라도 안 죄송한 이세계로 감 300화")</f>
        <v>문과라도 안 죄송한 이세계로 감 300화</v>
      </c>
      <c r="F2742">
        <v>300</v>
      </c>
      <c r="G2742" t="str">
        <f>T("정수읠")</f>
        <v>정수읠</v>
      </c>
      <c r="J2742" t="str">
        <f>T("매드햇")</f>
        <v>매드햇</v>
      </c>
      <c r="K2742" t="str">
        <f>T("문과라도 안 죄송한 이세계로 감")</f>
        <v>문과라도 안 죄송한 이세계로 감</v>
      </c>
      <c r="L2742">
        <v>100</v>
      </c>
      <c r="M2742">
        <v>100</v>
      </c>
      <c r="N2742">
        <v>1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0</v>
      </c>
      <c r="AH2742">
        <v>0</v>
      </c>
      <c r="AI2742">
        <v>100</v>
      </c>
      <c r="AJ2742">
        <v>1</v>
      </c>
      <c r="AK2742">
        <v>0</v>
      </c>
      <c r="AL2742">
        <v>0</v>
      </c>
      <c r="AM2742">
        <v>100</v>
      </c>
      <c r="AN2742">
        <v>0</v>
      </c>
      <c r="AO2742">
        <v>0</v>
      </c>
      <c r="AP2742">
        <v>0</v>
      </c>
      <c r="AQ2742">
        <v>0</v>
      </c>
      <c r="AS2742">
        <v>0</v>
      </c>
      <c r="AT2742">
        <v>0</v>
      </c>
      <c r="AV2742">
        <v>0</v>
      </c>
      <c r="AW2742">
        <v>0</v>
      </c>
      <c r="AY2742">
        <v>0</v>
      </c>
      <c r="AZ2742">
        <v>0</v>
      </c>
      <c r="BA2742">
        <v>70</v>
      </c>
      <c r="BC2742" t="str">
        <f>T("0000000000000")</f>
        <v>0000000000000</v>
      </c>
      <c r="BE2742" t="str">
        <f>T("9791162589724")</f>
        <v>9791162589724</v>
      </c>
      <c r="BF2742" t="str">
        <f>T("E761134")</f>
        <v>E761134</v>
      </c>
      <c r="BG2742" t="str">
        <f>T("판타지 웹소설 &gt; 퓨전 판타지")</f>
        <v>판타지 웹소설 &gt; 퓨전 판타지</v>
      </c>
    </row>
    <row r="2743" spans="1:59">
      <c r="A2743" t="s">
        <v>60</v>
      </c>
      <c r="B2743" s="1">
        <v>46130</v>
      </c>
      <c r="C2743">
        <v>2378009513</v>
      </c>
      <c r="D2743">
        <v>2378015974</v>
      </c>
      <c r="E2743" t="str">
        <f>T("문과라도 안 죄송한 이세계로 감 301화")</f>
        <v>문과라도 안 죄송한 이세계로 감 301화</v>
      </c>
      <c r="F2743">
        <v>301</v>
      </c>
      <c r="G2743" t="str">
        <f>T("정수읠")</f>
        <v>정수읠</v>
      </c>
      <c r="J2743" t="str">
        <f>T("매드햇")</f>
        <v>매드햇</v>
      </c>
      <c r="K2743" t="str">
        <f>T("문과라도 안 죄송한 이세계로 감")</f>
        <v>문과라도 안 죄송한 이세계로 감</v>
      </c>
      <c r="L2743">
        <v>100</v>
      </c>
      <c r="M2743">
        <v>100</v>
      </c>
      <c r="N2743">
        <v>1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0</v>
      </c>
      <c r="AH2743">
        <v>0</v>
      </c>
      <c r="AI2743">
        <v>100</v>
      </c>
      <c r="AJ2743">
        <v>1</v>
      </c>
      <c r="AK2743">
        <v>0</v>
      </c>
      <c r="AL2743">
        <v>0</v>
      </c>
      <c r="AM2743">
        <v>100</v>
      </c>
      <c r="AN2743">
        <v>0</v>
      </c>
      <c r="AO2743">
        <v>0</v>
      </c>
      <c r="AP2743">
        <v>0</v>
      </c>
      <c r="AQ2743">
        <v>0</v>
      </c>
      <c r="AS2743">
        <v>0</v>
      </c>
      <c r="AT2743">
        <v>0</v>
      </c>
      <c r="AV2743">
        <v>0</v>
      </c>
      <c r="AW2743">
        <v>0</v>
      </c>
      <c r="AY2743">
        <v>0</v>
      </c>
      <c r="AZ2743">
        <v>0</v>
      </c>
      <c r="BA2743">
        <v>70</v>
      </c>
      <c r="BC2743" t="str">
        <f>T("0000000000000")</f>
        <v>0000000000000</v>
      </c>
      <c r="BE2743" t="str">
        <f>T("9791162589724")</f>
        <v>9791162589724</v>
      </c>
      <c r="BF2743" t="str">
        <f>T("E761135")</f>
        <v>E761135</v>
      </c>
      <c r="BG2743" t="str">
        <f>T("판타지 웹소설 &gt; 퓨전 판타지")</f>
        <v>판타지 웹소설 &gt; 퓨전 판타지</v>
      </c>
    </row>
    <row r="2744" spans="1:59">
      <c r="A2744" t="s">
        <v>60</v>
      </c>
      <c r="B2744" s="1">
        <v>46130</v>
      </c>
      <c r="C2744">
        <v>2378009513</v>
      </c>
      <c r="D2744">
        <v>2378015975</v>
      </c>
      <c r="E2744" t="str">
        <f>T("문과라도 안 죄송한 이세계로 감 302화")</f>
        <v>문과라도 안 죄송한 이세계로 감 302화</v>
      </c>
      <c r="F2744">
        <v>302</v>
      </c>
      <c r="G2744" t="str">
        <f>T("정수읠")</f>
        <v>정수읠</v>
      </c>
      <c r="J2744" t="str">
        <f>T("매드햇")</f>
        <v>매드햇</v>
      </c>
      <c r="K2744" t="str">
        <f>T("문과라도 안 죄송한 이세계로 감")</f>
        <v>문과라도 안 죄송한 이세계로 감</v>
      </c>
      <c r="L2744">
        <v>100</v>
      </c>
      <c r="M2744">
        <v>100</v>
      </c>
      <c r="N2744">
        <v>1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0</v>
      </c>
      <c r="AH2744">
        <v>0</v>
      </c>
      <c r="AI2744">
        <v>100</v>
      </c>
      <c r="AJ2744">
        <v>1</v>
      </c>
      <c r="AK2744">
        <v>0</v>
      </c>
      <c r="AL2744">
        <v>0</v>
      </c>
      <c r="AM2744">
        <v>100</v>
      </c>
      <c r="AN2744">
        <v>0</v>
      </c>
      <c r="AO2744">
        <v>0</v>
      </c>
      <c r="AP2744">
        <v>0</v>
      </c>
      <c r="AQ2744">
        <v>0</v>
      </c>
      <c r="AS2744">
        <v>0</v>
      </c>
      <c r="AT2744">
        <v>0</v>
      </c>
      <c r="AV2744">
        <v>0</v>
      </c>
      <c r="AW2744">
        <v>0</v>
      </c>
      <c r="AY2744">
        <v>0</v>
      </c>
      <c r="AZ2744">
        <v>0</v>
      </c>
      <c r="BA2744">
        <v>70</v>
      </c>
      <c r="BC2744" t="str">
        <f>T("0000000000000")</f>
        <v>0000000000000</v>
      </c>
      <c r="BE2744" t="str">
        <f>T("9791162589724")</f>
        <v>9791162589724</v>
      </c>
      <c r="BF2744" t="str">
        <f>T("E766766")</f>
        <v>E766766</v>
      </c>
      <c r="BG2744" t="str">
        <f>T("판타지 웹소설 &gt; 퓨전 판타지")</f>
        <v>판타지 웹소설 &gt; 퓨전 판타지</v>
      </c>
    </row>
    <row r="2745" spans="1:59">
      <c r="A2745" t="s">
        <v>60</v>
      </c>
      <c r="B2745" s="1">
        <v>46130</v>
      </c>
      <c r="C2745">
        <v>2378009513</v>
      </c>
      <c r="D2745">
        <v>2378015976</v>
      </c>
      <c r="E2745" t="str">
        <f>T("문과라도 안 죄송한 이세계로 감 303화")</f>
        <v>문과라도 안 죄송한 이세계로 감 303화</v>
      </c>
      <c r="F2745">
        <v>303</v>
      </c>
      <c r="G2745" t="str">
        <f>T("정수읠")</f>
        <v>정수읠</v>
      </c>
      <c r="J2745" t="str">
        <f>T("매드햇")</f>
        <v>매드햇</v>
      </c>
      <c r="K2745" t="str">
        <f>T("문과라도 안 죄송한 이세계로 감")</f>
        <v>문과라도 안 죄송한 이세계로 감</v>
      </c>
      <c r="L2745">
        <v>100</v>
      </c>
      <c r="M2745">
        <v>100</v>
      </c>
      <c r="N2745">
        <v>1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0</v>
      </c>
      <c r="AH2745">
        <v>0</v>
      </c>
      <c r="AI2745">
        <v>100</v>
      </c>
      <c r="AJ2745">
        <v>1</v>
      </c>
      <c r="AK2745">
        <v>0</v>
      </c>
      <c r="AL2745">
        <v>0</v>
      </c>
      <c r="AM2745">
        <v>100</v>
      </c>
      <c r="AN2745">
        <v>0</v>
      </c>
      <c r="AO2745">
        <v>0</v>
      </c>
      <c r="AP2745">
        <v>0</v>
      </c>
      <c r="AQ2745">
        <v>0</v>
      </c>
      <c r="AS2745">
        <v>0</v>
      </c>
      <c r="AT2745">
        <v>0</v>
      </c>
      <c r="AV2745">
        <v>0</v>
      </c>
      <c r="AW2745">
        <v>0</v>
      </c>
      <c r="AY2745">
        <v>0</v>
      </c>
      <c r="AZ2745">
        <v>0</v>
      </c>
      <c r="BA2745">
        <v>70</v>
      </c>
      <c r="BC2745" t="str">
        <f>T("0000000000000")</f>
        <v>0000000000000</v>
      </c>
      <c r="BE2745" t="str">
        <f>T("9791162589724")</f>
        <v>9791162589724</v>
      </c>
      <c r="BF2745" t="str">
        <f>T("E766767")</f>
        <v>E766767</v>
      </c>
      <c r="BG2745" t="str">
        <f>T("판타지 웹소설 &gt; 퓨전 판타지")</f>
        <v>판타지 웹소설 &gt; 퓨전 판타지</v>
      </c>
    </row>
    <row r="2746" spans="1:59">
      <c r="A2746" t="s">
        <v>60</v>
      </c>
      <c r="B2746" s="1">
        <v>46130</v>
      </c>
      <c r="C2746">
        <v>2378009513</v>
      </c>
      <c r="D2746">
        <v>2378015977</v>
      </c>
      <c r="E2746" t="str">
        <f>T("문과라도 안 죄송한 이세계로 감 304화")</f>
        <v>문과라도 안 죄송한 이세계로 감 304화</v>
      </c>
      <c r="F2746">
        <v>304</v>
      </c>
      <c r="G2746" t="str">
        <f>T("정수읠")</f>
        <v>정수읠</v>
      </c>
      <c r="J2746" t="str">
        <f>T("매드햇")</f>
        <v>매드햇</v>
      </c>
      <c r="K2746" t="str">
        <f>T("문과라도 안 죄송한 이세계로 감")</f>
        <v>문과라도 안 죄송한 이세계로 감</v>
      </c>
      <c r="L2746">
        <v>100</v>
      </c>
      <c r="M2746">
        <v>100</v>
      </c>
      <c r="N2746">
        <v>1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0</v>
      </c>
      <c r="AH2746">
        <v>0</v>
      </c>
      <c r="AI2746">
        <v>100</v>
      </c>
      <c r="AJ2746">
        <v>1</v>
      </c>
      <c r="AK2746">
        <v>0</v>
      </c>
      <c r="AL2746">
        <v>0</v>
      </c>
      <c r="AM2746">
        <v>100</v>
      </c>
      <c r="AN2746">
        <v>0</v>
      </c>
      <c r="AO2746">
        <v>0</v>
      </c>
      <c r="AP2746">
        <v>0</v>
      </c>
      <c r="AQ2746">
        <v>0</v>
      </c>
      <c r="AS2746">
        <v>0</v>
      </c>
      <c r="AT2746">
        <v>0</v>
      </c>
      <c r="AV2746">
        <v>0</v>
      </c>
      <c r="AW2746">
        <v>0</v>
      </c>
      <c r="AY2746">
        <v>0</v>
      </c>
      <c r="AZ2746">
        <v>0</v>
      </c>
      <c r="BA2746">
        <v>70</v>
      </c>
      <c r="BC2746" t="str">
        <f>T("0000000000000")</f>
        <v>0000000000000</v>
      </c>
      <c r="BE2746" t="str">
        <f>T("9791162589724")</f>
        <v>9791162589724</v>
      </c>
      <c r="BF2746" t="str">
        <f>T("E766768")</f>
        <v>E766768</v>
      </c>
      <c r="BG2746" t="str">
        <f>T("판타지 웹소설 &gt; 퓨전 판타지")</f>
        <v>판타지 웹소설 &gt; 퓨전 판타지</v>
      </c>
    </row>
    <row r="2747" spans="1:59">
      <c r="A2747" t="s">
        <v>60</v>
      </c>
      <c r="B2747" s="1">
        <v>46130</v>
      </c>
      <c r="C2747">
        <v>2378009513</v>
      </c>
      <c r="D2747">
        <v>2378015978</v>
      </c>
      <c r="E2747" t="str">
        <f>T("문과라도 안 죄송한 이세계로 감 305화")</f>
        <v>문과라도 안 죄송한 이세계로 감 305화</v>
      </c>
      <c r="F2747">
        <v>305</v>
      </c>
      <c r="G2747" t="str">
        <f>T("정수읠")</f>
        <v>정수읠</v>
      </c>
      <c r="J2747" t="str">
        <f>T("매드햇")</f>
        <v>매드햇</v>
      </c>
      <c r="K2747" t="str">
        <f>T("문과라도 안 죄송한 이세계로 감")</f>
        <v>문과라도 안 죄송한 이세계로 감</v>
      </c>
      <c r="L2747">
        <v>100</v>
      </c>
      <c r="M2747">
        <v>100</v>
      </c>
      <c r="N2747">
        <v>1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0</v>
      </c>
      <c r="AH2747">
        <v>0</v>
      </c>
      <c r="AI2747">
        <v>100</v>
      </c>
      <c r="AJ2747">
        <v>1</v>
      </c>
      <c r="AK2747">
        <v>0</v>
      </c>
      <c r="AL2747">
        <v>0</v>
      </c>
      <c r="AM2747">
        <v>100</v>
      </c>
      <c r="AN2747">
        <v>0</v>
      </c>
      <c r="AO2747">
        <v>0</v>
      </c>
      <c r="AP2747">
        <v>0</v>
      </c>
      <c r="AQ2747">
        <v>0</v>
      </c>
      <c r="AS2747">
        <v>0</v>
      </c>
      <c r="AT2747">
        <v>0</v>
      </c>
      <c r="AV2747">
        <v>0</v>
      </c>
      <c r="AW2747">
        <v>0</v>
      </c>
      <c r="AY2747">
        <v>0</v>
      </c>
      <c r="AZ2747">
        <v>0</v>
      </c>
      <c r="BA2747">
        <v>70</v>
      </c>
      <c r="BC2747" t="str">
        <f>T("0000000000000")</f>
        <v>0000000000000</v>
      </c>
      <c r="BE2747" t="str">
        <f>T("9791162589724")</f>
        <v>9791162589724</v>
      </c>
      <c r="BF2747" t="str">
        <f>T("E766769")</f>
        <v>E766769</v>
      </c>
      <c r="BG2747" t="str">
        <f>T("판타지 웹소설 &gt; 퓨전 판타지")</f>
        <v>판타지 웹소설 &gt; 퓨전 판타지</v>
      </c>
    </row>
    <row r="2748" spans="1:59">
      <c r="A2748" t="s">
        <v>60</v>
      </c>
      <c r="B2748" s="1">
        <v>46130</v>
      </c>
      <c r="C2748">
        <v>2378009513</v>
      </c>
      <c r="D2748">
        <v>2378016550</v>
      </c>
      <c r="E2748" t="str">
        <f>T("문과라도 안 죄송한 이세계로 감 306화")</f>
        <v>문과라도 안 죄송한 이세계로 감 306화</v>
      </c>
      <c r="F2748">
        <v>306</v>
      </c>
      <c r="G2748" t="str">
        <f>T("정수읠")</f>
        <v>정수읠</v>
      </c>
      <c r="J2748" t="str">
        <f>T("매드햇")</f>
        <v>매드햇</v>
      </c>
      <c r="K2748" t="str">
        <f>T("문과라도 안 죄송한 이세계로 감")</f>
        <v>문과라도 안 죄송한 이세계로 감</v>
      </c>
      <c r="L2748">
        <v>100</v>
      </c>
      <c r="M2748">
        <v>100</v>
      </c>
      <c r="N2748">
        <v>1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0</v>
      </c>
      <c r="AH2748">
        <v>0</v>
      </c>
      <c r="AI2748">
        <v>100</v>
      </c>
      <c r="AJ2748">
        <v>1</v>
      </c>
      <c r="AK2748">
        <v>0</v>
      </c>
      <c r="AL2748">
        <v>0</v>
      </c>
      <c r="AM2748">
        <v>100</v>
      </c>
      <c r="AN2748">
        <v>0</v>
      </c>
      <c r="AO2748">
        <v>0</v>
      </c>
      <c r="AP2748">
        <v>0</v>
      </c>
      <c r="AQ2748">
        <v>0</v>
      </c>
      <c r="AS2748">
        <v>0</v>
      </c>
      <c r="AT2748">
        <v>0</v>
      </c>
      <c r="AV2748">
        <v>0</v>
      </c>
      <c r="AW2748">
        <v>0</v>
      </c>
      <c r="AY2748">
        <v>0</v>
      </c>
      <c r="AZ2748">
        <v>0</v>
      </c>
      <c r="BA2748">
        <v>70</v>
      </c>
      <c r="BC2748" t="str">
        <f>T("0000000000000")</f>
        <v>0000000000000</v>
      </c>
      <c r="BE2748" t="str">
        <f>T("9791162589724")</f>
        <v>9791162589724</v>
      </c>
      <c r="BF2748" t="str">
        <f>T("E768847")</f>
        <v>E768847</v>
      </c>
      <c r="BG2748" t="str">
        <f>T("판타지 웹소설 &gt; 퓨전 판타지")</f>
        <v>판타지 웹소설 &gt; 퓨전 판타지</v>
      </c>
    </row>
    <row r="2749" spans="1:59">
      <c r="A2749" t="s">
        <v>60</v>
      </c>
      <c r="B2749" s="1">
        <v>46130</v>
      </c>
      <c r="C2749">
        <v>2378009513</v>
      </c>
      <c r="D2749">
        <v>2378016551</v>
      </c>
      <c r="E2749" t="str">
        <f>T("문과라도 안 죄송한 이세계로 감 307화")</f>
        <v>문과라도 안 죄송한 이세계로 감 307화</v>
      </c>
      <c r="F2749">
        <v>307</v>
      </c>
      <c r="G2749" t="str">
        <f>T("정수읠")</f>
        <v>정수읠</v>
      </c>
      <c r="J2749" t="str">
        <f>T("매드햇")</f>
        <v>매드햇</v>
      </c>
      <c r="K2749" t="str">
        <f>T("문과라도 안 죄송한 이세계로 감")</f>
        <v>문과라도 안 죄송한 이세계로 감</v>
      </c>
      <c r="L2749">
        <v>100</v>
      </c>
      <c r="M2749">
        <v>200</v>
      </c>
      <c r="N2749">
        <v>2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0</v>
      </c>
      <c r="AH2749">
        <v>0</v>
      </c>
      <c r="AI2749">
        <v>200</v>
      </c>
      <c r="AJ2749">
        <v>2</v>
      </c>
      <c r="AK2749">
        <v>0</v>
      </c>
      <c r="AL2749">
        <v>0</v>
      </c>
      <c r="AM2749">
        <v>200</v>
      </c>
      <c r="AN2749">
        <v>0</v>
      </c>
      <c r="AO2749">
        <v>0</v>
      </c>
      <c r="AP2749">
        <v>0</v>
      </c>
      <c r="AQ2749">
        <v>0</v>
      </c>
      <c r="AS2749">
        <v>0</v>
      </c>
      <c r="AT2749">
        <v>0</v>
      </c>
      <c r="AV2749">
        <v>0</v>
      </c>
      <c r="AW2749">
        <v>0</v>
      </c>
      <c r="AY2749">
        <v>0</v>
      </c>
      <c r="AZ2749">
        <v>0</v>
      </c>
      <c r="BA2749">
        <v>140</v>
      </c>
      <c r="BC2749" t="str">
        <f>T("0000000000000")</f>
        <v>0000000000000</v>
      </c>
      <c r="BE2749" t="str">
        <f>T("9791162589724")</f>
        <v>9791162589724</v>
      </c>
      <c r="BF2749" t="str">
        <f>T("E768848")</f>
        <v>E768848</v>
      </c>
      <c r="BG2749" t="str">
        <f>T("판타지 웹소설 &gt; 퓨전 판타지")</f>
        <v>판타지 웹소설 &gt; 퓨전 판타지</v>
      </c>
    </row>
    <row r="2750" spans="1:59">
      <c r="A2750" t="s">
        <v>60</v>
      </c>
      <c r="B2750" s="1">
        <v>46130</v>
      </c>
      <c r="C2750">
        <v>2378009513</v>
      </c>
      <c r="D2750">
        <v>2378016552</v>
      </c>
      <c r="E2750" t="str">
        <f>T("문과라도 안 죄송한 이세계로 감 308화")</f>
        <v>문과라도 안 죄송한 이세계로 감 308화</v>
      </c>
      <c r="F2750">
        <v>308</v>
      </c>
      <c r="G2750" t="str">
        <f>T("정수읠")</f>
        <v>정수읠</v>
      </c>
      <c r="J2750" t="str">
        <f>T("매드햇")</f>
        <v>매드햇</v>
      </c>
      <c r="K2750" t="str">
        <f>T("문과라도 안 죄송한 이세계로 감")</f>
        <v>문과라도 안 죄송한 이세계로 감</v>
      </c>
      <c r="L2750">
        <v>100</v>
      </c>
      <c r="M2750">
        <v>200</v>
      </c>
      <c r="N2750">
        <v>2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0</v>
      </c>
      <c r="AH2750">
        <v>0</v>
      </c>
      <c r="AI2750">
        <v>200</v>
      </c>
      <c r="AJ2750">
        <v>2</v>
      </c>
      <c r="AK2750">
        <v>0</v>
      </c>
      <c r="AL2750">
        <v>0</v>
      </c>
      <c r="AM2750">
        <v>200</v>
      </c>
      <c r="AN2750">
        <v>0</v>
      </c>
      <c r="AO2750">
        <v>0</v>
      </c>
      <c r="AP2750">
        <v>0</v>
      </c>
      <c r="AQ2750">
        <v>0</v>
      </c>
      <c r="AS2750">
        <v>0</v>
      </c>
      <c r="AT2750">
        <v>0</v>
      </c>
      <c r="AV2750">
        <v>0</v>
      </c>
      <c r="AW2750">
        <v>0</v>
      </c>
      <c r="AY2750">
        <v>0</v>
      </c>
      <c r="AZ2750">
        <v>0</v>
      </c>
      <c r="BA2750">
        <v>140</v>
      </c>
      <c r="BC2750" t="str">
        <f>T("0000000000000")</f>
        <v>0000000000000</v>
      </c>
      <c r="BE2750" t="str">
        <f>T("9791162589724")</f>
        <v>9791162589724</v>
      </c>
      <c r="BF2750" t="str">
        <f>T("E768849")</f>
        <v>E768849</v>
      </c>
      <c r="BG2750" t="str">
        <f>T("판타지 웹소설 &gt; 퓨전 판타지")</f>
        <v>판타지 웹소설 &gt; 퓨전 판타지</v>
      </c>
    </row>
    <row r="2751" spans="1:59">
      <c r="A2751" t="s">
        <v>60</v>
      </c>
      <c r="B2751" s="1">
        <v>46130</v>
      </c>
      <c r="C2751">
        <v>2378009513</v>
      </c>
      <c r="D2751">
        <v>2378016553</v>
      </c>
      <c r="E2751" t="str">
        <f>T("문과라도 안 죄송한 이세계로 감 309화")</f>
        <v>문과라도 안 죄송한 이세계로 감 309화</v>
      </c>
      <c r="F2751">
        <v>309</v>
      </c>
      <c r="G2751" t="str">
        <f>T("정수읠")</f>
        <v>정수읠</v>
      </c>
      <c r="J2751" t="str">
        <f>T("매드햇")</f>
        <v>매드햇</v>
      </c>
      <c r="K2751" t="str">
        <f>T("문과라도 안 죄송한 이세계로 감")</f>
        <v>문과라도 안 죄송한 이세계로 감</v>
      </c>
      <c r="L2751">
        <v>100</v>
      </c>
      <c r="M2751">
        <v>100</v>
      </c>
      <c r="N2751">
        <v>1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0</v>
      </c>
      <c r="AH2751">
        <v>0</v>
      </c>
      <c r="AI2751">
        <v>100</v>
      </c>
      <c r="AJ2751">
        <v>1</v>
      </c>
      <c r="AK2751">
        <v>0</v>
      </c>
      <c r="AL2751">
        <v>0</v>
      </c>
      <c r="AM2751">
        <v>100</v>
      </c>
      <c r="AN2751">
        <v>0</v>
      </c>
      <c r="AO2751">
        <v>0</v>
      </c>
      <c r="AP2751">
        <v>0</v>
      </c>
      <c r="AQ2751">
        <v>0</v>
      </c>
      <c r="AS2751">
        <v>0</v>
      </c>
      <c r="AT2751">
        <v>0</v>
      </c>
      <c r="AV2751">
        <v>0</v>
      </c>
      <c r="AW2751">
        <v>0</v>
      </c>
      <c r="AY2751">
        <v>0</v>
      </c>
      <c r="AZ2751">
        <v>0</v>
      </c>
      <c r="BA2751">
        <v>70</v>
      </c>
      <c r="BC2751" t="str">
        <f>T("0000000000000")</f>
        <v>0000000000000</v>
      </c>
      <c r="BE2751" t="str">
        <f>T("9791162589724")</f>
        <v>9791162589724</v>
      </c>
      <c r="BF2751" t="str">
        <f>T("E768850")</f>
        <v>E768850</v>
      </c>
      <c r="BG2751" t="str">
        <f>T("판타지 웹소설 &gt; 퓨전 판타지")</f>
        <v>판타지 웹소설 &gt; 퓨전 판타지</v>
      </c>
    </row>
    <row r="2752" spans="1:59">
      <c r="A2752" t="s">
        <v>60</v>
      </c>
      <c r="B2752" s="1">
        <v>46130</v>
      </c>
      <c r="C2752">
        <v>2378009513</v>
      </c>
      <c r="D2752">
        <v>2378016617</v>
      </c>
      <c r="E2752" t="str">
        <f>T("문과라도 안 죄송한 이세계로 감 310화")</f>
        <v>문과라도 안 죄송한 이세계로 감 310화</v>
      </c>
      <c r="F2752">
        <v>310</v>
      </c>
      <c r="G2752" t="str">
        <f>T("정수읠")</f>
        <v>정수읠</v>
      </c>
      <c r="J2752" t="str">
        <f>T("매드햇")</f>
        <v>매드햇</v>
      </c>
      <c r="K2752" t="str">
        <f>T("문과라도 안 죄송한 이세계로 감")</f>
        <v>문과라도 안 죄송한 이세계로 감</v>
      </c>
      <c r="L2752">
        <v>100</v>
      </c>
      <c r="M2752">
        <v>100</v>
      </c>
      <c r="N2752">
        <v>1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0</v>
      </c>
      <c r="AH2752">
        <v>0</v>
      </c>
      <c r="AI2752">
        <v>100</v>
      </c>
      <c r="AJ2752">
        <v>1</v>
      </c>
      <c r="AK2752">
        <v>0</v>
      </c>
      <c r="AL2752">
        <v>0</v>
      </c>
      <c r="AM2752">
        <v>100</v>
      </c>
      <c r="AN2752">
        <v>0</v>
      </c>
      <c r="AO2752">
        <v>0</v>
      </c>
      <c r="AP2752">
        <v>0</v>
      </c>
      <c r="AQ2752">
        <v>0</v>
      </c>
      <c r="AS2752">
        <v>0</v>
      </c>
      <c r="AT2752">
        <v>0</v>
      </c>
      <c r="AV2752">
        <v>0</v>
      </c>
      <c r="AW2752">
        <v>0</v>
      </c>
      <c r="AY2752">
        <v>0</v>
      </c>
      <c r="AZ2752">
        <v>0</v>
      </c>
      <c r="BA2752">
        <v>70</v>
      </c>
      <c r="BC2752" t="str">
        <f>T("0000000000000")</f>
        <v>0000000000000</v>
      </c>
      <c r="BE2752" t="str">
        <f>T("9791162589724")</f>
        <v>9791162589724</v>
      </c>
      <c r="BF2752" t="str">
        <f>T("E768851")</f>
        <v>E768851</v>
      </c>
      <c r="BG2752" t="str">
        <f>T("판타지 웹소설 &gt; 퓨전 판타지")</f>
        <v>판타지 웹소설 &gt; 퓨전 판타지</v>
      </c>
    </row>
    <row r="2753" spans="1:59">
      <c r="A2753" t="s">
        <v>60</v>
      </c>
      <c r="B2753" s="1">
        <v>46130</v>
      </c>
      <c r="C2753">
        <v>2378009513</v>
      </c>
      <c r="D2753">
        <v>2378016618</v>
      </c>
      <c r="E2753" t="str">
        <f>T("문과라도 안 죄송한 이세계로 감 311화")</f>
        <v>문과라도 안 죄송한 이세계로 감 311화</v>
      </c>
      <c r="F2753">
        <v>311</v>
      </c>
      <c r="G2753" t="str">
        <f>T("정수읠")</f>
        <v>정수읠</v>
      </c>
      <c r="J2753" t="str">
        <f>T("매드햇")</f>
        <v>매드햇</v>
      </c>
      <c r="K2753" t="str">
        <f>T("문과라도 안 죄송한 이세계로 감")</f>
        <v>문과라도 안 죄송한 이세계로 감</v>
      </c>
      <c r="L2753">
        <v>100</v>
      </c>
      <c r="M2753">
        <v>100</v>
      </c>
      <c r="N2753">
        <v>1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0</v>
      </c>
      <c r="AH2753">
        <v>0</v>
      </c>
      <c r="AI2753">
        <v>100</v>
      </c>
      <c r="AJ2753">
        <v>1</v>
      </c>
      <c r="AK2753">
        <v>0</v>
      </c>
      <c r="AL2753">
        <v>0</v>
      </c>
      <c r="AM2753">
        <v>100</v>
      </c>
      <c r="AN2753">
        <v>0</v>
      </c>
      <c r="AO2753">
        <v>0</v>
      </c>
      <c r="AP2753">
        <v>0</v>
      </c>
      <c r="AQ2753">
        <v>0</v>
      </c>
      <c r="AS2753">
        <v>0</v>
      </c>
      <c r="AT2753">
        <v>0</v>
      </c>
      <c r="AV2753">
        <v>0</v>
      </c>
      <c r="AW2753">
        <v>0</v>
      </c>
      <c r="AY2753">
        <v>0</v>
      </c>
      <c r="AZ2753">
        <v>0</v>
      </c>
      <c r="BA2753">
        <v>70</v>
      </c>
      <c r="BC2753" t="str">
        <f>T("0000000000000")</f>
        <v>0000000000000</v>
      </c>
      <c r="BE2753" t="str">
        <f>T("9791162589724")</f>
        <v>9791162589724</v>
      </c>
      <c r="BF2753" t="str">
        <f>T("E768852")</f>
        <v>E768852</v>
      </c>
      <c r="BG2753" t="str">
        <f>T("판타지 웹소설 &gt; 퓨전 판타지")</f>
        <v>판타지 웹소설 &gt; 퓨전 판타지</v>
      </c>
    </row>
    <row r="2754" spans="1:59">
      <c r="A2754" t="s">
        <v>60</v>
      </c>
      <c r="B2754" s="1">
        <v>46130</v>
      </c>
      <c r="C2754">
        <v>2378009513</v>
      </c>
      <c r="D2754">
        <v>2378016619</v>
      </c>
      <c r="E2754" t="str">
        <f>T("문과라도 안 죄송한 이세계로 감 312화")</f>
        <v>문과라도 안 죄송한 이세계로 감 312화</v>
      </c>
      <c r="F2754">
        <v>312</v>
      </c>
      <c r="G2754" t="str">
        <f>T("정수읠")</f>
        <v>정수읠</v>
      </c>
      <c r="J2754" t="str">
        <f>T("매드햇")</f>
        <v>매드햇</v>
      </c>
      <c r="K2754" t="str">
        <f>T("문과라도 안 죄송한 이세계로 감")</f>
        <v>문과라도 안 죄송한 이세계로 감</v>
      </c>
      <c r="L2754">
        <v>100</v>
      </c>
      <c r="M2754">
        <v>100</v>
      </c>
      <c r="N2754">
        <v>1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0</v>
      </c>
      <c r="AH2754">
        <v>0</v>
      </c>
      <c r="AI2754">
        <v>100</v>
      </c>
      <c r="AJ2754">
        <v>1</v>
      </c>
      <c r="AK2754">
        <v>0</v>
      </c>
      <c r="AL2754">
        <v>0</v>
      </c>
      <c r="AM2754">
        <v>100</v>
      </c>
      <c r="AN2754">
        <v>0</v>
      </c>
      <c r="AO2754">
        <v>0</v>
      </c>
      <c r="AP2754">
        <v>0</v>
      </c>
      <c r="AQ2754">
        <v>0</v>
      </c>
      <c r="AS2754">
        <v>0</v>
      </c>
      <c r="AT2754">
        <v>0</v>
      </c>
      <c r="AV2754">
        <v>0</v>
      </c>
      <c r="AW2754">
        <v>0</v>
      </c>
      <c r="AY2754">
        <v>0</v>
      </c>
      <c r="AZ2754">
        <v>0</v>
      </c>
      <c r="BA2754">
        <v>70</v>
      </c>
      <c r="BC2754" t="str">
        <f>T("0000000000000")</f>
        <v>0000000000000</v>
      </c>
      <c r="BE2754" t="str">
        <f>T("9791162589724")</f>
        <v>9791162589724</v>
      </c>
      <c r="BF2754" t="str">
        <f>T("E768853")</f>
        <v>E768853</v>
      </c>
      <c r="BG2754" t="str">
        <f>T("판타지 웹소설 &gt; 퓨전 판타지")</f>
        <v>판타지 웹소설 &gt; 퓨전 판타지</v>
      </c>
    </row>
    <row r="2755" spans="1:59">
      <c r="A2755" t="s">
        <v>60</v>
      </c>
      <c r="B2755" s="1">
        <v>46130</v>
      </c>
      <c r="C2755">
        <v>2378009513</v>
      </c>
      <c r="D2755">
        <v>2378016620</v>
      </c>
      <c r="E2755" t="str">
        <f>T("문과라도 안 죄송한 이세계로 감 313화")</f>
        <v>문과라도 안 죄송한 이세계로 감 313화</v>
      </c>
      <c r="F2755">
        <v>313</v>
      </c>
      <c r="G2755" t="str">
        <f>T("정수읠")</f>
        <v>정수읠</v>
      </c>
      <c r="J2755" t="str">
        <f>T("매드햇")</f>
        <v>매드햇</v>
      </c>
      <c r="K2755" t="str">
        <f>T("문과라도 안 죄송한 이세계로 감")</f>
        <v>문과라도 안 죄송한 이세계로 감</v>
      </c>
      <c r="L2755">
        <v>100</v>
      </c>
      <c r="M2755">
        <v>100</v>
      </c>
      <c r="N2755">
        <v>1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0</v>
      </c>
      <c r="AH2755">
        <v>0</v>
      </c>
      <c r="AI2755">
        <v>100</v>
      </c>
      <c r="AJ2755">
        <v>1</v>
      </c>
      <c r="AK2755">
        <v>0</v>
      </c>
      <c r="AL2755">
        <v>0</v>
      </c>
      <c r="AM2755">
        <v>100</v>
      </c>
      <c r="AN2755">
        <v>0</v>
      </c>
      <c r="AO2755">
        <v>0</v>
      </c>
      <c r="AP2755">
        <v>0</v>
      </c>
      <c r="AQ2755">
        <v>0</v>
      </c>
      <c r="AS2755">
        <v>0</v>
      </c>
      <c r="AT2755">
        <v>0</v>
      </c>
      <c r="AV2755">
        <v>0</v>
      </c>
      <c r="AW2755">
        <v>0</v>
      </c>
      <c r="AY2755">
        <v>0</v>
      </c>
      <c r="AZ2755">
        <v>0</v>
      </c>
      <c r="BA2755">
        <v>70</v>
      </c>
      <c r="BC2755" t="str">
        <f>T("0000000000000")</f>
        <v>0000000000000</v>
      </c>
      <c r="BE2755" t="str">
        <f>T("9791162589724")</f>
        <v>9791162589724</v>
      </c>
      <c r="BF2755" t="str">
        <f>T("E768854")</f>
        <v>E768854</v>
      </c>
      <c r="BG2755" t="str">
        <f>T("판타지 웹소설 &gt; 퓨전 판타지")</f>
        <v>판타지 웹소설 &gt; 퓨전 판타지</v>
      </c>
    </row>
    <row r="2756" spans="1:59">
      <c r="A2756" t="s">
        <v>60</v>
      </c>
      <c r="B2756" s="1">
        <v>46130</v>
      </c>
      <c r="C2756">
        <v>2378009513</v>
      </c>
      <c r="D2756">
        <v>2378016703</v>
      </c>
      <c r="E2756" t="str">
        <f>T("문과라도 안 죄송한 이세계로 감 314화")</f>
        <v>문과라도 안 죄송한 이세계로 감 314화</v>
      </c>
      <c r="F2756">
        <v>314</v>
      </c>
      <c r="G2756" t="str">
        <f>T("정수읠")</f>
        <v>정수읠</v>
      </c>
      <c r="J2756" t="str">
        <f>T("매드햇")</f>
        <v>매드햇</v>
      </c>
      <c r="K2756" t="str">
        <f>T("문과라도 안 죄송한 이세계로 감")</f>
        <v>문과라도 안 죄송한 이세계로 감</v>
      </c>
      <c r="L2756">
        <v>100</v>
      </c>
      <c r="M2756">
        <v>100</v>
      </c>
      <c r="N2756">
        <v>1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0</v>
      </c>
      <c r="AH2756">
        <v>0</v>
      </c>
      <c r="AI2756">
        <v>100</v>
      </c>
      <c r="AJ2756">
        <v>1</v>
      </c>
      <c r="AK2756">
        <v>0</v>
      </c>
      <c r="AL2756">
        <v>0</v>
      </c>
      <c r="AM2756">
        <v>100</v>
      </c>
      <c r="AN2756">
        <v>0</v>
      </c>
      <c r="AO2756">
        <v>0</v>
      </c>
      <c r="AP2756">
        <v>0</v>
      </c>
      <c r="AQ2756">
        <v>0</v>
      </c>
      <c r="AS2756">
        <v>0</v>
      </c>
      <c r="AT2756">
        <v>0</v>
      </c>
      <c r="AV2756">
        <v>0</v>
      </c>
      <c r="AW2756">
        <v>0</v>
      </c>
      <c r="AY2756">
        <v>0</v>
      </c>
      <c r="AZ2756">
        <v>0</v>
      </c>
      <c r="BA2756">
        <v>70</v>
      </c>
      <c r="BC2756" t="str">
        <f>T("0000000000000")</f>
        <v>0000000000000</v>
      </c>
      <c r="BE2756" t="str">
        <f>T("9791162589724")</f>
        <v>9791162589724</v>
      </c>
      <c r="BF2756" t="str">
        <f>T("E777774")</f>
        <v>E777774</v>
      </c>
      <c r="BG2756" t="str">
        <f>T("판타지 웹소설 &gt; 퓨전 판타지")</f>
        <v>판타지 웹소설 &gt; 퓨전 판타지</v>
      </c>
    </row>
    <row r="2757" spans="1:59">
      <c r="A2757" t="s">
        <v>60</v>
      </c>
      <c r="B2757" s="1">
        <v>46130</v>
      </c>
      <c r="C2757">
        <v>2378009513</v>
      </c>
      <c r="D2757">
        <v>2378016704</v>
      </c>
      <c r="E2757" t="str">
        <f>T("문과라도 안 죄송한 이세계로 감 315화")</f>
        <v>문과라도 안 죄송한 이세계로 감 315화</v>
      </c>
      <c r="F2757">
        <v>315</v>
      </c>
      <c r="G2757" t="str">
        <f>T("정수읠")</f>
        <v>정수읠</v>
      </c>
      <c r="J2757" t="str">
        <f>T("매드햇")</f>
        <v>매드햇</v>
      </c>
      <c r="K2757" t="str">
        <f>T("문과라도 안 죄송한 이세계로 감")</f>
        <v>문과라도 안 죄송한 이세계로 감</v>
      </c>
      <c r="L2757">
        <v>100</v>
      </c>
      <c r="M2757">
        <v>100</v>
      </c>
      <c r="N2757">
        <v>1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0</v>
      </c>
      <c r="AH2757">
        <v>0</v>
      </c>
      <c r="AI2757">
        <v>100</v>
      </c>
      <c r="AJ2757">
        <v>1</v>
      </c>
      <c r="AK2757">
        <v>0</v>
      </c>
      <c r="AL2757">
        <v>0</v>
      </c>
      <c r="AM2757">
        <v>100</v>
      </c>
      <c r="AN2757">
        <v>0</v>
      </c>
      <c r="AO2757">
        <v>0</v>
      </c>
      <c r="AP2757">
        <v>0</v>
      </c>
      <c r="AQ2757">
        <v>0</v>
      </c>
      <c r="AS2757">
        <v>0</v>
      </c>
      <c r="AT2757">
        <v>0</v>
      </c>
      <c r="AV2757">
        <v>0</v>
      </c>
      <c r="AW2757">
        <v>0</v>
      </c>
      <c r="AY2757">
        <v>0</v>
      </c>
      <c r="AZ2757">
        <v>0</v>
      </c>
      <c r="BA2757">
        <v>70</v>
      </c>
      <c r="BC2757" t="str">
        <f>T("0000000000000")</f>
        <v>0000000000000</v>
      </c>
      <c r="BE2757" t="str">
        <f>T("9791162589724")</f>
        <v>9791162589724</v>
      </c>
      <c r="BF2757" t="str">
        <f>T("E777775")</f>
        <v>E777775</v>
      </c>
      <c r="BG2757" t="str">
        <f>T("판타지 웹소설 &gt; 퓨전 판타지")</f>
        <v>판타지 웹소설 &gt; 퓨전 판타지</v>
      </c>
    </row>
    <row r="2758" spans="1:59">
      <c r="A2758" t="s">
        <v>60</v>
      </c>
      <c r="B2758" s="1">
        <v>46130</v>
      </c>
      <c r="C2758">
        <v>2378009513</v>
      </c>
      <c r="D2758">
        <v>2378016705</v>
      </c>
      <c r="E2758" t="str">
        <f>T("문과라도 안 죄송한 이세계로 감 316화")</f>
        <v>문과라도 안 죄송한 이세계로 감 316화</v>
      </c>
      <c r="F2758">
        <v>316</v>
      </c>
      <c r="G2758" t="str">
        <f>T("정수읠")</f>
        <v>정수읠</v>
      </c>
      <c r="J2758" t="str">
        <f>T("매드햇")</f>
        <v>매드햇</v>
      </c>
      <c r="K2758" t="str">
        <f>T("문과라도 안 죄송한 이세계로 감")</f>
        <v>문과라도 안 죄송한 이세계로 감</v>
      </c>
      <c r="L2758">
        <v>100</v>
      </c>
      <c r="M2758">
        <v>100</v>
      </c>
      <c r="N2758">
        <v>1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0</v>
      </c>
      <c r="AH2758">
        <v>0</v>
      </c>
      <c r="AI2758">
        <v>100</v>
      </c>
      <c r="AJ2758">
        <v>1</v>
      </c>
      <c r="AK2758">
        <v>0</v>
      </c>
      <c r="AL2758">
        <v>0</v>
      </c>
      <c r="AM2758">
        <v>100</v>
      </c>
      <c r="AN2758">
        <v>0</v>
      </c>
      <c r="AO2758">
        <v>0</v>
      </c>
      <c r="AP2758">
        <v>0</v>
      </c>
      <c r="AQ2758">
        <v>0</v>
      </c>
      <c r="AS2758">
        <v>0</v>
      </c>
      <c r="AT2758">
        <v>0</v>
      </c>
      <c r="AV2758">
        <v>0</v>
      </c>
      <c r="AW2758">
        <v>0</v>
      </c>
      <c r="AY2758">
        <v>0</v>
      </c>
      <c r="AZ2758">
        <v>0</v>
      </c>
      <c r="BA2758">
        <v>70</v>
      </c>
      <c r="BC2758" t="str">
        <f>T("0000000000000")</f>
        <v>0000000000000</v>
      </c>
      <c r="BE2758" t="str">
        <f>T("9791162589724")</f>
        <v>9791162589724</v>
      </c>
      <c r="BF2758" t="str">
        <f>T("E777776")</f>
        <v>E777776</v>
      </c>
      <c r="BG2758" t="str">
        <f>T("판타지 웹소설 &gt; 퓨전 판타지")</f>
        <v>판타지 웹소설 &gt; 퓨전 판타지</v>
      </c>
    </row>
    <row r="2759" spans="1:59">
      <c r="A2759" t="s">
        <v>60</v>
      </c>
      <c r="B2759" s="1">
        <v>46130</v>
      </c>
      <c r="C2759">
        <v>2378009513</v>
      </c>
      <c r="D2759">
        <v>2378016706</v>
      </c>
      <c r="E2759" t="str">
        <f>T("문과라도 안 죄송한 이세계로 감 317화")</f>
        <v>문과라도 안 죄송한 이세계로 감 317화</v>
      </c>
      <c r="F2759">
        <v>317</v>
      </c>
      <c r="G2759" t="str">
        <f>T("정수읠")</f>
        <v>정수읠</v>
      </c>
      <c r="J2759" t="str">
        <f>T("매드햇")</f>
        <v>매드햇</v>
      </c>
      <c r="K2759" t="str">
        <f>T("문과라도 안 죄송한 이세계로 감")</f>
        <v>문과라도 안 죄송한 이세계로 감</v>
      </c>
      <c r="L2759">
        <v>100</v>
      </c>
      <c r="M2759">
        <v>100</v>
      </c>
      <c r="N2759">
        <v>1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0</v>
      </c>
      <c r="AH2759">
        <v>0</v>
      </c>
      <c r="AI2759">
        <v>100</v>
      </c>
      <c r="AJ2759">
        <v>1</v>
      </c>
      <c r="AK2759">
        <v>0</v>
      </c>
      <c r="AL2759">
        <v>0</v>
      </c>
      <c r="AM2759">
        <v>100</v>
      </c>
      <c r="AN2759">
        <v>0</v>
      </c>
      <c r="AO2759">
        <v>0</v>
      </c>
      <c r="AP2759">
        <v>0</v>
      </c>
      <c r="AQ2759">
        <v>0</v>
      </c>
      <c r="AS2759">
        <v>0</v>
      </c>
      <c r="AT2759">
        <v>0</v>
      </c>
      <c r="AV2759">
        <v>0</v>
      </c>
      <c r="AW2759">
        <v>0</v>
      </c>
      <c r="AY2759">
        <v>0</v>
      </c>
      <c r="AZ2759">
        <v>0</v>
      </c>
      <c r="BA2759">
        <v>70</v>
      </c>
      <c r="BC2759" t="str">
        <f>T("0000000000000")</f>
        <v>0000000000000</v>
      </c>
      <c r="BE2759" t="str">
        <f>T("9791162589724")</f>
        <v>9791162589724</v>
      </c>
      <c r="BF2759" t="str">
        <f>T("E777777")</f>
        <v>E777777</v>
      </c>
      <c r="BG2759" t="str">
        <f>T("판타지 웹소설 &gt; 퓨전 판타지")</f>
        <v>판타지 웹소설 &gt; 퓨전 판타지</v>
      </c>
    </row>
    <row r="2760" spans="1:59">
      <c r="A2760" t="s">
        <v>60</v>
      </c>
      <c r="B2760" s="1">
        <v>46130</v>
      </c>
      <c r="C2760">
        <v>2378009513</v>
      </c>
      <c r="D2760">
        <v>2378016766</v>
      </c>
      <c r="E2760" t="str">
        <f>T("문과라도 안 죄송한 이세계로 감 318화")</f>
        <v>문과라도 안 죄송한 이세계로 감 318화</v>
      </c>
      <c r="F2760">
        <v>318</v>
      </c>
      <c r="G2760" t="str">
        <f>T("정수읠")</f>
        <v>정수읠</v>
      </c>
      <c r="J2760" t="str">
        <f>T("매드햇")</f>
        <v>매드햇</v>
      </c>
      <c r="K2760" t="str">
        <f>T("문과라도 안 죄송한 이세계로 감")</f>
        <v>문과라도 안 죄송한 이세계로 감</v>
      </c>
      <c r="L2760">
        <v>100</v>
      </c>
      <c r="M2760">
        <v>100</v>
      </c>
      <c r="N2760">
        <v>1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0</v>
      </c>
      <c r="AH2760">
        <v>0</v>
      </c>
      <c r="AI2760">
        <v>100</v>
      </c>
      <c r="AJ2760">
        <v>1</v>
      </c>
      <c r="AK2760">
        <v>0</v>
      </c>
      <c r="AL2760">
        <v>0</v>
      </c>
      <c r="AM2760">
        <v>100</v>
      </c>
      <c r="AN2760">
        <v>0</v>
      </c>
      <c r="AO2760">
        <v>0</v>
      </c>
      <c r="AP2760">
        <v>0</v>
      </c>
      <c r="AQ2760">
        <v>0</v>
      </c>
      <c r="AS2760">
        <v>0</v>
      </c>
      <c r="AT2760">
        <v>0</v>
      </c>
      <c r="AV2760">
        <v>0</v>
      </c>
      <c r="AW2760">
        <v>0</v>
      </c>
      <c r="AY2760">
        <v>0</v>
      </c>
      <c r="AZ2760">
        <v>0</v>
      </c>
      <c r="BA2760">
        <v>70</v>
      </c>
      <c r="BC2760" t="str">
        <f>T("0000000000000")</f>
        <v>0000000000000</v>
      </c>
      <c r="BE2760" t="str">
        <f>T("9791162589724")</f>
        <v>9791162589724</v>
      </c>
      <c r="BF2760" t="str">
        <f>T("E777778")</f>
        <v>E777778</v>
      </c>
      <c r="BG2760" t="str">
        <f>T("판타지 웹소설 &gt; 퓨전 판타지")</f>
        <v>판타지 웹소설 &gt; 퓨전 판타지</v>
      </c>
    </row>
    <row r="2761" spans="1:59">
      <c r="A2761" t="s">
        <v>60</v>
      </c>
      <c r="B2761" s="1">
        <v>46130</v>
      </c>
      <c r="C2761">
        <v>2378009513</v>
      </c>
      <c r="D2761">
        <v>2378016767</v>
      </c>
      <c r="E2761" t="str">
        <f>T("문과라도 안 죄송한 이세계로 감 319화")</f>
        <v>문과라도 안 죄송한 이세계로 감 319화</v>
      </c>
      <c r="F2761">
        <v>319</v>
      </c>
      <c r="G2761" t="str">
        <f>T("정수읠")</f>
        <v>정수읠</v>
      </c>
      <c r="J2761" t="str">
        <f>T("매드햇")</f>
        <v>매드햇</v>
      </c>
      <c r="K2761" t="str">
        <f>T("문과라도 안 죄송한 이세계로 감")</f>
        <v>문과라도 안 죄송한 이세계로 감</v>
      </c>
      <c r="L2761">
        <v>100</v>
      </c>
      <c r="M2761">
        <v>100</v>
      </c>
      <c r="N2761">
        <v>1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0</v>
      </c>
      <c r="AH2761">
        <v>0</v>
      </c>
      <c r="AI2761">
        <v>100</v>
      </c>
      <c r="AJ2761">
        <v>1</v>
      </c>
      <c r="AK2761">
        <v>0</v>
      </c>
      <c r="AL2761">
        <v>0</v>
      </c>
      <c r="AM2761">
        <v>100</v>
      </c>
      <c r="AN2761">
        <v>0</v>
      </c>
      <c r="AO2761">
        <v>0</v>
      </c>
      <c r="AP2761">
        <v>0</v>
      </c>
      <c r="AQ2761">
        <v>0</v>
      </c>
      <c r="AS2761">
        <v>0</v>
      </c>
      <c r="AT2761">
        <v>0</v>
      </c>
      <c r="AV2761">
        <v>0</v>
      </c>
      <c r="AW2761">
        <v>0</v>
      </c>
      <c r="AY2761">
        <v>0</v>
      </c>
      <c r="AZ2761">
        <v>0</v>
      </c>
      <c r="BA2761">
        <v>70</v>
      </c>
      <c r="BC2761" t="str">
        <f>T("0000000000000")</f>
        <v>0000000000000</v>
      </c>
      <c r="BE2761" t="str">
        <f>T("9791162589724")</f>
        <v>9791162589724</v>
      </c>
      <c r="BF2761" t="str">
        <f>T("E777779")</f>
        <v>E777779</v>
      </c>
      <c r="BG2761" t="str">
        <f>T("판타지 웹소설 &gt; 퓨전 판타지")</f>
        <v>판타지 웹소설 &gt; 퓨전 판타지</v>
      </c>
    </row>
    <row r="2762" spans="1:59">
      <c r="A2762" t="s">
        <v>60</v>
      </c>
      <c r="B2762" s="1">
        <v>46130</v>
      </c>
      <c r="C2762">
        <v>2378009513</v>
      </c>
      <c r="D2762">
        <v>2378016768</v>
      </c>
      <c r="E2762" t="str">
        <f>T("문과라도 안 죄송한 이세계로 감 320화")</f>
        <v>문과라도 안 죄송한 이세계로 감 320화</v>
      </c>
      <c r="F2762">
        <v>320</v>
      </c>
      <c r="G2762" t="str">
        <f>T("정수읠")</f>
        <v>정수읠</v>
      </c>
      <c r="J2762" t="str">
        <f>T("매드햇")</f>
        <v>매드햇</v>
      </c>
      <c r="K2762" t="str">
        <f>T("문과라도 안 죄송한 이세계로 감")</f>
        <v>문과라도 안 죄송한 이세계로 감</v>
      </c>
      <c r="L2762">
        <v>100</v>
      </c>
      <c r="M2762">
        <v>100</v>
      </c>
      <c r="N2762">
        <v>1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0</v>
      </c>
      <c r="AH2762">
        <v>0</v>
      </c>
      <c r="AI2762">
        <v>100</v>
      </c>
      <c r="AJ2762">
        <v>1</v>
      </c>
      <c r="AK2762">
        <v>0</v>
      </c>
      <c r="AL2762">
        <v>0</v>
      </c>
      <c r="AM2762">
        <v>100</v>
      </c>
      <c r="AN2762">
        <v>0</v>
      </c>
      <c r="AO2762">
        <v>0</v>
      </c>
      <c r="AP2762">
        <v>0</v>
      </c>
      <c r="AQ2762">
        <v>0</v>
      </c>
      <c r="AS2762">
        <v>0</v>
      </c>
      <c r="AT2762">
        <v>0</v>
      </c>
      <c r="AV2762">
        <v>0</v>
      </c>
      <c r="AW2762">
        <v>0</v>
      </c>
      <c r="AY2762">
        <v>0</v>
      </c>
      <c r="AZ2762">
        <v>0</v>
      </c>
      <c r="BA2762">
        <v>70</v>
      </c>
      <c r="BC2762" t="str">
        <f>T("0000000000000")</f>
        <v>0000000000000</v>
      </c>
      <c r="BE2762" t="str">
        <f>T("9791162589724")</f>
        <v>9791162589724</v>
      </c>
      <c r="BF2762" t="str">
        <f>T("E777780")</f>
        <v>E777780</v>
      </c>
      <c r="BG2762" t="str">
        <f>T("판타지 웹소설 &gt; 퓨전 판타지")</f>
        <v>판타지 웹소설 &gt; 퓨전 판타지</v>
      </c>
    </row>
    <row r="2763" spans="1:59">
      <c r="A2763" t="s">
        <v>60</v>
      </c>
      <c r="B2763" s="1">
        <v>46130</v>
      </c>
      <c r="C2763">
        <v>2378009513</v>
      </c>
      <c r="D2763">
        <v>2378016769</v>
      </c>
      <c r="E2763" t="str">
        <f>T("문과라도 안 죄송한 이세계로 감 321화")</f>
        <v>문과라도 안 죄송한 이세계로 감 321화</v>
      </c>
      <c r="F2763">
        <v>321</v>
      </c>
      <c r="G2763" t="str">
        <f>T("정수읠")</f>
        <v>정수읠</v>
      </c>
      <c r="J2763" t="str">
        <f>T("매드햇")</f>
        <v>매드햇</v>
      </c>
      <c r="K2763" t="str">
        <f>T("문과라도 안 죄송한 이세계로 감")</f>
        <v>문과라도 안 죄송한 이세계로 감</v>
      </c>
      <c r="L2763">
        <v>100</v>
      </c>
      <c r="M2763">
        <v>100</v>
      </c>
      <c r="N2763">
        <v>1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0</v>
      </c>
      <c r="AH2763">
        <v>0</v>
      </c>
      <c r="AI2763">
        <v>100</v>
      </c>
      <c r="AJ2763">
        <v>1</v>
      </c>
      <c r="AK2763">
        <v>0</v>
      </c>
      <c r="AL2763">
        <v>0</v>
      </c>
      <c r="AM2763">
        <v>100</v>
      </c>
      <c r="AN2763">
        <v>0</v>
      </c>
      <c r="AO2763">
        <v>0</v>
      </c>
      <c r="AP2763">
        <v>0</v>
      </c>
      <c r="AQ2763">
        <v>0</v>
      </c>
      <c r="AS2763">
        <v>0</v>
      </c>
      <c r="AT2763">
        <v>0</v>
      </c>
      <c r="AV2763">
        <v>0</v>
      </c>
      <c r="AW2763">
        <v>0</v>
      </c>
      <c r="AY2763">
        <v>0</v>
      </c>
      <c r="AZ2763">
        <v>0</v>
      </c>
      <c r="BA2763">
        <v>70</v>
      </c>
      <c r="BC2763" t="str">
        <f>T("0000000000000")</f>
        <v>0000000000000</v>
      </c>
      <c r="BE2763" t="str">
        <f>T("9791162589724")</f>
        <v>9791162589724</v>
      </c>
      <c r="BF2763" t="str">
        <f>T("E777781")</f>
        <v>E777781</v>
      </c>
      <c r="BG2763" t="str">
        <f>T("판타지 웹소설 &gt; 퓨전 판타지")</f>
        <v>판타지 웹소설 &gt; 퓨전 판타지</v>
      </c>
    </row>
    <row r="2764" spans="1:59">
      <c r="A2764" t="s">
        <v>60</v>
      </c>
      <c r="B2764" s="1">
        <v>46130</v>
      </c>
      <c r="C2764">
        <v>2378009513</v>
      </c>
      <c r="D2764">
        <v>2378017578</v>
      </c>
      <c r="E2764" t="str">
        <f>T("문과라도 안 죄송한 이세계로 감 322화")</f>
        <v>문과라도 안 죄송한 이세계로 감 322화</v>
      </c>
      <c r="F2764">
        <v>322</v>
      </c>
      <c r="G2764" t="str">
        <f>T("정수읠")</f>
        <v>정수읠</v>
      </c>
      <c r="J2764" t="str">
        <f>T("매드햇")</f>
        <v>매드햇</v>
      </c>
      <c r="K2764" t="str">
        <f>T("문과라도 안 죄송한 이세계로 감")</f>
        <v>문과라도 안 죄송한 이세계로 감</v>
      </c>
      <c r="L2764">
        <v>100</v>
      </c>
      <c r="M2764">
        <v>100</v>
      </c>
      <c r="N2764">
        <v>1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0</v>
      </c>
      <c r="AH2764">
        <v>0</v>
      </c>
      <c r="AI2764">
        <v>100</v>
      </c>
      <c r="AJ2764">
        <v>1</v>
      </c>
      <c r="AK2764">
        <v>0</v>
      </c>
      <c r="AL2764">
        <v>0</v>
      </c>
      <c r="AM2764">
        <v>100</v>
      </c>
      <c r="AN2764">
        <v>0</v>
      </c>
      <c r="AO2764">
        <v>0</v>
      </c>
      <c r="AP2764">
        <v>0</v>
      </c>
      <c r="AQ2764">
        <v>0</v>
      </c>
      <c r="AS2764">
        <v>0</v>
      </c>
      <c r="AT2764">
        <v>0</v>
      </c>
      <c r="AV2764">
        <v>0</v>
      </c>
      <c r="AW2764">
        <v>0</v>
      </c>
      <c r="AY2764">
        <v>0</v>
      </c>
      <c r="AZ2764">
        <v>0</v>
      </c>
      <c r="BA2764">
        <v>70</v>
      </c>
      <c r="BC2764" t="str">
        <f>T("0000000000000")</f>
        <v>0000000000000</v>
      </c>
      <c r="BE2764" t="str">
        <f>T("9791162589724")</f>
        <v>9791162589724</v>
      </c>
      <c r="BF2764" t="str">
        <f>T("E781666")</f>
        <v>E781666</v>
      </c>
      <c r="BG2764" t="str">
        <f>T("판타지 웹소설 &gt; 퓨전 판타지")</f>
        <v>판타지 웹소설 &gt; 퓨전 판타지</v>
      </c>
    </row>
    <row r="2765" spans="1:59">
      <c r="A2765" t="s">
        <v>60</v>
      </c>
      <c r="B2765" s="1">
        <v>46130</v>
      </c>
      <c r="C2765">
        <v>2378009513</v>
      </c>
      <c r="D2765">
        <v>2378017579</v>
      </c>
      <c r="E2765" t="str">
        <f>T("문과라도 안 죄송한 이세계로 감 323화")</f>
        <v>문과라도 안 죄송한 이세계로 감 323화</v>
      </c>
      <c r="F2765">
        <v>323</v>
      </c>
      <c r="G2765" t="str">
        <f>T("정수읠")</f>
        <v>정수읠</v>
      </c>
      <c r="J2765" t="str">
        <f>T("매드햇")</f>
        <v>매드햇</v>
      </c>
      <c r="K2765" t="str">
        <f>T("문과라도 안 죄송한 이세계로 감")</f>
        <v>문과라도 안 죄송한 이세계로 감</v>
      </c>
      <c r="L2765">
        <v>100</v>
      </c>
      <c r="M2765">
        <v>100</v>
      </c>
      <c r="N2765">
        <v>1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0</v>
      </c>
      <c r="AH2765">
        <v>0</v>
      </c>
      <c r="AI2765">
        <v>100</v>
      </c>
      <c r="AJ2765">
        <v>1</v>
      </c>
      <c r="AK2765">
        <v>0</v>
      </c>
      <c r="AL2765">
        <v>0</v>
      </c>
      <c r="AM2765">
        <v>100</v>
      </c>
      <c r="AN2765">
        <v>0</v>
      </c>
      <c r="AO2765">
        <v>0</v>
      </c>
      <c r="AP2765">
        <v>0</v>
      </c>
      <c r="AQ2765">
        <v>0</v>
      </c>
      <c r="AS2765">
        <v>0</v>
      </c>
      <c r="AT2765">
        <v>0</v>
      </c>
      <c r="AV2765">
        <v>0</v>
      </c>
      <c r="AW2765">
        <v>0</v>
      </c>
      <c r="AY2765">
        <v>0</v>
      </c>
      <c r="AZ2765">
        <v>0</v>
      </c>
      <c r="BA2765">
        <v>70</v>
      </c>
      <c r="BC2765" t="str">
        <f>T("0000000000000")</f>
        <v>0000000000000</v>
      </c>
      <c r="BE2765" t="str">
        <f>T("9791162589724")</f>
        <v>9791162589724</v>
      </c>
      <c r="BF2765" t="str">
        <f>T("E781667")</f>
        <v>E781667</v>
      </c>
      <c r="BG2765" t="str">
        <f>T("판타지 웹소설 &gt; 퓨전 판타지")</f>
        <v>판타지 웹소설 &gt; 퓨전 판타지</v>
      </c>
    </row>
    <row r="2766" spans="1:59">
      <c r="A2766" t="s">
        <v>60</v>
      </c>
      <c r="B2766" s="1">
        <v>46130</v>
      </c>
      <c r="C2766">
        <v>2378009513</v>
      </c>
      <c r="D2766">
        <v>2378017580</v>
      </c>
      <c r="E2766" t="str">
        <f>T("문과라도 안 죄송한 이세계로 감 324화")</f>
        <v>문과라도 안 죄송한 이세계로 감 324화</v>
      </c>
      <c r="F2766">
        <v>324</v>
      </c>
      <c r="G2766" t="str">
        <f>T("정수읠")</f>
        <v>정수읠</v>
      </c>
      <c r="J2766" t="str">
        <f>T("매드햇")</f>
        <v>매드햇</v>
      </c>
      <c r="K2766" t="str">
        <f>T("문과라도 안 죄송한 이세계로 감")</f>
        <v>문과라도 안 죄송한 이세계로 감</v>
      </c>
      <c r="L2766">
        <v>100</v>
      </c>
      <c r="M2766">
        <v>100</v>
      </c>
      <c r="N2766">
        <v>1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0</v>
      </c>
      <c r="AH2766">
        <v>0</v>
      </c>
      <c r="AI2766">
        <v>100</v>
      </c>
      <c r="AJ2766">
        <v>1</v>
      </c>
      <c r="AK2766">
        <v>0</v>
      </c>
      <c r="AL2766">
        <v>0</v>
      </c>
      <c r="AM2766">
        <v>100</v>
      </c>
      <c r="AN2766">
        <v>0</v>
      </c>
      <c r="AO2766">
        <v>0</v>
      </c>
      <c r="AP2766">
        <v>0</v>
      </c>
      <c r="AQ2766">
        <v>0</v>
      </c>
      <c r="AS2766">
        <v>0</v>
      </c>
      <c r="AT2766">
        <v>0</v>
      </c>
      <c r="AV2766">
        <v>0</v>
      </c>
      <c r="AW2766">
        <v>0</v>
      </c>
      <c r="AY2766">
        <v>0</v>
      </c>
      <c r="AZ2766">
        <v>0</v>
      </c>
      <c r="BA2766">
        <v>70</v>
      </c>
      <c r="BC2766" t="str">
        <f>T("0000000000000")</f>
        <v>0000000000000</v>
      </c>
      <c r="BE2766" t="str">
        <f>T("9791162589724")</f>
        <v>9791162589724</v>
      </c>
      <c r="BF2766" t="str">
        <f>T("E781668")</f>
        <v>E781668</v>
      </c>
      <c r="BG2766" t="str">
        <f>T("판타지 웹소설 &gt; 퓨전 판타지")</f>
        <v>판타지 웹소설 &gt; 퓨전 판타지</v>
      </c>
    </row>
    <row r="2767" spans="1:59">
      <c r="A2767" t="s">
        <v>60</v>
      </c>
      <c r="B2767" s="1">
        <v>46130</v>
      </c>
      <c r="C2767">
        <v>2378009513</v>
      </c>
      <c r="D2767">
        <v>2378017581</v>
      </c>
      <c r="E2767" t="str">
        <f>T("문과라도 안 죄송한 이세계로 감 325화")</f>
        <v>문과라도 안 죄송한 이세계로 감 325화</v>
      </c>
      <c r="F2767">
        <v>325</v>
      </c>
      <c r="G2767" t="str">
        <f>T("정수읠")</f>
        <v>정수읠</v>
      </c>
      <c r="J2767" t="str">
        <f>T("매드햇")</f>
        <v>매드햇</v>
      </c>
      <c r="K2767" t="str">
        <f>T("문과라도 안 죄송한 이세계로 감")</f>
        <v>문과라도 안 죄송한 이세계로 감</v>
      </c>
      <c r="L2767">
        <v>100</v>
      </c>
      <c r="M2767">
        <v>100</v>
      </c>
      <c r="N2767">
        <v>1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0</v>
      </c>
      <c r="AH2767">
        <v>0</v>
      </c>
      <c r="AI2767">
        <v>100</v>
      </c>
      <c r="AJ2767">
        <v>1</v>
      </c>
      <c r="AK2767">
        <v>0</v>
      </c>
      <c r="AL2767">
        <v>0</v>
      </c>
      <c r="AM2767">
        <v>100</v>
      </c>
      <c r="AN2767">
        <v>0</v>
      </c>
      <c r="AO2767">
        <v>0</v>
      </c>
      <c r="AP2767">
        <v>0</v>
      </c>
      <c r="AQ2767">
        <v>0</v>
      </c>
      <c r="AS2767">
        <v>0</v>
      </c>
      <c r="AT2767">
        <v>0</v>
      </c>
      <c r="AV2767">
        <v>0</v>
      </c>
      <c r="AW2767">
        <v>0</v>
      </c>
      <c r="AY2767">
        <v>0</v>
      </c>
      <c r="AZ2767">
        <v>0</v>
      </c>
      <c r="BA2767">
        <v>70</v>
      </c>
      <c r="BC2767" t="str">
        <f>T("0000000000000")</f>
        <v>0000000000000</v>
      </c>
      <c r="BE2767" t="str">
        <f>T("9791162589724")</f>
        <v>9791162589724</v>
      </c>
      <c r="BF2767" t="str">
        <f>T("E781669")</f>
        <v>E781669</v>
      </c>
      <c r="BG2767" t="str">
        <f>T("판타지 웹소설 &gt; 퓨전 판타지")</f>
        <v>판타지 웹소설 &gt; 퓨전 판타지</v>
      </c>
    </row>
    <row r="2768" spans="1:59">
      <c r="A2768" t="s">
        <v>60</v>
      </c>
      <c r="B2768" s="1">
        <v>46130</v>
      </c>
      <c r="C2768">
        <v>2378009513</v>
      </c>
      <c r="D2768">
        <v>2378009515</v>
      </c>
      <c r="E2768" t="str">
        <f>T("문과라도 안 죄송한 이세계로 감 3화")</f>
        <v>문과라도 안 죄송한 이세계로 감 3화</v>
      </c>
      <c r="F2768">
        <v>3</v>
      </c>
      <c r="G2768" t="str">
        <f>T("정수읠")</f>
        <v>정수읠</v>
      </c>
      <c r="J2768" t="str">
        <f>T("매드햇")</f>
        <v>매드햇</v>
      </c>
      <c r="K2768" t="str">
        <f>T("문과라도 안 죄송한 이세계로 감")</f>
        <v>문과라도 안 죄송한 이세계로 감</v>
      </c>
      <c r="L2768">
        <v>0</v>
      </c>
      <c r="M2768">
        <v>0</v>
      </c>
      <c r="N2768">
        <v>0</v>
      </c>
      <c r="O2768">
        <v>3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0</v>
      </c>
      <c r="AH2768">
        <v>0</v>
      </c>
      <c r="AI2768">
        <v>0</v>
      </c>
      <c r="AJ2768">
        <v>3</v>
      </c>
      <c r="AK2768">
        <v>0</v>
      </c>
      <c r="AL2768">
        <v>0</v>
      </c>
      <c r="AM2768">
        <v>0</v>
      </c>
      <c r="AN2768">
        <v>0</v>
      </c>
      <c r="AO2768">
        <v>0</v>
      </c>
      <c r="AP2768">
        <v>0</v>
      </c>
      <c r="AQ2768">
        <v>0</v>
      </c>
      <c r="AS2768">
        <v>0</v>
      </c>
      <c r="AT2768">
        <v>0</v>
      </c>
      <c r="AV2768">
        <v>0</v>
      </c>
      <c r="AW2768">
        <v>0</v>
      </c>
      <c r="AY2768">
        <v>0</v>
      </c>
      <c r="AZ2768">
        <v>0</v>
      </c>
      <c r="BA2768">
        <v>0</v>
      </c>
      <c r="BE2768" t="str">
        <f>T("9791162589724")</f>
        <v>9791162589724</v>
      </c>
      <c r="BF2768" t="str">
        <f>T("E448239")</f>
        <v>E448239</v>
      </c>
      <c r="BG2768" t="str">
        <f>T("판타지 웹소설 &gt; 퓨전 판타지")</f>
        <v>판타지 웹소설 &gt; 퓨전 판타지</v>
      </c>
    </row>
    <row r="2769" spans="1:59">
      <c r="A2769" t="s">
        <v>60</v>
      </c>
      <c r="B2769" s="1">
        <v>46130</v>
      </c>
      <c r="C2769">
        <v>2378009513</v>
      </c>
      <c r="D2769">
        <v>2378009579</v>
      </c>
      <c r="E2769" t="str">
        <f>T("문과라도 안 죄송한 이세계로 감 67화")</f>
        <v>문과라도 안 죄송한 이세계로 감 67화</v>
      </c>
      <c r="F2769">
        <v>67</v>
      </c>
      <c r="G2769" t="str">
        <f>T("정수읠")</f>
        <v>정수읠</v>
      </c>
      <c r="J2769" t="str">
        <f>T("매드햇")</f>
        <v>매드햇</v>
      </c>
      <c r="K2769" t="str">
        <f>T("문과라도 안 죄송한 이세계로 감")</f>
        <v>문과라도 안 죄송한 이세계로 감</v>
      </c>
      <c r="L2769">
        <v>100</v>
      </c>
      <c r="M2769">
        <v>100</v>
      </c>
      <c r="N2769">
        <v>1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0</v>
      </c>
      <c r="AH2769">
        <v>0</v>
      </c>
      <c r="AI2769">
        <v>100</v>
      </c>
      <c r="AJ2769">
        <v>1</v>
      </c>
      <c r="AK2769">
        <v>0</v>
      </c>
      <c r="AL2769">
        <v>0</v>
      </c>
      <c r="AM2769">
        <v>100</v>
      </c>
      <c r="AN2769">
        <v>0</v>
      </c>
      <c r="AO2769">
        <v>0</v>
      </c>
      <c r="AP2769">
        <v>0</v>
      </c>
      <c r="AQ2769">
        <v>0</v>
      </c>
      <c r="AS2769">
        <v>0</v>
      </c>
      <c r="AT2769">
        <v>0</v>
      </c>
      <c r="AV2769">
        <v>0</v>
      </c>
      <c r="AW2769">
        <v>0</v>
      </c>
      <c r="AY2769">
        <v>0</v>
      </c>
      <c r="AZ2769">
        <v>0</v>
      </c>
      <c r="BA2769">
        <v>70</v>
      </c>
      <c r="BE2769" t="str">
        <f>T("9791162589724")</f>
        <v>9791162589724</v>
      </c>
      <c r="BF2769" t="str">
        <f>T("E448303")</f>
        <v>E448303</v>
      </c>
      <c r="BG2769" t="str">
        <f>T("판타지 웹소설 &gt; 퓨전 판타지")</f>
        <v>판타지 웹소설 &gt; 퓨전 판타지</v>
      </c>
    </row>
    <row r="2770" spans="1:59">
      <c r="A2770" t="s">
        <v>60</v>
      </c>
      <c r="B2770" s="1">
        <v>46130</v>
      </c>
      <c r="C2770">
        <v>2378009513</v>
      </c>
      <c r="D2770">
        <v>2378009580</v>
      </c>
      <c r="E2770" t="str">
        <f>T("문과라도 안 죄송한 이세계로 감 68화")</f>
        <v>문과라도 안 죄송한 이세계로 감 68화</v>
      </c>
      <c r="F2770">
        <v>68</v>
      </c>
      <c r="G2770" t="str">
        <f>T("정수읠")</f>
        <v>정수읠</v>
      </c>
      <c r="J2770" t="str">
        <f>T("매드햇")</f>
        <v>매드햇</v>
      </c>
      <c r="K2770" t="str">
        <f>T("문과라도 안 죄송한 이세계로 감")</f>
        <v>문과라도 안 죄송한 이세계로 감</v>
      </c>
      <c r="L2770">
        <v>100</v>
      </c>
      <c r="M2770">
        <v>100</v>
      </c>
      <c r="N2770">
        <v>1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0</v>
      </c>
      <c r="AH2770">
        <v>0</v>
      </c>
      <c r="AI2770">
        <v>100</v>
      </c>
      <c r="AJ2770">
        <v>1</v>
      </c>
      <c r="AK2770">
        <v>0</v>
      </c>
      <c r="AL2770">
        <v>0</v>
      </c>
      <c r="AM2770">
        <v>100</v>
      </c>
      <c r="AN2770">
        <v>0</v>
      </c>
      <c r="AO2770">
        <v>0</v>
      </c>
      <c r="AP2770">
        <v>0</v>
      </c>
      <c r="AQ2770">
        <v>0</v>
      </c>
      <c r="AS2770">
        <v>0</v>
      </c>
      <c r="AT2770">
        <v>0</v>
      </c>
      <c r="AV2770">
        <v>0</v>
      </c>
      <c r="AW2770">
        <v>0</v>
      </c>
      <c r="AY2770">
        <v>0</v>
      </c>
      <c r="AZ2770">
        <v>0</v>
      </c>
      <c r="BA2770">
        <v>70</v>
      </c>
      <c r="BE2770" t="str">
        <f>T("9791162589724")</f>
        <v>9791162589724</v>
      </c>
      <c r="BF2770" t="str">
        <f>T("E448304")</f>
        <v>E448304</v>
      </c>
      <c r="BG2770" t="str">
        <f>T("판타지 웹소설 &gt; 퓨전 판타지")</f>
        <v>판타지 웹소설 &gt; 퓨전 판타지</v>
      </c>
    </row>
    <row r="2771" spans="1:59">
      <c r="A2771" t="s">
        <v>60</v>
      </c>
      <c r="B2771" s="1">
        <v>46130</v>
      </c>
      <c r="C2771">
        <v>2378009513</v>
      </c>
      <c r="D2771">
        <v>2378009581</v>
      </c>
      <c r="E2771" t="str">
        <f>T("문과라도 안 죄송한 이세계로 감 69화")</f>
        <v>문과라도 안 죄송한 이세계로 감 69화</v>
      </c>
      <c r="F2771">
        <v>69</v>
      </c>
      <c r="G2771" t="str">
        <f>T("정수읠")</f>
        <v>정수읠</v>
      </c>
      <c r="J2771" t="str">
        <f>T("매드햇")</f>
        <v>매드햇</v>
      </c>
      <c r="K2771" t="str">
        <f>T("문과라도 안 죄송한 이세계로 감")</f>
        <v>문과라도 안 죄송한 이세계로 감</v>
      </c>
      <c r="L2771">
        <v>100</v>
      </c>
      <c r="M2771">
        <v>100</v>
      </c>
      <c r="N2771">
        <v>1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0</v>
      </c>
      <c r="AH2771">
        <v>0</v>
      </c>
      <c r="AI2771">
        <v>100</v>
      </c>
      <c r="AJ2771">
        <v>1</v>
      </c>
      <c r="AK2771">
        <v>0</v>
      </c>
      <c r="AL2771">
        <v>0</v>
      </c>
      <c r="AM2771">
        <v>100</v>
      </c>
      <c r="AN2771">
        <v>0</v>
      </c>
      <c r="AO2771">
        <v>0</v>
      </c>
      <c r="AP2771">
        <v>0</v>
      </c>
      <c r="AQ2771">
        <v>0</v>
      </c>
      <c r="AS2771">
        <v>0</v>
      </c>
      <c r="AT2771">
        <v>0</v>
      </c>
      <c r="AV2771">
        <v>0</v>
      </c>
      <c r="AW2771">
        <v>0</v>
      </c>
      <c r="AY2771">
        <v>0</v>
      </c>
      <c r="AZ2771">
        <v>0</v>
      </c>
      <c r="BA2771">
        <v>70</v>
      </c>
      <c r="BE2771" t="str">
        <f>T("9791162589724")</f>
        <v>9791162589724</v>
      </c>
      <c r="BF2771" t="str">
        <f>T("E448305")</f>
        <v>E448305</v>
      </c>
      <c r="BG2771" t="str">
        <f>T("판타지 웹소설 &gt; 퓨전 판타지")</f>
        <v>판타지 웹소설 &gt; 퓨전 판타지</v>
      </c>
    </row>
    <row r="2772" spans="1:59">
      <c r="A2772" t="s">
        <v>60</v>
      </c>
      <c r="B2772" s="1">
        <v>46130</v>
      </c>
      <c r="C2772">
        <v>2378009513</v>
      </c>
      <c r="D2772">
        <v>2378009725</v>
      </c>
      <c r="E2772" t="str">
        <f>T("문과라도 안 죄송한 이세계로 감 116화")</f>
        <v>문과라도 안 죄송한 이세계로 감 116화</v>
      </c>
      <c r="F2772">
        <v>116</v>
      </c>
      <c r="G2772" t="str">
        <f>T("정수읠")</f>
        <v>정수읠</v>
      </c>
      <c r="J2772" t="str">
        <f>T("매드햇")</f>
        <v>매드햇</v>
      </c>
      <c r="K2772" t="str">
        <f>T("문과라도 안 죄송한 이세계로 감")</f>
        <v>문과라도 안 죄송한 이세계로 감</v>
      </c>
      <c r="L2772">
        <v>100</v>
      </c>
      <c r="M2772">
        <v>100</v>
      </c>
      <c r="N2772">
        <v>1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0</v>
      </c>
      <c r="AH2772">
        <v>0</v>
      </c>
      <c r="AI2772">
        <v>100</v>
      </c>
      <c r="AJ2772">
        <v>1</v>
      </c>
      <c r="AK2772">
        <v>0</v>
      </c>
      <c r="AL2772">
        <v>0</v>
      </c>
      <c r="AM2772">
        <v>100</v>
      </c>
      <c r="AN2772">
        <v>0</v>
      </c>
      <c r="AO2772">
        <v>0</v>
      </c>
      <c r="AP2772">
        <v>0</v>
      </c>
      <c r="AQ2772">
        <v>0</v>
      </c>
      <c r="AS2772">
        <v>0</v>
      </c>
      <c r="AT2772">
        <v>0</v>
      </c>
      <c r="AV2772">
        <v>0</v>
      </c>
      <c r="AW2772">
        <v>0</v>
      </c>
      <c r="AY2772">
        <v>0</v>
      </c>
      <c r="AZ2772">
        <v>0</v>
      </c>
      <c r="BA2772">
        <v>70</v>
      </c>
      <c r="BC2772" t="str">
        <f>T("0000000000000")</f>
        <v>0000000000000</v>
      </c>
      <c r="BE2772" t="str">
        <f>T("9791162589724")</f>
        <v>9791162589724</v>
      </c>
      <c r="BF2772" t="str">
        <f>T("E465120")</f>
        <v>E465120</v>
      </c>
      <c r="BG2772" t="str">
        <f>T("판타지 웹소설 &gt; 퓨전 판타지")</f>
        <v>판타지 웹소설 &gt; 퓨전 판타지</v>
      </c>
    </row>
    <row r="2773" spans="1:59">
      <c r="A2773" t="s">
        <v>60</v>
      </c>
      <c r="B2773" s="1">
        <v>46130</v>
      </c>
      <c r="C2773">
        <v>2378009513</v>
      </c>
      <c r="D2773">
        <v>2378009893</v>
      </c>
      <c r="E2773" t="str">
        <f>T("문과라도 안 죄송한 이세계로 감 117화")</f>
        <v>문과라도 안 죄송한 이세계로 감 117화</v>
      </c>
      <c r="F2773">
        <v>117</v>
      </c>
      <c r="G2773" t="str">
        <f>T("정수읠")</f>
        <v>정수읠</v>
      </c>
      <c r="J2773" t="str">
        <f>T("매드햇")</f>
        <v>매드햇</v>
      </c>
      <c r="K2773" t="str">
        <f>T("문과라도 안 죄송한 이세계로 감")</f>
        <v>문과라도 안 죄송한 이세계로 감</v>
      </c>
      <c r="L2773">
        <v>100</v>
      </c>
      <c r="M2773">
        <v>100</v>
      </c>
      <c r="N2773">
        <v>1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0</v>
      </c>
      <c r="AH2773">
        <v>0</v>
      </c>
      <c r="AI2773">
        <v>100</v>
      </c>
      <c r="AJ2773">
        <v>1</v>
      </c>
      <c r="AK2773">
        <v>0</v>
      </c>
      <c r="AL2773">
        <v>0</v>
      </c>
      <c r="AM2773">
        <v>100</v>
      </c>
      <c r="AN2773">
        <v>0</v>
      </c>
      <c r="AO2773">
        <v>0</v>
      </c>
      <c r="AP2773">
        <v>0</v>
      </c>
      <c r="AQ2773">
        <v>0</v>
      </c>
      <c r="AS2773">
        <v>0</v>
      </c>
      <c r="AT2773">
        <v>0</v>
      </c>
      <c r="AV2773">
        <v>0</v>
      </c>
      <c r="AW2773">
        <v>0</v>
      </c>
      <c r="AY2773">
        <v>0</v>
      </c>
      <c r="AZ2773">
        <v>0</v>
      </c>
      <c r="BA2773">
        <v>70</v>
      </c>
      <c r="BC2773" t="str">
        <f>T("0000000000000")</f>
        <v>0000000000000</v>
      </c>
      <c r="BE2773" t="str">
        <f>T("9791162589724")</f>
        <v>9791162589724</v>
      </c>
      <c r="BF2773" t="str">
        <f>T("E469522")</f>
        <v>E469522</v>
      </c>
      <c r="BG2773" t="str">
        <f>T("판타지 웹소설 &gt; 퓨전 판타지")</f>
        <v>판타지 웹소설 &gt; 퓨전 판타지</v>
      </c>
    </row>
    <row r="2774" spans="1:59">
      <c r="A2774" t="s">
        <v>60</v>
      </c>
      <c r="B2774" s="1">
        <v>46130</v>
      </c>
      <c r="C2774">
        <v>2378009513</v>
      </c>
      <c r="D2774">
        <v>2378009582</v>
      </c>
      <c r="E2774" t="str">
        <f>T("문과라도 안 죄송한 이세계로 감 70화")</f>
        <v>문과라도 안 죄송한 이세계로 감 70화</v>
      </c>
      <c r="F2774">
        <v>70</v>
      </c>
      <c r="G2774" t="str">
        <f>T("정수읠")</f>
        <v>정수읠</v>
      </c>
      <c r="J2774" t="str">
        <f>T("매드햇")</f>
        <v>매드햇</v>
      </c>
      <c r="K2774" t="str">
        <f>T("문과라도 안 죄송한 이세계로 감")</f>
        <v>문과라도 안 죄송한 이세계로 감</v>
      </c>
      <c r="L2774">
        <v>100</v>
      </c>
      <c r="M2774">
        <v>100</v>
      </c>
      <c r="N2774">
        <v>1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0</v>
      </c>
      <c r="AH2774">
        <v>0</v>
      </c>
      <c r="AI2774">
        <v>100</v>
      </c>
      <c r="AJ2774">
        <v>1</v>
      </c>
      <c r="AK2774">
        <v>0</v>
      </c>
      <c r="AL2774">
        <v>0</v>
      </c>
      <c r="AM2774">
        <v>100</v>
      </c>
      <c r="AN2774">
        <v>0</v>
      </c>
      <c r="AO2774">
        <v>0</v>
      </c>
      <c r="AP2774">
        <v>0</v>
      </c>
      <c r="AQ2774">
        <v>0</v>
      </c>
      <c r="AS2774">
        <v>0</v>
      </c>
      <c r="AT2774">
        <v>0</v>
      </c>
      <c r="AV2774">
        <v>0</v>
      </c>
      <c r="AW2774">
        <v>0</v>
      </c>
      <c r="AY2774">
        <v>0</v>
      </c>
      <c r="AZ2774">
        <v>0</v>
      </c>
      <c r="BA2774">
        <v>70</v>
      </c>
      <c r="BE2774" t="str">
        <f>T("9791162589724")</f>
        <v>9791162589724</v>
      </c>
      <c r="BF2774" t="str">
        <f>T("E448306")</f>
        <v>E448306</v>
      </c>
      <c r="BG2774" t="str">
        <f>T("판타지 웹소설 &gt; 퓨전 판타지")</f>
        <v>판타지 웹소설 &gt; 퓨전 판타지</v>
      </c>
    </row>
    <row r="2775" spans="1:59">
      <c r="A2775" t="s">
        <v>60</v>
      </c>
      <c r="B2775" s="1">
        <v>46130</v>
      </c>
      <c r="C2775">
        <v>2378009513</v>
      </c>
      <c r="D2775">
        <v>2378009894</v>
      </c>
      <c r="E2775" t="str">
        <f>T("문과라도 안 죄송한 이세계로 감 118화")</f>
        <v>문과라도 안 죄송한 이세계로 감 118화</v>
      </c>
      <c r="F2775">
        <v>118</v>
      </c>
      <c r="G2775" t="str">
        <f>T("정수읠")</f>
        <v>정수읠</v>
      </c>
      <c r="J2775" t="str">
        <f>T("매드햇")</f>
        <v>매드햇</v>
      </c>
      <c r="K2775" t="str">
        <f>T("문과라도 안 죄송한 이세계로 감")</f>
        <v>문과라도 안 죄송한 이세계로 감</v>
      </c>
      <c r="L2775">
        <v>100</v>
      </c>
      <c r="M2775">
        <v>100</v>
      </c>
      <c r="N2775">
        <v>1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0</v>
      </c>
      <c r="AH2775">
        <v>0</v>
      </c>
      <c r="AI2775">
        <v>100</v>
      </c>
      <c r="AJ2775">
        <v>1</v>
      </c>
      <c r="AK2775">
        <v>0</v>
      </c>
      <c r="AL2775">
        <v>0</v>
      </c>
      <c r="AM2775">
        <v>100</v>
      </c>
      <c r="AN2775">
        <v>0</v>
      </c>
      <c r="AO2775">
        <v>0</v>
      </c>
      <c r="AP2775">
        <v>0</v>
      </c>
      <c r="AQ2775">
        <v>0</v>
      </c>
      <c r="AS2775">
        <v>0</v>
      </c>
      <c r="AT2775">
        <v>0</v>
      </c>
      <c r="AV2775">
        <v>0</v>
      </c>
      <c r="AW2775">
        <v>0</v>
      </c>
      <c r="AY2775">
        <v>0</v>
      </c>
      <c r="AZ2775">
        <v>0</v>
      </c>
      <c r="BA2775">
        <v>70</v>
      </c>
      <c r="BC2775" t="str">
        <f>T("0000000000000")</f>
        <v>0000000000000</v>
      </c>
      <c r="BE2775" t="str">
        <f>T("9791162589724")</f>
        <v>9791162589724</v>
      </c>
      <c r="BF2775" t="str">
        <f>T("E469523")</f>
        <v>E469523</v>
      </c>
      <c r="BG2775" t="str">
        <f>T("판타지 웹소설 &gt; 퓨전 판타지")</f>
        <v>판타지 웹소설 &gt; 퓨전 판타지</v>
      </c>
    </row>
    <row r="2776" spans="1:59">
      <c r="A2776" t="s">
        <v>60</v>
      </c>
      <c r="B2776" s="1">
        <v>46130</v>
      </c>
      <c r="C2776">
        <v>2378009513</v>
      </c>
      <c r="D2776">
        <v>2378009583</v>
      </c>
      <c r="E2776" t="str">
        <f>T("문과라도 안 죄송한 이세계로 감 71화")</f>
        <v>문과라도 안 죄송한 이세계로 감 71화</v>
      </c>
      <c r="F2776">
        <v>71</v>
      </c>
      <c r="G2776" t="str">
        <f>T("정수읠")</f>
        <v>정수읠</v>
      </c>
      <c r="J2776" t="str">
        <f>T("매드햇")</f>
        <v>매드햇</v>
      </c>
      <c r="K2776" t="str">
        <f>T("문과라도 안 죄송한 이세계로 감")</f>
        <v>문과라도 안 죄송한 이세계로 감</v>
      </c>
      <c r="L2776">
        <v>100</v>
      </c>
      <c r="M2776">
        <v>100</v>
      </c>
      <c r="N2776">
        <v>1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0</v>
      </c>
      <c r="AH2776">
        <v>0</v>
      </c>
      <c r="AI2776">
        <v>100</v>
      </c>
      <c r="AJ2776">
        <v>1</v>
      </c>
      <c r="AK2776">
        <v>0</v>
      </c>
      <c r="AL2776">
        <v>0</v>
      </c>
      <c r="AM2776">
        <v>100</v>
      </c>
      <c r="AN2776">
        <v>0</v>
      </c>
      <c r="AO2776">
        <v>0</v>
      </c>
      <c r="AP2776">
        <v>0</v>
      </c>
      <c r="AQ2776">
        <v>0</v>
      </c>
      <c r="AS2776">
        <v>0</v>
      </c>
      <c r="AT2776">
        <v>0</v>
      </c>
      <c r="AV2776">
        <v>0</v>
      </c>
      <c r="AW2776">
        <v>0</v>
      </c>
      <c r="AY2776">
        <v>0</v>
      </c>
      <c r="AZ2776">
        <v>0</v>
      </c>
      <c r="BA2776">
        <v>70</v>
      </c>
      <c r="BE2776" t="str">
        <f>T("9791162589724")</f>
        <v>9791162589724</v>
      </c>
      <c r="BF2776" t="str">
        <f>T("E448307")</f>
        <v>E448307</v>
      </c>
      <c r="BG2776" t="str">
        <f>T("판타지 웹소설 &gt; 퓨전 판타지")</f>
        <v>판타지 웹소설 &gt; 퓨전 판타지</v>
      </c>
    </row>
    <row r="2777" spans="1:59">
      <c r="A2777" t="s">
        <v>60</v>
      </c>
      <c r="B2777" s="1">
        <v>46130</v>
      </c>
      <c r="C2777">
        <v>2378009513</v>
      </c>
      <c r="D2777">
        <v>2378009895</v>
      </c>
      <c r="E2777" t="str">
        <f>T("문과라도 안 죄송한 이세계로 감 119화")</f>
        <v>문과라도 안 죄송한 이세계로 감 119화</v>
      </c>
      <c r="F2777">
        <v>119</v>
      </c>
      <c r="G2777" t="str">
        <f>T("정수읠")</f>
        <v>정수읠</v>
      </c>
      <c r="J2777" t="str">
        <f>T("매드햇")</f>
        <v>매드햇</v>
      </c>
      <c r="K2777" t="str">
        <f>T("문과라도 안 죄송한 이세계로 감")</f>
        <v>문과라도 안 죄송한 이세계로 감</v>
      </c>
      <c r="L2777">
        <v>100</v>
      </c>
      <c r="M2777">
        <v>100</v>
      </c>
      <c r="N2777">
        <v>1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0</v>
      </c>
      <c r="AH2777">
        <v>0</v>
      </c>
      <c r="AI2777">
        <v>100</v>
      </c>
      <c r="AJ2777">
        <v>1</v>
      </c>
      <c r="AK2777">
        <v>0</v>
      </c>
      <c r="AL2777">
        <v>0</v>
      </c>
      <c r="AM2777">
        <v>100</v>
      </c>
      <c r="AN2777">
        <v>0</v>
      </c>
      <c r="AO2777">
        <v>0</v>
      </c>
      <c r="AP2777">
        <v>0</v>
      </c>
      <c r="AQ2777">
        <v>0</v>
      </c>
      <c r="AS2777">
        <v>0</v>
      </c>
      <c r="AT2777">
        <v>0</v>
      </c>
      <c r="AV2777">
        <v>0</v>
      </c>
      <c r="AW2777">
        <v>0</v>
      </c>
      <c r="AY2777">
        <v>0</v>
      </c>
      <c r="AZ2777">
        <v>0</v>
      </c>
      <c r="BA2777">
        <v>70</v>
      </c>
      <c r="BC2777" t="str">
        <f>T("0000000000000")</f>
        <v>0000000000000</v>
      </c>
      <c r="BE2777" t="str">
        <f>T("9791162589724")</f>
        <v>9791162589724</v>
      </c>
      <c r="BF2777" t="str">
        <f>T("E469524")</f>
        <v>E469524</v>
      </c>
      <c r="BG2777" t="str">
        <f>T("판타지 웹소설 &gt; 퓨전 판타지")</f>
        <v>판타지 웹소설 &gt; 퓨전 판타지</v>
      </c>
    </row>
    <row r="2778" spans="1:59">
      <c r="A2778" t="s">
        <v>60</v>
      </c>
      <c r="B2778" s="1">
        <v>46130</v>
      </c>
      <c r="C2778">
        <v>2378009513</v>
      </c>
      <c r="D2778">
        <v>2378009896</v>
      </c>
      <c r="E2778" t="str">
        <f>T("문과라도 안 죄송한 이세계로 감 120화")</f>
        <v>문과라도 안 죄송한 이세계로 감 120화</v>
      </c>
      <c r="F2778">
        <v>120</v>
      </c>
      <c r="G2778" t="str">
        <f>T("정수읠")</f>
        <v>정수읠</v>
      </c>
      <c r="J2778" t="str">
        <f>T("매드햇")</f>
        <v>매드햇</v>
      </c>
      <c r="K2778" t="str">
        <f>T("문과라도 안 죄송한 이세계로 감")</f>
        <v>문과라도 안 죄송한 이세계로 감</v>
      </c>
      <c r="L2778">
        <v>100</v>
      </c>
      <c r="M2778">
        <v>100</v>
      </c>
      <c r="N2778">
        <v>1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0</v>
      </c>
      <c r="AH2778">
        <v>0</v>
      </c>
      <c r="AI2778">
        <v>100</v>
      </c>
      <c r="AJ2778">
        <v>1</v>
      </c>
      <c r="AK2778">
        <v>0</v>
      </c>
      <c r="AL2778">
        <v>0</v>
      </c>
      <c r="AM2778">
        <v>100</v>
      </c>
      <c r="AN2778">
        <v>0</v>
      </c>
      <c r="AO2778">
        <v>0</v>
      </c>
      <c r="AP2778">
        <v>0</v>
      </c>
      <c r="AQ2778">
        <v>0</v>
      </c>
      <c r="AS2778">
        <v>0</v>
      </c>
      <c r="AT2778">
        <v>0</v>
      </c>
      <c r="AV2778">
        <v>0</v>
      </c>
      <c r="AW2778">
        <v>0</v>
      </c>
      <c r="AY2778">
        <v>0</v>
      </c>
      <c r="AZ2778">
        <v>0</v>
      </c>
      <c r="BA2778">
        <v>70</v>
      </c>
      <c r="BC2778" t="str">
        <f>T("0000000000000")</f>
        <v>0000000000000</v>
      </c>
      <c r="BE2778" t="str">
        <f>T("9791162589724")</f>
        <v>9791162589724</v>
      </c>
      <c r="BF2778" t="str">
        <f>T("E469525")</f>
        <v>E469525</v>
      </c>
      <c r="BG2778" t="str">
        <f>T("판타지 웹소설 &gt; 퓨전 판타지")</f>
        <v>판타지 웹소설 &gt; 퓨전 판타지</v>
      </c>
    </row>
    <row r="2779" spans="1:59">
      <c r="A2779" t="s">
        <v>60</v>
      </c>
      <c r="B2779" s="1">
        <v>46130</v>
      </c>
      <c r="C2779">
        <v>2378009513</v>
      </c>
      <c r="D2779">
        <v>2378009897</v>
      </c>
      <c r="E2779" t="str">
        <f>T("문과라도 안 죄송한 이세계로 감 121화")</f>
        <v>문과라도 안 죄송한 이세계로 감 121화</v>
      </c>
      <c r="F2779">
        <v>121</v>
      </c>
      <c r="G2779" t="str">
        <f>T("정수읠")</f>
        <v>정수읠</v>
      </c>
      <c r="J2779" t="str">
        <f>T("매드햇")</f>
        <v>매드햇</v>
      </c>
      <c r="K2779" t="str">
        <f>T("문과라도 안 죄송한 이세계로 감")</f>
        <v>문과라도 안 죄송한 이세계로 감</v>
      </c>
      <c r="L2779">
        <v>100</v>
      </c>
      <c r="M2779">
        <v>100</v>
      </c>
      <c r="N2779">
        <v>1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0</v>
      </c>
      <c r="AH2779">
        <v>0</v>
      </c>
      <c r="AI2779">
        <v>100</v>
      </c>
      <c r="AJ2779">
        <v>1</v>
      </c>
      <c r="AK2779">
        <v>0</v>
      </c>
      <c r="AL2779">
        <v>0</v>
      </c>
      <c r="AM2779">
        <v>100</v>
      </c>
      <c r="AN2779">
        <v>0</v>
      </c>
      <c r="AO2779">
        <v>0</v>
      </c>
      <c r="AP2779">
        <v>0</v>
      </c>
      <c r="AQ2779">
        <v>0</v>
      </c>
      <c r="AS2779">
        <v>0</v>
      </c>
      <c r="AT2779">
        <v>0</v>
      </c>
      <c r="AV2779">
        <v>0</v>
      </c>
      <c r="AW2779">
        <v>0</v>
      </c>
      <c r="AY2779">
        <v>0</v>
      </c>
      <c r="AZ2779">
        <v>0</v>
      </c>
      <c r="BA2779">
        <v>70</v>
      </c>
      <c r="BC2779" t="str">
        <f>T("0000000000000")</f>
        <v>0000000000000</v>
      </c>
      <c r="BE2779" t="str">
        <f>T("9791162589724")</f>
        <v>9791162589724</v>
      </c>
      <c r="BF2779" t="str">
        <f>T("E469526")</f>
        <v>E469526</v>
      </c>
      <c r="BG2779" t="str">
        <f>T("판타지 웹소설 &gt; 퓨전 판타지")</f>
        <v>판타지 웹소설 &gt; 퓨전 판타지</v>
      </c>
    </row>
    <row r="2780" spans="1:59">
      <c r="A2780" t="s">
        <v>60</v>
      </c>
      <c r="B2780" s="1">
        <v>46130</v>
      </c>
      <c r="C2780">
        <v>2378009513</v>
      </c>
      <c r="D2780">
        <v>2378009898</v>
      </c>
      <c r="E2780" t="str">
        <f>T("문과라도 안 죄송한 이세계로 감 122화")</f>
        <v>문과라도 안 죄송한 이세계로 감 122화</v>
      </c>
      <c r="F2780">
        <v>122</v>
      </c>
      <c r="G2780" t="str">
        <f>T("정수읠")</f>
        <v>정수읠</v>
      </c>
      <c r="J2780" t="str">
        <f>T("매드햇")</f>
        <v>매드햇</v>
      </c>
      <c r="K2780" t="str">
        <f>T("문과라도 안 죄송한 이세계로 감")</f>
        <v>문과라도 안 죄송한 이세계로 감</v>
      </c>
      <c r="L2780">
        <v>100</v>
      </c>
      <c r="M2780">
        <v>100</v>
      </c>
      <c r="N2780">
        <v>1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0</v>
      </c>
      <c r="AH2780">
        <v>0</v>
      </c>
      <c r="AI2780">
        <v>100</v>
      </c>
      <c r="AJ2780">
        <v>1</v>
      </c>
      <c r="AK2780">
        <v>0</v>
      </c>
      <c r="AL2780">
        <v>0</v>
      </c>
      <c r="AM2780">
        <v>100</v>
      </c>
      <c r="AN2780">
        <v>0</v>
      </c>
      <c r="AO2780">
        <v>0</v>
      </c>
      <c r="AP2780">
        <v>0</v>
      </c>
      <c r="AQ2780">
        <v>0</v>
      </c>
      <c r="AS2780">
        <v>0</v>
      </c>
      <c r="AT2780">
        <v>0</v>
      </c>
      <c r="AV2780">
        <v>0</v>
      </c>
      <c r="AW2780">
        <v>0</v>
      </c>
      <c r="AY2780">
        <v>0</v>
      </c>
      <c r="AZ2780">
        <v>0</v>
      </c>
      <c r="BA2780">
        <v>70</v>
      </c>
      <c r="BC2780" t="str">
        <f>T("0000000000000")</f>
        <v>0000000000000</v>
      </c>
      <c r="BE2780" t="str">
        <f>T("9791162589724")</f>
        <v>9791162589724</v>
      </c>
      <c r="BF2780" t="str">
        <f>T("E469527")</f>
        <v>E469527</v>
      </c>
      <c r="BG2780" t="str">
        <f>T("판타지 웹소설 &gt; 퓨전 판타지")</f>
        <v>판타지 웹소설 &gt; 퓨전 판타지</v>
      </c>
    </row>
    <row r="2781" spans="1:59">
      <c r="A2781" t="s">
        <v>60</v>
      </c>
      <c r="B2781" s="1">
        <v>46130</v>
      </c>
      <c r="C2781">
        <v>2378009513</v>
      </c>
      <c r="D2781">
        <v>2378029906</v>
      </c>
      <c r="E2781" t="str">
        <f>T("문과라도 안 죄송한 이세계로 감 396화")</f>
        <v>문과라도 안 죄송한 이세계로 감 396화</v>
      </c>
      <c r="F2781">
        <v>396</v>
      </c>
      <c r="G2781" t="str">
        <f>T("정수읠")</f>
        <v>정수읠</v>
      </c>
      <c r="J2781" t="str">
        <f>T("매드햇")</f>
        <v>매드햇</v>
      </c>
      <c r="K2781" t="str">
        <f>T("문과라도 안 죄송한 이세계로 감")</f>
        <v>문과라도 안 죄송한 이세계로 감</v>
      </c>
      <c r="L2781">
        <v>100</v>
      </c>
      <c r="M2781">
        <v>100</v>
      </c>
      <c r="N2781">
        <v>1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0</v>
      </c>
      <c r="AH2781">
        <v>0</v>
      </c>
      <c r="AI2781">
        <v>100</v>
      </c>
      <c r="AJ2781">
        <v>1</v>
      </c>
      <c r="AK2781">
        <v>0</v>
      </c>
      <c r="AL2781">
        <v>0</v>
      </c>
      <c r="AM2781">
        <v>100</v>
      </c>
      <c r="AN2781">
        <v>0</v>
      </c>
      <c r="AO2781">
        <v>0</v>
      </c>
      <c r="AP2781">
        <v>0</v>
      </c>
      <c r="AQ2781">
        <v>0</v>
      </c>
      <c r="AS2781">
        <v>0</v>
      </c>
      <c r="AT2781">
        <v>0</v>
      </c>
      <c r="AV2781">
        <v>0</v>
      </c>
      <c r="AW2781">
        <v>0</v>
      </c>
      <c r="AY2781">
        <v>0</v>
      </c>
      <c r="AZ2781">
        <v>0</v>
      </c>
      <c r="BA2781">
        <v>70</v>
      </c>
      <c r="BC2781" t="str">
        <f>T("0000000000000")</f>
        <v>0000000000000</v>
      </c>
      <c r="BE2781" t="str">
        <f>T("9791162589724")</f>
        <v>9791162589724</v>
      </c>
      <c r="BF2781" t="str">
        <f>T("E869543")</f>
        <v>E869543</v>
      </c>
      <c r="BG2781" t="str">
        <f>T("판타지 웹소설 &gt; 퓨전 판타지")</f>
        <v>판타지 웹소설 &gt; 퓨전 판타지</v>
      </c>
    </row>
    <row r="2782" spans="1:59">
      <c r="A2782" t="s">
        <v>60</v>
      </c>
      <c r="B2782" s="1">
        <v>46130</v>
      </c>
      <c r="C2782">
        <v>2378009513</v>
      </c>
      <c r="D2782">
        <v>2378009899</v>
      </c>
      <c r="E2782" t="str">
        <f>T("문과라도 안 죄송한 이세계로 감 123화")</f>
        <v>문과라도 안 죄송한 이세계로 감 123화</v>
      </c>
      <c r="F2782">
        <v>123</v>
      </c>
      <c r="G2782" t="str">
        <f>T("정수읠")</f>
        <v>정수읠</v>
      </c>
      <c r="J2782" t="str">
        <f>T("매드햇")</f>
        <v>매드햇</v>
      </c>
      <c r="K2782" t="str">
        <f>T("문과라도 안 죄송한 이세계로 감")</f>
        <v>문과라도 안 죄송한 이세계로 감</v>
      </c>
      <c r="L2782">
        <v>100</v>
      </c>
      <c r="M2782">
        <v>100</v>
      </c>
      <c r="N2782">
        <v>1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0</v>
      </c>
      <c r="AH2782">
        <v>0</v>
      </c>
      <c r="AI2782">
        <v>100</v>
      </c>
      <c r="AJ2782">
        <v>1</v>
      </c>
      <c r="AK2782">
        <v>0</v>
      </c>
      <c r="AL2782">
        <v>0</v>
      </c>
      <c r="AM2782">
        <v>100</v>
      </c>
      <c r="AN2782">
        <v>0</v>
      </c>
      <c r="AO2782">
        <v>0</v>
      </c>
      <c r="AP2782">
        <v>0</v>
      </c>
      <c r="AQ2782">
        <v>0</v>
      </c>
      <c r="AS2782">
        <v>0</v>
      </c>
      <c r="AT2782">
        <v>0</v>
      </c>
      <c r="AV2782">
        <v>0</v>
      </c>
      <c r="AW2782">
        <v>0</v>
      </c>
      <c r="AY2782">
        <v>0</v>
      </c>
      <c r="AZ2782">
        <v>0</v>
      </c>
      <c r="BA2782">
        <v>70</v>
      </c>
      <c r="BC2782" t="str">
        <f>T("0000000000000")</f>
        <v>0000000000000</v>
      </c>
      <c r="BE2782" t="str">
        <f>T("9791162589724")</f>
        <v>9791162589724</v>
      </c>
      <c r="BF2782" t="str">
        <f>T("E469528")</f>
        <v>E469528</v>
      </c>
      <c r="BG2782" t="str">
        <f>T("판타지 웹소설 &gt; 퓨전 판타지")</f>
        <v>판타지 웹소설 &gt; 퓨전 판타지</v>
      </c>
    </row>
    <row r="2783" spans="1:59">
      <c r="A2783" t="s">
        <v>60</v>
      </c>
      <c r="B2783" s="1">
        <v>46130</v>
      </c>
      <c r="C2783">
        <v>2378009513</v>
      </c>
      <c r="D2783">
        <v>2378009900</v>
      </c>
      <c r="E2783" t="str">
        <f>T("문과라도 안 죄송한 이세계로 감 124화")</f>
        <v>문과라도 안 죄송한 이세계로 감 124화</v>
      </c>
      <c r="F2783">
        <v>124</v>
      </c>
      <c r="G2783" t="str">
        <f>T("정수읠")</f>
        <v>정수읠</v>
      </c>
      <c r="J2783" t="str">
        <f>T("매드햇")</f>
        <v>매드햇</v>
      </c>
      <c r="K2783" t="str">
        <f>T("문과라도 안 죄송한 이세계로 감")</f>
        <v>문과라도 안 죄송한 이세계로 감</v>
      </c>
      <c r="L2783">
        <v>100</v>
      </c>
      <c r="M2783">
        <v>100</v>
      </c>
      <c r="N2783">
        <v>1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0</v>
      </c>
      <c r="AH2783">
        <v>0</v>
      </c>
      <c r="AI2783">
        <v>100</v>
      </c>
      <c r="AJ2783">
        <v>1</v>
      </c>
      <c r="AK2783">
        <v>0</v>
      </c>
      <c r="AL2783">
        <v>0</v>
      </c>
      <c r="AM2783">
        <v>100</v>
      </c>
      <c r="AN2783">
        <v>0</v>
      </c>
      <c r="AO2783">
        <v>0</v>
      </c>
      <c r="AP2783">
        <v>0</v>
      </c>
      <c r="AQ2783">
        <v>0</v>
      </c>
      <c r="AS2783">
        <v>0</v>
      </c>
      <c r="AT2783">
        <v>0</v>
      </c>
      <c r="AV2783">
        <v>0</v>
      </c>
      <c r="AW2783">
        <v>0</v>
      </c>
      <c r="AY2783">
        <v>0</v>
      </c>
      <c r="AZ2783">
        <v>0</v>
      </c>
      <c r="BA2783">
        <v>70</v>
      </c>
      <c r="BC2783" t="str">
        <f>T("0000000000000")</f>
        <v>0000000000000</v>
      </c>
      <c r="BE2783" t="str">
        <f>T("9791162589724")</f>
        <v>9791162589724</v>
      </c>
      <c r="BF2783" t="str">
        <f>T("E469529")</f>
        <v>E469529</v>
      </c>
      <c r="BG2783" t="str">
        <f>T("판타지 웹소설 &gt; 퓨전 판타지")</f>
        <v>판타지 웹소설 &gt; 퓨전 판타지</v>
      </c>
    </row>
    <row r="2784" spans="1:59">
      <c r="A2784" t="s">
        <v>60</v>
      </c>
      <c r="B2784" s="1">
        <v>46130</v>
      </c>
      <c r="C2784">
        <v>2378009513</v>
      </c>
      <c r="D2784">
        <v>2378010109</v>
      </c>
      <c r="E2784" t="str">
        <f>T("문과라도 안 죄송한 이세계로 감 125화")</f>
        <v>문과라도 안 죄송한 이세계로 감 125화</v>
      </c>
      <c r="F2784">
        <v>125</v>
      </c>
      <c r="G2784" t="str">
        <f>T("정수읠")</f>
        <v>정수읠</v>
      </c>
      <c r="J2784" t="str">
        <f>T("매드햇")</f>
        <v>매드햇</v>
      </c>
      <c r="K2784" t="str">
        <f>T("문과라도 안 죄송한 이세계로 감")</f>
        <v>문과라도 안 죄송한 이세계로 감</v>
      </c>
      <c r="L2784">
        <v>100</v>
      </c>
      <c r="M2784">
        <v>100</v>
      </c>
      <c r="N2784">
        <v>1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0</v>
      </c>
      <c r="AH2784">
        <v>0</v>
      </c>
      <c r="AI2784">
        <v>100</v>
      </c>
      <c r="AJ2784">
        <v>1</v>
      </c>
      <c r="AK2784">
        <v>0</v>
      </c>
      <c r="AL2784">
        <v>0</v>
      </c>
      <c r="AM2784">
        <v>100</v>
      </c>
      <c r="AN2784">
        <v>0</v>
      </c>
      <c r="AO2784">
        <v>0</v>
      </c>
      <c r="AP2784">
        <v>0</v>
      </c>
      <c r="AQ2784">
        <v>0</v>
      </c>
      <c r="AS2784">
        <v>0</v>
      </c>
      <c r="AT2784">
        <v>0</v>
      </c>
      <c r="AV2784">
        <v>0</v>
      </c>
      <c r="AW2784">
        <v>0</v>
      </c>
      <c r="AY2784">
        <v>0</v>
      </c>
      <c r="AZ2784">
        <v>0</v>
      </c>
      <c r="BA2784">
        <v>70</v>
      </c>
      <c r="BC2784" t="str">
        <f>T("0000000000000")</f>
        <v>0000000000000</v>
      </c>
      <c r="BE2784" t="str">
        <f>T("9791162589724")</f>
        <v>9791162589724</v>
      </c>
      <c r="BF2784" t="str">
        <f>T("E521967")</f>
        <v>E521967</v>
      </c>
      <c r="BG2784" t="str">
        <f>T("판타지 웹소설 &gt; 퓨전 판타지")</f>
        <v>판타지 웹소설 &gt; 퓨전 판타지</v>
      </c>
    </row>
    <row r="2785" spans="1:59">
      <c r="A2785" t="s">
        <v>60</v>
      </c>
      <c r="B2785" s="1">
        <v>46130</v>
      </c>
      <c r="C2785">
        <v>2378009513</v>
      </c>
      <c r="D2785">
        <v>2378010110</v>
      </c>
      <c r="E2785" t="str">
        <f>T("문과라도 안 죄송한 이세계로 감 126화")</f>
        <v>문과라도 안 죄송한 이세계로 감 126화</v>
      </c>
      <c r="F2785">
        <v>126</v>
      </c>
      <c r="G2785" t="str">
        <f>T("정수읠")</f>
        <v>정수읠</v>
      </c>
      <c r="J2785" t="str">
        <f>T("매드햇")</f>
        <v>매드햇</v>
      </c>
      <c r="K2785" t="str">
        <f>T("문과라도 안 죄송한 이세계로 감")</f>
        <v>문과라도 안 죄송한 이세계로 감</v>
      </c>
      <c r="L2785">
        <v>100</v>
      </c>
      <c r="M2785">
        <v>100</v>
      </c>
      <c r="N2785">
        <v>1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0</v>
      </c>
      <c r="AH2785">
        <v>0</v>
      </c>
      <c r="AI2785">
        <v>100</v>
      </c>
      <c r="AJ2785">
        <v>1</v>
      </c>
      <c r="AK2785">
        <v>0</v>
      </c>
      <c r="AL2785">
        <v>0</v>
      </c>
      <c r="AM2785">
        <v>100</v>
      </c>
      <c r="AN2785">
        <v>0</v>
      </c>
      <c r="AO2785">
        <v>0</v>
      </c>
      <c r="AP2785">
        <v>0</v>
      </c>
      <c r="AQ2785">
        <v>0</v>
      </c>
      <c r="AS2785">
        <v>0</v>
      </c>
      <c r="AT2785">
        <v>0</v>
      </c>
      <c r="AV2785">
        <v>0</v>
      </c>
      <c r="AW2785">
        <v>0</v>
      </c>
      <c r="AY2785">
        <v>0</v>
      </c>
      <c r="AZ2785">
        <v>0</v>
      </c>
      <c r="BA2785">
        <v>70</v>
      </c>
      <c r="BC2785" t="str">
        <f>T("0000000000000")</f>
        <v>0000000000000</v>
      </c>
      <c r="BE2785" t="str">
        <f>T("9791162589724")</f>
        <v>9791162589724</v>
      </c>
      <c r="BF2785" t="str">
        <f>T("E521968")</f>
        <v>E521968</v>
      </c>
      <c r="BG2785" t="str">
        <f>T("판타지 웹소설 &gt; 퓨전 판타지")</f>
        <v>판타지 웹소설 &gt; 퓨전 판타지</v>
      </c>
    </row>
    <row r="2786" spans="1:59">
      <c r="A2786" t="s">
        <v>60</v>
      </c>
      <c r="B2786" s="1">
        <v>46130</v>
      </c>
      <c r="C2786">
        <v>2378009513</v>
      </c>
      <c r="D2786">
        <v>2378009584</v>
      </c>
      <c r="E2786" t="str">
        <f>T("문과라도 안 죄송한 이세계로 감 72화")</f>
        <v>문과라도 안 죄송한 이세계로 감 72화</v>
      </c>
      <c r="F2786">
        <v>72</v>
      </c>
      <c r="G2786" t="str">
        <f>T("정수읠")</f>
        <v>정수읠</v>
      </c>
      <c r="J2786" t="str">
        <f>T("매드햇")</f>
        <v>매드햇</v>
      </c>
      <c r="K2786" t="str">
        <f>T("문과라도 안 죄송한 이세계로 감")</f>
        <v>문과라도 안 죄송한 이세계로 감</v>
      </c>
      <c r="L2786">
        <v>100</v>
      </c>
      <c r="M2786">
        <v>100</v>
      </c>
      <c r="N2786">
        <v>1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0</v>
      </c>
      <c r="AH2786">
        <v>0</v>
      </c>
      <c r="AI2786">
        <v>100</v>
      </c>
      <c r="AJ2786">
        <v>1</v>
      </c>
      <c r="AK2786">
        <v>0</v>
      </c>
      <c r="AL2786">
        <v>0</v>
      </c>
      <c r="AM2786">
        <v>100</v>
      </c>
      <c r="AN2786">
        <v>0</v>
      </c>
      <c r="AO2786">
        <v>0</v>
      </c>
      <c r="AP2786">
        <v>0</v>
      </c>
      <c r="AQ2786">
        <v>0</v>
      </c>
      <c r="AS2786">
        <v>0</v>
      </c>
      <c r="AT2786">
        <v>0</v>
      </c>
      <c r="AV2786">
        <v>0</v>
      </c>
      <c r="AW2786">
        <v>0</v>
      </c>
      <c r="AY2786">
        <v>0</v>
      </c>
      <c r="AZ2786">
        <v>0</v>
      </c>
      <c r="BA2786">
        <v>70</v>
      </c>
      <c r="BE2786" t="str">
        <f>T("9791162589724")</f>
        <v>9791162589724</v>
      </c>
      <c r="BF2786" t="str">
        <f>T("E448308")</f>
        <v>E448308</v>
      </c>
      <c r="BG2786" t="str">
        <f>T("판타지 웹소설 &gt; 퓨전 판타지")</f>
        <v>판타지 웹소설 &gt; 퓨전 판타지</v>
      </c>
    </row>
    <row r="2787" spans="1:59">
      <c r="A2787" t="s">
        <v>60</v>
      </c>
      <c r="B2787" s="1">
        <v>46130</v>
      </c>
      <c r="C2787">
        <v>2378009513</v>
      </c>
      <c r="D2787">
        <v>2378010111</v>
      </c>
      <c r="E2787" t="str">
        <f>T("문과라도 안 죄송한 이세계로 감 127화")</f>
        <v>문과라도 안 죄송한 이세계로 감 127화</v>
      </c>
      <c r="F2787">
        <v>127</v>
      </c>
      <c r="G2787" t="str">
        <f>T("정수읠")</f>
        <v>정수읠</v>
      </c>
      <c r="J2787" t="str">
        <f>T("매드햇")</f>
        <v>매드햇</v>
      </c>
      <c r="K2787" t="str">
        <f>T("문과라도 안 죄송한 이세계로 감")</f>
        <v>문과라도 안 죄송한 이세계로 감</v>
      </c>
      <c r="L2787">
        <v>100</v>
      </c>
      <c r="M2787">
        <v>100</v>
      </c>
      <c r="N2787">
        <v>1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0</v>
      </c>
      <c r="AH2787">
        <v>0</v>
      </c>
      <c r="AI2787">
        <v>100</v>
      </c>
      <c r="AJ2787">
        <v>1</v>
      </c>
      <c r="AK2787">
        <v>0</v>
      </c>
      <c r="AL2787">
        <v>0</v>
      </c>
      <c r="AM2787">
        <v>100</v>
      </c>
      <c r="AN2787">
        <v>0</v>
      </c>
      <c r="AO2787">
        <v>0</v>
      </c>
      <c r="AP2787">
        <v>0</v>
      </c>
      <c r="AQ2787">
        <v>0</v>
      </c>
      <c r="AS2787">
        <v>0</v>
      </c>
      <c r="AT2787">
        <v>0</v>
      </c>
      <c r="AV2787">
        <v>0</v>
      </c>
      <c r="AW2787">
        <v>0</v>
      </c>
      <c r="AY2787">
        <v>0</v>
      </c>
      <c r="AZ2787">
        <v>0</v>
      </c>
      <c r="BA2787">
        <v>70</v>
      </c>
      <c r="BC2787" t="str">
        <f>T("0000000000000")</f>
        <v>0000000000000</v>
      </c>
      <c r="BE2787" t="str">
        <f>T("9791162589724")</f>
        <v>9791162589724</v>
      </c>
      <c r="BF2787" t="str">
        <f>T("E521969")</f>
        <v>E521969</v>
      </c>
      <c r="BG2787" t="str">
        <f>T("판타지 웹소설 &gt; 퓨전 판타지")</f>
        <v>판타지 웹소설 &gt; 퓨전 판타지</v>
      </c>
    </row>
    <row r="2788" spans="1:59">
      <c r="A2788" t="s">
        <v>60</v>
      </c>
      <c r="B2788" s="1">
        <v>46130</v>
      </c>
      <c r="C2788">
        <v>2378009513</v>
      </c>
      <c r="D2788">
        <v>2378009585</v>
      </c>
      <c r="E2788" t="str">
        <f>T("문과라도 안 죄송한 이세계로 감 73화")</f>
        <v>문과라도 안 죄송한 이세계로 감 73화</v>
      </c>
      <c r="F2788">
        <v>73</v>
      </c>
      <c r="G2788" t="str">
        <f>T("정수읠")</f>
        <v>정수읠</v>
      </c>
      <c r="J2788" t="str">
        <f>T("매드햇")</f>
        <v>매드햇</v>
      </c>
      <c r="K2788" t="str">
        <f>T("문과라도 안 죄송한 이세계로 감")</f>
        <v>문과라도 안 죄송한 이세계로 감</v>
      </c>
      <c r="L2788">
        <v>100</v>
      </c>
      <c r="M2788">
        <v>100</v>
      </c>
      <c r="N2788">
        <v>1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0</v>
      </c>
      <c r="AH2788">
        <v>0</v>
      </c>
      <c r="AI2788">
        <v>100</v>
      </c>
      <c r="AJ2788">
        <v>1</v>
      </c>
      <c r="AK2788">
        <v>0</v>
      </c>
      <c r="AL2788">
        <v>0</v>
      </c>
      <c r="AM2788">
        <v>100</v>
      </c>
      <c r="AN2788">
        <v>0</v>
      </c>
      <c r="AO2788">
        <v>0</v>
      </c>
      <c r="AP2788">
        <v>0</v>
      </c>
      <c r="AQ2788">
        <v>0</v>
      </c>
      <c r="AS2788">
        <v>0</v>
      </c>
      <c r="AT2788">
        <v>0</v>
      </c>
      <c r="AV2788">
        <v>0</v>
      </c>
      <c r="AW2788">
        <v>0</v>
      </c>
      <c r="AY2788">
        <v>0</v>
      </c>
      <c r="AZ2788">
        <v>0</v>
      </c>
      <c r="BA2788">
        <v>70</v>
      </c>
      <c r="BE2788" t="str">
        <f>T("9791162589724")</f>
        <v>9791162589724</v>
      </c>
      <c r="BF2788" t="str">
        <f>T("E448309")</f>
        <v>E448309</v>
      </c>
      <c r="BG2788" t="str">
        <f>T("판타지 웹소설 &gt; 퓨전 판타지")</f>
        <v>판타지 웹소설 &gt; 퓨전 판타지</v>
      </c>
    </row>
    <row r="2789" spans="1:59">
      <c r="A2789" t="s">
        <v>60</v>
      </c>
      <c r="B2789" s="1">
        <v>46130</v>
      </c>
      <c r="C2789">
        <v>2378009513</v>
      </c>
      <c r="D2789">
        <v>2378010112</v>
      </c>
      <c r="E2789" t="str">
        <f>T("문과라도 안 죄송한 이세계로 감 128화")</f>
        <v>문과라도 안 죄송한 이세계로 감 128화</v>
      </c>
      <c r="F2789">
        <v>128</v>
      </c>
      <c r="G2789" t="str">
        <f>T("정수읠")</f>
        <v>정수읠</v>
      </c>
      <c r="J2789" t="str">
        <f>T("매드햇")</f>
        <v>매드햇</v>
      </c>
      <c r="K2789" t="str">
        <f>T("문과라도 안 죄송한 이세계로 감")</f>
        <v>문과라도 안 죄송한 이세계로 감</v>
      </c>
      <c r="L2789">
        <v>100</v>
      </c>
      <c r="M2789">
        <v>100</v>
      </c>
      <c r="N2789">
        <v>1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0</v>
      </c>
      <c r="AH2789">
        <v>0</v>
      </c>
      <c r="AI2789">
        <v>100</v>
      </c>
      <c r="AJ2789">
        <v>1</v>
      </c>
      <c r="AK2789">
        <v>0</v>
      </c>
      <c r="AL2789">
        <v>0</v>
      </c>
      <c r="AM2789">
        <v>100</v>
      </c>
      <c r="AN2789">
        <v>0</v>
      </c>
      <c r="AO2789">
        <v>0</v>
      </c>
      <c r="AP2789">
        <v>0</v>
      </c>
      <c r="AQ2789">
        <v>0</v>
      </c>
      <c r="AS2789">
        <v>0</v>
      </c>
      <c r="AT2789">
        <v>0</v>
      </c>
      <c r="AV2789">
        <v>0</v>
      </c>
      <c r="AW2789">
        <v>0</v>
      </c>
      <c r="AY2789">
        <v>0</v>
      </c>
      <c r="AZ2789">
        <v>0</v>
      </c>
      <c r="BA2789">
        <v>70</v>
      </c>
      <c r="BC2789" t="str">
        <f>T("0000000000000")</f>
        <v>0000000000000</v>
      </c>
      <c r="BE2789" t="str">
        <f>T("9791162589724")</f>
        <v>9791162589724</v>
      </c>
      <c r="BF2789" t="str">
        <f>T("E521970")</f>
        <v>E521970</v>
      </c>
      <c r="BG2789" t="str">
        <f>T("판타지 웹소설 &gt; 퓨전 판타지")</f>
        <v>판타지 웹소설 &gt; 퓨전 판타지</v>
      </c>
    </row>
    <row r="2790" spans="1:59">
      <c r="A2790" t="s">
        <v>60</v>
      </c>
      <c r="B2790" s="1">
        <v>46130</v>
      </c>
      <c r="C2790">
        <v>2378009513</v>
      </c>
      <c r="D2790">
        <v>2378009586</v>
      </c>
      <c r="E2790" t="str">
        <f>T("문과라도 안 죄송한 이세계로 감 74화")</f>
        <v>문과라도 안 죄송한 이세계로 감 74화</v>
      </c>
      <c r="F2790">
        <v>74</v>
      </c>
      <c r="G2790" t="str">
        <f>T("정수읠")</f>
        <v>정수읠</v>
      </c>
      <c r="J2790" t="str">
        <f>T("매드햇")</f>
        <v>매드햇</v>
      </c>
      <c r="K2790" t="str">
        <f>T("문과라도 안 죄송한 이세계로 감")</f>
        <v>문과라도 안 죄송한 이세계로 감</v>
      </c>
      <c r="L2790">
        <v>100</v>
      </c>
      <c r="M2790">
        <v>100</v>
      </c>
      <c r="N2790">
        <v>1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0</v>
      </c>
      <c r="AH2790">
        <v>0</v>
      </c>
      <c r="AI2790">
        <v>100</v>
      </c>
      <c r="AJ2790">
        <v>1</v>
      </c>
      <c r="AK2790">
        <v>0</v>
      </c>
      <c r="AL2790">
        <v>0</v>
      </c>
      <c r="AM2790">
        <v>100</v>
      </c>
      <c r="AN2790">
        <v>0</v>
      </c>
      <c r="AO2790">
        <v>0</v>
      </c>
      <c r="AP2790">
        <v>0</v>
      </c>
      <c r="AQ2790">
        <v>0</v>
      </c>
      <c r="AS2790">
        <v>0</v>
      </c>
      <c r="AT2790">
        <v>0</v>
      </c>
      <c r="AV2790">
        <v>0</v>
      </c>
      <c r="AW2790">
        <v>0</v>
      </c>
      <c r="AY2790">
        <v>0</v>
      </c>
      <c r="AZ2790">
        <v>0</v>
      </c>
      <c r="BA2790">
        <v>70</v>
      </c>
      <c r="BE2790" t="str">
        <f>T("9791162589724")</f>
        <v>9791162589724</v>
      </c>
      <c r="BF2790" t="str">
        <f>T("E448310")</f>
        <v>E448310</v>
      </c>
      <c r="BG2790" t="str">
        <f>T("판타지 웹소설 &gt; 퓨전 판타지")</f>
        <v>판타지 웹소설 &gt; 퓨전 판타지</v>
      </c>
    </row>
    <row r="2791" spans="1:59">
      <c r="A2791" t="s">
        <v>60</v>
      </c>
      <c r="B2791" s="1">
        <v>46130</v>
      </c>
      <c r="C2791">
        <v>2378009513</v>
      </c>
      <c r="D2791">
        <v>2378010369</v>
      </c>
      <c r="E2791" t="str">
        <f>T("문과라도 안 죄송한 이세계로 감 129화")</f>
        <v>문과라도 안 죄송한 이세계로 감 129화</v>
      </c>
      <c r="F2791">
        <v>129</v>
      </c>
      <c r="G2791" t="str">
        <f>T("정수읠")</f>
        <v>정수읠</v>
      </c>
      <c r="J2791" t="str">
        <f>T("매드햇")</f>
        <v>매드햇</v>
      </c>
      <c r="K2791" t="str">
        <f>T("문과라도 안 죄송한 이세계로 감")</f>
        <v>문과라도 안 죄송한 이세계로 감</v>
      </c>
      <c r="L2791">
        <v>100</v>
      </c>
      <c r="M2791">
        <v>100</v>
      </c>
      <c r="N2791">
        <v>1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0</v>
      </c>
      <c r="AH2791">
        <v>0</v>
      </c>
      <c r="AI2791">
        <v>100</v>
      </c>
      <c r="AJ2791">
        <v>1</v>
      </c>
      <c r="AK2791">
        <v>0</v>
      </c>
      <c r="AL2791">
        <v>0</v>
      </c>
      <c r="AM2791">
        <v>100</v>
      </c>
      <c r="AN2791">
        <v>0</v>
      </c>
      <c r="AO2791">
        <v>0</v>
      </c>
      <c r="AP2791">
        <v>0</v>
      </c>
      <c r="AQ2791">
        <v>0</v>
      </c>
      <c r="AS2791">
        <v>0</v>
      </c>
      <c r="AT2791">
        <v>0</v>
      </c>
      <c r="AV2791">
        <v>0</v>
      </c>
      <c r="AW2791">
        <v>0</v>
      </c>
      <c r="AY2791">
        <v>0</v>
      </c>
      <c r="AZ2791">
        <v>0</v>
      </c>
      <c r="BA2791">
        <v>70</v>
      </c>
      <c r="BC2791" t="str">
        <f>T("0000000000000")</f>
        <v>0000000000000</v>
      </c>
      <c r="BE2791" t="str">
        <f>T("9791162589724")</f>
        <v>9791162589724</v>
      </c>
      <c r="BF2791" t="str">
        <f>T("E524892")</f>
        <v>E524892</v>
      </c>
      <c r="BG2791" t="str">
        <f>T("판타지 웹소설 &gt; 퓨전 판타지")</f>
        <v>판타지 웹소설 &gt; 퓨전 판타지</v>
      </c>
    </row>
    <row r="2792" spans="1:59">
      <c r="A2792" t="s">
        <v>60</v>
      </c>
      <c r="B2792" s="1">
        <v>46130</v>
      </c>
      <c r="C2792">
        <v>2378009513</v>
      </c>
      <c r="D2792">
        <v>2378010484</v>
      </c>
      <c r="E2792" t="str">
        <f>T("문과라도 안 죄송한 이세계로 감 130화")</f>
        <v>문과라도 안 죄송한 이세계로 감 130화</v>
      </c>
      <c r="F2792">
        <v>130</v>
      </c>
      <c r="G2792" t="str">
        <f>T("정수읠")</f>
        <v>정수읠</v>
      </c>
      <c r="J2792" t="str">
        <f>T("매드햇")</f>
        <v>매드햇</v>
      </c>
      <c r="K2792" t="str">
        <f>T("문과라도 안 죄송한 이세계로 감")</f>
        <v>문과라도 안 죄송한 이세계로 감</v>
      </c>
      <c r="L2792">
        <v>100</v>
      </c>
      <c r="M2792">
        <v>100</v>
      </c>
      <c r="N2792">
        <v>1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0</v>
      </c>
      <c r="AH2792">
        <v>0</v>
      </c>
      <c r="AI2792">
        <v>100</v>
      </c>
      <c r="AJ2792">
        <v>1</v>
      </c>
      <c r="AK2792">
        <v>0</v>
      </c>
      <c r="AL2792">
        <v>0</v>
      </c>
      <c r="AM2792">
        <v>100</v>
      </c>
      <c r="AN2792">
        <v>0</v>
      </c>
      <c r="AO2792">
        <v>0</v>
      </c>
      <c r="AP2792">
        <v>0</v>
      </c>
      <c r="AQ2792">
        <v>0</v>
      </c>
      <c r="AS2792">
        <v>0</v>
      </c>
      <c r="AT2792">
        <v>0</v>
      </c>
      <c r="AV2792">
        <v>0</v>
      </c>
      <c r="AW2792">
        <v>0</v>
      </c>
      <c r="AY2792">
        <v>0</v>
      </c>
      <c r="AZ2792">
        <v>0</v>
      </c>
      <c r="BA2792">
        <v>70</v>
      </c>
      <c r="BC2792" t="str">
        <f>T("0000000000000")</f>
        <v>0000000000000</v>
      </c>
      <c r="BE2792" t="str">
        <f>T("9791162589724")</f>
        <v>9791162589724</v>
      </c>
      <c r="BF2792" t="str">
        <f>T("E524893")</f>
        <v>E524893</v>
      </c>
      <c r="BG2792" t="str">
        <f>T("판타지 웹소설 &gt; 퓨전 판타지")</f>
        <v>판타지 웹소설 &gt; 퓨전 판타지</v>
      </c>
    </row>
    <row r="2793" spans="1:59">
      <c r="A2793" t="s">
        <v>60</v>
      </c>
      <c r="B2793" s="1">
        <v>46130</v>
      </c>
      <c r="C2793">
        <v>2378009513</v>
      </c>
      <c r="D2793">
        <v>2378010485</v>
      </c>
      <c r="E2793" t="str">
        <f>T("문과라도 안 죄송한 이세계로 감 131화")</f>
        <v>문과라도 안 죄송한 이세계로 감 131화</v>
      </c>
      <c r="F2793">
        <v>131</v>
      </c>
      <c r="G2793" t="str">
        <f>T("정수읠")</f>
        <v>정수읠</v>
      </c>
      <c r="J2793" t="str">
        <f>T("매드햇")</f>
        <v>매드햇</v>
      </c>
      <c r="K2793" t="str">
        <f>T("문과라도 안 죄송한 이세계로 감")</f>
        <v>문과라도 안 죄송한 이세계로 감</v>
      </c>
      <c r="L2793">
        <v>100</v>
      </c>
      <c r="M2793">
        <v>100</v>
      </c>
      <c r="N2793">
        <v>1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0</v>
      </c>
      <c r="AH2793">
        <v>0</v>
      </c>
      <c r="AI2793">
        <v>100</v>
      </c>
      <c r="AJ2793">
        <v>1</v>
      </c>
      <c r="AK2793">
        <v>0</v>
      </c>
      <c r="AL2793">
        <v>0</v>
      </c>
      <c r="AM2793">
        <v>100</v>
      </c>
      <c r="AN2793">
        <v>0</v>
      </c>
      <c r="AO2793">
        <v>0</v>
      </c>
      <c r="AP2793">
        <v>0</v>
      </c>
      <c r="AQ2793">
        <v>0</v>
      </c>
      <c r="AS2793">
        <v>0</v>
      </c>
      <c r="AT2793">
        <v>0</v>
      </c>
      <c r="AV2793">
        <v>0</v>
      </c>
      <c r="AW2793">
        <v>0</v>
      </c>
      <c r="AY2793">
        <v>0</v>
      </c>
      <c r="AZ2793">
        <v>0</v>
      </c>
      <c r="BA2793">
        <v>70</v>
      </c>
      <c r="BC2793" t="str">
        <f>T("0000000000000")</f>
        <v>0000000000000</v>
      </c>
      <c r="BE2793" t="str">
        <f>T("9791162589724")</f>
        <v>9791162589724</v>
      </c>
      <c r="BF2793" t="str">
        <f>T("E524894")</f>
        <v>E524894</v>
      </c>
      <c r="BG2793" t="str">
        <f>T("판타지 웹소설 &gt; 퓨전 판타지")</f>
        <v>판타지 웹소설 &gt; 퓨전 판타지</v>
      </c>
    </row>
    <row r="2794" spans="1:59">
      <c r="A2794" t="s">
        <v>60</v>
      </c>
      <c r="B2794" s="1">
        <v>46130</v>
      </c>
      <c r="C2794">
        <v>2378009513</v>
      </c>
      <c r="D2794">
        <v>2378010486</v>
      </c>
      <c r="E2794" t="str">
        <f>T("문과라도 안 죄송한 이세계로 감 132화")</f>
        <v>문과라도 안 죄송한 이세계로 감 132화</v>
      </c>
      <c r="F2794">
        <v>132</v>
      </c>
      <c r="G2794" t="str">
        <f>T("정수읠")</f>
        <v>정수읠</v>
      </c>
      <c r="J2794" t="str">
        <f>T("매드햇")</f>
        <v>매드햇</v>
      </c>
      <c r="K2794" t="str">
        <f>T("문과라도 안 죄송한 이세계로 감")</f>
        <v>문과라도 안 죄송한 이세계로 감</v>
      </c>
      <c r="L2794">
        <v>100</v>
      </c>
      <c r="M2794">
        <v>100</v>
      </c>
      <c r="N2794">
        <v>1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0</v>
      </c>
      <c r="AH2794">
        <v>0</v>
      </c>
      <c r="AI2794">
        <v>100</v>
      </c>
      <c r="AJ2794">
        <v>1</v>
      </c>
      <c r="AK2794">
        <v>0</v>
      </c>
      <c r="AL2794">
        <v>0</v>
      </c>
      <c r="AM2794">
        <v>100</v>
      </c>
      <c r="AN2794">
        <v>0</v>
      </c>
      <c r="AO2794">
        <v>0</v>
      </c>
      <c r="AP2794">
        <v>0</v>
      </c>
      <c r="AQ2794">
        <v>0</v>
      </c>
      <c r="AS2794">
        <v>0</v>
      </c>
      <c r="AT2794">
        <v>0</v>
      </c>
      <c r="AV2794">
        <v>0</v>
      </c>
      <c r="AW2794">
        <v>0</v>
      </c>
      <c r="AY2794">
        <v>0</v>
      </c>
      <c r="AZ2794">
        <v>0</v>
      </c>
      <c r="BA2794">
        <v>70</v>
      </c>
      <c r="BC2794" t="str">
        <f>T("0000000000000")</f>
        <v>0000000000000</v>
      </c>
      <c r="BE2794" t="str">
        <f>T("9791162589724")</f>
        <v>9791162589724</v>
      </c>
      <c r="BF2794" t="str">
        <f>T("E524895")</f>
        <v>E524895</v>
      </c>
      <c r="BG2794" t="str">
        <f>T("판타지 웹소설 &gt; 퓨전 판타지")</f>
        <v>판타지 웹소설 &gt; 퓨전 판타지</v>
      </c>
    </row>
    <row r="2795" spans="1:59">
      <c r="A2795" t="s">
        <v>60</v>
      </c>
      <c r="B2795" s="1">
        <v>46130</v>
      </c>
      <c r="C2795">
        <v>2378009513</v>
      </c>
      <c r="D2795">
        <v>2378010516</v>
      </c>
      <c r="E2795" t="str">
        <f>T("문과라도 안 죄송한 이세계로 감 133화")</f>
        <v>문과라도 안 죄송한 이세계로 감 133화</v>
      </c>
      <c r="F2795">
        <v>133</v>
      </c>
      <c r="G2795" t="str">
        <f>T("정수읠")</f>
        <v>정수읠</v>
      </c>
      <c r="J2795" t="str">
        <f>T("매드햇")</f>
        <v>매드햇</v>
      </c>
      <c r="K2795" t="str">
        <f>T("문과라도 안 죄송한 이세계로 감")</f>
        <v>문과라도 안 죄송한 이세계로 감</v>
      </c>
      <c r="L2795">
        <v>100</v>
      </c>
      <c r="M2795">
        <v>100</v>
      </c>
      <c r="N2795">
        <v>1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0</v>
      </c>
      <c r="AH2795">
        <v>0</v>
      </c>
      <c r="AI2795">
        <v>100</v>
      </c>
      <c r="AJ2795">
        <v>1</v>
      </c>
      <c r="AK2795">
        <v>0</v>
      </c>
      <c r="AL2795">
        <v>0</v>
      </c>
      <c r="AM2795">
        <v>100</v>
      </c>
      <c r="AN2795">
        <v>0</v>
      </c>
      <c r="AO2795">
        <v>0</v>
      </c>
      <c r="AP2795">
        <v>0</v>
      </c>
      <c r="AQ2795">
        <v>0</v>
      </c>
      <c r="AS2795">
        <v>0</v>
      </c>
      <c r="AT2795">
        <v>0</v>
      </c>
      <c r="AV2795">
        <v>0</v>
      </c>
      <c r="AW2795">
        <v>0</v>
      </c>
      <c r="AY2795">
        <v>0</v>
      </c>
      <c r="AZ2795">
        <v>0</v>
      </c>
      <c r="BA2795">
        <v>70</v>
      </c>
      <c r="BC2795" t="str">
        <f>T("0000000000000")</f>
        <v>0000000000000</v>
      </c>
      <c r="BE2795" t="str">
        <f>T("9791162589724")</f>
        <v>9791162589724</v>
      </c>
      <c r="BF2795" t="str">
        <f>T("E527836")</f>
        <v>E527836</v>
      </c>
      <c r="BG2795" t="str">
        <f>T("판타지 웹소설 &gt; 퓨전 판타지")</f>
        <v>판타지 웹소설 &gt; 퓨전 판타지</v>
      </c>
    </row>
    <row r="2796" spans="1:59">
      <c r="A2796" t="s">
        <v>60</v>
      </c>
      <c r="B2796" s="1">
        <v>46130</v>
      </c>
      <c r="C2796">
        <v>2378009513</v>
      </c>
      <c r="D2796">
        <v>2378009587</v>
      </c>
      <c r="E2796" t="str">
        <f>T("문과라도 안 죄송한 이세계로 감 75화")</f>
        <v>문과라도 안 죄송한 이세계로 감 75화</v>
      </c>
      <c r="F2796">
        <v>75</v>
      </c>
      <c r="G2796" t="str">
        <f>T("정수읠")</f>
        <v>정수읠</v>
      </c>
      <c r="J2796" t="str">
        <f>T("매드햇")</f>
        <v>매드햇</v>
      </c>
      <c r="K2796" t="str">
        <f>T("문과라도 안 죄송한 이세계로 감")</f>
        <v>문과라도 안 죄송한 이세계로 감</v>
      </c>
      <c r="L2796">
        <v>100</v>
      </c>
      <c r="M2796">
        <v>100</v>
      </c>
      <c r="N2796">
        <v>1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0</v>
      </c>
      <c r="AH2796">
        <v>0</v>
      </c>
      <c r="AI2796">
        <v>100</v>
      </c>
      <c r="AJ2796">
        <v>1</v>
      </c>
      <c r="AK2796">
        <v>0</v>
      </c>
      <c r="AL2796">
        <v>0</v>
      </c>
      <c r="AM2796">
        <v>100</v>
      </c>
      <c r="AN2796">
        <v>0</v>
      </c>
      <c r="AO2796">
        <v>0</v>
      </c>
      <c r="AP2796">
        <v>0</v>
      </c>
      <c r="AQ2796">
        <v>0</v>
      </c>
      <c r="AS2796">
        <v>0</v>
      </c>
      <c r="AT2796">
        <v>0</v>
      </c>
      <c r="AV2796">
        <v>0</v>
      </c>
      <c r="AW2796">
        <v>0</v>
      </c>
      <c r="AY2796">
        <v>0</v>
      </c>
      <c r="AZ2796">
        <v>0</v>
      </c>
      <c r="BA2796">
        <v>70</v>
      </c>
      <c r="BE2796" t="str">
        <f>T("9791162589724")</f>
        <v>9791162589724</v>
      </c>
      <c r="BF2796" t="str">
        <f>T("E448311")</f>
        <v>E448311</v>
      </c>
      <c r="BG2796" t="str">
        <f>T("판타지 웹소설 &gt; 퓨전 판타지")</f>
        <v>판타지 웹소설 &gt; 퓨전 판타지</v>
      </c>
    </row>
    <row r="2797" spans="1:59">
      <c r="A2797" t="s">
        <v>60</v>
      </c>
      <c r="B2797" s="1">
        <v>46130</v>
      </c>
      <c r="C2797">
        <v>2378009513</v>
      </c>
      <c r="D2797">
        <v>2378009588</v>
      </c>
      <c r="E2797" t="str">
        <f>T("문과라도 안 죄송한 이세계로 감 76화")</f>
        <v>문과라도 안 죄송한 이세계로 감 76화</v>
      </c>
      <c r="F2797">
        <v>76</v>
      </c>
      <c r="G2797" t="str">
        <f>T("정수읠")</f>
        <v>정수읠</v>
      </c>
      <c r="J2797" t="str">
        <f>T("매드햇")</f>
        <v>매드햇</v>
      </c>
      <c r="K2797" t="str">
        <f>T("문과라도 안 죄송한 이세계로 감")</f>
        <v>문과라도 안 죄송한 이세계로 감</v>
      </c>
      <c r="L2797">
        <v>100</v>
      </c>
      <c r="M2797">
        <v>100</v>
      </c>
      <c r="N2797">
        <v>1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0</v>
      </c>
      <c r="AH2797">
        <v>0</v>
      </c>
      <c r="AI2797">
        <v>100</v>
      </c>
      <c r="AJ2797">
        <v>1</v>
      </c>
      <c r="AK2797">
        <v>0</v>
      </c>
      <c r="AL2797">
        <v>0</v>
      </c>
      <c r="AM2797">
        <v>100</v>
      </c>
      <c r="AN2797">
        <v>0</v>
      </c>
      <c r="AO2797">
        <v>0</v>
      </c>
      <c r="AP2797">
        <v>0</v>
      </c>
      <c r="AQ2797">
        <v>0</v>
      </c>
      <c r="AS2797">
        <v>0</v>
      </c>
      <c r="AT2797">
        <v>0</v>
      </c>
      <c r="AV2797">
        <v>0</v>
      </c>
      <c r="AW2797">
        <v>0</v>
      </c>
      <c r="AY2797">
        <v>0</v>
      </c>
      <c r="AZ2797">
        <v>0</v>
      </c>
      <c r="BA2797">
        <v>70</v>
      </c>
      <c r="BE2797" t="str">
        <f>T("9791162589724")</f>
        <v>9791162589724</v>
      </c>
      <c r="BF2797" t="str">
        <f>T("E448312")</f>
        <v>E448312</v>
      </c>
      <c r="BG2797" t="str">
        <f>T("판타지 웹소설 &gt; 퓨전 판타지")</f>
        <v>판타지 웹소설 &gt; 퓨전 판타지</v>
      </c>
    </row>
    <row r="2798" spans="1:59">
      <c r="A2798" t="s">
        <v>60</v>
      </c>
      <c r="B2798" s="1">
        <v>46130</v>
      </c>
      <c r="C2798">
        <v>2378009513</v>
      </c>
      <c r="D2798">
        <v>2378009589</v>
      </c>
      <c r="E2798" t="str">
        <f>T("문과라도 안 죄송한 이세계로 감 77화")</f>
        <v>문과라도 안 죄송한 이세계로 감 77화</v>
      </c>
      <c r="F2798">
        <v>77</v>
      </c>
      <c r="G2798" t="str">
        <f>T("정수읠")</f>
        <v>정수읠</v>
      </c>
      <c r="J2798" t="str">
        <f>T("매드햇")</f>
        <v>매드햇</v>
      </c>
      <c r="K2798" t="str">
        <f>T("문과라도 안 죄송한 이세계로 감")</f>
        <v>문과라도 안 죄송한 이세계로 감</v>
      </c>
      <c r="L2798">
        <v>100</v>
      </c>
      <c r="M2798">
        <v>100</v>
      </c>
      <c r="N2798">
        <v>1</v>
      </c>
      <c r="O2798">
        <v>0</v>
      </c>
      <c r="P2798">
        <v>0</v>
      </c>
      <c r="Q2798">
        <v>0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0</v>
      </c>
      <c r="AH2798">
        <v>0</v>
      </c>
      <c r="AI2798">
        <v>100</v>
      </c>
      <c r="AJ2798">
        <v>1</v>
      </c>
      <c r="AK2798">
        <v>0</v>
      </c>
      <c r="AL2798">
        <v>0</v>
      </c>
      <c r="AM2798">
        <v>100</v>
      </c>
      <c r="AN2798">
        <v>0</v>
      </c>
      <c r="AO2798">
        <v>0</v>
      </c>
      <c r="AP2798">
        <v>0</v>
      </c>
      <c r="AQ2798">
        <v>0</v>
      </c>
      <c r="AS2798">
        <v>0</v>
      </c>
      <c r="AT2798">
        <v>0</v>
      </c>
      <c r="AV2798">
        <v>0</v>
      </c>
      <c r="AW2798">
        <v>0</v>
      </c>
      <c r="AY2798">
        <v>0</v>
      </c>
      <c r="AZ2798">
        <v>0</v>
      </c>
      <c r="BA2798">
        <v>70</v>
      </c>
      <c r="BE2798" t="str">
        <f>T("9791162589724")</f>
        <v>9791162589724</v>
      </c>
      <c r="BF2798" t="str">
        <f>T("E448313")</f>
        <v>E448313</v>
      </c>
      <c r="BG2798" t="str">
        <f>T("판타지 웹소설 &gt; 퓨전 판타지")</f>
        <v>판타지 웹소설 &gt; 퓨전 판타지</v>
      </c>
    </row>
    <row r="2799" spans="1:59">
      <c r="A2799" t="s">
        <v>60</v>
      </c>
      <c r="B2799" s="1">
        <v>46130</v>
      </c>
      <c r="C2799">
        <v>2378009513</v>
      </c>
      <c r="D2799">
        <v>2378010526</v>
      </c>
      <c r="E2799" t="str">
        <f>T("문과라도 안 죄송한 이세계로 감 134화")</f>
        <v>문과라도 안 죄송한 이세계로 감 134화</v>
      </c>
      <c r="F2799">
        <v>134</v>
      </c>
      <c r="G2799" t="str">
        <f>T("정수읠")</f>
        <v>정수읠</v>
      </c>
      <c r="J2799" t="str">
        <f>T("매드햇")</f>
        <v>매드햇</v>
      </c>
      <c r="K2799" t="str">
        <f>T("문과라도 안 죄송한 이세계로 감")</f>
        <v>문과라도 안 죄송한 이세계로 감</v>
      </c>
      <c r="L2799">
        <v>100</v>
      </c>
      <c r="M2799">
        <v>200</v>
      </c>
      <c r="N2799">
        <v>2</v>
      </c>
      <c r="O2799">
        <v>0</v>
      </c>
      <c r="P2799">
        <v>0</v>
      </c>
      <c r="Q2799">
        <v>0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0</v>
      </c>
      <c r="AH2799">
        <v>0</v>
      </c>
      <c r="AI2799">
        <v>200</v>
      </c>
      <c r="AJ2799">
        <v>2</v>
      </c>
      <c r="AK2799">
        <v>0</v>
      </c>
      <c r="AL2799">
        <v>0</v>
      </c>
      <c r="AM2799">
        <v>200</v>
      </c>
      <c r="AN2799">
        <v>0</v>
      </c>
      <c r="AO2799">
        <v>0</v>
      </c>
      <c r="AP2799">
        <v>0</v>
      </c>
      <c r="AQ2799">
        <v>0</v>
      </c>
      <c r="AS2799">
        <v>0</v>
      </c>
      <c r="AT2799">
        <v>0</v>
      </c>
      <c r="AV2799">
        <v>0</v>
      </c>
      <c r="AW2799">
        <v>0</v>
      </c>
      <c r="AY2799">
        <v>0</v>
      </c>
      <c r="AZ2799">
        <v>0</v>
      </c>
      <c r="BA2799">
        <v>140</v>
      </c>
      <c r="BC2799" t="str">
        <f>T("0000000000000")</f>
        <v>0000000000000</v>
      </c>
      <c r="BE2799" t="str">
        <f>T("9791162589724")</f>
        <v>9791162589724</v>
      </c>
      <c r="BF2799" t="str">
        <f>T("E527837")</f>
        <v>E527837</v>
      </c>
      <c r="BG2799" t="str">
        <f>T("판타지 웹소설 &gt; 퓨전 판타지")</f>
        <v>판타지 웹소설 &gt; 퓨전 판타지</v>
      </c>
    </row>
    <row r="2800" spans="1:59">
      <c r="A2800" t="s">
        <v>60</v>
      </c>
      <c r="B2800" s="1">
        <v>46130</v>
      </c>
      <c r="C2800">
        <v>2378009513</v>
      </c>
      <c r="D2800">
        <v>2378010537</v>
      </c>
      <c r="E2800" t="str">
        <f>T("문과라도 안 죄송한 이세계로 감 135화")</f>
        <v>문과라도 안 죄송한 이세계로 감 135화</v>
      </c>
      <c r="F2800">
        <v>135</v>
      </c>
      <c r="G2800" t="str">
        <f>T("정수읠")</f>
        <v>정수읠</v>
      </c>
      <c r="J2800" t="str">
        <f>T("매드햇")</f>
        <v>매드햇</v>
      </c>
      <c r="K2800" t="str">
        <f>T("문과라도 안 죄송한 이세계로 감")</f>
        <v>문과라도 안 죄송한 이세계로 감</v>
      </c>
      <c r="L2800">
        <v>100</v>
      </c>
      <c r="M2800">
        <v>100</v>
      </c>
      <c r="N2800">
        <v>1</v>
      </c>
      <c r="O2800">
        <v>0</v>
      </c>
      <c r="P2800">
        <v>0</v>
      </c>
      <c r="Q2800">
        <v>0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0</v>
      </c>
      <c r="AH2800">
        <v>0</v>
      </c>
      <c r="AI2800">
        <v>100</v>
      </c>
      <c r="AJ2800">
        <v>1</v>
      </c>
      <c r="AK2800">
        <v>0</v>
      </c>
      <c r="AL2800">
        <v>0</v>
      </c>
      <c r="AM2800">
        <v>100</v>
      </c>
      <c r="AN2800">
        <v>0</v>
      </c>
      <c r="AO2800">
        <v>0</v>
      </c>
      <c r="AP2800">
        <v>0</v>
      </c>
      <c r="AQ2800">
        <v>0</v>
      </c>
      <c r="AS2800">
        <v>0</v>
      </c>
      <c r="AT2800">
        <v>0</v>
      </c>
      <c r="AV2800">
        <v>0</v>
      </c>
      <c r="AW2800">
        <v>0</v>
      </c>
      <c r="AY2800">
        <v>0</v>
      </c>
      <c r="AZ2800">
        <v>0</v>
      </c>
      <c r="BA2800">
        <v>70</v>
      </c>
      <c r="BC2800" t="str">
        <f>T("0000000000000")</f>
        <v>0000000000000</v>
      </c>
      <c r="BE2800" t="str">
        <f>T("9791162589724")</f>
        <v>9791162589724</v>
      </c>
      <c r="BF2800" t="str">
        <f>T("E527838")</f>
        <v>E527838</v>
      </c>
      <c r="BG2800" t="str">
        <f>T("판타지 웹소설 &gt; 퓨전 판타지")</f>
        <v>판타지 웹소설 &gt; 퓨전 판타지</v>
      </c>
    </row>
    <row r="2801" spans="1:59">
      <c r="A2801" t="s">
        <v>60</v>
      </c>
      <c r="B2801" s="1">
        <v>46130</v>
      </c>
      <c r="C2801">
        <v>2378009513</v>
      </c>
      <c r="D2801">
        <v>2378010541</v>
      </c>
      <c r="E2801" t="str">
        <f>T("문과라도 안 죄송한 이세계로 감 136화")</f>
        <v>문과라도 안 죄송한 이세계로 감 136화</v>
      </c>
      <c r="F2801">
        <v>136</v>
      </c>
      <c r="G2801" t="str">
        <f>T("정수읠")</f>
        <v>정수읠</v>
      </c>
      <c r="J2801" t="str">
        <f>T("매드햇")</f>
        <v>매드햇</v>
      </c>
      <c r="K2801" t="str">
        <f>T("문과라도 안 죄송한 이세계로 감")</f>
        <v>문과라도 안 죄송한 이세계로 감</v>
      </c>
      <c r="L2801">
        <v>100</v>
      </c>
      <c r="M2801">
        <v>100</v>
      </c>
      <c r="N2801">
        <v>1</v>
      </c>
      <c r="O2801">
        <v>0</v>
      </c>
      <c r="P2801">
        <v>0</v>
      </c>
      <c r="Q2801">
        <v>0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0</v>
      </c>
      <c r="AH2801">
        <v>0</v>
      </c>
      <c r="AI2801">
        <v>100</v>
      </c>
      <c r="AJ2801">
        <v>1</v>
      </c>
      <c r="AK2801">
        <v>0</v>
      </c>
      <c r="AL2801">
        <v>0</v>
      </c>
      <c r="AM2801">
        <v>100</v>
      </c>
      <c r="AN2801">
        <v>0</v>
      </c>
      <c r="AO2801">
        <v>0</v>
      </c>
      <c r="AP2801">
        <v>0</v>
      </c>
      <c r="AQ2801">
        <v>0</v>
      </c>
      <c r="AS2801">
        <v>0</v>
      </c>
      <c r="AT2801">
        <v>0</v>
      </c>
      <c r="AV2801">
        <v>0</v>
      </c>
      <c r="AW2801">
        <v>0</v>
      </c>
      <c r="AY2801">
        <v>0</v>
      </c>
      <c r="AZ2801">
        <v>0</v>
      </c>
      <c r="BA2801">
        <v>70</v>
      </c>
      <c r="BC2801" t="str">
        <f>T("0000000000000")</f>
        <v>0000000000000</v>
      </c>
      <c r="BE2801" t="str">
        <f>T("9791162589724")</f>
        <v>9791162589724</v>
      </c>
      <c r="BF2801" t="str">
        <f>T("E527838")</f>
        <v>E527838</v>
      </c>
      <c r="BG2801" t="str">
        <f>T("판타지 웹소설 &gt; 퓨전 판타지")</f>
        <v>판타지 웹소설 &gt; 퓨전 판타지</v>
      </c>
    </row>
    <row r="2802" spans="1:59">
      <c r="A2802" t="s">
        <v>60</v>
      </c>
      <c r="B2802" s="1">
        <v>46130</v>
      </c>
      <c r="C2802">
        <v>2378009513</v>
      </c>
      <c r="D2802">
        <v>2378010557</v>
      </c>
      <c r="E2802" t="str">
        <f>T("문과라도 안 죄송한 이세계로 감 137화")</f>
        <v>문과라도 안 죄송한 이세계로 감 137화</v>
      </c>
      <c r="F2802">
        <v>137</v>
      </c>
      <c r="G2802" t="str">
        <f>T("정수읠")</f>
        <v>정수읠</v>
      </c>
      <c r="J2802" t="str">
        <f>T("매드햇")</f>
        <v>매드햇</v>
      </c>
      <c r="K2802" t="str">
        <f>T("문과라도 안 죄송한 이세계로 감")</f>
        <v>문과라도 안 죄송한 이세계로 감</v>
      </c>
      <c r="L2802">
        <v>100</v>
      </c>
      <c r="M2802">
        <v>100</v>
      </c>
      <c r="N2802">
        <v>1</v>
      </c>
      <c r="O2802">
        <v>0</v>
      </c>
      <c r="P2802">
        <v>0</v>
      </c>
      <c r="Q2802">
        <v>0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0</v>
      </c>
      <c r="AH2802">
        <v>0</v>
      </c>
      <c r="AI2802">
        <v>100</v>
      </c>
      <c r="AJ2802">
        <v>1</v>
      </c>
      <c r="AK2802">
        <v>0</v>
      </c>
      <c r="AL2802">
        <v>0</v>
      </c>
      <c r="AM2802">
        <v>100</v>
      </c>
      <c r="AN2802">
        <v>0</v>
      </c>
      <c r="AO2802">
        <v>0</v>
      </c>
      <c r="AP2802">
        <v>0</v>
      </c>
      <c r="AQ2802">
        <v>0</v>
      </c>
      <c r="AS2802">
        <v>0</v>
      </c>
      <c r="AT2802">
        <v>0</v>
      </c>
      <c r="AV2802">
        <v>0</v>
      </c>
      <c r="AW2802">
        <v>0</v>
      </c>
      <c r="AY2802">
        <v>0</v>
      </c>
      <c r="AZ2802">
        <v>0</v>
      </c>
      <c r="BA2802">
        <v>70</v>
      </c>
      <c r="BC2802" t="str">
        <f>T("0000000000000")</f>
        <v>0000000000000</v>
      </c>
      <c r="BE2802" t="str">
        <f>T("9791162589724")</f>
        <v>9791162589724</v>
      </c>
      <c r="BF2802" t="str">
        <f>T("E599526")</f>
        <v>E599526</v>
      </c>
      <c r="BG2802" t="str">
        <f>T("판타지 웹소설 &gt; 퓨전 판타지")</f>
        <v>판타지 웹소설 &gt; 퓨전 판타지</v>
      </c>
    </row>
    <row r="2803" spans="1:59">
      <c r="A2803" t="s">
        <v>60</v>
      </c>
      <c r="B2803" s="1">
        <v>46130</v>
      </c>
      <c r="C2803">
        <v>2378009513</v>
      </c>
      <c r="D2803">
        <v>2378010564</v>
      </c>
      <c r="E2803" t="str">
        <f>T("문과라도 안 죄송한 이세계로 감 138화")</f>
        <v>문과라도 안 죄송한 이세계로 감 138화</v>
      </c>
      <c r="F2803">
        <v>138</v>
      </c>
      <c r="G2803" t="str">
        <f>T("정수읠")</f>
        <v>정수읠</v>
      </c>
      <c r="J2803" t="str">
        <f>T("매드햇")</f>
        <v>매드햇</v>
      </c>
      <c r="K2803" t="str">
        <f>T("문과라도 안 죄송한 이세계로 감")</f>
        <v>문과라도 안 죄송한 이세계로 감</v>
      </c>
      <c r="L2803">
        <v>100</v>
      </c>
      <c r="M2803">
        <v>100</v>
      </c>
      <c r="N2803">
        <v>1</v>
      </c>
      <c r="O2803">
        <v>0</v>
      </c>
      <c r="P2803">
        <v>0</v>
      </c>
      <c r="Q2803">
        <v>0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0</v>
      </c>
      <c r="AH2803">
        <v>0</v>
      </c>
      <c r="AI2803">
        <v>100</v>
      </c>
      <c r="AJ2803">
        <v>1</v>
      </c>
      <c r="AK2803">
        <v>0</v>
      </c>
      <c r="AL2803">
        <v>0</v>
      </c>
      <c r="AM2803">
        <v>100</v>
      </c>
      <c r="AN2803">
        <v>0</v>
      </c>
      <c r="AO2803">
        <v>0</v>
      </c>
      <c r="AP2803">
        <v>0</v>
      </c>
      <c r="AQ2803">
        <v>0</v>
      </c>
      <c r="AS2803">
        <v>0</v>
      </c>
      <c r="AT2803">
        <v>0</v>
      </c>
      <c r="AV2803">
        <v>0</v>
      </c>
      <c r="AW2803">
        <v>0</v>
      </c>
      <c r="AY2803">
        <v>0</v>
      </c>
      <c r="AZ2803">
        <v>0</v>
      </c>
      <c r="BA2803">
        <v>70</v>
      </c>
      <c r="BC2803" t="str">
        <f>T("0000000000000")</f>
        <v>0000000000000</v>
      </c>
      <c r="BE2803" t="str">
        <f>T("9791162589724")</f>
        <v>9791162589724</v>
      </c>
      <c r="BF2803" t="str">
        <f>T("E599527")</f>
        <v>E599527</v>
      </c>
      <c r="BG2803" t="str">
        <f>T("판타지 웹소설 &gt; 퓨전 판타지")</f>
        <v>판타지 웹소설 &gt; 퓨전 판타지</v>
      </c>
    </row>
    <row r="2804" spans="1:59">
      <c r="A2804" t="s">
        <v>60</v>
      </c>
      <c r="B2804" s="1">
        <v>46130</v>
      </c>
      <c r="C2804">
        <v>2378009513</v>
      </c>
      <c r="D2804">
        <v>2378010580</v>
      </c>
      <c r="E2804" t="str">
        <f>T("문과라도 안 죄송한 이세계로 감 139화")</f>
        <v>문과라도 안 죄송한 이세계로 감 139화</v>
      </c>
      <c r="F2804">
        <v>139</v>
      </c>
      <c r="G2804" t="str">
        <f>T("정수읠")</f>
        <v>정수읠</v>
      </c>
      <c r="J2804" t="str">
        <f>T("매드햇")</f>
        <v>매드햇</v>
      </c>
      <c r="K2804" t="str">
        <f>T("문과라도 안 죄송한 이세계로 감")</f>
        <v>문과라도 안 죄송한 이세계로 감</v>
      </c>
      <c r="L2804">
        <v>100</v>
      </c>
      <c r="M2804">
        <v>100</v>
      </c>
      <c r="N2804">
        <v>1</v>
      </c>
      <c r="O2804">
        <v>0</v>
      </c>
      <c r="P2804">
        <v>0</v>
      </c>
      <c r="Q2804">
        <v>0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0</v>
      </c>
      <c r="AH2804">
        <v>0</v>
      </c>
      <c r="AI2804">
        <v>100</v>
      </c>
      <c r="AJ2804">
        <v>1</v>
      </c>
      <c r="AK2804">
        <v>0</v>
      </c>
      <c r="AL2804">
        <v>0</v>
      </c>
      <c r="AM2804">
        <v>100</v>
      </c>
      <c r="AN2804">
        <v>0</v>
      </c>
      <c r="AO2804">
        <v>0</v>
      </c>
      <c r="AP2804">
        <v>0</v>
      </c>
      <c r="AQ2804">
        <v>0</v>
      </c>
      <c r="AS2804">
        <v>0</v>
      </c>
      <c r="AT2804">
        <v>0</v>
      </c>
      <c r="AV2804">
        <v>0</v>
      </c>
      <c r="AW2804">
        <v>0</v>
      </c>
      <c r="AY2804">
        <v>0</v>
      </c>
      <c r="AZ2804">
        <v>0</v>
      </c>
      <c r="BA2804">
        <v>70</v>
      </c>
      <c r="BC2804" t="str">
        <f>T("0000000000000")</f>
        <v>0000000000000</v>
      </c>
      <c r="BE2804" t="str">
        <f>T("9791162589724")</f>
        <v>9791162589724</v>
      </c>
      <c r="BF2804" t="str">
        <f>T("E599528")</f>
        <v>E599528</v>
      </c>
      <c r="BG2804" t="str">
        <f>T("판타지 웹소설 &gt; 퓨전 판타지")</f>
        <v>판타지 웹소설 &gt; 퓨전 판타지</v>
      </c>
    </row>
    <row r="2805" spans="1:59">
      <c r="A2805" t="s">
        <v>60</v>
      </c>
      <c r="B2805" s="1">
        <v>46130</v>
      </c>
      <c r="C2805">
        <v>2378009513</v>
      </c>
      <c r="D2805">
        <v>2378010618</v>
      </c>
      <c r="E2805" t="str">
        <f>T("문과라도 안 죄송한 이세계로 감 140화")</f>
        <v>문과라도 안 죄송한 이세계로 감 140화</v>
      </c>
      <c r="F2805">
        <v>140</v>
      </c>
      <c r="G2805" t="str">
        <f>T("정수읠")</f>
        <v>정수읠</v>
      </c>
      <c r="J2805" t="str">
        <f>T("매드햇")</f>
        <v>매드햇</v>
      </c>
      <c r="K2805" t="str">
        <f>T("문과라도 안 죄송한 이세계로 감")</f>
        <v>문과라도 안 죄송한 이세계로 감</v>
      </c>
      <c r="L2805">
        <v>100</v>
      </c>
      <c r="M2805">
        <v>100</v>
      </c>
      <c r="N2805">
        <v>1</v>
      </c>
      <c r="O2805">
        <v>0</v>
      </c>
      <c r="P2805">
        <v>0</v>
      </c>
      <c r="Q2805">
        <v>0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0</v>
      </c>
      <c r="AH2805">
        <v>0</v>
      </c>
      <c r="AI2805">
        <v>100</v>
      </c>
      <c r="AJ2805">
        <v>1</v>
      </c>
      <c r="AK2805">
        <v>0</v>
      </c>
      <c r="AL2805">
        <v>0</v>
      </c>
      <c r="AM2805">
        <v>100</v>
      </c>
      <c r="AN2805">
        <v>0</v>
      </c>
      <c r="AO2805">
        <v>0</v>
      </c>
      <c r="AP2805">
        <v>0</v>
      </c>
      <c r="AQ2805">
        <v>0</v>
      </c>
      <c r="AS2805">
        <v>0</v>
      </c>
      <c r="AT2805">
        <v>0</v>
      </c>
      <c r="AV2805">
        <v>0</v>
      </c>
      <c r="AW2805">
        <v>0</v>
      </c>
      <c r="AY2805">
        <v>0</v>
      </c>
      <c r="AZ2805">
        <v>0</v>
      </c>
      <c r="BA2805">
        <v>70</v>
      </c>
      <c r="BC2805" t="str">
        <f>T("0000000000000")</f>
        <v>0000000000000</v>
      </c>
      <c r="BE2805" t="str">
        <f>T("9791162589724")</f>
        <v>9791162589724</v>
      </c>
      <c r="BF2805" t="str">
        <f>T("E607523")</f>
        <v>E607523</v>
      </c>
      <c r="BG2805" t="str">
        <f>T("판타지 웹소설 &gt; 퓨전 판타지")</f>
        <v>판타지 웹소설 &gt; 퓨전 판타지</v>
      </c>
    </row>
    <row r="2806" spans="1:59">
      <c r="A2806" t="s">
        <v>60</v>
      </c>
      <c r="B2806" s="1">
        <v>46130</v>
      </c>
      <c r="C2806">
        <v>2378009513</v>
      </c>
      <c r="D2806">
        <v>2378037595</v>
      </c>
      <c r="E2806" t="str">
        <f>T("문과라도 안 죄송한 이세계로 감 487화")</f>
        <v>문과라도 안 죄송한 이세계로 감 487화</v>
      </c>
      <c r="F2806">
        <v>487</v>
      </c>
      <c r="G2806" t="str">
        <f>T("정수읠")</f>
        <v>정수읠</v>
      </c>
      <c r="J2806" t="str">
        <f>T("매드햇")</f>
        <v>매드햇</v>
      </c>
      <c r="K2806" t="str">
        <f>T("문과라도 안 죄송한 이세계로 감")</f>
        <v>문과라도 안 죄송한 이세계로 감</v>
      </c>
      <c r="L2806">
        <v>100</v>
      </c>
      <c r="M2806">
        <v>200</v>
      </c>
      <c r="N2806">
        <v>2</v>
      </c>
      <c r="O2806">
        <v>0</v>
      </c>
      <c r="P2806">
        <v>0</v>
      </c>
      <c r="Q2806">
        <v>0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0</v>
      </c>
      <c r="AH2806">
        <v>0</v>
      </c>
      <c r="AI2806">
        <v>200</v>
      </c>
      <c r="AJ2806">
        <v>2</v>
      </c>
      <c r="AK2806">
        <v>0</v>
      </c>
      <c r="AL2806">
        <v>0</v>
      </c>
      <c r="AM2806">
        <v>200</v>
      </c>
      <c r="AN2806">
        <v>0</v>
      </c>
      <c r="AO2806">
        <v>0</v>
      </c>
      <c r="AP2806">
        <v>0</v>
      </c>
      <c r="AQ2806">
        <v>0</v>
      </c>
      <c r="AS2806">
        <v>0</v>
      </c>
      <c r="AT2806">
        <v>0</v>
      </c>
      <c r="AV2806">
        <v>0</v>
      </c>
      <c r="AW2806">
        <v>0</v>
      </c>
      <c r="AY2806">
        <v>0</v>
      </c>
      <c r="AZ2806">
        <v>0</v>
      </c>
      <c r="BA2806">
        <v>140</v>
      </c>
      <c r="BC2806" t="str">
        <f>T("0000000000000")</f>
        <v>0000000000000</v>
      </c>
      <c r="BE2806" t="str">
        <f>T("9791162589724")</f>
        <v>9791162589724</v>
      </c>
      <c r="BF2806" t="str">
        <f>T("N135362")</f>
        <v>N135362</v>
      </c>
      <c r="BG2806" t="str">
        <f>T("판타지 웹소설 &gt; 퓨전 판타지")</f>
        <v>판타지 웹소설 &gt; 퓨전 판타지</v>
      </c>
    </row>
    <row r="2807" spans="1:59">
      <c r="A2807" t="s">
        <v>60</v>
      </c>
      <c r="B2807" s="1">
        <v>46130</v>
      </c>
      <c r="C2807">
        <v>2378009513</v>
      </c>
      <c r="D2807">
        <v>2378010761</v>
      </c>
      <c r="E2807" t="str">
        <f>T("문과라도 안 죄송한 이세계로 감 141화")</f>
        <v>문과라도 안 죄송한 이세계로 감 141화</v>
      </c>
      <c r="F2807">
        <v>141</v>
      </c>
      <c r="G2807" t="str">
        <f>T("정수읠")</f>
        <v>정수읠</v>
      </c>
      <c r="J2807" t="str">
        <f>T("매드햇")</f>
        <v>매드햇</v>
      </c>
      <c r="K2807" t="str">
        <f>T("문과라도 안 죄송한 이세계로 감")</f>
        <v>문과라도 안 죄송한 이세계로 감</v>
      </c>
      <c r="L2807">
        <v>100</v>
      </c>
      <c r="M2807">
        <v>100</v>
      </c>
      <c r="N2807">
        <v>1</v>
      </c>
      <c r="O2807">
        <v>0</v>
      </c>
      <c r="P2807">
        <v>0</v>
      </c>
      <c r="Q2807">
        <v>0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0</v>
      </c>
      <c r="AH2807">
        <v>0</v>
      </c>
      <c r="AI2807">
        <v>100</v>
      </c>
      <c r="AJ2807">
        <v>1</v>
      </c>
      <c r="AK2807">
        <v>0</v>
      </c>
      <c r="AL2807">
        <v>0</v>
      </c>
      <c r="AM2807">
        <v>100</v>
      </c>
      <c r="AN2807">
        <v>0</v>
      </c>
      <c r="AO2807">
        <v>0</v>
      </c>
      <c r="AP2807">
        <v>0</v>
      </c>
      <c r="AQ2807">
        <v>0</v>
      </c>
      <c r="AS2807">
        <v>0</v>
      </c>
      <c r="AT2807">
        <v>0</v>
      </c>
      <c r="AV2807">
        <v>0</v>
      </c>
      <c r="AW2807">
        <v>0</v>
      </c>
      <c r="AY2807">
        <v>0</v>
      </c>
      <c r="AZ2807">
        <v>0</v>
      </c>
      <c r="BA2807">
        <v>70</v>
      </c>
      <c r="BC2807" t="str">
        <f>T("0000000000000")</f>
        <v>0000000000000</v>
      </c>
      <c r="BE2807" t="str">
        <f>T("9791162589724")</f>
        <v>9791162589724</v>
      </c>
      <c r="BF2807" t="str">
        <f>T("E607524")</f>
        <v>E607524</v>
      </c>
      <c r="BG2807" t="str">
        <f>T("판타지 웹소설 &gt; 퓨전 판타지")</f>
        <v>판타지 웹소설 &gt; 퓨전 판타지</v>
      </c>
    </row>
    <row r="2808" spans="1:59">
      <c r="A2808" t="s">
        <v>60</v>
      </c>
      <c r="B2808" s="1">
        <v>46130</v>
      </c>
      <c r="C2808">
        <v>2378009513</v>
      </c>
      <c r="D2808">
        <v>2378009514</v>
      </c>
      <c r="E2808" t="str">
        <f>T("문과라도 안 죄송한 이세계로 감 2화")</f>
        <v>문과라도 안 죄송한 이세계로 감 2화</v>
      </c>
      <c r="F2808">
        <v>2</v>
      </c>
      <c r="G2808" t="str">
        <f>T("정수읠")</f>
        <v>정수읠</v>
      </c>
      <c r="J2808" t="str">
        <f>T("매드햇")</f>
        <v>매드햇</v>
      </c>
      <c r="K2808" t="str">
        <f>T("문과라도 안 죄송한 이세계로 감")</f>
        <v>문과라도 안 죄송한 이세계로 감</v>
      </c>
      <c r="L2808">
        <v>0</v>
      </c>
      <c r="M2808">
        <v>0</v>
      </c>
      <c r="N2808">
        <v>0</v>
      </c>
      <c r="O2808">
        <v>2</v>
      </c>
      <c r="P2808">
        <v>0</v>
      </c>
      <c r="Q2808">
        <v>0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0</v>
      </c>
      <c r="AH2808">
        <v>0</v>
      </c>
      <c r="AI2808">
        <v>0</v>
      </c>
      <c r="AJ2808">
        <v>2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S2808">
        <v>0</v>
      </c>
      <c r="AT2808">
        <v>0</v>
      </c>
      <c r="AV2808">
        <v>0</v>
      </c>
      <c r="AW2808">
        <v>0</v>
      </c>
      <c r="AY2808">
        <v>0</v>
      </c>
      <c r="AZ2808">
        <v>0</v>
      </c>
      <c r="BA2808">
        <v>0</v>
      </c>
      <c r="BE2808" t="str">
        <f>T("9791162589724")</f>
        <v>9791162589724</v>
      </c>
      <c r="BF2808" t="str">
        <f>T("E448238")</f>
        <v>E448238</v>
      </c>
      <c r="BG2808" t="str">
        <f>T("판타지 웹소설 &gt; 퓨전 판타지")</f>
        <v>판타지 웹소설 &gt; 퓨전 판타지</v>
      </c>
    </row>
    <row r="2809" spans="1:59">
      <c r="A2809" t="s">
        <v>60</v>
      </c>
      <c r="B2809" s="1">
        <v>46130</v>
      </c>
      <c r="C2809">
        <v>2378009513</v>
      </c>
      <c r="D2809">
        <v>2378011114</v>
      </c>
      <c r="E2809" t="str">
        <f>T("문과라도 안 죄송한 이세계로 감 142화")</f>
        <v>문과라도 안 죄송한 이세계로 감 142화</v>
      </c>
      <c r="F2809">
        <v>142</v>
      </c>
      <c r="G2809" t="str">
        <f>T("정수읠")</f>
        <v>정수읠</v>
      </c>
      <c r="J2809" t="str">
        <f>T("매드햇")</f>
        <v>매드햇</v>
      </c>
      <c r="K2809" t="str">
        <f>T("문과라도 안 죄송한 이세계로 감")</f>
        <v>문과라도 안 죄송한 이세계로 감</v>
      </c>
      <c r="L2809">
        <v>100</v>
      </c>
      <c r="M2809">
        <v>100</v>
      </c>
      <c r="N2809">
        <v>1</v>
      </c>
      <c r="O2809">
        <v>0</v>
      </c>
      <c r="P2809">
        <v>0</v>
      </c>
      <c r="Q2809">
        <v>0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0</v>
      </c>
      <c r="AH2809">
        <v>0</v>
      </c>
      <c r="AI2809">
        <v>100</v>
      </c>
      <c r="AJ2809">
        <v>1</v>
      </c>
      <c r="AK2809">
        <v>0</v>
      </c>
      <c r="AL2809">
        <v>0</v>
      </c>
      <c r="AM2809">
        <v>100</v>
      </c>
      <c r="AN2809">
        <v>0</v>
      </c>
      <c r="AO2809">
        <v>0</v>
      </c>
      <c r="AP2809">
        <v>0</v>
      </c>
      <c r="AQ2809">
        <v>0</v>
      </c>
      <c r="AS2809">
        <v>0</v>
      </c>
      <c r="AT2809">
        <v>0</v>
      </c>
      <c r="AV2809">
        <v>0</v>
      </c>
      <c r="AW2809">
        <v>0</v>
      </c>
      <c r="AY2809">
        <v>0</v>
      </c>
      <c r="AZ2809">
        <v>0</v>
      </c>
      <c r="BA2809">
        <v>70</v>
      </c>
      <c r="BC2809" t="str">
        <f>T("0000000000000")</f>
        <v>0000000000000</v>
      </c>
      <c r="BE2809" t="str">
        <f>T("9791162589724")</f>
        <v>9791162589724</v>
      </c>
      <c r="BF2809" t="str">
        <f>T("E615978")</f>
        <v>E615978</v>
      </c>
      <c r="BG2809" t="str">
        <f>T("판타지 웹소설 &gt; 퓨전 판타지")</f>
        <v>판타지 웹소설 &gt; 퓨전 판타지</v>
      </c>
    </row>
    <row r="2810" spans="1:59">
      <c r="A2810" t="s">
        <v>60</v>
      </c>
      <c r="B2810" s="1">
        <v>46130</v>
      </c>
      <c r="C2810">
        <v>2378009513</v>
      </c>
      <c r="D2810">
        <v>2378011115</v>
      </c>
      <c r="E2810" t="str">
        <f>T("문과라도 안 죄송한 이세계로 감 143화")</f>
        <v>문과라도 안 죄송한 이세계로 감 143화</v>
      </c>
      <c r="F2810">
        <v>143</v>
      </c>
      <c r="G2810" t="str">
        <f>T("정수읠")</f>
        <v>정수읠</v>
      </c>
      <c r="J2810" t="str">
        <f>T("매드햇")</f>
        <v>매드햇</v>
      </c>
      <c r="K2810" t="str">
        <f>T("문과라도 안 죄송한 이세계로 감")</f>
        <v>문과라도 안 죄송한 이세계로 감</v>
      </c>
      <c r="L2810">
        <v>100</v>
      </c>
      <c r="M2810">
        <v>100</v>
      </c>
      <c r="N2810">
        <v>1</v>
      </c>
      <c r="O2810">
        <v>0</v>
      </c>
      <c r="P2810">
        <v>0</v>
      </c>
      <c r="Q2810">
        <v>0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0</v>
      </c>
      <c r="AH2810">
        <v>0</v>
      </c>
      <c r="AI2810">
        <v>100</v>
      </c>
      <c r="AJ2810">
        <v>1</v>
      </c>
      <c r="AK2810">
        <v>0</v>
      </c>
      <c r="AL2810">
        <v>0</v>
      </c>
      <c r="AM2810">
        <v>100</v>
      </c>
      <c r="AN2810">
        <v>0</v>
      </c>
      <c r="AO2810">
        <v>0</v>
      </c>
      <c r="AP2810">
        <v>0</v>
      </c>
      <c r="AQ2810">
        <v>0</v>
      </c>
      <c r="AS2810">
        <v>0</v>
      </c>
      <c r="AT2810">
        <v>0</v>
      </c>
      <c r="AV2810">
        <v>0</v>
      </c>
      <c r="AW2810">
        <v>0</v>
      </c>
      <c r="AY2810">
        <v>0</v>
      </c>
      <c r="AZ2810">
        <v>0</v>
      </c>
      <c r="BA2810">
        <v>70</v>
      </c>
      <c r="BC2810" t="str">
        <f>T("0000000000000")</f>
        <v>0000000000000</v>
      </c>
      <c r="BE2810" t="str">
        <f>T("9791162589724")</f>
        <v>9791162589724</v>
      </c>
      <c r="BF2810" t="str">
        <f>T("E615979")</f>
        <v>E615979</v>
      </c>
      <c r="BG2810" t="str">
        <f>T("판타지 웹소설 &gt; 퓨전 판타지")</f>
        <v>판타지 웹소설 &gt; 퓨전 판타지</v>
      </c>
    </row>
    <row r="2811" spans="1:59">
      <c r="A2811" t="s">
        <v>60</v>
      </c>
      <c r="B2811" s="1">
        <v>46130</v>
      </c>
      <c r="C2811">
        <v>2378009513</v>
      </c>
      <c r="D2811">
        <v>2378011117</v>
      </c>
      <c r="E2811" t="str">
        <f>T("문과라도 안 죄송한 이세계로 감 144화")</f>
        <v>문과라도 안 죄송한 이세계로 감 144화</v>
      </c>
      <c r="F2811">
        <v>144</v>
      </c>
      <c r="G2811" t="str">
        <f>T("정수읠")</f>
        <v>정수읠</v>
      </c>
      <c r="J2811" t="str">
        <f>T("매드햇")</f>
        <v>매드햇</v>
      </c>
      <c r="K2811" t="str">
        <f>T("문과라도 안 죄송한 이세계로 감")</f>
        <v>문과라도 안 죄송한 이세계로 감</v>
      </c>
      <c r="L2811">
        <v>100</v>
      </c>
      <c r="M2811">
        <v>100</v>
      </c>
      <c r="N2811">
        <v>1</v>
      </c>
      <c r="O2811">
        <v>0</v>
      </c>
      <c r="P2811">
        <v>0</v>
      </c>
      <c r="Q2811">
        <v>0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0</v>
      </c>
      <c r="AH2811">
        <v>0</v>
      </c>
      <c r="AI2811">
        <v>100</v>
      </c>
      <c r="AJ2811">
        <v>1</v>
      </c>
      <c r="AK2811">
        <v>0</v>
      </c>
      <c r="AL2811">
        <v>0</v>
      </c>
      <c r="AM2811">
        <v>100</v>
      </c>
      <c r="AN2811">
        <v>0</v>
      </c>
      <c r="AO2811">
        <v>0</v>
      </c>
      <c r="AP2811">
        <v>0</v>
      </c>
      <c r="AQ2811">
        <v>0</v>
      </c>
      <c r="AS2811">
        <v>0</v>
      </c>
      <c r="AT2811">
        <v>0</v>
      </c>
      <c r="AV2811">
        <v>0</v>
      </c>
      <c r="AW2811">
        <v>0</v>
      </c>
      <c r="AY2811">
        <v>0</v>
      </c>
      <c r="AZ2811">
        <v>0</v>
      </c>
      <c r="BA2811">
        <v>70</v>
      </c>
      <c r="BC2811" t="str">
        <f>T("0000000000000")</f>
        <v>0000000000000</v>
      </c>
      <c r="BE2811" t="str">
        <f>T("9791162589724")</f>
        <v>9791162589724</v>
      </c>
      <c r="BF2811" t="str">
        <f>T("E615980")</f>
        <v>E615980</v>
      </c>
      <c r="BG2811" t="str">
        <f>T("판타지 웹소설 &gt; 퓨전 판타지")</f>
        <v>판타지 웹소설 &gt; 퓨전 판타지</v>
      </c>
    </row>
    <row r="2812" spans="1:59">
      <c r="A2812" t="s">
        <v>60</v>
      </c>
      <c r="B2812" s="1">
        <v>46130</v>
      </c>
      <c r="C2812">
        <v>2378009513</v>
      </c>
      <c r="D2812">
        <v>2378011118</v>
      </c>
      <c r="E2812" t="str">
        <f>T("문과라도 안 죄송한 이세계로 감 145화")</f>
        <v>문과라도 안 죄송한 이세계로 감 145화</v>
      </c>
      <c r="F2812">
        <v>145</v>
      </c>
      <c r="G2812" t="str">
        <f>T("정수읠")</f>
        <v>정수읠</v>
      </c>
      <c r="J2812" t="str">
        <f>T("매드햇")</f>
        <v>매드햇</v>
      </c>
      <c r="K2812" t="str">
        <f>T("문과라도 안 죄송한 이세계로 감")</f>
        <v>문과라도 안 죄송한 이세계로 감</v>
      </c>
      <c r="L2812">
        <v>100</v>
      </c>
      <c r="M2812">
        <v>100</v>
      </c>
      <c r="N2812">
        <v>1</v>
      </c>
      <c r="O2812">
        <v>0</v>
      </c>
      <c r="P2812">
        <v>0</v>
      </c>
      <c r="Q2812">
        <v>0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0</v>
      </c>
      <c r="AH2812">
        <v>0</v>
      </c>
      <c r="AI2812">
        <v>100</v>
      </c>
      <c r="AJ2812">
        <v>1</v>
      </c>
      <c r="AK2812">
        <v>0</v>
      </c>
      <c r="AL2812">
        <v>0</v>
      </c>
      <c r="AM2812">
        <v>100</v>
      </c>
      <c r="AN2812">
        <v>0</v>
      </c>
      <c r="AO2812">
        <v>0</v>
      </c>
      <c r="AP2812">
        <v>0</v>
      </c>
      <c r="AQ2812">
        <v>0</v>
      </c>
      <c r="AS2812">
        <v>0</v>
      </c>
      <c r="AT2812">
        <v>0</v>
      </c>
      <c r="AV2812">
        <v>0</v>
      </c>
      <c r="AW2812">
        <v>0</v>
      </c>
      <c r="AY2812">
        <v>0</v>
      </c>
      <c r="AZ2812">
        <v>0</v>
      </c>
      <c r="BA2812">
        <v>70</v>
      </c>
      <c r="BC2812" t="str">
        <f>T("0000000000000")</f>
        <v>0000000000000</v>
      </c>
      <c r="BE2812" t="str">
        <f>T("9791162589724")</f>
        <v>9791162589724</v>
      </c>
      <c r="BF2812" t="str">
        <f>T("E615981")</f>
        <v>E615981</v>
      </c>
      <c r="BG2812" t="str">
        <f>T("판타지 웹소설 &gt; 퓨전 판타지")</f>
        <v>판타지 웹소설 &gt; 퓨전 판타지</v>
      </c>
    </row>
    <row r="2813" spans="1:59">
      <c r="A2813" t="s">
        <v>60</v>
      </c>
      <c r="B2813" s="1">
        <v>46130</v>
      </c>
      <c r="C2813">
        <v>2378009513</v>
      </c>
      <c r="D2813">
        <v>2378011119</v>
      </c>
      <c r="E2813" t="str">
        <f>T("문과라도 안 죄송한 이세계로 감 146화")</f>
        <v>문과라도 안 죄송한 이세계로 감 146화</v>
      </c>
      <c r="F2813">
        <v>146</v>
      </c>
      <c r="G2813" t="str">
        <f>T("정수읠")</f>
        <v>정수읠</v>
      </c>
      <c r="J2813" t="str">
        <f>T("매드햇")</f>
        <v>매드햇</v>
      </c>
      <c r="K2813" t="str">
        <f>T("문과라도 안 죄송한 이세계로 감")</f>
        <v>문과라도 안 죄송한 이세계로 감</v>
      </c>
      <c r="L2813">
        <v>100</v>
      </c>
      <c r="M2813">
        <v>100</v>
      </c>
      <c r="N2813">
        <v>1</v>
      </c>
      <c r="O2813">
        <v>0</v>
      </c>
      <c r="P2813">
        <v>0</v>
      </c>
      <c r="Q2813">
        <v>0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0</v>
      </c>
      <c r="AH2813">
        <v>0</v>
      </c>
      <c r="AI2813">
        <v>100</v>
      </c>
      <c r="AJ2813">
        <v>1</v>
      </c>
      <c r="AK2813">
        <v>0</v>
      </c>
      <c r="AL2813">
        <v>0</v>
      </c>
      <c r="AM2813">
        <v>100</v>
      </c>
      <c r="AN2813">
        <v>0</v>
      </c>
      <c r="AO2813">
        <v>0</v>
      </c>
      <c r="AP2813">
        <v>0</v>
      </c>
      <c r="AQ2813">
        <v>0</v>
      </c>
      <c r="AS2813">
        <v>0</v>
      </c>
      <c r="AT2813">
        <v>0</v>
      </c>
      <c r="AV2813">
        <v>0</v>
      </c>
      <c r="AW2813">
        <v>0</v>
      </c>
      <c r="AY2813">
        <v>0</v>
      </c>
      <c r="AZ2813">
        <v>0</v>
      </c>
      <c r="BA2813">
        <v>70</v>
      </c>
      <c r="BC2813" t="str">
        <f>T("0000000000000")</f>
        <v>0000000000000</v>
      </c>
      <c r="BE2813" t="str">
        <f>T("9791162589724")</f>
        <v>9791162589724</v>
      </c>
      <c r="BF2813" t="str">
        <f>T("E615982")</f>
        <v>E615982</v>
      </c>
      <c r="BG2813" t="str">
        <f>T("판타지 웹소설 &gt; 퓨전 판타지")</f>
        <v>판타지 웹소설 &gt; 퓨전 판타지</v>
      </c>
    </row>
    <row r="2814" spans="1:59">
      <c r="A2814" t="s">
        <v>60</v>
      </c>
      <c r="B2814" s="1">
        <v>46130</v>
      </c>
      <c r="C2814">
        <v>2378009513</v>
      </c>
      <c r="D2814">
        <v>2378011120</v>
      </c>
      <c r="E2814" t="str">
        <f>T("문과라도 안 죄송한 이세계로 감 147화")</f>
        <v>문과라도 안 죄송한 이세계로 감 147화</v>
      </c>
      <c r="F2814">
        <v>147</v>
      </c>
      <c r="G2814" t="str">
        <f>T("정수읠")</f>
        <v>정수읠</v>
      </c>
      <c r="J2814" t="str">
        <f>T("매드햇")</f>
        <v>매드햇</v>
      </c>
      <c r="K2814" t="str">
        <f>T("문과라도 안 죄송한 이세계로 감")</f>
        <v>문과라도 안 죄송한 이세계로 감</v>
      </c>
      <c r="L2814">
        <v>100</v>
      </c>
      <c r="M2814">
        <v>100</v>
      </c>
      <c r="N2814">
        <v>1</v>
      </c>
      <c r="O2814">
        <v>0</v>
      </c>
      <c r="P2814">
        <v>0</v>
      </c>
      <c r="Q2814">
        <v>0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0</v>
      </c>
      <c r="AH2814">
        <v>0</v>
      </c>
      <c r="AI2814">
        <v>100</v>
      </c>
      <c r="AJ2814">
        <v>1</v>
      </c>
      <c r="AK2814">
        <v>0</v>
      </c>
      <c r="AL2814">
        <v>0</v>
      </c>
      <c r="AM2814">
        <v>100</v>
      </c>
      <c r="AN2814">
        <v>0</v>
      </c>
      <c r="AO2814">
        <v>0</v>
      </c>
      <c r="AP2814">
        <v>0</v>
      </c>
      <c r="AQ2814">
        <v>0</v>
      </c>
      <c r="AS2814">
        <v>0</v>
      </c>
      <c r="AT2814">
        <v>0</v>
      </c>
      <c r="AV2814">
        <v>0</v>
      </c>
      <c r="AW2814">
        <v>0</v>
      </c>
      <c r="AY2814">
        <v>0</v>
      </c>
      <c r="AZ2814">
        <v>0</v>
      </c>
      <c r="BA2814">
        <v>70</v>
      </c>
      <c r="BC2814" t="str">
        <f>T("0000000000000")</f>
        <v>0000000000000</v>
      </c>
      <c r="BE2814" t="str">
        <f>T("9791162589724")</f>
        <v>9791162589724</v>
      </c>
      <c r="BF2814" t="str">
        <f>T("E615983")</f>
        <v>E615983</v>
      </c>
      <c r="BG2814" t="str">
        <f>T("판타지 웹소설 &gt; 퓨전 판타지")</f>
        <v>판타지 웹소설 &gt; 퓨전 판타지</v>
      </c>
    </row>
    <row r="2815" spans="1:59">
      <c r="A2815" t="s">
        <v>60</v>
      </c>
      <c r="B2815" s="1">
        <v>46130</v>
      </c>
      <c r="C2815">
        <v>2378009513</v>
      </c>
      <c r="D2815">
        <v>2378014391</v>
      </c>
      <c r="E2815" t="str">
        <f>T("문과라도 안 죄송한 이세계로 감 255화")</f>
        <v>문과라도 안 죄송한 이세계로 감 255화</v>
      </c>
      <c r="F2815">
        <v>255</v>
      </c>
      <c r="G2815" t="str">
        <f>T("정수읠")</f>
        <v>정수읠</v>
      </c>
      <c r="J2815" t="str">
        <f>T("매드햇")</f>
        <v>매드햇</v>
      </c>
      <c r="K2815" t="str">
        <f>T("문과라도 안 죄송한 이세계로 감")</f>
        <v>문과라도 안 죄송한 이세계로 감</v>
      </c>
      <c r="L2815">
        <v>100</v>
      </c>
      <c r="M2815">
        <v>100</v>
      </c>
      <c r="N2815">
        <v>1</v>
      </c>
      <c r="O2815">
        <v>0</v>
      </c>
      <c r="P2815">
        <v>0</v>
      </c>
      <c r="Q2815">
        <v>0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0</v>
      </c>
      <c r="AH2815">
        <v>0</v>
      </c>
      <c r="AI2815">
        <v>100</v>
      </c>
      <c r="AJ2815">
        <v>1</v>
      </c>
      <c r="AK2815">
        <v>0</v>
      </c>
      <c r="AL2815">
        <v>0</v>
      </c>
      <c r="AM2815">
        <v>100</v>
      </c>
      <c r="AN2815">
        <v>0</v>
      </c>
      <c r="AO2815">
        <v>0</v>
      </c>
      <c r="AP2815">
        <v>0</v>
      </c>
      <c r="AQ2815">
        <v>0</v>
      </c>
      <c r="AS2815">
        <v>0</v>
      </c>
      <c r="AT2815">
        <v>0</v>
      </c>
      <c r="AV2815">
        <v>0</v>
      </c>
      <c r="AW2815">
        <v>0</v>
      </c>
      <c r="AY2815">
        <v>0</v>
      </c>
      <c r="AZ2815">
        <v>0</v>
      </c>
      <c r="BA2815">
        <v>70</v>
      </c>
      <c r="BC2815" t="str">
        <f>T("0000000000000")</f>
        <v>0000000000000</v>
      </c>
      <c r="BE2815" t="str">
        <f>T("9791162589724")</f>
        <v>9791162589724</v>
      </c>
      <c r="BF2815" t="str">
        <f>T("E720117")</f>
        <v>E720117</v>
      </c>
      <c r="BG2815" t="str">
        <f>T("판타지 웹소설 &gt; 퓨전 판타지")</f>
        <v>판타지 웹소설 &gt; 퓨전 판타지</v>
      </c>
    </row>
    <row r="2816" spans="1:59">
      <c r="A2816" t="s">
        <v>60</v>
      </c>
      <c r="B2816" s="1">
        <v>46130</v>
      </c>
      <c r="C2816">
        <v>2378009513</v>
      </c>
      <c r="D2816">
        <v>2378014403</v>
      </c>
      <c r="E2816" t="str">
        <f>T("문과라도 안 죄송한 이세계로 감 256화")</f>
        <v>문과라도 안 죄송한 이세계로 감 256화</v>
      </c>
      <c r="F2816">
        <v>256</v>
      </c>
      <c r="G2816" t="str">
        <f>T("정수읠")</f>
        <v>정수읠</v>
      </c>
      <c r="J2816" t="str">
        <f>T("매드햇")</f>
        <v>매드햇</v>
      </c>
      <c r="K2816" t="str">
        <f>T("문과라도 안 죄송한 이세계로 감")</f>
        <v>문과라도 안 죄송한 이세계로 감</v>
      </c>
      <c r="L2816">
        <v>100</v>
      </c>
      <c r="M2816">
        <v>100</v>
      </c>
      <c r="N2816">
        <v>1</v>
      </c>
      <c r="O2816">
        <v>0</v>
      </c>
      <c r="P2816">
        <v>0</v>
      </c>
      <c r="Q2816">
        <v>0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0</v>
      </c>
      <c r="AH2816">
        <v>0</v>
      </c>
      <c r="AI2816">
        <v>100</v>
      </c>
      <c r="AJ2816">
        <v>1</v>
      </c>
      <c r="AK2816">
        <v>0</v>
      </c>
      <c r="AL2816">
        <v>0</v>
      </c>
      <c r="AM2816">
        <v>100</v>
      </c>
      <c r="AN2816">
        <v>0</v>
      </c>
      <c r="AO2816">
        <v>0</v>
      </c>
      <c r="AP2816">
        <v>0</v>
      </c>
      <c r="AQ2816">
        <v>0</v>
      </c>
      <c r="AS2816">
        <v>0</v>
      </c>
      <c r="AT2816">
        <v>0</v>
      </c>
      <c r="AV2816">
        <v>0</v>
      </c>
      <c r="AW2816">
        <v>0</v>
      </c>
      <c r="AY2816">
        <v>0</v>
      </c>
      <c r="AZ2816">
        <v>0</v>
      </c>
      <c r="BA2816">
        <v>70</v>
      </c>
      <c r="BC2816" t="str">
        <f>T("0000000000000")</f>
        <v>0000000000000</v>
      </c>
      <c r="BE2816" t="str">
        <f>T("9791162589724")</f>
        <v>9791162589724</v>
      </c>
      <c r="BF2816" t="str">
        <f>T("E720118")</f>
        <v>E720118</v>
      </c>
      <c r="BG2816" t="str">
        <f>T("판타지 웹소설 &gt; 퓨전 판타지")</f>
        <v>판타지 웹소설 &gt; 퓨전 판타지</v>
      </c>
    </row>
    <row r="2817" spans="1:59">
      <c r="A2817" t="s">
        <v>60</v>
      </c>
      <c r="B2817" s="1">
        <v>46130</v>
      </c>
      <c r="C2817">
        <v>2378009513</v>
      </c>
      <c r="D2817">
        <v>2378031798</v>
      </c>
      <c r="E2817" t="str">
        <f>T("문과라도 안 죄송한 이세계로 감 420화")</f>
        <v>문과라도 안 죄송한 이세계로 감 420화</v>
      </c>
      <c r="F2817">
        <v>420</v>
      </c>
      <c r="G2817" t="str">
        <f>T("정수읠")</f>
        <v>정수읠</v>
      </c>
      <c r="J2817" t="str">
        <f>T("매드햇")</f>
        <v>매드햇</v>
      </c>
      <c r="K2817" t="str">
        <f>T("문과라도 안 죄송한 이세계로 감")</f>
        <v>문과라도 안 죄송한 이세계로 감</v>
      </c>
      <c r="L2817">
        <v>100</v>
      </c>
      <c r="M2817">
        <v>100</v>
      </c>
      <c r="N2817">
        <v>1</v>
      </c>
      <c r="O2817">
        <v>0</v>
      </c>
      <c r="P2817">
        <v>0</v>
      </c>
      <c r="Q2817">
        <v>0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0</v>
      </c>
      <c r="AH2817">
        <v>0</v>
      </c>
      <c r="AI2817">
        <v>100</v>
      </c>
      <c r="AJ2817">
        <v>1</v>
      </c>
      <c r="AK2817">
        <v>0</v>
      </c>
      <c r="AL2817">
        <v>0</v>
      </c>
      <c r="AM2817">
        <v>100</v>
      </c>
      <c r="AN2817">
        <v>0</v>
      </c>
      <c r="AO2817">
        <v>0</v>
      </c>
      <c r="AP2817">
        <v>0</v>
      </c>
      <c r="AQ2817">
        <v>0</v>
      </c>
      <c r="AS2817">
        <v>0</v>
      </c>
      <c r="AT2817">
        <v>0</v>
      </c>
      <c r="AV2817">
        <v>0</v>
      </c>
      <c r="AW2817">
        <v>0</v>
      </c>
      <c r="AY2817">
        <v>0</v>
      </c>
      <c r="AZ2817">
        <v>0</v>
      </c>
      <c r="BA2817">
        <v>70</v>
      </c>
      <c r="BC2817" t="str">
        <f>T("0000000000000")</f>
        <v>0000000000000</v>
      </c>
      <c r="BE2817" t="str">
        <f>T("9791162589724")</f>
        <v>9791162589724</v>
      </c>
      <c r="BF2817" t="str">
        <f>T("N026173")</f>
        <v>N026173</v>
      </c>
      <c r="BG2817" t="str">
        <f>T("판타지 웹소설 &gt; 퓨전 판타지")</f>
        <v>판타지 웹소설 &gt; 퓨전 판타지</v>
      </c>
    </row>
    <row r="2818" spans="1:59">
      <c r="A2818" t="s">
        <v>60</v>
      </c>
      <c r="B2818" s="1">
        <v>46130</v>
      </c>
      <c r="C2818">
        <v>2378009513</v>
      </c>
      <c r="D2818">
        <v>2378014409</v>
      </c>
      <c r="E2818" t="str">
        <f>T("문과라도 안 죄송한 이세계로 감 257화")</f>
        <v>문과라도 안 죄송한 이세계로 감 257화</v>
      </c>
      <c r="F2818">
        <v>257</v>
      </c>
      <c r="G2818" t="str">
        <f>T("정수읠")</f>
        <v>정수읠</v>
      </c>
      <c r="J2818" t="str">
        <f>T("매드햇")</f>
        <v>매드햇</v>
      </c>
      <c r="K2818" t="str">
        <f>T("문과라도 안 죄송한 이세계로 감")</f>
        <v>문과라도 안 죄송한 이세계로 감</v>
      </c>
      <c r="L2818">
        <v>100</v>
      </c>
      <c r="M2818">
        <v>100</v>
      </c>
      <c r="N2818">
        <v>1</v>
      </c>
      <c r="O2818">
        <v>0</v>
      </c>
      <c r="P2818">
        <v>0</v>
      </c>
      <c r="Q2818">
        <v>0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0</v>
      </c>
      <c r="AH2818">
        <v>0</v>
      </c>
      <c r="AI2818">
        <v>100</v>
      </c>
      <c r="AJ2818">
        <v>1</v>
      </c>
      <c r="AK2818">
        <v>0</v>
      </c>
      <c r="AL2818">
        <v>0</v>
      </c>
      <c r="AM2818">
        <v>100</v>
      </c>
      <c r="AN2818">
        <v>0</v>
      </c>
      <c r="AO2818">
        <v>0</v>
      </c>
      <c r="AP2818">
        <v>0</v>
      </c>
      <c r="AQ2818">
        <v>0</v>
      </c>
      <c r="AS2818">
        <v>0</v>
      </c>
      <c r="AT2818">
        <v>0</v>
      </c>
      <c r="AV2818">
        <v>0</v>
      </c>
      <c r="AW2818">
        <v>0</v>
      </c>
      <c r="AY2818">
        <v>0</v>
      </c>
      <c r="AZ2818">
        <v>0</v>
      </c>
      <c r="BA2818">
        <v>70</v>
      </c>
      <c r="BC2818" t="str">
        <f>T("0000000000000")</f>
        <v>0000000000000</v>
      </c>
      <c r="BE2818" t="str">
        <f>T("9791162589724")</f>
        <v>9791162589724</v>
      </c>
      <c r="BF2818" t="str">
        <f>T("E720119")</f>
        <v>E720119</v>
      </c>
      <c r="BG2818" t="str">
        <f>T("판타지 웹소설 &gt; 퓨전 판타지")</f>
        <v>판타지 웹소설 &gt; 퓨전 판타지</v>
      </c>
    </row>
    <row r="2819" spans="1:59">
      <c r="A2819" t="s">
        <v>60</v>
      </c>
      <c r="B2819" s="1">
        <v>46130</v>
      </c>
      <c r="C2819">
        <v>2378009513</v>
      </c>
      <c r="D2819">
        <v>2378009696</v>
      </c>
      <c r="E2819" t="str">
        <f>T("문과라도 안 죄송한 이세계로 감 112화")</f>
        <v>문과라도 안 죄송한 이세계로 감 112화</v>
      </c>
      <c r="F2819">
        <v>112</v>
      </c>
      <c r="G2819" t="str">
        <f>T("정수읠")</f>
        <v>정수읠</v>
      </c>
      <c r="J2819" t="str">
        <f>T("매드햇")</f>
        <v>매드햇</v>
      </c>
      <c r="K2819" t="str">
        <f>T("문과라도 안 죄송한 이세계로 감")</f>
        <v>문과라도 안 죄송한 이세계로 감</v>
      </c>
      <c r="L2819">
        <v>100</v>
      </c>
      <c r="M2819">
        <v>100</v>
      </c>
      <c r="N2819">
        <v>1</v>
      </c>
      <c r="O2819">
        <v>0</v>
      </c>
      <c r="P2819">
        <v>0</v>
      </c>
      <c r="Q2819">
        <v>0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0</v>
      </c>
      <c r="AH2819">
        <v>0</v>
      </c>
      <c r="AI2819">
        <v>100</v>
      </c>
      <c r="AJ2819">
        <v>1</v>
      </c>
      <c r="AK2819">
        <v>0</v>
      </c>
      <c r="AL2819">
        <v>0</v>
      </c>
      <c r="AM2819">
        <v>100</v>
      </c>
      <c r="AN2819">
        <v>0</v>
      </c>
      <c r="AO2819">
        <v>0</v>
      </c>
      <c r="AP2819">
        <v>0</v>
      </c>
      <c r="AQ2819">
        <v>0</v>
      </c>
      <c r="AS2819">
        <v>0</v>
      </c>
      <c r="AT2819">
        <v>0</v>
      </c>
      <c r="AV2819">
        <v>0</v>
      </c>
      <c r="AW2819">
        <v>0</v>
      </c>
      <c r="AY2819">
        <v>0</v>
      </c>
      <c r="AZ2819">
        <v>0</v>
      </c>
      <c r="BA2819">
        <v>70</v>
      </c>
      <c r="BC2819" t="str">
        <f>T("0000000000000")</f>
        <v>0000000000000</v>
      </c>
      <c r="BE2819" t="str">
        <f>T("9791162589724")</f>
        <v>9791162589724</v>
      </c>
      <c r="BF2819" t="str">
        <f>T("E458053")</f>
        <v>E458053</v>
      </c>
      <c r="BG2819" t="str">
        <f>T("판타지 웹소설 &gt; 퓨전 판타지")</f>
        <v>판타지 웹소설 &gt; 퓨전 판타지</v>
      </c>
    </row>
    <row r="2820" spans="1:59">
      <c r="A2820" t="s">
        <v>60</v>
      </c>
      <c r="B2820" s="1">
        <v>46130</v>
      </c>
      <c r="C2820">
        <v>2378009513</v>
      </c>
      <c r="D2820">
        <v>2378009722</v>
      </c>
      <c r="E2820" t="str">
        <f>T("문과라도 안 죄송한 이세계로 감 113화")</f>
        <v>문과라도 안 죄송한 이세계로 감 113화</v>
      </c>
      <c r="F2820">
        <v>113</v>
      </c>
      <c r="G2820" t="str">
        <f>T("정수읠")</f>
        <v>정수읠</v>
      </c>
      <c r="J2820" t="str">
        <f>T("매드햇")</f>
        <v>매드햇</v>
      </c>
      <c r="K2820" t="str">
        <f>T("문과라도 안 죄송한 이세계로 감")</f>
        <v>문과라도 안 죄송한 이세계로 감</v>
      </c>
      <c r="L2820">
        <v>100</v>
      </c>
      <c r="M2820">
        <v>100</v>
      </c>
      <c r="N2820">
        <v>1</v>
      </c>
      <c r="O2820">
        <v>0</v>
      </c>
      <c r="P2820">
        <v>0</v>
      </c>
      <c r="Q2820">
        <v>0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0</v>
      </c>
      <c r="AH2820">
        <v>0</v>
      </c>
      <c r="AI2820">
        <v>100</v>
      </c>
      <c r="AJ2820">
        <v>1</v>
      </c>
      <c r="AK2820">
        <v>0</v>
      </c>
      <c r="AL2820">
        <v>0</v>
      </c>
      <c r="AM2820">
        <v>100</v>
      </c>
      <c r="AN2820">
        <v>0</v>
      </c>
      <c r="AO2820">
        <v>0</v>
      </c>
      <c r="AP2820">
        <v>0</v>
      </c>
      <c r="AQ2820">
        <v>0</v>
      </c>
      <c r="AS2820">
        <v>0</v>
      </c>
      <c r="AT2820">
        <v>0</v>
      </c>
      <c r="AV2820">
        <v>0</v>
      </c>
      <c r="AW2820">
        <v>0</v>
      </c>
      <c r="AY2820">
        <v>0</v>
      </c>
      <c r="AZ2820">
        <v>0</v>
      </c>
      <c r="BA2820">
        <v>70</v>
      </c>
      <c r="BC2820" t="str">
        <f>T("0000000000000")</f>
        <v>0000000000000</v>
      </c>
      <c r="BE2820" t="str">
        <f>T("9791162589724")</f>
        <v>9791162589724</v>
      </c>
      <c r="BF2820" t="str">
        <f>T("E465117")</f>
        <v>E465117</v>
      </c>
      <c r="BG2820" t="str">
        <f>T("판타지 웹소설 &gt; 퓨전 판타지")</f>
        <v>판타지 웹소설 &gt; 퓨전 판타지</v>
      </c>
    </row>
    <row r="2821" spans="1:59">
      <c r="A2821" t="s">
        <v>60</v>
      </c>
      <c r="B2821" s="1">
        <v>46130</v>
      </c>
      <c r="C2821">
        <v>2378009513</v>
      </c>
      <c r="D2821">
        <v>2378009723</v>
      </c>
      <c r="E2821" t="str">
        <f>T("문과라도 안 죄송한 이세계로 감 114화")</f>
        <v>문과라도 안 죄송한 이세계로 감 114화</v>
      </c>
      <c r="F2821">
        <v>114</v>
      </c>
      <c r="G2821" t="str">
        <f>T("정수읠")</f>
        <v>정수읠</v>
      </c>
      <c r="J2821" t="str">
        <f>T("매드햇")</f>
        <v>매드햇</v>
      </c>
      <c r="K2821" t="str">
        <f>T("문과라도 안 죄송한 이세계로 감")</f>
        <v>문과라도 안 죄송한 이세계로 감</v>
      </c>
      <c r="L2821">
        <v>100</v>
      </c>
      <c r="M2821">
        <v>100</v>
      </c>
      <c r="N2821">
        <v>1</v>
      </c>
      <c r="O2821">
        <v>0</v>
      </c>
      <c r="P2821">
        <v>0</v>
      </c>
      <c r="Q2821">
        <v>0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0</v>
      </c>
      <c r="AH2821">
        <v>0</v>
      </c>
      <c r="AI2821">
        <v>100</v>
      </c>
      <c r="AJ2821">
        <v>1</v>
      </c>
      <c r="AK2821">
        <v>0</v>
      </c>
      <c r="AL2821">
        <v>0</v>
      </c>
      <c r="AM2821">
        <v>100</v>
      </c>
      <c r="AN2821">
        <v>0</v>
      </c>
      <c r="AO2821">
        <v>0</v>
      </c>
      <c r="AP2821">
        <v>0</v>
      </c>
      <c r="AQ2821">
        <v>0</v>
      </c>
      <c r="AS2821">
        <v>0</v>
      </c>
      <c r="AT2821">
        <v>0</v>
      </c>
      <c r="AV2821">
        <v>0</v>
      </c>
      <c r="AW2821">
        <v>0</v>
      </c>
      <c r="AY2821">
        <v>0</v>
      </c>
      <c r="AZ2821">
        <v>0</v>
      </c>
      <c r="BA2821">
        <v>70</v>
      </c>
      <c r="BC2821" t="str">
        <f>T("0000000000000")</f>
        <v>0000000000000</v>
      </c>
      <c r="BE2821" t="str">
        <f>T("9791162589724")</f>
        <v>9791162589724</v>
      </c>
      <c r="BF2821" t="str">
        <f>T("E465118")</f>
        <v>E465118</v>
      </c>
      <c r="BG2821" t="str">
        <f>T("판타지 웹소설 &gt; 퓨전 판타지")</f>
        <v>판타지 웹소설 &gt; 퓨전 판타지</v>
      </c>
    </row>
    <row r="2822" spans="1:59">
      <c r="A2822" t="s">
        <v>60</v>
      </c>
      <c r="B2822" s="1">
        <v>46130</v>
      </c>
      <c r="C2822">
        <v>2378009513</v>
      </c>
      <c r="D2822">
        <v>2378009724</v>
      </c>
      <c r="E2822" t="str">
        <f>T("문과라도 안 죄송한 이세계로 감 115화")</f>
        <v>문과라도 안 죄송한 이세계로 감 115화</v>
      </c>
      <c r="F2822">
        <v>115</v>
      </c>
      <c r="G2822" t="str">
        <f>T("정수읠")</f>
        <v>정수읠</v>
      </c>
      <c r="J2822" t="str">
        <f>T("매드햇")</f>
        <v>매드햇</v>
      </c>
      <c r="K2822" t="str">
        <f>T("문과라도 안 죄송한 이세계로 감")</f>
        <v>문과라도 안 죄송한 이세계로 감</v>
      </c>
      <c r="L2822">
        <v>100</v>
      </c>
      <c r="M2822">
        <v>100</v>
      </c>
      <c r="N2822">
        <v>1</v>
      </c>
      <c r="O2822">
        <v>0</v>
      </c>
      <c r="P2822">
        <v>0</v>
      </c>
      <c r="Q2822">
        <v>0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0</v>
      </c>
      <c r="AH2822">
        <v>0</v>
      </c>
      <c r="AI2822">
        <v>100</v>
      </c>
      <c r="AJ2822">
        <v>1</v>
      </c>
      <c r="AK2822">
        <v>0</v>
      </c>
      <c r="AL2822">
        <v>0</v>
      </c>
      <c r="AM2822">
        <v>100</v>
      </c>
      <c r="AN2822">
        <v>0</v>
      </c>
      <c r="AO2822">
        <v>0</v>
      </c>
      <c r="AP2822">
        <v>0</v>
      </c>
      <c r="AQ2822">
        <v>0</v>
      </c>
      <c r="AS2822">
        <v>0</v>
      </c>
      <c r="AT2822">
        <v>0</v>
      </c>
      <c r="AV2822">
        <v>0</v>
      </c>
      <c r="AW2822">
        <v>0</v>
      </c>
      <c r="AY2822">
        <v>0</v>
      </c>
      <c r="AZ2822">
        <v>0</v>
      </c>
      <c r="BA2822">
        <v>70</v>
      </c>
      <c r="BC2822" t="str">
        <f>T("0000000000000")</f>
        <v>0000000000000</v>
      </c>
      <c r="BE2822" t="str">
        <f>T("9791162589724")</f>
        <v>9791162589724</v>
      </c>
      <c r="BF2822" t="str">
        <f>T("E465119")</f>
        <v>E465119</v>
      </c>
      <c r="BG2822" t="str">
        <f>T("판타지 웹소설 &gt; 퓨전 판타지")</f>
        <v>판타지 웹소설 &gt; 퓨전 판타지</v>
      </c>
    </row>
    <row r="2823" spans="1:59">
      <c r="A2823" t="s">
        <v>60</v>
      </c>
      <c r="B2823" s="1">
        <v>46130</v>
      </c>
      <c r="C2823">
        <v>2378009513</v>
      </c>
      <c r="D2823">
        <v>2378014376</v>
      </c>
      <c r="E2823" t="str">
        <f>T("문과라도 안 죄송한 이세계로 감 254화")</f>
        <v>문과라도 안 죄송한 이세계로 감 254화</v>
      </c>
      <c r="F2823">
        <v>254</v>
      </c>
      <c r="G2823" t="str">
        <f>T("정수읠")</f>
        <v>정수읠</v>
      </c>
      <c r="J2823" t="str">
        <f>T("매드햇")</f>
        <v>매드햇</v>
      </c>
      <c r="K2823" t="str">
        <f>T("문과라도 안 죄송한 이세계로 감")</f>
        <v>문과라도 안 죄송한 이세계로 감</v>
      </c>
      <c r="L2823">
        <v>100</v>
      </c>
      <c r="M2823">
        <v>200</v>
      </c>
      <c r="N2823">
        <v>2</v>
      </c>
      <c r="O2823">
        <v>0</v>
      </c>
      <c r="P2823">
        <v>0</v>
      </c>
      <c r="Q2823">
        <v>0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0</v>
      </c>
      <c r="AH2823">
        <v>0</v>
      </c>
      <c r="AI2823">
        <v>200</v>
      </c>
      <c r="AJ2823">
        <v>2</v>
      </c>
      <c r="AK2823">
        <v>0</v>
      </c>
      <c r="AL2823">
        <v>0</v>
      </c>
      <c r="AM2823">
        <v>200</v>
      </c>
      <c r="AN2823">
        <v>0</v>
      </c>
      <c r="AO2823">
        <v>0</v>
      </c>
      <c r="AP2823">
        <v>0</v>
      </c>
      <c r="AQ2823">
        <v>0</v>
      </c>
      <c r="AS2823">
        <v>0</v>
      </c>
      <c r="AT2823">
        <v>0</v>
      </c>
      <c r="AV2823">
        <v>0</v>
      </c>
      <c r="AW2823">
        <v>0</v>
      </c>
      <c r="AY2823">
        <v>0</v>
      </c>
      <c r="AZ2823">
        <v>0</v>
      </c>
      <c r="BA2823">
        <v>140</v>
      </c>
      <c r="BC2823" t="str">
        <f>T("0000000000000")</f>
        <v>0000000000000</v>
      </c>
      <c r="BE2823" t="str">
        <f>T("9791162589724")</f>
        <v>9791162589724</v>
      </c>
      <c r="BF2823" t="str">
        <f>T("E720116")</f>
        <v>E720116</v>
      </c>
      <c r="BG2823" t="str">
        <f>T("판타지 웹소설 &gt; 퓨전 판타지")</f>
        <v>판타지 웹소설 &gt; 퓨전 판타지</v>
      </c>
    </row>
    <row r="2824" spans="1:59">
      <c r="A2824" t="s">
        <v>60</v>
      </c>
      <c r="B2824" s="1">
        <v>46130</v>
      </c>
      <c r="C2824">
        <v>2378009513</v>
      </c>
      <c r="D2824">
        <v>2378009516</v>
      </c>
      <c r="E2824" t="str">
        <f>T("문과라도 안 죄송한 이세계로 감 4화")</f>
        <v>문과라도 안 죄송한 이세계로 감 4화</v>
      </c>
      <c r="F2824">
        <v>4</v>
      </c>
      <c r="G2824" t="str">
        <f>T("정수읠")</f>
        <v>정수읠</v>
      </c>
      <c r="J2824" t="str">
        <f>T("매드햇")</f>
        <v>매드햇</v>
      </c>
      <c r="K2824" t="str">
        <f>T("문과라도 안 죄송한 이세계로 감")</f>
        <v>문과라도 안 죄송한 이세계로 감</v>
      </c>
      <c r="L2824">
        <v>0</v>
      </c>
      <c r="M2824">
        <v>0</v>
      </c>
      <c r="N2824">
        <v>0</v>
      </c>
      <c r="O2824">
        <v>3</v>
      </c>
      <c r="P2824">
        <v>0</v>
      </c>
      <c r="Q2824">
        <v>0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0</v>
      </c>
      <c r="AH2824">
        <v>0</v>
      </c>
      <c r="AI2824">
        <v>0</v>
      </c>
      <c r="AJ2824">
        <v>3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S2824">
        <v>0</v>
      </c>
      <c r="AT2824">
        <v>0</v>
      </c>
      <c r="AV2824">
        <v>0</v>
      </c>
      <c r="AW2824">
        <v>0</v>
      </c>
      <c r="AY2824">
        <v>0</v>
      </c>
      <c r="AZ2824">
        <v>0</v>
      </c>
      <c r="BA2824">
        <v>0</v>
      </c>
      <c r="BE2824" t="str">
        <f>T("9791162589724")</f>
        <v>9791162589724</v>
      </c>
      <c r="BF2824" t="str">
        <f>T("E448240")</f>
        <v>E448240</v>
      </c>
      <c r="BG2824" t="str">
        <f>T("판타지 웹소설 &gt; 퓨전 판타지")</f>
        <v>판타지 웹소설 &gt; 퓨전 판타지</v>
      </c>
    </row>
    <row r="2825" spans="1:59">
      <c r="A2825" t="s">
        <v>60</v>
      </c>
      <c r="B2825" s="1">
        <v>46130</v>
      </c>
      <c r="C2825">
        <v>2378009513</v>
      </c>
      <c r="D2825">
        <v>2378009517</v>
      </c>
      <c r="E2825" t="str">
        <f>T("문과라도 안 죄송한 이세계로 감 5화")</f>
        <v>문과라도 안 죄송한 이세계로 감 5화</v>
      </c>
      <c r="F2825">
        <v>5</v>
      </c>
      <c r="G2825" t="str">
        <f>T("정수읠")</f>
        <v>정수읠</v>
      </c>
      <c r="J2825" t="str">
        <f>T("매드햇")</f>
        <v>매드햇</v>
      </c>
      <c r="K2825" t="str">
        <f>T("문과라도 안 죄송한 이세계로 감")</f>
        <v>문과라도 안 죄송한 이세계로 감</v>
      </c>
      <c r="L2825">
        <v>0</v>
      </c>
      <c r="M2825">
        <v>0</v>
      </c>
      <c r="N2825">
        <v>0</v>
      </c>
      <c r="O2825">
        <v>3</v>
      </c>
      <c r="P2825">
        <v>0</v>
      </c>
      <c r="Q2825">
        <v>0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0</v>
      </c>
      <c r="AH2825">
        <v>0</v>
      </c>
      <c r="AI2825">
        <v>0</v>
      </c>
      <c r="AJ2825">
        <v>3</v>
      </c>
      <c r="AK2825">
        <v>0</v>
      </c>
      <c r="AL2825">
        <v>0</v>
      </c>
      <c r="AM2825">
        <v>0</v>
      </c>
      <c r="AN2825">
        <v>0</v>
      </c>
      <c r="AO2825">
        <v>0</v>
      </c>
      <c r="AP2825">
        <v>0</v>
      </c>
      <c r="AQ2825">
        <v>0</v>
      </c>
      <c r="AS2825">
        <v>0</v>
      </c>
      <c r="AT2825">
        <v>0</v>
      </c>
      <c r="AV2825">
        <v>0</v>
      </c>
      <c r="AW2825">
        <v>0</v>
      </c>
      <c r="AY2825">
        <v>0</v>
      </c>
      <c r="AZ2825">
        <v>0</v>
      </c>
      <c r="BA2825">
        <v>0</v>
      </c>
      <c r="BE2825" t="str">
        <f>T("9791162589724")</f>
        <v>9791162589724</v>
      </c>
      <c r="BF2825" t="str">
        <f>T("E448241")</f>
        <v>E448241</v>
      </c>
      <c r="BG2825" t="str">
        <f>T("판타지 웹소설 &gt; 퓨전 판타지")</f>
        <v>판타지 웹소설 &gt; 퓨전 판타지</v>
      </c>
    </row>
    <row r="2826" spans="1:59">
      <c r="A2826" t="s">
        <v>60</v>
      </c>
      <c r="B2826" s="1">
        <v>46130</v>
      </c>
      <c r="C2826">
        <v>2378009513</v>
      </c>
      <c r="D2826">
        <v>2378009518</v>
      </c>
      <c r="E2826" t="str">
        <f>T("문과라도 안 죄송한 이세계로 감 6화")</f>
        <v>문과라도 안 죄송한 이세계로 감 6화</v>
      </c>
      <c r="F2826">
        <v>6</v>
      </c>
      <c r="G2826" t="str">
        <f>T("정수읠")</f>
        <v>정수읠</v>
      </c>
      <c r="J2826" t="str">
        <f>T("매드햇")</f>
        <v>매드햇</v>
      </c>
      <c r="K2826" t="str">
        <f>T("문과라도 안 죄송한 이세계로 감")</f>
        <v>문과라도 안 죄송한 이세계로 감</v>
      </c>
      <c r="L2826">
        <v>0</v>
      </c>
      <c r="M2826">
        <v>0</v>
      </c>
      <c r="N2826">
        <v>0</v>
      </c>
      <c r="O2826">
        <v>3</v>
      </c>
      <c r="P2826">
        <v>0</v>
      </c>
      <c r="Q2826">
        <v>0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0</v>
      </c>
      <c r="AH2826">
        <v>0</v>
      </c>
      <c r="AI2826">
        <v>0</v>
      </c>
      <c r="AJ2826">
        <v>3</v>
      </c>
      <c r="AK2826">
        <v>0</v>
      </c>
      <c r="AL2826">
        <v>0</v>
      </c>
      <c r="AM2826">
        <v>0</v>
      </c>
      <c r="AN2826">
        <v>0</v>
      </c>
      <c r="AO2826">
        <v>0</v>
      </c>
      <c r="AP2826">
        <v>0</v>
      </c>
      <c r="AQ2826">
        <v>0</v>
      </c>
      <c r="AS2826">
        <v>0</v>
      </c>
      <c r="AT2826">
        <v>0</v>
      </c>
      <c r="AV2826">
        <v>0</v>
      </c>
      <c r="AW2826">
        <v>0</v>
      </c>
      <c r="AY2826">
        <v>0</v>
      </c>
      <c r="AZ2826">
        <v>0</v>
      </c>
      <c r="BA2826">
        <v>0</v>
      </c>
      <c r="BE2826" t="str">
        <f>T("9791162589724")</f>
        <v>9791162589724</v>
      </c>
      <c r="BF2826" t="str">
        <f>T("E448242")</f>
        <v>E448242</v>
      </c>
      <c r="BG2826" t="str">
        <f>T("판타지 웹소설 &gt; 퓨전 판타지")</f>
        <v>판타지 웹소설 &gt; 퓨전 판타지</v>
      </c>
    </row>
    <row r="2827" spans="1:59">
      <c r="A2827" t="s">
        <v>60</v>
      </c>
      <c r="B2827" s="1">
        <v>46130</v>
      </c>
      <c r="C2827">
        <v>2378009513</v>
      </c>
      <c r="D2827">
        <v>2378009519</v>
      </c>
      <c r="E2827" t="str">
        <f>T("문과라도 안 죄송한 이세계로 감 7화")</f>
        <v>문과라도 안 죄송한 이세계로 감 7화</v>
      </c>
      <c r="F2827">
        <v>7</v>
      </c>
      <c r="G2827" t="str">
        <f>T("정수읠")</f>
        <v>정수읠</v>
      </c>
      <c r="J2827" t="str">
        <f>T("매드햇")</f>
        <v>매드햇</v>
      </c>
      <c r="K2827" t="str">
        <f>T("문과라도 안 죄송한 이세계로 감")</f>
        <v>문과라도 안 죄송한 이세계로 감</v>
      </c>
      <c r="L2827">
        <v>0</v>
      </c>
      <c r="M2827">
        <v>0</v>
      </c>
      <c r="N2827">
        <v>0</v>
      </c>
      <c r="O2827">
        <v>4</v>
      </c>
      <c r="P2827">
        <v>0</v>
      </c>
      <c r="Q2827">
        <v>0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0</v>
      </c>
      <c r="AH2827">
        <v>0</v>
      </c>
      <c r="AI2827">
        <v>0</v>
      </c>
      <c r="AJ2827">
        <v>4</v>
      </c>
      <c r="AK2827">
        <v>0</v>
      </c>
      <c r="AL2827">
        <v>0</v>
      </c>
      <c r="AM2827">
        <v>0</v>
      </c>
      <c r="AN2827">
        <v>0</v>
      </c>
      <c r="AO2827">
        <v>0</v>
      </c>
      <c r="AP2827">
        <v>0</v>
      </c>
      <c r="AQ2827">
        <v>0</v>
      </c>
      <c r="AS2827">
        <v>0</v>
      </c>
      <c r="AT2827">
        <v>0</v>
      </c>
      <c r="AV2827">
        <v>0</v>
      </c>
      <c r="AW2827">
        <v>0</v>
      </c>
      <c r="AY2827">
        <v>0</v>
      </c>
      <c r="AZ2827">
        <v>0</v>
      </c>
      <c r="BA2827">
        <v>0</v>
      </c>
      <c r="BE2827" t="str">
        <f>T("9791162589724")</f>
        <v>9791162589724</v>
      </c>
      <c r="BF2827" t="str">
        <f>T("E448243")</f>
        <v>E448243</v>
      </c>
      <c r="BG2827" t="str">
        <f>T("판타지 웹소설 &gt; 퓨전 판타지")</f>
        <v>판타지 웹소설 &gt; 퓨전 판타지</v>
      </c>
    </row>
    <row r="2828" spans="1:59">
      <c r="A2828" t="s">
        <v>60</v>
      </c>
      <c r="B2828" s="1">
        <v>46130</v>
      </c>
      <c r="C2828">
        <v>2378009513</v>
      </c>
      <c r="D2828">
        <v>2378009520</v>
      </c>
      <c r="E2828" t="str">
        <f>T("문과라도 안 죄송한 이세계로 감 8화")</f>
        <v>문과라도 안 죄송한 이세계로 감 8화</v>
      </c>
      <c r="F2828">
        <v>8</v>
      </c>
      <c r="G2828" t="str">
        <f>T("정수읠")</f>
        <v>정수읠</v>
      </c>
      <c r="J2828" t="str">
        <f>T("매드햇")</f>
        <v>매드햇</v>
      </c>
      <c r="K2828" t="str">
        <f>T("문과라도 안 죄송한 이세계로 감")</f>
        <v>문과라도 안 죄송한 이세계로 감</v>
      </c>
      <c r="L2828">
        <v>0</v>
      </c>
      <c r="M2828">
        <v>0</v>
      </c>
      <c r="N2828">
        <v>0</v>
      </c>
      <c r="O2828">
        <v>4</v>
      </c>
      <c r="P2828">
        <v>0</v>
      </c>
      <c r="Q2828">
        <v>0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0</v>
      </c>
      <c r="AH2828">
        <v>0</v>
      </c>
      <c r="AI2828">
        <v>0</v>
      </c>
      <c r="AJ2828">
        <v>4</v>
      </c>
      <c r="AK2828">
        <v>0</v>
      </c>
      <c r="AL2828">
        <v>0</v>
      </c>
      <c r="AM2828">
        <v>0</v>
      </c>
      <c r="AN2828">
        <v>0</v>
      </c>
      <c r="AO2828">
        <v>0</v>
      </c>
      <c r="AP2828">
        <v>0</v>
      </c>
      <c r="AQ2828">
        <v>0</v>
      </c>
      <c r="AS2828">
        <v>0</v>
      </c>
      <c r="AT2828">
        <v>0</v>
      </c>
      <c r="AV2828">
        <v>0</v>
      </c>
      <c r="AW2828">
        <v>0</v>
      </c>
      <c r="AY2828">
        <v>0</v>
      </c>
      <c r="AZ2828">
        <v>0</v>
      </c>
      <c r="BA2828">
        <v>0</v>
      </c>
      <c r="BE2828" t="str">
        <f>T("9791162589724")</f>
        <v>9791162589724</v>
      </c>
      <c r="BF2828" t="str">
        <f>T("E448244")</f>
        <v>E448244</v>
      </c>
      <c r="BG2828" t="str">
        <f>T("판타지 웹소설 &gt; 퓨전 판타지")</f>
        <v>판타지 웹소설 &gt; 퓨전 판타지</v>
      </c>
    </row>
    <row r="2829" spans="1:59">
      <c r="A2829" t="s">
        <v>60</v>
      </c>
      <c r="B2829" s="1">
        <v>46130</v>
      </c>
      <c r="C2829">
        <v>2378009513</v>
      </c>
      <c r="D2829">
        <v>2378009521</v>
      </c>
      <c r="E2829" t="str">
        <f>T("문과라도 안 죄송한 이세계로 감 9화")</f>
        <v>문과라도 안 죄송한 이세계로 감 9화</v>
      </c>
      <c r="F2829">
        <v>9</v>
      </c>
      <c r="G2829" t="str">
        <f>T("정수읠")</f>
        <v>정수읠</v>
      </c>
      <c r="J2829" t="str">
        <f>T("매드햇")</f>
        <v>매드햇</v>
      </c>
      <c r="K2829" t="str">
        <f>T("문과라도 안 죄송한 이세계로 감")</f>
        <v>문과라도 안 죄송한 이세계로 감</v>
      </c>
      <c r="L2829">
        <v>0</v>
      </c>
      <c r="M2829">
        <v>0</v>
      </c>
      <c r="N2829">
        <v>0</v>
      </c>
      <c r="O2829">
        <v>4</v>
      </c>
      <c r="P2829">
        <v>0</v>
      </c>
      <c r="Q2829">
        <v>0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0</v>
      </c>
      <c r="AH2829">
        <v>0</v>
      </c>
      <c r="AI2829">
        <v>0</v>
      </c>
      <c r="AJ2829">
        <v>4</v>
      </c>
      <c r="AK2829">
        <v>0</v>
      </c>
      <c r="AL2829">
        <v>0</v>
      </c>
      <c r="AM2829">
        <v>0</v>
      </c>
      <c r="AN2829">
        <v>0</v>
      </c>
      <c r="AO2829">
        <v>0</v>
      </c>
      <c r="AP2829">
        <v>0</v>
      </c>
      <c r="AQ2829">
        <v>0</v>
      </c>
      <c r="AS2829">
        <v>0</v>
      </c>
      <c r="AT2829">
        <v>0</v>
      </c>
      <c r="AV2829">
        <v>0</v>
      </c>
      <c r="AW2829">
        <v>0</v>
      </c>
      <c r="AY2829">
        <v>0</v>
      </c>
      <c r="AZ2829">
        <v>0</v>
      </c>
      <c r="BA2829">
        <v>0</v>
      </c>
      <c r="BE2829" t="str">
        <f>T("9791162589724")</f>
        <v>9791162589724</v>
      </c>
      <c r="BF2829" t="str">
        <f>T("E448245")</f>
        <v>E448245</v>
      </c>
      <c r="BG2829" t="str">
        <f>T("판타지 웹소설 &gt; 퓨전 판타지")</f>
        <v>판타지 웹소설 &gt; 퓨전 판타지</v>
      </c>
    </row>
    <row r="2830" spans="1:59">
      <c r="A2830" t="s">
        <v>60</v>
      </c>
      <c r="B2830" s="1">
        <v>46130</v>
      </c>
      <c r="C2830">
        <v>2378009513</v>
      </c>
      <c r="D2830">
        <v>2378009522</v>
      </c>
      <c r="E2830" t="str">
        <f>T("문과라도 안 죄송한 이세계로 감 10화")</f>
        <v>문과라도 안 죄송한 이세계로 감 10화</v>
      </c>
      <c r="F2830">
        <v>10</v>
      </c>
      <c r="G2830" t="str">
        <f>T("정수읠")</f>
        <v>정수읠</v>
      </c>
      <c r="J2830" t="str">
        <f>T("매드햇")</f>
        <v>매드햇</v>
      </c>
      <c r="K2830" t="str">
        <f>T("문과라도 안 죄송한 이세계로 감")</f>
        <v>문과라도 안 죄송한 이세계로 감</v>
      </c>
      <c r="L2830">
        <v>0</v>
      </c>
      <c r="M2830">
        <v>0</v>
      </c>
      <c r="N2830">
        <v>0</v>
      </c>
      <c r="O2830">
        <v>4</v>
      </c>
      <c r="P2830">
        <v>0</v>
      </c>
      <c r="Q2830">
        <v>0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0</v>
      </c>
      <c r="AH2830">
        <v>0</v>
      </c>
      <c r="AI2830">
        <v>0</v>
      </c>
      <c r="AJ2830">
        <v>4</v>
      </c>
      <c r="AK2830">
        <v>0</v>
      </c>
      <c r="AL2830">
        <v>0</v>
      </c>
      <c r="AM2830">
        <v>0</v>
      </c>
      <c r="AN2830">
        <v>0</v>
      </c>
      <c r="AO2830">
        <v>0</v>
      </c>
      <c r="AP2830">
        <v>0</v>
      </c>
      <c r="AQ2830">
        <v>0</v>
      </c>
      <c r="AS2830">
        <v>0</v>
      </c>
      <c r="AT2830">
        <v>0</v>
      </c>
      <c r="AV2830">
        <v>0</v>
      </c>
      <c r="AW2830">
        <v>0</v>
      </c>
      <c r="AY2830">
        <v>0</v>
      </c>
      <c r="AZ2830">
        <v>0</v>
      </c>
      <c r="BA2830">
        <v>0</v>
      </c>
      <c r="BE2830" t="str">
        <f>T("9791162589724")</f>
        <v>9791162589724</v>
      </c>
      <c r="BF2830" t="str">
        <f>T("E448246")</f>
        <v>E448246</v>
      </c>
      <c r="BG2830" t="str">
        <f>T("판타지 웹소설 &gt; 퓨전 판타지")</f>
        <v>판타지 웹소설 &gt; 퓨전 판타지</v>
      </c>
    </row>
    <row r="2831" spans="1:59">
      <c r="A2831" t="s">
        <v>60</v>
      </c>
      <c r="B2831" s="1">
        <v>46130</v>
      </c>
      <c r="C2831">
        <v>2378009513</v>
      </c>
      <c r="D2831">
        <v>2378009523</v>
      </c>
      <c r="E2831" t="str">
        <f>T("문과라도 안 죄송한 이세계로 감 11화")</f>
        <v>문과라도 안 죄송한 이세계로 감 11화</v>
      </c>
      <c r="F2831">
        <v>11</v>
      </c>
      <c r="G2831" t="str">
        <f>T("정수읠")</f>
        <v>정수읠</v>
      </c>
      <c r="J2831" t="str">
        <f>T("매드햇")</f>
        <v>매드햇</v>
      </c>
      <c r="K2831" t="str">
        <f>T("문과라도 안 죄송한 이세계로 감")</f>
        <v>문과라도 안 죄송한 이세계로 감</v>
      </c>
      <c r="L2831">
        <v>0</v>
      </c>
      <c r="M2831">
        <v>0</v>
      </c>
      <c r="N2831">
        <v>0</v>
      </c>
      <c r="O2831">
        <v>4</v>
      </c>
      <c r="P2831">
        <v>0</v>
      </c>
      <c r="Q2831">
        <v>0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0</v>
      </c>
      <c r="AH2831">
        <v>0</v>
      </c>
      <c r="AI2831">
        <v>0</v>
      </c>
      <c r="AJ2831">
        <v>4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S2831">
        <v>0</v>
      </c>
      <c r="AT2831">
        <v>0</v>
      </c>
      <c r="AV2831">
        <v>0</v>
      </c>
      <c r="AW2831">
        <v>0</v>
      </c>
      <c r="AY2831">
        <v>0</v>
      </c>
      <c r="AZ2831">
        <v>0</v>
      </c>
      <c r="BA2831">
        <v>0</v>
      </c>
      <c r="BE2831" t="str">
        <f>T("9791162589724")</f>
        <v>9791162589724</v>
      </c>
      <c r="BF2831" t="str">
        <f>T("E448247")</f>
        <v>E448247</v>
      </c>
      <c r="BG2831" t="str">
        <f>T("판타지 웹소설 &gt; 퓨전 판타지")</f>
        <v>판타지 웹소설 &gt; 퓨전 판타지</v>
      </c>
    </row>
    <row r="2832" spans="1:59">
      <c r="A2832" t="s">
        <v>60</v>
      </c>
      <c r="B2832" s="1">
        <v>46130</v>
      </c>
      <c r="C2832">
        <v>2378009513</v>
      </c>
      <c r="D2832">
        <v>2378009524</v>
      </c>
      <c r="E2832" t="str">
        <f>T("문과라도 안 죄송한 이세계로 감 12화")</f>
        <v>문과라도 안 죄송한 이세계로 감 12화</v>
      </c>
      <c r="F2832">
        <v>12</v>
      </c>
      <c r="G2832" t="str">
        <f>T("정수읠")</f>
        <v>정수읠</v>
      </c>
      <c r="J2832" t="str">
        <f>T("매드햇")</f>
        <v>매드햇</v>
      </c>
      <c r="K2832" t="str">
        <f>T("문과라도 안 죄송한 이세계로 감")</f>
        <v>문과라도 안 죄송한 이세계로 감</v>
      </c>
      <c r="L2832">
        <v>0</v>
      </c>
      <c r="M2832">
        <v>0</v>
      </c>
      <c r="N2832">
        <v>0</v>
      </c>
      <c r="O2832">
        <v>4</v>
      </c>
      <c r="P2832">
        <v>0</v>
      </c>
      <c r="Q2832">
        <v>0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0</v>
      </c>
      <c r="AH2832">
        <v>0</v>
      </c>
      <c r="AI2832">
        <v>0</v>
      </c>
      <c r="AJ2832">
        <v>4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S2832">
        <v>0</v>
      </c>
      <c r="AT2832">
        <v>0</v>
      </c>
      <c r="AV2832">
        <v>0</v>
      </c>
      <c r="AW2832">
        <v>0</v>
      </c>
      <c r="AY2832">
        <v>0</v>
      </c>
      <c r="AZ2832">
        <v>0</v>
      </c>
      <c r="BA2832">
        <v>0</v>
      </c>
      <c r="BE2832" t="str">
        <f>T("9791162589724")</f>
        <v>9791162589724</v>
      </c>
      <c r="BF2832" t="str">
        <f>T("E448248")</f>
        <v>E448248</v>
      </c>
      <c r="BG2832" t="str">
        <f>T("판타지 웹소설 &gt; 퓨전 판타지")</f>
        <v>판타지 웹소설 &gt; 퓨전 판타지</v>
      </c>
    </row>
    <row r="2833" spans="1:59">
      <c r="A2833" t="s">
        <v>60</v>
      </c>
      <c r="B2833" s="1">
        <v>46130</v>
      </c>
      <c r="C2833">
        <v>2378009513</v>
      </c>
      <c r="D2833">
        <v>2378009525</v>
      </c>
      <c r="E2833" t="str">
        <f>T("문과라도 안 죄송한 이세계로 감 13화")</f>
        <v>문과라도 안 죄송한 이세계로 감 13화</v>
      </c>
      <c r="F2833">
        <v>13</v>
      </c>
      <c r="G2833" t="str">
        <f>T("정수읠")</f>
        <v>정수읠</v>
      </c>
      <c r="J2833" t="str">
        <f>T("매드햇")</f>
        <v>매드햇</v>
      </c>
      <c r="K2833" t="str">
        <f>T("문과라도 안 죄송한 이세계로 감")</f>
        <v>문과라도 안 죄송한 이세계로 감</v>
      </c>
      <c r="L2833">
        <v>0</v>
      </c>
      <c r="M2833">
        <v>0</v>
      </c>
      <c r="N2833">
        <v>0</v>
      </c>
      <c r="O2833">
        <v>4</v>
      </c>
      <c r="P2833">
        <v>0</v>
      </c>
      <c r="Q2833">
        <v>0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0</v>
      </c>
      <c r="AH2833">
        <v>0</v>
      </c>
      <c r="AI2833">
        <v>0</v>
      </c>
      <c r="AJ2833">
        <v>4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S2833">
        <v>0</v>
      </c>
      <c r="AT2833">
        <v>0</v>
      </c>
      <c r="AV2833">
        <v>0</v>
      </c>
      <c r="AW2833">
        <v>0</v>
      </c>
      <c r="AY2833">
        <v>0</v>
      </c>
      <c r="AZ2833">
        <v>0</v>
      </c>
      <c r="BA2833">
        <v>0</v>
      </c>
      <c r="BE2833" t="str">
        <f>T("9791162589724")</f>
        <v>9791162589724</v>
      </c>
      <c r="BF2833" t="str">
        <f>T("E448249")</f>
        <v>E448249</v>
      </c>
      <c r="BG2833" t="str">
        <f>T("판타지 웹소설 &gt; 퓨전 판타지")</f>
        <v>판타지 웹소설 &gt; 퓨전 판타지</v>
      </c>
    </row>
    <row r="2834" spans="1:59">
      <c r="A2834" t="s">
        <v>60</v>
      </c>
      <c r="B2834" s="1">
        <v>46130</v>
      </c>
      <c r="C2834">
        <v>2378009513</v>
      </c>
      <c r="D2834">
        <v>2378009526</v>
      </c>
      <c r="E2834" t="str">
        <f>T("문과라도 안 죄송한 이세계로 감 14화")</f>
        <v>문과라도 안 죄송한 이세계로 감 14화</v>
      </c>
      <c r="F2834">
        <v>14</v>
      </c>
      <c r="G2834" t="str">
        <f>T("정수읠")</f>
        <v>정수읠</v>
      </c>
      <c r="J2834" t="str">
        <f>T("매드햇")</f>
        <v>매드햇</v>
      </c>
      <c r="K2834" t="str">
        <f>T("문과라도 안 죄송한 이세계로 감")</f>
        <v>문과라도 안 죄송한 이세계로 감</v>
      </c>
      <c r="L2834">
        <v>0</v>
      </c>
      <c r="M2834">
        <v>0</v>
      </c>
      <c r="N2834">
        <v>0</v>
      </c>
      <c r="O2834">
        <v>4</v>
      </c>
      <c r="P2834">
        <v>0</v>
      </c>
      <c r="Q2834">
        <v>0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0</v>
      </c>
      <c r="AH2834">
        <v>0</v>
      </c>
      <c r="AI2834">
        <v>0</v>
      </c>
      <c r="AJ2834">
        <v>4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S2834">
        <v>0</v>
      </c>
      <c r="AT2834">
        <v>0</v>
      </c>
      <c r="AV2834">
        <v>0</v>
      </c>
      <c r="AW2834">
        <v>0</v>
      </c>
      <c r="AY2834">
        <v>0</v>
      </c>
      <c r="AZ2834">
        <v>0</v>
      </c>
      <c r="BA2834">
        <v>0</v>
      </c>
      <c r="BE2834" t="str">
        <f>T("9791162589724")</f>
        <v>9791162589724</v>
      </c>
      <c r="BF2834" t="str">
        <f>T("E448250")</f>
        <v>E448250</v>
      </c>
      <c r="BG2834" t="str">
        <f>T("판타지 웹소설 &gt; 퓨전 판타지")</f>
        <v>판타지 웹소설 &gt; 퓨전 판타지</v>
      </c>
    </row>
    <row r="2835" spans="1:59">
      <c r="A2835" t="s">
        <v>60</v>
      </c>
      <c r="B2835" s="1">
        <v>46130</v>
      </c>
      <c r="C2835">
        <v>2378009513</v>
      </c>
      <c r="D2835">
        <v>2378009527</v>
      </c>
      <c r="E2835" t="str">
        <f>T("문과라도 안 죄송한 이세계로 감 15화")</f>
        <v>문과라도 안 죄송한 이세계로 감 15화</v>
      </c>
      <c r="F2835">
        <v>15</v>
      </c>
      <c r="G2835" t="str">
        <f>T("정수읠")</f>
        <v>정수읠</v>
      </c>
      <c r="J2835" t="str">
        <f>T("매드햇")</f>
        <v>매드햇</v>
      </c>
      <c r="K2835" t="str">
        <f>T("문과라도 안 죄송한 이세계로 감")</f>
        <v>문과라도 안 죄송한 이세계로 감</v>
      </c>
      <c r="L2835">
        <v>0</v>
      </c>
      <c r="M2835">
        <v>0</v>
      </c>
      <c r="N2835">
        <v>0</v>
      </c>
      <c r="O2835">
        <v>5</v>
      </c>
      <c r="P2835">
        <v>0</v>
      </c>
      <c r="Q2835">
        <v>0</v>
      </c>
      <c r="R2835">
        <v>0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0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5</v>
      </c>
      <c r="AK2835">
        <v>0</v>
      </c>
      <c r="AL2835">
        <v>0</v>
      </c>
      <c r="AM2835">
        <v>0</v>
      </c>
      <c r="AN2835">
        <v>0</v>
      </c>
      <c r="AO2835">
        <v>0</v>
      </c>
      <c r="AP2835">
        <v>0</v>
      </c>
      <c r="AQ2835">
        <v>0</v>
      </c>
      <c r="AS2835">
        <v>0</v>
      </c>
      <c r="AT2835">
        <v>0</v>
      </c>
      <c r="AV2835">
        <v>0</v>
      </c>
      <c r="AW2835">
        <v>0</v>
      </c>
      <c r="AY2835">
        <v>0</v>
      </c>
      <c r="AZ2835">
        <v>0</v>
      </c>
      <c r="BA2835">
        <v>0</v>
      </c>
      <c r="BE2835" t="str">
        <f>T("9791162589724")</f>
        <v>9791162589724</v>
      </c>
      <c r="BF2835" t="str">
        <f>T("E448251")</f>
        <v>E448251</v>
      </c>
      <c r="BG2835" t="str">
        <f>T("판타지 웹소설 &gt; 퓨전 판타지")</f>
        <v>판타지 웹소설 &gt; 퓨전 판타지</v>
      </c>
    </row>
    <row r="2836" spans="1:59">
      <c r="A2836" t="s">
        <v>60</v>
      </c>
      <c r="B2836" s="1">
        <v>46130</v>
      </c>
      <c r="C2836">
        <v>2378009513</v>
      </c>
      <c r="D2836">
        <v>2378009528</v>
      </c>
      <c r="E2836" t="str">
        <f>T("문과라도 안 죄송한 이세계로 감 16화")</f>
        <v>문과라도 안 죄송한 이세계로 감 16화</v>
      </c>
      <c r="F2836">
        <v>16</v>
      </c>
      <c r="G2836" t="str">
        <f>T("정수읠")</f>
        <v>정수읠</v>
      </c>
      <c r="J2836" t="str">
        <f>T("매드햇")</f>
        <v>매드햇</v>
      </c>
      <c r="K2836" t="str">
        <f>T("문과라도 안 죄송한 이세계로 감")</f>
        <v>문과라도 안 죄송한 이세계로 감</v>
      </c>
      <c r="L2836">
        <v>0</v>
      </c>
      <c r="M2836">
        <v>0</v>
      </c>
      <c r="N2836">
        <v>0</v>
      </c>
      <c r="O2836">
        <v>5</v>
      </c>
      <c r="P2836">
        <v>0</v>
      </c>
      <c r="Q2836">
        <v>0</v>
      </c>
      <c r="R2836">
        <v>0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0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5</v>
      </c>
      <c r="AK2836">
        <v>0</v>
      </c>
      <c r="AL2836">
        <v>0</v>
      </c>
      <c r="AM2836">
        <v>0</v>
      </c>
      <c r="AN2836">
        <v>0</v>
      </c>
      <c r="AO2836">
        <v>0</v>
      </c>
      <c r="AP2836">
        <v>0</v>
      </c>
      <c r="AQ2836">
        <v>0</v>
      </c>
      <c r="AS2836">
        <v>0</v>
      </c>
      <c r="AT2836">
        <v>0</v>
      </c>
      <c r="AV2836">
        <v>0</v>
      </c>
      <c r="AW2836">
        <v>0</v>
      </c>
      <c r="AY2836">
        <v>0</v>
      </c>
      <c r="AZ2836">
        <v>0</v>
      </c>
      <c r="BA2836">
        <v>0</v>
      </c>
      <c r="BE2836" t="str">
        <f>T("9791162589724")</f>
        <v>9791162589724</v>
      </c>
      <c r="BF2836" t="str">
        <f>T("E448252")</f>
        <v>E448252</v>
      </c>
      <c r="BG2836" t="str">
        <f>T("판타지 웹소설 &gt; 퓨전 판타지")</f>
        <v>판타지 웹소설 &gt; 퓨전 판타지</v>
      </c>
    </row>
    <row r="2837" spans="1:59">
      <c r="A2837" t="s">
        <v>60</v>
      </c>
      <c r="B2837" s="1">
        <v>46130</v>
      </c>
      <c r="C2837">
        <v>2378009513</v>
      </c>
      <c r="D2837">
        <v>2378009539</v>
      </c>
      <c r="E2837" t="str">
        <f>T("문과라도 안 죄송한 이세계로 감 27화")</f>
        <v>문과라도 안 죄송한 이세계로 감 27화</v>
      </c>
      <c r="F2837">
        <v>27</v>
      </c>
      <c r="G2837" t="str">
        <f>T("정수읠")</f>
        <v>정수읠</v>
      </c>
      <c r="J2837" t="str">
        <f>T("매드햇")</f>
        <v>매드햇</v>
      </c>
      <c r="K2837" t="str">
        <f>T("문과라도 안 죄송한 이세계로 감")</f>
        <v>문과라도 안 죄송한 이세계로 감</v>
      </c>
      <c r="L2837">
        <v>100</v>
      </c>
      <c r="M2837">
        <v>100</v>
      </c>
      <c r="N2837">
        <v>1</v>
      </c>
      <c r="O2837">
        <v>0</v>
      </c>
      <c r="P2837">
        <v>0</v>
      </c>
      <c r="Q2837">
        <v>0</v>
      </c>
      <c r="R2837">
        <v>0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0</v>
      </c>
      <c r="AE2837">
        <v>0</v>
      </c>
      <c r="AF2837">
        <v>0</v>
      </c>
      <c r="AG2837">
        <v>0</v>
      </c>
      <c r="AH2837">
        <v>0</v>
      </c>
      <c r="AI2837">
        <v>100</v>
      </c>
      <c r="AJ2837">
        <v>1</v>
      </c>
      <c r="AK2837">
        <v>0</v>
      </c>
      <c r="AL2837">
        <v>0</v>
      </c>
      <c r="AM2837">
        <v>100</v>
      </c>
      <c r="AN2837">
        <v>0</v>
      </c>
      <c r="AO2837">
        <v>0</v>
      </c>
      <c r="AP2837">
        <v>0</v>
      </c>
      <c r="AQ2837">
        <v>0</v>
      </c>
      <c r="AS2837">
        <v>0</v>
      </c>
      <c r="AT2837">
        <v>0</v>
      </c>
      <c r="AV2837">
        <v>0</v>
      </c>
      <c r="AW2837">
        <v>0</v>
      </c>
      <c r="AY2837">
        <v>0</v>
      </c>
      <c r="AZ2837">
        <v>0</v>
      </c>
      <c r="BA2837">
        <v>70</v>
      </c>
      <c r="BE2837" t="str">
        <f>T("9791162589724")</f>
        <v>9791162589724</v>
      </c>
      <c r="BF2837" t="str">
        <f>T("E448263")</f>
        <v>E448263</v>
      </c>
      <c r="BG2837" t="str">
        <f>T("판타지 웹소설 &gt; 퓨전 판타지")</f>
        <v>판타지 웹소설 &gt; 퓨전 판타지</v>
      </c>
    </row>
    <row r="2838" spans="1:59">
      <c r="A2838" t="s">
        <v>60</v>
      </c>
      <c r="B2838" s="1">
        <v>46130</v>
      </c>
      <c r="C2838">
        <v>2378009513</v>
      </c>
      <c r="D2838">
        <v>2378009529</v>
      </c>
      <c r="E2838" t="str">
        <f>T("문과라도 안 죄송한 이세계로 감 17화")</f>
        <v>문과라도 안 죄송한 이세계로 감 17화</v>
      </c>
      <c r="F2838">
        <v>17</v>
      </c>
      <c r="G2838" t="str">
        <f>T("정수읠")</f>
        <v>정수읠</v>
      </c>
      <c r="J2838" t="str">
        <f>T("매드햇")</f>
        <v>매드햇</v>
      </c>
      <c r="K2838" t="str">
        <f>T("문과라도 안 죄송한 이세계로 감")</f>
        <v>문과라도 안 죄송한 이세계로 감</v>
      </c>
      <c r="L2838">
        <v>0</v>
      </c>
      <c r="M2838">
        <v>0</v>
      </c>
      <c r="N2838">
        <v>0</v>
      </c>
      <c r="O2838">
        <v>4</v>
      </c>
      <c r="P2838">
        <v>0</v>
      </c>
      <c r="Q2838">
        <v>0</v>
      </c>
      <c r="R2838">
        <v>0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0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4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S2838">
        <v>0</v>
      </c>
      <c r="AT2838">
        <v>0</v>
      </c>
      <c r="AV2838">
        <v>0</v>
      </c>
      <c r="AW2838">
        <v>0</v>
      </c>
      <c r="AY2838">
        <v>0</v>
      </c>
      <c r="AZ2838">
        <v>0</v>
      </c>
      <c r="BA2838">
        <v>0</v>
      </c>
      <c r="BE2838" t="str">
        <f>T("9791162589724")</f>
        <v>9791162589724</v>
      </c>
      <c r="BF2838" t="str">
        <f>T("E448253")</f>
        <v>E448253</v>
      </c>
      <c r="BG2838" t="str">
        <f>T("판타지 웹소설 &gt; 퓨전 판타지")</f>
        <v>판타지 웹소설 &gt; 퓨전 판타지</v>
      </c>
    </row>
    <row r="2839" spans="1:59">
      <c r="A2839" t="s">
        <v>60</v>
      </c>
      <c r="B2839" s="1">
        <v>46130</v>
      </c>
      <c r="C2839">
        <v>2378009513</v>
      </c>
      <c r="D2839">
        <v>2378009530</v>
      </c>
      <c r="E2839" t="str">
        <f>T("문과라도 안 죄송한 이세계로 감 18화")</f>
        <v>문과라도 안 죄송한 이세계로 감 18화</v>
      </c>
      <c r="F2839">
        <v>18</v>
      </c>
      <c r="G2839" t="str">
        <f>T("정수읠")</f>
        <v>정수읠</v>
      </c>
      <c r="J2839" t="str">
        <f>T("매드햇")</f>
        <v>매드햇</v>
      </c>
      <c r="K2839" t="str">
        <f>T("문과라도 안 죄송한 이세계로 감")</f>
        <v>문과라도 안 죄송한 이세계로 감</v>
      </c>
      <c r="L2839">
        <v>0</v>
      </c>
      <c r="M2839">
        <v>0</v>
      </c>
      <c r="N2839">
        <v>0</v>
      </c>
      <c r="O2839">
        <v>4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0</v>
      </c>
      <c r="AD2839">
        <v>0</v>
      </c>
      <c r="AE2839">
        <v>0</v>
      </c>
      <c r="AF2839">
        <v>0</v>
      </c>
      <c r="AG2839">
        <v>0</v>
      </c>
      <c r="AH2839">
        <v>0</v>
      </c>
      <c r="AI2839">
        <v>0</v>
      </c>
      <c r="AJ2839">
        <v>4</v>
      </c>
      <c r="AK2839">
        <v>0</v>
      </c>
      <c r="AL2839">
        <v>0</v>
      </c>
      <c r="AM2839">
        <v>0</v>
      </c>
      <c r="AN2839">
        <v>0</v>
      </c>
      <c r="AO2839">
        <v>0</v>
      </c>
      <c r="AP2839">
        <v>0</v>
      </c>
      <c r="AQ2839">
        <v>0</v>
      </c>
      <c r="AS2839">
        <v>0</v>
      </c>
      <c r="AT2839">
        <v>0</v>
      </c>
      <c r="AV2839">
        <v>0</v>
      </c>
      <c r="AW2839">
        <v>0</v>
      </c>
      <c r="AY2839">
        <v>0</v>
      </c>
      <c r="AZ2839">
        <v>0</v>
      </c>
      <c r="BA2839">
        <v>0</v>
      </c>
      <c r="BE2839" t="str">
        <f>T("9791162589724")</f>
        <v>9791162589724</v>
      </c>
      <c r="BF2839" t="str">
        <f>T("E448254")</f>
        <v>E448254</v>
      </c>
      <c r="BG2839" t="str">
        <f>T("판타지 웹소설 &gt; 퓨전 판타지")</f>
        <v>판타지 웹소설 &gt; 퓨전 판타지</v>
      </c>
    </row>
    <row r="2840" spans="1:59">
      <c r="A2840" t="s">
        <v>60</v>
      </c>
      <c r="B2840" s="1">
        <v>46130</v>
      </c>
      <c r="C2840">
        <v>2378009513</v>
      </c>
      <c r="D2840">
        <v>2378009531</v>
      </c>
      <c r="E2840" t="str">
        <f>T("문과라도 안 죄송한 이세계로 감 19화")</f>
        <v>문과라도 안 죄송한 이세계로 감 19화</v>
      </c>
      <c r="F2840">
        <v>19</v>
      </c>
      <c r="G2840" t="str">
        <f>T("정수읠")</f>
        <v>정수읠</v>
      </c>
      <c r="J2840" t="str">
        <f>T("매드햇")</f>
        <v>매드햇</v>
      </c>
      <c r="K2840" t="str">
        <f>T("문과라도 안 죄송한 이세계로 감")</f>
        <v>문과라도 안 죄송한 이세계로 감</v>
      </c>
      <c r="L2840">
        <v>0</v>
      </c>
      <c r="M2840">
        <v>0</v>
      </c>
      <c r="N2840">
        <v>0</v>
      </c>
      <c r="O2840">
        <v>3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0</v>
      </c>
      <c r="AD2840">
        <v>0</v>
      </c>
      <c r="AE2840">
        <v>0</v>
      </c>
      <c r="AF2840">
        <v>0</v>
      </c>
      <c r="AG2840">
        <v>0</v>
      </c>
      <c r="AH2840">
        <v>0</v>
      </c>
      <c r="AI2840">
        <v>0</v>
      </c>
      <c r="AJ2840">
        <v>3</v>
      </c>
      <c r="AK2840">
        <v>0</v>
      </c>
      <c r="AL2840">
        <v>0</v>
      </c>
      <c r="AM2840">
        <v>0</v>
      </c>
      <c r="AN2840">
        <v>0</v>
      </c>
      <c r="AO2840">
        <v>0</v>
      </c>
      <c r="AP2840">
        <v>0</v>
      </c>
      <c r="AQ2840">
        <v>0</v>
      </c>
      <c r="AS2840">
        <v>0</v>
      </c>
      <c r="AT2840">
        <v>0</v>
      </c>
      <c r="AV2840">
        <v>0</v>
      </c>
      <c r="AW2840">
        <v>0</v>
      </c>
      <c r="AY2840">
        <v>0</v>
      </c>
      <c r="AZ2840">
        <v>0</v>
      </c>
      <c r="BA2840">
        <v>0</v>
      </c>
      <c r="BE2840" t="str">
        <f>T("9791162589724")</f>
        <v>9791162589724</v>
      </c>
      <c r="BF2840" t="str">
        <f>T("E448255")</f>
        <v>E448255</v>
      </c>
      <c r="BG2840" t="str">
        <f>T("판타지 웹소설 &gt; 퓨전 판타지")</f>
        <v>판타지 웹소설 &gt; 퓨전 판타지</v>
      </c>
    </row>
    <row r="2841" spans="1:59">
      <c r="A2841" t="s">
        <v>60</v>
      </c>
      <c r="B2841" s="1">
        <v>46130</v>
      </c>
      <c r="C2841">
        <v>2378009513</v>
      </c>
      <c r="D2841">
        <v>2378009532</v>
      </c>
      <c r="E2841" t="str">
        <f>T("문과라도 안 죄송한 이세계로 감 20화")</f>
        <v>문과라도 안 죄송한 이세계로 감 20화</v>
      </c>
      <c r="F2841">
        <v>20</v>
      </c>
      <c r="G2841" t="str">
        <f>T("정수읠")</f>
        <v>정수읠</v>
      </c>
      <c r="J2841" t="str">
        <f>T("매드햇")</f>
        <v>매드햇</v>
      </c>
      <c r="K2841" t="str">
        <f>T("문과라도 안 죄송한 이세계로 감")</f>
        <v>문과라도 안 죄송한 이세계로 감</v>
      </c>
      <c r="L2841">
        <v>0</v>
      </c>
      <c r="M2841">
        <v>0</v>
      </c>
      <c r="N2841">
        <v>0</v>
      </c>
      <c r="O2841">
        <v>3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0</v>
      </c>
      <c r="AD2841">
        <v>0</v>
      </c>
      <c r="AE2841">
        <v>0</v>
      </c>
      <c r="AF2841">
        <v>0</v>
      </c>
      <c r="AG2841">
        <v>0</v>
      </c>
      <c r="AH2841">
        <v>0</v>
      </c>
      <c r="AI2841">
        <v>0</v>
      </c>
      <c r="AJ2841">
        <v>3</v>
      </c>
      <c r="AK2841">
        <v>0</v>
      </c>
      <c r="AL2841">
        <v>0</v>
      </c>
      <c r="AM2841">
        <v>0</v>
      </c>
      <c r="AN2841">
        <v>0</v>
      </c>
      <c r="AO2841">
        <v>0</v>
      </c>
      <c r="AP2841">
        <v>0</v>
      </c>
      <c r="AQ2841">
        <v>0</v>
      </c>
      <c r="AS2841">
        <v>0</v>
      </c>
      <c r="AT2841">
        <v>0</v>
      </c>
      <c r="AV2841">
        <v>0</v>
      </c>
      <c r="AW2841">
        <v>0</v>
      </c>
      <c r="AY2841">
        <v>0</v>
      </c>
      <c r="AZ2841">
        <v>0</v>
      </c>
      <c r="BA2841">
        <v>0</v>
      </c>
      <c r="BE2841" t="str">
        <f>T("9791162589724")</f>
        <v>9791162589724</v>
      </c>
      <c r="BF2841" t="str">
        <f>T("E448256")</f>
        <v>E448256</v>
      </c>
      <c r="BG2841" t="str">
        <f>T("판타지 웹소설 &gt; 퓨전 판타지")</f>
        <v>판타지 웹소설 &gt; 퓨전 판타지</v>
      </c>
    </row>
    <row r="2842" spans="1:59">
      <c r="A2842" t="s">
        <v>60</v>
      </c>
      <c r="B2842" s="1">
        <v>46130</v>
      </c>
      <c r="C2842">
        <v>2378009513</v>
      </c>
      <c r="D2842">
        <v>2378009533</v>
      </c>
      <c r="E2842" t="str">
        <f>T("문과라도 안 죄송한 이세계로 감 21화")</f>
        <v>문과라도 안 죄송한 이세계로 감 21화</v>
      </c>
      <c r="F2842">
        <v>21</v>
      </c>
      <c r="G2842" t="str">
        <f>T("정수읠")</f>
        <v>정수읠</v>
      </c>
      <c r="J2842" t="str">
        <f>T("매드햇")</f>
        <v>매드햇</v>
      </c>
      <c r="K2842" t="str">
        <f>T("문과라도 안 죄송한 이세계로 감")</f>
        <v>문과라도 안 죄송한 이세계로 감</v>
      </c>
      <c r="L2842">
        <v>0</v>
      </c>
      <c r="M2842">
        <v>0</v>
      </c>
      <c r="N2842">
        <v>0</v>
      </c>
      <c r="O2842">
        <v>3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0</v>
      </c>
      <c r="AD2842">
        <v>0</v>
      </c>
      <c r="AE2842">
        <v>0</v>
      </c>
      <c r="AF2842">
        <v>0</v>
      </c>
      <c r="AG2842">
        <v>0</v>
      </c>
      <c r="AH2842">
        <v>0</v>
      </c>
      <c r="AI2842">
        <v>0</v>
      </c>
      <c r="AJ2842">
        <v>3</v>
      </c>
      <c r="AK2842">
        <v>0</v>
      </c>
      <c r="AL2842">
        <v>0</v>
      </c>
      <c r="AM2842">
        <v>0</v>
      </c>
      <c r="AN2842">
        <v>0</v>
      </c>
      <c r="AO2842">
        <v>0</v>
      </c>
      <c r="AP2842">
        <v>0</v>
      </c>
      <c r="AQ2842">
        <v>0</v>
      </c>
      <c r="AS2842">
        <v>0</v>
      </c>
      <c r="AT2842">
        <v>0</v>
      </c>
      <c r="AV2842">
        <v>0</v>
      </c>
      <c r="AW2842">
        <v>0</v>
      </c>
      <c r="AY2842">
        <v>0</v>
      </c>
      <c r="AZ2842">
        <v>0</v>
      </c>
      <c r="BA2842">
        <v>0</v>
      </c>
      <c r="BE2842" t="str">
        <f>T("9791162589724")</f>
        <v>9791162589724</v>
      </c>
      <c r="BF2842" t="str">
        <f>T("E448257")</f>
        <v>E448257</v>
      </c>
      <c r="BG2842" t="str">
        <f>T("판타지 웹소설 &gt; 퓨전 판타지")</f>
        <v>판타지 웹소설 &gt; 퓨전 판타지</v>
      </c>
    </row>
    <row r="2843" spans="1:59">
      <c r="A2843" t="s">
        <v>60</v>
      </c>
      <c r="B2843" s="1">
        <v>46130</v>
      </c>
      <c r="C2843">
        <v>2378009513</v>
      </c>
      <c r="D2843">
        <v>2378009534</v>
      </c>
      <c r="E2843" t="str">
        <f>T("문과라도 안 죄송한 이세계로 감 22화")</f>
        <v>문과라도 안 죄송한 이세계로 감 22화</v>
      </c>
      <c r="F2843">
        <v>22</v>
      </c>
      <c r="G2843" t="str">
        <f>T("정수읠")</f>
        <v>정수읠</v>
      </c>
      <c r="J2843" t="str">
        <f>T("매드햇")</f>
        <v>매드햇</v>
      </c>
      <c r="K2843" t="str">
        <f>T("문과라도 안 죄송한 이세계로 감")</f>
        <v>문과라도 안 죄송한 이세계로 감</v>
      </c>
      <c r="L2843">
        <v>0</v>
      </c>
      <c r="M2843">
        <v>0</v>
      </c>
      <c r="N2843">
        <v>0</v>
      </c>
      <c r="O2843">
        <v>2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0</v>
      </c>
      <c r="AD2843">
        <v>0</v>
      </c>
      <c r="AE2843">
        <v>0</v>
      </c>
      <c r="AF2843">
        <v>0</v>
      </c>
      <c r="AG2843">
        <v>0</v>
      </c>
      <c r="AH2843">
        <v>0</v>
      </c>
      <c r="AI2843">
        <v>0</v>
      </c>
      <c r="AJ2843">
        <v>2</v>
      </c>
      <c r="AK2843">
        <v>0</v>
      </c>
      <c r="AL2843">
        <v>0</v>
      </c>
      <c r="AM2843">
        <v>0</v>
      </c>
      <c r="AN2843">
        <v>0</v>
      </c>
      <c r="AO2843">
        <v>0</v>
      </c>
      <c r="AP2843">
        <v>0</v>
      </c>
      <c r="AQ2843">
        <v>0</v>
      </c>
      <c r="AS2843">
        <v>0</v>
      </c>
      <c r="AT2843">
        <v>0</v>
      </c>
      <c r="AV2843">
        <v>0</v>
      </c>
      <c r="AW2843">
        <v>0</v>
      </c>
      <c r="AY2843">
        <v>0</v>
      </c>
      <c r="AZ2843">
        <v>0</v>
      </c>
      <c r="BA2843">
        <v>0</v>
      </c>
      <c r="BE2843" t="str">
        <f>T("9791162589724")</f>
        <v>9791162589724</v>
      </c>
      <c r="BF2843" t="str">
        <f>T("E448258")</f>
        <v>E448258</v>
      </c>
      <c r="BG2843" t="str">
        <f>T("판타지 웹소설 &gt; 퓨전 판타지")</f>
        <v>판타지 웹소설 &gt; 퓨전 판타지</v>
      </c>
    </row>
    <row r="2844" spans="1:59">
      <c r="A2844" t="s">
        <v>60</v>
      </c>
      <c r="B2844" s="1">
        <v>46130</v>
      </c>
      <c r="C2844">
        <v>2378009513</v>
      </c>
      <c r="D2844">
        <v>2378009535</v>
      </c>
      <c r="E2844" t="str">
        <f>T("문과라도 안 죄송한 이세계로 감 23화")</f>
        <v>문과라도 안 죄송한 이세계로 감 23화</v>
      </c>
      <c r="F2844">
        <v>23</v>
      </c>
      <c r="G2844" t="str">
        <f>T("정수읠")</f>
        <v>정수읠</v>
      </c>
      <c r="J2844" t="str">
        <f>T("매드햇")</f>
        <v>매드햇</v>
      </c>
      <c r="K2844" t="str">
        <f>T("문과라도 안 죄송한 이세계로 감")</f>
        <v>문과라도 안 죄송한 이세계로 감</v>
      </c>
      <c r="L2844">
        <v>0</v>
      </c>
      <c r="M2844">
        <v>0</v>
      </c>
      <c r="N2844">
        <v>0</v>
      </c>
      <c r="O2844">
        <v>3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0</v>
      </c>
      <c r="AA2844">
        <v>0</v>
      </c>
      <c r="AB2844">
        <v>0</v>
      </c>
      <c r="AC2844">
        <v>0</v>
      </c>
      <c r="AD2844">
        <v>0</v>
      </c>
      <c r="AE2844">
        <v>0</v>
      </c>
      <c r="AF2844">
        <v>0</v>
      </c>
      <c r="AG2844">
        <v>0</v>
      </c>
      <c r="AH2844">
        <v>0</v>
      </c>
      <c r="AI2844">
        <v>0</v>
      </c>
      <c r="AJ2844">
        <v>3</v>
      </c>
      <c r="AK2844">
        <v>0</v>
      </c>
      <c r="AL2844">
        <v>0</v>
      </c>
      <c r="AM2844">
        <v>0</v>
      </c>
      <c r="AN2844">
        <v>0</v>
      </c>
      <c r="AO2844">
        <v>0</v>
      </c>
      <c r="AP2844">
        <v>0</v>
      </c>
      <c r="AQ2844">
        <v>0</v>
      </c>
      <c r="AS2844">
        <v>0</v>
      </c>
      <c r="AT2844">
        <v>0</v>
      </c>
      <c r="AV2844">
        <v>0</v>
      </c>
      <c r="AW2844">
        <v>0</v>
      </c>
      <c r="AY2844">
        <v>0</v>
      </c>
      <c r="AZ2844">
        <v>0</v>
      </c>
      <c r="BA2844">
        <v>0</v>
      </c>
      <c r="BE2844" t="str">
        <f>T("9791162589724")</f>
        <v>9791162589724</v>
      </c>
      <c r="BF2844" t="str">
        <f>T("E448259")</f>
        <v>E448259</v>
      </c>
      <c r="BG2844" t="str">
        <f>T("판타지 웹소설 &gt; 퓨전 판타지")</f>
        <v>판타지 웹소설 &gt; 퓨전 판타지</v>
      </c>
    </row>
    <row r="2845" spans="1:59">
      <c r="A2845" t="s">
        <v>60</v>
      </c>
      <c r="B2845" s="1">
        <v>46130</v>
      </c>
      <c r="C2845">
        <v>2378009513</v>
      </c>
      <c r="D2845">
        <v>2378009536</v>
      </c>
      <c r="E2845" t="str">
        <f>T("문과라도 안 죄송한 이세계로 감 24화")</f>
        <v>문과라도 안 죄송한 이세계로 감 24화</v>
      </c>
      <c r="F2845">
        <v>24</v>
      </c>
      <c r="G2845" t="str">
        <f>T("정수읠")</f>
        <v>정수읠</v>
      </c>
      <c r="J2845" t="str">
        <f>T("매드햇")</f>
        <v>매드햇</v>
      </c>
      <c r="K2845" t="str">
        <f>T("문과라도 안 죄송한 이세계로 감")</f>
        <v>문과라도 안 죄송한 이세계로 감</v>
      </c>
      <c r="L2845">
        <v>0</v>
      </c>
      <c r="M2845">
        <v>0</v>
      </c>
      <c r="N2845">
        <v>0</v>
      </c>
      <c r="O2845">
        <v>2</v>
      </c>
      <c r="P2845">
        <v>0</v>
      </c>
      <c r="Q2845">
        <v>0</v>
      </c>
      <c r="R2845">
        <v>0</v>
      </c>
      <c r="S2845">
        <v>0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0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0</v>
      </c>
      <c r="AH2845">
        <v>0</v>
      </c>
      <c r="AI2845">
        <v>0</v>
      </c>
      <c r="AJ2845">
        <v>2</v>
      </c>
      <c r="AK2845">
        <v>0</v>
      </c>
      <c r="AL2845">
        <v>0</v>
      </c>
      <c r="AM2845">
        <v>0</v>
      </c>
      <c r="AN2845">
        <v>0</v>
      </c>
      <c r="AO2845">
        <v>0</v>
      </c>
      <c r="AP2845">
        <v>0</v>
      </c>
      <c r="AQ2845">
        <v>0</v>
      </c>
      <c r="AS2845">
        <v>0</v>
      </c>
      <c r="AT2845">
        <v>0</v>
      </c>
      <c r="AV2845">
        <v>0</v>
      </c>
      <c r="AW2845">
        <v>0</v>
      </c>
      <c r="AY2845">
        <v>0</v>
      </c>
      <c r="AZ2845">
        <v>0</v>
      </c>
      <c r="BA2845">
        <v>0</v>
      </c>
      <c r="BE2845" t="str">
        <f>T("9791162589724")</f>
        <v>9791162589724</v>
      </c>
      <c r="BF2845" t="str">
        <f>T("E448260")</f>
        <v>E448260</v>
      </c>
      <c r="BG2845" t="str">
        <f>T("판타지 웹소설 &gt; 퓨전 판타지")</f>
        <v>판타지 웹소설 &gt; 퓨전 판타지</v>
      </c>
    </row>
    <row r="2846" spans="1:59">
      <c r="A2846" t="s">
        <v>60</v>
      </c>
      <c r="B2846" s="1">
        <v>46130</v>
      </c>
      <c r="C2846">
        <v>2378009513</v>
      </c>
      <c r="D2846">
        <v>2378009537</v>
      </c>
      <c r="E2846" t="str">
        <f>T("문과라도 안 죄송한 이세계로 감 25화")</f>
        <v>문과라도 안 죄송한 이세계로 감 25화</v>
      </c>
      <c r="F2846">
        <v>25</v>
      </c>
      <c r="G2846" t="str">
        <f>T("정수읠")</f>
        <v>정수읠</v>
      </c>
      <c r="J2846" t="str">
        <f>T("매드햇")</f>
        <v>매드햇</v>
      </c>
      <c r="K2846" t="str">
        <f>T("문과라도 안 죄송한 이세계로 감")</f>
        <v>문과라도 안 죄송한 이세계로 감</v>
      </c>
      <c r="L2846">
        <v>0</v>
      </c>
      <c r="M2846">
        <v>0</v>
      </c>
      <c r="N2846">
        <v>0</v>
      </c>
      <c r="O2846">
        <v>3</v>
      </c>
      <c r="P2846">
        <v>0</v>
      </c>
      <c r="Q2846">
        <v>0</v>
      </c>
      <c r="R2846">
        <v>0</v>
      </c>
      <c r="S2846">
        <v>0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0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0</v>
      </c>
      <c r="AH2846">
        <v>0</v>
      </c>
      <c r="AI2846">
        <v>0</v>
      </c>
      <c r="AJ2846">
        <v>3</v>
      </c>
      <c r="AK2846">
        <v>0</v>
      </c>
      <c r="AL2846">
        <v>0</v>
      </c>
      <c r="AM2846">
        <v>0</v>
      </c>
      <c r="AN2846">
        <v>0</v>
      </c>
      <c r="AO2846">
        <v>0</v>
      </c>
      <c r="AP2846">
        <v>0</v>
      </c>
      <c r="AQ2846">
        <v>0</v>
      </c>
      <c r="AS2846">
        <v>0</v>
      </c>
      <c r="AT2846">
        <v>0</v>
      </c>
      <c r="AV2846">
        <v>0</v>
      </c>
      <c r="AW2846">
        <v>0</v>
      </c>
      <c r="AY2846">
        <v>0</v>
      </c>
      <c r="AZ2846">
        <v>0</v>
      </c>
      <c r="BA2846">
        <v>0</v>
      </c>
      <c r="BE2846" t="str">
        <f>T("9791162589724")</f>
        <v>9791162589724</v>
      </c>
      <c r="BF2846" t="str">
        <f>T("E448261")</f>
        <v>E448261</v>
      </c>
      <c r="BG2846" t="str">
        <f>T("판타지 웹소설 &gt; 퓨전 판타지")</f>
        <v>판타지 웹소설 &gt; 퓨전 판타지</v>
      </c>
    </row>
    <row r="2847" spans="1:59">
      <c r="A2847" t="s">
        <v>60</v>
      </c>
      <c r="B2847" s="1">
        <v>46130</v>
      </c>
      <c r="C2847">
        <v>2378009513</v>
      </c>
      <c r="D2847">
        <v>2378009538</v>
      </c>
      <c r="E2847" t="str">
        <f>T("문과라도 안 죄송한 이세계로 감 26화")</f>
        <v>문과라도 안 죄송한 이세계로 감 26화</v>
      </c>
      <c r="F2847">
        <v>26</v>
      </c>
      <c r="G2847" t="str">
        <f>T("정수읠")</f>
        <v>정수읠</v>
      </c>
      <c r="J2847" t="str">
        <f>T("매드햇")</f>
        <v>매드햇</v>
      </c>
      <c r="K2847" t="str">
        <f>T("문과라도 안 죄송한 이세계로 감")</f>
        <v>문과라도 안 죄송한 이세계로 감</v>
      </c>
      <c r="L2847">
        <v>0</v>
      </c>
      <c r="M2847">
        <v>0</v>
      </c>
      <c r="N2847">
        <v>0</v>
      </c>
      <c r="O2847">
        <v>3</v>
      </c>
      <c r="P2847">
        <v>0</v>
      </c>
      <c r="Q2847">
        <v>0</v>
      </c>
      <c r="R2847">
        <v>0</v>
      </c>
      <c r="S2847">
        <v>0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0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0</v>
      </c>
      <c r="AH2847">
        <v>0</v>
      </c>
      <c r="AI2847">
        <v>0</v>
      </c>
      <c r="AJ2847">
        <v>3</v>
      </c>
      <c r="AK2847">
        <v>0</v>
      </c>
      <c r="AL2847">
        <v>0</v>
      </c>
      <c r="AM2847">
        <v>0</v>
      </c>
      <c r="AN2847">
        <v>0</v>
      </c>
      <c r="AO2847">
        <v>0</v>
      </c>
      <c r="AP2847">
        <v>0</v>
      </c>
      <c r="AQ2847">
        <v>0</v>
      </c>
      <c r="AS2847">
        <v>0</v>
      </c>
      <c r="AT2847">
        <v>0</v>
      </c>
      <c r="AV2847">
        <v>0</v>
      </c>
      <c r="AW2847">
        <v>0</v>
      </c>
      <c r="AY2847">
        <v>0</v>
      </c>
      <c r="AZ2847">
        <v>0</v>
      </c>
      <c r="BA2847">
        <v>0</v>
      </c>
      <c r="BE2847" t="str">
        <f>T("9791162589724")</f>
        <v>9791162589724</v>
      </c>
      <c r="BF2847" t="str">
        <f>T("E448262")</f>
        <v>E448262</v>
      </c>
      <c r="BG2847" t="str">
        <f>T("판타지 웹소설 &gt; 퓨전 판타지")</f>
        <v>판타지 웹소설 &gt; 퓨전 판타지</v>
      </c>
    </row>
    <row r="2848" spans="1:59">
      <c r="A2848" t="s">
        <v>60</v>
      </c>
      <c r="B2848" s="1">
        <v>46130</v>
      </c>
      <c r="C2848">
        <v>2378009513</v>
      </c>
      <c r="D2848">
        <v>2378037594</v>
      </c>
      <c r="E2848" t="str">
        <f>T("문과라도 안 죄송한 이세계로 감 486화")</f>
        <v>문과라도 안 죄송한 이세계로 감 486화</v>
      </c>
      <c r="F2848">
        <v>486</v>
      </c>
      <c r="G2848" t="str">
        <f>T("정수읠")</f>
        <v>정수읠</v>
      </c>
      <c r="J2848" t="str">
        <f>T("매드햇")</f>
        <v>매드햇</v>
      </c>
      <c r="K2848" t="str">
        <f>T("문과라도 안 죄송한 이세계로 감")</f>
        <v>문과라도 안 죄송한 이세계로 감</v>
      </c>
      <c r="L2848">
        <v>100</v>
      </c>
      <c r="M2848">
        <v>200</v>
      </c>
      <c r="N2848">
        <v>2</v>
      </c>
      <c r="O2848">
        <v>0</v>
      </c>
      <c r="P2848">
        <v>0</v>
      </c>
      <c r="Q2848">
        <v>0</v>
      </c>
      <c r="R2848">
        <v>0</v>
      </c>
      <c r="S2848">
        <v>0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0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0</v>
      </c>
      <c r="AH2848">
        <v>0</v>
      </c>
      <c r="AI2848">
        <v>200</v>
      </c>
      <c r="AJ2848">
        <v>2</v>
      </c>
      <c r="AK2848">
        <v>0</v>
      </c>
      <c r="AL2848">
        <v>0</v>
      </c>
      <c r="AM2848">
        <v>200</v>
      </c>
      <c r="AN2848">
        <v>0</v>
      </c>
      <c r="AO2848">
        <v>0</v>
      </c>
      <c r="AP2848">
        <v>0</v>
      </c>
      <c r="AQ2848">
        <v>0</v>
      </c>
      <c r="AS2848">
        <v>0</v>
      </c>
      <c r="AT2848">
        <v>0</v>
      </c>
      <c r="AV2848">
        <v>0</v>
      </c>
      <c r="AW2848">
        <v>0</v>
      </c>
      <c r="AY2848">
        <v>0</v>
      </c>
      <c r="AZ2848">
        <v>0</v>
      </c>
      <c r="BA2848">
        <v>140</v>
      </c>
      <c r="BC2848" t="str">
        <f>T("0000000000000")</f>
        <v>0000000000000</v>
      </c>
      <c r="BE2848" t="str">
        <f>T("9791162589724")</f>
        <v>9791162589724</v>
      </c>
      <c r="BF2848" t="str">
        <f>T("N129466")</f>
        <v>N129466</v>
      </c>
      <c r="BG2848" t="str">
        <f>T("판타지 웹소설 &gt; 퓨전 판타지")</f>
        <v>판타지 웹소설 &gt; 퓨전 판타지</v>
      </c>
    </row>
    <row r="2849" spans="1:59">
      <c r="A2849" t="s">
        <v>60</v>
      </c>
      <c r="B2849" s="1">
        <v>46130</v>
      </c>
      <c r="C2849">
        <v>2378009513</v>
      </c>
      <c r="D2849">
        <v>2378014500</v>
      </c>
      <c r="E2849" t="str">
        <f>T("문과라도 안 죄송한 이세계로 감 258화")</f>
        <v>문과라도 안 죄송한 이세계로 감 258화</v>
      </c>
      <c r="F2849">
        <v>258</v>
      </c>
      <c r="G2849" t="str">
        <f>T("정수읠")</f>
        <v>정수읠</v>
      </c>
      <c r="J2849" t="str">
        <f>T("매드햇")</f>
        <v>매드햇</v>
      </c>
      <c r="K2849" t="str">
        <f>T("문과라도 안 죄송한 이세계로 감")</f>
        <v>문과라도 안 죄송한 이세계로 감</v>
      </c>
      <c r="L2849">
        <v>100</v>
      </c>
      <c r="M2849">
        <v>100</v>
      </c>
      <c r="N2849">
        <v>1</v>
      </c>
      <c r="O2849">
        <v>0</v>
      </c>
      <c r="P2849">
        <v>0</v>
      </c>
      <c r="Q2849">
        <v>0</v>
      </c>
      <c r="R2849">
        <v>0</v>
      </c>
      <c r="S2849">
        <v>0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0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0</v>
      </c>
      <c r="AH2849">
        <v>0</v>
      </c>
      <c r="AI2849">
        <v>100</v>
      </c>
      <c r="AJ2849">
        <v>1</v>
      </c>
      <c r="AK2849">
        <v>0</v>
      </c>
      <c r="AL2849">
        <v>0</v>
      </c>
      <c r="AM2849">
        <v>100</v>
      </c>
      <c r="AN2849">
        <v>0</v>
      </c>
      <c r="AO2849">
        <v>0</v>
      </c>
      <c r="AP2849">
        <v>0</v>
      </c>
      <c r="AQ2849">
        <v>0</v>
      </c>
      <c r="AS2849">
        <v>0</v>
      </c>
      <c r="AT2849">
        <v>0</v>
      </c>
      <c r="AV2849">
        <v>0</v>
      </c>
      <c r="AW2849">
        <v>0</v>
      </c>
      <c r="AY2849">
        <v>0</v>
      </c>
      <c r="AZ2849">
        <v>0</v>
      </c>
      <c r="BA2849">
        <v>70</v>
      </c>
      <c r="BC2849" t="str">
        <f>T("0000000000000")</f>
        <v>0000000000000</v>
      </c>
      <c r="BE2849" t="str">
        <f>T("9791162589724")</f>
        <v>9791162589724</v>
      </c>
      <c r="BF2849" t="str">
        <f>T("E726876")</f>
        <v>E726876</v>
      </c>
      <c r="BG2849" t="str">
        <f>T("판타지 웹소설 &gt; 퓨전 판타지")</f>
        <v>판타지 웹소설 &gt; 퓨전 판타지</v>
      </c>
    </row>
    <row r="2850" spans="1:59">
      <c r="A2850" t="s">
        <v>60</v>
      </c>
      <c r="B2850" s="1">
        <v>46130</v>
      </c>
      <c r="C2850">
        <v>2378009513</v>
      </c>
      <c r="D2850">
        <v>2378014501</v>
      </c>
      <c r="E2850" t="str">
        <f>T("문과라도 안 죄송한 이세계로 감 259화")</f>
        <v>문과라도 안 죄송한 이세계로 감 259화</v>
      </c>
      <c r="F2850">
        <v>259</v>
      </c>
      <c r="G2850" t="str">
        <f>T("정수읠")</f>
        <v>정수읠</v>
      </c>
      <c r="J2850" t="str">
        <f>T("매드햇")</f>
        <v>매드햇</v>
      </c>
      <c r="K2850" t="str">
        <f>T("문과라도 안 죄송한 이세계로 감")</f>
        <v>문과라도 안 죄송한 이세계로 감</v>
      </c>
      <c r="L2850">
        <v>100</v>
      </c>
      <c r="M2850">
        <v>100</v>
      </c>
      <c r="N2850">
        <v>1</v>
      </c>
      <c r="O2850">
        <v>0</v>
      </c>
      <c r="P2850">
        <v>0</v>
      </c>
      <c r="Q2850">
        <v>0</v>
      </c>
      <c r="R2850">
        <v>0</v>
      </c>
      <c r="S2850">
        <v>0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0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0</v>
      </c>
      <c r="AH2850">
        <v>0</v>
      </c>
      <c r="AI2850">
        <v>100</v>
      </c>
      <c r="AJ2850">
        <v>1</v>
      </c>
      <c r="AK2850">
        <v>0</v>
      </c>
      <c r="AL2850">
        <v>0</v>
      </c>
      <c r="AM2850">
        <v>100</v>
      </c>
      <c r="AN2850">
        <v>0</v>
      </c>
      <c r="AO2850">
        <v>0</v>
      </c>
      <c r="AP2850">
        <v>0</v>
      </c>
      <c r="AQ2850">
        <v>0</v>
      </c>
      <c r="AS2850">
        <v>0</v>
      </c>
      <c r="AT2850">
        <v>0</v>
      </c>
      <c r="AV2850">
        <v>0</v>
      </c>
      <c r="AW2850">
        <v>0</v>
      </c>
      <c r="AY2850">
        <v>0</v>
      </c>
      <c r="AZ2850">
        <v>0</v>
      </c>
      <c r="BA2850">
        <v>70</v>
      </c>
      <c r="BC2850" t="str">
        <f>T("0000000000000")</f>
        <v>0000000000000</v>
      </c>
      <c r="BE2850" t="str">
        <f>T("9791162589724")</f>
        <v>9791162589724</v>
      </c>
      <c r="BF2850" t="str">
        <f>T("E726877")</f>
        <v>E726877</v>
      </c>
      <c r="BG2850" t="str">
        <f>T("판타지 웹소설 &gt; 퓨전 판타지")</f>
        <v>판타지 웹소설 &gt; 퓨전 판타지</v>
      </c>
    </row>
    <row r="2851" spans="1:59">
      <c r="A2851" t="s">
        <v>60</v>
      </c>
      <c r="B2851" s="1">
        <v>46130</v>
      </c>
      <c r="C2851">
        <v>2378009513</v>
      </c>
      <c r="D2851">
        <v>2378014502</v>
      </c>
      <c r="E2851" t="str">
        <f>T("문과라도 안 죄송한 이세계로 감 260화")</f>
        <v>문과라도 안 죄송한 이세계로 감 260화</v>
      </c>
      <c r="F2851">
        <v>260</v>
      </c>
      <c r="G2851" t="str">
        <f>T("정수읠")</f>
        <v>정수읠</v>
      </c>
      <c r="J2851" t="str">
        <f>T("매드햇")</f>
        <v>매드햇</v>
      </c>
      <c r="K2851" t="str">
        <f>T("문과라도 안 죄송한 이세계로 감")</f>
        <v>문과라도 안 죄송한 이세계로 감</v>
      </c>
      <c r="L2851">
        <v>100</v>
      </c>
      <c r="M2851">
        <v>100</v>
      </c>
      <c r="N2851">
        <v>1</v>
      </c>
      <c r="O2851">
        <v>0</v>
      </c>
      <c r="P2851">
        <v>0</v>
      </c>
      <c r="Q2851">
        <v>0</v>
      </c>
      <c r="R2851">
        <v>0</v>
      </c>
      <c r="S2851">
        <v>0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0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0</v>
      </c>
      <c r="AH2851">
        <v>0</v>
      </c>
      <c r="AI2851">
        <v>100</v>
      </c>
      <c r="AJ2851">
        <v>1</v>
      </c>
      <c r="AK2851">
        <v>0</v>
      </c>
      <c r="AL2851">
        <v>0</v>
      </c>
      <c r="AM2851">
        <v>100</v>
      </c>
      <c r="AN2851">
        <v>0</v>
      </c>
      <c r="AO2851">
        <v>0</v>
      </c>
      <c r="AP2851">
        <v>0</v>
      </c>
      <c r="AQ2851">
        <v>0</v>
      </c>
      <c r="AS2851">
        <v>0</v>
      </c>
      <c r="AT2851">
        <v>0</v>
      </c>
      <c r="AV2851">
        <v>0</v>
      </c>
      <c r="AW2851">
        <v>0</v>
      </c>
      <c r="AY2851">
        <v>0</v>
      </c>
      <c r="AZ2851">
        <v>0</v>
      </c>
      <c r="BA2851">
        <v>70</v>
      </c>
      <c r="BC2851" t="str">
        <f>T("0000000000000")</f>
        <v>0000000000000</v>
      </c>
      <c r="BE2851" t="str">
        <f>T("9791162589724")</f>
        <v>9791162589724</v>
      </c>
      <c r="BF2851" t="str">
        <f>T("E726878")</f>
        <v>E726878</v>
      </c>
      <c r="BG2851" t="str">
        <f>T("판타지 웹소설 &gt; 퓨전 판타지")</f>
        <v>판타지 웹소설 &gt; 퓨전 판타지</v>
      </c>
    </row>
    <row r="2852" spans="1:59">
      <c r="A2852" t="s">
        <v>60</v>
      </c>
      <c r="B2852" s="1">
        <v>46130</v>
      </c>
      <c r="C2852">
        <v>2378009513</v>
      </c>
      <c r="D2852">
        <v>2378014503</v>
      </c>
      <c r="E2852" t="str">
        <f>T("문과라도 안 죄송한 이세계로 감 261화")</f>
        <v>문과라도 안 죄송한 이세계로 감 261화</v>
      </c>
      <c r="F2852">
        <v>261</v>
      </c>
      <c r="G2852" t="str">
        <f>T("정수읠")</f>
        <v>정수읠</v>
      </c>
      <c r="J2852" t="str">
        <f>T("매드햇")</f>
        <v>매드햇</v>
      </c>
      <c r="K2852" t="str">
        <f>T("문과라도 안 죄송한 이세계로 감")</f>
        <v>문과라도 안 죄송한 이세계로 감</v>
      </c>
      <c r="L2852">
        <v>100</v>
      </c>
      <c r="M2852">
        <v>100</v>
      </c>
      <c r="N2852">
        <v>1</v>
      </c>
      <c r="O2852">
        <v>0</v>
      </c>
      <c r="P2852">
        <v>0</v>
      </c>
      <c r="Q2852">
        <v>0</v>
      </c>
      <c r="R2852">
        <v>0</v>
      </c>
      <c r="S2852">
        <v>0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0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0</v>
      </c>
      <c r="AH2852">
        <v>0</v>
      </c>
      <c r="AI2852">
        <v>100</v>
      </c>
      <c r="AJ2852">
        <v>1</v>
      </c>
      <c r="AK2852">
        <v>0</v>
      </c>
      <c r="AL2852">
        <v>0</v>
      </c>
      <c r="AM2852">
        <v>100</v>
      </c>
      <c r="AN2852">
        <v>0</v>
      </c>
      <c r="AO2852">
        <v>0</v>
      </c>
      <c r="AP2852">
        <v>0</v>
      </c>
      <c r="AQ2852">
        <v>0</v>
      </c>
      <c r="AS2852">
        <v>0</v>
      </c>
      <c r="AT2852">
        <v>0</v>
      </c>
      <c r="AV2852">
        <v>0</v>
      </c>
      <c r="AW2852">
        <v>0</v>
      </c>
      <c r="AY2852">
        <v>0</v>
      </c>
      <c r="AZ2852">
        <v>0</v>
      </c>
      <c r="BA2852">
        <v>70</v>
      </c>
      <c r="BC2852" t="str">
        <f>T("0000000000000")</f>
        <v>0000000000000</v>
      </c>
      <c r="BE2852" t="str">
        <f>T("9791162589724")</f>
        <v>9791162589724</v>
      </c>
      <c r="BF2852" t="str">
        <f>T("E726879")</f>
        <v>E726879</v>
      </c>
      <c r="BG2852" t="str">
        <f>T("판타지 웹소설 &gt; 퓨전 판타지")</f>
        <v>판타지 웹소설 &gt; 퓨전 판타지</v>
      </c>
    </row>
    <row r="2853" spans="1:59">
      <c r="A2853" t="s">
        <v>60</v>
      </c>
      <c r="B2853" s="1">
        <v>46130</v>
      </c>
      <c r="C2853">
        <v>2378009513</v>
      </c>
      <c r="D2853">
        <v>2378014580</v>
      </c>
      <c r="E2853" t="str">
        <f>T("문과라도 안 죄송한 이세계로 감 262화")</f>
        <v>문과라도 안 죄송한 이세계로 감 262화</v>
      </c>
      <c r="F2853">
        <v>262</v>
      </c>
      <c r="G2853" t="str">
        <f>T("정수읠")</f>
        <v>정수읠</v>
      </c>
      <c r="J2853" t="str">
        <f>T("매드햇")</f>
        <v>매드햇</v>
      </c>
      <c r="K2853" t="str">
        <f>T("문과라도 안 죄송한 이세계로 감")</f>
        <v>문과라도 안 죄송한 이세계로 감</v>
      </c>
      <c r="L2853">
        <v>100</v>
      </c>
      <c r="M2853">
        <v>100</v>
      </c>
      <c r="N2853">
        <v>1</v>
      </c>
      <c r="O2853">
        <v>0</v>
      </c>
      <c r="P2853">
        <v>0</v>
      </c>
      <c r="Q2853">
        <v>0</v>
      </c>
      <c r="R2853">
        <v>0</v>
      </c>
      <c r="S2853">
        <v>0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0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0</v>
      </c>
      <c r="AH2853">
        <v>0</v>
      </c>
      <c r="AI2853">
        <v>100</v>
      </c>
      <c r="AJ2853">
        <v>1</v>
      </c>
      <c r="AK2853">
        <v>0</v>
      </c>
      <c r="AL2853">
        <v>0</v>
      </c>
      <c r="AM2853">
        <v>100</v>
      </c>
      <c r="AN2853">
        <v>0</v>
      </c>
      <c r="AO2853">
        <v>0</v>
      </c>
      <c r="AP2853">
        <v>0</v>
      </c>
      <c r="AQ2853">
        <v>0</v>
      </c>
      <c r="AS2853">
        <v>0</v>
      </c>
      <c r="AT2853">
        <v>0</v>
      </c>
      <c r="AV2853">
        <v>0</v>
      </c>
      <c r="AW2853">
        <v>0</v>
      </c>
      <c r="AY2853">
        <v>0</v>
      </c>
      <c r="AZ2853">
        <v>0</v>
      </c>
      <c r="BA2853">
        <v>70</v>
      </c>
      <c r="BE2853" t="str">
        <f>T("9791162589724")</f>
        <v>9791162589724</v>
      </c>
      <c r="BF2853" t="str">
        <f>T("E728934")</f>
        <v>E728934</v>
      </c>
      <c r="BG2853" t="str">
        <f>T("판타지 웹소설 &gt; 퓨전 판타지")</f>
        <v>판타지 웹소설 &gt; 퓨전 판타지</v>
      </c>
    </row>
    <row r="2854" spans="1:59">
      <c r="A2854" t="s">
        <v>60</v>
      </c>
      <c r="B2854" s="1">
        <v>46130</v>
      </c>
      <c r="C2854">
        <v>2378009513</v>
      </c>
      <c r="D2854">
        <v>2378014581</v>
      </c>
      <c r="E2854" t="str">
        <f>T("문과라도 안 죄송한 이세계로 감 263화")</f>
        <v>문과라도 안 죄송한 이세계로 감 263화</v>
      </c>
      <c r="F2854">
        <v>263</v>
      </c>
      <c r="G2854" t="str">
        <f>T("정수읠")</f>
        <v>정수읠</v>
      </c>
      <c r="J2854" t="str">
        <f>T("매드햇")</f>
        <v>매드햇</v>
      </c>
      <c r="K2854" t="str">
        <f>T("문과라도 안 죄송한 이세계로 감")</f>
        <v>문과라도 안 죄송한 이세계로 감</v>
      </c>
      <c r="L2854">
        <v>100</v>
      </c>
      <c r="M2854">
        <v>100</v>
      </c>
      <c r="N2854">
        <v>1</v>
      </c>
      <c r="O2854">
        <v>0</v>
      </c>
      <c r="P2854">
        <v>0</v>
      </c>
      <c r="Q2854">
        <v>0</v>
      </c>
      <c r="R2854">
        <v>0</v>
      </c>
      <c r="S2854">
        <v>0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0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0</v>
      </c>
      <c r="AH2854">
        <v>0</v>
      </c>
      <c r="AI2854">
        <v>100</v>
      </c>
      <c r="AJ2854">
        <v>1</v>
      </c>
      <c r="AK2854">
        <v>0</v>
      </c>
      <c r="AL2854">
        <v>0</v>
      </c>
      <c r="AM2854">
        <v>100</v>
      </c>
      <c r="AN2854">
        <v>0</v>
      </c>
      <c r="AO2854">
        <v>0</v>
      </c>
      <c r="AP2854">
        <v>0</v>
      </c>
      <c r="AQ2854">
        <v>0</v>
      </c>
      <c r="AS2854">
        <v>0</v>
      </c>
      <c r="AT2854">
        <v>0</v>
      </c>
      <c r="AV2854">
        <v>0</v>
      </c>
      <c r="AW2854">
        <v>0</v>
      </c>
      <c r="AY2854">
        <v>0</v>
      </c>
      <c r="AZ2854">
        <v>0</v>
      </c>
      <c r="BA2854">
        <v>70</v>
      </c>
      <c r="BC2854" t="str">
        <f>T("0000000000000")</f>
        <v>0000000000000</v>
      </c>
      <c r="BE2854" t="str">
        <f>T("9791162589724")</f>
        <v>9791162589724</v>
      </c>
      <c r="BF2854" t="str">
        <f>T("E728935")</f>
        <v>E728935</v>
      </c>
      <c r="BG2854" t="str">
        <f>T("판타지 웹소설 &gt; 퓨전 판타지")</f>
        <v>판타지 웹소설 &gt; 퓨전 판타지</v>
      </c>
    </row>
    <row r="2855" spans="1:59">
      <c r="A2855" t="s">
        <v>60</v>
      </c>
      <c r="B2855" s="1">
        <v>46130</v>
      </c>
      <c r="C2855">
        <v>2378009513</v>
      </c>
      <c r="D2855">
        <v>2378014582</v>
      </c>
      <c r="E2855" t="str">
        <f>T("문과라도 안 죄송한 이세계로 감 264화")</f>
        <v>문과라도 안 죄송한 이세계로 감 264화</v>
      </c>
      <c r="F2855">
        <v>264</v>
      </c>
      <c r="G2855" t="str">
        <f>T("정수읠")</f>
        <v>정수읠</v>
      </c>
      <c r="J2855" t="str">
        <f>T("매드햇")</f>
        <v>매드햇</v>
      </c>
      <c r="K2855" t="str">
        <f>T("문과라도 안 죄송한 이세계로 감")</f>
        <v>문과라도 안 죄송한 이세계로 감</v>
      </c>
      <c r="L2855">
        <v>100</v>
      </c>
      <c r="M2855">
        <v>100</v>
      </c>
      <c r="N2855">
        <v>1</v>
      </c>
      <c r="O2855">
        <v>0</v>
      </c>
      <c r="P2855">
        <v>0</v>
      </c>
      <c r="Q2855">
        <v>0</v>
      </c>
      <c r="R2855">
        <v>0</v>
      </c>
      <c r="S2855">
        <v>0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0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0</v>
      </c>
      <c r="AH2855">
        <v>0</v>
      </c>
      <c r="AI2855">
        <v>100</v>
      </c>
      <c r="AJ2855">
        <v>1</v>
      </c>
      <c r="AK2855">
        <v>0</v>
      </c>
      <c r="AL2855">
        <v>0</v>
      </c>
      <c r="AM2855">
        <v>100</v>
      </c>
      <c r="AN2855">
        <v>0</v>
      </c>
      <c r="AO2855">
        <v>0</v>
      </c>
      <c r="AP2855">
        <v>0</v>
      </c>
      <c r="AQ2855">
        <v>0</v>
      </c>
      <c r="AS2855">
        <v>0</v>
      </c>
      <c r="AT2855">
        <v>0</v>
      </c>
      <c r="AV2855">
        <v>0</v>
      </c>
      <c r="AW2855">
        <v>0</v>
      </c>
      <c r="AY2855">
        <v>0</v>
      </c>
      <c r="AZ2855">
        <v>0</v>
      </c>
      <c r="BA2855">
        <v>70</v>
      </c>
      <c r="BE2855" t="str">
        <f>T("9791162589724")</f>
        <v>9791162589724</v>
      </c>
      <c r="BF2855" t="str">
        <f>T("E728936")</f>
        <v>E728936</v>
      </c>
      <c r="BG2855" t="str">
        <f>T("판타지 웹소설 &gt; 퓨전 판타지")</f>
        <v>판타지 웹소설 &gt; 퓨전 판타지</v>
      </c>
    </row>
    <row r="2856" spans="1:59">
      <c r="A2856" t="s">
        <v>60</v>
      </c>
      <c r="B2856" s="1">
        <v>46130</v>
      </c>
      <c r="C2856">
        <v>2378009513</v>
      </c>
      <c r="D2856">
        <v>2378014583</v>
      </c>
      <c r="E2856" t="str">
        <f>T("문과라도 안 죄송한 이세계로 감 265화")</f>
        <v>문과라도 안 죄송한 이세계로 감 265화</v>
      </c>
      <c r="F2856">
        <v>265</v>
      </c>
      <c r="G2856" t="str">
        <f>T("정수읠")</f>
        <v>정수읠</v>
      </c>
      <c r="J2856" t="str">
        <f>T("매드햇")</f>
        <v>매드햇</v>
      </c>
      <c r="K2856" t="str">
        <f>T("문과라도 안 죄송한 이세계로 감")</f>
        <v>문과라도 안 죄송한 이세계로 감</v>
      </c>
      <c r="L2856">
        <v>100</v>
      </c>
      <c r="M2856">
        <v>100</v>
      </c>
      <c r="N2856">
        <v>1</v>
      </c>
      <c r="O2856">
        <v>0</v>
      </c>
      <c r="P2856">
        <v>0</v>
      </c>
      <c r="Q2856">
        <v>0</v>
      </c>
      <c r="R2856">
        <v>0</v>
      </c>
      <c r="S2856">
        <v>0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0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0</v>
      </c>
      <c r="AH2856">
        <v>0</v>
      </c>
      <c r="AI2856">
        <v>100</v>
      </c>
      <c r="AJ2856">
        <v>1</v>
      </c>
      <c r="AK2856">
        <v>0</v>
      </c>
      <c r="AL2856">
        <v>0</v>
      </c>
      <c r="AM2856">
        <v>100</v>
      </c>
      <c r="AN2856">
        <v>0</v>
      </c>
      <c r="AO2856">
        <v>0</v>
      </c>
      <c r="AP2856">
        <v>0</v>
      </c>
      <c r="AQ2856">
        <v>0</v>
      </c>
      <c r="AS2856">
        <v>0</v>
      </c>
      <c r="AT2856">
        <v>0</v>
      </c>
      <c r="AV2856">
        <v>0</v>
      </c>
      <c r="AW2856">
        <v>0</v>
      </c>
      <c r="AY2856">
        <v>0</v>
      </c>
      <c r="AZ2856">
        <v>0</v>
      </c>
      <c r="BA2856">
        <v>70</v>
      </c>
      <c r="BE2856" t="str">
        <f>T("9791162589724")</f>
        <v>9791162589724</v>
      </c>
      <c r="BF2856" t="str">
        <f>T("E728937")</f>
        <v>E728937</v>
      </c>
      <c r="BG2856" t="str">
        <f>T("판타지 웹소설 &gt; 퓨전 판타지")</f>
        <v>판타지 웹소설 &gt; 퓨전 판타지</v>
      </c>
    </row>
    <row r="2857" spans="1:59">
      <c r="A2857" t="s">
        <v>60</v>
      </c>
      <c r="B2857" s="1">
        <v>46130</v>
      </c>
      <c r="C2857">
        <v>2378009513</v>
      </c>
      <c r="D2857">
        <v>2378014617</v>
      </c>
      <c r="E2857" t="str">
        <f>T("문과라도 안 죄송한 이세계로 감 266화")</f>
        <v>문과라도 안 죄송한 이세계로 감 266화</v>
      </c>
      <c r="F2857">
        <v>266</v>
      </c>
      <c r="G2857" t="str">
        <f>T("정수읠")</f>
        <v>정수읠</v>
      </c>
      <c r="J2857" t="str">
        <f>T("매드햇")</f>
        <v>매드햇</v>
      </c>
      <c r="K2857" t="str">
        <f>T("문과라도 안 죄송한 이세계로 감")</f>
        <v>문과라도 안 죄송한 이세계로 감</v>
      </c>
      <c r="L2857">
        <v>100</v>
      </c>
      <c r="M2857">
        <v>100</v>
      </c>
      <c r="N2857">
        <v>1</v>
      </c>
      <c r="O2857">
        <v>0</v>
      </c>
      <c r="P2857">
        <v>0</v>
      </c>
      <c r="Q2857">
        <v>0</v>
      </c>
      <c r="R2857">
        <v>0</v>
      </c>
      <c r="S2857">
        <v>0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0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0</v>
      </c>
      <c r="AH2857">
        <v>0</v>
      </c>
      <c r="AI2857">
        <v>100</v>
      </c>
      <c r="AJ2857">
        <v>1</v>
      </c>
      <c r="AK2857">
        <v>0</v>
      </c>
      <c r="AL2857">
        <v>0</v>
      </c>
      <c r="AM2857">
        <v>100</v>
      </c>
      <c r="AN2857">
        <v>0</v>
      </c>
      <c r="AO2857">
        <v>0</v>
      </c>
      <c r="AP2857">
        <v>0</v>
      </c>
      <c r="AQ2857">
        <v>0</v>
      </c>
      <c r="AS2857">
        <v>0</v>
      </c>
      <c r="AT2857">
        <v>0</v>
      </c>
      <c r="AV2857">
        <v>0</v>
      </c>
      <c r="AW2857">
        <v>0</v>
      </c>
      <c r="AY2857">
        <v>0</v>
      </c>
      <c r="AZ2857">
        <v>0</v>
      </c>
      <c r="BA2857">
        <v>70</v>
      </c>
      <c r="BC2857" t="str">
        <f>T("0000000000000")</f>
        <v>0000000000000</v>
      </c>
      <c r="BE2857" t="str">
        <f>T("9791162589724")</f>
        <v>9791162589724</v>
      </c>
      <c r="BF2857" t="str">
        <f>T("E741929")</f>
        <v>E741929</v>
      </c>
      <c r="BG2857" t="str">
        <f>T("판타지 웹소설 &gt; 퓨전 판타지")</f>
        <v>판타지 웹소설 &gt; 퓨전 판타지</v>
      </c>
    </row>
    <row r="2858" spans="1:59">
      <c r="A2858" t="s">
        <v>60</v>
      </c>
      <c r="B2858" s="1">
        <v>46130</v>
      </c>
      <c r="C2858">
        <v>2378009513</v>
      </c>
      <c r="D2858">
        <v>2378014618</v>
      </c>
      <c r="E2858" t="str">
        <f>T("문과라도 안 죄송한 이세계로 감 267화")</f>
        <v>문과라도 안 죄송한 이세계로 감 267화</v>
      </c>
      <c r="F2858">
        <v>267</v>
      </c>
      <c r="G2858" t="str">
        <f>T("정수읠")</f>
        <v>정수읠</v>
      </c>
      <c r="J2858" t="str">
        <f>T("매드햇")</f>
        <v>매드햇</v>
      </c>
      <c r="K2858" t="str">
        <f>T("문과라도 안 죄송한 이세계로 감")</f>
        <v>문과라도 안 죄송한 이세계로 감</v>
      </c>
      <c r="L2858">
        <v>100</v>
      </c>
      <c r="M2858">
        <v>100</v>
      </c>
      <c r="N2858">
        <v>1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0</v>
      </c>
      <c r="AH2858">
        <v>0</v>
      </c>
      <c r="AI2858">
        <v>100</v>
      </c>
      <c r="AJ2858">
        <v>1</v>
      </c>
      <c r="AK2858">
        <v>0</v>
      </c>
      <c r="AL2858">
        <v>0</v>
      </c>
      <c r="AM2858">
        <v>100</v>
      </c>
      <c r="AN2858">
        <v>0</v>
      </c>
      <c r="AO2858">
        <v>0</v>
      </c>
      <c r="AP2858">
        <v>0</v>
      </c>
      <c r="AQ2858">
        <v>0</v>
      </c>
      <c r="AS2858">
        <v>0</v>
      </c>
      <c r="AT2858">
        <v>0</v>
      </c>
      <c r="AV2858">
        <v>0</v>
      </c>
      <c r="AW2858">
        <v>0</v>
      </c>
      <c r="AY2858">
        <v>0</v>
      </c>
      <c r="AZ2858">
        <v>0</v>
      </c>
      <c r="BA2858">
        <v>70</v>
      </c>
      <c r="BC2858" t="str">
        <f>T("0000000000000")</f>
        <v>0000000000000</v>
      </c>
      <c r="BE2858" t="str">
        <f>T("9791162589724")</f>
        <v>9791162589724</v>
      </c>
      <c r="BF2858" t="str">
        <f>T("E741930")</f>
        <v>E741930</v>
      </c>
      <c r="BG2858" t="str">
        <f>T("판타지 웹소설 &gt; 퓨전 판타지")</f>
        <v>판타지 웹소설 &gt; 퓨전 판타지</v>
      </c>
    </row>
    <row r="2859" spans="1:59">
      <c r="A2859" t="s">
        <v>60</v>
      </c>
      <c r="B2859" s="1">
        <v>46130</v>
      </c>
      <c r="C2859">
        <v>2378009513</v>
      </c>
      <c r="D2859">
        <v>2378031386</v>
      </c>
      <c r="E2859" t="str">
        <f>T("문과라도 안 죄송한 이세계로 감 412화")</f>
        <v>문과라도 안 죄송한 이세계로 감 412화</v>
      </c>
      <c r="F2859">
        <v>412</v>
      </c>
      <c r="G2859" t="str">
        <f>T("정수읠")</f>
        <v>정수읠</v>
      </c>
      <c r="J2859" t="str">
        <f>T("매드햇")</f>
        <v>매드햇</v>
      </c>
      <c r="K2859" t="str">
        <f>T("문과라도 안 죄송한 이세계로 감")</f>
        <v>문과라도 안 죄송한 이세계로 감</v>
      </c>
      <c r="L2859">
        <v>100</v>
      </c>
      <c r="M2859">
        <v>100</v>
      </c>
      <c r="N2859">
        <v>1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0</v>
      </c>
      <c r="AH2859">
        <v>0</v>
      </c>
      <c r="AI2859">
        <v>100</v>
      </c>
      <c r="AJ2859">
        <v>1</v>
      </c>
      <c r="AK2859">
        <v>0</v>
      </c>
      <c r="AL2859">
        <v>0</v>
      </c>
      <c r="AM2859">
        <v>100</v>
      </c>
      <c r="AN2859">
        <v>0</v>
      </c>
      <c r="AO2859">
        <v>0</v>
      </c>
      <c r="AP2859">
        <v>0</v>
      </c>
      <c r="AQ2859">
        <v>0</v>
      </c>
      <c r="AS2859">
        <v>0</v>
      </c>
      <c r="AT2859">
        <v>0</v>
      </c>
      <c r="AV2859">
        <v>0</v>
      </c>
      <c r="AW2859">
        <v>0</v>
      </c>
      <c r="AY2859">
        <v>0</v>
      </c>
      <c r="AZ2859">
        <v>0</v>
      </c>
      <c r="BA2859">
        <v>70</v>
      </c>
      <c r="BC2859" t="str">
        <f>T("0000000000000")</f>
        <v>0000000000000</v>
      </c>
      <c r="BE2859" t="str">
        <f>T("9791162589724")</f>
        <v>9791162589724</v>
      </c>
      <c r="BF2859" t="str">
        <f>T("N012176")</f>
        <v>N012176</v>
      </c>
      <c r="BG2859" t="str">
        <f>T("판타지 웹소설 &gt; 퓨전 판타지")</f>
        <v>판타지 웹소설 &gt; 퓨전 판타지</v>
      </c>
    </row>
    <row r="2860" spans="1:59">
      <c r="A2860" t="s">
        <v>60</v>
      </c>
      <c r="B2860" s="1">
        <v>46130</v>
      </c>
      <c r="C2860">
        <v>2378009513</v>
      </c>
      <c r="D2860">
        <v>2378033756</v>
      </c>
      <c r="E2860" t="str">
        <f>T("문과라도 안 죄송한 이세계로 감 444화")</f>
        <v>문과라도 안 죄송한 이세계로 감 444화</v>
      </c>
      <c r="F2860">
        <v>444</v>
      </c>
      <c r="G2860" t="str">
        <f>T("정수읠")</f>
        <v>정수읠</v>
      </c>
      <c r="J2860" t="str">
        <f>T("매드햇")</f>
        <v>매드햇</v>
      </c>
      <c r="K2860" t="str">
        <f>T("문과라도 안 죄송한 이세계로 감")</f>
        <v>문과라도 안 죄송한 이세계로 감</v>
      </c>
      <c r="L2860">
        <v>100</v>
      </c>
      <c r="M2860">
        <v>100</v>
      </c>
      <c r="N2860">
        <v>1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0</v>
      </c>
      <c r="AH2860">
        <v>0</v>
      </c>
      <c r="AI2860">
        <v>100</v>
      </c>
      <c r="AJ2860">
        <v>1</v>
      </c>
      <c r="AK2860">
        <v>0</v>
      </c>
      <c r="AL2860">
        <v>0</v>
      </c>
      <c r="AM2860">
        <v>100</v>
      </c>
      <c r="AN2860">
        <v>0</v>
      </c>
      <c r="AO2860">
        <v>0</v>
      </c>
      <c r="AP2860">
        <v>0</v>
      </c>
      <c r="AQ2860">
        <v>0</v>
      </c>
      <c r="AS2860">
        <v>0</v>
      </c>
      <c r="AT2860">
        <v>0</v>
      </c>
      <c r="AV2860">
        <v>0</v>
      </c>
      <c r="AW2860">
        <v>0</v>
      </c>
      <c r="AY2860">
        <v>0</v>
      </c>
      <c r="AZ2860">
        <v>0</v>
      </c>
      <c r="BA2860">
        <v>70</v>
      </c>
      <c r="BC2860" t="str">
        <f>T("0000000000000")</f>
        <v>0000000000000</v>
      </c>
      <c r="BE2860" t="str">
        <f>T("9791162589724")</f>
        <v>9791162589724</v>
      </c>
      <c r="BF2860" t="str">
        <f>T("N075363")</f>
        <v>N075363</v>
      </c>
      <c r="BG2860" t="str">
        <f>T("판타지 웹소설 &gt; 퓨전 판타지")</f>
        <v>판타지 웹소설 &gt; 퓨전 판타지</v>
      </c>
    </row>
    <row r="2861" spans="1:59">
      <c r="A2861" t="s">
        <v>60</v>
      </c>
      <c r="B2861" s="1">
        <v>46130</v>
      </c>
      <c r="C2861">
        <v>2378009513</v>
      </c>
      <c r="D2861">
        <v>2378033767</v>
      </c>
      <c r="E2861" t="str">
        <f>T("문과라도 안 죄송한 이세계로 감 445화")</f>
        <v>문과라도 안 죄송한 이세계로 감 445화</v>
      </c>
      <c r="F2861">
        <v>445</v>
      </c>
      <c r="G2861" t="str">
        <f>T("정수읠")</f>
        <v>정수읠</v>
      </c>
      <c r="J2861" t="str">
        <f>T("매드햇")</f>
        <v>매드햇</v>
      </c>
      <c r="K2861" t="str">
        <f>T("문과라도 안 죄송한 이세계로 감")</f>
        <v>문과라도 안 죄송한 이세계로 감</v>
      </c>
      <c r="L2861">
        <v>100</v>
      </c>
      <c r="M2861">
        <v>100</v>
      </c>
      <c r="N2861">
        <v>1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0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0</v>
      </c>
      <c r="AH2861">
        <v>0</v>
      </c>
      <c r="AI2861">
        <v>100</v>
      </c>
      <c r="AJ2861">
        <v>1</v>
      </c>
      <c r="AK2861">
        <v>0</v>
      </c>
      <c r="AL2861">
        <v>0</v>
      </c>
      <c r="AM2861">
        <v>100</v>
      </c>
      <c r="AN2861">
        <v>0</v>
      </c>
      <c r="AO2861">
        <v>0</v>
      </c>
      <c r="AP2861">
        <v>0</v>
      </c>
      <c r="AQ2861">
        <v>0</v>
      </c>
      <c r="AS2861">
        <v>0</v>
      </c>
      <c r="AT2861">
        <v>0</v>
      </c>
      <c r="AV2861">
        <v>0</v>
      </c>
      <c r="AW2861">
        <v>0</v>
      </c>
      <c r="AY2861">
        <v>0</v>
      </c>
      <c r="AZ2861">
        <v>0</v>
      </c>
      <c r="BA2861">
        <v>70</v>
      </c>
      <c r="BC2861" t="str">
        <f>T("0000000000000")</f>
        <v>0000000000000</v>
      </c>
      <c r="BE2861" t="str">
        <f>T("9791162589724")</f>
        <v>9791162589724</v>
      </c>
      <c r="BF2861" t="str">
        <f>T("N075364")</f>
        <v>N075364</v>
      </c>
      <c r="BG2861" t="str">
        <f>T("판타지 웹소설 &gt; 퓨전 판타지")</f>
        <v>판타지 웹소설 &gt; 퓨전 판타지</v>
      </c>
    </row>
    <row r="2862" spans="1:59">
      <c r="A2862" t="s">
        <v>60</v>
      </c>
      <c r="B2862" s="1">
        <v>46130</v>
      </c>
      <c r="C2862">
        <v>2378009513</v>
      </c>
      <c r="D2862">
        <v>2378033789</v>
      </c>
      <c r="E2862" t="str">
        <f>T("문과라도 안 죄송한 이세계로 감 446화")</f>
        <v>문과라도 안 죄송한 이세계로 감 446화</v>
      </c>
      <c r="F2862">
        <v>446</v>
      </c>
      <c r="G2862" t="str">
        <f>T("정수읠")</f>
        <v>정수읠</v>
      </c>
      <c r="J2862" t="str">
        <f>T("매드햇")</f>
        <v>매드햇</v>
      </c>
      <c r="K2862" t="str">
        <f>T("문과라도 안 죄송한 이세계로 감")</f>
        <v>문과라도 안 죄송한 이세계로 감</v>
      </c>
      <c r="L2862">
        <v>100</v>
      </c>
      <c r="M2862">
        <v>100</v>
      </c>
      <c r="N2862">
        <v>1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0</v>
      </c>
      <c r="AH2862">
        <v>0</v>
      </c>
      <c r="AI2862">
        <v>100</v>
      </c>
      <c r="AJ2862">
        <v>1</v>
      </c>
      <c r="AK2862">
        <v>0</v>
      </c>
      <c r="AL2862">
        <v>0</v>
      </c>
      <c r="AM2862">
        <v>100</v>
      </c>
      <c r="AN2862">
        <v>0</v>
      </c>
      <c r="AO2862">
        <v>0</v>
      </c>
      <c r="AP2862">
        <v>0</v>
      </c>
      <c r="AQ2862">
        <v>0</v>
      </c>
      <c r="AS2862">
        <v>0</v>
      </c>
      <c r="AT2862">
        <v>0</v>
      </c>
      <c r="AV2862">
        <v>0</v>
      </c>
      <c r="AW2862">
        <v>0</v>
      </c>
      <c r="AY2862">
        <v>0</v>
      </c>
      <c r="AZ2862">
        <v>0</v>
      </c>
      <c r="BA2862">
        <v>70</v>
      </c>
      <c r="BC2862" t="str">
        <f>T("0000000000000")</f>
        <v>0000000000000</v>
      </c>
      <c r="BE2862" t="str">
        <f>T("9791162589724")</f>
        <v>9791162589724</v>
      </c>
      <c r="BF2862" t="str">
        <f>T("N075365")</f>
        <v>N075365</v>
      </c>
      <c r="BG2862" t="str">
        <f>T("판타지 웹소설 &gt; 퓨전 판타지")</f>
        <v>판타지 웹소설 &gt; 퓨전 판타지</v>
      </c>
    </row>
    <row r="2863" spans="1:59">
      <c r="A2863" t="s">
        <v>60</v>
      </c>
      <c r="B2863" s="1">
        <v>46130</v>
      </c>
      <c r="C2863">
        <v>2378009513</v>
      </c>
      <c r="D2863">
        <v>2378033794</v>
      </c>
      <c r="E2863" t="str">
        <f>T("문과라도 안 죄송한 이세계로 감 447화")</f>
        <v>문과라도 안 죄송한 이세계로 감 447화</v>
      </c>
      <c r="F2863">
        <v>447</v>
      </c>
      <c r="G2863" t="str">
        <f>T("정수읠")</f>
        <v>정수읠</v>
      </c>
      <c r="J2863" t="str">
        <f>T("매드햇")</f>
        <v>매드햇</v>
      </c>
      <c r="K2863" t="str">
        <f>T("문과라도 안 죄송한 이세계로 감")</f>
        <v>문과라도 안 죄송한 이세계로 감</v>
      </c>
      <c r="L2863">
        <v>100</v>
      </c>
      <c r="M2863">
        <v>100</v>
      </c>
      <c r="N2863">
        <v>1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0</v>
      </c>
      <c r="AH2863">
        <v>0</v>
      </c>
      <c r="AI2863">
        <v>100</v>
      </c>
      <c r="AJ2863">
        <v>1</v>
      </c>
      <c r="AK2863">
        <v>0</v>
      </c>
      <c r="AL2863">
        <v>0</v>
      </c>
      <c r="AM2863">
        <v>100</v>
      </c>
      <c r="AN2863">
        <v>0</v>
      </c>
      <c r="AO2863">
        <v>0</v>
      </c>
      <c r="AP2863">
        <v>0</v>
      </c>
      <c r="AQ2863">
        <v>0</v>
      </c>
      <c r="AS2863">
        <v>0</v>
      </c>
      <c r="AT2863">
        <v>0</v>
      </c>
      <c r="AV2863">
        <v>0</v>
      </c>
      <c r="AW2863">
        <v>0</v>
      </c>
      <c r="AY2863">
        <v>0</v>
      </c>
      <c r="AZ2863">
        <v>0</v>
      </c>
      <c r="BA2863">
        <v>70</v>
      </c>
      <c r="BC2863" t="str">
        <f>T("0000000000000")</f>
        <v>0000000000000</v>
      </c>
      <c r="BE2863" t="str">
        <f>T("9791162589724")</f>
        <v>9791162589724</v>
      </c>
      <c r="BF2863" t="str">
        <f>T("N078635")</f>
        <v>N078635</v>
      </c>
      <c r="BG2863" t="str">
        <f>T("판타지 웹소설 &gt; 퓨전 판타지")</f>
        <v>판타지 웹소설 &gt; 퓨전 판타지</v>
      </c>
    </row>
    <row r="2864" spans="1:59">
      <c r="A2864" t="s">
        <v>60</v>
      </c>
      <c r="B2864" s="1">
        <v>46130</v>
      </c>
      <c r="C2864">
        <v>2378009513</v>
      </c>
      <c r="D2864">
        <v>2378033814</v>
      </c>
      <c r="E2864" t="str">
        <f>T("문과라도 안 죄송한 이세계로 감 448화")</f>
        <v>문과라도 안 죄송한 이세계로 감 448화</v>
      </c>
      <c r="F2864">
        <v>448</v>
      </c>
      <c r="G2864" t="str">
        <f>T("정수읠")</f>
        <v>정수읠</v>
      </c>
      <c r="J2864" t="str">
        <f>T("매드햇")</f>
        <v>매드햇</v>
      </c>
      <c r="K2864" t="str">
        <f>T("문과라도 안 죄송한 이세계로 감")</f>
        <v>문과라도 안 죄송한 이세계로 감</v>
      </c>
      <c r="L2864">
        <v>100</v>
      </c>
      <c r="M2864">
        <v>100</v>
      </c>
      <c r="N2864">
        <v>1</v>
      </c>
      <c r="O2864">
        <v>0</v>
      </c>
      <c r="P2864">
        <v>0</v>
      </c>
      <c r="Q2864">
        <v>0</v>
      </c>
      <c r="R2864">
        <v>0</v>
      </c>
      <c r="S2864">
        <v>0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0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0</v>
      </c>
      <c r="AH2864">
        <v>0</v>
      </c>
      <c r="AI2864">
        <v>100</v>
      </c>
      <c r="AJ2864">
        <v>1</v>
      </c>
      <c r="AK2864">
        <v>0</v>
      </c>
      <c r="AL2864">
        <v>0</v>
      </c>
      <c r="AM2864">
        <v>100</v>
      </c>
      <c r="AN2864">
        <v>0</v>
      </c>
      <c r="AO2864">
        <v>0</v>
      </c>
      <c r="AP2864">
        <v>0</v>
      </c>
      <c r="AQ2864">
        <v>0</v>
      </c>
      <c r="AS2864">
        <v>0</v>
      </c>
      <c r="AT2864">
        <v>0</v>
      </c>
      <c r="AV2864">
        <v>0</v>
      </c>
      <c r="AW2864">
        <v>0</v>
      </c>
      <c r="AY2864">
        <v>0</v>
      </c>
      <c r="AZ2864">
        <v>0</v>
      </c>
      <c r="BA2864">
        <v>70</v>
      </c>
      <c r="BC2864" t="str">
        <f>T("0000000000000")</f>
        <v>0000000000000</v>
      </c>
      <c r="BE2864" t="str">
        <f>T("9791162589724")</f>
        <v>9791162589724</v>
      </c>
      <c r="BF2864" t="str">
        <f>T("N078664")</f>
        <v>N078664</v>
      </c>
      <c r="BG2864" t="str">
        <f>T("판타지 웹소설 &gt; 퓨전 판타지")</f>
        <v>판타지 웹소설 &gt; 퓨전 판타지</v>
      </c>
    </row>
    <row r="2865" spans="1:59">
      <c r="A2865" t="s">
        <v>60</v>
      </c>
      <c r="B2865" s="1">
        <v>46130</v>
      </c>
      <c r="C2865">
        <v>2378009513</v>
      </c>
      <c r="D2865">
        <v>2378033827</v>
      </c>
      <c r="E2865" t="str">
        <f>T("문과라도 안 죄송한 이세계로 감 449화")</f>
        <v>문과라도 안 죄송한 이세계로 감 449화</v>
      </c>
      <c r="F2865">
        <v>449</v>
      </c>
      <c r="G2865" t="str">
        <f>T("정수읠")</f>
        <v>정수읠</v>
      </c>
      <c r="J2865" t="str">
        <f>T("매드햇")</f>
        <v>매드햇</v>
      </c>
      <c r="K2865" t="str">
        <f>T("문과라도 안 죄송한 이세계로 감")</f>
        <v>문과라도 안 죄송한 이세계로 감</v>
      </c>
      <c r="L2865">
        <v>100</v>
      </c>
      <c r="M2865">
        <v>100</v>
      </c>
      <c r="N2865">
        <v>1</v>
      </c>
      <c r="O2865">
        <v>0</v>
      </c>
      <c r="P2865">
        <v>0</v>
      </c>
      <c r="Q2865">
        <v>0</v>
      </c>
      <c r="R2865">
        <v>0</v>
      </c>
      <c r="S2865">
        <v>0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0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0</v>
      </c>
      <c r="AH2865">
        <v>0</v>
      </c>
      <c r="AI2865">
        <v>100</v>
      </c>
      <c r="AJ2865">
        <v>1</v>
      </c>
      <c r="AK2865">
        <v>0</v>
      </c>
      <c r="AL2865">
        <v>0</v>
      </c>
      <c r="AM2865">
        <v>100</v>
      </c>
      <c r="AN2865">
        <v>0</v>
      </c>
      <c r="AO2865">
        <v>0</v>
      </c>
      <c r="AP2865">
        <v>0</v>
      </c>
      <c r="AQ2865">
        <v>0</v>
      </c>
      <c r="AS2865">
        <v>0</v>
      </c>
      <c r="AT2865">
        <v>0</v>
      </c>
      <c r="AV2865">
        <v>0</v>
      </c>
      <c r="AW2865">
        <v>0</v>
      </c>
      <c r="AY2865">
        <v>0</v>
      </c>
      <c r="AZ2865">
        <v>0</v>
      </c>
      <c r="BA2865">
        <v>70</v>
      </c>
      <c r="BC2865" t="str">
        <f>T("0000000000000")</f>
        <v>0000000000000</v>
      </c>
      <c r="BE2865" t="str">
        <f>T("9791162589724")</f>
        <v>9791162589724</v>
      </c>
      <c r="BF2865" t="str">
        <f>T("N078665")</f>
        <v>N078665</v>
      </c>
      <c r="BG2865" t="str">
        <f>T("판타지 웹소설 &gt; 퓨전 판타지")</f>
        <v>판타지 웹소설 &gt; 퓨전 판타지</v>
      </c>
    </row>
    <row r="2866" spans="1:59">
      <c r="A2866" t="s">
        <v>60</v>
      </c>
      <c r="B2866" s="1">
        <v>46130</v>
      </c>
      <c r="C2866">
        <v>2378009513</v>
      </c>
      <c r="D2866">
        <v>2378033838</v>
      </c>
      <c r="E2866" t="str">
        <f>T("문과라도 안 죄송한 이세계로 감 450화")</f>
        <v>문과라도 안 죄송한 이세계로 감 450화</v>
      </c>
      <c r="F2866">
        <v>450</v>
      </c>
      <c r="G2866" t="str">
        <f>T("정수읠")</f>
        <v>정수읠</v>
      </c>
      <c r="J2866" t="str">
        <f>T("매드햇")</f>
        <v>매드햇</v>
      </c>
      <c r="K2866" t="str">
        <f>T("문과라도 안 죄송한 이세계로 감")</f>
        <v>문과라도 안 죄송한 이세계로 감</v>
      </c>
      <c r="L2866">
        <v>100</v>
      </c>
      <c r="M2866">
        <v>100</v>
      </c>
      <c r="N2866">
        <v>1</v>
      </c>
      <c r="O2866">
        <v>0</v>
      </c>
      <c r="P2866">
        <v>0</v>
      </c>
      <c r="Q2866">
        <v>0</v>
      </c>
      <c r="R2866">
        <v>0</v>
      </c>
      <c r="S2866">
        <v>0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0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0</v>
      </c>
      <c r="AH2866">
        <v>0</v>
      </c>
      <c r="AI2866">
        <v>100</v>
      </c>
      <c r="AJ2866">
        <v>1</v>
      </c>
      <c r="AK2866">
        <v>0</v>
      </c>
      <c r="AL2866">
        <v>0</v>
      </c>
      <c r="AM2866">
        <v>100</v>
      </c>
      <c r="AN2866">
        <v>0</v>
      </c>
      <c r="AO2866">
        <v>0</v>
      </c>
      <c r="AP2866">
        <v>0</v>
      </c>
      <c r="AQ2866">
        <v>0</v>
      </c>
      <c r="AS2866">
        <v>0</v>
      </c>
      <c r="AT2866">
        <v>0</v>
      </c>
      <c r="AV2866">
        <v>0</v>
      </c>
      <c r="AW2866">
        <v>0</v>
      </c>
      <c r="AY2866">
        <v>0</v>
      </c>
      <c r="AZ2866">
        <v>0</v>
      </c>
      <c r="BA2866">
        <v>70</v>
      </c>
      <c r="BC2866" t="str">
        <f>T("0000000000000")</f>
        <v>0000000000000</v>
      </c>
      <c r="BE2866" t="str">
        <f>T("9791162589724")</f>
        <v>9791162589724</v>
      </c>
      <c r="BF2866" t="str">
        <f>T("N083215")</f>
        <v>N083215</v>
      </c>
      <c r="BG2866" t="str">
        <f>T("판타지 웹소설 &gt; 퓨전 판타지")</f>
        <v>판타지 웹소설 &gt; 퓨전 판타지</v>
      </c>
    </row>
    <row r="2867" spans="1:59">
      <c r="A2867" t="s">
        <v>60</v>
      </c>
      <c r="B2867" s="1">
        <v>46130</v>
      </c>
      <c r="C2867">
        <v>2378009513</v>
      </c>
      <c r="D2867">
        <v>2378033850</v>
      </c>
      <c r="E2867" t="str">
        <f>T("문과라도 안 죄송한 이세계로 감 451화")</f>
        <v>문과라도 안 죄송한 이세계로 감 451화</v>
      </c>
      <c r="F2867">
        <v>451</v>
      </c>
      <c r="G2867" t="str">
        <f>T("정수읠")</f>
        <v>정수읠</v>
      </c>
      <c r="J2867" t="str">
        <f>T("매드햇")</f>
        <v>매드햇</v>
      </c>
      <c r="K2867" t="str">
        <f>T("문과라도 안 죄송한 이세계로 감")</f>
        <v>문과라도 안 죄송한 이세계로 감</v>
      </c>
      <c r="L2867">
        <v>100</v>
      </c>
      <c r="M2867">
        <v>100</v>
      </c>
      <c r="N2867">
        <v>1</v>
      </c>
      <c r="O2867">
        <v>0</v>
      </c>
      <c r="P2867">
        <v>0</v>
      </c>
      <c r="Q2867">
        <v>0</v>
      </c>
      <c r="R2867">
        <v>0</v>
      </c>
      <c r="S2867">
        <v>0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0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0</v>
      </c>
      <c r="AH2867">
        <v>0</v>
      </c>
      <c r="AI2867">
        <v>100</v>
      </c>
      <c r="AJ2867">
        <v>1</v>
      </c>
      <c r="AK2867">
        <v>0</v>
      </c>
      <c r="AL2867">
        <v>0</v>
      </c>
      <c r="AM2867">
        <v>100</v>
      </c>
      <c r="AN2867">
        <v>0</v>
      </c>
      <c r="AO2867">
        <v>0</v>
      </c>
      <c r="AP2867">
        <v>0</v>
      </c>
      <c r="AQ2867">
        <v>0</v>
      </c>
      <c r="AS2867">
        <v>0</v>
      </c>
      <c r="AT2867">
        <v>0</v>
      </c>
      <c r="AV2867">
        <v>0</v>
      </c>
      <c r="AW2867">
        <v>0</v>
      </c>
      <c r="AY2867">
        <v>0</v>
      </c>
      <c r="AZ2867">
        <v>0</v>
      </c>
      <c r="BA2867">
        <v>70</v>
      </c>
      <c r="BC2867" t="str">
        <f>T("0000000000000")</f>
        <v>0000000000000</v>
      </c>
      <c r="BE2867" t="str">
        <f>T("9791162589724")</f>
        <v>9791162589724</v>
      </c>
      <c r="BF2867" t="str">
        <f>T("N083231")</f>
        <v>N083231</v>
      </c>
      <c r="BG2867" t="str">
        <f>T("판타지 웹소설 &gt; 퓨전 판타지")</f>
        <v>판타지 웹소설 &gt; 퓨전 판타지</v>
      </c>
    </row>
    <row r="2868" spans="1:59">
      <c r="A2868" t="s">
        <v>60</v>
      </c>
      <c r="B2868" s="1">
        <v>46130</v>
      </c>
      <c r="C2868">
        <v>2378009513</v>
      </c>
      <c r="D2868">
        <v>2378034019</v>
      </c>
      <c r="E2868" t="str">
        <f>T("문과라도 안 죄송한 이세계로 감 452화")</f>
        <v>문과라도 안 죄송한 이세계로 감 452화</v>
      </c>
      <c r="F2868">
        <v>452</v>
      </c>
      <c r="G2868" t="str">
        <f>T("정수읠")</f>
        <v>정수읠</v>
      </c>
      <c r="J2868" t="str">
        <f>T("매드햇")</f>
        <v>매드햇</v>
      </c>
      <c r="K2868" t="str">
        <f>T("문과라도 안 죄송한 이세계로 감")</f>
        <v>문과라도 안 죄송한 이세계로 감</v>
      </c>
      <c r="L2868">
        <v>100</v>
      </c>
      <c r="M2868">
        <v>100</v>
      </c>
      <c r="N2868">
        <v>1</v>
      </c>
      <c r="O2868">
        <v>0</v>
      </c>
      <c r="P2868">
        <v>0</v>
      </c>
      <c r="Q2868">
        <v>0</v>
      </c>
      <c r="R2868">
        <v>0</v>
      </c>
      <c r="S2868">
        <v>0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0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0</v>
      </c>
      <c r="AH2868">
        <v>0</v>
      </c>
      <c r="AI2868">
        <v>100</v>
      </c>
      <c r="AJ2868">
        <v>1</v>
      </c>
      <c r="AK2868">
        <v>0</v>
      </c>
      <c r="AL2868">
        <v>0</v>
      </c>
      <c r="AM2868">
        <v>100</v>
      </c>
      <c r="AN2868">
        <v>0</v>
      </c>
      <c r="AO2868">
        <v>0</v>
      </c>
      <c r="AP2868">
        <v>0</v>
      </c>
      <c r="AQ2868">
        <v>0</v>
      </c>
      <c r="AS2868">
        <v>0</v>
      </c>
      <c r="AT2868">
        <v>0</v>
      </c>
      <c r="AV2868">
        <v>0</v>
      </c>
      <c r="AW2868">
        <v>0</v>
      </c>
      <c r="AY2868">
        <v>0</v>
      </c>
      <c r="AZ2868">
        <v>0</v>
      </c>
      <c r="BA2868">
        <v>70</v>
      </c>
      <c r="BC2868" t="str">
        <f>T("0000000000000")</f>
        <v>0000000000000</v>
      </c>
      <c r="BE2868" t="str">
        <f>T("9791162589724")</f>
        <v>9791162589724</v>
      </c>
      <c r="BF2868" t="str">
        <f>T("N083232")</f>
        <v>N083232</v>
      </c>
      <c r="BG2868" t="str">
        <f>T("판타지 웹소설 &gt; 퓨전 판타지")</f>
        <v>판타지 웹소설 &gt; 퓨전 판타지</v>
      </c>
    </row>
    <row r="2869" spans="1:59">
      <c r="A2869" t="s">
        <v>60</v>
      </c>
      <c r="B2869" s="1">
        <v>46130</v>
      </c>
      <c r="C2869">
        <v>2378009513</v>
      </c>
      <c r="D2869">
        <v>2378034023</v>
      </c>
      <c r="E2869" t="str">
        <f>T("문과라도 안 죄송한 이세계로 감 453화")</f>
        <v>문과라도 안 죄송한 이세계로 감 453화</v>
      </c>
      <c r="F2869">
        <v>453</v>
      </c>
      <c r="G2869" t="str">
        <f>T("정수읠")</f>
        <v>정수읠</v>
      </c>
      <c r="J2869" t="str">
        <f>T("매드햇")</f>
        <v>매드햇</v>
      </c>
      <c r="K2869" t="str">
        <f>T("문과라도 안 죄송한 이세계로 감")</f>
        <v>문과라도 안 죄송한 이세계로 감</v>
      </c>
      <c r="L2869">
        <v>100</v>
      </c>
      <c r="M2869">
        <v>100</v>
      </c>
      <c r="N2869">
        <v>1</v>
      </c>
      <c r="O2869">
        <v>0</v>
      </c>
      <c r="P2869">
        <v>0</v>
      </c>
      <c r="Q2869">
        <v>0</v>
      </c>
      <c r="R2869">
        <v>0</v>
      </c>
      <c r="S2869">
        <v>0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0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0</v>
      </c>
      <c r="AH2869">
        <v>0</v>
      </c>
      <c r="AI2869">
        <v>100</v>
      </c>
      <c r="AJ2869">
        <v>1</v>
      </c>
      <c r="AK2869">
        <v>0</v>
      </c>
      <c r="AL2869">
        <v>0</v>
      </c>
      <c r="AM2869">
        <v>100</v>
      </c>
      <c r="AN2869">
        <v>0</v>
      </c>
      <c r="AO2869">
        <v>0</v>
      </c>
      <c r="AP2869">
        <v>0</v>
      </c>
      <c r="AQ2869">
        <v>0</v>
      </c>
      <c r="AS2869">
        <v>0</v>
      </c>
      <c r="AT2869">
        <v>0</v>
      </c>
      <c r="AV2869">
        <v>0</v>
      </c>
      <c r="AW2869">
        <v>0</v>
      </c>
      <c r="AY2869">
        <v>0</v>
      </c>
      <c r="AZ2869">
        <v>0</v>
      </c>
      <c r="BA2869">
        <v>70</v>
      </c>
      <c r="BC2869" t="str">
        <f>T("0000000000000")</f>
        <v>0000000000000</v>
      </c>
      <c r="BE2869" t="str">
        <f>T("9791162589724")</f>
        <v>9791162589724</v>
      </c>
      <c r="BF2869" t="str">
        <f>T("N085604")</f>
        <v>N085604</v>
      </c>
      <c r="BG2869" t="str">
        <f>T("판타지 웹소설 &gt; 퓨전 판타지")</f>
        <v>판타지 웹소설 &gt; 퓨전 판타지</v>
      </c>
    </row>
    <row r="2870" spans="1:59">
      <c r="A2870" t="s">
        <v>60</v>
      </c>
      <c r="B2870" s="1">
        <v>46130</v>
      </c>
      <c r="C2870">
        <v>2378009513</v>
      </c>
      <c r="D2870">
        <v>2378034052</v>
      </c>
      <c r="E2870" t="str">
        <f>T("문과라도 안 죄송한 이세계로 감 454화")</f>
        <v>문과라도 안 죄송한 이세계로 감 454화</v>
      </c>
      <c r="F2870">
        <v>454</v>
      </c>
      <c r="G2870" t="str">
        <f>T("정수읠")</f>
        <v>정수읠</v>
      </c>
      <c r="J2870" t="str">
        <f>T("매드햇")</f>
        <v>매드햇</v>
      </c>
      <c r="K2870" t="str">
        <f>T("문과라도 안 죄송한 이세계로 감")</f>
        <v>문과라도 안 죄송한 이세계로 감</v>
      </c>
      <c r="L2870">
        <v>100</v>
      </c>
      <c r="M2870">
        <v>100</v>
      </c>
      <c r="N2870">
        <v>1</v>
      </c>
      <c r="O2870">
        <v>0</v>
      </c>
      <c r="P2870">
        <v>0</v>
      </c>
      <c r="Q2870">
        <v>0</v>
      </c>
      <c r="R2870">
        <v>0</v>
      </c>
      <c r="S2870">
        <v>0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0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0</v>
      </c>
      <c r="AH2870">
        <v>0</v>
      </c>
      <c r="AI2870">
        <v>100</v>
      </c>
      <c r="AJ2870">
        <v>1</v>
      </c>
      <c r="AK2870">
        <v>0</v>
      </c>
      <c r="AL2870">
        <v>0</v>
      </c>
      <c r="AM2870">
        <v>100</v>
      </c>
      <c r="AN2870">
        <v>0</v>
      </c>
      <c r="AO2870">
        <v>0</v>
      </c>
      <c r="AP2870">
        <v>0</v>
      </c>
      <c r="AQ2870">
        <v>0</v>
      </c>
      <c r="AS2870">
        <v>0</v>
      </c>
      <c r="AT2870">
        <v>0</v>
      </c>
      <c r="AV2870">
        <v>0</v>
      </c>
      <c r="AW2870">
        <v>0</v>
      </c>
      <c r="AY2870">
        <v>0</v>
      </c>
      <c r="AZ2870">
        <v>0</v>
      </c>
      <c r="BA2870">
        <v>70</v>
      </c>
      <c r="BC2870" t="str">
        <f>T("0000000000000")</f>
        <v>0000000000000</v>
      </c>
      <c r="BE2870" t="str">
        <f>T("9791162589724")</f>
        <v>9791162589724</v>
      </c>
      <c r="BF2870" t="str">
        <f>T("N085605")</f>
        <v>N085605</v>
      </c>
      <c r="BG2870" t="str">
        <f>T("판타지 웹소설 &gt; 퓨전 판타지")</f>
        <v>판타지 웹소설 &gt; 퓨전 판타지</v>
      </c>
    </row>
    <row r="2871" spans="1:59">
      <c r="A2871" t="s">
        <v>60</v>
      </c>
      <c r="B2871" s="1">
        <v>46130</v>
      </c>
      <c r="C2871">
        <v>2378009513</v>
      </c>
      <c r="D2871">
        <v>2378034069</v>
      </c>
      <c r="E2871" t="str">
        <f>T("문과라도 안 죄송한 이세계로 감 455화")</f>
        <v>문과라도 안 죄송한 이세계로 감 455화</v>
      </c>
      <c r="F2871">
        <v>455</v>
      </c>
      <c r="G2871" t="str">
        <f>T("정수읠")</f>
        <v>정수읠</v>
      </c>
      <c r="J2871" t="str">
        <f>T("매드햇")</f>
        <v>매드햇</v>
      </c>
      <c r="K2871" t="str">
        <f>T("문과라도 안 죄송한 이세계로 감")</f>
        <v>문과라도 안 죄송한 이세계로 감</v>
      </c>
      <c r="L2871">
        <v>100</v>
      </c>
      <c r="M2871">
        <v>100</v>
      </c>
      <c r="N2871">
        <v>1</v>
      </c>
      <c r="O2871">
        <v>0</v>
      </c>
      <c r="P2871">
        <v>0</v>
      </c>
      <c r="Q2871">
        <v>0</v>
      </c>
      <c r="R2871">
        <v>0</v>
      </c>
      <c r="S2871">
        <v>0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0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0</v>
      </c>
      <c r="AH2871">
        <v>0</v>
      </c>
      <c r="AI2871">
        <v>100</v>
      </c>
      <c r="AJ2871">
        <v>1</v>
      </c>
      <c r="AK2871">
        <v>0</v>
      </c>
      <c r="AL2871">
        <v>0</v>
      </c>
      <c r="AM2871">
        <v>100</v>
      </c>
      <c r="AN2871">
        <v>0</v>
      </c>
      <c r="AO2871">
        <v>0</v>
      </c>
      <c r="AP2871">
        <v>0</v>
      </c>
      <c r="AQ2871">
        <v>0</v>
      </c>
      <c r="AS2871">
        <v>0</v>
      </c>
      <c r="AT2871">
        <v>0</v>
      </c>
      <c r="AV2871">
        <v>0</v>
      </c>
      <c r="AW2871">
        <v>0</v>
      </c>
      <c r="AY2871">
        <v>0</v>
      </c>
      <c r="AZ2871">
        <v>0</v>
      </c>
      <c r="BA2871">
        <v>70</v>
      </c>
      <c r="BC2871" t="str">
        <f>T("0000000000000")</f>
        <v>0000000000000</v>
      </c>
      <c r="BE2871" t="str">
        <f>T("9791162589724")</f>
        <v>9791162589724</v>
      </c>
      <c r="BF2871" t="str">
        <f>T("N085606")</f>
        <v>N085606</v>
      </c>
      <c r="BG2871" t="str">
        <f>T("판타지 웹소설 &gt; 퓨전 판타지")</f>
        <v>판타지 웹소설 &gt; 퓨전 판타지</v>
      </c>
    </row>
    <row r="2872" spans="1:59">
      <c r="A2872" t="s">
        <v>60</v>
      </c>
      <c r="B2872" s="1">
        <v>46130</v>
      </c>
      <c r="C2872">
        <v>2378009513</v>
      </c>
      <c r="D2872">
        <v>2378034076</v>
      </c>
      <c r="E2872" t="str">
        <f>T("문과라도 안 죄송한 이세계로 감 456화")</f>
        <v>문과라도 안 죄송한 이세계로 감 456화</v>
      </c>
      <c r="F2872">
        <v>456</v>
      </c>
      <c r="G2872" t="str">
        <f>T("정수읠")</f>
        <v>정수읠</v>
      </c>
      <c r="J2872" t="str">
        <f>T("매드햇")</f>
        <v>매드햇</v>
      </c>
      <c r="K2872" t="str">
        <f>T("문과라도 안 죄송한 이세계로 감")</f>
        <v>문과라도 안 죄송한 이세계로 감</v>
      </c>
      <c r="L2872">
        <v>100</v>
      </c>
      <c r="M2872">
        <v>100</v>
      </c>
      <c r="N2872">
        <v>1</v>
      </c>
      <c r="O2872">
        <v>0</v>
      </c>
      <c r="P2872">
        <v>0</v>
      </c>
      <c r="Q2872">
        <v>0</v>
      </c>
      <c r="R2872">
        <v>0</v>
      </c>
      <c r="S2872">
        <v>0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0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0</v>
      </c>
      <c r="AH2872">
        <v>0</v>
      </c>
      <c r="AI2872">
        <v>100</v>
      </c>
      <c r="AJ2872">
        <v>1</v>
      </c>
      <c r="AK2872">
        <v>0</v>
      </c>
      <c r="AL2872">
        <v>0</v>
      </c>
      <c r="AM2872">
        <v>100</v>
      </c>
      <c r="AN2872">
        <v>0</v>
      </c>
      <c r="AO2872">
        <v>0</v>
      </c>
      <c r="AP2872">
        <v>0</v>
      </c>
      <c r="AQ2872">
        <v>0</v>
      </c>
      <c r="AS2872">
        <v>0</v>
      </c>
      <c r="AT2872">
        <v>0</v>
      </c>
      <c r="AV2872">
        <v>0</v>
      </c>
      <c r="AW2872">
        <v>0</v>
      </c>
      <c r="AY2872">
        <v>0</v>
      </c>
      <c r="AZ2872">
        <v>0</v>
      </c>
      <c r="BA2872">
        <v>70</v>
      </c>
      <c r="BC2872" t="str">
        <f>T("0000000000000")</f>
        <v>0000000000000</v>
      </c>
      <c r="BE2872" t="str">
        <f>T("9791162589724")</f>
        <v>9791162589724</v>
      </c>
      <c r="BF2872" t="str">
        <f>T("N089778")</f>
        <v>N089778</v>
      </c>
      <c r="BG2872" t="str">
        <f>T("판타지 웹소설 &gt; 퓨전 판타지")</f>
        <v>판타지 웹소설 &gt; 퓨전 판타지</v>
      </c>
    </row>
    <row r="2873" spans="1:59">
      <c r="A2873" t="s">
        <v>60</v>
      </c>
      <c r="B2873" s="1">
        <v>46130</v>
      </c>
      <c r="C2873">
        <v>2378009513</v>
      </c>
      <c r="D2873">
        <v>2378034085</v>
      </c>
      <c r="E2873" t="str">
        <f>T("문과라도 안 죄송한 이세계로 감 457화")</f>
        <v>문과라도 안 죄송한 이세계로 감 457화</v>
      </c>
      <c r="F2873">
        <v>457</v>
      </c>
      <c r="G2873" t="str">
        <f>T("정수읠")</f>
        <v>정수읠</v>
      </c>
      <c r="J2873" t="str">
        <f>T("매드햇")</f>
        <v>매드햇</v>
      </c>
      <c r="K2873" t="str">
        <f>T("문과라도 안 죄송한 이세계로 감")</f>
        <v>문과라도 안 죄송한 이세계로 감</v>
      </c>
      <c r="L2873">
        <v>100</v>
      </c>
      <c r="M2873">
        <v>100</v>
      </c>
      <c r="N2873">
        <v>1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0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0</v>
      </c>
      <c r="AH2873">
        <v>0</v>
      </c>
      <c r="AI2873">
        <v>100</v>
      </c>
      <c r="AJ2873">
        <v>1</v>
      </c>
      <c r="AK2873">
        <v>0</v>
      </c>
      <c r="AL2873">
        <v>0</v>
      </c>
      <c r="AM2873">
        <v>100</v>
      </c>
      <c r="AN2873">
        <v>0</v>
      </c>
      <c r="AO2873">
        <v>0</v>
      </c>
      <c r="AP2873">
        <v>0</v>
      </c>
      <c r="AQ2873">
        <v>0</v>
      </c>
      <c r="AS2873">
        <v>0</v>
      </c>
      <c r="AT2873">
        <v>0</v>
      </c>
      <c r="AV2873">
        <v>0</v>
      </c>
      <c r="AW2873">
        <v>0</v>
      </c>
      <c r="AY2873">
        <v>0</v>
      </c>
      <c r="AZ2873">
        <v>0</v>
      </c>
      <c r="BA2873">
        <v>70</v>
      </c>
      <c r="BC2873" t="str">
        <f>T("0000000000000")</f>
        <v>0000000000000</v>
      </c>
      <c r="BE2873" t="str">
        <f>T("9791162589724")</f>
        <v>9791162589724</v>
      </c>
      <c r="BF2873" t="str">
        <f>T("N089779")</f>
        <v>N089779</v>
      </c>
      <c r="BG2873" t="str">
        <f>T("판타지 웹소설 &gt; 퓨전 판타지")</f>
        <v>판타지 웹소설 &gt; 퓨전 판타지</v>
      </c>
    </row>
    <row r="2874" spans="1:59">
      <c r="A2874" t="s">
        <v>60</v>
      </c>
      <c r="B2874" s="1">
        <v>46130</v>
      </c>
      <c r="C2874">
        <v>2378009513</v>
      </c>
      <c r="D2874">
        <v>2378034364</v>
      </c>
      <c r="E2874" t="str">
        <f>T("문과라도 안 죄송한 이세계로 감 458화")</f>
        <v>문과라도 안 죄송한 이세계로 감 458화</v>
      </c>
      <c r="F2874">
        <v>458</v>
      </c>
      <c r="G2874" t="str">
        <f>T("정수읠")</f>
        <v>정수읠</v>
      </c>
      <c r="J2874" t="str">
        <f>T("매드햇")</f>
        <v>매드햇</v>
      </c>
      <c r="K2874" t="str">
        <f>T("문과라도 안 죄송한 이세계로 감")</f>
        <v>문과라도 안 죄송한 이세계로 감</v>
      </c>
      <c r="L2874">
        <v>100</v>
      </c>
      <c r="M2874">
        <v>100</v>
      </c>
      <c r="N2874">
        <v>1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0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0</v>
      </c>
      <c r="AH2874">
        <v>0</v>
      </c>
      <c r="AI2874">
        <v>100</v>
      </c>
      <c r="AJ2874">
        <v>1</v>
      </c>
      <c r="AK2874">
        <v>0</v>
      </c>
      <c r="AL2874">
        <v>0</v>
      </c>
      <c r="AM2874">
        <v>100</v>
      </c>
      <c r="AN2874">
        <v>0</v>
      </c>
      <c r="AO2874">
        <v>0</v>
      </c>
      <c r="AP2874">
        <v>0</v>
      </c>
      <c r="AQ2874">
        <v>0</v>
      </c>
      <c r="AS2874">
        <v>0</v>
      </c>
      <c r="AT2874">
        <v>0</v>
      </c>
      <c r="AV2874">
        <v>0</v>
      </c>
      <c r="AW2874">
        <v>0</v>
      </c>
      <c r="AY2874">
        <v>0</v>
      </c>
      <c r="AZ2874">
        <v>0</v>
      </c>
      <c r="BA2874">
        <v>70</v>
      </c>
      <c r="BC2874" t="str">
        <f>T("0000000000000")</f>
        <v>0000000000000</v>
      </c>
      <c r="BE2874" t="str">
        <f>T("9791162589724")</f>
        <v>9791162589724</v>
      </c>
      <c r="BF2874" t="str">
        <f>T("N092431")</f>
        <v>N092431</v>
      </c>
      <c r="BG2874" t="str">
        <f>T("판타지 웹소설 &gt; 퓨전 판타지")</f>
        <v>판타지 웹소설 &gt; 퓨전 판타지</v>
      </c>
    </row>
    <row r="2875" spans="1:59">
      <c r="A2875" t="s">
        <v>60</v>
      </c>
      <c r="B2875" s="1">
        <v>46130</v>
      </c>
      <c r="C2875">
        <v>2378009513</v>
      </c>
      <c r="D2875">
        <v>2378034365</v>
      </c>
      <c r="E2875" t="str">
        <f>T("문과라도 안 죄송한 이세계로 감 459화")</f>
        <v>문과라도 안 죄송한 이세계로 감 459화</v>
      </c>
      <c r="F2875">
        <v>459</v>
      </c>
      <c r="G2875" t="str">
        <f>T("정수읠")</f>
        <v>정수읠</v>
      </c>
      <c r="J2875" t="str">
        <f>T("매드햇")</f>
        <v>매드햇</v>
      </c>
      <c r="K2875" t="str">
        <f>T("문과라도 안 죄송한 이세계로 감")</f>
        <v>문과라도 안 죄송한 이세계로 감</v>
      </c>
      <c r="L2875">
        <v>100</v>
      </c>
      <c r="M2875">
        <v>100</v>
      </c>
      <c r="N2875">
        <v>1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0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0</v>
      </c>
      <c r="AH2875">
        <v>0</v>
      </c>
      <c r="AI2875">
        <v>100</v>
      </c>
      <c r="AJ2875">
        <v>1</v>
      </c>
      <c r="AK2875">
        <v>0</v>
      </c>
      <c r="AL2875">
        <v>0</v>
      </c>
      <c r="AM2875">
        <v>100</v>
      </c>
      <c r="AN2875">
        <v>0</v>
      </c>
      <c r="AO2875">
        <v>0</v>
      </c>
      <c r="AP2875">
        <v>0</v>
      </c>
      <c r="AQ2875">
        <v>0</v>
      </c>
      <c r="AS2875">
        <v>0</v>
      </c>
      <c r="AT2875">
        <v>0</v>
      </c>
      <c r="AV2875">
        <v>0</v>
      </c>
      <c r="AW2875">
        <v>0</v>
      </c>
      <c r="AY2875">
        <v>0</v>
      </c>
      <c r="AZ2875">
        <v>0</v>
      </c>
      <c r="BA2875">
        <v>70</v>
      </c>
      <c r="BC2875" t="str">
        <f>T("0000000000000")</f>
        <v>0000000000000</v>
      </c>
      <c r="BE2875" t="str">
        <f>T("9791162589724")</f>
        <v>9791162589724</v>
      </c>
      <c r="BF2875" t="str">
        <f>T("N092432")</f>
        <v>N092432</v>
      </c>
      <c r="BG2875" t="str">
        <f>T("판타지 웹소설 &gt; 퓨전 판타지")</f>
        <v>판타지 웹소설 &gt; 퓨전 판타지</v>
      </c>
    </row>
    <row r="2876" spans="1:59">
      <c r="A2876" t="s">
        <v>60</v>
      </c>
      <c r="B2876" s="1">
        <v>46130</v>
      </c>
      <c r="C2876">
        <v>2378009513</v>
      </c>
      <c r="D2876">
        <v>2378034411</v>
      </c>
      <c r="E2876" t="str">
        <f>T("문과라도 안 죄송한 이세계로 감 460화")</f>
        <v>문과라도 안 죄송한 이세계로 감 460화</v>
      </c>
      <c r="F2876">
        <v>460</v>
      </c>
      <c r="G2876" t="str">
        <f>T("정수읠")</f>
        <v>정수읠</v>
      </c>
      <c r="J2876" t="str">
        <f>T("매드햇")</f>
        <v>매드햇</v>
      </c>
      <c r="K2876" t="str">
        <f>T("문과라도 안 죄송한 이세계로 감")</f>
        <v>문과라도 안 죄송한 이세계로 감</v>
      </c>
      <c r="L2876">
        <v>100</v>
      </c>
      <c r="M2876">
        <v>100</v>
      </c>
      <c r="N2876">
        <v>1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0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0</v>
      </c>
      <c r="AH2876">
        <v>0</v>
      </c>
      <c r="AI2876">
        <v>100</v>
      </c>
      <c r="AJ2876">
        <v>1</v>
      </c>
      <c r="AK2876">
        <v>0</v>
      </c>
      <c r="AL2876">
        <v>0</v>
      </c>
      <c r="AM2876">
        <v>100</v>
      </c>
      <c r="AN2876">
        <v>0</v>
      </c>
      <c r="AO2876">
        <v>0</v>
      </c>
      <c r="AP2876">
        <v>0</v>
      </c>
      <c r="AQ2876">
        <v>0</v>
      </c>
      <c r="AS2876">
        <v>0</v>
      </c>
      <c r="AT2876">
        <v>0</v>
      </c>
      <c r="AV2876">
        <v>0</v>
      </c>
      <c r="AW2876">
        <v>0</v>
      </c>
      <c r="AY2876">
        <v>0</v>
      </c>
      <c r="AZ2876">
        <v>0</v>
      </c>
      <c r="BA2876">
        <v>70</v>
      </c>
      <c r="BC2876" t="str">
        <f>T("0000000000000")</f>
        <v>0000000000000</v>
      </c>
      <c r="BE2876" t="str">
        <f>T("9791162589724")</f>
        <v>9791162589724</v>
      </c>
      <c r="BF2876" t="str">
        <f>T("N096838")</f>
        <v>N096838</v>
      </c>
      <c r="BG2876" t="str">
        <f>T("판타지 웹소설 &gt; 퓨전 판타지")</f>
        <v>판타지 웹소설 &gt; 퓨전 판타지</v>
      </c>
    </row>
    <row r="2877" spans="1:59">
      <c r="A2877" t="s">
        <v>60</v>
      </c>
      <c r="B2877" s="1">
        <v>46130</v>
      </c>
      <c r="C2877">
        <v>2378009513</v>
      </c>
      <c r="D2877">
        <v>2378034799</v>
      </c>
      <c r="E2877" t="str">
        <f>T("문과라도 안 죄송한 이세계로 감 461화")</f>
        <v>문과라도 안 죄송한 이세계로 감 461화</v>
      </c>
      <c r="F2877">
        <v>461</v>
      </c>
      <c r="G2877" t="str">
        <f>T("정수읠")</f>
        <v>정수읠</v>
      </c>
      <c r="J2877" t="str">
        <f>T("매드햇")</f>
        <v>매드햇</v>
      </c>
      <c r="K2877" t="str">
        <f>T("문과라도 안 죄송한 이세계로 감")</f>
        <v>문과라도 안 죄송한 이세계로 감</v>
      </c>
      <c r="L2877">
        <v>100</v>
      </c>
      <c r="M2877">
        <v>100</v>
      </c>
      <c r="N2877">
        <v>1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0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0</v>
      </c>
      <c r="AH2877">
        <v>0</v>
      </c>
      <c r="AI2877">
        <v>100</v>
      </c>
      <c r="AJ2877">
        <v>1</v>
      </c>
      <c r="AK2877">
        <v>0</v>
      </c>
      <c r="AL2877">
        <v>0</v>
      </c>
      <c r="AM2877">
        <v>100</v>
      </c>
      <c r="AN2877">
        <v>0</v>
      </c>
      <c r="AO2877">
        <v>0</v>
      </c>
      <c r="AP2877">
        <v>0</v>
      </c>
      <c r="AQ2877">
        <v>0</v>
      </c>
      <c r="AS2877">
        <v>0</v>
      </c>
      <c r="AT2877">
        <v>0</v>
      </c>
      <c r="AV2877">
        <v>0</v>
      </c>
      <c r="AW2877">
        <v>0</v>
      </c>
      <c r="AY2877">
        <v>0</v>
      </c>
      <c r="AZ2877">
        <v>0</v>
      </c>
      <c r="BA2877">
        <v>70</v>
      </c>
      <c r="BC2877" t="str">
        <f>T("0000000000000")</f>
        <v>0000000000000</v>
      </c>
      <c r="BE2877" t="str">
        <f>T("9791162589724")</f>
        <v>9791162589724</v>
      </c>
      <c r="BF2877" t="str">
        <f>T("N096839")</f>
        <v>N096839</v>
      </c>
      <c r="BG2877" t="str">
        <f>T("판타지 웹소설 &gt; 퓨전 판타지")</f>
        <v>판타지 웹소설 &gt; 퓨전 판타지</v>
      </c>
    </row>
    <row r="2878" spans="1:59">
      <c r="A2878" t="s">
        <v>60</v>
      </c>
      <c r="B2878" s="1">
        <v>46130</v>
      </c>
      <c r="C2878">
        <v>2378009513</v>
      </c>
      <c r="D2878">
        <v>2378034808</v>
      </c>
      <c r="E2878" t="str">
        <f>T("문과라도 안 죄송한 이세계로 감 462화")</f>
        <v>문과라도 안 죄송한 이세계로 감 462화</v>
      </c>
      <c r="F2878">
        <v>462</v>
      </c>
      <c r="G2878" t="str">
        <f>T("정수읠")</f>
        <v>정수읠</v>
      </c>
      <c r="J2878" t="str">
        <f>T("매드햇")</f>
        <v>매드햇</v>
      </c>
      <c r="K2878" t="str">
        <f>T("문과라도 안 죄송한 이세계로 감")</f>
        <v>문과라도 안 죄송한 이세계로 감</v>
      </c>
      <c r="L2878">
        <v>100</v>
      </c>
      <c r="M2878">
        <v>100</v>
      </c>
      <c r="N2878">
        <v>1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0</v>
      </c>
      <c r="AH2878">
        <v>0</v>
      </c>
      <c r="AI2878">
        <v>100</v>
      </c>
      <c r="AJ2878">
        <v>1</v>
      </c>
      <c r="AK2878">
        <v>0</v>
      </c>
      <c r="AL2878">
        <v>0</v>
      </c>
      <c r="AM2878">
        <v>100</v>
      </c>
      <c r="AN2878">
        <v>0</v>
      </c>
      <c r="AO2878">
        <v>0</v>
      </c>
      <c r="AP2878">
        <v>0</v>
      </c>
      <c r="AQ2878">
        <v>0</v>
      </c>
      <c r="AS2878">
        <v>0</v>
      </c>
      <c r="AT2878">
        <v>0</v>
      </c>
      <c r="AV2878">
        <v>0</v>
      </c>
      <c r="AW2878">
        <v>0</v>
      </c>
      <c r="AY2878">
        <v>0</v>
      </c>
      <c r="AZ2878">
        <v>0</v>
      </c>
      <c r="BA2878">
        <v>70</v>
      </c>
      <c r="BC2878" t="str">
        <f>T("0000000000000")</f>
        <v>0000000000000</v>
      </c>
      <c r="BE2878" t="str">
        <f>T("9791162589724")</f>
        <v>9791162589724</v>
      </c>
      <c r="BF2878" t="str">
        <f>T("N096997")</f>
        <v>N096997</v>
      </c>
      <c r="BG2878" t="str">
        <f>T("판타지 웹소설 &gt; 퓨전 판타지")</f>
        <v>판타지 웹소설 &gt; 퓨전 판타지</v>
      </c>
    </row>
    <row r="2879" spans="1:59">
      <c r="A2879" t="s">
        <v>60</v>
      </c>
      <c r="B2879" s="1">
        <v>46130</v>
      </c>
      <c r="C2879">
        <v>2378009513</v>
      </c>
      <c r="D2879">
        <v>2378034825</v>
      </c>
      <c r="E2879" t="str">
        <f>T("문과라도 안 죄송한 이세계로 감 463화")</f>
        <v>문과라도 안 죄송한 이세계로 감 463화</v>
      </c>
      <c r="F2879">
        <v>463</v>
      </c>
      <c r="G2879" t="str">
        <f>T("정수읠")</f>
        <v>정수읠</v>
      </c>
      <c r="J2879" t="str">
        <f>T("매드햇")</f>
        <v>매드햇</v>
      </c>
      <c r="K2879" t="str">
        <f>T("문과라도 안 죄송한 이세계로 감")</f>
        <v>문과라도 안 죄송한 이세계로 감</v>
      </c>
      <c r="L2879">
        <v>100</v>
      </c>
      <c r="M2879">
        <v>100</v>
      </c>
      <c r="N2879">
        <v>1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0</v>
      </c>
      <c r="AH2879">
        <v>0</v>
      </c>
      <c r="AI2879">
        <v>100</v>
      </c>
      <c r="AJ2879">
        <v>1</v>
      </c>
      <c r="AK2879">
        <v>0</v>
      </c>
      <c r="AL2879">
        <v>0</v>
      </c>
      <c r="AM2879">
        <v>100</v>
      </c>
      <c r="AN2879">
        <v>0</v>
      </c>
      <c r="AO2879">
        <v>0</v>
      </c>
      <c r="AP2879">
        <v>0</v>
      </c>
      <c r="AQ2879">
        <v>0</v>
      </c>
      <c r="AS2879">
        <v>0</v>
      </c>
      <c r="AT2879">
        <v>0</v>
      </c>
      <c r="AV2879">
        <v>0</v>
      </c>
      <c r="AW2879">
        <v>0</v>
      </c>
      <c r="AY2879">
        <v>0</v>
      </c>
      <c r="AZ2879">
        <v>0</v>
      </c>
      <c r="BA2879">
        <v>70</v>
      </c>
      <c r="BC2879" t="str">
        <f>T("0000000000000")</f>
        <v>0000000000000</v>
      </c>
      <c r="BE2879" t="str">
        <f>T("9791162589724")</f>
        <v>9791162589724</v>
      </c>
      <c r="BF2879" t="str">
        <f>T("N099605")</f>
        <v>N099605</v>
      </c>
      <c r="BG2879" t="str">
        <f>T("판타지 웹소설 &gt; 퓨전 판타지")</f>
        <v>판타지 웹소설 &gt; 퓨전 판타지</v>
      </c>
    </row>
    <row r="2880" spans="1:59">
      <c r="A2880" t="s">
        <v>60</v>
      </c>
      <c r="B2880" s="1">
        <v>46130</v>
      </c>
      <c r="C2880">
        <v>2378009513</v>
      </c>
      <c r="D2880">
        <v>2378034840</v>
      </c>
      <c r="E2880" t="str">
        <f>T("문과라도 안 죄송한 이세계로 감 464화")</f>
        <v>문과라도 안 죄송한 이세계로 감 464화</v>
      </c>
      <c r="F2880">
        <v>464</v>
      </c>
      <c r="G2880" t="str">
        <f>T("정수읠")</f>
        <v>정수읠</v>
      </c>
      <c r="J2880" t="str">
        <f>T("매드햇")</f>
        <v>매드햇</v>
      </c>
      <c r="K2880" t="str">
        <f>T("문과라도 안 죄송한 이세계로 감")</f>
        <v>문과라도 안 죄송한 이세계로 감</v>
      </c>
      <c r="L2880">
        <v>100</v>
      </c>
      <c r="M2880">
        <v>100</v>
      </c>
      <c r="N2880">
        <v>1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0</v>
      </c>
      <c r="AH2880">
        <v>0</v>
      </c>
      <c r="AI2880">
        <v>100</v>
      </c>
      <c r="AJ2880">
        <v>1</v>
      </c>
      <c r="AK2880">
        <v>0</v>
      </c>
      <c r="AL2880">
        <v>0</v>
      </c>
      <c r="AM2880">
        <v>100</v>
      </c>
      <c r="AN2880">
        <v>0</v>
      </c>
      <c r="AO2880">
        <v>0</v>
      </c>
      <c r="AP2880">
        <v>0</v>
      </c>
      <c r="AQ2880">
        <v>0</v>
      </c>
      <c r="AS2880">
        <v>0</v>
      </c>
      <c r="AT2880">
        <v>0</v>
      </c>
      <c r="AV2880">
        <v>0</v>
      </c>
      <c r="AW2880">
        <v>0</v>
      </c>
      <c r="AY2880">
        <v>0</v>
      </c>
      <c r="AZ2880">
        <v>0</v>
      </c>
      <c r="BA2880">
        <v>70</v>
      </c>
      <c r="BC2880" t="str">
        <f>T("0000000000000")</f>
        <v>0000000000000</v>
      </c>
      <c r="BE2880" t="str">
        <f>T("9791162589724")</f>
        <v>9791162589724</v>
      </c>
      <c r="BF2880" t="str">
        <f>T("N100520")</f>
        <v>N100520</v>
      </c>
      <c r="BG2880" t="str">
        <f>T("판타지 웹소설 &gt; 퓨전 판타지")</f>
        <v>판타지 웹소설 &gt; 퓨전 판타지</v>
      </c>
    </row>
    <row r="2881" spans="1:59">
      <c r="A2881" t="s">
        <v>60</v>
      </c>
      <c r="B2881" s="1">
        <v>46130</v>
      </c>
      <c r="C2881">
        <v>2378009513</v>
      </c>
      <c r="D2881">
        <v>2378035042</v>
      </c>
      <c r="E2881" t="str">
        <f>T("문과라도 안 죄송한 이세계로 감 465화")</f>
        <v>문과라도 안 죄송한 이세계로 감 465화</v>
      </c>
      <c r="F2881">
        <v>465</v>
      </c>
      <c r="G2881" t="str">
        <f>T("정수읠")</f>
        <v>정수읠</v>
      </c>
      <c r="J2881" t="str">
        <f>T("매드햇")</f>
        <v>매드햇</v>
      </c>
      <c r="K2881" t="str">
        <f>T("문과라도 안 죄송한 이세계로 감")</f>
        <v>문과라도 안 죄송한 이세계로 감</v>
      </c>
      <c r="L2881">
        <v>100</v>
      </c>
      <c r="M2881">
        <v>100</v>
      </c>
      <c r="N2881">
        <v>1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0</v>
      </c>
      <c r="AH2881">
        <v>0</v>
      </c>
      <c r="AI2881">
        <v>100</v>
      </c>
      <c r="AJ2881">
        <v>1</v>
      </c>
      <c r="AK2881">
        <v>0</v>
      </c>
      <c r="AL2881">
        <v>0</v>
      </c>
      <c r="AM2881">
        <v>100</v>
      </c>
      <c r="AN2881">
        <v>0</v>
      </c>
      <c r="AO2881">
        <v>0</v>
      </c>
      <c r="AP2881">
        <v>0</v>
      </c>
      <c r="AQ2881">
        <v>0</v>
      </c>
      <c r="AS2881">
        <v>0</v>
      </c>
      <c r="AT2881">
        <v>0</v>
      </c>
      <c r="AV2881">
        <v>0</v>
      </c>
      <c r="AW2881">
        <v>0</v>
      </c>
      <c r="AY2881">
        <v>0</v>
      </c>
      <c r="AZ2881">
        <v>0</v>
      </c>
      <c r="BA2881">
        <v>70</v>
      </c>
      <c r="BC2881" t="str">
        <f>T("0000000000000")</f>
        <v>0000000000000</v>
      </c>
      <c r="BE2881" t="str">
        <f>T("9791162589724")</f>
        <v>9791162589724</v>
      </c>
      <c r="BF2881" t="str">
        <f>T("N100698")</f>
        <v>N100698</v>
      </c>
      <c r="BG2881" t="str">
        <f>T("판타지 웹소설 &gt; 퓨전 판타지")</f>
        <v>판타지 웹소설 &gt; 퓨전 판타지</v>
      </c>
    </row>
    <row r="2882" spans="1:59">
      <c r="A2882" t="s">
        <v>60</v>
      </c>
      <c r="B2882" s="1">
        <v>46130</v>
      </c>
      <c r="C2882">
        <v>2378009513</v>
      </c>
      <c r="D2882">
        <v>2378035044</v>
      </c>
      <c r="E2882" t="str">
        <f>T("문과라도 안 죄송한 이세계로 감 466화")</f>
        <v>문과라도 안 죄송한 이세계로 감 466화</v>
      </c>
      <c r="F2882">
        <v>466</v>
      </c>
      <c r="G2882" t="str">
        <f>T("정수읠")</f>
        <v>정수읠</v>
      </c>
      <c r="J2882" t="str">
        <f>T("매드햇")</f>
        <v>매드햇</v>
      </c>
      <c r="K2882" t="str">
        <f>T("문과라도 안 죄송한 이세계로 감")</f>
        <v>문과라도 안 죄송한 이세계로 감</v>
      </c>
      <c r="L2882">
        <v>100</v>
      </c>
      <c r="M2882">
        <v>100</v>
      </c>
      <c r="N2882">
        <v>1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0</v>
      </c>
      <c r="AH2882">
        <v>0</v>
      </c>
      <c r="AI2882">
        <v>100</v>
      </c>
      <c r="AJ2882">
        <v>1</v>
      </c>
      <c r="AK2882">
        <v>0</v>
      </c>
      <c r="AL2882">
        <v>0</v>
      </c>
      <c r="AM2882">
        <v>100</v>
      </c>
      <c r="AN2882">
        <v>0</v>
      </c>
      <c r="AO2882">
        <v>0</v>
      </c>
      <c r="AP2882">
        <v>0</v>
      </c>
      <c r="AQ2882">
        <v>0</v>
      </c>
      <c r="AS2882">
        <v>0</v>
      </c>
      <c r="AT2882">
        <v>0</v>
      </c>
      <c r="AV2882">
        <v>0</v>
      </c>
      <c r="AW2882">
        <v>0</v>
      </c>
      <c r="AY2882">
        <v>0</v>
      </c>
      <c r="AZ2882">
        <v>0</v>
      </c>
      <c r="BA2882">
        <v>70</v>
      </c>
      <c r="BC2882" t="str">
        <f>T("0000000000000")</f>
        <v>0000000000000</v>
      </c>
      <c r="BE2882" t="str">
        <f>T("9791162589724")</f>
        <v>9791162589724</v>
      </c>
      <c r="BF2882" t="str">
        <f>T("N101306")</f>
        <v>N101306</v>
      </c>
      <c r="BG2882" t="str">
        <f>T("판타지 웹소설 &gt; 퓨전 판타지")</f>
        <v>판타지 웹소설 &gt; 퓨전 판타지</v>
      </c>
    </row>
    <row r="2883" spans="1:59">
      <c r="A2883" t="s">
        <v>60</v>
      </c>
      <c r="B2883" s="1">
        <v>46130</v>
      </c>
      <c r="C2883">
        <v>2378009513</v>
      </c>
      <c r="D2883">
        <v>2378035060</v>
      </c>
      <c r="E2883" t="str">
        <f>T("문과라도 안 죄송한 이세계로 감 467화")</f>
        <v>문과라도 안 죄송한 이세계로 감 467화</v>
      </c>
      <c r="F2883">
        <v>467</v>
      </c>
      <c r="G2883" t="str">
        <f>T("정수읠")</f>
        <v>정수읠</v>
      </c>
      <c r="J2883" t="str">
        <f>T("매드햇")</f>
        <v>매드햇</v>
      </c>
      <c r="K2883" t="str">
        <f>T("문과라도 안 죄송한 이세계로 감")</f>
        <v>문과라도 안 죄송한 이세계로 감</v>
      </c>
      <c r="L2883">
        <v>100</v>
      </c>
      <c r="M2883">
        <v>100</v>
      </c>
      <c r="N2883">
        <v>1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0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0</v>
      </c>
      <c r="AH2883">
        <v>0</v>
      </c>
      <c r="AI2883">
        <v>100</v>
      </c>
      <c r="AJ2883">
        <v>1</v>
      </c>
      <c r="AK2883">
        <v>0</v>
      </c>
      <c r="AL2883">
        <v>0</v>
      </c>
      <c r="AM2883">
        <v>100</v>
      </c>
      <c r="AN2883">
        <v>0</v>
      </c>
      <c r="AO2883">
        <v>0</v>
      </c>
      <c r="AP2883">
        <v>0</v>
      </c>
      <c r="AQ2883">
        <v>0</v>
      </c>
      <c r="AS2883">
        <v>0</v>
      </c>
      <c r="AT2883">
        <v>0</v>
      </c>
      <c r="AV2883">
        <v>0</v>
      </c>
      <c r="AW2883">
        <v>0</v>
      </c>
      <c r="AY2883">
        <v>0</v>
      </c>
      <c r="AZ2883">
        <v>0</v>
      </c>
      <c r="BA2883">
        <v>70</v>
      </c>
      <c r="BC2883" t="str">
        <f>T("0000000000000")</f>
        <v>0000000000000</v>
      </c>
      <c r="BE2883" t="str">
        <f>T("9791162589724")</f>
        <v>9791162589724</v>
      </c>
      <c r="BF2883" t="str">
        <f>T("N105260")</f>
        <v>N105260</v>
      </c>
      <c r="BG2883" t="str">
        <f>T("판타지 웹소설 &gt; 퓨전 판타지")</f>
        <v>판타지 웹소설 &gt; 퓨전 판타지</v>
      </c>
    </row>
    <row r="2884" spans="1:59">
      <c r="A2884" t="s">
        <v>60</v>
      </c>
      <c r="B2884" s="1">
        <v>46130</v>
      </c>
      <c r="C2884">
        <v>2378009513</v>
      </c>
      <c r="D2884">
        <v>2378035079</v>
      </c>
      <c r="E2884" t="str">
        <f>T("문과라도 안 죄송한 이세계로 감 468화")</f>
        <v>문과라도 안 죄송한 이세계로 감 468화</v>
      </c>
      <c r="F2884">
        <v>468</v>
      </c>
      <c r="G2884" t="str">
        <f>T("정수읠")</f>
        <v>정수읠</v>
      </c>
      <c r="J2884" t="str">
        <f>T("매드햇")</f>
        <v>매드햇</v>
      </c>
      <c r="K2884" t="str">
        <f>T("문과라도 안 죄송한 이세계로 감")</f>
        <v>문과라도 안 죄송한 이세계로 감</v>
      </c>
      <c r="L2884">
        <v>100</v>
      </c>
      <c r="M2884">
        <v>100</v>
      </c>
      <c r="N2884">
        <v>1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0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0</v>
      </c>
      <c r="AH2884">
        <v>0</v>
      </c>
      <c r="AI2884">
        <v>100</v>
      </c>
      <c r="AJ2884">
        <v>1</v>
      </c>
      <c r="AK2884">
        <v>0</v>
      </c>
      <c r="AL2884">
        <v>0</v>
      </c>
      <c r="AM2884">
        <v>100</v>
      </c>
      <c r="AN2884">
        <v>0</v>
      </c>
      <c r="AO2884">
        <v>0</v>
      </c>
      <c r="AP2884">
        <v>0</v>
      </c>
      <c r="AQ2884">
        <v>0</v>
      </c>
      <c r="AS2884">
        <v>0</v>
      </c>
      <c r="AT2884">
        <v>0</v>
      </c>
      <c r="AV2884">
        <v>0</v>
      </c>
      <c r="AW2884">
        <v>0</v>
      </c>
      <c r="AY2884">
        <v>0</v>
      </c>
      <c r="AZ2884">
        <v>0</v>
      </c>
      <c r="BA2884">
        <v>70</v>
      </c>
      <c r="BC2884" t="str">
        <f>T("0000000000000")</f>
        <v>0000000000000</v>
      </c>
      <c r="BE2884" t="str">
        <f>T("9791162589724")</f>
        <v>9791162589724</v>
      </c>
      <c r="BF2884" t="str">
        <f>T("N105331")</f>
        <v>N105331</v>
      </c>
      <c r="BG2884" t="str">
        <f>T("판타지 웹소설 &gt; 퓨전 판타지")</f>
        <v>판타지 웹소설 &gt; 퓨전 판타지</v>
      </c>
    </row>
    <row r="2885" spans="1:59">
      <c r="A2885" t="s">
        <v>60</v>
      </c>
      <c r="B2885" s="1">
        <v>46130</v>
      </c>
      <c r="C2885">
        <v>2378009513</v>
      </c>
      <c r="D2885">
        <v>2378035086</v>
      </c>
      <c r="E2885" t="str">
        <f>T("문과라도 안 죄송한 이세계로 감 469화")</f>
        <v>문과라도 안 죄송한 이세계로 감 469화</v>
      </c>
      <c r="F2885">
        <v>469</v>
      </c>
      <c r="G2885" t="str">
        <f>T("정수읠")</f>
        <v>정수읠</v>
      </c>
      <c r="J2885" t="str">
        <f>T("매드햇")</f>
        <v>매드햇</v>
      </c>
      <c r="K2885" t="str">
        <f>T("문과라도 안 죄송한 이세계로 감")</f>
        <v>문과라도 안 죄송한 이세계로 감</v>
      </c>
      <c r="L2885">
        <v>100</v>
      </c>
      <c r="M2885">
        <v>100</v>
      </c>
      <c r="N2885">
        <v>1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0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0</v>
      </c>
      <c r="AH2885">
        <v>0</v>
      </c>
      <c r="AI2885">
        <v>100</v>
      </c>
      <c r="AJ2885">
        <v>1</v>
      </c>
      <c r="AK2885">
        <v>0</v>
      </c>
      <c r="AL2885">
        <v>0</v>
      </c>
      <c r="AM2885">
        <v>100</v>
      </c>
      <c r="AN2885">
        <v>0</v>
      </c>
      <c r="AO2885">
        <v>0</v>
      </c>
      <c r="AP2885">
        <v>0</v>
      </c>
      <c r="AQ2885">
        <v>0</v>
      </c>
      <c r="AS2885">
        <v>0</v>
      </c>
      <c r="AT2885">
        <v>0</v>
      </c>
      <c r="AV2885">
        <v>0</v>
      </c>
      <c r="AW2885">
        <v>0</v>
      </c>
      <c r="AY2885">
        <v>0</v>
      </c>
      <c r="AZ2885">
        <v>0</v>
      </c>
      <c r="BA2885">
        <v>70</v>
      </c>
      <c r="BC2885" t="str">
        <f>T("0000000000000")</f>
        <v>0000000000000</v>
      </c>
      <c r="BE2885" t="str">
        <f>T("9791162589724")</f>
        <v>9791162589724</v>
      </c>
      <c r="BF2885" t="str">
        <f>T("N105424")</f>
        <v>N105424</v>
      </c>
      <c r="BG2885" t="str">
        <f>T("판타지 웹소설 &gt; 퓨전 판타지")</f>
        <v>판타지 웹소설 &gt; 퓨전 판타지</v>
      </c>
    </row>
    <row r="2886" spans="1:59">
      <c r="A2886" t="s">
        <v>60</v>
      </c>
      <c r="B2886" s="1">
        <v>46130</v>
      </c>
      <c r="C2886">
        <v>2378009513</v>
      </c>
      <c r="D2886">
        <v>2378035433</v>
      </c>
      <c r="E2886" t="str">
        <f>T("문과라도 안 죄송한 이세계로 감 470화")</f>
        <v>문과라도 안 죄송한 이세계로 감 470화</v>
      </c>
      <c r="F2886">
        <v>470</v>
      </c>
      <c r="G2886" t="str">
        <f>T("정수읠")</f>
        <v>정수읠</v>
      </c>
      <c r="J2886" t="str">
        <f>T("매드햇")</f>
        <v>매드햇</v>
      </c>
      <c r="K2886" t="str">
        <f>T("문과라도 안 죄송한 이세계로 감")</f>
        <v>문과라도 안 죄송한 이세계로 감</v>
      </c>
      <c r="L2886">
        <v>100</v>
      </c>
      <c r="M2886">
        <v>100</v>
      </c>
      <c r="N2886">
        <v>1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  <c r="AA2886">
        <v>0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0</v>
      </c>
      <c r="AH2886">
        <v>0</v>
      </c>
      <c r="AI2886">
        <v>100</v>
      </c>
      <c r="AJ2886">
        <v>1</v>
      </c>
      <c r="AK2886">
        <v>0</v>
      </c>
      <c r="AL2886">
        <v>0</v>
      </c>
      <c r="AM2886">
        <v>100</v>
      </c>
      <c r="AN2886">
        <v>0</v>
      </c>
      <c r="AO2886">
        <v>0</v>
      </c>
      <c r="AP2886">
        <v>0</v>
      </c>
      <c r="AQ2886">
        <v>0</v>
      </c>
      <c r="AS2886">
        <v>0</v>
      </c>
      <c r="AT2886">
        <v>0</v>
      </c>
      <c r="AV2886">
        <v>0</v>
      </c>
      <c r="AW2886">
        <v>0</v>
      </c>
      <c r="AY2886">
        <v>0</v>
      </c>
      <c r="AZ2886">
        <v>0</v>
      </c>
      <c r="BA2886">
        <v>70</v>
      </c>
      <c r="BC2886" t="str">
        <f>T("0000000000000")</f>
        <v>0000000000000</v>
      </c>
      <c r="BE2886" t="str">
        <f>T("9791162589724")</f>
        <v>9791162589724</v>
      </c>
      <c r="BF2886" t="str">
        <f>T("N108188")</f>
        <v>N108188</v>
      </c>
      <c r="BG2886" t="str">
        <f>T("판타지 웹소설 &gt; 퓨전 판타지")</f>
        <v>판타지 웹소설 &gt; 퓨전 판타지</v>
      </c>
    </row>
    <row r="2887" spans="1:59">
      <c r="A2887" t="s">
        <v>60</v>
      </c>
      <c r="B2887" s="1">
        <v>46130</v>
      </c>
      <c r="C2887">
        <v>2378009513</v>
      </c>
      <c r="D2887">
        <v>2378036366</v>
      </c>
      <c r="E2887" t="str">
        <f>T("문과라도 안 죄송한 이세계로 감 471화")</f>
        <v>문과라도 안 죄송한 이세계로 감 471화</v>
      </c>
      <c r="F2887">
        <v>471</v>
      </c>
      <c r="G2887" t="str">
        <f>T("정수읠")</f>
        <v>정수읠</v>
      </c>
      <c r="J2887" t="str">
        <f>T("매드햇")</f>
        <v>매드햇</v>
      </c>
      <c r="K2887" t="str">
        <f>T("문과라도 안 죄송한 이세계로 감")</f>
        <v>문과라도 안 죄송한 이세계로 감</v>
      </c>
      <c r="L2887">
        <v>100</v>
      </c>
      <c r="M2887">
        <v>100</v>
      </c>
      <c r="N2887">
        <v>1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  <c r="AA2887">
        <v>0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0</v>
      </c>
      <c r="AH2887">
        <v>0</v>
      </c>
      <c r="AI2887">
        <v>100</v>
      </c>
      <c r="AJ2887">
        <v>1</v>
      </c>
      <c r="AK2887">
        <v>0</v>
      </c>
      <c r="AL2887">
        <v>0</v>
      </c>
      <c r="AM2887">
        <v>100</v>
      </c>
      <c r="AN2887">
        <v>0</v>
      </c>
      <c r="AO2887">
        <v>0</v>
      </c>
      <c r="AP2887">
        <v>0</v>
      </c>
      <c r="AQ2887">
        <v>0</v>
      </c>
      <c r="AS2887">
        <v>0</v>
      </c>
      <c r="AT2887">
        <v>0</v>
      </c>
      <c r="AV2887">
        <v>0</v>
      </c>
      <c r="AW2887">
        <v>0</v>
      </c>
      <c r="AY2887">
        <v>0</v>
      </c>
      <c r="AZ2887">
        <v>0</v>
      </c>
      <c r="BA2887">
        <v>70</v>
      </c>
      <c r="BC2887" t="str">
        <f>T("0000000000000")</f>
        <v>0000000000000</v>
      </c>
      <c r="BE2887" t="str">
        <f>T("9791162589724")</f>
        <v>9791162589724</v>
      </c>
      <c r="BF2887" t="str">
        <f>T("N111152")</f>
        <v>N111152</v>
      </c>
      <c r="BG2887" t="str">
        <f>T("판타지 웹소설 &gt; 퓨전 판타지")</f>
        <v>판타지 웹소설 &gt; 퓨전 판타지</v>
      </c>
    </row>
    <row r="2888" spans="1:59">
      <c r="A2888" t="s">
        <v>60</v>
      </c>
      <c r="B2888" s="1">
        <v>46130</v>
      </c>
      <c r="C2888">
        <v>2378009513</v>
      </c>
      <c r="D2888">
        <v>2378036374</v>
      </c>
      <c r="E2888" t="str">
        <f>T("문과라도 안 죄송한 이세계로 감 472화")</f>
        <v>문과라도 안 죄송한 이세계로 감 472화</v>
      </c>
      <c r="F2888">
        <v>472</v>
      </c>
      <c r="G2888" t="str">
        <f>T("정수읠")</f>
        <v>정수읠</v>
      </c>
      <c r="J2888" t="str">
        <f>T("매드햇")</f>
        <v>매드햇</v>
      </c>
      <c r="K2888" t="str">
        <f>T("문과라도 안 죄송한 이세계로 감")</f>
        <v>문과라도 안 죄송한 이세계로 감</v>
      </c>
      <c r="L2888">
        <v>100</v>
      </c>
      <c r="M2888">
        <v>100</v>
      </c>
      <c r="N2888">
        <v>1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0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0</v>
      </c>
      <c r="AH2888">
        <v>0</v>
      </c>
      <c r="AI2888">
        <v>100</v>
      </c>
      <c r="AJ2888">
        <v>1</v>
      </c>
      <c r="AK2888">
        <v>0</v>
      </c>
      <c r="AL2888">
        <v>0</v>
      </c>
      <c r="AM2888">
        <v>100</v>
      </c>
      <c r="AN2888">
        <v>0</v>
      </c>
      <c r="AO2888">
        <v>0</v>
      </c>
      <c r="AP2888">
        <v>0</v>
      </c>
      <c r="AQ2888">
        <v>0</v>
      </c>
      <c r="AS2888">
        <v>0</v>
      </c>
      <c r="AT2888">
        <v>0</v>
      </c>
      <c r="AV2888">
        <v>0</v>
      </c>
      <c r="AW2888">
        <v>0</v>
      </c>
      <c r="AY2888">
        <v>0</v>
      </c>
      <c r="AZ2888">
        <v>0</v>
      </c>
      <c r="BA2888">
        <v>70</v>
      </c>
      <c r="BC2888" t="str">
        <f>T("0000000000000")</f>
        <v>0000000000000</v>
      </c>
      <c r="BE2888" t="str">
        <f>T("9791162589724")</f>
        <v>9791162589724</v>
      </c>
      <c r="BF2888" t="str">
        <f>T("N111328")</f>
        <v>N111328</v>
      </c>
      <c r="BG2888" t="str">
        <f>T("판타지 웹소설 &gt; 퓨전 판타지")</f>
        <v>판타지 웹소설 &gt; 퓨전 판타지</v>
      </c>
    </row>
    <row r="2889" spans="1:59">
      <c r="A2889" t="s">
        <v>60</v>
      </c>
      <c r="B2889" s="1">
        <v>46130</v>
      </c>
      <c r="C2889">
        <v>2378009513</v>
      </c>
      <c r="D2889">
        <v>2378036406</v>
      </c>
      <c r="E2889" t="str">
        <f>T("문과라도 안 죄송한 이세계로 감 473화")</f>
        <v>문과라도 안 죄송한 이세계로 감 473화</v>
      </c>
      <c r="F2889">
        <v>473</v>
      </c>
      <c r="G2889" t="str">
        <f>T("정수읠")</f>
        <v>정수읠</v>
      </c>
      <c r="J2889" t="str">
        <f>T("매드햇")</f>
        <v>매드햇</v>
      </c>
      <c r="K2889" t="str">
        <f>T("문과라도 안 죄송한 이세계로 감")</f>
        <v>문과라도 안 죄송한 이세계로 감</v>
      </c>
      <c r="L2889">
        <v>100</v>
      </c>
      <c r="M2889">
        <v>100</v>
      </c>
      <c r="N2889">
        <v>1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0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0</v>
      </c>
      <c r="AH2889">
        <v>0</v>
      </c>
      <c r="AI2889">
        <v>100</v>
      </c>
      <c r="AJ2889">
        <v>1</v>
      </c>
      <c r="AK2889">
        <v>0</v>
      </c>
      <c r="AL2889">
        <v>0</v>
      </c>
      <c r="AM2889">
        <v>100</v>
      </c>
      <c r="AN2889">
        <v>0</v>
      </c>
      <c r="AO2889">
        <v>0</v>
      </c>
      <c r="AP2889">
        <v>0</v>
      </c>
      <c r="AQ2889">
        <v>0</v>
      </c>
      <c r="AS2889">
        <v>0</v>
      </c>
      <c r="AT2889">
        <v>0</v>
      </c>
      <c r="AV2889">
        <v>0</v>
      </c>
      <c r="AW2889">
        <v>0</v>
      </c>
      <c r="AY2889">
        <v>0</v>
      </c>
      <c r="AZ2889">
        <v>0</v>
      </c>
      <c r="BA2889">
        <v>70</v>
      </c>
      <c r="BC2889" t="str">
        <f>T("0000000000000")</f>
        <v>0000000000000</v>
      </c>
      <c r="BE2889" t="str">
        <f>T("9791162589724")</f>
        <v>9791162589724</v>
      </c>
      <c r="BF2889" t="str">
        <f>T("N111654")</f>
        <v>N111654</v>
      </c>
      <c r="BG2889" t="str">
        <f>T("판타지 웹소설 &gt; 퓨전 판타지")</f>
        <v>판타지 웹소설 &gt; 퓨전 판타지</v>
      </c>
    </row>
    <row r="2890" spans="1:59">
      <c r="A2890" t="s">
        <v>60</v>
      </c>
      <c r="B2890" s="1">
        <v>46130</v>
      </c>
      <c r="C2890">
        <v>2378009513</v>
      </c>
      <c r="D2890">
        <v>2378036423</v>
      </c>
      <c r="E2890" t="str">
        <f>T("문과라도 안 죄송한 이세계로 감 474화")</f>
        <v>문과라도 안 죄송한 이세계로 감 474화</v>
      </c>
      <c r="F2890">
        <v>474</v>
      </c>
      <c r="G2890" t="str">
        <f>T("정수읠")</f>
        <v>정수읠</v>
      </c>
      <c r="J2890" t="str">
        <f>T("매드햇")</f>
        <v>매드햇</v>
      </c>
      <c r="K2890" t="str">
        <f>T("문과라도 안 죄송한 이세계로 감")</f>
        <v>문과라도 안 죄송한 이세계로 감</v>
      </c>
      <c r="L2890">
        <v>100</v>
      </c>
      <c r="M2890">
        <v>100</v>
      </c>
      <c r="N2890">
        <v>1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  <c r="AA2890">
        <v>0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0</v>
      </c>
      <c r="AH2890">
        <v>0</v>
      </c>
      <c r="AI2890">
        <v>100</v>
      </c>
      <c r="AJ2890">
        <v>1</v>
      </c>
      <c r="AK2890">
        <v>0</v>
      </c>
      <c r="AL2890">
        <v>0</v>
      </c>
      <c r="AM2890">
        <v>100</v>
      </c>
      <c r="AN2890">
        <v>0</v>
      </c>
      <c r="AO2890">
        <v>0</v>
      </c>
      <c r="AP2890">
        <v>0</v>
      </c>
      <c r="AQ2890">
        <v>0</v>
      </c>
      <c r="AS2890">
        <v>0</v>
      </c>
      <c r="AT2890">
        <v>0</v>
      </c>
      <c r="AV2890">
        <v>0</v>
      </c>
      <c r="AW2890">
        <v>0</v>
      </c>
      <c r="AY2890">
        <v>0</v>
      </c>
      <c r="AZ2890">
        <v>0</v>
      </c>
      <c r="BA2890">
        <v>70</v>
      </c>
      <c r="BC2890" t="str">
        <f>T("0000000000000")</f>
        <v>0000000000000</v>
      </c>
      <c r="BE2890" t="str">
        <f>T("9791162589724")</f>
        <v>9791162589724</v>
      </c>
      <c r="BF2890" t="str">
        <f>T("N114000")</f>
        <v>N114000</v>
      </c>
      <c r="BG2890" t="str">
        <f>T("판타지 웹소설 &gt; 퓨전 판타지")</f>
        <v>판타지 웹소설 &gt; 퓨전 판타지</v>
      </c>
    </row>
    <row r="2891" spans="1:59">
      <c r="A2891" t="s">
        <v>60</v>
      </c>
      <c r="B2891" s="1">
        <v>46130</v>
      </c>
      <c r="C2891">
        <v>2378009513</v>
      </c>
      <c r="D2891">
        <v>2378036651</v>
      </c>
      <c r="E2891" t="str">
        <f>T("문과라도 안 죄송한 이세계로 감 475화")</f>
        <v>문과라도 안 죄송한 이세계로 감 475화</v>
      </c>
      <c r="F2891">
        <v>475</v>
      </c>
      <c r="G2891" t="str">
        <f>T("정수읠")</f>
        <v>정수읠</v>
      </c>
      <c r="J2891" t="str">
        <f>T("매드햇")</f>
        <v>매드햇</v>
      </c>
      <c r="K2891" t="str">
        <f>T("문과라도 안 죄송한 이세계로 감")</f>
        <v>문과라도 안 죄송한 이세계로 감</v>
      </c>
      <c r="L2891">
        <v>100</v>
      </c>
      <c r="M2891">
        <v>100</v>
      </c>
      <c r="N2891">
        <v>1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  <c r="AA2891">
        <v>0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0</v>
      </c>
      <c r="AH2891">
        <v>0</v>
      </c>
      <c r="AI2891">
        <v>100</v>
      </c>
      <c r="AJ2891">
        <v>1</v>
      </c>
      <c r="AK2891">
        <v>0</v>
      </c>
      <c r="AL2891">
        <v>0</v>
      </c>
      <c r="AM2891">
        <v>100</v>
      </c>
      <c r="AN2891">
        <v>0</v>
      </c>
      <c r="AO2891">
        <v>0</v>
      </c>
      <c r="AP2891">
        <v>0</v>
      </c>
      <c r="AQ2891">
        <v>0</v>
      </c>
      <c r="AS2891">
        <v>0</v>
      </c>
      <c r="AT2891">
        <v>0</v>
      </c>
      <c r="AV2891">
        <v>0</v>
      </c>
      <c r="AW2891">
        <v>0</v>
      </c>
      <c r="AY2891">
        <v>0</v>
      </c>
      <c r="AZ2891">
        <v>0</v>
      </c>
      <c r="BA2891">
        <v>70</v>
      </c>
      <c r="BC2891" t="str">
        <f>T("0000000000000")</f>
        <v>0000000000000</v>
      </c>
      <c r="BE2891" t="str">
        <f>T("9791162589724")</f>
        <v>9791162589724</v>
      </c>
      <c r="BF2891" t="str">
        <f>T("N114597")</f>
        <v>N114597</v>
      </c>
      <c r="BG2891" t="str">
        <f>T("판타지 웹소설 &gt; 퓨전 판타지")</f>
        <v>판타지 웹소설 &gt; 퓨전 판타지</v>
      </c>
    </row>
    <row r="2892" spans="1:59">
      <c r="A2892" t="s">
        <v>60</v>
      </c>
      <c r="B2892" s="1">
        <v>46130</v>
      </c>
      <c r="C2892">
        <v>2378009513</v>
      </c>
      <c r="D2892">
        <v>2378036669</v>
      </c>
      <c r="E2892" t="str">
        <f>T("문과라도 안 죄송한 이세계로 감 476화")</f>
        <v>문과라도 안 죄송한 이세계로 감 476화</v>
      </c>
      <c r="F2892">
        <v>476</v>
      </c>
      <c r="G2892" t="str">
        <f>T("정수읠")</f>
        <v>정수읠</v>
      </c>
      <c r="J2892" t="str">
        <f>T("매드햇")</f>
        <v>매드햇</v>
      </c>
      <c r="K2892" t="str">
        <f>T("문과라도 안 죄송한 이세계로 감")</f>
        <v>문과라도 안 죄송한 이세계로 감</v>
      </c>
      <c r="L2892">
        <v>100</v>
      </c>
      <c r="M2892">
        <v>100</v>
      </c>
      <c r="N2892">
        <v>1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  <c r="AA2892">
        <v>0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0</v>
      </c>
      <c r="AH2892">
        <v>0</v>
      </c>
      <c r="AI2892">
        <v>100</v>
      </c>
      <c r="AJ2892">
        <v>1</v>
      </c>
      <c r="AK2892">
        <v>0</v>
      </c>
      <c r="AL2892">
        <v>0</v>
      </c>
      <c r="AM2892">
        <v>100</v>
      </c>
      <c r="AN2892">
        <v>0</v>
      </c>
      <c r="AO2892">
        <v>0</v>
      </c>
      <c r="AP2892">
        <v>0</v>
      </c>
      <c r="AQ2892">
        <v>0</v>
      </c>
      <c r="AS2892">
        <v>0</v>
      </c>
      <c r="AT2892">
        <v>0</v>
      </c>
      <c r="AV2892">
        <v>0</v>
      </c>
      <c r="AW2892">
        <v>0</v>
      </c>
      <c r="AY2892">
        <v>0</v>
      </c>
      <c r="AZ2892">
        <v>0</v>
      </c>
      <c r="BA2892">
        <v>70</v>
      </c>
      <c r="BC2892" t="str">
        <f>T("0000000000000")</f>
        <v>0000000000000</v>
      </c>
      <c r="BE2892" t="str">
        <f>T("9791162589724")</f>
        <v>9791162589724</v>
      </c>
      <c r="BF2892" t="str">
        <f>T("N117337")</f>
        <v>N117337</v>
      </c>
      <c r="BG2892" t="str">
        <f>T("판타지 웹소설 &gt; 퓨전 판타지")</f>
        <v>판타지 웹소설 &gt; 퓨전 판타지</v>
      </c>
    </row>
    <row r="2893" spans="1:59">
      <c r="A2893" t="s">
        <v>60</v>
      </c>
      <c r="B2893" s="1">
        <v>46130</v>
      </c>
      <c r="C2893">
        <v>2378009513</v>
      </c>
      <c r="D2893">
        <v>2378036994</v>
      </c>
      <c r="E2893" t="str">
        <f>T("문과라도 안 죄송한 이세계로 감 477화")</f>
        <v>문과라도 안 죄송한 이세계로 감 477화</v>
      </c>
      <c r="F2893">
        <v>477</v>
      </c>
      <c r="G2893" t="str">
        <f>T("정수읠")</f>
        <v>정수읠</v>
      </c>
      <c r="J2893" t="str">
        <f>T("매드햇")</f>
        <v>매드햇</v>
      </c>
      <c r="K2893" t="str">
        <f>T("문과라도 안 죄송한 이세계로 감")</f>
        <v>문과라도 안 죄송한 이세계로 감</v>
      </c>
      <c r="L2893">
        <v>100</v>
      </c>
      <c r="M2893">
        <v>100</v>
      </c>
      <c r="N2893">
        <v>1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  <c r="AA2893">
        <v>0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0</v>
      </c>
      <c r="AH2893">
        <v>0</v>
      </c>
      <c r="AI2893">
        <v>100</v>
      </c>
      <c r="AJ2893">
        <v>1</v>
      </c>
      <c r="AK2893">
        <v>0</v>
      </c>
      <c r="AL2893">
        <v>0</v>
      </c>
      <c r="AM2893">
        <v>100</v>
      </c>
      <c r="AN2893">
        <v>0</v>
      </c>
      <c r="AO2893">
        <v>0</v>
      </c>
      <c r="AP2893">
        <v>0</v>
      </c>
      <c r="AQ2893">
        <v>0</v>
      </c>
      <c r="AS2893">
        <v>0</v>
      </c>
      <c r="AT2893">
        <v>0</v>
      </c>
      <c r="AV2893">
        <v>0</v>
      </c>
      <c r="AW2893">
        <v>0</v>
      </c>
      <c r="AY2893">
        <v>0</v>
      </c>
      <c r="AZ2893">
        <v>0</v>
      </c>
      <c r="BA2893">
        <v>70</v>
      </c>
      <c r="BC2893" t="str">
        <f>T("0000000000000")</f>
        <v>0000000000000</v>
      </c>
      <c r="BE2893" t="str">
        <f>T("9791162589724")</f>
        <v>9791162589724</v>
      </c>
      <c r="BF2893" t="str">
        <f>T("N117539")</f>
        <v>N117539</v>
      </c>
      <c r="BG2893" t="str">
        <f>T("판타지 웹소설 &gt; 퓨전 판타지")</f>
        <v>판타지 웹소설 &gt; 퓨전 판타지</v>
      </c>
    </row>
    <row r="2894" spans="1:59">
      <c r="A2894" t="s">
        <v>60</v>
      </c>
      <c r="B2894" s="1">
        <v>46130</v>
      </c>
      <c r="C2894">
        <v>2378009513</v>
      </c>
      <c r="D2894">
        <v>2378037024</v>
      </c>
      <c r="E2894" t="str">
        <f>T("문과라도 안 죄송한 이세계로 감 478화")</f>
        <v>문과라도 안 죄송한 이세계로 감 478화</v>
      </c>
      <c r="F2894">
        <v>478</v>
      </c>
      <c r="G2894" t="str">
        <f>T("정수읠")</f>
        <v>정수읠</v>
      </c>
      <c r="J2894" t="str">
        <f>T("매드햇")</f>
        <v>매드햇</v>
      </c>
      <c r="K2894" t="str">
        <f>T("문과라도 안 죄송한 이세계로 감")</f>
        <v>문과라도 안 죄송한 이세계로 감</v>
      </c>
      <c r="L2894">
        <v>100</v>
      </c>
      <c r="M2894">
        <v>100</v>
      </c>
      <c r="N2894">
        <v>1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0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0</v>
      </c>
      <c r="AH2894">
        <v>0</v>
      </c>
      <c r="AI2894">
        <v>100</v>
      </c>
      <c r="AJ2894">
        <v>1</v>
      </c>
      <c r="AK2894">
        <v>0</v>
      </c>
      <c r="AL2894">
        <v>0</v>
      </c>
      <c r="AM2894">
        <v>100</v>
      </c>
      <c r="AN2894">
        <v>0</v>
      </c>
      <c r="AO2894">
        <v>0</v>
      </c>
      <c r="AP2894">
        <v>0</v>
      </c>
      <c r="AQ2894">
        <v>0</v>
      </c>
      <c r="AS2894">
        <v>0</v>
      </c>
      <c r="AT2894">
        <v>0</v>
      </c>
      <c r="AV2894">
        <v>0</v>
      </c>
      <c r="AW2894">
        <v>0</v>
      </c>
      <c r="AY2894">
        <v>0</v>
      </c>
      <c r="AZ2894">
        <v>0</v>
      </c>
      <c r="BA2894">
        <v>70</v>
      </c>
      <c r="BC2894" t="str">
        <f>T("0000000000000")</f>
        <v>0000000000000</v>
      </c>
      <c r="BE2894" t="str">
        <f>T("9791162589724")</f>
        <v>9791162589724</v>
      </c>
      <c r="BF2894" t="str">
        <f>T("N117540")</f>
        <v>N117540</v>
      </c>
      <c r="BG2894" t="str">
        <f>T("판타지 웹소설 &gt; 퓨전 판타지")</f>
        <v>판타지 웹소설 &gt; 퓨전 판타지</v>
      </c>
    </row>
    <row r="2895" spans="1:59">
      <c r="A2895" t="s">
        <v>60</v>
      </c>
      <c r="B2895" s="1">
        <v>46130</v>
      </c>
      <c r="C2895">
        <v>2378009513</v>
      </c>
      <c r="D2895">
        <v>2378037061</v>
      </c>
      <c r="E2895" t="str">
        <f>T("문과라도 안 죄송한 이세계로 감 479화")</f>
        <v>문과라도 안 죄송한 이세계로 감 479화</v>
      </c>
      <c r="F2895">
        <v>479</v>
      </c>
      <c r="G2895" t="str">
        <f>T("정수읠")</f>
        <v>정수읠</v>
      </c>
      <c r="J2895" t="str">
        <f>T("매드햇")</f>
        <v>매드햇</v>
      </c>
      <c r="K2895" t="str">
        <f>T("문과라도 안 죄송한 이세계로 감")</f>
        <v>문과라도 안 죄송한 이세계로 감</v>
      </c>
      <c r="L2895">
        <v>100</v>
      </c>
      <c r="M2895">
        <v>100</v>
      </c>
      <c r="N2895">
        <v>1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0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0</v>
      </c>
      <c r="AH2895">
        <v>0</v>
      </c>
      <c r="AI2895">
        <v>100</v>
      </c>
      <c r="AJ2895">
        <v>1</v>
      </c>
      <c r="AK2895">
        <v>0</v>
      </c>
      <c r="AL2895">
        <v>0</v>
      </c>
      <c r="AM2895">
        <v>100</v>
      </c>
      <c r="AN2895">
        <v>0</v>
      </c>
      <c r="AO2895">
        <v>0</v>
      </c>
      <c r="AP2895">
        <v>0</v>
      </c>
      <c r="AQ2895">
        <v>0</v>
      </c>
      <c r="AS2895">
        <v>0</v>
      </c>
      <c r="AT2895">
        <v>0</v>
      </c>
      <c r="AV2895">
        <v>0</v>
      </c>
      <c r="AW2895">
        <v>0</v>
      </c>
      <c r="AY2895">
        <v>0</v>
      </c>
      <c r="AZ2895">
        <v>0</v>
      </c>
      <c r="BA2895">
        <v>70</v>
      </c>
      <c r="BC2895" t="str">
        <f>T("0000000000000")</f>
        <v>0000000000000</v>
      </c>
      <c r="BE2895" t="str">
        <f>T("9791162589724")</f>
        <v>9791162589724</v>
      </c>
      <c r="BF2895" t="str">
        <f>T("N120441")</f>
        <v>N120441</v>
      </c>
      <c r="BG2895" t="str">
        <f>T("판타지 웹소설 &gt; 퓨전 판타지")</f>
        <v>판타지 웹소설 &gt; 퓨전 판타지</v>
      </c>
    </row>
    <row r="2896" spans="1:59">
      <c r="A2896" t="s">
        <v>60</v>
      </c>
      <c r="B2896" s="1">
        <v>46130</v>
      </c>
      <c r="C2896">
        <v>2378009513</v>
      </c>
      <c r="D2896">
        <v>2378037087</v>
      </c>
      <c r="E2896" t="str">
        <f>T("문과라도 안 죄송한 이세계로 감 480화")</f>
        <v>문과라도 안 죄송한 이세계로 감 480화</v>
      </c>
      <c r="F2896">
        <v>480</v>
      </c>
      <c r="G2896" t="str">
        <f>T("정수읠")</f>
        <v>정수읠</v>
      </c>
      <c r="J2896" t="str">
        <f>T("매드햇")</f>
        <v>매드햇</v>
      </c>
      <c r="K2896" t="str">
        <f>T("문과라도 안 죄송한 이세계로 감")</f>
        <v>문과라도 안 죄송한 이세계로 감</v>
      </c>
      <c r="L2896">
        <v>100</v>
      </c>
      <c r="M2896">
        <v>100</v>
      </c>
      <c r="N2896">
        <v>1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0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0</v>
      </c>
      <c r="AH2896">
        <v>0</v>
      </c>
      <c r="AI2896">
        <v>100</v>
      </c>
      <c r="AJ2896">
        <v>1</v>
      </c>
      <c r="AK2896">
        <v>0</v>
      </c>
      <c r="AL2896">
        <v>0</v>
      </c>
      <c r="AM2896">
        <v>100</v>
      </c>
      <c r="AN2896">
        <v>0</v>
      </c>
      <c r="AO2896">
        <v>0</v>
      </c>
      <c r="AP2896">
        <v>0</v>
      </c>
      <c r="AQ2896">
        <v>0</v>
      </c>
      <c r="AS2896">
        <v>0</v>
      </c>
      <c r="AT2896">
        <v>0</v>
      </c>
      <c r="AV2896">
        <v>0</v>
      </c>
      <c r="AW2896">
        <v>0</v>
      </c>
      <c r="AY2896">
        <v>0</v>
      </c>
      <c r="AZ2896">
        <v>0</v>
      </c>
      <c r="BA2896">
        <v>70</v>
      </c>
      <c r="BC2896" t="str">
        <f>T("0000000000000")</f>
        <v>0000000000000</v>
      </c>
      <c r="BE2896" t="str">
        <f>T("9791162589724")</f>
        <v>9791162589724</v>
      </c>
      <c r="BF2896" t="str">
        <f>T("N121211")</f>
        <v>N121211</v>
      </c>
      <c r="BG2896" t="str">
        <f>T("판타지 웹소설 &gt; 퓨전 판타지")</f>
        <v>판타지 웹소설 &gt; 퓨전 판타지</v>
      </c>
    </row>
    <row r="2897" spans="1:59">
      <c r="A2897" t="s">
        <v>60</v>
      </c>
      <c r="B2897" s="1">
        <v>46130</v>
      </c>
      <c r="C2897">
        <v>2378009513</v>
      </c>
      <c r="D2897">
        <v>2378037126</v>
      </c>
      <c r="E2897" t="str">
        <f>T("문과라도 안 죄송한 이세계로 감 481화")</f>
        <v>문과라도 안 죄송한 이세계로 감 481화</v>
      </c>
      <c r="F2897">
        <v>481</v>
      </c>
      <c r="G2897" t="str">
        <f>T("정수읠")</f>
        <v>정수읠</v>
      </c>
      <c r="J2897" t="str">
        <f>T("매드햇")</f>
        <v>매드햇</v>
      </c>
      <c r="K2897" t="str">
        <f>T("문과라도 안 죄송한 이세계로 감")</f>
        <v>문과라도 안 죄송한 이세계로 감</v>
      </c>
      <c r="L2897">
        <v>100</v>
      </c>
      <c r="M2897">
        <v>100</v>
      </c>
      <c r="N2897">
        <v>1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  <c r="AA2897">
        <v>0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0</v>
      </c>
      <c r="AH2897">
        <v>0</v>
      </c>
      <c r="AI2897">
        <v>100</v>
      </c>
      <c r="AJ2897">
        <v>1</v>
      </c>
      <c r="AK2897">
        <v>0</v>
      </c>
      <c r="AL2897">
        <v>0</v>
      </c>
      <c r="AM2897">
        <v>100</v>
      </c>
      <c r="AN2897">
        <v>0</v>
      </c>
      <c r="AO2897">
        <v>0</v>
      </c>
      <c r="AP2897">
        <v>0</v>
      </c>
      <c r="AQ2897">
        <v>0</v>
      </c>
      <c r="AS2897">
        <v>0</v>
      </c>
      <c r="AT2897">
        <v>0</v>
      </c>
      <c r="AV2897">
        <v>0</v>
      </c>
      <c r="AW2897">
        <v>0</v>
      </c>
      <c r="AY2897">
        <v>0</v>
      </c>
      <c r="AZ2897">
        <v>0</v>
      </c>
      <c r="BA2897">
        <v>70</v>
      </c>
      <c r="BC2897" t="str">
        <f>T("0000000000000")</f>
        <v>0000000000000</v>
      </c>
      <c r="BE2897" t="str">
        <f>T("9791162589724")</f>
        <v>9791162589724</v>
      </c>
      <c r="BF2897" t="str">
        <f>T("N124114")</f>
        <v>N124114</v>
      </c>
      <c r="BG2897" t="str">
        <f>T("판타지 웹소설 &gt; 퓨전 판타지")</f>
        <v>판타지 웹소설 &gt; 퓨전 판타지</v>
      </c>
    </row>
    <row r="2898" spans="1:59">
      <c r="A2898" t="s">
        <v>60</v>
      </c>
      <c r="B2898" s="1">
        <v>46130</v>
      </c>
      <c r="C2898">
        <v>2378009513</v>
      </c>
      <c r="D2898">
        <v>2378037145</v>
      </c>
      <c r="E2898" t="str">
        <f>T("문과라도 안 죄송한 이세계로 감 482화")</f>
        <v>문과라도 안 죄송한 이세계로 감 482화</v>
      </c>
      <c r="F2898">
        <v>482</v>
      </c>
      <c r="G2898" t="str">
        <f>T("정수읠")</f>
        <v>정수읠</v>
      </c>
      <c r="J2898" t="str">
        <f>T("매드햇")</f>
        <v>매드햇</v>
      </c>
      <c r="K2898" t="str">
        <f>T("문과라도 안 죄송한 이세계로 감")</f>
        <v>문과라도 안 죄송한 이세계로 감</v>
      </c>
      <c r="L2898">
        <v>100</v>
      </c>
      <c r="M2898">
        <v>100</v>
      </c>
      <c r="N2898">
        <v>1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  <c r="AA2898">
        <v>0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0</v>
      </c>
      <c r="AH2898">
        <v>0</v>
      </c>
      <c r="AI2898">
        <v>100</v>
      </c>
      <c r="AJ2898">
        <v>1</v>
      </c>
      <c r="AK2898">
        <v>0</v>
      </c>
      <c r="AL2898">
        <v>0</v>
      </c>
      <c r="AM2898">
        <v>100</v>
      </c>
      <c r="AN2898">
        <v>0</v>
      </c>
      <c r="AO2898">
        <v>0</v>
      </c>
      <c r="AP2898">
        <v>0</v>
      </c>
      <c r="AQ2898">
        <v>0</v>
      </c>
      <c r="AS2898">
        <v>0</v>
      </c>
      <c r="AT2898">
        <v>0</v>
      </c>
      <c r="AV2898">
        <v>0</v>
      </c>
      <c r="AW2898">
        <v>0</v>
      </c>
      <c r="AY2898">
        <v>0</v>
      </c>
      <c r="AZ2898">
        <v>0</v>
      </c>
      <c r="BA2898">
        <v>70</v>
      </c>
      <c r="BC2898" t="str">
        <f>T("0000000000000")</f>
        <v>0000000000000</v>
      </c>
      <c r="BE2898" t="str">
        <f>T("9791162589724")</f>
        <v>9791162589724</v>
      </c>
      <c r="BG2898" t="str">
        <f>T("판타지 웹소설 &gt; 퓨전 판타지")</f>
        <v>판타지 웹소설 &gt; 퓨전 판타지</v>
      </c>
    </row>
    <row r="2899" spans="1:59">
      <c r="A2899" t="s">
        <v>60</v>
      </c>
      <c r="B2899" s="1">
        <v>46130</v>
      </c>
      <c r="C2899">
        <v>2378009513</v>
      </c>
      <c r="D2899">
        <v>2378037146</v>
      </c>
      <c r="E2899" t="str">
        <f>T("문과라도 안 죄송한 이세계로 감 483화")</f>
        <v>문과라도 안 죄송한 이세계로 감 483화</v>
      </c>
      <c r="F2899">
        <v>483</v>
      </c>
      <c r="G2899" t="str">
        <f>T("정수읠")</f>
        <v>정수읠</v>
      </c>
      <c r="J2899" t="str">
        <f>T("매드햇")</f>
        <v>매드햇</v>
      </c>
      <c r="K2899" t="str">
        <f>T("문과라도 안 죄송한 이세계로 감")</f>
        <v>문과라도 안 죄송한 이세계로 감</v>
      </c>
      <c r="L2899">
        <v>100</v>
      </c>
      <c r="M2899">
        <v>100</v>
      </c>
      <c r="N2899">
        <v>1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  <c r="AA2899">
        <v>0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0</v>
      </c>
      <c r="AH2899">
        <v>0</v>
      </c>
      <c r="AI2899">
        <v>100</v>
      </c>
      <c r="AJ2899">
        <v>1</v>
      </c>
      <c r="AK2899">
        <v>0</v>
      </c>
      <c r="AL2899">
        <v>0</v>
      </c>
      <c r="AM2899">
        <v>100</v>
      </c>
      <c r="AN2899">
        <v>0</v>
      </c>
      <c r="AO2899">
        <v>0</v>
      </c>
      <c r="AP2899">
        <v>0</v>
      </c>
      <c r="AQ2899">
        <v>0</v>
      </c>
      <c r="AS2899">
        <v>0</v>
      </c>
      <c r="AT2899">
        <v>0</v>
      </c>
      <c r="AV2899">
        <v>0</v>
      </c>
      <c r="AW2899">
        <v>0</v>
      </c>
      <c r="AY2899">
        <v>0</v>
      </c>
      <c r="AZ2899">
        <v>0</v>
      </c>
      <c r="BA2899">
        <v>70</v>
      </c>
      <c r="BC2899" t="str">
        <f>T("0000000000000")</f>
        <v>0000000000000</v>
      </c>
      <c r="BE2899" t="str">
        <f>T("9791162589724")</f>
        <v>9791162589724</v>
      </c>
      <c r="BF2899" t="str">
        <f>T("N124116")</f>
        <v>N124116</v>
      </c>
      <c r="BG2899" t="str">
        <f>T("판타지 웹소설 &gt; 퓨전 판타지")</f>
        <v>판타지 웹소설 &gt; 퓨전 판타지</v>
      </c>
    </row>
    <row r="2900" spans="1:59">
      <c r="A2900" t="s">
        <v>60</v>
      </c>
      <c r="B2900" s="1">
        <v>46130</v>
      </c>
      <c r="C2900">
        <v>2378009513</v>
      </c>
      <c r="D2900">
        <v>2378037436</v>
      </c>
      <c r="E2900" t="str">
        <f>T("문과라도 안 죄송한 이세계로 감 484화")</f>
        <v>문과라도 안 죄송한 이세계로 감 484화</v>
      </c>
      <c r="F2900">
        <v>484</v>
      </c>
      <c r="G2900" t="str">
        <f>T("정수읠")</f>
        <v>정수읠</v>
      </c>
      <c r="J2900" t="str">
        <f>T("매드햇")</f>
        <v>매드햇</v>
      </c>
      <c r="K2900" t="str">
        <f>T("문과라도 안 죄송한 이세계로 감")</f>
        <v>문과라도 안 죄송한 이세계로 감</v>
      </c>
      <c r="L2900">
        <v>100</v>
      </c>
      <c r="M2900">
        <v>100</v>
      </c>
      <c r="N2900">
        <v>1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0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0</v>
      </c>
      <c r="AH2900">
        <v>0</v>
      </c>
      <c r="AI2900">
        <v>100</v>
      </c>
      <c r="AJ2900">
        <v>1</v>
      </c>
      <c r="AK2900">
        <v>0</v>
      </c>
      <c r="AL2900">
        <v>0</v>
      </c>
      <c r="AM2900">
        <v>100</v>
      </c>
      <c r="AN2900">
        <v>0</v>
      </c>
      <c r="AO2900">
        <v>0</v>
      </c>
      <c r="AP2900">
        <v>0</v>
      </c>
      <c r="AQ2900">
        <v>0</v>
      </c>
      <c r="AS2900">
        <v>0</v>
      </c>
      <c r="AT2900">
        <v>0</v>
      </c>
      <c r="AV2900">
        <v>0</v>
      </c>
      <c r="AW2900">
        <v>0</v>
      </c>
      <c r="AY2900">
        <v>0</v>
      </c>
      <c r="AZ2900">
        <v>0</v>
      </c>
      <c r="BA2900">
        <v>70</v>
      </c>
      <c r="BC2900" t="str">
        <f>T("0000000000000")</f>
        <v>0000000000000</v>
      </c>
      <c r="BE2900" t="str">
        <f>T("9791162589724")</f>
        <v>9791162589724</v>
      </c>
      <c r="BG2900" t="str">
        <f>T("판타지 웹소설 &gt; 퓨전 판타지")</f>
        <v>판타지 웹소설 &gt; 퓨전 판타지</v>
      </c>
    </row>
    <row r="2901" spans="1:59">
      <c r="A2901" t="s">
        <v>60</v>
      </c>
      <c r="B2901" s="1">
        <v>46130</v>
      </c>
      <c r="C2901">
        <v>2378009513</v>
      </c>
      <c r="D2901">
        <v>2378037469</v>
      </c>
      <c r="E2901" t="str">
        <f>T("문과라도 안 죄송한 이세계로 감 485화")</f>
        <v>문과라도 안 죄송한 이세계로 감 485화</v>
      </c>
      <c r="F2901">
        <v>485</v>
      </c>
      <c r="G2901" t="str">
        <f>T("정수읠")</f>
        <v>정수읠</v>
      </c>
      <c r="J2901" t="str">
        <f>T("매드햇")</f>
        <v>매드햇</v>
      </c>
      <c r="K2901" t="str">
        <f>T("문과라도 안 죄송한 이세계로 감")</f>
        <v>문과라도 안 죄송한 이세계로 감</v>
      </c>
      <c r="L2901">
        <v>100</v>
      </c>
      <c r="M2901">
        <v>100</v>
      </c>
      <c r="N2901">
        <v>1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0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0</v>
      </c>
      <c r="AH2901">
        <v>0</v>
      </c>
      <c r="AI2901">
        <v>100</v>
      </c>
      <c r="AJ2901">
        <v>1</v>
      </c>
      <c r="AK2901">
        <v>0</v>
      </c>
      <c r="AL2901">
        <v>0</v>
      </c>
      <c r="AM2901">
        <v>100</v>
      </c>
      <c r="AN2901">
        <v>0</v>
      </c>
      <c r="AO2901">
        <v>0</v>
      </c>
      <c r="AP2901">
        <v>0</v>
      </c>
      <c r="AQ2901">
        <v>0</v>
      </c>
      <c r="AS2901">
        <v>0</v>
      </c>
      <c r="AT2901">
        <v>0</v>
      </c>
      <c r="AV2901">
        <v>0</v>
      </c>
      <c r="AW2901">
        <v>0</v>
      </c>
      <c r="AY2901">
        <v>0</v>
      </c>
      <c r="AZ2901">
        <v>0</v>
      </c>
      <c r="BA2901">
        <v>70</v>
      </c>
      <c r="BC2901" t="str">
        <f>T("0000000000000")</f>
        <v>0000000000000</v>
      </c>
      <c r="BE2901" t="str">
        <f>T("9791162589724")</f>
        <v>9791162589724</v>
      </c>
      <c r="BF2901" t="str">
        <f>T("N129465")</f>
        <v>N129465</v>
      </c>
      <c r="BG2901" t="str">
        <f>T("판타지 웹소설 &gt; 퓨전 판타지")</f>
        <v>판타지 웹소설 &gt; 퓨전 판타지</v>
      </c>
    </row>
    <row r="2902" spans="1:59">
      <c r="A2902" t="s">
        <v>60</v>
      </c>
      <c r="B2902" s="1">
        <v>46130</v>
      </c>
      <c r="C2902">
        <v>2378009513</v>
      </c>
      <c r="D2902">
        <v>2378037596</v>
      </c>
      <c r="E2902" t="str">
        <f>T("문과라도 안 죄송한 이세계로 감 488화")</f>
        <v>문과라도 안 죄송한 이세계로 감 488화</v>
      </c>
      <c r="F2902">
        <v>488</v>
      </c>
      <c r="G2902" t="str">
        <f>T("정수읠")</f>
        <v>정수읠</v>
      </c>
      <c r="J2902" t="str">
        <f>T("매드햇")</f>
        <v>매드햇</v>
      </c>
      <c r="K2902" t="str">
        <f>T("문과라도 안 죄송한 이세계로 감")</f>
        <v>문과라도 안 죄송한 이세계로 감</v>
      </c>
      <c r="L2902">
        <v>100</v>
      </c>
      <c r="M2902">
        <v>100</v>
      </c>
      <c r="N2902">
        <v>1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0</v>
      </c>
      <c r="AH2902">
        <v>0</v>
      </c>
      <c r="AI2902">
        <v>100</v>
      </c>
      <c r="AJ2902">
        <v>1</v>
      </c>
      <c r="AK2902">
        <v>0</v>
      </c>
      <c r="AL2902">
        <v>0</v>
      </c>
      <c r="AM2902">
        <v>100</v>
      </c>
      <c r="AN2902">
        <v>0</v>
      </c>
      <c r="AO2902">
        <v>0</v>
      </c>
      <c r="AP2902">
        <v>0</v>
      </c>
      <c r="AQ2902">
        <v>0</v>
      </c>
      <c r="AS2902">
        <v>0</v>
      </c>
      <c r="AT2902">
        <v>0</v>
      </c>
      <c r="AV2902">
        <v>0</v>
      </c>
      <c r="AW2902">
        <v>0</v>
      </c>
      <c r="AY2902">
        <v>0</v>
      </c>
      <c r="AZ2902">
        <v>0</v>
      </c>
      <c r="BA2902">
        <v>70</v>
      </c>
      <c r="BC2902" t="str">
        <f>T("0000000000000")</f>
        <v>0000000000000</v>
      </c>
      <c r="BE2902" t="str">
        <f>T("9791162589724")</f>
        <v>9791162589724</v>
      </c>
      <c r="BF2902" t="str">
        <f>T("N135363")</f>
        <v>N135363</v>
      </c>
      <c r="BG2902" t="str">
        <f>T("판타지 웹소설 &gt; 퓨전 판타지")</f>
        <v>판타지 웹소설 &gt; 퓨전 판타지</v>
      </c>
    </row>
    <row r="2903" spans="1:59">
      <c r="A2903" t="s">
        <v>60</v>
      </c>
      <c r="B2903" s="1">
        <v>46130</v>
      </c>
      <c r="C2903">
        <v>2378009513</v>
      </c>
      <c r="D2903">
        <v>2378037597</v>
      </c>
      <c r="E2903" t="str">
        <f>T("문과라도 안 죄송한 이세계로 감 489화")</f>
        <v>문과라도 안 죄송한 이세계로 감 489화</v>
      </c>
      <c r="F2903">
        <v>489</v>
      </c>
      <c r="G2903" t="str">
        <f>T("정수읠")</f>
        <v>정수읠</v>
      </c>
      <c r="J2903" t="str">
        <f>T("매드햇")</f>
        <v>매드햇</v>
      </c>
      <c r="K2903" t="str">
        <f>T("문과라도 안 죄송한 이세계로 감")</f>
        <v>문과라도 안 죄송한 이세계로 감</v>
      </c>
      <c r="L2903">
        <v>100</v>
      </c>
      <c r="M2903">
        <v>100</v>
      </c>
      <c r="N2903">
        <v>1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0</v>
      </c>
      <c r="AH2903">
        <v>0</v>
      </c>
      <c r="AI2903">
        <v>100</v>
      </c>
      <c r="AJ2903">
        <v>1</v>
      </c>
      <c r="AK2903">
        <v>0</v>
      </c>
      <c r="AL2903">
        <v>0</v>
      </c>
      <c r="AM2903">
        <v>100</v>
      </c>
      <c r="AN2903">
        <v>0</v>
      </c>
      <c r="AO2903">
        <v>0</v>
      </c>
      <c r="AP2903">
        <v>0</v>
      </c>
      <c r="AQ2903">
        <v>0</v>
      </c>
      <c r="AS2903">
        <v>0</v>
      </c>
      <c r="AT2903">
        <v>0</v>
      </c>
      <c r="AV2903">
        <v>0</v>
      </c>
      <c r="AW2903">
        <v>0</v>
      </c>
      <c r="AY2903">
        <v>0</v>
      </c>
      <c r="AZ2903">
        <v>0</v>
      </c>
      <c r="BA2903">
        <v>70</v>
      </c>
      <c r="BC2903" t="str">
        <f>T("0000000000000")</f>
        <v>0000000000000</v>
      </c>
      <c r="BE2903" t="str">
        <f>T("9791162589724")</f>
        <v>9791162589724</v>
      </c>
      <c r="BF2903" t="str">
        <f>T("N135364")</f>
        <v>N135364</v>
      </c>
      <c r="BG2903" t="str">
        <f>T("판타지 웹소설 &gt; 퓨전 판타지")</f>
        <v>판타지 웹소설 &gt; 퓨전 판타지</v>
      </c>
    </row>
    <row r="2904" spans="1:59">
      <c r="A2904" t="s">
        <v>60</v>
      </c>
      <c r="B2904" s="1">
        <v>46130</v>
      </c>
      <c r="C2904">
        <v>2378009513</v>
      </c>
      <c r="D2904">
        <v>2378037598</v>
      </c>
      <c r="E2904" t="str">
        <f>T("문과라도 안 죄송한 이세계로 감 490화 (삽화) (완결)")</f>
        <v>문과라도 안 죄송한 이세계로 감 490화 (삽화) (완결)</v>
      </c>
      <c r="F2904">
        <v>490</v>
      </c>
      <c r="G2904" t="str">
        <f>T("정수읠")</f>
        <v>정수읠</v>
      </c>
      <c r="J2904" t="str">
        <f>T("매드햇")</f>
        <v>매드햇</v>
      </c>
      <c r="K2904" t="str">
        <f>T("문과라도 안 죄송한 이세계로 감")</f>
        <v>문과라도 안 죄송한 이세계로 감</v>
      </c>
      <c r="L2904">
        <v>100</v>
      </c>
      <c r="M2904">
        <v>100</v>
      </c>
      <c r="N2904">
        <v>1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0</v>
      </c>
      <c r="AH2904">
        <v>0</v>
      </c>
      <c r="AI2904">
        <v>100</v>
      </c>
      <c r="AJ2904">
        <v>1</v>
      </c>
      <c r="AK2904">
        <v>0</v>
      </c>
      <c r="AL2904">
        <v>0</v>
      </c>
      <c r="AM2904">
        <v>100</v>
      </c>
      <c r="AN2904">
        <v>0</v>
      </c>
      <c r="AO2904">
        <v>0</v>
      </c>
      <c r="AP2904">
        <v>0</v>
      </c>
      <c r="AQ2904">
        <v>0</v>
      </c>
      <c r="AS2904">
        <v>0</v>
      </c>
      <c r="AT2904">
        <v>0</v>
      </c>
      <c r="AV2904">
        <v>0</v>
      </c>
      <c r="AW2904">
        <v>0</v>
      </c>
      <c r="AY2904">
        <v>0</v>
      </c>
      <c r="AZ2904">
        <v>0</v>
      </c>
      <c r="BA2904">
        <v>70</v>
      </c>
      <c r="BC2904" t="str">
        <f>T("0000000000000")</f>
        <v>0000000000000</v>
      </c>
      <c r="BE2904" t="str">
        <f>T("9791162589724")</f>
        <v>9791162589724</v>
      </c>
      <c r="BF2904" t="str">
        <f>T("N135365")</f>
        <v>N135365</v>
      </c>
      <c r="BG2904" t="str">
        <f>T("판타지 웹소설 &gt; 퓨전 판타지")</f>
        <v>판타지 웹소설 &gt; 퓨전 판타지</v>
      </c>
    </row>
    <row r="2905" spans="1:59">
      <c r="A2905" t="s">
        <v>60</v>
      </c>
      <c r="B2905" s="1">
        <v>46131</v>
      </c>
      <c r="C2905">
        <v>2378009513</v>
      </c>
      <c r="D2905">
        <v>2378009513</v>
      </c>
      <c r="E2905" t="str">
        <f>T("문과라도 안 죄송한 이세계로 감 1화")</f>
        <v>문과라도 안 죄송한 이세계로 감 1화</v>
      </c>
      <c r="F2905">
        <v>1</v>
      </c>
      <c r="G2905" t="str">
        <f>T("정수읠")</f>
        <v>정수읠</v>
      </c>
      <c r="J2905" t="str">
        <f>T("매드햇")</f>
        <v>매드햇</v>
      </c>
      <c r="K2905" t="str">
        <f>T("문과라도 안 죄송한 이세계로 감")</f>
        <v>문과라도 안 죄송한 이세계로 감</v>
      </c>
      <c r="L2905">
        <v>0</v>
      </c>
      <c r="M2905">
        <v>0</v>
      </c>
      <c r="N2905">
        <v>0</v>
      </c>
      <c r="O2905">
        <v>7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0</v>
      </c>
      <c r="AH2905">
        <v>0</v>
      </c>
      <c r="AI2905">
        <v>0</v>
      </c>
      <c r="AJ2905">
        <v>7</v>
      </c>
      <c r="AK2905">
        <v>0</v>
      </c>
      <c r="AL2905">
        <v>0</v>
      </c>
      <c r="AM2905">
        <v>0</v>
      </c>
      <c r="AN2905">
        <v>0</v>
      </c>
      <c r="AO2905">
        <v>0</v>
      </c>
      <c r="AP2905">
        <v>0</v>
      </c>
      <c r="AQ2905">
        <v>0</v>
      </c>
      <c r="AS2905">
        <v>0</v>
      </c>
      <c r="AT2905">
        <v>0</v>
      </c>
      <c r="AV2905">
        <v>0</v>
      </c>
      <c r="AW2905">
        <v>0</v>
      </c>
      <c r="AY2905">
        <v>0</v>
      </c>
      <c r="AZ2905">
        <v>0</v>
      </c>
      <c r="BA2905">
        <v>0</v>
      </c>
      <c r="BE2905" t="str">
        <f>T("9791162589724")</f>
        <v>9791162589724</v>
      </c>
      <c r="BF2905" t="str">
        <f>T("E448237")</f>
        <v>E448237</v>
      </c>
      <c r="BG2905" t="str">
        <f>T("판타지 웹소설 &gt; 퓨전 판타지")</f>
        <v>판타지 웹소설 &gt; 퓨전 판타지</v>
      </c>
    </row>
    <row r="2906" spans="1:59">
      <c r="A2906" t="s">
        <v>60</v>
      </c>
      <c r="B2906" s="1">
        <v>46131</v>
      </c>
      <c r="C2906">
        <v>2378009513</v>
      </c>
      <c r="D2906">
        <v>2378009536</v>
      </c>
      <c r="E2906" t="str">
        <f>T("문과라도 안 죄송한 이세계로 감 24화")</f>
        <v>문과라도 안 죄송한 이세계로 감 24화</v>
      </c>
      <c r="F2906">
        <v>24</v>
      </c>
      <c r="G2906" t="str">
        <f>T("정수읠")</f>
        <v>정수읠</v>
      </c>
      <c r="J2906" t="str">
        <f>T("매드햇")</f>
        <v>매드햇</v>
      </c>
      <c r="K2906" t="str">
        <f>T("문과라도 안 죄송한 이세계로 감")</f>
        <v>문과라도 안 죄송한 이세계로 감</v>
      </c>
      <c r="L2906">
        <v>0</v>
      </c>
      <c r="M2906">
        <v>0</v>
      </c>
      <c r="N2906">
        <v>0</v>
      </c>
      <c r="O2906">
        <v>3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0</v>
      </c>
      <c r="AH2906">
        <v>0</v>
      </c>
      <c r="AI2906">
        <v>0</v>
      </c>
      <c r="AJ2906">
        <v>3</v>
      </c>
      <c r="AK2906">
        <v>0</v>
      </c>
      <c r="AL2906">
        <v>0</v>
      </c>
      <c r="AM2906">
        <v>0</v>
      </c>
      <c r="AN2906">
        <v>0</v>
      </c>
      <c r="AO2906">
        <v>0</v>
      </c>
      <c r="AP2906">
        <v>0</v>
      </c>
      <c r="AQ2906">
        <v>0</v>
      </c>
      <c r="AS2906">
        <v>0</v>
      </c>
      <c r="AT2906">
        <v>0</v>
      </c>
      <c r="AV2906">
        <v>0</v>
      </c>
      <c r="AW2906">
        <v>0</v>
      </c>
      <c r="AY2906">
        <v>0</v>
      </c>
      <c r="AZ2906">
        <v>0</v>
      </c>
      <c r="BA2906">
        <v>0</v>
      </c>
      <c r="BE2906" t="str">
        <f>T("9791162589724")</f>
        <v>9791162589724</v>
      </c>
      <c r="BF2906" t="str">
        <f>T("E448260")</f>
        <v>E448260</v>
      </c>
      <c r="BG2906" t="str">
        <f>T("판타지 웹소설 &gt; 퓨전 판타지")</f>
        <v>판타지 웹소설 &gt; 퓨전 판타지</v>
      </c>
    </row>
    <row r="2907" spans="1:59">
      <c r="A2907" t="s">
        <v>60</v>
      </c>
      <c r="B2907" s="1">
        <v>46131</v>
      </c>
      <c r="C2907">
        <v>2378009513</v>
      </c>
      <c r="D2907">
        <v>2378009514</v>
      </c>
      <c r="E2907" t="str">
        <f>T("문과라도 안 죄송한 이세계로 감 2화")</f>
        <v>문과라도 안 죄송한 이세계로 감 2화</v>
      </c>
      <c r="F2907">
        <v>2</v>
      </c>
      <c r="G2907" t="str">
        <f>T("정수읠")</f>
        <v>정수읠</v>
      </c>
      <c r="J2907" t="str">
        <f>T("매드햇")</f>
        <v>매드햇</v>
      </c>
      <c r="K2907" t="str">
        <f>T("문과라도 안 죄송한 이세계로 감")</f>
        <v>문과라도 안 죄송한 이세계로 감</v>
      </c>
      <c r="L2907">
        <v>0</v>
      </c>
      <c r="M2907">
        <v>0</v>
      </c>
      <c r="N2907">
        <v>0</v>
      </c>
      <c r="O2907">
        <v>4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0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0</v>
      </c>
      <c r="AH2907">
        <v>0</v>
      </c>
      <c r="AI2907">
        <v>0</v>
      </c>
      <c r="AJ2907">
        <v>4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S2907">
        <v>0</v>
      </c>
      <c r="AT2907">
        <v>0</v>
      </c>
      <c r="AV2907">
        <v>0</v>
      </c>
      <c r="AW2907">
        <v>0</v>
      </c>
      <c r="AY2907">
        <v>0</v>
      </c>
      <c r="AZ2907">
        <v>0</v>
      </c>
      <c r="BA2907">
        <v>0</v>
      </c>
      <c r="BE2907" t="str">
        <f>T("9791162589724")</f>
        <v>9791162589724</v>
      </c>
      <c r="BF2907" t="str">
        <f>T("E448238")</f>
        <v>E448238</v>
      </c>
      <c r="BG2907" t="str">
        <f>T("판타지 웹소설 &gt; 퓨전 판타지")</f>
        <v>판타지 웹소설 &gt; 퓨전 판타지</v>
      </c>
    </row>
    <row r="2908" spans="1:59">
      <c r="A2908" t="s">
        <v>60</v>
      </c>
      <c r="B2908" s="1">
        <v>46131</v>
      </c>
      <c r="C2908">
        <v>2378009513</v>
      </c>
      <c r="D2908">
        <v>2378031280</v>
      </c>
      <c r="E2908" t="str">
        <f>T("문과라도 안 죄송한 이세계로 감 408화")</f>
        <v>문과라도 안 죄송한 이세계로 감 408화</v>
      </c>
      <c r="F2908">
        <v>408</v>
      </c>
      <c r="G2908" t="str">
        <f>T("정수읠")</f>
        <v>정수읠</v>
      </c>
      <c r="J2908" t="str">
        <f>T("매드햇")</f>
        <v>매드햇</v>
      </c>
      <c r="K2908" t="str">
        <f>T("문과라도 안 죄송한 이세계로 감")</f>
        <v>문과라도 안 죄송한 이세계로 감</v>
      </c>
      <c r="L2908">
        <v>100</v>
      </c>
      <c r="M2908">
        <v>200</v>
      </c>
      <c r="N2908">
        <v>2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0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0</v>
      </c>
      <c r="AH2908">
        <v>0</v>
      </c>
      <c r="AI2908">
        <v>200</v>
      </c>
      <c r="AJ2908">
        <v>2</v>
      </c>
      <c r="AK2908">
        <v>0</v>
      </c>
      <c r="AL2908">
        <v>0</v>
      </c>
      <c r="AM2908">
        <v>110</v>
      </c>
      <c r="AN2908">
        <v>0</v>
      </c>
      <c r="AO2908">
        <v>108</v>
      </c>
      <c r="AP2908">
        <v>-10.8</v>
      </c>
      <c r="AQ2908">
        <v>0</v>
      </c>
      <c r="AS2908">
        <v>0</v>
      </c>
      <c r="AT2908">
        <v>0</v>
      </c>
      <c r="AU2908">
        <v>108</v>
      </c>
      <c r="AV2908">
        <v>-10.8</v>
      </c>
      <c r="AW2908">
        <v>0</v>
      </c>
      <c r="AY2908">
        <v>0</v>
      </c>
      <c r="AZ2908">
        <v>0</v>
      </c>
      <c r="BA2908">
        <v>145.04</v>
      </c>
      <c r="BC2908" t="str">
        <f>T("0000000000000")</f>
        <v>0000000000000</v>
      </c>
      <c r="BE2908" t="str">
        <f>T("9791162589724")</f>
        <v>9791162589724</v>
      </c>
      <c r="BF2908" t="str">
        <f>T("N004896")</f>
        <v>N004896</v>
      </c>
      <c r="BG2908" t="str">
        <f>T("판타지 웹소설 &gt; 퓨전 판타지")</f>
        <v>판타지 웹소설 &gt; 퓨전 판타지</v>
      </c>
    </row>
    <row r="2909" spans="1:59">
      <c r="A2909" t="s">
        <v>60</v>
      </c>
      <c r="B2909" s="1">
        <v>46131</v>
      </c>
      <c r="C2909">
        <v>2378009513</v>
      </c>
      <c r="D2909">
        <v>2378031295</v>
      </c>
      <c r="E2909" t="str">
        <f>T("문과라도 안 죄송한 이세계로 감 409화")</f>
        <v>문과라도 안 죄송한 이세계로 감 409화</v>
      </c>
      <c r="F2909">
        <v>409</v>
      </c>
      <c r="G2909" t="str">
        <f>T("정수읠")</f>
        <v>정수읠</v>
      </c>
      <c r="J2909" t="str">
        <f>T("매드햇")</f>
        <v>매드햇</v>
      </c>
      <c r="K2909" t="str">
        <f>T("문과라도 안 죄송한 이세계로 감")</f>
        <v>문과라도 안 죄송한 이세계로 감</v>
      </c>
      <c r="L2909">
        <v>100</v>
      </c>
      <c r="M2909">
        <v>200</v>
      </c>
      <c r="N2909">
        <v>2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0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0</v>
      </c>
      <c r="AH2909">
        <v>0</v>
      </c>
      <c r="AI2909">
        <v>200</v>
      </c>
      <c r="AJ2909">
        <v>2</v>
      </c>
      <c r="AK2909">
        <v>0</v>
      </c>
      <c r="AL2909">
        <v>0</v>
      </c>
      <c r="AM2909">
        <v>110</v>
      </c>
      <c r="AN2909">
        <v>0</v>
      </c>
      <c r="AO2909">
        <v>108</v>
      </c>
      <c r="AP2909">
        <v>-10.8</v>
      </c>
      <c r="AQ2909">
        <v>0</v>
      </c>
      <c r="AS2909">
        <v>0</v>
      </c>
      <c r="AT2909">
        <v>0</v>
      </c>
      <c r="AU2909">
        <v>108</v>
      </c>
      <c r="AV2909">
        <v>-10.8</v>
      </c>
      <c r="AW2909">
        <v>0</v>
      </c>
      <c r="AY2909">
        <v>0</v>
      </c>
      <c r="AZ2909">
        <v>0</v>
      </c>
      <c r="BA2909">
        <v>145.04</v>
      </c>
      <c r="BC2909" t="str">
        <f>T("0000000000000")</f>
        <v>0000000000000</v>
      </c>
      <c r="BE2909" t="str">
        <f>T("9791162589724")</f>
        <v>9791162589724</v>
      </c>
      <c r="BF2909" t="str">
        <f>T("N005100")</f>
        <v>N005100</v>
      </c>
      <c r="BG2909" t="str">
        <f>T("판타지 웹소설 &gt; 퓨전 판타지")</f>
        <v>판타지 웹소설 &gt; 퓨전 판타지</v>
      </c>
    </row>
    <row r="2910" spans="1:59">
      <c r="A2910" t="s">
        <v>60</v>
      </c>
      <c r="B2910" s="1">
        <v>46131</v>
      </c>
      <c r="C2910">
        <v>2378009513</v>
      </c>
      <c r="D2910">
        <v>2378031334</v>
      </c>
      <c r="E2910" t="str">
        <f>T("문과라도 안 죄송한 이세계로 감 410화")</f>
        <v>문과라도 안 죄송한 이세계로 감 410화</v>
      </c>
      <c r="F2910">
        <v>410</v>
      </c>
      <c r="G2910" t="str">
        <f>T("정수읠")</f>
        <v>정수읠</v>
      </c>
      <c r="J2910" t="str">
        <f>T("매드햇")</f>
        <v>매드햇</v>
      </c>
      <c r="K2910" t="str">
        <f>T("문과라도 안 죄송한 이세계로 감")</f>
        <v>문과라도 안 죄송한 이세계로 감</v>
      </c>
      <c r="L2910">
        <v>100</v>
      </c>
      <c r="M2910">
        <v>200</v>
      </c>
      <c r="N2910">
        <v>2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0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0</v>
      </c>
      <c r="AC2910">
        <v>0</v>
      </c>
      <c r="AD2910">
        <v>0</v>
      </c>
      <c r="AE2910">
        <v>0</v>
      </c>
      <c r="AF2910">
        <v>0</v>
      </c>
      <c r="AG2910">
        <v>0</v>
      </c>
      <c r="AH2910">
        <v>0</v>
      </c>
      <c r="AI2910">
        <v>200</v>
      </c>
      <c r="AJ2910">
        <v>2</v>
      </c>
      <c r="AK2910">
        <v>0</v>
      </c>
      <c r="AL2910">
        <v>0</v>
      </c>
      <c r="AM2910">
        <v>110</v>
      </c>
      <c r="AN2910">
        <v>0</v>
      </c>
      <c r="AO2910">
        <v>108</v>
      </c>
      <c r="AP2910">
        <v>-10.8</v>
      </c>
      <c r="AQ2910">
        <v>0</v>
      </c>
      <c r="AS2910">
        <v>0</v>
      </c>
      <c r="AT2910">
        <v>0</v>
      </c>
      <c r="AU2910">
        <v>108</v>
      </c>
      <c r="AV2910">
        <v>-10.8</v>
      </c>
      <c r="AW2910">
        <v>0</v>
      </c>
      <c r="AY2910">
        <v>0</v>
      </c>
      <c r="AZ2910">
        <v>0</v>
      </c>
      <c r="BA2910">
        <v>145.04</v>
      </c>
      <c r="BC2910" t="str">
        <f>T("0000000000000")</f>
        <v>0000000000000</v>
      </c>
      <c r="BE2910" t="str">
        <f>T("9791162589724")</f>
        <v>9791162589724</v>
      </c>
      <c r="BF2910" t="str">
        <f>T("N006589")</f>
        <v>N006589</v>
      </c>
      <c r="BG2910" t="str">
        <f>T("판타지 웹소설 &gt; 퓨전 판타지")</f>
        <v>판타지 웹소설 &gt; 퓨전 판타지</v>
      </c>
    </row>
    <row r="2911" spans="1:59">
      <c r="A2911" t="s">
        <v>60</v>
      </c>
      <c r="B2911" s="1">
        <v>46131</v>
      </c>
      <c r="C2911">
        <v>2378009513</v>
      </c>
      <c r="D2911">
        <v>2378013717</v>
      </c>
      <c r="E2911" t="str">
        <f>T("문과라도 안 죄송한 이세계로 감 236화")</f>
        <v>문과라도 안 죄송한 이세계로 감 236화</v>
      </c>
      <c r="F2911">
        <v>236</v>
      </c>
      <c r="G2911" t="str">
        <f>T("정수읠")</f>
        <v>정수읠</v>
      </c>
      <c r="J2911" t="str">
        <f>T("매드햇")</f>
        <v>매드햇</v>
      </c>
      <c r="K2911" t="str">
        <f>T("문과라도 안 죄송한 이세계로 감")</f>
        <v>문과라도 안 죄송한 이세계로 감</v>
      </c>
      <c r="L2911">
        <v>100</v>
      </c>
      <c r="M2911">
        <v>100</v>
      </c>
      <c r="N2911">
        <v>1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0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0</v>
      </c>
      <c r="AC2911">
        <v>0</v>
      </c>
      <c r="AD2911">
        <v>0</v>
      </c>
      <c r="AE2911">
        <v>0</v>
      </c>
      <c r="AF2911">
        <v>0</v>
      </c>
      <c r="AG2911">
        <v>0</v>
      </c>
      <c r="AH2911">
        <v>0</v>
      </c>
      <c r="AI2911">
        <v>100</v>
      </c>
      <c r="AJ2911">
        <v>1</v>
      </c>
      <c r="AK2911">
        <v>0</v>
      </c>
      <c r="AL2911">
        <v>0</v>
      </c>
      <c r="AM2911">
        <v>100</v>
      </c>
      <c r="AN2911">
        <v>0</v>
      </c>
      <c r="AO2911">
        <v>0</v>
      </c>
      <c r="AP2911">
        <v>0</v>
      </c>
      <c r="AQ2911">
        <v>0</v>
      </c>
      <c r="AS2911">
        <v>0</v>
      </c>
      <c r="AT2911">
        <v>0</v>
      </c>
      <c r="AV2911">
        <v>0</v>
      </c>
      <c r="AW2911">
        <v>0</v>
      </c>
      <c r="AY2911">
        <v>0</v>
      </c>
      <c r="AZ2911">
        <v>0</v>
      </c>
      <c r="BA2911">
        <v>70</v>
      </c>
      <c r="BC2911" t="str">
        <f>T("0000000000000")</f>
        <v>0000000000000</v>
      </c>
      <c r="BE2911" t="str">
        <f>T("9791162589724")</f>
        <v>9791162589724</v>
      </c>
      <c r="BF2911" t="str">
        <f>T("E709788")</f>
        <v>E709788</v>
      </c>
      <c r="BG2911" t="str">
        <f>T("판타지 웹소설 &gt; 퓨전 판타지")</f>
        <v>판타지 웹소설 &gt; 퓨전 판타지</v>
      </c>
    </row>
    <row r="2912" spans="1:59">
      <c r="A2912" t="s">
        <v>60</v>
      </c>
      <c r="B2912" s="1">
        <v>46131</v>
      </c>
      <c r="C2912">
        <v>2378009513</v>
      </c>
      <c r="D2912">
        <v>2378013722</v>
      </c>
      <c r="E2912" t="str">
        <f>T("문과라도 안 죄송한 이세계로 감 237화")</f>
        <v>문과라도 안 죄송한 이세계로 감 237화</v>
      </c>
      <c r="F2912">
        <v>237</v>
      </c>
      <c r="G2912" t="str">
        <f>T("정수읠")</f>
        <v>정수읠</v>
      </c>
      <c r="J2912" t="str">
        <f>T("매드햇")</f>
        <v>매드햇</v>
      </c>
      <c r="K2912" t="str">
        <f>T("문과라도 안 죄송한 이세계로 감")</f>
        <v>문과라도 안 죄송한 이세계로 감</v>
      </c>
      <c r="L2912">
        <v>100</v>
      </c>
      <c r="M2912">
        <v>100</v>
      </c>
      <c r="N2912">
        <v>1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0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0</v>
      </c>
      <c r="AC2912">
        <v>0</v>
      </c>
      <c r="AD2912">
        <v>0</v>
      </c>
      <c r="AE2912">
        <v>0</v>
      </c>
      <c r="AF2912">
        <v>0</v>
      </c>
      <c r="AG2912">
        <v>0</v>
      </c>
      <c r="AH2912">
        <v>0</v>
      </c>
      <c r="AI2912">
        <v>100</v>
      </c>
      <c r="AJ2912">
        <v>1</v>
      </c>
      <c r="AK2912">
        <v>0</v>
      </c>
      <c r="AL2912">
        <v>0</v>
      </c>
      <c r="AM2912">
        <v>100</v>
      </c>
      <c r="AN2912">
        <v>0</v>
      </c>
      <c r="AO2912">
        <v>0</v>
      </c>
      <c r="AP2912">
        <v>0</v>
      </c>
      <c r="AQ2912">
        <v>0</v>
      </c>
      <c r="AS2912">
        <v>0</v>
      </c>
      <c r="AT2912">
        <v>0</v>
      </c>
      <c r="AV2912">
        <v>0</v>
      </c>
      <c r="AW2912">
        <v>0</v>
      </c>
      <c r="AY2912">
        <v>0</v>
      </c>
      <c r="AZ2912">
        <v>0</v>
      </c>
      <c r="BA2912">
        <v>70</v>
      </c>
      <c r="BC2912" t="str">
        <f>T("0000000000000")</f>
        <v>0000000000000</v>
      </c>
      <c r="BE2912" t="str">
        <f>T("9791162589724")</f>
        <v>9791162589724</v>
      </c>
      <c r="BF2912" t="str">
        <f>T("E709789")</f>
        <v>E709789</v>
      </c>
      <c r="BG2912" t="str">
        <f>T("판타지 웹소설 &gt; 퓨전 판타지")</f>
        <v>판타지 웹소설 &gt; 퓨전 판타지</v>
      </c>
    </row>
    <row r="2913" spans="1:59">
      <c r="A2913" t="s">
        <v>60</v>
      </c>
      <c r="B2913" s="1">
        <v>46131</v>
      </c>
      <c r="C2913">
        <v>2378009513</v>
      </c>
      <c r="D2913">
        <v>2378013729</v>
      </c>
      <c r="E2913" t="str">
        <f>T("문과라도 안 죄송한 이세계로 감 238화")</f>
        <v>문과라도 안 죄송한 이세계로 감 238화</v>
      </c>
      <c r="F2913">
        <v>238</v>
      </c>
      <c r="G2913" t="str">
        <f>T("정수읠")</f>
        <v>정수읠</v>
      </c>
      <c r="J2913" t="str">
        <f>T("매드햇")</f>
        <v>매드햇</v>
      </c>
      <c r="K2913" t="str">
        <f>T("문과라도 안 죄송한 이세계로 감")</f>
        <v>문과라도 안 죄송한 이세계로 감</v>
      </c>
      <c r="L2913">
        <v>100</v>
      </c>
      <c r="M2913">
        <v>100</v>
      </c>
      <c r="N2913">
        <v>1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0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0</v>
      </c>
      <c r="AC2913">
        <v>0</v>
      </c>
      <c r="AD2913">
        <v>0</v>
      </c>
      <c r="AE2913">
        <v>0</v>
      </c>
      <c r="AF2913">
        <v>0</v>
      </c>
      <c r="AG2913">
        <v>0</v>
      </c>
      <c r="AH2913">
        <v>0</v>
      </c>
      <c r="AI2913">
        <v>100</v>
      </c>
      <c r="AJ2913">
        <v>1</v>
      </c>
      <c r="AK2913">
        <v>0</v>
      </c>
      <c r="AL2913">
        <v>0</v>
      </c>
      <c r="AM2913">
        <v>100</v>
      </c>
      <c r="AN2913">
        <v>0</v>
      </c>
      <c r="AO2913">
        <v>0</v>
      </c>
      <c r="AP2913">
        <v>0</v>
      </c>
      <c r="AQ2913">
        <v>0</v>
      </c>
      <c r="AS2913">
        <v>0</v>
      </c>
      <c r="AT2913">
        <v>0</v>
      </c>
      <c r="AV2913">
        <v>0</v>
      </c>
      <c r="AW2913">
        <v>0</v>
      </c>
      <c r="AY2913">
        <v>0</v>
      </c>
      <c r="AZ2913">
        <v>0</v>
      </c>
      <c r="BA2913">
        <v>70</v>
      </c>
      <c r="BC2913" t="str">
        <f>T("0000000000000")</f>
        <v>0000000000000</v>
      </c>
      <c r="BE2913" t="str">
        <f>T("9791162589724")</f>
        <v>9791162589724</v>
      </c>
      <c r="BF2913" t="str">
        <f>T("E709790")</f>
        <v>E709790</v>
      </c>
      <c r="BG2913" t="str">
        <f>T("판타지 웹소설 &gt; 퓨전 판타지")</f>
        <v>판타지 웹소설 &gt; 퓨전 판타지</v>
      </c>
    </row>
    <row r="2914" spans="1:59">
      <c r="A2914" t="s">
        <v>60</v>
      </c>
      <c r="B2914" s="1">
        <v>46131</v>
      </c>
      <c r="C2914">
        <v>2378009513</v>
      </c>
      <c r="D2914">
        <v>2378013736</v>
      </c>
      <c r="E2914" t="str">
        <f>T("문과라도 안 죄송한 이세계로 감 239화")</f>
        <v>문과라도 안 죄송한 이세계로 감 239화</v>
      </c>
      <c r="F2914">
        <v>239</v>
      </c>
      <c r="G2914" t="str">
        <f>T("정수읠")</f>
        <v>정수읠</v>
      </c>
      <c r="J2914" t="str">
        <f>T("매드햇")</f>
        <v>매드햇</v>
      </c>
      <c r="K2914" t="str">
        <f>T("문과라도 안 죄송한 이세계로 감")</f>
        <v>문과라도 안 죄송한 이세계로 감</v>
      </c>
      <c r="L2914">
        <v>100</v>
      </c>
      <c r="M2914">
        <v>100</v>
      </c>
      <c r="N2914">
        <v>1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0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0</v>
      </c>
      <c r="AC2914">
        <v>0</v>
      </c>
      <c r="AD2914">
        <v>0</v>
      </c>
      <c r="AE2914">
        <v>0</v>
      </c>
      <c r="AF2914">
        <v>0</v>
      </c>
      <c r="AG2914">
        <v>0</v>
      </c>
      <c r="AH2914">
        <v>0</v>
      </c>
      <c r="AI2914">
        <v>100</v>
      </c>
      <c r="AJ2914">
        <v>1</v>
      </c>
      <c r="AK2914">
        <v>0</v>
      </c>
      <c r="AL2914">
        <v>0</v>
      </c>
      <c r="AM2914">
        <v>100</v>
      </c>
      <c r="AN2914">
        <v>0</v>
      </c>
      <c r="AO2914">
        <v>0</v>
      </c>
      <c r="AP2914">
        <v>0</v>
      </c>
      <c r="AQ2914">
        <v>0</v>
      </c>
      <c r="AS2914">
        <v>0</v>
      </c>
      <c r="AT2914">
        <v>0</v>
      </c>
      <c r="AV2914">
        <v>0</v>
      </c>
      <c r="AW2914">
        <v>0</v>
      </c>
      <c r="AY2914">
        <v>0</v>
      </c>
      <c r="AZ2914">
        <v>0</v>
      </c>
      <c r="BA2914">
        <v>70</v>
      </c>
      <c r="BC2914" t="str">
        <f>T("0000000000000")</f>
        <v>0000000000000</v>
      </c>
      <c r="BE2914" t="str">
        <f>T("9791162589724")</f>
        <v>9791162589724</v>
      </c>
      <c r="BF2914" t="str">
        <f>T("E709791")</f>
        <v>E709791</v>
      </c>
      <c r="BG2914" t="str">
        <f>T("판타지 웹소설 &gt; 퓨전 판타지")</f>
        <v>판타지 웹소설 &gt; 퓨전 판타지</v>
      </c>
    </row>
    <row r="2915" spans="1:59">
      <c r="A2915" t="s">
        <v>60</v>
      </c>
      <c r="B2915" s="1">
        <v>46131</v>
      </c>
      <c r="C2915">
        <v>2378009513</v>
      </c>
      <c r="D2915">
        <v>2378013779</v>
      </c>
      <c r="E2915" t="str">
        <f>T("문과라도 안 죄송한 이세계로 감 240화")</f>
        <v>문과라도 안 죄송한 이세계로 감 240화</v>
      </c>
      <c r="F2915">
        <v>240</v>
      </c>
      <c r="G2915" t="str">
        <f>T("정수읠")</f>
        <v>정수읠</v>
      </c>
      <c r="J2915" t="str">
        <f>T("매드햇")</f>
        <v>매드햇</v>
      </c>
      <c r="K2915" t="str">
        <f>T("문과라도 안 죄송한 이세계로 감")</f>
        <v>문과라도 안 죄송한 이세계로 감</v>
      </c>
      <c r="L2915">
        <v>100</v>
      </c>
      <c r="M2915">
        <v>100</v>
      </c>
      <c r="N2915">
        <v>1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0</v>
      </c>
      <c r="AC2915">
        <v>0</v>
      </c>
      <c r="AD2915">
        <v>0</v>
      </c>
      <c r="AE2915">
        <v>0</v>
      </c>
      <c r="AF2915">
        <v>0</v>
      </c>
      <c r="AG2915">
        <v>0</v>
      </c>
      <c r="AH2915">
        <v>0</v>
      </c>
      <c r="AI2915">
        <v>100</v>
      </c>
      <c r="AJ2915">
        <v>1</v>
      </c>
      <c r="AK2915">
        <v>0</v>
      </c>
      <c r="AL2915">
        <v>0</v>
      </c>
      <c r="AM2915">
        <v>100</v>
      </c>
      <c r="AN2915">
        <v>0</v>
      </c>
      <c r="AO2915">
        <v>0</v>
      </c>
      <c r="AP2915">
        <v>0</v>
      </c>
      <c r="AQ2915">
        <v>0</v>
      </c>
      <c r="AS2915">
        <v>0</v>
      </c>
      <c r="AT2915">
        <v>0</v>
      </c>
      <c r="AV2915">
        <v>0</v>
      </c>
      <c r="AW2915">
        <v>0</v>
      </c>
      <c r="AY2915">
        <v>0</v>
      </c>
      <c r="AZ2915">
        <v>0</v>
      </c>
      <c r="BA2915">
        <v>70</v>
      </c>
      <c r="BC2915" t="str">
        <f>T("0000000000000")</f>
        <v>0000000000000</v>
      </c>
      <c r="BE2915" t="str">
        <f>T("9791162589724")</f>
        <v>9791162589724</v>
      </c>
      <c r="BF2915" t="str">
        <f>T("E710507")</f>
        <v>E710507</v>
      </c>
      <c r="BG2915" t="str">
        <f>T("판타지 웹소설 &gt; 퓨전 판타지")</f>
        <v>판타지 웹소설 &gt; 퓨전 판타지</v>
      </c>
    </row>
    <row r="2916" spans="1:59">
      <c r="A2916" t="s">
        <v>60</v>
      </c>
      <c r="B2916" s="1">
        <v>46131</v>
      </c>
      <c r="C2916">
        <v>2378009513</v>
      </c>
      <c r="D2916">
        <v>2378013890</v>
      </c>
      <c r="E2916" t="str">
        <f>T("문과라도 안 죄송한 이세계로 감 241화")</f>
        <v>문과라도 안 죄송한 이세계로 감 241화</v>
      </c>
      <c r="F2916">
        <v>241</v>
      </c>
      <c r="G2916" t="str">
        <f>T("정수읠")</f>
        <v>정수읠</v>
      </c>
      <c r="J2916" t="str">
        <f>T("매드햇")</f>
        <v>매드햇</v>
      </c>
      <c r="K2916" t="str">
        <f>T("문과라도 안 죄송한 이세계로 감")</f>
        <v>문과라도 안 죄송한 이세계로 감</v>
      </c>
      <c r="L2916">
        <v>100</v>
      </c>
      <c r="M2916">
        <v>100</v>
      </c>
      <c r="N2916">
        <v>1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0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0</v>
      </c>
      <c r="AC2916">
        <v>0</v>
      </c>
      <c r="AD2916">
        <v>0</v>
      </c>
      <c r="AE2916">
        <v>0</v>
      </c>
      <c r="AF2916">
        <v>0</v>
      </c>
      <c r="AG2916">
        <v>0</v>
      </c>
      <c r="AH2916">
        <v>0</v>
      </c>
      <c r="AI2916">
        <v>100</v>
      </c>
      <c r="AJ2916">
        <v>1</v>
      </c>
      <c r="AK2916">
        <v>0</v>
      </c>
      <c r="AL2916">
        <v>0</v>
      </c>
      <c r="AM2916">
        <v>100</v>
      </c>
      <c r="AN2916">
        <v>0</v>
      </c>
      <c r="AO2916">
        <v>0</v>
      </c>
      <c r="AP2916">
        <v>0</v>
      </c>
      <c r="AQ2916">
        <v>0</v>
      </c>
      <c r="AS2916">
        <v>0</v>
      </c>
      <c r="AT2916">
        <v>0</v>
      </c>
      <c r="AV2916">
        <v>0</v>
      </c>
      <c r="AW2916">
        <v>0</v>
      </c>
      <c r="AY2916">
        <v>0</v>
      </c>
      <c r="AZ2916">
        <v>0</v>
      </c>
      <c r="BA2916">
        <v>70</v>
      </c>
      <c r="BC2916" t="str">
        <f>T("0000000000000")</f>
        <v>0000000000000</v>
      </c>
      <c r="BE2916" t="str">
        <f>T("9791162589724")</f>
        <v>9791162589724</v>
      </c>
      <c r="BF2916" t="str">
        <f>T("E710508")</f>
        <v>E710508</v>
      </c>
      <c r="BG2916" t="str">
        <f>T("판타지 웹소설 &gt; 퓨전 판타지")</f>
        <v>판타지 웹소설 &gt; 퓨전 판타지</v>
      </c>
    </row>
    <row r="2917" spans="1:59">
      <c r="A2917" t="s">
        <v>60</v>
      </c>
      <c r="B2917" s="1">
        <v>46131</v>
      </c>
      <c r="C2917">
        <v>2378009513</v>
      </c>
      <c r="D2917">
        <v>2378013896</v>
      </c>
      <c r="E2917" t="str">
        <f>T("문과라도 안 죄송한 이세계로 감 242화")</f>
        <v>문과라도 안 죄송한 이세계로 감 242화</v>
      </c>
      <c r="F2917">
        <v>242</v>
      </c>
      <c r="G2917" t="str">
        <f>T("정수읠")</f>
        <v>정수읠</v>
      </c>
      <c r="J2917" t="str">
        <f>T("매드햇")</f>
        <v>매드햇</v>
      </c>
      <c r="K2917" t="str">
        <f>T("문과라도 안 죄송한 이세계로 감")</f>
        <v>문과라도 안 죄송한 이세계로 감</v>
      </c>
      <c r="L2917">
        <v>100</v>
      </c>
      <c r="M2917">
        <v>100</v>
      </c>
      <c r="N2917">
        <v>1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0</v>
      </c>
      <c r="AE2917">
        <v>0</v>
      </c>
      <c r="AF2917">
        <v>0</v>
      </c>
      <c r="AG2917">
        <v>0</v>
      </c>
      <c r="AH2917">
        <v>0</v>
      </c>
      <c r="AI2917">
        <v>100</v>
      </c>
      <c r="AJ2917">
        <v>1</v>
      </c>
      <c r="AK2917">
        <v>0</v>
      </c>
      <c r="AL2917">
        <v>0</v>
      </c>
      <c r="AM2917">
        <v>100</v>
      </c>
      <c r="AN2917">
        <v>0</v>
      </c>
      <c r="AO2917">
        <v>0</v>
      </c>
      <c r="AP2917">
        <v>0</v>
      </c>
      <c r="AQ2917">
        <v>0</v>
      </c>
      <c r="AS2917">
        <v>0</v>
      </c>
      <c r="AT2917">
        <v>0</v>
      </c>
      <c r="AV2917">
        <v>0</v>
      </c>
      <c r="AW2917">
        <v>0</v>
      </c>
      <c r="AY2917">
        <v>0</v>
      </c>
      <c r="AZ2917">
        <v>0</v>
      </c>
      <c r="BA2917">
        <v>70</v>
      </c>
      <c r="BC2917" t="str">
        <f>T("0000000000000")</f>
        <v>0000000000000</v>
      </c>
      <c r="BE2917" t="str">
        <f>T("9791162589724")</f>
        <v>9791162589724</v>
      </c>
      <c r="BF2917" t="str">
        <f>T("E710509")</f>
        <v>E710509</v>
      </c>
      <c r="BG2917" t="str">
        <f>T("판타지 웹소설 &gt; 퓨전 판타지")</f>
        <v>판타지 웹소설 &gt; 퓨전 판타지</v>
      </c>
    </row>
    <row r="2918" spans="1:59">
      <c r="A2918" t="s">
        <v>60</v>
      </c>
      <c r="B2918" s="1">
        <v>46131</v>
      </c>
      <c r="C2918">
        <v>2378009513</v>
      </c>
      <c r="D2918">
        <v>2378013905</v>
      </c>
      <c r="E2918" t="str">
        <f>T("문과라도 안 죄송한 이세계로 감 243화")</f>
        <v>문과라도 안 죄송한 이세계로 감 243화</v>
      </c>
      <c r="F2918">
        <v>243</v>
      </c>
      <c r="G2918" t="str">
        <f>T("정수읠")</f>
        <v>정수읠</v>
      </c>
      <c r="J2918" t="str">
        <f>T("매드햇")</f>
        <v>매드햇</v>
      </c>
      <c r="K2918" t="str">
        <f>T("문과라도 안 죄송한 이세계로 감")</f>
        <v>문과라도 안 죄송한 이세계로 감</v>
      </c>
      <c r="L2918">
        <v>100</v>
      </c>
      <c r="M2918">
        <v>100</v>
      </c>
      <c r="N2918">
        <v>1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0</v>
      </c>
      <c r="AE2918">
        <v>0</v>
      </c>
      <c r="AF2918">
        <v>0</v>
      </c>
      <c r="AG2918">
        <v>0</v>
      </c>
      <c r="AH2918">
        <v>0</v>
      </c>
      <c r="AI2918">
        <v>100</v>
      </c>
      <c r="AJ2918">
        <v>1</v>
      </c>
      <c r="AK2918">
        <v>0</v>
      </c>
      <c r="AL2918">
        <v>0</v>
      </c>
      <c r="AM2918">
        <v>100</v>
      </c>
      <c r="AN2918">
        <v>0</v>
      </c>
      <c r="AO2918">
        <v>0</v>
      </c>
      <c r="AP2918">
        <v>0</v>
      </c>
      <c r="AQ2918">
        <v>0</v>
      </c>
      <c r="AS2918">
        <v>0</v>
      </c>
      <c r="AT2918">
        <v>0</v>
      </c>
      <c r="AV2918">
        <v>0</v>
      </c>
      <c r="AW2918">
        <v>0</v>
      </c>
      <c r="AY2918">
        <v>0</v>
      </c>
      <c r="AZ2918">
        <v>0</v>
      </c>
      <c r="BA2918">
        <v>70</v>
      </c>
      <c r="BC2918" t="str">
        <f>T("0000000000000")</f>
        <v>0000000000000</v>
      </c>
      <c r="BE2918" t="str">
        <f>T("9791162589724")</f>
        <v>9791162589724</v>
      </c>
      <c r="BF2918" t="str">
        <f>T("E710510")</f>
        <v>E710510</v>
      </c>
      <c r="BG2918" t="str">
        <f>T("판타지 웹소설 &gt; 퓨전 판타지")</f>
        <v>판타지 웹소설 &gt; 퓨전 판타지</v>
      </c>
    </row>
    <row r="2919" spans="1:59">
      <c r="A2919" t="s">
        <v>60</v>
      </c>
      <c r="B2919" s="1">
        <v>46131</v>
      </c>
      <c r="C2919">
        <v>2378009513</v>
      </c>
      <c r="D2919">
        <v>2378013929</v>
      </c>
      <c r="E2919" t="str">
        <f>T("문과라도 안 죄송한 이세계로 감 244화")</f>
        <v>문과라도 안 죄송한 이세계로 감 244화</v>
      </c>
      <c r="F2919">
        <v>244</v>
      </c>
      <c r="G2919" t="str">
        <f>T("정수읠")</f>
        <v>정수읠</v>
      </c>
      <c r="J2919" t="str">
        <f>T("매드햇")</f>
        <v>매드햇</v>
      </c>
      <c r="K2919" t="str">
        <f>T("문과라도 안 죄송한 이세계로 감")</f>
        <v>문과라도 안 죄송한 이세계로 감</v>
      </c>
      <c r="L2919">
        <v>100</v>
      </c>
      <c r="M2919">
        <v>100</v>
      </c>
      <c r="N2919">
        <v>1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0</v>
      </c>
      <c r="AE2919">
        <v>0</v>
      </c>
      <c r="AF2919">
        <v>0</v>
      </c>
      <c r="AG2919">
        <v>0</v>
      </c>
      <c r="AH2919">
        <v>0</v>
      </c>
      <c r="AI2919">
        <v>100</v>
      </c>
      <c r="AJ2919">
        <v>1</v>
      </c>
      <c r="AK2919">
        <v>0</v>
      </c>
      <c r="AL2919">
        <v>0</v>
      </c>
      <c r="AM2919">
        <v>100</v>
      </c>
      <c r="AN2919">
        <v>0</v>
      </c>
      <c r="AO2919">
        <v>0</v>
      </c>
      <c r="AP2919">
        <v>0</v>
      </c>
      <c r="AQ2919">
        <v>0</v>
      </c>
      <c r="AS2919">
        <v>0</v>
      </c>
      <c r="AT2919">
        <v>0</v>
      </c>
      <c r="AV2919">
        <v>0</v>
      </c>
      <c r="AW2919">
        <v>0</v>
      </c>
      <c r="AY2919">
        <v>0</v>
      </c>
      <c r="AZ2919">
        <v>0</v>
      </c>
      <c r="BA2919">
        <v>70</v>
      </c>
      <c r="BC2919" t="str">
        <f>T("0000000000000")</f>
        <v>0000000000000</v>
      </c>
      <c r="BE2919" t="str">
        <f>T("9791162589724")</f>
        <v>9791162589724</v>
      </c>
      <c r="BF2919" t="str">
        <f>T("E712246")</f>
        <v>E712246</v>
      </c>
      <c r="BG2919" t="str">
        <f>T("판타지 웹소설 &gt; 퓨전 판타지")</f>
        <v>판타지 웹소설 &gt; 퓨전 판타지</v>
      </c>
    </row>
    <row r="2920" spans="1:59">
      <c r="A2920" t="s">
        <v>60</v>
      </c>
      <c r="B2920" s="1">
        <v>46131</v>
      </c>
      <c r="C2920">
        <v>2378009513</v>
      </c>
      <c r="D2920">
        <v>2378013933</v>
      </c>
      <c r="E2920" t="str">
        <f>T("문과라도 안 죄송한 이세계로 감 245화")</f>
        <v>문과라도 안 죄송한 이세계로 감 245화</v>
      </c>
      <c r="F2920">
        <v>245</v>
      </c>
      <c r="G2920" t="str">
        <f>T("정수읠")</f>
        <v>정수읠</v>
      </c>
      <c r="J2920" t="str">
        <f>T("매드햇")</f>
        <v>매드햇</v>
      </c>
      <c r="K2920" t="str">
        <f>T("문과라도 안 죄송한 이세계로 감")</f>
        <v>문과라도 안 죄송한 이세계로 감</v>
      </c>
      <c r="L2920">
        <v>100</v>
      </c>
      <c r="M2920">
        <v>100</v>
      </c>
      <c r="N2920">
        <v>1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0</v>
      </c>
      <c r="AE2920">
        <v>0</v>
      </c>
      <c r="AF2920">
        <v>0</v>
      </c>
      <c r="AG2920">
        <v>0</v>
      </c>
      <c r="AH2920">
        <v>0</v>
      </c>
      <c r="AI2920">
        <v>100</v>
      </c>
      <c r="AJ2920">
        <v>1</v>
      </c>
      <c r="AK2920">
        <v>0</v>
      </c>
      <c r="AL2920">
        <v>0</v>
      </c>
      <c r="AM2920">
        <v>100</v>
      </c>
      <c r="AN2920">
        <v>0</v>
      </c>
      <c r="AO2920">
        <v>0</v>
      </c>
      <c r="AP2920">
        <v>0</v>
      </c>
      <c r="AQ2920">
        <v>0</v>
      </c>
      <c r="AS2920">
        <v>0</v>
      </c>
      <c r="AT2920">
        <v>0</v>
      </c>
      <c r="AV2920">
        <v>0</v>
      </c>
      <c r="AW2920">
        <v>0</v>
      </c>
      <c r="AY2920">
        <v>0</v>
      </c>
      <c r="AZ2920">
        <v>0</v>
      </c>
      <c r="BA2920">
        <v>70</v>
      </c>
      <c r="BC2920" t="str">
        <f>T("0000000000000")</f>
        <v>0000000000000</v>
      </c>
      <c r="BE2920" t="str">
        <f>T("9791162589724")</f>
        <v>9791162589724</v>
      </c>
      <c r="BF2920" t="str">
        <f>T("E712247")</f>
        <v>E712247</v>
      </c>
      <c r="BG2920" t="str">
        <f>T("판타지 웹소설 &gt; 퓨전 판타지")</f>
        <v>판타지 웹소설 &gt; 퓨전 판타지</v>
      </c>
    </row>
    <row r="2921" spans="1:59">
      <c r="A2921" t="s">
        <v>60</v>
      </c>
      <c r="B2921" s="1">
        <v>46131</v>
      </c>
      <c r="C2921">
        <v>2378009513</v>
      </c>
      <c r="D2921">
        <v>2378009593</v>
      </c>
      <c r="E2921" t="str">
        <f>T("문과라도 안 죄송한 이세계로 감 81화")</f>
        <v>문과라도 안 죄송한 이세계로 감 81화</v>
      </c>
      <c r="F2921">
        <v>81</v>
      </c>
      <c r="G2921" t="str">
        <f>T("정수읠")</f>
        <v>정수읠</v>
      </c>
      <c r="J2921" t="str">
        <f>T("매드햇")</f>
        <v>매드햇</v>
      </c>
      <c r="K2921" t="str">
        <f>T("문과라도 안 죄송한 이세계로 감")</f>
        <v>문과라도 안 죄송한 이세계로 감</v>
      </c>
      <c r="L2921">
        <v>100</v>
      </c>
      <c r="M2921">
        <v>200</v>
      </c>
      <c r="N2921">
        <v>2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0</v>
      </c>
      <c r="AE2921">
        <v>0</v>
      </c>
      <c r="AF2921">
        <v>0</v>
      </c>
      <c r="AG2921">
        <v>0</v>
      </c>
      <c r="AH2921">
        <v>0</v>
      </c>
      <c r="AI2921">
        <v>200</v>
      </c>
      <c r="AJ2921">
        <v>2</v>
      </c>
      <c r="AK2921">
        <v>0</v>
      </c>
      <c r="AL2921">
        <v>0</v>
      </c>
      <c r="AM2921">
        <v>200</v>
      </c>
      <c r="AN2921">
        <v>0</v>
      </c>
      <c r="AO2921">
        <v>0</v>
      </c>
      <c r="AP2921">
        <v>0</v>
      </c>
      <c r="AQ2921">
        <v>0</v>
      </c>
      <c r="AS2921">
        <v>0</v>
      </c>
      <c r="AT2921">
        <v>0</v>
      </c>
      <c r="AV2921">
        <v>0</v>
      </c>
      <c r="AW2921">
        <v>0</v>
      </c>
      <c r="AY2921">
        <v>0</v>
      </c>
      <c r="AZ2921">
        <v>0</v>
      </c>
      <c r="BA2921">
        <v>140</v>
      </c>
      <c r="BE2921" t="str">
        <f>T("9791162589724")</f>
        <v>9791162589724</v>
      </c>
      <c r="BF2921" t="str">
        <f>T("E448317")</f>
        <v>E448317</v>
      </c>
      <c r="BG2921" t="str">
        <f>T("판타지 웹소설 &gt; 퓨전 판타지")</f>
        <v>판타지 웹소설 &gt; 퓨전 판타지</v>
      </c>
    </row>
    <row r="2922" spans="1:59">
      <c r="A2922" t="s">
        <v>60</v>
      </c>
      <c r="B2922" s="1">
        <v>46131</v>
      </c>
      <c r="C2922">
        <v>2378009513</v>
      </c>
      <c r="D2922">
        <v>2378009594</v>
      </c>
      <c r="E2922" t="str">
        <f>T("문과라도 안 죄송한 이세계로 감 82화")</f>
        <v>문과라도 안 죄송한 이세계로 감 82화</v>
      </c>
      <c r="F2922">
        <v>82</v>
      </c>
      <c r="G2922" t="str">
        <f>T("정수읠")</f>
        <v>정수읠</v>
      </c>
      <c r="J2922" t="str">
        <f>T("매드햇")</f>
        <v>매드햇</v>
      </c>
      <c r="K2922" t="str">
        <f>T("문과라도 안 죄송한 이세계로 감")</f>
        <v>문과라도 안 죄송한 이세계로 감</v>
      </c>
      <c r="L2922">
        <v>100</v>
      </c>
      <c r="M2922">
        <v>100</v>
      </c>
      <c r="N2922">
        <v>1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0</v>
      </c>
      <c r="AE2922">
        <v>0</v>
      </c>
      <c r="AF2922">
        <v>0</v>
      </c>
      <c r="AG2922">
        <v>0</v>
      </c>
      <c r="AH2922">
        <v>0</v>
      </c>
      <c r="AI2922">
        <v>100</v>
      </c>
      <c r="AJ2922">
        <v>1</v>
      </c>
      <c r="AK2922">
        <v>0</v>
      </c>
      <c r="AL2922">
        <v>0</v>
      </c>
      <c r="AM2922">
        <v>100</v>
      </c>
      <c r="AN2922">
        <v>0</v>
      </c>
      <c r="AO2922">
        <v>0</v>
      </c>
      <c r="AP2922">
        <v>0</v>
      </c>
      <c r="AQ2922">
        <v>0</v>
      </c>
      <c r="AS2922">
        <v>0</v>
      </c>
      <c r="AT2922">
        <v>0</v>
      </c>
      <c r="AV2922">
        <v>0</v>
      </c>
      <c r="AW2922">
        <v>0</v>
      </c>
      <c r="AY2922">
        <v>0</v>
      </c>
      <c r="AZ2922">
        <v>0</v>
      </c>
      <c r="BA2922">
        <v>70</v>
      </c>
      <c r="BE2922" t="str">
        <f>T("9791162589724")</f>
        <v>9791162589724</v>
      </c>
      <c r="BF2922" t="str">
        <f>T("E448318")</f>
        <v>E448318</v>
      </c>
      <c r="BG2922" t="str">
        <f>T("판타지 웹소설 &gt; 퓨전 판타지")</f>
        <v>판타지 웹소설 &gt; 퓨전 판타지</v>
      </c>
    </row>
    <row r="2923" spans="1:59">
      <c r="A2923" t="s">
        <v>60</v>
      </c>
      <c r="B2923" s="1">
        <v>46131</v>
      </c>
      <c r="C2923">
        <v>2378009513</v>
      </c>
      <c r="D2923">
        <v>2378009595</v>
      </c>
      <c r="E2923" t="str">
        <f>T("문과라도 안 죄송한 이세계로 감 83화")</f>
        <v>문과라도 안 죄송한 이세계로 감 83화</v>
      </c>
      <c r="F2923">
        <v>83</v>
      </c>
      <c r="G2923" t="str">
        <f>T("정수읠")</f>
        <v>정수읠</v>
      </c>
      <c r="J2923" t="str">
        <f>T("매드햇")</f>
        <v>매드햇</v>
      </c>
      <c r="K2923" t="str">
        <f>T("문과라도 안 죄송한 이세계로 감")</f>
        <v>문과라도 안 죄송한 이세계로 감</v>
      </c>
      <c r="L2923">
        <v>100</v>
      </c>
      <c r="M2923">
        <v>100</v>
      </c>
      <c r="N2923">
        <v>1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0</v>
      </c>
      <c r="AE2923">
        <v>0</v>
      </c>
      <c r="AF2923">
        <v>0</v>
      </c>
      <c r="AG2923">
        <v>0</v>
      </c>
      <c r="AH2923">
        <v>0</v>
      </c>
      <c r="AI2923">
        <v>100</v>
      </c>
      <c r="AJ2923">
        <v>1</v>
      </c>
      <c r="AK2923">
        <v>0</v>
      </c>
      <c r="AL2923">
        <v>0</v>
      </c>
      <c r="AM2923">
        <v>100</v>
      </c>
      <c r="AN2923">
        <v>0</v>
      </c>
      <c r="AO2923">
        <v>0</v>
      </c>
      <c r="AP2923">
        <v>0</v>
      </c>
      <c r="AQ2923">
        <v>0</v>
      </c>
      <c r="AS2923">
        <v>0</v>
      </c>
      <c r="AT2923">
        <v>0</v>
      </c>
      <c r="AV2923">
        <v>0</v>
      </c>
      <c r="AW2923">
        <v>0</v>
      </c>
      <c r="AY2923">
        <v>0</v>
      </c>
      <c r="AZ2923">
        <v>0</v>
      </c>
      <c r="BA2923">
        <v>70</v>
      </c>
      <c r="BE2923" t="str">
        <f>T("9791162589724")</f>
        <v>9791162589724</v>
      </c>
      <c r="BF2923" t="str">
        <f>T("E448319")</f>
        <v>E448319</v>
      </c>
      <c r="BG2923" t="str">
        <f>T("판타지 웹소설 &gt; 퓨전 판타지")</f>
        <v>판타지 웹소설 &gt; 퓨전 판타지</v>
      </c>
    </row>
    <row r="2924" spans="1:59">
      <c r="A2924" t="s">
        <v>60</v>
      </c>
      <c r="B2924" s="1">
        <v>46131</v>
      </c>
      <c r="C2924">
        <v>2378009513</v>
      </c>
      <c r="D2924">
        <v>2378014391</v>
      </c>
      <c r="E2924" t="str">
        <f>T("문과라도 안 죄송한 이세계로 감 255화")</f>
        <v>문과라도 안 죄송한 이세계로 감 255화</v>
      </c>
      <c r="F2924">
        <v>255</v>
      </c>
      <c r="G2924" t="str">
        <f>T("정수읠")</f>
        <v>정수읠</v>
      </c>
      <c r="J2924" t="str">
        <f>T("매드햇")</f>
        <v>매드햇</v>
      </c>
      <c r="K2924" t="str">
        <f>T("문과라도 안 죄송한 이세계로 감")</f>
        <v>문과라도 안 죄송한 이세계로 감</v>
      </c>
      <c r="L2924">
        <v>100</v>
      </c>
      <c r="M2924">
        <v>200</v>
      </c>
      <c r="N2924">
        <v>2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0</v>
      </c>
      <c r="AE2924">
        <v>0</v>
      </c>
      <c r="AF2924">
        <v>0</v>
      </c>
      <c r="AG2924">
        <v>0</v>
      </c>
      <c r="AH2924">
        <v>0</v>
      </c>
      <c r="AI2924">
        <v>200</v>
      </c>
      <c r="AJ2924">
        <v>2</v>
      </c>
      <c r="AK2924">
        <v>0</v>
      </c>
      <c r="AL2924">
        <v>0</v>
      </c>
      <c r="AM2924">
        <v>110</v>
      </c>
      <c r="AN2924">
        <v>0</v>
      </c>
      <c r="AO2924">
        <v>108</v>
      </c>
      <c r="AP2924">
        <v>-10.8</v>
      </c>
      <c r="AQ2924">
        <v>0</v>
      </c>
      <c r="AS2924">
        <v>0</v>
      </c>
      <c r="AT2924">
        <v>0</v>
      </c>
      <c r="AU2924">
        <v>108</v>
      </c>
      <c r="AV2924">
        <v>-10.8</v>
      </c>
      <c r="AW2924">
        <v>0</v>
      </c>
      <c r="AY2924">
        <v>0</v>
      </c>
      <c r="AZ2924">
        <v>0</v>
      </c>
      <c r="BA2924">
        <v>145.04</v>
      </c>
      <c r="BC2924" t="str">
        <f>T("0000000000000")</f>
        <v>0000000000000</v>
      </c>
      <c r="BE2924" t="str">
        <f>T("9791162589724")</f>
        <v>9791162589724</v>
      </c>
      <c r="BF2924" t="str">
        <f>T("E720117")</f>
        <v>E720117</v>
      </c>
      <c r="BG2924" t="str">
        <f>T("판타지 웹소설 &gt; 퓨전 판타지")</f>
        <v>판타지 웹소설 &gt; 퓨전 판타지</v>
      </c>
    </row>
    <row r="2925" spans="1:59">
      <c r="A2925" t="s">
        <v>60</v>
      </c>
      <c r="B2925" s="1">
        <v>46131</v>
      </c>
      <c r="C2925">
        <v>2378009513</v>
      </c>
      <c r="D2925">
        <v>2378037595</v>
      </c>
      <c r="E2925" t="str">
        <f>T("문과라도 안 죄송한 이세계로 감 487화")</f>
        <v>문과라도 안 죄송한 이세계로 감 487화</v>
      </c>
      <c r="F2925">
        <v>487</v>
      </c>
      <c r="G2925" t="str">
        <f>T("정수읠")</f>
        <v>정수읠</v>
      </c>
      <c r="J2925" t="str">
        <f>T("매드햇")</f>
        <v>매드햇</v>
      </c>
      <c r="K2925" t="str">
        <f>T("문과라도 안 죄송한 이세계로 감")</f>
        <v>문과라도 안 죄송한 이세계로 감</v>
      </c>
      <c r="L2925">
        <v>100</v>
      </c>
      <c r="M2925">
        <v>200</v>
      </c>
      <c r="N2925">
        <v>2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0</v>
      </c>
      <c r="AE2925">
        <v>0</v>
      </c>
      <c r="AF2925">
        <v>0</v>
      </c>
      <c r="AG2925">
        <v>0</v>
      </c>
      <c r="AH2925">
        <v>0</v>
      </c>
      <c r="AI2925">
        <v>200</v>
      </c>
      <c r="AJ2925">
        <v>2</v>
      </c>
      <c r="AK2925">
        <v>0</v>
      </c>
      <c r="AL2925">
        <v>0</v>
      </c>
      <c r="AM2925">
        <v>110</v>
      </c>
      <c r="AN2925">
        <v>0</v>
      </c>
      <c r="AO2925">
        <v>108</v>
      </c>
      <c r="AP2925">
        <v>-10.8</v>
      </c>
      <c r="AQ2925">
        <v>0</v>
      </c>
      <c r="AS2925">
        <v>0</v>
      </c>
      <c r="AT2925">
        <v>0</v>
      </c>
      <c r="AU2925">
        <v>108</v>
      </c>
      <c r="AV2925">
        <v>-10.8</v>
      </c>
      <c r="AW2925">
        <v>0</v>
      </c>
      <c r="AY2925">
        <v>0</v>
      </c>
      <c r="AZ2925">
        <v>0</v>
      </c>
      <c r="BA2925">
        <v>145.04</v>
      </c>
      <c r="BC2925" t="str">
        <f>T("0000000000000")</f>
        <v>0000000000000</v>
      </c>
      <c r="BE2925" t="str">
        <f>T("9791162589724")</f>
        <v>9791162589724</v>
      </c>
      <c r="BF2925" t="str">
        <f>T("N135362")</f>
        <v>N135362</v>
      </c>
      <c r="BG2925" t="str">
        <f>T("판타지 웹소설 &gt; 퓨전 판타지")</f>
        <v>판타지 웹소설 &gt; 퓨전 판타지</v>
      </c>
    </row>
    <row r="2926" spans="1:59">
      <c r="A2926" t="s">
        <v>60</v>
      </c>
      <c r="B2926" s="1">
        <v>46131</v>
      </c>
      <c r="C2926">
        <v>2378009513</v>
      </c>
      <c r="D2926">
        <v>2378015607</v>
      </c>
      <c r="E2926" t="str">
        <f>T("문과라도 안 죄송한 이세계로 감 293화")</f>
        <v>문과라도 안 죄송한 이세계로 감 293화</v>
      </c>
      <c r="F2926">
        <v>293</v>
      </c>
      <c r="G2926" t="str">
        <f>T("정수읠")</f>
        <v>정수읠</v>
      </c>
      <c r="J2926" t="str">
        <f>T("매드햇")</f>
        <v>매드햇</v>
      </c>
      <c r="K2926" t="str">
        <f>T("문과라도 안 죄송한 이세계로 감")</f>
        <v>문과라도 안 죄송한 이세계로 감</v>
      </c>
      <c r="L2926">
        <v>100</v>
      </c>
      <c r="M2926">
        <v>200</v>
      </c>
      <c r="N2926">
        <v>2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0</v>
      </c>
      <c r="AE2926">
        <v>0</v>
      </c>
      <c r="AF2926">
        <v>0</v>
      </c>
      <c r="AG2926">
        <v>0</v>
      </c>
      <c r="AH2926">
        <v>0</v>
      </c>
      <c r="AI2926">
        <v>200</v>
      </c>
      <c r="AJ2926">
        <v>2</v>
      </c>
      <c r="AK2926">
        <v>0</v>
      </c>
      <c r="AL2926">
        <v>0</v>
      </c>
      <c r="AM2926">
        <v>110</v>
      </c>
      <c r="AN2926">
        <v>0</v>
      </c>
      <c r="AO2926">
        <v>108</v>
      </c>
      <c r="AP2926">
        <v>-10.8</v>
      </c>
      <c r="AQ2926">
        <v>0</v>
      </c>
      <c r="AS2926">
        <v>0</v>
      </c>
      <c r="AT2926">
        <v>0</v>
      </c>
      <c r="AU2926">
        <v>108</v>
      </c>
      <c r="AV2926">
        <v>-10.8</v>
      </c>
      <c r="AW2926">
        <v>0</v>
      </c>
      <c r="AY2926">
        <v>0</v>
      </c>
      <c r="AZ2926">
        <v>0</v>
      </c>
      <c r="BA2926">
        <v>145.04</v>
      </c>
      <c r="BC2926" t="str">
        <f>T("0000000000000")</f>
        <v>0000000000000</v>
      </c>
      <c r="BE2926" t="str">
        <f>T("9791162589724")</f>
        <v>9791162589724</v>
      </c>
      <c r="BF2926" t="str">
        <f>T("E750464")</f>
        <v>E750464</v>
      </c>
      <c r="BG2926" t="str">
        <f>T("판타지 웹소설 &gt; 퓨전 판타지")</f>
        <v>판타지 웹소설 &gt; 퓨전 판타지</v>
      </c>
    </row>
    <row r="2927" spans="1:59">
      <c r="A2927" t="s">
        <v>60</v>
      </c>
      <c r="B2927" s="1">
        <v>46131</v>
      </c>
      <c r="C2927">
        <v>2378009513</v>
      </c>
      <c r="D2927">
        <v>2378015779</v>
      </c>
      <c r="E2927" t="str">
        <f>T("문과라도 안 죄송한 이세계로 감 294화")</f>
        <v>문과라도 안 죄송한 이세계로 감 294화</v>
      </c>
      <c r="F2927">
        <v>294</v>
      </c>
      <c r="G2927" t="str">
        <f>T("정수읠")</f>
        <v>정수읠</v>
      </c>
      <c r="J2927" t="str">
        <f>T("매드햇")</f>
        <v>매드햇</v>
      </c>
      <c r="K2927" t="str">
        <f>T("문과라도 안 죄송한 이세계로 감")</f>
        <v>문과라도 안 죄송한 이세계로 감</v>
      </c>
      <c r="L2927">
        <v>100</v>
      </c>
      <c r="M2927">
        <v>200</v>
      </c>
      <c r="N2927">
        <v>2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0</v>
      </c>
      <c r="AE2927">
        <v>0</v>
      </c>
      <c r="AF2927">
        <v>0</v>
      </c>
      <c r="AG2927">
        <v>0</v>
      </c>
      <c r="AH2927">
        <v>0</v>
      </c>
      <c r="AI2927">
        <v>200</v>
      </c>
      <c r="AJ2927">
        <v>2</v>
      </c>
      <c r="AK2927">
        <v>0</v>
      </c>
      <c r="AL2927">
        <v>0</v>
      </c>
      <c r="AM2927">
        <v>110</v>
      </c>
      <c r="AN2927">
        <v>0</v>
      </c>
      <c r="AO2927">
        <v>108</v>
      </c>
      <c r="AP2927">
        <v>-10.8</v>
      </c>
      <c r="AQ2927">
        <v>0</v>
      </c>
      <c r="AS2927">
        <v>0</v>
      </c>
      <c r="AT2927">
        <v>0</v>
      </c>
      <c r="AU2927">
        <v>108</v>
      </c>
      <c r="AV2927">
        <v>-10.8</v>
      </c>
      <c r="AW2927">
        <v>0</v>
      </c>
      <c r="AY2927">
        <v>0</v>
      </c>
      <c r="AZ2927">
        <v>0</v>
      </c>
      <c r="BA2927">
        <v>145.04</v>
      </c>
      <c r="BC2927" t="str">
        <f>T("0000000000000")</f>
        <v>0000000000000</v>
      </c>
      <c r="BE2927" t="str">
        <f>T("9791162589724")</f>
        <v>9791162589724</v>
      </c>
      <c r="BF2927" t="str">
        <f>T("E758221")</f>
        <v>E758221</v>
      </c>
      <c r="BG2927" t="str">
        <f>T("판타지 웹소설 &gt; 퓨전 판타지")</f>
        <v>판타지 웹소설 &gt; 퓨전 판타지</v>
      </c>
    </row>
    <row r="2928" spans="1:59">
      <c r="A2928" t="s">
        <v>60</v>
      </c>
      <c r="B2928" s="1">
        <v>46131</v>
      </c>
      <c r="C2928">
        <v>2378009513</v>
      </c>
      <c r="D2928">
        <v>2378009515</v>
      </c>
      <c r="E2928" t="str">
        <f>T("문과라도 안 죄송한 이세계로 감 3화")</f>
        <v>문과라도 안 죄송한 이세계로 감 3화</v>
      </c>
      <c r="F2928">
        <v>3</v>
      </c>
      <c r="G2928" t="str">
        <f>T("정수읠")</f>
        <v>정수읠</v>
      </c>
      <c r="J2928" t="str">
        <f>T("매드햇")</f>
        <v>매드햇</v>
      </c>
      <c r="K2928" t="str">
        <f>T("문과라도 안 죄송한 이세계로 감")</f>
        <v>문과라도 안 죄송한 이세계로 감</v>
      </c>
      <c r="L2928">
        <v>0</v>
      </c>
      <c r="M2928">
        <v>0</v>
      </c>
      <c r="N2928">
        <v>0</v>
      </c>
      <c r="O2928">
        <v>4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0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0</v>
      </c>
      <c r="AE2928">
        <v>0</v>
      </c>
      <c r="AF2928">
        <v>0</v>
      </c>
      <c r="AG2928">
        <v>0</v>
      </c>
      <c r="AH2928">
        <v>0</v>
      </c>
      <c r="AI2928">
        <v>0</v>
      </c>
      <c r="AJ2928">
        <v>4</v>
      </c>
      <c r="AK2928">
        <v>0</v>
      </c>
      <c r="AL2928">
        <v>0</v>
      </c>
      <c r="AM2928">
        <v>0</v>
      </c>
      <c r="AN2928">
        <v>0</v>
      </c>
      <c r="AO2928">
        <v>0</v>
      </c>
      <c r="AP2928">
        <v>0</v>
      </c>
      <c r="AQ2928">
        <v>0</v>
      </c>
      <c r="AS2928">
        <v>0</v>
      </c>
      <c r="AT2928">
        <v>0</v>
      </c>
      <c r="AV2928">
        <v>0</v>
      </c>
      <c r="AW2928">
        <v>0</v>
      </c>
      <c r="AY2928">
        <v>0</v>
      </c>
      <c r="AZ2928">
        <v>0</v>
      </c>
      <c r="BA2928">
        <v>0</v>
      </c>
      <c r="BE2928" t="str">
        <f>T("9791162589724")</f>
        <v>9791162589724</v>
      </c>
      <c r="BF2928" t="str">
        <f>T("E448239")</f>
        <v>E448239</v>
      </c>
      <c r="BG2928" t="str">
        <f>T("판타지 웹소설 &gt; 퓨전 판타지")</f>
        <v>판타지 웹소설 &gt; 퓨전 판타지</v>
      </c>
    </row>
    <row r="2929" spans="1:59">
      <c r="A2929" t="s">
        <v>60</v>
      </c>
      <c r="B2929" s="1">
        <v>46131</v>
      </c>
      <c r="C2929">
        <v>2378009513</v>
      </c>
      <c r="D2929">
        <v>2378009516</v>
      </c>
      <c r="E2929" t="str">
        <f>T("문과라도 안 죄송한 이세계로 감 4화")</f>
        <v>문과라도 안 죄송한 이세계로 감 4화</v>
      </c>
      <c r="F2929">
        <v>4</v>
      </c>
      <c r="G2929" t="str">
        <f>T("정수읠")</f>
        <v>정수읠</v>
      </c>
      <c r="J2929" t="str">
        <f>T("매드햇")</f>
        <v>매드햇</v>
      </c>
      <c r="K2929" t="str">
        <f>T("문과라도 안 죄송한 이세계로 감")</f>
        <v>문과라도 안 죄송한 이세계로 감</v>
      </c>
      <c r="L2929">
        <v>0</v>
      </c>
      <c r="M2929">
        <v>0</v>
      </c>
      <c r="N2929">
        <v>0</v>
      </c>
      <c r="O2929">
        <v>4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0</v>
      </c>
      <c r="AE2929">
        <v>0</v>
      </c>
      <c r="AF2929">
        <v>0</v>
      </c>
      <c r="AG2929">
        <v>0</v>
      </c>
      <c r="AH2929">
        <v>0</v>
      </c>
      <c r="AI2929">
        <v>0</v>
      </c>
      <c r="AJ2929">
        <v>4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S2929">
        <v>0</v>
      </c>
      <c r="AT2929">
        <v>0</v>
      </c>
      <c r="AV2929">
        <v>0</v>
      </c>
      <c r="AW2929">
        <v>0</v>
      </c>
      <c r="AY2929">
        <v>0</v>
      </c>
      <c r="AZ2929">
        <v>0</v>
      </c>
      <c r="BA2929">
        <v>0</v>
      </c>
      <c r="BE2929" t="str">
        <f>T("9791162589724")</f>
        <v>9791162589724</v>
      </c>
      <c r="BF2929" t="str">
        <f>T("E448240")</f>
        <v>E448240</v>
      </c>
      <c r="BG2929" t="str">
        <f>T("판타지 웹소설 &gt; 퓨전 판타지")</f>
        <v>판타지 웹소설 &gt; 퓨전 판타지</v>
      </c>
    </row>
    <row r="2930" spans="1:59">
      <c r="A2930" t="s">
        <v>60</v>
      </c>
      <c r="B2930" s="1">
        <v>46131</v>
      </c>
      <c r="C2930">
        <v>2378009513</v>
      </c>
      <c r="D2930">
        <v>2378009517</v>
      </c>
      <c r="E2930" t="str">
        <f>T("문과라도 안 죄송한 이세계로 감 5화")</f>
        <v>문과라도 안 죄송한 이세계로 감 5화</v>
      </c>
      <c r="F2930">
        <v>5</v>
      </c>
      <c r="G2930" t="str">
        <f>T("정수읠")</f>
        <v>정수읠</v>
      </c>
      <c r="J2930" t="str">
        <f>T("매드햇")</f>
        <v>매드햇</v>
      </c>
      <c r="K2930" t="str">
        <f>T("문과라도 안 죄송한 이세계로 감")</f>
        <v>문과라도 안 죄송한 이세계로 감</v>
      </c>
      <c r="L2930">
        <v>0</v>
      </c>
      <c r="M2930">
        <v>0</v>
      </c>
      <c r="N2930">
        <v>0</v>
      </c>
      <c r="O2930">
        <v>4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0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0</v>
      </c>
      <c r="AE2930">
        <v>0</v>
      </c>
      <c r="AF2930">
        <v>0</v>
      </c>
      <c r="AG2930">
        <v>0</v>
      </c>
      <c r="AH2930">
        <v>0</v>
      </c>
      <c r="AI2930">
        <v>0</v>
      </c>
      <c r="AJ2930">
        <v>4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S2930">
        <v>0</v>
      </c>
      <c r="AT2930">
        <v>0</v>
      </c>
      <c r="AV2930">
        <v>0</v>
      </c>
      <c r="AW2930">
        <v>0</v>
      </c>
      <c r="AY2930">
        <v>0</v>
      </c>
      <c r="AZ2930">
        <v>0</v>
      </c>
      <c r="BA2930">
        <v>0</v>
      </c>
      <c r="BE2930" t="str">
        <f>T("9791162589724")</f>
        <v>9791162589724</v>
      </c>
      <c r="BF2930" t="str">
        <f>T("E448241")</f>
        <v>E448241</v>
      </c>
      <c r="BG2930" t="str">
        <f>T("판타지 웹소설 &gt; 퓨전 판타지")</f>
        <v>판타지 웹소설 &gt; 퓨전 판타지</v>
      </c>
    </row>
    <row r="2931" spans="1:59">
      <c r="A2931" t="s">
        <v>60</v>
      </c>
      <c r="B2931" s="1">
        <v>46131</v>
      </c>
      <c r="C2931">
        <v>2378009513</v>
      </c>
      <c r="D2931">
        <v>2378033850</v>
      </c>
      <c r="E2931" t="str">
        <f>T("문과라도 안 죄송한 이세계로 감 451화")</f>
        <v>문과라도 안 죄송한 이세계로 감 451화</v>
      </c>
      <c r="F2931">
        <v>451</v>
      </c>
      <c r="G2931" t="str">
        <f>T("정수읠")</f>
        <v>정수읠</v>
      </c>
      <c r="J2931" t="str">
        <f>T("매드햇")</f>
        <v>매드햇</v>
      </c>
      <c r="K2931" t="str">
        <f>T("문과라도 안 죄송한 이세계로 감")</f>
        <v>문과라도 안 죄송한 이세계로 감</v>
      </c>
      <c r="L2931">
        <v>100</v>
      </c>
      <c r="M2931">
        <v>200</v>
      </c>
      <c r="N2931">
        <v>2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0</v>
      </c>
      <c r="AE2931">
        <v>0</v>
      </c>
      <c r="AF2931">
        <v>0</v>
      </c>
      <c r="AG2931">
        <v>0</v>
      </c>
      <c r="AH2931">
        <v>0</v>
      </c>
      <c r="AI2931">
        <v>200</v>
      </c>
      <c r="AJ2931">
        <v>2</v>
      </c>
      <c r="AK2931">
        <v>0</v>
      </c>
      <c r="AL2931">
        <v>0</v>
      </c>
      <c r="AM2931">
        <v>110</v>
      </c>
      <c r="AN2931">
        <v>0</v>
      </c>
      <c r="AO2931">
        <v>108</v>
      </c>
      <c r="AP2931">
        <v>-10.8</v>
      </c>
      <c r="AQ2931">
        <v>0</v>
      </c>
      <c r="AS2931">
        <v>0</v>
      </c>
      <c r="AT2931">
        <v>0</v>
      </c>
      <c r="AU2931">
        <v>108</v>
      </c>
      <c r="AV2931">
        <v>-10.8</v>
      </c>
      <c r="AW2931">
        <v>0</v>
      </c>
      <c r="AY2931">
        <v>0</v>
      </c>
      <c r="AZ2931">
        <v>0</v>
      </c>
      <c r="BA2931">
        <v>145.04</v>
      </c>
      <c r="BC2931" t="str">
        <f>T("0000000000000")</f>
        <v>0000000000000</v>
      </c>
      <c r="BE2931" t="str">
        <f>T("9791162589724")</f>
        <v>9791162589724</v>
      </c>
      <c r="BF2931" t="str">
        <f>T("N083231")</f>
        <v>N083231</v>
      </c>
      <c r="BG2931" t="str">
        <f>T("판타지 웹소설 &gt; 퓨전 판타지")</f>
        <v>판타지 웹소설 &gt; 퓨전 판타지</v>
      </c>
    </row>
    <row r="2932" spans="1:59">
      <c r="A2932" t="s">
        <v>60</v>
      </c>
      <c r="B2932" s="1">
        <v>46131</v>
      </c>
      <c r="C2932">
        <v>2378009513</v>
      </c>
      <c r="D2932">
        <v>2378034019</v>
      </c>
      <c r="E2932" t="str">
        <f>T("문과라도 안 죄송한 이세계로 감 452화")</f>
        <v>문과라도 안 죄송한 이세계로 감 452화</v>
      </c>
      <c r="F2932">
        <v>452</v>
      </c>
      <c r="G2932" t="str">
        <f>T("정수읠")</f>
        <v>정수읠</v>
      </c>
      <c r="J2932" t="str">
        <f>T("매드햇")</f>
        <v>매드햇</v>
      </c>
      <c r="K2932" t="str">
        <f>T("문과라도 안 죄송한 이세계로 감")</f>
        <v>문과라도 안 죄송한 이세계로 감</v>
      </c>
      <c r="L2932">
        <v>100</v>
      </c>
      <c r="M2932">
        <v>200</v>
      </c>
      <c r="N2932">
        <v>2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0</v>
      </c>
      <c r="AC2932">
        <v>0</v>
      </c>
      <c r="AD2932">
        <v>0</v>
      </c>
      <c r="AE2932">
        <v>0</v>
      </c>
      <c r="AF2932">
        <v>0</v>
      </c>
      <c r="AG2932">
        <v>0</v>
      </c>
      <c r="AH2932">
        <v>0</v>
      </c>
      <c r="AI2932">
        <v>200</v>
      </c>
      <c r="AJ2932">
        <v>2</v>
      </c>
      <c r="AK2932">
        <v>0</v>
      </c>
      <c r="AL2932">
        <v>0</v>
      </c>
      <c r="AM2932">
        <v>110</v>
      </c>
      <c r="AN2932">
        <v>0</v>
      </c>
      <c r="AO2932">
        <v>108</v>
      </c>
      <c r="AP2932">
        <v>-10.8</v>
      </c>
      <c r="AQ2932">
        <v>0</v>
      </c>
      <c r="AS2932">
        <v>0</v>
      </c>
      <c r="AT2932">
        <v>0</v>
      </c>
      <c r="AU2932">
        <v>108</v>
      </c>
      <c r="AV2932">
        <v>-10.8</v>
      </c>
      <c r="AW2932">
        <v>0</v>
      </c>
      <c r="AY2932">
        <v>0</v>
      </c>
      <c r="AZ2932">
        <v>0</v>
      </c>
      <c r="BA2932">
        <v>145.04</v>
      </c>
      <c r="BC2932" t="str">
        <f>T("0000000000000")</f>
        <v>0000000000000</v>
      </c>
      <c r="BE2932" t="str">
        <f>T("9791162589724")</f>
        <v>9791162589724</v>
      </c>
      <c r="BF2932" t="str">
        <f>T("N083232")</f>
        <v>N083232</v>
      </c>
      <c r="BG2932" t="str">
        <f>T("판타지 웹소설 &gt; 퓨전 판타지")</f>
        <v>판타지 웹소설 &gt; 퓨전 판타지</v>
      </c>
    </row>
    <row r="2933" spans="1:59">
      <c r="A2933" t="s">
        <v>60</v>
      </c>
      <c r="B2933" s="1">
        <v>46131</v>
      </c>
      <c r="C2933">
        <v>2378009513</v>
      </c>
      <c r="D2933">
        <v>2378034023</v>
      </c>
      <c r="E2933" t="str">
        <f>T("문과라도 안 죄송한 이세계로 감 453화")</f>
        <v>문과라도 안 죄송한 이세계로 감 453화</v>
      </c>
      <c r="F2933">
        <v>453</v>
      </c>
      <c r="G2933" t="str">
        <f>T("정수읠")</f>
        <v>정수읠</v>
      </c>
      <c r="J2933" t="str">
        <f>T("매드햇")</f>
        <v>매드햇</v>
      </c>
      <c r="K2933" t="str">
        <f>T("문과라도 안 죄송한 이세계로 감")</f>
        <v>문과라도 안 죄송한 이세계로 감</v>
      </c>
      <c r="L2933">
        <v>100</v>
      </c>
      <c r="M2933">
        <v>200</v>
      </c>
      <c r="N2933">
        <v>2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0</v>
      </c>
      <c r="AC2933">
        <v>0</v>
      </c>
      <c r="AD2933">
        <v>0</v>
      </c>
      <c r="AE2933">
        <v>0</v>
      </c>
      <c r="AF2933">
        <v>0</v>
      </c>
      <c r="AG2933">
        <v>0</v>
      </c>
      <c r="AH2933">
        <v>0</v>
      </c>
      <c r="AI2933">
        <v>200</v>
      </c>
      <c r="AJ2933">
        <v>2</v>
      </c>
      <c r="AK2933">
        <v>0</v>
      </c>
      <c r="AL2933">
        <v>0</v>
      </c>
      <c r="AM2933">
        <v>110</v>
      </c>
      <c r="AN2933">
        <v>0</v>
      </c>
      <c r="AO2933">
        <v>108</v>
      </c>
      <c r="AP2933">
        <v>-10.8</v>
      </c>
      <c r="AQ2933">
        <v>0</v>
      </c>
      <c r="AS2933">
        <v>0</v>
      </c>
      <c r="AT2933">
        <v>0</v>
      </c>
      <c r="AU2933">
        <v>108</v>
      </c>
      <c r="AV2933">
        <v>-10.8</v>
      </c>
      <c r="AW2933">
        <v>0</v>
      </c>
      <c r="AY2933">
        <v>0</v>
      </c>
      <c r="AZ2933">
        <v>0</v>
      </c>
      <c r="BA2933">
        <v>145.04</v>
      </c>
      <c r="BC2933" t="str">
        <f>T("0000000000000")</f>
        <v>0000000000000</v>
      </c>
      <c r="BE2933" t="str">
        <f>T("9791162589724")</f>
        <v>9791162589724</v>
      </c>
      <c r="BF2933" t="str">
        <f>T("N085604")</f>
        <v>N085604</v>
      </c>
      <c r="BG2933" t="str">
        <f>T("판타지 웹소설 &gt; 퓨전 판타지")</f>
        <v>판타지 웹소설 &gt; 퓨전 판타지</v>
      </c>
    </row>
    <row r="2934" spans="1:59">
      <c r="A2934" t="s">
        <v>60</v>
      </c>
      <c r="B2934" s="1">
        <v>46131</v>
      </c>
      <c r="C2934">
        <v>2378009513</v>
      </c>
      <c r="D2934">
        <v>2378034052</v>
      </c>
      <c r="E2934" t="str">
        <f>T("문과라도 안 죄송한 이세계로 감 454화")</f>
        <v>문과라도 안 죄송한 이세계로 감 454화</v>
      </c>
      <c r="F2934">
        <v>454</v>
      </c>
      <c r="G2934" t="str">
        <f>T("정수읠")</f>
        <v>정수읠</v>
      </c>
      <c r="J2934" t="str">
        <f>T("매드햇")</f>
        <v>매드햇</v>
      </c>
      <c r="K2934" t="str">
        <f>T("문과라도 안 죄송한 이세계로 감")</f>
        <v>문과라도 안 죄송한 이세계로 감</v>
      </c>
      <c r="L2934">
        <v>100</v>
      </c>
      <c r="M2934">
        <v>200</v>
      </c>
      <c r="N2934">
        <v>2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0</v>
      </c>
      <c r="AE2934">
        <v>0</v>
      </c>
      <c r="AF2934">
        <v>0</v>
      </c>
      <c r="AG2934">
        <v>0</v>
      </c>
      <c r="AH2934">
        <v>0</v>
      </c>
      <c r="AI2934">
        <v>200</v>
      </c>
      <c r="AJ2934">
        <v>2</v>
      </c>
      <c r="AK2934">
        <v>0</v>
      </c>
      <c r="AL2934">
        <v>0</v>
      </c>
      <c r="AM2934">
        <v>110</v>
      </c>
      <c r="AN2934">
        <v>0</v>
      </c>
      <c r="AO2934">
        <v>108</v>
      </c>
      <c r="AP2934">
        <v>-10.8</v>
      </c>
      <c r="AQ2934">
        <v>0</v>
      </c>
      <c r="AS2934">
        <v>0</v>
      </c>
      <c r="AT2934">
        <v>0</v>
      </c>
      <c r="AU2934">
        <v>108</v>
      </c>
      <c r="AV2934">
        <v>-10.8</v>
      </c>
      <c r="AW2934">
        <v>0</v>
      </c>
      <c r="AY2934">
        <v>0</v>
      </c>
      <c r="AZ2934">
        <v>0</v>
      </c>
      <c r="BA2934">
        <v>145.04</v>
      </c>
      <c r="BC2934" t="str">
        <f>T("0000000000000")</f>
        <v>0000000000000</v>
      </c>
      <c r="BE2934" t="str">
        <f>T("9791162589724")</f>
        <v>9791162589724</v>
      </c>
      <c r="BF2934" t="str">
        <f>T("N085605")</f>
        <v>N085605</v>
      </c>
      <c r="BG2934" t="str">
        <f>T("판타지 웹소설 &gt; 퓨전 판타지")</f>
        <v>판타지 웹소설 &gt; 퓨전 판타지</v>
      </c>
    </row>
    <row r="2935" spans="1:59">
      <c r="A2935" t="s">
        <v>60</v>
      </c>
      <c r="B2935" s="1">
        <v>46131</v>
      </c>
      <c r="C2935">
        <v>2378009513</v>
      </c>
      <c r="D2935">
        <v>2378034069</v>
      </c>
      <c r="E2935" t="str">
        <f>T("문과라도 안 죄송한 이세계로 감 455화")</f>
        <v>문과라도 안 죄송한 이세계로 감 455화</v>
      </c>
      <c r="F2935">
        <v>455</v>
      </c>
      <c r="G2935" t="str">
        <f>T("정수읠")</f>
        <v>정수읠</v>
      </c>
      <c r="J2935" t="str">
        <f>T("매드햇")</f>
        <v>매드햇</v>
      </c>
      <c r="K2935" t="str">
        <f>T("문과라도 안 죄송한 이세계로 감")</f>
        <v>문과라도 안 죄송한 이세계로 감</v>
      </c>
      <c r="L2935">
        <v>100</v>
      </c>
      <c r="M2935">
        <v>200</v>
      </c>
      <c r="N2935">
        <v>2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0</v>
      </c>
      <c r="AE2935">
        <v>0</v>
      </c>
      <c r="AF2935">
        <v>0</v>
      </c>
      <c r="AG2935">
        <v>0</v>
      </c>
      <c r="AH2935">
        <v>0</v>
      </c>
      <c r="AI2935">
        <v>200</v>
      </c>
      <c r="AJ2935">
        <v>2</v>
      </c>
      <c r="AK2935">
        <v>0</v>
      </c>
      <c r="AL2935">
        <v>0</v>
      </c>
      <c r="AM2935">
        <v>110</v>
      </c>
      <c r="AN2935">
        <v>0</v>
      </c>
      <c r="AO2935">
        <v>108</v>
      </c>
      <c r="AP2935">
        <v>-10.8</v>
      </c>
      <c r="AQ2935">
        <v>0</v>
      </c>
      <c r="AS2935">
        <v>0</v>
      </c>
      <c r="AT2935">
        <v>0</v>
      </c>
      <c r="AU2935">
        <v>108</v>
      </c>
      <c r="AV2935">
        <v>-10.8</v>
      </c>
      <c r="AW2935">
        <v>0</v>
      </c>
      <c r="AY2935">
        <v>0</v>
      </c>
      <c r="AZ2935">
        <v>0</v>
      </c>
      <c r="BA2935">
        <v>145.04</v>
      </c>
      <c r="BC2935" t="str">
        <f>T("0000000000000")</f>
        <v>0000000000000</v>
      </c>
      <c r="BE2935" t="str">
        <f>T("9791162589724")</f>
        <v>9791162589724</v>
      </c>
      <c r="BF2935" t="str">
        <f>T("N085606")</f>
        <v>N085606</v>
      </c>
      <c r="BG2935" t="str">
        <f>T("판타지 웹소설 &gt; 퓨전 판타지")</f>
        <v>판타지 웹소설 &gt; 퓨전 판타지</v>
      </c>
    </row>
    <row r="2936" spans="1:59">
      <c r="A2936" t="s">
        <v>60</v>
      </c>
      <c r="B2936" s="1">
        <v>46131</v>
      </c>
      <c r="C2936">
        <v>2378009513</v>
      </c>
      <c r="D2936">
        <v>2378034076</v>
      </c>
      <c r="E2936" t="str">
        <f>T("문과라도 안 죄송한 이세계로 감 456화")</f>
        <v>문과라도 안 죄송한 이세계로 감 456화</v>
      </c>
      <c r="F2936">
        <v>456</v>
      </c>
      <c r="G2936" t="str">
        <f>T("정수읠")</f>
        <v>정수읠</v>
      </c>
      <c r="J2936" t="str">
        <f>T("매드햇")</f>
        <v>매드햇</v>
      </c>
      <c r="K2936" t="str">
        <f>T("문과라도 안 죄송한 이세계로 감")</f>
        <v>문과라도 안 죄송한 이세계로 감</v>
      </c>
      <c r="L2936">
        <v>100</v>
      </c>
      <c r="M2936">
        <v>200</v>
      </c>
      <c r="N2936">
        <v>2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0</v>
      </c>
      <c r="AE2936">
        <v>0</v>
      </c>
      <c r="AF2936">
        <v>0</v>
      </c>
      <c r="AG2936">
        <v>0</v>
      </c>
      <c r="AH2936">
        <v>0</v>
      </c>
      <c r="AI2936">
        <v>200</v>
      </c>
      <c r="AJ2936">
        <v>2</v>
      </c>
      <c r="AK2936">
        <v>0</v>
      </c>
      <c r="AL2936">
        <v>0</v>
      </c>
      <c r="AM2936">
        <v>110</v>
      </c>
      <c r="AN2936">
        <v>0</v>
      </c>
      <c r="AO2936">
        <v>108</v>
      </c>
      <c r="AP2936">
        <v>-10.8</v>
      </c>
      <c r="AQ2936">
        <v>0</v>
      </c>
      <c r="AS2936">
        <v>0</v>
      </c>
      <c r="AT2936">
        <v>0</v>
      </c>
      <c r="AU2936">
        <v>108</v>
      </c>
      <c r="AV2936">
        <v>-10.8</v>
      </c>
      <c r="AW2936">
        <v>0</v>
      </c>
      <c r="AY2936">
        <v>0</v>
      </c>
      <c r="AZ2936">
        <v>0</v>
      </c>
      <c r="BA2936">
        <v>145.04</v>
      </c>
      <c r="BC2936" t="str">
        <f>T("0000000000000")</f>
        <v>0000000000000</v>
      </c>
      <c r="BE2936" t="str">
        <f>T("9791162589724")</f>
        <v>9791162589724</v>
      </c>
      <c r="BF2936" t="str">
        <f>T("N089778")</f>
        <v>N089778</v>
      </c>
      <c r="BG2936" t="str">
        <f>T("판타지 웹소설 &gt; 퓨전 판타지")</f>
        <v>판타지 웹소설 &gt; 퓨전 판타지</v>
      </c>
    </row>
    <row r="2937" spans="1:59">
      <c r="A2937" t="s">
        <v>60</v>
      </c>
      <c r="B2937" s="1">
        <v>46131</v>
      </c>
      <c r="C2937">
        <v>2378009513</v>
      </c>
      <c r="D2937">
        <v>2378009531</v>
      </c>
      <c r="E2937" t="str">
        <f>T("문과라도 안 죄송한 이세계로 감 19화")</f>
        <v>문과라도 안 죄송한 이세계로 감 19화</v>
      </c>
      <c r="F2937">
        <v>19</v>
      </c>
      <c r="G2937" t="str">
        <f>T("정수읠")</f>
        <v>정수읠</v>
      </c>
      <c r="J2937" t="str">
        <f>T("매드햇")</f>
        <v>매드햇</v>
      </c>
      <c r="K2937" t="str">
        <f>T("문과라도 안 죄송한 이세계로 감")</f>
        <v>문과라도 안 죄송한 이세계로 감</v>
      </c>
      <c r="L2937">
        <v>0</v>
      </c>
      <c r="M2937">
        <v>0</v>
      </c>
      <c r="N2937">
        <v>0</v>
      </c>
      <c r="O2937">
        <v>4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0</v>
      </c>
      <c r="AE2937">
        <v>0</v>
      </c>
      <c r="AF2937">
        <v>0</v>
      </c>
      <c r="AG2937">
        <v>0</v>
      </c>
      <c r="AH2937">
        <v>0</v>
      </c>
      <c r="AI2937">
        <v>0</v>
      </c>
      <c r="AJ2937">
        <v>4</v>
      </c>
      <c r="AK2937">
        <v>0</v>
      </c>
      <c r="AL2937">
        <v>0</v>
      </c>
      <c r="AM2937">
        <v>0</v>
      </c>
      <c r="AN2937">
        <v>0</v>
      </c>
      <c r="AO2937">
        <v>0</v>
      </c>
      <c r="AP2937">
        <v>0</v>
      </c>
      <c r="AQ2937">
        <v>0</v>
      </c>
      <c r="AS2937">
        <v>0</v>
      </c>
      <c r="AT2937">
        <v>0</v>
      </c>
      <c r="AV2937">
        <v>0</v>
      </c>
      <c r="AW2937">
        <v>0</v>
      </c>
      <c r="AY2937">
        <v>0</v>
      </c>
      <c r="AZ2937">
        <v>0</v>
      </c>
      <c r="BA2937">
        <v>0</v>
      </c>
      <c r="BE2937" t="str">
        <f>T("9791162589724")</f>
        <v>9791162589724</v>
      </c>
      <c r="BF2937" t="str">
        <f>T("E448255")</f>
        <v>E448255</v>
      </c>
      <c r="BG2937" t="str">
        <f>T("판타지 웹소설 &gt; 퓨전 판타지")</f>
        <v>판타지 웹소설 &gt; 퓨전 판타지</v>
      </c>
    </row>
    <row r="2938" spans="1:59">
      <c r="A2938" t="s">
        <v>60</v>
      </c>
      <c r="B2938" s="1">
        <v>46131</v>
      </c>
      <c r="C2938">
        <v>2378009513</v>
      </c>
      <c r="D2938">
        <v>2378009532</v>
      </c>
      <c r="E2938" t="str">
        <f>T("문과라도 안 죄송한 이세계로 감 20화")</f>
        <v>문과라도 안 죄송한 이세계로 감 20화</v>
      </c>
      <c r="F2938">
        <v>20</v>
      </c>
      <c r="G2938" t="str">
        <f>T("정수읠")</f>
        <v>정수읠</v>
      </c>
      <c r="J2938" t="str">
        <f>T("매드햇")</f>
        <v>매드햇</v>
      </c>
      <c r="K2938" t="str">
        <f>T("문과라도 안 죄송한 이세계로 감")</f>
        <v>문과라도 안 죄송한 이세계로 감</v>
      </c>
      <c r="L2938">
        <v>0</v>
      </c>
      <c r="M2938">
        <v>0</v>
      </c>
      <c r="N2938">
        <v>0</v>
      </c>
      <c r="O2938">
        <v>4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0</v>
      </c>
      <c r="AE2938">
        <v>0</v>
      </c>
      <c r="AF2938">
        <v>0</v>
      </c>
      <c r="AG2938">
        <v>0</v>
      </c>
      <c r="AH2938">
        <v>0</v>
      </c>
      <c r="AI2938">
        <v>0</v>
      </c>
      <c r="AJ2938">
        <v>4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S2938">
        <v>0</v>
      </c>
      <c r="AT2938">
        <v>0</v>
      </c>
      <c r="AV2938">
        <v>0</v>
      </c>
      <c r="AW2938">
        <v>0</v>
      </c>
      <c r="AY2938">
        <v>0</v>
      </c>
      <c r="AZ2938">
        <v>0</v>
      </c>
      <c r="BA2938">
        <v>0</v>
      </c>
      <c r="BE2938" t="str">
        <f>T("9791162589724")</f>
        <v>9791162589724</v>
      </c>
      <c r="BF2938" t="str">
        <f>T("E448256")</f>
        <v>E448256</v>
      </c>
      <c r="BG2938" t="str">
        <f>T("판타지 웹소설 &gt; 퓨전 판타지")</f>
        <v>판타지 웹소설 &gt; 퓨전 판타지</v>
      </c>
    </row>
    <row r="2939" spans="1:59">
      <c r="A2939" t="s">
        <v>60</v>
      </c>
      <c r="B2939" s="1">
        <v>46131</v>
      </c>
      <c r="C2939">
        <v>2378009513</v>
      </c>
      <c r="D2939">
        <v>2378009533</v>
      </c>
      <c r="E2939" t="str">
        <f>T("문과라도 안 죄송한 이세계로 감 21화")</f>
        <v>문과라도 안 죄송한 이세계로 감 21화</v>
      </c>
      <c r="F2939">
        <v>21</v>
      </c>
      <c r="G2939" t="str">
        <f>T("정수읠")</f>
        <v>정수읠</v>
      </c>
      <c r="J2939" t="str">
        <f>T("매드햇")</f>
        <v>매드햇</v>
      </c>
      <c r="K2939" t="str">
        <f>T("문과라도 안 죄송한 이세계로 감")</f>
        <v>문과라도 안 죄송한 이세계로 감</v>
      </c>
      <c r="L2939">
        <v>0</v>
      </c>
      <c r="M2939">
        <v>0</v>
      </c>
      <c r="N2939">
        <v>0</v>
      </c>
      <c r="O2939">
        <v>3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0</v>
      </c>
      <c r="AE2939">
        <v>0</v>
      </c>
      <c r="AF2939">
        <v>0</v>
      </c>
      <c r="AG2939">
        <v>0</v>
      </c>
      <c r="AH2939">
        <v>0</v>
      </c>
      <c r="AI2939">
        <v>0</v>
      </c>
      <c r="AJ2939">
        <v>3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S2939">
        <v>0</v>
      </c>
      <c r="AT2939">
        <v>0</v>
      </c>
      <c r="AV2939">
        <v>0</v>
      </c>
      <c r="AW2939">
        <v>0</v>
      </c>
      <c r="AY2939">
        <v>0</v>
      </c>
      <c r="AZ2939">
        <v>0</v>
      </c>
      <c r="BA2939">
        <v>0</v>
      </c>
      <c r="BE2939" t="str">
        <f>T("9791162589724")</f>
        <v>9791162589724</v>
      </c>
      <c r="BF2939" t="str">
        <f>T("E448257")</f>
        <v>E448257</v>
      </c>
      <c r="BG2939" t="str">
        <f>T("판타지 웹소설 &gt; 퓨전 판타지")</f>
        <v>판타지 웹소설 &gt; 퓨전 판타지</v>
      </c>
    </row>
    <row r="2940" spans="1:59">
      <c r="A2940" t="s">
        <v>60</v>
      </c>
      <c r="B2940" s="1">
        <v>46131</v>
      </c>
      <c r="C2940">
        <v>2378009513</v>
      </c>
      <c r="D2940">
        <v>2378009596</v>
      </c>
      <c r="E2940" t="str">
        <f>T("문과라도 안 죄송한 이세계로 감 84화")</f>
        <v>문과라도 안 죄송한 이세계로 감 84화</v>
      </c>
      <c r="F2940">
        <v>84</v>
      </c>
      <c r="G2940" t="str">
        <f>T("정수읠")</f>
        <v>정수읠</v>
      </c>
      <c r="J2940" t="str">
        <f>T("매드햇")</f>
        <v>매드햇</v>
      </c>
      <c r="K2940" t="str">
        <f>T("문과라도 안 죄송한 이세계로 감")</f>
        <v>문과라도 안 죄송한 이세계로 감</v>
      </c>
      <c r="L2940">
        <v>100</v>
      </c>
      <c r="M2940">
        <v>200</v>
      </c>
      <c r="N2940">
        <v>2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0</v>
      </c>
      <c r="AE2940">
        <v>0</v>
      </c>
      <c r="AF2940">
        <v>0</v>
      </c>
      <c r="AG2940">
        <v>0</v>
      </c>
      <c r="AH2940">
        <v>0</v>
      </c>
      <c r="AI2940">
        <v>200</v>
      </c>
      <c r="AJ2940">
        <v>2</v>
      </c>
      <c r="AK2940">
        <v>0</v>
      </c>
      <c r="AL2940">
        <v>0</v>
      </c>
      <c r="AM2940">
        <v>200</v>
      </c>
      <c r="AN2940">
        <v>0</v>
      </c>
      <c r="AO2940">
        <v>0</v>
      </c>
      <c r="AP2940">
        <v>0</v>
      </c>
      <c r="AQ2940">
        <v>0</v>
      </c>
      <c r="AS2940">
        <v>0</v>
      </c>
      <c r="AT2940">
        <v>0</v>
      </c>
      <c r="AV2940">
        <v>0</v>
      </c>
      <c r="AW2940">
        <v>0</v>
      </c>
      <c r="AY2940">
        <v>0</v>
      </c>
      <c r="AZ2940">
        <v>0</v>
      </c>
      <c r="BA2940">
        <v>140</v>
      </c>
      <c r="BE2940" t="str">
        <f>T("9791162589724")</f>
        <v>9791162589724</v>
      </c>
      <c r="BF2940" t="str">
        <f>T("E448320")</f>
        <v>E448320</v>
      </c>
      <c r="BG2940" t="str">
        <f>T("판타지 웹소설 &gt; 퓨전 판타지")</f>
        <v>판타지 웹소설 &gt; 퓨전 판타지</v>
      </c>
    </row>
    <row r="2941" spans="1:59">
      <c r="A2941" t="s">
        <v>60</v>
      </c>
      <c r="B2941" s="1">
        <v>46131</v>
      </c>
      <c r="C2941">
        <v>2378009513</v>
      </c>
      <c r="D2941">
        <v>2378009597</v>
      </c>
      <c r="E2941" t="str">
        <f>T("문과라도 안 죄송한 이세계로 감 85화")</f>
        <v>문과라도 안 죄송한 이세계로 감 85화</v>
      </c>
      <c r="F2941">
        <v>85</v>
      </c>
      <c r="G2941" t="str">
        <f>T("정수읠")</f>
        <v>정수읠</v>
      </c>
      <c r="J2941" t="str">
        <f>T("매드햇")</f>
        <v>매드햇</v>
      </c>
      <c r="K2941" t="str">
        <f>T("문과라도 안 죄송한 이세계로 감")</f>
        <v>문과라도 안 죄송한 이세계로 감</v>
      </c>
      <c r="L2941">
        <v>100</v>
      </c>
      <c r="M2941">
        <v>100</v>
      </c>
      <c r="N2941">
        <v>1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0</v>
      </c>
      <c r="AE2941">
        <v>0</v>
      </c>
      <c r="AF2941">
        <v>0</v>
      </c>
      <c r="AG2941">
        <v>0</v>
      </c>
      <c r="AH2941">
        <v>0</v>
      </c>
      <c r="AI2941">
        <v>100</v>
      </c>
      <c r="AJ2941">
        <v>1</v>
      </c>
      <c r="AK2941">
        <v>0</v>
      </c>
      <c r="AL2941">
        <v>0</v>
      </c>
      <c r="AM2941">
        <v>100</v>
      </c>
      <c r="AN2941">
        <v>0</v>
      </c>
      <c r="AO2941">
        <v>0</v>
      </c>
      <c r="AP2941">
        <v>0</v>
      </c>
      <c r="AQ2941">
        <v>0</v>
      </c>
      <c r="AS2941">
        <v>0</v>
      </c>
      <c r="AT2941">
        <v>0</v>
      </c>
      <c r="AV2941">
        <v>0</v>
      </c>
      <c r="AW2941">
        <v>0</v>
      </c>
      <c r="AY2941">
        <v>0</v>
      </c>
      <c r="AZ2941">
        <v>0</v>
      </c>
      <c r="BA2941">
        <v>70</v>
      </c>
      <c r="BE2941" t="str">
        <f>T("9791162589724")</f>
        <v>9791162589724</v>
      </c>
      <c r="BF2941" t="str">
        <f>T("E448321")</f>
        <v>E448321</v>
      </c>
      <c r="BG2941" t="str">
        <f>T("판타지 웹소설 &gt; 퓨전 판타지")</f>
        <v>판타지 웹소설 &gt; 퓨전 판타지</v>
      </c>
    </row>
    <row r="2942" spans="1:59">
      <c r="A2942" t="s">
        <v>60</v>
      </c>
      <c r="B2942" s="1">
        <v>46131</v>
      </c>
      <c r="C2942">
        <v>2378009513</v>
      </c>
      <c r="D2942">
        <v>2378009579</v>
      </c>
      <c r="E2942" t="str">
        <f>T("문과라도 안 죄송한 이세계로 감 67화")</f>
        <v>문과라도 안 죄송한 이세계로 감 67화</v>
      </c>
      <c r="F2942">
        <v>67</v>
      </c>
      <c r="G2942" t="str">
        <f>T("정수읠")</f>
        <v>정수읠</v>
      </c>
      <c r="J2942" t="str">
        <f>T("매드햇")</f>
        <v>매드햇</v>
      </c>
      <c r="K2942" t="str">
        <f>T("문과라도 안 죄송한 이세계로 감")</f>
        <v>문과라도 안 죄송한 이세계로 감</v>
      </c>
      <c r="L2942">
        <v>100</v>
      </c>
      <c r="M2942">
        <v>300</v>
      </c>
      <c r="N2942">
        <v>3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0</v>
      </c>
      <c r="AC2942">
        <v>0</v>
      </c>
      <c r="AD2942">
        <v>0</v>
      </c>
      <c r="AE2942">
        <v>0</v>
      </c>
      <c r="AF2942">
        <v>0</v>
      </c>
      <c r="AG2942">
        <v>0</v>
      </c>
      <c r="AH2942">
        <v>0</v>
      </c>
      <c r="AI2942">
        <v>300</v>
      </c>
      <c r="AJ2942">
        <v>3</v>
      </c>
      <c r="AK2942">
        <v>0</v>
      </c>
      <c r="AL2942">
        <v>0</v>
      </c>
      <c r="AM2942">
        <v>300</v>
      </c>
      <c r="AN2942">
        <v>0</v>
      </c>
      <c r="AO2942">
        <v>0</v>
      </c>
      <c r="AP2942">
        <v>0</v>
      </c>
      <c r="AQ2942">
        <v>0</v>
      </c>
      <c r="AS2942">
        <v>0</v>
      </c>
      <c r="AT2942">
        <v>0</v>
      </c>
      <c r="AV2942">
        <v>0</v>
      </c>
      <c r="AW2942">
        <v>0</v>
      </c>
      <c r="AY2942">
        <v>0</v>
      </c>
      <c r="AZ2942">
        <v>0</v>
      </c>
      <c r="BA2942">
        <v>210</v>
      </c>
      <c r="BE2942" t="str">
        <f>T("9791162589724")</f>
        <v>9791162589724</v>
      </c>
      <c r="BF2942" t="str">
        <f>T("E448303")</f>
        <v>E448303</v>
      </c>
      <c r="BG2942" t="str">
        <f>T("판타지 웹소설 &gt; 퓨전 판타지")</f>
        <v>판타지 웹소설 &gt; 퓨전 판타지</v>
      </c>
    </row>
    <row r="2943" spans="1:59">
      <c r="A2943" t="s">
        <v>60</v>
      </c>
      <c r="B2943" s="1">
        <v>46131</v>
      </c>
      <c r="C2943">
        <v>2378009513</v>
      </c>
      <c r="D2943">
        <v>2378009590</v>
      </c>
      <c r="E2943" t="str">
        <f>T("문과라도 안 죄송한 이세계로 감 78화")</f>
        <v>문과라도 안 죄송한 이세계로 감 78화</v>
      </c>
      <c r="F2943">
        <v>78</v>
      </c>
      <c r="G2943" t="str">
        <f>T("정수읠")</f>
        <v>정수읠</v>
      </c>
      <c r="J2943" t="str">
        <f>T("매드햇")</f>
        <v>매드햇</v>
      </c>
      <c r="K2943" t="str">
        <f>T("문과라도 안 죄송한 이세계로 감")</f>
        <v>문과라도 안 죄송한 이세계로 감</v>
      </c>
      <c r="L2943">
        <v>100</v>
      </c>
      <c r="M2943">
        <v>200</v>
      </c>
      <c r="N2943">
        <v>2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0</v>
      </c>
      <c r="AC2943">
        <v>0</v>
      </c>
      <c r="AD2943">
        <v>0</v>
      </c>
      <c r="AE2943">
        <v>0</v>
      </c>
      <c r="AF2943">
        <v>0</v>
      </c>
      <c r="AG2943">
        <v>0</v>
      </c>
      <c r="AH2943">
        <v>0</v>
      </c>
      <c r="AI2943">
        <v>200</v>
      </c>
      <c r="AJ2943">
        <v>2</v>
      </c>
      <c r="AK2943">
        <v>0</v>
      </c>
      <c r="AL2943">
        <v>0</v>
      </c>
      <c r="AM2943">
        <v>200</v>
      </c>
      <c r="AN2943">
        <v>0</v>
      </c>
      <c r="AO2943">
        <v>0</v>
      </c>
      <c r="AP2943">
        <v>0</v>
      </c>
      <c r="AQ2943">
        <v>0</v>
      </c>
      <c r="AS2943">
        <v>0</v>
      </c>
      <c r="AT2943">
        <v>0</v>
      </c>
      <c r="AV2943">
        <v>0</v>
      </c>
      <c r="AW2943">
        <v>0</v>
      </c>
      <c r="AY2943">
        <v>0</v>
      </c>
      <c r="AZ2943">
        <v>0</v>
      </c>
      <c r="BA2943">
        <v>140</v>
      </c>
      <c r="BE2943" t="str">
        <f>T("9791162589724")</f>
        <v>9791162589724</v>
      </c>
      <c r="BF2943" t="str">
        <f>T("E448314")</f>
        <v>E448314</v>
      </c>
      <c r="BG2943" t="str">
        <f>T("판타지 웹소설 &gt; 퓨전 판타지")</f>
        <v>판타지 웹소설 &gt; 퓨전 판타지</v>
      </c>
    </row>
    <row r="2944" spans="1:59">
      <c r="A2944" t="s">
        <v>60</v>
      </c>
      <c r="B2944" s="1">
        <v>46131</v>
      </c>
      <c r="C2944">
        <v>2378009513</v>
      </c>
      <c r="D2944">
        <v>2378009591</v>
      </c>
      <c r="E2944" t="str">
        <f>T("문과라도 안 죄송한 이세계로 감 79화")</f>
        <v>문과라도 안 죄송한 이세계로 감 79화</v>
      </c>
      <c r="F2944">
        <v>79</v>
      </c>
      <c r="G2944" t="str">
        <f>T("정수읠")</f>
        <v>정수읠</v>
      </c>
      <c r="J2944" t="str">
        <f>T("매드햇")</f>
        <v>매드햇</v>
      </c>
      <c r="K2944" t="str">
        <f>T("문과라도 안 죄송한 이세계로 감")</f>
        <v>문과라도 안 죄송한 이세계로 감</v>
      </c>
      <c r="L2944">
        <v>100</v>
      </c>
      <c r="M2944">
        <v>200</v>
      </c>
      <c r="N2944">
        <v>2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0</v>
      </c>
      <c r="AC2944">
        <v>0</v>
      </c>
      <c r="AD2944">
        <v>0</v>
      </c>
      <c r="AE2944">
        <v>0</v>
      </c>
      <c r="AF2944">
        <v>0</v>
      </c>
      <c r="AG2944">
        <v>0</v>
      </c>
      <c r="AH2944">
        <v>0</v>
      </c>
      <c r="AI2944">
        <v>200</v>
      </c>
      <c r="AJ2944">
        <v>2</v>
      </c>
      <c r="AK2944">
        <v>0</v>
      </c>
      <c r="AL2944">
        <v>0</v>
      </c>
      <c r="AM2944">
        <v>200</v>
      </c>
      <c r="AN2944">
        <v>0</v>
      </c>
      <c r="AO2944">
        <v>0</v>
      </c>
      <c r="AP2944">
        <v>0</v>
      </c>
      <c r="AQ2944">
        <v>0</v>
      </c>
      <c r="AS2944">
        <v>0</v>
      </c>
      <c r="AT2944">
        <v>0</v>
      </c>
      <c r="AV2944">
        <v>0</v>
      </c>
      <c r="AW2944">
        <v>0</v>
      </c>
      <c r="AY2944">
        <v>0</v>
      </c>
      <c r="AZ2944">
        <v>0</v>
      </c>
      <c r="BA2944">
        <v>140</v>
      </c>
      <c r="BE2944" t="str">
        <f>T("9791162589724")</f>
        <v>9791162589724</v>
      </c>
      <c r="BF2944" t="str">
        <f>T("E448315")</f>
        <v>E448315</v>
      </c>
      <c r="BG2944" t="str">
        <f>T("판타지 웹소설 &gt; 퓨전 판타지")</f>
        <v>판타지 웹소설 &gt; 퓨전 판타지</v>
      </c>
    </row>
    <row r="2945" spans="1:59">
      <c r="A2945" t="s">
        <v>60</v>
      </c>
      <c r="B2945" s="1">
        <v>46131</v>
      </c>
      <c r="C2945">
        <v>2378009513</v>
      </c>
      <c r="D2945">
        <v>2378009518</v>
      </c>
      <c r="E2945" t="str">
        <f>T("문과라도 안 죄송한 이세계로 감 6화")</f>
        <v>문과라도 안 죄송한 이세계로 감 6화</v>
      </c>
      <c r="F2945">
        <v>6</v>
      </c>
      <c r="G2945" t="str">
        <f>T("정수읠")</f>
        <v>정수읠</v>
      </c>
      <c r="J2945" t="str">
        <f>T("매드햇")</f>
        <v>매드햇</v>
      </c>
      <c r="K2945" t="str">
        <f>T("문과라도 안 죄송한 이세계로 감")</f>
        <v>문과라도 안 죄송한 이세계로 감</v>
      </c>
      <c r="L2945">
        <v>0</v>
      </c>
      <c r="M2945">
        <v>0</v>
      </c>
      <c r="N2945">
        <v>0</v>
      </c>
      <c r="O2945">
        <v>3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0</v>
      </c>
      <c r="AC2945">
        <v>0</v>
      </c>
      <c r="AD2945">
        <v>0</v>
      </c>
      <c r="AE2945">
        <v>0</v>
      </c>
      <c r="AF2945">
        <v>0</v>
      </c>
      <c r="AG2945">
        <v>0</v>
      </c>
      <c r="AH2945">
        <v>0</v>
      </c>
      <c r="AI2945">
        <v>0</v>
      </c>
      <c r="AJ2945">
        <v>3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S2945">
        <v>0</v>
      </c>
      <c r="AT2945">
        <v>0</v>
      </c>
      <c r="AV2945">
        <v>0</v>
      </c>
      <c r="AW2945">
        <v>0</v>
      </c>
      <c r="AY2945">
        <v>0</v>
      </c>
      <c r="AZ2945">
        <v>0</v>
      </c>
      <c r="BA2945">
        <v>0</v>
      </c>
      <c r="BE2945" t="str">
        <f>T("9791162589724")</f>
        <v>9791162589724</v>
      </c>
      <c r="BF2945" t="str">
        <f>T("E448242")</f>
        <v>E448242</v>
      </c>
      <c r="BG2945" t="str">
        <f>T("판타지 웹소설 &gt; 퓨전 판타지")</f>
        <v>판타지 웹소설 &gt; 퓨전 판타지</v>
      </c>
    </row>
    <row r="2946" spans="1:59">
      <c r="A2946" t="s">
        <v>60</v>
      </c>
      <c r="B2946" s="1">
        <v>46131</v>
      </c>
      <c r="C2946">
        <v>2378009513</v>
      </c>
      <c r="D2946">
        <v>2378009519</v>
      </c>
      <c r="E2946" t="str">
        <f>T("문과라도 안 죄송한 이세계로 감 7화")</f>
        <v>문과라도 안 죄송한 이세계로 감 7화</v>
      </c>
      <c r="F2946">
        <v>7</v>
      </c>
      <c r="G2946" t="str">
        <f>T("정수읠")</f>
        <v>정수읠</v>
      </c>
      <c r="J2946" t="str">
        <f>T("매드햇")</f>
        <v>매드햇</v>
      </c>
      <c r="K2946" t="str">
        <f>T("문과라도 안 죄송한 이세계로 감")</f>
        <v>문과라도 안 죄송한 이세계로 감</v>
      </c>
      <c r="L2946">
        <v>0</v>
      </c>
      <c r="M2946">
        <v>0</v>
      </c>
      <c r="N2946">
        <v>0</v>
      </c>
      <c r="O2946">
        <v>3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0</v>
      </c>
      <c r="AC2946">
        <v>0</v>
      </c>
      <c r="AD2946">
        <v>0</v>
      </c>
      <c r="AE2946">
        <v>0</v>
      </c>
      <c r="AF2946">
        <v>0</v>
      </c>
      <c r="AG2946">
        <v>0</v>
      </c>
      <c r="AH2946">
        <v>0</v>
      </c>
      <c r="AI2946">
        <v>0</v>
      </c>
      <c r="AJ2946">
        <v>3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S2946">
        <v>0</v>
      </c>
      <c r="AT2946">
        <v>0</v>
      </c>
      <c r="AV2946">
        <v>0</v>
      </c>
      <c r="AW2946">
        <v>0</v>
      </c>
      <c r="AY2946">
        <v>0</v>
      </c>
      <c r="AZ2946">
        <v>0</v>
      </c>
      <c r="BA2946">
        <v>0</v>
      </c>
      <c r="BE2946" t="str">
        <f>T("9791162589724")</f>
        <v>9791162589724</v>
      </c>
      <c r="BF2946" t="str">
        <f>T("E448243")</f>
        <v>E448243</v>
      </c>
      <c r="BG2946" t="str">
        <f>T("판타지 웹소설 &gt; 퓨전 판타지")</f>
        <v>판타지 웹소설 &gt; 퓨전 판타지</v>
      </c>
    </row>
    <row r="2947" spans="1:59">
      <c r="A2947" t="s">
        <v>60</v>
      </c>
      <c r="B2947" s="1">
        <v>46131</v>
      </c>
      <c r="C2947">
        <v>2378009513</v>
      </c>
      <c r="D2947">
        <v>2378009520</v>
      </c>
      <c r="E2947" t="str">
        <f>T("문과라도 안 죄송한 이세계로 감 8화")</f>
        <v>문과라도 안 죄송한 이세계로 감 8화</v>
      </c>
      <c r="F2947">
        <v>8</v>
      </c>
      <c r="G2947" t="str">
        <f>T("정수읠")</f>
        <v>정수읠</v>
      </c>
      <c r="J2947" t="str">
        <f>T("매드햇")</f>
        <v>매드햇</v>
      </c>
      <c r="K2947" t="str">
        <f>T("문과라도 안 죄송한 이세계로 감")</f>
        <v>문과라도 안 죄송한 이세계로 감</v>
      </c>
      <c r="L2947">
        <v>0</v>
      </c>
      <c r="M2947">
        <v>0</v>
      </c>
      <c r="N2947">
        <v>0</v>
      </c>
      <c r="O2947">
        <v>3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0</v>
      </c>
      <c r="AC2947">
        <v>0</v>
      </c>
      <c r="AD2947">
        <v>0</v>
      </c>
      <c r="AE2947">
        <v>0</v>
      </c>
      <c r="AF2947">
        <v>0</v>
      </c>
      <c r="AG2947">
        <v>0</v>
      </c>
      <c r="AH2947">
        <v>0</v>
      </c>
      <c r="AI2947">
        <v>0</v>
      </c>
      <c r="AJ2947">
        <v>3</v>
      </c>
      <c r="AK2947">
        <v>0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S2947">
        <v>0</v>
      </c>
      <c r="AT2947">
        <v>0</v>
      </c>
      <c r="AV2947">
        <v>0</v>
      </c>
      <c r="AW2947">
        <v>0</v>
      </c>
      <c r="AY2947">
        <v>0</v>
      </c>
      <c r="AZ2947">
        <v>0</v>
      </c>
      <c r="BA2947">
        <v>0</v>
      </c>
      <c r="BE2947" t="str">
        <f>T("9791162589724")</f>
        <v>9791162589724</v>
      </c>
      <c r="BF2947" t="str">
        <f>T("E448244")</f>
        <v>E448244</v>
      </c>
      <c r="BG2947" t="str">
        <f>T("판타지 웹소설 &gt; 퓨전 판타지")</f>
        <v>판타지 웹소설 &gt; 퓨전 판타지</v>
      </c>
    </row>
    <row r="2948" spans="1:59">
      <c r="A2948" t="s">
        <v>60</v>
      </c>
      <c r="B2948" s="1">
        <v>46131</v>
      </c>
      <c r="C2948">
        <v>2378009513</v>
      </c>
      <c r="D2948">
        <v>2378009521</v>
      </c>
      <c r="E2948" t="str">
        <f>T("문과라도 안 죄송한 이세계로 감 9화")</f>
        <v>문과라도 안 죄송한 이세계로 감 9화</v>
      </c>
      <c r="F2948">
        <v>9</v>
      </c>
      <c r="G2948" t="str">
        <f>T("정수읠")</f>
        <v>정수읠</v>
      </c>
      <c r="J2948" t="str">
        <f>T("매드햇")</f>
        <v>매드햇</v>
      </c>
      <c r="K2948" t="str">
        <f>T("문과라도 안 죄송한 이세계로 감")</f>
        <v>문과라도 안 죄송한 이세계로 감</v>
      </c>
      <c r="L2948">
        <v>0</v>
      </c>
      <c r="M2948">
        <v>0</v>
      </c>
      <c r="N2948">
        <v>0</v>
      </c>
      <c r="O2948">
        <v>2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0</v>
      </c>
      <c r="AC2948">
        <v>0</v>
      </c>
      <c r="AD2948">
        <v>0</v>
      </c>
      <c r="AE2948">
        <v>0</v>
      </c>
      <c r="AF2948">
        <v>0</v>
      </c>
      <c r="AG2948">
        <v>0</v>
      </c>
      <c r="AH2948">
        <v>0</v>
      </c>
      <c r="AI2948">
        <v>0</v>
      </c>
      <c r="AJ2948">
        <v>2</v>
      </c>
      <c r="AK2948">
        <v>0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S2948">
        <v>0</v>
      </c>
      <c r="AT2948">
        <v>0</v>
      </c>
      <c r="AV2948">
        <v>0</v>
      </c>
      <c r="AW2948">
        <v>0</v>
      </c>
      <c r="AY2948">
        <v>0</v>
      </c>
      <c r="AZ2948">
        <v>0</v>
      </c>
      <c r="BA2948">
        <v>0</v>
      </c>
      <c r="BE2948" t="str">
        <f>T("9791162589724")</f>
        <v>9791162589724</v>
      </c>
      <c r="BF2948" t="str">
        <f>T("E448245")</f>
        <v>E448245</v>
      </c>
      <c r="BG2948" t="str">
        <f>T("판타지 웹소설 &gt; 퓨전 판타지")</f>
        <v>판타지 웹소설 &gt; 퓨전 판타지</v>
      </c>
    </row>
    <row r="2949" spans="1:59">
      <c r="A2949" t="s">
        <v>60</v>
      </c>
      <c r="B2949" s="1">
        <v>46131</v>
      </c>
      <c r="C2949">
        <v>2378009513</v>
      </c>
      <c r="D2949">
        <v>2378009522</v>
      </c>
      <c r="E2949" t="str">
        <f>T("문과라도 안 죄송한 이세계로 감 10화")</f>
        <v>문과라도 안 죄송한 이세계로 감 10화</v>
      </c>
      <c r="F2949">
        <v>10</v>
      </c>
      <c r="G2949" t="str">
        <f>T("정수읠")</f>
        <v>정수읠</v>
      </c>
      <c r="J2949" t="str">
        <f>T("매드햇")</f>
        <v>매드햇</v>
      </c>
      <c r="K2949" t="str">
        <f>T("문과라도 안 죄송한 이세계로 감")</f>
        <v>문과라도 안 죄송한 이세계로 감</v>
      </c>
      <c r="L2949">
        <v>0</v>
      </c>
      <c r="M2949">
        <v>0</v>
      </c>
      <c r="N2949">
        <v>0</v>
      </c>
      <c r="O2949">
        <v>2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0</v>
      </c>
      <c r="AC2949">
        <v>0</v>
      </c>
      <c r="AD2949">
        <v>0</v>
      </c>
      <c r="AE2949">
        <v>0</v>
      </c>
      <c r="AF2949">
        <v>0</v>
      </c>
      <c r="AG2949">
        <v>0</v>
      </c>
      <c r="AH2949">
        <v>0</v>
      </c>
      <c r="AI2949">
        <v>0</v>
      </c>
      <c r="AJ2949">
        <v>2</v>
      </c>
      <c r="AK2949">
        <v>0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S2949">
        <v>0</v>
      </c>
      <c r="AT2949">
        <v>0</v>
      </c>
      <c r="AV2949">
        <v>0</v>
      </c>
      <c r="AW2949">
        <v>0</v>
      </c>
      <c r="AY2949">
        <v>0</v>
      </c>
      <c r="AZ2949">
        <v>0</v>
      </c>
      <c r="BA2949">
        <v>0</v>
      </c>
      <c r="BE2949" t="str">
        <f>T("9791162589724")</f>
        <v>9791162589724</v>
      </c>
      <c r="BF2949" t="str">
        <f>T("E448246")</f>
        <v>E448246</v>
      </c>
      <c r="BG2949" t="str">
        <f>T("판타지 웹소설 &gt; 퓨전 판타지")</f>
        <v>판타지 웹소설 &gt; 퓨전 판타지</v>
      </c>
    </row>
    <row r="2950" spans="1:59">
      <c r="A2950" t="s">
        <v>60</v>
      </c>
      <c r="B2950" s="1">
        <v>46131</v>
      </c>
      <c r="C2950">
        <v>2378009513</v>
      </c>
      <c r="D2950">
        <v>2378009523</v>
      </c>
      <c r="E2950" t="str">
        <f>T("문과라도 안 죄송한 이세계로 감 11화")</f>
        <v>문과라도 안 죄송한 이세계로 감 11화</v>
      </c>
      <c r="F2950">
        <v>11</v>
      </c>
      <c r="G2950" t="str">
        <f>T("정수읠")</f>
        <v>정수읠</v>
      </c>
      <c r="J2950" t="str">
        <f>T("매드햇")</f>
        <v>매드햇</v>
      </c>
      <c r="K2950" t="str">
        <f>T("문과라도 안 죄송한 이세계로 감")</f>
        <v>문과라도 안 죄송한 이세계로 감</v>
      </c>
      <c r="L2950">
        <v>0</v>
      </c>
      <c r="M2950">
        <v>0</v>
      </c>
      <c r="N2950">
        <v>0</v>
      </c>
      <c r="O2950">
        <v>2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0</v>
      </c>
      <c r="AC2950">
        <v>0</v>
      </c>
      <c r="AD2950">
        <v>0</v>
      </c>
      <c r="AE2950">
        <v>0</v>
      </c>
      <c r="AF2950">
        <v>0</v>
      </c>
      <c r="AG2950">
        <v>0</v>
      </c>
      <c r="AH2950">
        <v>0</v>
      </c>
      <c r="AI2950">
        <v>0</v>
      </c>
      <c r="AJ2950">
        <v>2</v>
      </c>
      <c r="AK2950">
        <v>0</v>
      </c>
      <c r="AL2950">
        <v>0</v>
      </c>
      <c r="AM2950">
        <v>0</v>
      </c>
      <c r="AN2950">
        <v>0</v>
      </c>
      <c r="AO2950">
        <v>0</v>
      </c>
      <c r="AP2950">
        <v>0</v>
      </c>
      <c r="AQ2950">
        <v>0</v>
      </c>
      <c r="AS2950">
        <v>0</v>
      </c>
      <c r="AT2950">
        <v>0</v>
      </c>
      <c r="AV2950">
        <v>0</v>
      </c>
      <c r="AW2950">
        <v>0</v>
      </c>
      <c r="AY2950">
        <v>0</v>
      </c>
      <c r="AZ2950">
        <v>0</v>
      </c>
      <c r="BA2950">
        <v>0</v>
      </c>
      <c r="BE2950" t="str">
        <f>T("9791162589724")</f>
        <v>9791162589724</v>
      </c>
      <c r="BF2950" t="str">
        <f>T("E448247")</f>
        <v>E448247</v>
      </c>
      <c r="BG2950" t="str">
        <f>T("판타지 웹소설 &gt; 퓨전 판타지")</f>
        <v>판타지 웹소설 &gt; 퓨전 판타지</v>
      </c>
    </row>
    <row r="2951" spans="1:59">
      <c r="A2951" t="s">
        <v>60</v>
      </c>
      <c r="B2951" s="1">
        <v>46131</v>
      </c>
      <c r="C2951">
        <v>2378009513</v>
      </c>
      <c r="D2951">
        <v>2378009524</v>
      </c>
      <c r="E2951" t="str">
        <f>T("문과라도 안 죄송한 이세계로 감 12화")</f>
        <v>문과라도 안 죄송한 이세계로 감 12화</v>
      </c>
      <c r="F2951">
        <v>12</v>
      </c>
      <c r="G2951" t="str">
        <f>T("정수읠")</f>
        <v>정수읠</v>
      </c>
      <c r="J2951" t="str">
        <f>T("매드햇")</f>
        <v>매드햇</v>
      </c>
      <c r="K2951" t="str">
        <f>T("문과라도 안 죄송한 이세계로 감")</f>
        <v>문과라도 안 죄송한 이세계로 감</v>
      </c>
      <c r="L2951">
        <v>0</v>
      </c>
      <c r="M2951">
        <v>0</v>
      </c>
      <c r="N2951">
        <v>0</v>
      </c>
      <c r="O2951">
        <v>2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0</v>
      </c>
      <c r="AC2951">
        <v>0</v>
      </c>
      <c r="AD2951">
        <v>0</v>
      </c>
      <c r="AE2951">
        <v>0</v>
      </c>
      <c r="AF2951">
        <v>0</v>
      </c>
      <c r="AG2951">
        <v>0</v>
      </c>
      <c r="AH2951">
        <v>0</v>
      </c>
      <c r="AI2951">
        <v>0</v>
      </c>
      <c r="AJ2951">
        <v>2</v>
      </c>
      <c r="AK2951">
        <v>0</v>
      </c>
      <c r="AL2951">
        <v>0</v>
      </c>
      <c r="AM2951">
        <v>0</v>
      </c>
      <c r="AN2951">
        <v>0</v>
      </c>
      <c r="AO2951">
        <v>0</v>
      </c>
      <c r="AP2951">
        <v>0</v>
      </c>
      <c r="AQ2951">
        <v>0</v>
      </c>
      <c r="AS2951">
        <v>0</v>
      </c>
      <c r="AT2951">
        <v>0</v>
      </c>
      <c r="AV2951">
        <v>0</v>
      </c>
      <c r="AW2951">
        <v>0</v>
      </c>
      <c r="AY2951">
        <v>0</v>
      </c>
      <c r="AZ2951">
        <v>0</v>
      </c>
      <c r="BA2951">
        <v>0</v>
      </c>
      <c r="BE2951" t="str">
        <f>T("9791162589724")</f>
        <v>9791162589724</v>
      </c>
      <c r="BF2951" t="str">
        <f>T("E448248")</f>
        <v>E448248</v>
      </c>
      <c r="BG2951" t="str">
        <f>T("판타지 웹소설 &gt; 퓨전 판타지")</f>
        <v>판타지 웹소설 &gt; 퓨전 판타지</v>
      </c>
    </row>
    <row r="2952" spans="1:59">
      <c r="A2952" t="s">
        <v>60</v>
      </c>
      <c r="B2952" s="1">
        <v>46131</v>
      </c>
      <c r="C2952">
        <v>2378009513</v>
      </c>
      <c r="D2952">
        <v>2378009525</v>
      </c>
      <c r="E2952" t="str">
        <f>T("문과라도 안 죄송한 이세계로 감 13화")</f>
        <v>문과라도 안 죄송한 이세계로 감 13화</v>
      </c>
      <c r="F2952">
        <v>13</v>
      </c>
      <c r="G2952" t="str">
        <f>T("정수읠")</f>
        <v>정수읠</v>
      </c>
      <c r="J2952" t="str">
        <f>T("매드햇")</f>
        <v>매드햇</v>
      </c>
      <c r="K2952" t="str">
        <f>T("문과라도 안 죄송한 이세계로 감")</f>
        <v>문과라도 안 죄송한 이세계로 감</v>
      </c>
      <c r="L2952">
        <v>0</v>
      </c>
      <c r="M2952">
        <v>0</v>
      </c>
      <c r="N2952">
        <v>0</v>
      </c>
      <c r="O2952">
        <v>2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0</v>
      </c>
      <c r="AC2952">
        <v>0</v>
      </c>
      <c r="AD2952">
        <v>0</v>
      </c>
      <c r="AE2952">
        <v>0</v>
      </c>
      <c r="AF2952">
        <v>0</v>
      </c>
      <c r="AG2952">
        <v>0</v>
      </c>
      <c r="AH2952">
        <v>0</v>
      </c>
      <c r="AI2952">
        <v>0</v>
      </c>
      <c r="AJ2952">
        <v>2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S2952">
        <v>0</v>
      </c>
      <c r="AT2952">
        <v>0</v>
      </c>
      <c r="AV2952">
        <v>0</v>
      </c>
      <c r="AW2952">
        <v>0</v>
      </c>
      <c r="AY2952">
        <v>0</v>
      </c>
      <c r="AZ2952">
        <v>0</v>
      </c>
      <c r="BA2952">
        <v>0</v>
      </c>
      <c r="BE2952" t="str">
        <f>T("9791162589724")</f>
        <v>9791162589724</v>
      </c>
      <c r="BF2952" t="str">
        <f>T("E448249")</f>
        <v>E448249</v>
      </c>
      <c r="BG2952" t="str">
        <f>T("판타지 웹소설 &gt; 퓨전 판타지")</f>
        <v>판타지 웹소설 &gt; 퓨전 판타지</v>
      </c>
    </row>
    <row r="2953" spans="1:59">
      <c r="A2953" t="s">
        <v>60</v>
      </c>
      <c r="B2953" s="1">
        <v>46131</v>
      </c>
      <c r="C2953">
        <v>2378009513</v>
      </c>
      <c r="D2953">
        <v>2378009526</v>
      </c>
      <c r="E2953" t="str">
        <f>T("문과라도 안 죄송한 이세계로 감 14화")</f>
        <v>문과라도 안 죄송한 이세계로 감 14화</v>
      </c>
      <c r="F2953">
        <v>14</v>
      </c>
      <c r="G2953" t="str">
        <f>T("정수읠")</f>
        <v>정수읠</v>
      </c>
      <c r="J2953" t="str">
        <f>T("매드햇")</f>
        <v>매드햇</v>
      </c>
      <c r="K2953" t="str">
        <f>T("문과라도 안 죄송한 이세계로 감")</f>
        <v>문과라도 안 죄송한 이세계로 감</v>
      </c>
      <c r="L2953">
        <v>0</v>
      </c>
      <c r="M2953">
        <v>0</v>
      </c>
      <c r="N2953">
        <v>0</v>
      </c>
      <c r="O2953">
        <v>2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0</v>
      </c>
      <c r="AC2953">
        <v>0</v>
      </c>
      <c r="AD2953">
        <v>0</v>
      </c>
      <c r="AE2953">
        <v>0</v>
      </c>
      <c r="AF2953">
        <v>0</v>
      </c>
      <c r="AG2953">
        <v>0</v>
      </c>
      <c r="AH2953">
        <v>0</v>
      </c>
      <c r="AI2953">
        <v>0</v>
      </c>
      <c r="AJ2953">
        <v>2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S2953">
        <v>0</v>
      </c>
      <c r="AT2953">
        <v>0</v>
      </c>
      <c r="AV2953">
        <v>0</v>
      </c>
      <c r="AW2953">
        <v>0</v>
      </c>
      <c r="AY2953">
        <v>0</v>
      </c>
      <c r="AZ2953">
        <v>0</v>
      </c>
      <c r="BA2953">
        <v>0</v>
      </c>
      <c r="BE2953" t="str">
        <f>T("9791162589724")</f>
        <v>9791162589724</v>
      </c>
      <c r="BF2953" t="str">
        <f>T("E448250")</f>
        <v>E448250</v>
      </c>
      <c r="BG2953" t="str">
        <f>T("판타지 웹소설 &gt; 퓨전 판타지")</f>
        <v>판타지 웹소설 &gt; 퓨전 판타지</v>
      </c>
    </row>
    <row r="2954" spans="1:59">
      <c r="A2954" t="s">
        <v>60</v>
      </c>
      <c r="B2954" s="1">
        <v>46131</v>
      </c>
      <c r="C2954">
        <v>2378009513</v>
      </c>
      <c r="D2954">
        <v>2378009527</v>
      </c>
      <c r="E2954" t="str">
        <f>T("문과라도 안 죄송한 이세계로 감 15화")</f>
        <v>문과라도 안 죄송한 이세계로 감 15화</v>
      </c>
      <c r="F2954">
        <v>15</v>
      </c>
      <c r="G2954" t="str">
        <f>T("정수읠")</f>
        <v>정수읠</v>
      </c>
      <c r="J2954" t="str">
        <f>T("매드햇")</f>
        <v>매드햇</v>
      </c>
      <c r="K2954" t="str">
        <f>T("문과라도 안 죄송한 이세계로 감")</f>
        <v>문과라도 안 죄송한 이세계로 감</v>
      </c>
      <c r="L2954">
        <v>0</v>
      </c>
      <c r="M2954">
        <v>0</v>
      </c>
      <c r="N2954">
        <v>0</v>
      </c>
      <c r="O2954">
        <v>2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0</v>
      </c>
      <c r="AC2954">
        <v>0</v>
      </c>
      <c r="AD2954">
        <v>0</v>
      </c>
      <c r="AE2954">
        <v>0</v>
      </c>
      <c r="AF2954">
        <v>0</v>
      </c>
      <c r="AG2954">
        <v>0</v>
      </c>
      <c r="AH2954">
        <v>0</v>
      </c>
      <c r="AI2954">
        <v>0</v>
      </c>
      <c r="AJ2954">
        <v>2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S2954">
        <v>0</v>
      </c>
      <c r="AT2954">
        <v>0</v>
      </c>
      <c r="AV2954">
        <v>0</v>
      </c>
      <c r="AW2954">
        <v>0</v>
      </c>
      <c r="AY2954">
        <v>0</v>
      </c>
      <c r="AZ2954">
        <v>0</v>
      </c>
      <c r="BA2954">
        <v>0</v>
      </c>
      <c r="BE2954" t="str">
        <f>T("9791162589724")</f>
        <v>9791162589724</v>
      </c>
      <c r="BF2954" t="str">
        <f>T("E448251")</f>
        <v>E448251</v>
      </c>
      <c r="BG2954" t="str">
        <f>T("판타지 웹소설 &gt; 퓨전 판타지")</f>
        <v>판타지 웹소설 &gt; 퓨전 판타지</v>
      </c>
    </row>
    <row r="2955" spans="1:59">
      <c r="A2955" t="s">
        <v>60</v>
      </c>
      <c r="B2955" s="1">
        <v>46131</v>
      </c>
      <c r="C2955">
        <v>2378009513</v>
      </c>
      <c r="D2955">
        <v>2378009528</v>
      </c>
      <c r="E2955" t="str">
        <f>T("문과라도 안 죄송한 이세계로 감 16화")</f>
        <v>문과라도 안 죄송한 이세계로 감 16화</v>
      </c>
      <c r="F2955">
        <v>16</v>
      </c>
      <c r="G2955" t="str">
        <f>T("정수읠")</f>
        <v>정수읠</v>
      </c>
      <c r="J2955" t="str">
        <f>T("매드햇")</f>
        <v>매드햇</v>
      </c>
      <c r="K2955" t="str">
        <f>T("문과라도 안 죄송한 이세계로 감")</f>
        <v>문과라도 안 죄송한 이세계로 감</v>
      </c>
      <c r="L2955">
        <v>0</v>
      </c>
      <c r="M2955">
        <v>0</v>
      </c>
      <c r="N2955">
        <v>0</v>
      </c>
      <c r="O2955">
        <v>2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0</v>
      </c>
      <c r="AC2955">
        <v>0</v>
      </c>
      <c r="AD2955">
        <v>0</v>
      </c>
      <c r="AE2955">
        <v>0</v>
      </c>
      <c r="AF2955">
        <v>0</v>
      </c>
      <c r="AG2955">
        <v>0</v>
      </c>
      <c r="AH2955">
        <v>0</v>
      </c>
      <c r="AI2955">
        <v>0</v>
      </c>
      <c r="AJ2955">
        <v>2</v>
      </c>
      <c r="AK2955">
        <v>0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S2955">
        <v>0</v>
      </c>
      <c r="AT2955">
        <v>0</v>
      </c>
      <c r="AV2955">
        <v>0</v>
      </c>
      <c r="AW2955">
        <v>0</v>
      </c>
      <c r="AY2955">
        <v>0</v>
      </c>
      <c r="AZ2955">
        <v>0</v>
      </c>
      <c r="BA2955">
        <v>0</v>
      </c>
      <c r="BE2955" t="str">
        <f>T("9791162589724")</f>
        <v>9791162589724</v>
      </c>
      <c r="BF2955" t="str">
        <f>T("E448252")</f>
        <v>E448252</v>
      </c>
      <c r="BG2955" t="str">
        <f>T("판타지 웹소설 &gt; 퓨전 판타지")</f>
        <v>판타지 웹소설 &gt; 퓨전 판타지</v>
      </c>
    </row>
    <row r="2956" spans="1:59">
      <c r="A2956" t="s">
        <v>60</v>
      </c>
      <c r="B2956" s="1">
        <v>46131</v>
      </c>
      <c r="C2956">
        <v>2378009513</v>
      </c>
      <c r="D2956">
        <v>2378009529</v>
      </c>
      <c r="E2956" t="str">
        <f>T("문과라도 안 죄송한 이세계로 감 17화")</f>
        <v>문과라도 안 죄송한 이세계로 감 17화</v>
      </c>
      <c r="F2956">
        <v>17</v>
      </c>
      <c r="G2956" t="str">
        <f>T("정수읠")</f>
        <v>정수읠</v>
      </c>
      <c r="J2956" t="str">
        <f>T("매드햇")</f>
        <v>매드햇</v>
      </c>
      <c r="K2956" t="str">
        <f>T("문과라도 안 죄송한 이세계로 감")</f>
        <v>문과라도 안 죄송한 이세계로 감</v>
      </c>
      <c r="L2956">
        <v>0</v>
      </c>
      <c r="M2956">
        <v>0</v>
      </c>
      <c r="N2956">
        <v>0</v>
      </c>
      <c r="O2956">
        <v>3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0</v>
      </c>
      <c r="AC2956">
        <v>0</v>
      </c>
      <c r="AD2956">
        <v>0</v>
      </c>
      <c r="AE2956">
        <v>0</v>
      </c>
      <c r="AF2956">
        <v>0</v>
      </c>
      <c r="AG2956">
        <v>0</v>
      </c>
      <c r="AH2956">
        <v>0</v>
      </c>
      <c r="AI2956">
        <v>0</v>
      </c>
      <c r="AJ2956">
        <v>3</v>
      </c>
      <c r="AK2956">
        <v>0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S2956">
        <v>0</v>
      </c>
      <c r="AT2956">
        <v>0</v>
      </c>
      <c r="AV2956">
        <v>0</v>
      </c>
      <c r="AW2956">
        <v>0</v>
      </c>
      <c r="AY2956">
        <v>0</v>
      </c>
      <c r="AZ2956">
        <v>0</v>
      </c>
      <c r="BA2956">
        <v>0</v>
      </c>
      <c r="BE2956" t="str">
        <f>T("9791162589724")</f>
        <v>9791162589724</v>
      </c>
      <c r="BF2956" t="str">
        <f>T("E448253")</f>
        <v>E448253</v>
      </c>
      <c r="BG2956" t="str">
        <f>T("판타지 웹소설 &gt; 퓨전 판타지")</f>
        <v>판타지 웹소설 &gt; 퓨전 판타지</v>
      </c>
    </row>
    <row r="2957" spans="1:59">
      <c r="A2957" t="s">
        <v>60</v>
      </c>
      <c r="B2957" s="1">
        <v>46131</v>
      </c>
      <c r="C2957">
        <v>2378009513</v>
      </c>
      <c r="D2957">
        <v>2378009530</v>
      </c>
      <c r="E2957" t="str">
        <f>T("문과라도 안 죄송한 이세계로 감 18화")</f>
        <v>문과라도 안 죄송한 이세계로 감 18화</v>
      </c>
      <c r="F2957">
        <v>18</v>
      </c>
      <c r="G2957" t="str">
        <f>T("정수읠")</f>
        <v>정수읠</v>
      </c>
      <c r="J2957" t="str">
        <f>T("매드햇")</f>
        <v>매드햇</v>
      </c>
      <c r="K2957" t="str">
        <f>T("문과라도 안 죄송한 이세계로 감")</f>
        <v>문과라도 안 죄송한 이세계로 감</v>
      </c>
      <c r="L2957">
        <v>0</v>
      </c>
      <c r="M2957">
        <v>0</v>
      </c>
      <c r="N2957">
        <v>0</v>
      </c>
      <c r="O2957">
        <v>3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0</v>
      </c>
      <c r="AC2957">
        <v>0</v>
      </c>
      <c r="AD2957">
        <v>0</v>
      </c>
      <c r="AE2957">
        <v>0</v>
      </c>
      <c r="AF2957">
        <v>0</v>
      </c>
      <c r="AG2957">
        <v>0</v>
      </c>
      <c r="AH2957">
        <v>0</v>
      </c>
      <c r="AI2957">
        <v>0</v>
      </c>
      <c r="AJ2957">
        <v>3</v>
      </c>
      <c r="AK2957">
        <v>0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S2957">
        <v>0</v>
      </c>
      <c r="AT2957">
        <v>0</v>
      </c>
      <c r="AV2957">
        <v>0</v>
      </c>
      <c r="AW2957">
        <v>0</v>
      </c>
      <c r="AY2957">
        <v>0</v>
      </c>
      <c r="AZ2957">
        <v>0</v>
      </c>
      <c r="BA2957">
        <v>0</v>
      </c>
      <c r="BE2957" t="str">
        <f>T("9791162589724")</f>
        <v>9791162589724</v>
      </c>
      <c r="BF2957" t="str">
        <f>T("E448254")</f>
        <v>E448254</v>
      </c>
      <c r="BG2957" t="str">
        <f>T("판타지 웹소설 &gt; 퓨전 판타지")</f>
        <v>판타지 웹소설 &gt; 퓨전 판타지</v>
      </c>
    </row>
    <row r="2958" spans="1:59">
      <c r="A2958" t="s">
        <v>60</v>
      </c>
      <c r="B2958" s="1">
        <v>46131</v>
      </c>
      <c r="C2958">
        <v>2378009513</v>
      </c>
      <c r="D2958">
        <v>2378009534</v>
      </c>
      <c r="E2958" t="str">
        <f>T("문과라도 안 죄송한 이세계로 감 22화")</f>
        <v>문과라도 안 죄송한 이세계로 감 22화</v>
      </c>
      <c r="F2958">
        <v>22</v>
      </c>
      <c r="G2958" t="str">
        <f>T("정수읠")</f>
        <v>정수읠</v>
      </c>
      <c r="J2958" t="str">
        <f>T("매드햇")</f>
        <v>매드햇</v>
      </c>
      <c r="K2958" t="str">
        <f>T("문과라도 안 죄송한 이세계로 감")</f>
        <v>문과라도 안 죄송한 이세계로 감</v>
      </c>
      <c r="L2958">
        <v>0</v>
      </c>
      <c r="M2958">
        <v>0</v>
      </c>
      <c r="N2958">
        <v>0</v>
      </c>
      <c r="O2958">
        <v>3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0</v>
      </c>
      <c r="AC2958">
        <v>0</v>
      </c>
      <c r="AD2958">
        <v>0</v>
      </c>
      <c r="AE2958">
        <v>0</v>
      </c>
      <c r="AF2958">
        <v>0</v>
      </c>
      <c r="AG2958">
        <v>0</v>
      </c>
      <c r="AH2958">
        <v>0</v>
      </c>
      <c r="AI2958">
        <v>0</v>
      </c>
      <c r="AJ2958">
        <v>3</v>
      </c>
      <c r="AK2958">
        <v>0</v>
      </c>
      <c r="AL2958">
        <v>0</v>
      </c>
      <c r="AM2958">
        <v>0</v>
      </c>
      <c r="AN2958">
        <v>0</v>
      </c>
      <c r="AO2958">
        <v>0</v>
      </c>
      <c r="AP2958">
        <v>0</v>
      </c>
      <c r="AQ2958">
        <v>0</v>
      </c>
      <c r="AS2958">
        <v>0</v>
      </c>
      <c r="AT2958">
        <v>0</v>
      </c>
      <c r="AV2958">
        <v>0</v>
      </c>
      <c r="AW2958">
        <v>0</v>
      </c>
      <c r="AY2958">
        <v>0</v>
      </c>
      <c r="AZ2958">
        <v>0</v>
      </c>
      <c r="BA2958">
        <v>0</v>
      </c>
      <c r="BE2958" t="str">
        <f>T("9791162589724")</f>
        <v>9791162589724</v>
      </c>
      <c r="BF2958" t="str">
        <f>T("E448258")</f>
        <v>E448258</v>
      </c>
      <c r="BG2958" t="str">
        <f>T("판타지 웹소설 &gt; 퓨전 판타지")</f>
        <v>판타지 웹소설 &gt; 퓨전 판타지</v>
      </c>
    </row>
    <row r="2959" spans="1:59">
      <c r="A2959" t="s">
        <v>60</v>
      </c>
      <c r="B2959" s="1">
        <v>46131</v>
      </c>
      <c r="C2959">
        <v>2378009513</v>
      </c>
      <c r="D2959">
        <v>2378009535</v>
      </c>
      <c r="E2959" t="str">
        <f>T("문과라도 안 죄송한 이세계로 감 23화")</f>
        <v>문과라도 안 죄송한 이세계로 감 23화</v>
      </c>
      <c r="F2959">
        <v>23</v>
      </c>
      <c r="G2959" t="str">
        <f>T("정수읠")</f>
        <v>정수읠</v>
      </c>
      <c r="J2959" t="str">
        <f>T("매드햇")</f>
        <v>매드햇</v>
      </c>
      <c r="K2959" t="str">
        <f>T("문과라도 안 죄송한 이세계로 감")</f>
        <v>문과라도 안 죄송한 이세계로 감</v>
      </c>
      <c r="L2959">
        <v>0</v>
      </c>
      <c r="M2959">
        <v>0</v>
      </c>
      <c r="N2959">
        <v>0</v>
      </c>
      <c r="O2959">
        <v>3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0</v>
      </c>
      <c r="AC2959">
        <v>0</v>
      </c>
      <c r="AD2959">
        <v>0</v>
      </c>
      <c r="AE2959">
        <v>0</v>
      </c>
      <c r="AF2959">
        <v>0</v>
      </c>
      <c r="AG2959">
        <v>0</v>
      </c>
      <c r="AH2959">
        <v>0</v>
      </c>
      <c r="AI2959">
        <v>0</v>
      </c>
      <c r="AJ2959">
        <v>3</v>
      </c>
      <c r="AK2959">
        <v>0</v>
      </c>
      <c r="AL2959">
        <v>0</v>
      </c>
      <c r="AM2959">
        <v>0</v>
      </c>
      <c r="AN2959">
        <v>0</v>
      </c>
      <c r="AO2959">
        <v>0</v>
      </c>
      <c r="AP2959">
        <v>0</v>
      </c>
      <c r="AQ2959">
        <v>0</v>
      </c>
      <c r="AS2959">
        <v>0</v>
      </c>
      <c r="AT2959">
        <v>0</v>
      </c>
      <c r="AV2959">
        <v>0</v>
      </c>
      <c r="AW2959">
        <v>0</v>
      </c>
      <c r="AY2959">
        <v>0</v>
      </c>
      <c r="AZ2959">
        <v>0</v>
      </c>
      <c r="BA2959">
        <v>0</v>
      </c>
      <c r="BE2959" t="str">
        <f>T("9791162589724")</f>
        <v>9791162589724</v>
      </c>
      <c r="BF2959" t="str">
        <f>T("E448259")</f>
        <v>E448259</v>
      </c>
      <c r="BG2959" t="str">
        <f>T("판타지 웹소설 &gt; 퓨전 판타지")</f>
        <v>판타지 웹소설 &gt; 퓨전 판타지</v>
      </c>
    </row>
    <row r="2960" spans="1:59">
      <c r="A2960" t="s">
        <v>60</v>
      </c>
      <c r="B2960" s="1">
        <v>46131</v>
      </c>
      <c r="C2960">
        <v>2378009513</v>
      </c>
      <c r="D2960">
        <v>2378009537</v>
      </c>
      <c r="E2960" t="str">
        <f>T("문과라도 안 죄송한 이세계로 감 25화")</f>
        <v>문과라도 안 죄송한 이세계로 감 25화</v>
      </c>
      <c r="F2960">
        <v>25</v>
      </c>
      <c r="G2960" t="str">
        <f>T("정수읠")</f>
        <v>정수읠</v>
      </c>
      <c r="J2960" t="str">
        <f>T("매드햇")</f>
        <v>매드햇</v>
      </c>
      <c r="K2960" t="str">
        <f>T("문과라도 안 죄송한 이세계로 감")</f>
        <v>문과라도 안 죄송한 이세계로 감</v>
      </c>
      <c r="L2960">
        <v>0</v>
      </c>
      <c r="M2960">
        <v>0</v>
      </c>
      <c r="N2960">
        <v>0</v>
      </c>
      <c r="O2960">
        <v>2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0</v>
      </c>
      <c r="AC2960">
        <v>0</v>
      </c>
      <c r="AD2960">
        <v>0</v>
      </c>
      <c r="AE2960">
        <v>0</v>
      </c>
      <c r="AF2960">
        <v>0</v>
      </c>
      <c r="AG2960">
        <v>0</v>
      </c>
      <c r="AH2960">
        <v>0</v>
      </c>
      <c r="AI2960">
        <v>0</v>
      </c>
      <c r="AJ2960">
        <v>2</v>
      </c>
      <c r="AK2960">
        <v>0</v>
      </c>
      <c r="AL2960">
        <v>0</v>
      </c>
      <c r="AM2960">
        <v>0</v>
      </c>
      <c r="AN2960">
        <v>0</v>
      </c>
      <c r="AO2960">
        <v>0</v>
      </c>
      <c r="AP2960">
        <v>0</v>
      </c>
      <c r="AQ2960">
        <v>0</v>
      </c>
      <c r="AS2960">
        <v>0</v>
      </c>
      <c r="AT2960">
        <v>0</v>
      </c>
      <c r="AV2960">
        <v>0</v>
      </c>
      <c r="AW2960">
        <v>0</v>
      </c>
      <c r="AY2960">
        <v>0</v>
      </c>
      <c r="AZ2960">
        <v>0</v>
      </c>
      <c r="BA2960">
        <v>0</v>
      </c>
      <c r="BE2960" t="str">
        <f>T("9791162589724")</f>
        <v>9791162589724</v>
      </c>
      <c r="BF2960" t="str">
        <f>T("E448261")</f>
        <v>E448261</v>
      </c>
      <c r="BG2960" t="str">
        <f>T("판타지 웹소설 &gt; 퓨전 판타지")</f>
        <v>판타지 웹소설 &gt; 퓨전 판타지</v>
      </c>
    </row>
    <row r="2961" spans="1:59">
      <c r="A2961" t="s">
        <v>60</v>
      </c>
      <c r="B2961" s="1">
        <v>46131</v>
      </c>
      <c r="C2961">
        <v>2378009513</v>
      </c>
      <c r="D2961">
        <v>2378009538</v>
      </c>
      <c r="E2961" t="str">
        <f>T("문과라도 안 죄송한 이세계로 감 26화")</f>
        <v>문과라도 안 죄송한 이세계로 감 26화</v>
      </c>
      <c r="F2961">
        <v>26</v>
      </c>
      <c r="G2961" t="str">
        <f>T("정수읠")</f>
        <v>정수읠</v>
      </c>
      <c r="J2961" t="str">
        <f>T("매드햇")</f>
        <v>매드햇</v>
      </c>
      <c r="K2961" t="str">
        <f>T("문과라도 안 죄송한 이세계로 감")</f>
        <v>문과라도 안 죄송한 이세계로 감</v>
      </c>
      <c r="L2961">
        <v>0</v>
      </c>
      <c r="M2961">
        <v>0</v>
      </c>
      <c r="N2961">
        <v>0</v>
      </c>
      <c r="O2961">
        <v>2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0</v>
      </c>
      <c r="AC2961">
        <v>0</v>
      </c>
      <c r="AD2961">
        <v>0</v>
      </c>
      <c r="AE2961">
        <v>0</v>
      </c>
      <c r="AF2961">
        <v>0</v>
      </c>
      <c r="AG2961">
        <v>0</v>
      </c>
      <c r="AH2961">
        <v>0</v>
      </c>
      <c r="AI2961">
        <v>0</v>
      </c>
      <c r="AJ2961">
        <v>2</v>
      </c>
      <c r="AK2961">
        <v>0</v>
      </c>
      <c r="AL2961">
        <v>0</v>
      </c>
      <c r="AM2961">
        <v>0</v>
      </c>
      <c r="AN2961">
        <v>0</v>
      </c>
      <c r="AO2961">
        <v>0</v>
      </c>
      <c r="AP2961">
        <v>0</v>
      </c>
      <c r="AQ2961">
        <v>0</v>
      </c>
      <c r="AS2961">
        <v>0</v>
      </c>
      <c r="AT2961">
        <v>0</v>
      </c>
      <c r="AV2961">
        <v>0</v>
      </c>
      <c r="AW2961">
        <v>0</v>
      </c>
      <c r="AY2961">
        <v>0</v>
      </c>
      <c r="AZ2961">
        <v>0</v>
      </c>
      <c r="BA2961">
        <v>0</v>
      </c>
      <c r="BE2961" t="str">
        <f>T("9791162589724")</f>
        <v>9791162589724</v>
      </c>
      <c r="BF2961" t="str">
        <f>T("E448262")</f>
        <v>E448262</v>
      </c>
      <c r="BG2961" t="str">
        <f>T("판타지 웹소설 &gt; 퓨전 판타지")</f>
        <v>판타지 웹소설 &gt; 퓨전 판타지</v>
      </c>
    </row>
    <row r="2962" spans="1:59">
      <c r="A2962" t="s">
        <v>60</v>
      </c>
      <c r="B2962" s="1">
        <v>46131</v>
      </c>
      <c r="C2962">
        <v>2378009513</v>
      </c>
      <c r="D2962">
        <v>2378015977</v>
      </c>
      <c r="E2962" t="str">
        <f>T("문과라도 안 죄송한 이세계로 감 304화")</f>
        <v>문과라도 안 죄송한 이세계로 감 304화</v>
      </c>
      <c r="F2962">
        <v>304</v>
      </c>
      <c r="G2962" t="str">
        <f>T("정수읠")</f>
        <v>정수읠</v>
      </c>
      <c r="J2962" t="str">
        <f>T("매드햇")</f>
        <v>매드햇</v>
      </c>
      <c r="K2962" t="str">
        <f>T("문과라도 안 죄송한 이세계로 감")</f>
        <v>문과라도 안 죄송한 이세계로 감</v>
      </c>
      <c r="L2962">
        <v>100</v>
      </c>
      <c r="M2962">
        <v>200</v>
      </c>
      <c r="N2962">
        <v>2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0</v>
      </c>
      <c r="AC2962">
        <v>0</v>
      </c>
      <c r="AD2962">
        <v>0</v>
      </c>
      <c r="AE2962">
        <v>0</v>
      </c>
      <c r="AF2962">
        <v>0</v>
      </c>
      <c r="AG2962">
        <v>0</v>
      </c>
      <c r="AH2962">
        <v>0</v>
      </c>
      <c r="AI2962">
        <v>200</v>
      </c>
      <c r="AJ2962">
        <v>2</v>
      </c>
      <c r="AK2962">
        <v>0</v>
      </c>
      <c r="AL2962">
        <v>0</v>
      </c>
      <c r="AM2962">
        <v>110</v>
      </c>
      <c r="AN2962">
        <v>0</v>
      </c>
      <c r="AO2962">
        <v>108</v>
      </c>
      <c r="AP2962">
        <v>-10.8</v>
      </c>
      <c r="AQ2962">
        <v>0</v>
      </c>
      <c r="AS2962">
        <v>0</v>
      </c>
      <c r="AT2962">
        <v>0</v>
      </c>
      <c r="AU2962">
        <v>108</v>
      </c>
      <c r="AV2962">
        <v>-10.8</v>
      </c>
      <c r="AW2962">
        <v>0</v>
      </c>
      <c r="AY2962">
        <v>0</v>
      </c>
      <c r="AZ2962">
        <v>0</v>
      </c>
      <c r="BA2962">
        <v>145.04</v>
      </c>
      <c r="BC2962" t="str">
        <f>T("0000000000000")</f>
        <v>0000000000000</v>
      </c>
      <c r="BE2962" t="str">
        <f>T("9791162589724")</f>
        <v>9791162589724</v>
      </c>
      <c r="BF2962" t="str">
        <f>T("E766768")</f>
        <v>E766768</v>
      </c>
      <c r="BG2962" t="str">
        <f>T("판타지 웹소설 &gt; 퓨전 판타지")</f>
        <v>판타지 웹소설 &gt; 퓨전 판타지</v>
      </c>
    </row>
    <row r="2963" spans="1:59">
      <c r="A2963" t="s">
        <v>60</v>
      </c>
      <c r="B2963" s="1">
        <v>46131</v>
      </c>
      <c r="C2963">
        <v>2378009513</v>
      </c>
      <c r="D2963">
        <v>2378009592</v>
      </c>
      <c r="E2963" t="str">
        <f>T("문과라도 안 죄송한 이세계로 감 80화")</f>
        <v>문과라도 안 죄송한 이세계로 감 80화</v>
      </c>
      <c r="F2963">
        <v>80</v>
      </c>
      <c r="G2963" t="str">
        <f>T("정수읠")</f>
        <v>정수읠</v>
      </c>
      <c r="J2963" t="str">
        <f>T("매드햇")</f>
        <v>매드햇</v>
      </c>
      <c r="K2963" t="str">
        <f>T("문과라도 안 죄송한 이세계로 감")</f>
        <v>문과라도 안 죄송한 이세계로 감</v>
      </c>
      <c r="L2963">
        <v>100</v>
      </c>
      <c r="M2963">
        <v>200</v>
      </c>
      <c r="N2963">
        <v>2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0</v>
      </c>
      <c r="AC2963">
        <v>0</v>
      </c>
      <c r="AD2963">
        <v>0</v>
      </c>
      <c r="AE2963">
        <v>0</v>
      </c>
      <c r="AF2963">
        <v>0</v>
      </c>
      <c r="AG2963">
        <v>0</v>
      </c>
      <c r="AH2963">
        <v>0</v>
      </c>
      <c r="AI2963">
        <v>200</v>
      </c>
      <c r="AJ2963">
        <v>2</v>
      </c>
      <c r="AK2963">
        <v>0</v>
      </c>
      <c r="AL2963">
        <v>0</v>
      </c>
      <c r="AM2963">
        <v>200</v>
      </c>
      <c r="AN2963">
        <v>0</v>
      </c>
      <c r="AO2963">
        <v>0</v>
      </c>
      <c r="AP2963">
        <v>0</v>
      </c>
      <c r="AQ2963">
        <v>0</v>
      </c>
      <c r="AS2963">
        <v>0</v>
      </c>
      <c r="AT2963">
        <v>0</v>
      </c>
      <c r="AV2963">
        <v>0</v>
      </c>
      <c r="AW2963">
        <v>0</v>
      </c>
      <c r="AY2963">
        <v>0</v>
      </c>
      <c r="AZ2963">
        <v>0</v>
      </c>
      <c r="BA2963">
        <v>140</v>
      </c>
      <c r="BE2963" t="str">
        <f>T("9791162589724")</f>
        <v>9791162589724</v>
      </c>
      <c r="BF2963" t="str">
        <f>T("E448316")</f>
        <v>E448316</v>
      </c>
      <c r="BG2963" t="str">
        <f>T("판타지 웹소설 &gt; 퓨전 판타지")</f>
        <v>판타지 웹소설 &gt; 퓨전 판타지</v>
      </c>
    </row>
    <row r="2964" spans="1:59">
      <c r="A2964" t="s">
        <v>60</v>
      </c>
      <c r="B2964" s="1">
        <v>46131</v>
      </c>
      <c r="C2964">
        <v>2378009513</v>
      </c>
      <c r="D2964">
        <v>2378013300</v>
      </c>
      <c r="E2964" t="str">
        <f>T("문과라도 안 죄송한 이세계로 감 220화")</f>
        <v>문과라도 안 죄송한 이세계로 감 220화</v>
      </c>
      <c r="F2964">
        <v>220</v>
      </c>
      <c r="G2964" t="str">
        <f>T("정수읠")</f>
        <v>정수읠</v>
      </c>
      <c r="J2964" t="str">
        <f>T("매드햇")</f>
        <v>매드햇</v>
      </c>
      <c r="K2964" t="str">
        <f>T("문과라도 안 죄송한 이세계로 감")</f>
        <v>문과라도 안 죄송한 이세계로 감</v>
      </c>
      <c r="L2964">
        <v>100</v>
      </c>
      <c r="M2964">
        <v>100</v>
      </c>
      <c r="N2964">
        <v>1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0</v>
      </c>
      <c r="AC2964">
        <v>0</v>
      </c>
      <c r="AD2964">
        <v>0</v>
      </c>
      <c r="AE2964">
        <v>0</v>
      </c>
      <c r="AF2964">
        <v>0</v>
      </c>
      <c r="AG2964">
        <v>0</v>
      </c>
      <c r="AH2964">
        <v>0</v>
      </c>
      <c r="AI2964">
        <v>100</v>
      </c>
      <c r="AJ2964">
        <v>1</v>
      </c>
      <c r="AK2964">
        <v>0</v>
      </c>
      <c r="AL2964">
        <v>0</v>
      </c>
      <c r="AM2964">
        <v>100</v>
      </c>
      <c r="AN2964">
        <v>0</v>
      </c>
      <c r="AO2964">
        <v>0</v>
      </c>
      <c r="AP2964">
        <v>0</v>
      </c>
      <c r="AQ2964">
        <v>0</v>
      </c>
      <c r="AS2964">
        <v>0</v>
      </c>
      <c r="AT2964">
        <v>0</v>
      </c>
      <c r="AV2964">
        <v>0</v>
      </c>
      <c r="AW2964">
        <v>0</v>
      </c>
      <c r="AY2964">
        <v>0</v>
      </c>
      <c r="AZ2964">
        <v>0</v>
      </c>
      <c r="BA2964">
        <v>70</v>
      </c>
      <c r="BC2964" t="str">
        <f>T("0000000000000")</f>
        <v>0000000000000</v>
      </c>
      <c r="BE2964" t="str">
        <f>T("9791162589724")</f>
        <v>9791162589724</v>
      </c>
      <c r="BF2964" t="str">
        <f>T("E678543")</f>
        <v>E678543</v>
      </c>
      <c r="BG2964" t="str">
        <f>T("판타지 웹소설 &gt; 퓨전 판타지")</f>
        <v>판타지 웹소설 &gt; 퓨전 판타지</v>
      </c>
    </row>
    <row r="2965" spans="1:59">
      <c r="A2965" t="s">
        <v>60</v>
      </c>
      <c r="B2965" s="1">
        <v>46131</v>
      </c>
      <c r="C2965">
        <v>2378009513</v>
      </c>
      <c r="D2965">
        <v>2378013306</v>
      </c>
      <c r="E2965" t="str">
        <f>T("문과라도 안 죄송한 이세계로 감 221화")</f>
        <v>문과라도 안 죄송한 이세계로 감 221화</v>
      </c>
      <c r="F2965">
        <v>221</v>
      </c>
      <c r="G2965" t="str">
        <f>T("정수읠")</f>
        <v>정수읠</v>
      </c>
      <c r="J2965" t="str">
        <f>T("매드햇")</f>
        <v>매드햇</v>
      </c>
      <c r="K2965" t="str">
        <f>T("문과라도 안 죄송한 이세계로 감")</f>
        <v>문과라도 안 죄송한 이세계로 감</v>
      </c>
      <c r="L2965">
        <v>100</v>
      </c>
      <c r="M2965">
        <v>100</v>
      </c>
      <c r="N2965">
        <v>1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0</v>
      </c>
      <c r="AC2965">
        <v>0</v>
      </c>
      <c r="AD2965">
        <v>0</v>
      </c>
      <c r="AE2965">
        <v>0</v>
      </c>
      <c r="AF2965">
        <v>0</v>
      </c>
      <c r="AG2965">
        <v>0</v>
      </c>
      <c r="AH2965">
        <v>0</v>
      </c>
      <c r="AI2965">
        <v>100</v>
      </c>
      <c r="AJ2965">
        <v>1</v>
      </c>
      <c r="AK2965">
        <v>0</v>
      </c>
      <c r="AL2965">
        <v>0</v>
      </c>
      <c r="AM2965">
        <v>100</v>
      </c>
      <c r="AN2965">
        <v>0</v>
      </c>
      <c r="AO2965">
        <v>0</v>
      </c>
      <c r="AP2965">
        <v>0</v>
      </c>
      <c r="AQ2965">
        <v>0</v>
      </c>
      <c r="AS2965">
        <v>0</v>
      </c>
      <c r="AT2965">
        <v>0</v>
      </c>
      <c r="AV2965">
        <v>0</v>
      </c>
      <c r="AW2965">
        <v>0</v>
      </c>
      <c r="AY2965">
        <v>0</v>
      </c>
      <c r="AZ2965">
        <v>0</v>
      </c>
      <c r="BA2965">
        <v>70</v>
      </c>
      <c r="BC2965" t="str">
        <f>T("0000000000000")</f>
        <v>0000000000000</v>
      </c>
      <c r="BE2965" t="str">
        <f>T("9791162589724")</f>
        <v>9791162589724</v>
      </c>
      <c r="BF2965" t="str">
        <f>T("E678544")</f>
        <v>E678544</v>
      </c>
      <c r="BG2965" t="str">
        <f>T("판타지 웹소설 &gt; 퓨전 판타지")</f>
        <v>판타지 웹소설 &gt; 퓨전 판타지</v>
      </c>
    </row>
    <row r="2966" spans="1:59">
      <c r="A2966" t="s">
        <v>60</v>
      </c>
      <c r="B2966" s="1">
        <v>46131</v>
      </c>
      <c r="C2966">
        <v>2378009513</v>
      </c>
      <c r="D2966">
        <v>2378009609</v>
      </c>
      <c r="E2966" t="str">
        <f>T("문과라도 안 죄송한 이세계로 감 97화")</f>
        <v>문과라도 안 죄송한 이세계로 감 97화</v>
      </c>
      <c r="F2966">
        <v>97</v>
      </c>
      <c r="G2966" t="str">
        <f>T("정수읠")</f>
        <v>정수읠</v>
      </c>
      <c r="J2966" t="str">
        <f>T("매드햇")</f>
        <v>매드햇</v>
      </c>
      <c r="K2966" t="str">
        <f>T("문과라도 안 죄송한 이세계로 감")</f>
        <v>문과라도 안 죄송한 이세계로 감</v>
      </c>
      <c r="L2966">
        <v>100</v>
      </c>
      <c r="M2966">
        <v>100</v>
      </c>
      <c r="N2966">
        <v>1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0</v>
      </c>
      <c r="AC2966">
        <v>0</v>
      </c>
      <c r="AD2966">
        <v>0</v>
      </c>
      <c r="AE2966">
        <v>0</v>
      </c>
      <c r="AF2966">
        <v>0</v>
      </c>
      <c r="AG2966">
        <v>0</v>
      </c>
      <c r="AH2966">
        <v>0</v>
      </c>
      <c r="AI2966">
        <v>100</v>
      </c>
      <c r="AJ2966">
        <v>1</v>
      </c>
      <c r="AK2966">
        <v>0</v>
      </c>
      <c r="AL2966">
        <v>0</v>
      </c>
      <c r="AM2966">
        <v>100</v>
      </c>
      <c r="AN2966">
        <v>0</v>
      </c>
      <c r="AO2966">
        <v>0</v>
      </c>
      <c r="AP2966">
        <v>0</v>
      </c>
      <c r="AQ2966">
        <v>0</v>
      </c>
      <c r="AS2966">
        <v>0</v>
      </c>
      <c r="AT2966">
        <v>0</v>
      </c>
      <c r="AV2966">
        <v>0</v>
      </c>
      <c r="AW2966">
        <v>0</v>
      </c>
      <c r="AY2966">
        <v>0</v>
      </c>
      <c r="AZ2966">
        <v>0</v>
      </c>
      <c r="BA2966">
        <v>70</v>
      </c>
      <c r="BE2966" t="str">
        <f>T("9791162589724")</f>
        <v>9791162589724</v>
      </c>
      <c r="BF2966" t="str">
        <f>T("E448333")</f>
        <v>E448333</v>
      </c>
      <c r="BG2966" t="str">
        <f>T("판타지 웹소설 &gt; 퓨전 판타지")</f>
        <v>판타지 웹소설 &gt; 퓨전 판타지</v>
      </c>
    </row>
    <row r="2967" spans="1:59">
      <c r="A2967" t="s">
        <v>60</v>
      </c>
      <c r="B2967" s="1">
        <v>46131</v>
      </c>
      <c r="C2967">
        <v>2378009513</v>
      </c>
      <c r="D2967">
        <v>2378031441</v>
      </c>
      <c r="E2967" t="str">
        <f>T("문과라도 안 죄송한 이세계로 감 413화")</f>
        <v>문과라도 안 죄송한 이세계로 감 413화</v>
      </c>
      <c r="F2967">
        <v>413</v>
      </c>
      <c r="G2967" t="str">
        <f>T("정수읠")</f>
        <v>정수읠</v>
      </c>
      <c r="J2967" t="str">
        <f>T("매드햇")</f>
        <v>매드햇</v>
      </c>
      <c r="K2967" t="str">
        <f>T("문과라도 안 죄송한 이세계로 감")</f>
        <v>문과라도 안 죄송한 이세계로 감</v>
      </c>
      <c r="L2967">
        <v>100</v>
      </c>
      <c r="M2967">
        <v>200</v>
      </c>
      <c r="N2967">
        <v>2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0</v>
      </c>
      <c r="AC2967">
        <v>0</v>
      </c>
      <c r="AD2967">
        <v>0</v>
      </c>
      <c r="AE2967">
        <v>0</v>
      </c>
      <c r="AF2967">
        <v>0</v>
      </c>
      <c r="AG2967">
        <v>0</v>
      </c>
      <c r="AH2967">
        <v>0</v>
      </c>
      <c r="AI2967">
        <v>200</v>
      </c>
      <c r="AJ2967">
        <v>2</v>
      </c>
      <c r="AK2967">
        <v>0</v>
      </c>
      <c r="AL2967">
        <v>0</v>
      </c>
      <c r="AM2967">
        <v>110</v>
      </c>
      <c r="AN2967">
        <v>0</v>
      </c>
      <c r="AO2967">
        <v>108</v>
      </c>
      <c r="AP2967">
        <v>-10.8</v>
      </c>
      <c r="AQ2967">
        <v>0</v>
      </c>
      <c r="AS2967">
        <v>0</v>
      </c>
      <c r="AT2967">
        <v>0</v>
      </c>
      <c r="AU2967">
        <v>108</v>
      </c>
      <c r="AV2967">
        <v>-10.8</v>
      </c>
      <c r="AW2967">
        <v>0</v>
      </c>
      <c r="AY2967">
        <v>0</v>
      </c>
      <c r="AZ2967">
        <v>0</v>
      </c>
      <c r="BA2967">
        <v>145.04</v>
      </c>
      <c r="BC2967" t="str">
        <f>T("0000000000000")</f>
        <v>0000000000000</v>
      </c>
      <c r="BE2967" t="str">
        <f>T("9791162589724")</f>
        <v>9791162589724</v>
      </c>
      <c r="BF2967" t="str">
        <f>T("N015629")</f>
        <v>N015629</v>
      </c>
      <c r="BG2967" t="str">
        <f>T("판타지 웹소설 &gt; 퓨전 판타지")</f>
        <v>판타지 웹소설 &gt; 퓨전 판타지</v>
      </c>
    </row>
    <row r="2968" spans="1:59">
      <c r="A2968" t="s">
        <v>60</v>
      </c>
      <c r="B2968" s="1">
        <v>46131</v>
      </c>
      <c r="C2968">
        <v>2378009513</v>
      </c>
      <c r="D2968">
        <v>2378013310</v>
      </c>
      <c r="E2968" t="str">
        <f>T("문과라도 안 죄송한 이세계로 감 222화")</f>
        <v>문과라도 안 죄송한 이세계로 감 222화</v>
      </c>
      <c r="F2968">
        <v>222</v>
      </c>
      <c r="G2968" t="str">
        <f>T("정수읠")</f>
        <v>정수읠</v>
      </c>
      <c r="J2968" t="str">
        <f>T("매드햇")</f>
        <v>매드햇</v>
      </c>
      <c r="K2968" t="str">
        <f>T("문과라도 안 죄송한 이세계로 감")</f>
        <v>문과라도 안 죄송한 이세계로 감</v>
      </c>
      <c r="L2968">
        <v>100</v>
      </c>
      <c r="M2968">
        <v>100</v>
      </c>
      <c r="N2968">
        <v>1</v>
      </c>
      <c r="O2968">
        <v>0</v>
      </c>
      <c r="P2968">
        <v>0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0</v>
      </c>
      <c r="AB2968">
        <v>0</v>
      </c>
      <c r="AC2968">
        <v>0</v>
      </c>
      <c r="AD2968">
        <v>0</v>
      </c>
      <c r="AE2968">
        <v>0</v>
      </c>
      <c r="AF2968">
        <v>0</v>
      </c>
      <c r="AG2968">
        <v>0</v>
      </c>
      <c r="AH2968">
        <v>0</v>
      </c>
      <c r="AI2968">
        <v>100</v>
      </c>
      <c r="AJ2968">
        <v>1</v>
      </c>
      <c r="AK2968">
        <v>0</v>
      </c>
      <c r="AL2968">
        <v>0</v>
      </c>
      <c r="AM2968">
        <v>100</v>
      </c>
      <c r="AN2968">
        <v>0</v>
      </c>
      <c r="AO2968">
        <v>0</v>
      </c>
      <c r="AP2968">
        <v>0</v>
      </c>
      <c r="AQ2968">
        <v>0</v>
      </c>
      <c r="AS2968">
        <v>0</v>
      </c>
      <c r="AT2968">
        <v>0</v>
      </c>
      <c r="AV2968">
        <v>0</v>
      </c>
      <c r="AW2968">
        <v>0</v>
      </c>
      <c r="AY2968">
        <v>0</v>
      </c>
      <c r="AZ2968">
        <v>0</v>
      </c>
      <c r="BA2968">
        <v>70</v>
      </c>
      <c r="BC2968" t="str">
        <f>T("0000000000000")</f>
        <v>0000000000000</v>
      </c>
      <c r="BE2968" t="str">
        <f>T("9791162589724")</f>
        <v>9791162589724</v>
      </c>
      <c r="BF2968" t="str">
        <f>T("E678545")</f>
        <v>E678545</v>
      </c>
      <c r="BG2968" t="str">
        <f>T("판타지 웹소설 &gt; 퓨전 판타지")</f>
        <v>판타지 웹소설 &gt; 퓨전 판타지</v>
      </c>
    </row>
    <row r="2969" spans="1:59">
      <c r="A2969" t="s">
        <v>60</v>
      </c>
      <c r="B2969" s="1">
        <v>46131</v>
      </c>
      <c r="C2969">
        <v>2378009513</v>
      </c>
      <c r="D2969">
        <v>2378009610</v>
      </c>
      <c r="E2969" t="str">
        <f>T("문과라도 안 죄송한 이세계로 감 98화")</f>
        <v>문과라도 안 죄송한 이세계로 감 98화</v>
      </c>
      <c r="F2969">
        <v>98</v>
      </c>
      <c r="G2969" t="str">
        <f>T("정수읠")</f>
        <v>정수읠</v>
      </c>
      <c r="J2969" t="str">
        <f>T("매드햇")</f>
        <v>매드햇</v>
      </c>
      <c r="K2969" t="str">
        <f>T("문과라도 안 죄송한 이세계로 감")</f>
        <v>문과라도 안 죄송한 이세계로 감</v>
      </c>
      <c r="L2969">
        <v>100</v>
      </c>
      <c r="M2969">
        <v>100</v>
      </c>
      <c r="N2969">
        <v>1</v>
      </c>
      <c r="O2969">
        <v>0</v>
      </c>
      <c r="P2969">
        <v>0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0</v>
      </c>
      <c r="AB2969">
        <v>0</v>
      </c>
      <c r="AC2969">
        <v>0</v>
      </c>
      <c r="AD2969">
        <v>0</v>
      </c>
      <c r="AE2969">
        <v>0</v>
      </c>
      <c r="AF2969">
        <v>0</v>
      </c>
      <c r="AG2969">
        <v>0</v>
      </c>
      <c r="AH2969">
        <v>0</v>
      </c>
      <c r="AI2969">
        <v>100</v>
      </c>
      <c r="AJ2969">
        <v>1</v>
      </c>
      <c r="AK2969">
        <v>0</v>
      </c>
      <c r="AL2969">
        <v>0</v>
      </c>
      <c r="AM2969">
        <v>100</v>
      </c>
      <c r="AN2969">
        <v>0</v>
      </c>
      <c r="AO2969">
        <v>0</v>
      </c>
      <c r="AP2969">
        <v>0</v>
      </c>
      <c r="AQ2969">
        <v>0</v>
      </c>
      <c r="AS2969">
        <v>0</v>
      </c>
      <c r="AT2969">
        <v>0</v>
      </c>
      <c r="AV2969">
        <v>0</v>
      </c>
      <c r="AW2969">
        <v>0</v>
      </c>
      <c r="AY2969">
        <v>0</v>
      </c>
      <c r="AZ2969">
        <v>0</v>
      </c>
      <c r="BA2969">
        <v>70</v>
      </c>
      <c r="BE2969" t="str">
        <f>T("9791162589724")</f>
        <v>9791162589724</v>
      </c>
      <c r="BF2969" t="str">
        <f>T("E448334")</f>
        <v>E448334</v>
      </c>
      <c r="BG2969" t="str">
        <f>T("판타지 웹소설 &gt; 퓨전 판타지")</f>
        <v>판타지 웹소설 &gt; 퓨전 판타지</v>
      </c>
    </row>
    <row r="2970" spans="1:59">
      <c r="A2970" t="s">
        <v>60</v>
      </c>
      <c r="B2970" s="1">
        <v>46131</v>
      </c>
      <c r="C2970">
        <v>2378009513</v>
      </c>
      <c r="D2970">
        <v>2378013315</v>
      </c>
      <c r="E2970" t="str">
        <f>T("문과라도 안 죄송한 이세계로 감 223화")</f>
        <v>문과라도 안 죄송한 이세계로 감 223화</v>
      </c>
      <c r="F2970">
        <v>223</v>
      </c>
      <c r="G2970" t="str">
        <f>T("정수읠")</f>
        <v>정수읠</v>
      </c>
      <c r="J2970" t="str">
        <f>T("매드햇")</f>
        <v>매드햇</v>
      </c>
      <c r="K2970" t="str">
        <f>T("문과라도 안 죄송한 이세계로 감")</f>
        <v>문과라도 안 죄송한 이세계로 감</v>
      </c>
      <c r="L2970">
        <v>100</v>
      </c>
      <c r="M2970">
        <v>100</v>
      </c>
      <c r="N2970">
        <v>1</v>
      </c>
      <c r="O2970">
        <v>0</v>
      </c>
      <c r="P2970">
        <v>0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0</v>
      </c>
      <c r="AE2970">
        <v>0</v>
      </c>
      <c r="AF2970">
        <v>0</v>
      </c>
      <c r="AG2970">
        <v>0</v>
      </c>
      <c r="AH2970">
        <v>0</v>
      </c>
      <c r="AI2970">
        <v>100</v>
      </c>
      <c r="AJ2970">
        <v>1</v>
      </c>
      <c r="AK2970">
        <v>0</v>
      </c>
      <c r="AL2970">
        <v>0</v>
      </c>
      <c r="AM2970">
        <v>100</v>
      </c>
      <c r="AN2970">
        <v>0</v>
      </c>
      <c r="AO2970">
        <v>0</v>
      </c>
      <c r="AP2970">
        <v>0</v>
      </c>
      <c r="AQ2970">
        <v>0</v>
      </c>
      <c r="AS2970">
        <v>0</v>
      </c>
      <c r="AT2970">
        <v>0</v>
      </c>
      <c r="AV2970">
        <v>0</v>
      </c>
      <c r="AW2970">
        <v>0</v>
      </c>
      <c r="AY2970">
        <v>0</v>
      </c>
      <c r="AZ2970">
        <v>0</v>
      </c>
      <c r="BA2970">
        <v>70</v>
      </c>
      <c r="BC2970" t="str">
        <f>T("0000000000000")</f>
        <v>0000000000000</v>
      </c>
      <c r="BE2970" t="str">
        <f>T("9791162589724")</f>
        <v>9791162589724</v>
      </c>
      <c r="BF2970" t="str">
        <f>T("E678546")</f>
        <v>E678546</v>
      </c>
      <c r="BG2970" t="str">
        <f>T("판타지 웹소설 &gt; 퓨전 판타지")</f>
        <v>판타지 웹소설 &gt; 퓨전 판타지</v>
      </c>
    </row>
    <row r="2971" spans="1:59">
      <c r="A2971" t="s">
        <v>60</v>
      </c>
      <c r="B2971" s="1">
        <v>46131</v>
      </c>
      <c r="C2971">
        <v>2378009513</v>
      </c>
      <c r="D2971">
        <v>2378013344</v>
      </c>
      <c r="E2971" t="str">
        <f>T("문과라도 안 죄송한 이세계로 감 224화")</f>
        <v>문과라도 안 죄송한 이세계로 감 224화</v>
      </c>
      <c r="F2971">
        <v>224</v>
      </c>
      <c r="G2971" t="str">
        <f>T("정수읠")</f>
        <v>정수읠</v>
      </c>
      <c r="J2971" t="str">
        <f>T("매드햇")</f>
        <v>매드햇</v>
      </c>
      <c r="K2971" t="str">
        <f>T("문과라도 안 죄송한 이세계로 감")</f>
        <v>문과라도 안 죄송한 이세계로 감</v>
      </c>
      <c r="L2971">
        <v>100</v>
      </c>
      <c r="M2971">
        <v>100</v>
      </c>
      <c r="N2971">
        <v>1</v>
      </c>
      <c r="O2971">
        <v>0</v>
      </c>
      <c r="P2971">
        <v>0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0</v>
      </c>
      <c r="AE2971">
        <v>0</v>
      </c>
      <c r="AF2971">
        <v>0</v>
      </c>
      <c r="AG2971">
        <v>0</v>
      </c>
      <c r="AH2971">
        <v>0</v>
      </c>
      <c r="AI2971">
        <v>100</v>
      </c>
      <c r="AJ2971">
        <v>1</v>
      </c>
      <c r="AK2971">
        <v>0</v>
      </c>
      <c r="AL2971">
        <v>0</v>
      </c>
      <c r="AM2971">
        <v>100</v>
      </c>
      <c r="AN2971">
        <v>0</v>
      </c>
      <c r="AO2971">
        <v>0</v>
      </c>
      <c r="AP2971">
        <v>0</v>
      </c>
      <c r="AQ2971">
        <v>0</v>
      </c>
      <c r="AS2971">
        <v>0</v>
      </c>
      <c r="AT2971">
        <v>0</v>
      </c>
      <c r="AV2971">
        <v>0</v>
      </c>
      <c r="AW2971">
        <v>0</v>
      </c>
      <c r="AY2971">
        <v>0</v>
      </c>
      <c r="AZ2971">
        <v>0</v>
      </c>
      <c r="BA2971">
        <v>70</v>
      </c>
      <c r="BC2971" t="str">
        <f>T("0000000000000")</f>
        <v>0000000000000</v>
      </c>
      <c r="BE2971" t="str">
        <f>T("9791162589724")</f>
        <v>9791162589724</v>
      </c>
      <c r="BF2971" t="str">
        <f>T("E690464")</f>
        <v>E690464</v>
      </c>
      <c r="BG2971" t="str">
        <f>T("판타지 웹소설 &gt; 퓨전 판타지")</f>
        <v>판타지 웹소설 &gt; 퓨전 판타지</v>
      </c>
    </row>
    <row r="2972" spans="1:59">
      <c r="A2972" t="s">
        <v>60</v>
      </c>
      <c r="B2972" s="1">
        <v>46131</v>
      </c>
      <c r="C2972">
        <v>2378009513</v>
      </c>
      <c r="D2972">
        <v>2378014376</v>
      </c>
      <c r="E2972" t="str">
        <f>T("문과라도 안 죄송한 이세계로 감 254화")</f>
        <v>문과라도 안 죄송한 이세계로 감 254화</v>
      </c>
      <c r="F2972">
        <v>254</v>
      </c>
      <c r="G2972" t="str">
        <f>T("정수읠")</f>
        <v>정수읠</v>
      </c>
      <c r="J2972" t="str">
        <f>T("매드햇")</f>
        <v>매드햇</v>
      </c>
      <c r="K2972" t="str">
        <f>T("문과라도 안 죄송한 이세계로 감")</f>
        <v>문과라도 안 죄송한 이세계로 감</v>
      </c>
      <c r="L2972">
        <v>100</v>
      </c>
      <c r="M2972">
        <v>100</v>
      </c>
      <c r="N2972">
        <v>1</v>
      </c>
      <c r="O2972">
        <v>0</v>
      </c>
      <c r="P2972">
        <v>0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0</v>
      </c>
      <c r="AE2972">
        <v>0</v>
      </c>
      <c r="AF2972">
        <v>0</v>
      </c>
      <c r="AG2972">
        <v>0</v>
      </c>
      <c r="AH2972">
        <v>0</v>
      </c>
      <c r="AI2972">
        <v>100</v>
      </c>
      <c r="AJ2972">
        <v>1</v>
      </c>
      <c r="AK2972">
        <v>0</v>
      </c>
      <c r="AL2972">
        <v>0</v>
      </c>
      <c r="AM2972">
        <v>10</v>
      </c>
      <c r="AN2972">
        <v>0</v>
      </c>
      <c r="AO2972">
        <v>108</v>
      </c>
      <c r="AP2972">
        <v>-10.8</v>
      </c>
      <c r="AQ2972">
        <v>0</v>
      </c>
      <c r="AS2972">
        <v>0</v>
      </c>
      <c r="AT2972">
        <v>0</v>
      </c>
      <c r="AU2972">
        <v>108</v>
      </c>
      <c r="AV2972">
        <v>-10.8</v>
      </c>
      <c r="AW2972">
        <v>0</v>
      </c>
      <c r="AY2972">
        <v>0</v>
      </c>
      <c r="AZ2972">
        <v>0</v>
      </c>
      <c r="BA2972">
        <v>75.040000000000006</v>
      </c>
      <c r="BC2972" t="str">
        <f>T("0000000000000")</f>
        <v>0000000000000</v>
      </c>
      <c r="BE2972" t="str">
        <f>T("9791162589724")</f>
        <v>9791162589724</v>
      </c>
      <c r="BF2972" t="str">
        <f>T("E720116")</f>
        <v>E720116</v>
      </c>
      <c r="BG2972" t="str">
        <f>T("판타지 웹소설 &gt; 퓨전 판타지")</f>
        <v>판타지 웹소설 &gt; 퓨전 판타지</v>
      </c>
    </row>
    <row r="2973" spans="1:59">
      <c r="A2973" t="s">
        <v>60</v>
      </c>
      <c r="B2973" s="1">
        <v>46131</v>
      </c>
      <c r="C2973">
        <v>2378009513</v>
      </c>
      <c r="D2973">
        <v>2378014403</v>
      </c>
      <c r="E2973" t="str">
        <f>T("문과라도 안 죄송한 이세계로 감 256화")</f>
        <v>문과라도 안 죄송한 이세계로 감 256화</v>
      </c>
      <c r="F2973">
        <v>256</v>
      </c>
      <c r="G2973" t="str">
        <f>T("정수읠")</f>
        <v>정수읠</v>
      </c>
      <c r="J2973" t="str">
        <f>T("매드햇")</f>
        <v>매드햇</v>
      </c>
      <c r="K2973" t="str">
        <f>T("문과라도 안 죄송한 이세계로 감")</f>
        <v>문과라도 안 죄송한 이세계로 감</v>
      </c>
      <c r="L2973">
        <v>100</v>
      </c>
      <c r="M2973">
        <v>100</v>
      </c>
      <c r="N2973">
        <v>1</v>
      </c>
      <c r="O2973">
        <v>0</v>
      </c>
      <c r="P2973">
        <v>0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0</v>
      </c>
      <c r="AE2973">
        <v>0</v>
      </c>
      <c r="AF2973">
        <v>0</v>
      </c>
      <c r="AG2973">
        <v>0</v>
      </c>
      <c r="AH2973">
        <v>0</v>
      </c>
      <c r="AI2973">
        <v>100</v>
      </c>
      <c r="AJ2973">
        <v>1</v>
      </c>
      <c r="AK2973">
        <v>0</v>
      </c>
      <c r="AL2973">
        <v>0</v>
      </c>
      <c r="AM2973">
        <v>10</v>
      </c>
      <c r="AN2973">
        <v>0</v>
      </c>
      <c r="AO2973">
        <v>108</v>
      </c>
      <c r="AP2973">
        <v>-10.8</v>
      </c>
      <c r="AQ2973">
        <v>0</v>
      </c>
      <c r="AS2973">
        <v>0</v>
      </c>
      <c r="AT2973">
        <v>0</v>
      </c>
      <c r="AU2973">
        <v>108</v>
      </c>
      <c r="AV2973">
        <v>-10.8</v>
      </c>
      <c r="AW2973">
        <v>0</v>
      </c>
      <c r="AY2973">
        <v>0</v>
      </c>
      <c r="AZ2973">
        <v>0</v>
      </c>
      <c r="BA2973">
        <v>75.040000000000006</v>
      </c>
      <c r="BC2973" t="str">
        <f>T("0000000000000")</f>
        <v>0000000000000</v>
      </c>
      <c r="BE2973" t="str">
        <f>T("9791162589724")</f>
        <v>9791162589724</v>
      </c>
      <c r="BF2973" t="str">
        <f>T("E720118")</f>
        <v>E720118</v>
      </c>
      <c r="BG2973" t="str">
        <f>T("판타지 웹소설 &gt; 퓨전 판타지")</f>
        <v>판타지 웹소설 &gt; 퓨전 판타지</v>
      </c>
    </row>
    <row r="2974" spans="1:59">
      <c r="A2974" t="s">
        <v>60</v>
      </c>
      <c r="B2974" s="1">
        <v>46131</v>
      </c>
      <c r="C2974">
        <v>2378009513</v>
      </c>
      <c r="D2974">
        <v>2378014409</v>
      </c>
      <c r="E2974" t="str">
        <f>T("문과라도 안 죄송한 이세계로 감 257화")</f>
        <v>문과라도 안 죄송한 이세계로 감 257화</v>
      </c>
      <c r="F2974">
        <v>257</v>
      </c>
      <c r="G2974" t="str">
        <f>T("정수읠")</f>
        <v>정수읠</v>
      </c>
      <c r="J2974" t="str">
        <f>T("매드햇")</f>
        <v>매드햇</v>
      </c>
      <c r="K2974" t="str">
        <f>T("문과라도 안 죄송한 이세계로 감")</f>
        <v>문과라도 안 죄송한 이세계로 감</v>
      </c>
      <c r="L2974">
        <v>100</v>
      </c>
      <c r="M2974">
        <v>100</v>
      </c>
      <c r="N2974">
        <v>1</v>
      </c>
      <c r="O2974">
        <v>0</v>
      </c>
      <c r="P2974">
        <v>0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0</v>
      </c>
      <c r="AE2974">
        <v>0</v>
      </c>
      <c r="AF2974">
        <v>0</v>
      </c>
      <c r="AG2974">
        <v>0</v>
      </c>
      <c r="AH2974">
        <v>0</v>
      </c>
      <c r="AI2974">
        <v>100</v>
      </c>
      <c r="AJ2974">
        <v>1</v>
      </c>
      <c r="AK2974">
        <v>0</v>
      </c>
      <c r="AL2974">
        <v>0</v>
      </c>
      <c r="AM2974">
        <v>10</v>
      </c>
      <c r="AN2974">
        <v>0</v>
      </c>
      <c r="AO2974">
        <v>108</v>
      </c>
      <c r="AP2974">
        <v>-10.8</v>
      </c>
      <c r="AQ2974">
        <v>0</v>
      </c>
      <c r="AS2974">
        <v>0</v>
      </c>
      <c r="AT2974">
        <v>0</v>
      </c>
      <c r="AU2974">
        <v>108</v>
      </c>
      <c r="AV2974">
        <v>-10.8</v>
      </c>
      <c r="AW2974">
        <v>0</v>
      </c>
      <c r="AY2974">
        <v>0</v>
      </c>
      <c r="AZ2974">
        <v>0</v>
      </c>
      <c r="BA2974">
        <v>75.040000000000006</v>
      </c>
      <c r="BC2974" t="str">
        <f>T("0000000000000")</f>
        <v>0000000000000</v>
      </c>
      <c r="BE2974" t="str">
        <f>T("9791162589724")</f>
        <v>9791162589724</v>
      </c>
      <c r="BF2974" t="str">
        <f>T("E720119")</f>
        <v>E720119</v>
      </c>
      <c r="BG2974" t="str">
        <f>T("판타지 웹소설 &gt; 퓨전 판타지")</f>
        <v>판타지 웹소설 &gt; 퓨전 판타지</v>
      </c>
    </row>
    <row r="2975" spans="1:59">
      <c r="A2975" t="s">
        <v>60</v>
      </c>
      <c r="B2975" s="1">
        <v>46131</v>
      </c>
      <c r="C2975">
        <v>2378009513</v>
      </c>
      <c r="D2975">
        <v>2378014500</v>
      </c>
      <c r="E2975" t="str">
        <f>T("문과라도 안 죄송한 이세계로 감 258화")</f>
        <v>문과라도 안 죄송한 이세계로 감 258화</v>
      </c>
      <c r="F2975">
        <v>258</v>
      </c>
      <c r="G2975" t="str">
        <f>T("정수읠")</f>
        <v>정수읠</v>
      </c>
      <c r="J2975" t="str">
        <f>T("매드햇")</f>
        <v>매드햇</v>
      </c>
      <c r="K2975" t="str">
        <f>T("문과라도 안 죄송한 이세계로 감")</f>
        <v>문과라도 안 죄송한 이세계로 감</v>
      </c>
      <c r="L2975">
        <v>100</v>
      </c>
      <c r="M2975">
        <v>100</v>
      </c>
      <c r="N2975">
        <v>1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0</v>
      </c>
      <c r="AH2975">
        <v>0</v>
      </c>
      <c r="AI2975">
        <v>100</v>
      </c>
      <c r="AJ2975">
        <v>1</v>
      </c>
      <c r="AK2975">
        <v>0</v>
      </c>
      <c r="AL2975">
        <v>0</v>
      </c>
      <c r="AM2975">
        <v>10</v>
      </c>
      <c r="AN2975">
        <v>0</v>
      </c>
      <c r="AO2975">
        <v>108</v>
      </c>
      <c r="AP2975">
        <v>-10.8</v>
      </c>
      <c r="AQ2975">
        <v>0</v>
      </c>
      <c r="AS2975">
        <v>0</v>
      </c>
      <c r="AT2975">
        <v>0</v>
      </c>
      <c r="AU2975">
        <v>108</v>
      </c>
      <c r="AV2975">
        <v>-10.8</v>
      </c>
      <c r="AW2975">
        <v>0</v>
      </c>
      <c r="AY2975">
        <v>0</v>
      </c>
      <c r="AZ2975">
        <v>0</v>
      </c>
      <c r="BA2975">
        <v>75.040000000000006</v>
      </c>
      <c r="BC2975" t="str">
        <f>T("0000000000000")</f>
        <v>0000000000000</v>
      </c>
      <c r="BE2975" t="str">
        <f>T("9791162589724")</f>
        <v>9791162589724</v>
      </c>
      <c r="BF2975" t="str">
        <f>T("E726876")</f>
        <v>E726876</v>
      </c>
      <c r="BG2975" t="str">
        <f>T("판타지 웹소설 &gt; 퓨전 판타지")</f>
        <v>판타지 웹소설 &gt; 퓨전 판타지</v>
      </c>
    </row>
    <row r="2976" spans="1:59">
      <c r="A2976" t="s">
        <v>60</v>
      </c>
      <c r="B2976" s="1">
        <v>46131</v>
      </c>
      <c r="C2976">
        <v>2378009513</v>
      </c>
      <c r="D2976">
        <v>2378014501</v>
      </c>
      <c r="E2976" t="str">
        <f>T("문과라도 안 죄송한 이세계로 감 259화")</f>
        <v>문과라도 안 죄송한 이세계로 감 259화</v>
      </c>
      <c r="F2976">
        <v>259</v>
      </c>
      <c r="G2976" t="str">
        <f>T("정수읠")</f>
        <v>정수읠</v>
      </c>
      <c r="J2976" t="str">
        <f>T("매드햇")</f>
        <v>매드햇</v>
      </c>
      <c r="K2976" t="str">
        <f>T("문과라도 안 죄송한 이세계로 감")</f>
        <v>문과라도 안 죄송한 이세계로 감</v>
      </c>
      <c r="L2976">
        <v>100</v>
      </c>
      <c r="M2976">
        <v>100</v>
      </c>
      <c r="N2976">
        <v>1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0</v>
      </c>
      <c r="AH2976">
        <v>0</v>
      </c>
      <c r="AI2976">
        <v>100</v>
      </c>
      <c r="AJ2976">
        <v>1</v>
      </c>
      <c r="AK2976">
        <v>0</v>
      </c>
      <c r="AL2976">
        <v>0</v>
      </c>
      <c r="AM2976">
        <v>10</v>
      </c>
      <c r="AN2976">
        <v>0</v>
      </c>
      <c r="AO2976">
        <v>108</v>
      </c>
      <c r="AP2976">
        <v>-10.8</v>
      </c>
      <c r="AQ2976">
        <v>0</v>
      </c>
      <c r="AS2976">
        <v>0</v>
      </c>
      <c r="AT2976">
        <v>0</v>
      </c>
      <c r="AU2976">
        <v>108</v>
      </c>
      <c r="AV2976">
        <v>-10.8</v>
      </c>
      <c r="AW2976">
        <v>0</v>
      </c>
      <c r="AY2976">
        <v>0</v>
      </c>
      <c r="AZ2976">
        <v>0</v>
      </c>
      <c r="BA2976">
        <v>75.040000000000006</v>
      </c>
      <c r="BC2976" t="str">
        <f>T("0000000000000")</f>
        <v>0000000000000</v>
      </c>
      <c r="BE2976" t="str">
        <f>T("9791162589724")</f>
        <v>9791162589724</v>
      </c>
      <c r="BF2976" t="str">
        <f>T("E726877")</f>
        <v>E726877</v>
      </c>
      <c r="BG2976" t="str">
        <f>T("판타지 웹소설 &gt; 퓨전 판타지")</f>
        <v>판타지 웹소설 &gt; 퓨전 판타지</v>
      </c>
    </row>
    <row r="2977" spans="1:59">
      <c r="A2977" t="s">
        <v>60</v>
      </c>
      <c r="B2977" s="1">
        <v>46131</v>
      </c>
      <c r="C2977">
        <v>2378009513</v>
      </c>
      <c r="D2977">
        <v>2378014502</v>
      </c>
      <c r="E2977" t="str">
        <f>T("문과라도 안 죄송한 이세계로 감 260화")</f>
        <v>문과라도 안 죄송한 이세계로 감 260화</v>
      </c>
      <c r="F2977">
        <v>260</v>
      </c>
      <c r="G2977" t="str">
        <f>T("정수읠")</f>
        <v>정수읠</v>
      </c>
      <c r="J2977" t="str">
        <f>T("매드햇")</f>
        <v>매드햇</v>
      </c>
      <c r="K2977" t="str">
        <f>T("문과라도 안 죄송한 이세계로 감")</f>
        <v>문과라도 안 죄송한 이세계로 감</v>
      </c>
      <c r="L2977">
        <v>100</v>
      </c>
      <c r="M2977">
        <v>100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0</v>
      </c>
      <c r="AH2977">
        <v>0</v>
      </c>
      <c r="AI2977">
        <v>100</v>
      </c>
      <c r="AJ2977">
        <v>1</v>
      </c>
      <c r="AK2977">
        <v>0</v>
      </c>
      <c r="AL2977">
        <v>0</v>
      </c>
      <c r="AM2977">
        <v>10</v>
      </c>
      <c r="AN2977">
        <v>0</v>
      </c>
      <c r="AO2977">
        <v>108</v>
      </c>
      <c r="AP2977">
        <v>-10.8</v>
      </c>
      <c r="AQ2977">
        <v>0</v>
      </c>
      <c r="AS2977">
        <v>0</v>
      </c>
      <c r="AT2977">
        <v>0</v>
      </c>
      <c r="AU2977">
        <v>108</v>
      </c>
      <c r="AV2977">
        <v>-10.8</v>
      </c>
      <c r="AW2977">
        <v>0</v>
      </c>
      <c r="AY2977">
        <v>0</v>
      </c>
      <c r="AZ2977">
        <v>0</v>
      </c>
      <c r="BA2977">
        <v>75.040000000000006</v>
      </c>
      <c r="BC2977" t="str">
        <f>T("0000000000000")</f>
        <v>0000000000000</v>
      </c>
      <c r="BE2977" t="str">
        <f>T("9791162589724")</f>
        <v>9791162589724</v>
      </c>
      <c r="BF2977" t="str">
        <f>T("E726878")</f>
        <v>E726878</v>
      </c>
      <c r="BG2977" t="str">
        <f>T("판타지 웹소설 &gt; 퓨전 판타지")</f>
        <v>판타지 웹소설 &gt; 퓨전 판타지</v>
      </c>
    </row>
    <row r="2978" spans="1:59">
      <c r="A2978" t="s">
        <v>60</v>
      </c>
      <c r="B2978" s="1">
        <v>46131</v>
      </c>
      <c r="C2978">
        <v>2378009513</v>
      </c>
      <c r="D2978">
        <v>2378014503</v>
      </c>
      <c r="E2978" t="str">
        <f>T("문과라도 안 죄송한 이세계로 감 261화")</f>
        <v>문과라도 안 죄송한 이세계로 감 261화</v>
      </c>
      <c r="F2978">
        <v>261</v>
      </c>
      <c r="G2978" t="str">
        <f>T("정수읠")</f>
        <v>정수읠</v>
      </c>
      <c r="J2978" t="str">
        <f>T("매드햇")</f>
        <v>매드햇</v>
      </c>
      <c r="K2978" t="str">
        <f>T("문과라도 안 죄송한 이세계로 감")</f>
        <v>문과라도 안 죄송한 이세계로 감</v>
      </c>
      <c r="L2978">
        <v>100</v>
      </c>
      <c r="M2978">
        <v>100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0</v>
      </c>
      <c r="AH2978">
        <v>0</v>
      </c>
      <c r="AI2978">
        <v>100</v>
      </c>
      <c r="AJ2978">
        <v>1</v>
      </c>
      <c r="AK2978">
        <v>0</v>
      </c>
      <c r="AL2978">
        <v>0</v>
      </c>
      <c r="AM2978">
        <v>10</v>
      </c>
      <c r="AN2978">
        <v>0</v>
      </c>
      <c r="AO2978">
        <v>108</v>
      </c>
      <c r="AP2978">
        <v>-10.8</v>
      </c>
      <c r="AQ2978">
        <v>0</v>
      </c>
      <c r="AS2978">
        <v>0</v>
      </c>
      <c r="AT2978">
        <v>0</v>
      </c>
      <c r="AU2978">
        <v>108</v>
      </c>
      <c r="AV2978">
        <v>-10.8</v>
      </c>
      <c r="AW2978">
        <v>0</v>
      </c>
      <c r="AY2978">
        <v>0</v>
      </c>
      <c r="AZ2978">
        <v>0</v>
      </c>
      <c r="BA2978">
        <v>75.040000000000006</v>
      </c>
      <c r="BC2978" t="str">
        <f>T("0000000000000")</f>
        <v>0000000000000</v>
      </c>
      <c r="BE2978" t="str">
        <f>T("9791162589724")</f>
        <v>9791162589724</v>
      </c>
      <c r="BF2978" t="str">
        <f>T("E726879")</f>
        <v>E726879</v>
      </c>
      <c r="BG2978" t="str">
        <f>T("판타지 웹소설 &gt; 퓨전 판타지")</f>
        <v>판타지 웹소설 &gt; 퓨전 판타지</v>
      </c>
    </row>
    <row r="2979" spans="1:59">
      <c r="A2979" t="s">
        <v>60</v>
      </c>
      <c r="B2979" s="1">
        <v>46131</v>
      </c>
      <c r="C2979">
        <v>2378009513</v>
      </c>
      <c r="D2979">
        <v>2378014580</v>
      </c>
      <c r="E2979" t="str">
        <f>T("문과라도 안 죄송한 이세계로 감 262화")</f>
        <v>문과라도 안 죄송한 이세계로 감 262화</v>
      </c>
      <c r="F2979">
        <v>262</v>
      </c>
      <c r="G2979" t="str">
        <f>T("정수읠")</f>
        <v>정수읠</v>
      </c>
      <c r="J2979" t="str">
        <f>T("매드햇")</f>
        <v>매드햇</v>
      </c>
      <c r="K2979" t="str">
        <f>T("문과라도 안 죄송한 이세계로 감")</f>
        <v>문과라도 안 죄송한 이세계로 감</v>
      </c>
      <c r="L2979">
        <v>100</v>
      </c>
      <c r="M2979">
        <v>100</v>
      </c>
      <c r="N2979">
        <v>1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0</v>
      </c>
      <c r="AH2979">
        <v>0</v>
      </c>
      <c r="AI2979">
        <v>100</v>
      </c>
      <c r="AJ2979">
        <v>1</v>
      </c>
      <c r="AK2979">
        <v>0</v>
      </c>
      <c r="AL2979">
        <v>0</v>
      </c>
      <c r="AM2979">
        <v>10</v>
      </c>
      <c r="AN2979">
        <v>0</v>
      </c>
      <c r="AO2979">
        <v>108</v>
      </c>
      <c r="AP2979">
        <v>-10.8</v>
      </c>
      <c r="AQ2979">
        <v>0</v>
      </c>
      <c r="AS2979">
        <v>0</v>
      </c>
      <c r="AT2979">
        <v>0</v>
      </c>
      <c r="AU2979">
        <v>108</v>
      </c>
      <c r="AV2979">
        <v>-10.8</v>
      </c>
      <c r="AW2979">
        <v>0</v>
      </c>
      <c r="AY2979">
        <v>0</v>
      </c>
      <c r="AZ2979">
        <v>0</v>
      </c>
      <c r="BA2979">
        <v>75.040000000000006</v>
      </c>
      <c r="BE2979" t="str">
        <f>T("9791162589724")</f>
        <v>9791162589724</v>
      </c>
      <c r="BF2979" t="str">
        <f>T("E728934")</f>
        <v>E728934</v>
      </c>
      <c r="BG2979" t="str">
        <f>T("판타지 웹소설 &gt; 퓨전 판타지")</f>
        <v>판타지 웹소설 &gt; 퓨전 판타지</v>
      </c>
    </row>
    <row r="2980" spans="1:59">
      <c r="A2980" t="s">
        <v>60</v>
      </c>
      <c r="B2980" s="1">
        <v>46131</v>
      </c>
      <c r="C2980">
        <v>2378009513</v>
      </c>
      <c r="D2980">
        <v>2378014581</v>
      </c>
      <c r="E2980" t="str">
        <f>T("문과라도 안 죄송한 이세계로 감 263화")</f>
        <v>문과라도 안 죄송한 이세계로 감 263화</v>
      </c>
      <c r="F2980">
        <v>263</v>
      </c>
      <c r="G2980" t="str">
        <f>T("정수읠")</f>
        <v>정수읠</v>
      </c>
      <c r="J2980" t="str">
        <f>T("매드햇")</f>
        <v>매드햇</v>
      </c>
      <c r="K2980" t="str">
        <f>T("문과라도 안 죄송한 이세계로 감")</f>
        <v>문과라도 안 죄송한 이세계로 감</v>
      </c>
      <c r="L2980">
        <v>100</v>
      </c>
      <c r="M2980">
        <v>100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0</v>
      </c>
      <c r="AH2980">
        <v>0</v>
      </c>
      <c r="AI2980">
        <v>100</v>
      </c>
      <c r="AJ2980">
        <v>1</v>
      </c>
      <c r="AK2980">
        <v>0</v>
      </c>
      <c r="AL2980">
        <v>0</v>
      </c>
      <c r="AM2980">
        <v>10</v>
      </c>
      <c r="AN2980">
        <v>0</v>
      </c>
      <c r="AO2980">
        <v>108</v>
      </c>
      <c r="AP2980">
        <v>-10.8</v>
      </c>
      <c r="AQ2980">
        <v>0</v>
      </c>
      <c r="AS2980">
        <v>0</v>
      </c>
      <c r="AT2980">
        <v>0</v>
      </c>
      <c r="AU2980">
        <v>108</v>
      </c>
      <c r="AV2980">
        <v>-10.8</v>
      </c>
      <c r="AW2980">
        <v>0</v>
      </c>
      <c r="AY2980">
        <v>0</v>
      </c>
      <c r="AZ2980">
        <v>0</v>
      </c>
      <c r="BA2980">
        <v>75.040000000000006</v>
      </c>
      <c r="BC2980" t="str">
        <f>T("0000000000000")</f>
        <v>0000000000000</v>
      </c>
      <c r="BE2980" t="str">
        <f>T("9791162589724")</f>
        <v>9791162589724</v>
      </c>
      <c r="BF2980" t="str">
        <f>T("E728935")</f>
        <v>E728935</v>
      </c>
      <c r="BG2980" t="str">
        <f>T("판타지 웹소설 &gt; 퓨전 판타지")</f>
        <v>판타지 웹소설 &gt; 퓨전 판타지</v>
      </c>
    </row>
    <row r="2981" spans="1:59">
      <c r="A2981" t="s">
        <v>60</v>
      </c>
      <c r="B2981" s="1">
        <v>46131</v>
      </c>
      <c r="C2981">
        <v>2378009513</v>
      </c>
      <c r="D2981">
        <v>2378014582</v>
      </c>
      <c r="E2981" t="str">
        <f>T("문과라도 안 죄송한 이세계로 감 264화")</f>
        <v>문과라도 안 죄송한 이세계로 감 264화</v>
      </c>
      <c r="F2981">
        <v>264</v>
      </c>
      <c r="G2981" t="str">
        <f>T("정수읠")</f>
        <v>정수읠</v>
      </c>
      <c r="J2981" t="str">
        <f>T("매드햇")</f>
        <v>매드햇</v>
      </c>
      <c r="K2981" t="str">
        <f>T("문과라도 안 죄송한 이세계로 감")</f>
        <v>문과라도 안 죄송한 이세계로 감</v>
      </c>
      <c r="L2981">
        <v>100</v>
      </c>
      <c r="M2981">
        <v>100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0</v>
      </c>
      <c r="AH2981">
        <v>0</v>
      </c>
      <c r="AI2981">
        <v>100</v>
      </c>
      <c r="AJ2981">
        <v>1</v>
      </c>
      <c r="AK2981">
        <v>0</v>
      </c>
      <c r="AL2981">
        <v>0</v>
      </c>
      <c r="AM2981">
        <v>10</v>
      </c>
      <c r="AN2981">
        <v>0</v>
      </c>
      <c r="AO2981">
        <v>108</v>
      </c>
      <c r="AP2981">
        <v>-10.8</v>
      </c>
      <c r="AQ2981">
        <v>0</v>
      </c>
      <c r="AS2981">
        <v>0</v>
      </c>
      <c r="AT2981">
        <v>0</v>
      </c>
      <c r="AU2981">
        <v>108</v>
      </c>
      <c r="AV2981">
        <v>-10.8</v>
      </c>
      <c r="AW2981">
        <v>0</v>
      </c>
      <c r="AY2981">
        <v>0</v>
      </c>
      <c r="AZ2981">
        <v>0</v>
      </c>
      <c r="BA2981">
        <v>75.040000000000006</v>
      </c>
      <c r="BE2981" t="str">
        <f>T("9791162589724")</f>
        <v>9791162589724</v>
      </c>
      <c r="BF2981" t="str">
        <f>T("E728936")</f>
        <v>E728936</v>
      </c>
      <c r="BG2981" t="str">
        <f>T("판타지 웹소설 &gt; 퓨전 판타지")</f>
        <v>판타지 웹소설 &gt; 퓨전 판타지</v>
      </c>
    </row>
    <row r="2982" spans="1:59">
      <c r="A2982" t="s">
        <v>60</v>
      </c>
      <c r="B2982" s="1">
        <v>46131</v>
      </c>
      <c r="C2982">
        <v>2378009513</v>
      </c>
      <c r="D2982">
        <v>2378014583</v>
      </c>
      <c r="E2982" t="str">
        <f>T("문과라도 안 죄송한 이세계로 감 265화")</f>
        <v>문과라도 안 죄송한 이세계로 감 265화</v>
      </c>
      <c r="F2982">
        <v>265</v>
      </c>
      <c r="G2982" t="str">
        <f>T("정수읠")</f>
        <v>정수읠</v>
      </c>
      <c r="J2982" t="str">
        <f>T("매드햇")</f>
        <v>매드햇</v>
      </c>
      <c r="K2982" t="str">
        <f>T("문과라도 안 죄송한 이세계로 감")</f>
        <v>문과라도 안 죄송한 이세계로 감</v>
      </c>
      <c r="L2982">
        <v>100</v>
      </c>
      <c r="M2982">
        <v>100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0</v>
      </c>
      <c r="AH2982">
        <v>0</v>
      </c>
      <c r="AI2982">
        <v>100</v>
      </c>
      <c r="AJ2982">
        <v>1</v>
      </c>
      <c r="AK2982">
        <v>0</v>
      </c>
      <c r="AL2982">
        <v>0</v>
      </c>
      <c r="AM2982">
        <v>10</v>
      </c>
      <c r="AN2982">
        <v>0</v>
      </c>
      <c r="AO2982">
        <v>108</v>
      </c>
      <c r="AP2982">
        <v>-10.8</v>
      </c>
      <c r="AQ2982">
        <v>0</v>
      </c>
      <c r="AS2982">
        <v>0</v>
      </c>
      <c r="AT2982">
        <v>0</v>
      </c>
      <c r="AU2982">
        <v>108</v>
      </c>
      <c r="AV2982">
        <v>-10.8</v>
      </c>
      <c r="AW2982">
        <v>0</v>
      </c>
      <c r="AY2982">
        <v>0</v>
      </c>
      <c r="AZ2982">
        <v>0</v>
      </c>
      <c r="BA2982">
        <v>75.040000000000006</v>
      </c>
      <c r="BE2982" t="str">
        <f>T("9791162589724")</f>
        <v>9791162589724</v>
      </c>
      <c r="BF2982" t="str">
        <f>T("E728937")</f>
        <v>E728937</v>
      </c>
      <c r="BG2982" t="str">
        <f>T("판타지 웹소설 &gt; 퓨전 판타지")</f>
        <v>판타지 웹소설 &gt; 퓨전 판타지</v>
      </c>
    </row>
    <row r="2983" spans="1:59">
      <c r="A2983" t="s">
        <v>60</v>
      </c>
      <c r="B2983" s="1">
        <v>46131</v>
      </c>
      <c r="C2983">
        <v>2378009513</v>
      </c>
      <c r="D2983">
        <v>2378014617</v>
      </c>
      <c r="E2983" t="str">
        <f>T("문과라도 안 죄송한 이세계로 감 266화")</f>
        <v>문과라도 안 죄송한 이세계로 감 266화</v>
      </c>
      <c r="F2983">
        <v>266</v>
      </c>
      <c r="G2983" t="str">
        <f>T("정수읠")</f>
        <v>정수읠</v>
      </c>
      <c r="J2983" t="str">
        <f>T("매드햇")</f>
        <v>매드햇</v>
      </c>
      <c r="K2983" t="str">
        <f>T("문과라도 안 죄송한 이세계로 감")</f>
        <v>문과라도 안 죄송한 이세계로 감</v>
      </c>
      <c r="L2983">
        <v>100</v>
      </c>
      <c r="M2983">
        <v>100</v>
      </c>
      <c r="N2983">
        <v>1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0</v>
      </c>
      <c r="AH2983">
        <v>0</v>
      </c>
      <c r="AI2983">
        <v>100</v>
      </c>
      <c r="AJ2983">
        <v>1</v>
      </c>
      <c r="AK2983">
        <v>0</v>
      </c>
      <c r="AL2983">
        <v>0</v>
      </c>
      <c r="AM2983">
        <v>10</v>
      </c>
      <c r="AN2983">
        <v>0</v>
      </c>
      <c r="AO2983">
        <v>108</v>
      </c>
      <c r="AP2983">
        <v>-10.8</v>
      </c>
      <c r="AQ2983">
        <v>0</v>
      </c>
      <c r="AS2983">
        <v>0</v>
      </c>
      <c r="AT2983">
        <v>0</v>
      </c>
      <c r="AU2983">
        <v>108</v>
      </c>
      <c r="AV2983">
        <v>-10.8</v>
      </c>
      <c r="AW2983">
        <v>0</v>
      </c>
      <c r="AY2983">
        <v>0</v>
      </c>
      <c r="AZ2983">
        <v>0</v>
      </c>
      <c r="BA2983">
        <v>75.040000000000006</v>
      </c>
      <c r="BC2983" t="str">
        <f>T("0000000000000")</f>
        <v>0000000000000</v>
      </c>
      <c r="BE2983" t="str">
        <f>T("9791162589724")</f>
        <v>9791162589724</v>
      </c>
      <c r="BF2983" t="str">
        <f>T("E741929")</f>
        <v>E741929</v>
      </c>
      <c r="BG2983" t="str">
        <f>T("판타지 웹소설 &gt; 퓨전 판타지")</f>
        <v>판타지 웹소설 &gt; 퓨전 판타지</v>
      </c>
    </row>
    <row r="2984" spans="1:59">
      <c r="A2984" t="s">
        <v>60</v>
      </c>
      <c r="B2984" s="1">
        <v>46131</v>
      </c>
      <c r="C2984">
        <v>2378009513</v>
      </c>
      <c r="D2984">
        <v>2378014618</v>
      </c>
      <c r="E2984" t="str">
        <f>T("문과라도 안 죄송한 이세계로 감 267화")</f>
        <v>문과라도 안 죄송한 이세계로 감 267화</v>
      </c>
      <c r="F2984">
        <v>267</v>
      </c>
      <c r="G2984" t="str">
        <f>T("정수읠")</f>
        <v>정수읠</v>
      </c>
      <c r="J2984" t="str">
        <f>T("매드햇")</f>
        <v>매드햇</v>
      </c>
      <c r="K2984" t="str">
        <f>T("문과라도 안 죄송한 이세계로 감")</f>
        <v>문과라도 안 죄송한 이세계로 감</v>
      </c>
      <c r="L2984">
        <v>100</v>
      </c>
      <c r="M2984">
        <v>100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0</v>
      </c>
      <c r="AH2984">
        <v>0</v>
      </c>
      <c r="AI2984">
        <v>100</v>
      </c>
      <c r="AJ2984">
        <v>1</v>
      </c>
      <c r="AK2984">
        <v>0</v>
      </c>
      <c r="AL2984">
        <v>0</v>
      </c>
      <c r="AM2984">
        <v>10</v>
      </c>
      <c r="AN2984">
        <v>0</v>
      </c>
      <c r="AO2984">
        <v>108</v>
      </c>
      <c r="AP2984">
        <v>-10.8</v>
      </c>
      <c r="AQ2984">
        <v>0</v>
      </c>
      <c r="AS2984">
        <v>0</v>
      </c>
      <c r="AT2984">
        <v>0</v>
      </c>
      <c r="AU2984">
        <v>108</v>
      </c>
      <c r="AV2984">
        <v>-10.8</v>
      </c>
      <c r="AW2984">
        <v>0</v>
      </c>
      <c r="AY2984">
        <v>0</v>
      </c>
      <c r="AZ2984">
        <v>0</v>
      </c>
      <c r="BA2984">
        <v>75.040000000000006</v>
      </c>
      <c r="BC2984" t="str">
        <f>T("0000000000000")</f>
        <v>0000000000000</v>
      </c>
      <c r="BE2984" t="str">
        <f>T("9791162589724")</f>
        <v>9791162589724</v>
      </c>
      <c r="BF2984" t="str">
        <f>T("E741930")</f>
        <v>E741930</v>
      </c>
      <c r="BG2984" t="str">
        <f>T("판타지 웹소설 &gt; 퓨전 판타지")</f>
        <v>판타지 웹소설 &gt; 퓨전 판타지</v>
      </c>
    </row>
    <row r="2985" spans="1:59">
      <c r="A2985" t="s">
        <v>60</v>
      </c>
      <c r="B2985" s="1">
        <v>46131</v>
      </c>
      <c r="C2985">
        <v>2378009513</v>
      </c>
      <c r="D2985">
        <v>2378014619</v>
      </c>
      <c r="E2985" t="str">
        <f>T("문과라도 안 죄송한 이세계로 감 268화")</f>
        <v>문과라도 안 죄송한 이세계로 감 268화</v>
      </c>
      <c r="F2985">
        <v>268</v>
      </c>
      <c r="G2985" t="str">
        <f>T("정수읠")</f>
        <v>정수읠</v>
      </c>
      <c r="J2985" t="str">
        <f>T("매드햇")</f>
        <v>매드햇</v>
      </c>
      <c r="K2985" t="str">
        <f>T("문과라도 안 죄송한 이세계로 감")</f>
        <v>문과라도 안 죄송한 이세계로 감</v>
      </c>
      <c r="L2985">
        <v>100</v>
      </c>
      <c r="M2985">
        <v>100</v>
      </c>
      <c r="N2985">
        <v>1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0</v>
      </c>
      <c r="AH2985">
        <v>0</v>
      </c>
      <c r="AI2985">
        <v>100</v>
      </c>
      <c r="AJ2985">
        <v>1</v>
      </c>
      <c r="AK2985">
        <v>0</v>
      </c>
      <c r="AL2985">
        <v>0</v>
      </c>
      <c r="AM2985">
        <v>10</v>
      </c>
      <c r="AN2985">
        <v>0</v>
      </c>
      <c r="AO2985">
        <v>108</v>
      </c>
      <c r="AP2985">
        <v>-10.8</v>
      </c>
      <c r="AQ2985">
        <v>0</v>
      </c>
      <c r="AS2985">
        <v>0</v>
      </c>
      <c r="AT2985">
        <v>0</v>
      </c>
      <c r="AU2985">
        <v>108</v>
      </c>
      <c r="AV2985">
        <v>-10.8</v>
      </c>
      <c r="AW2985">
        <v>0</v>
      </c>
      <c r="AY2985">
        <v>0</v>
      </c>
      <c r="AZ2985">
        <v>0</v>
      </c>
      <c r="BA2985">
        <v>75.040000000000006</v>
      </c>
      <c r="BC2985" t="str">
        <f>T("0000000000000")</f>
        <v>0000000000000</v>
      </c>
      <c r="BE2985" t="str">
        <f>T("9791162589724")</f>
        <v>9791162589724</v>
      </c>
      <c r="BF2985" t="str">
        <f>T("E741931")</f>
        <v>E741931</v>
      </c>
      <c r="BG2985" t="str">
        <f>T("판타지 웹소설 &gt; 퓨전 판타지")</f>
        <v>판타지 웹소설 &gt; 퓨전 판타지</v>
      </c>
    </row>
    <row r="2986" spans="1:59">
      <c r="A2986" t="s">
        <v>60</v>
      </c>
      <c r="B2986" s="1">
        <v>46131</v>
      </c>
      <c r="C2986">
        <v>2378009513</v>
      </c>
      <c r="D2986">
        <v>2378014620</v>
      </c>
      <c r="E2986" t="str">
        <f>T("문과라도 안 죄송한 이세계로 감 269화")</f>
        <v>문과라도 안 죄송한 이세계로 감 269화</v>
      </c>
      <c r="F2986">
        <v>269</v>
      </c>
      <c r="G2986" t="str">
        <f>T("정수읠")</f>
        <v>정수읠</v>
      </c>
      <c r="J2986" t="str">
        <f>T("매드햇")</f>
        <v>매드햇</v>
      </c>
      <c r="K2986" t="str">
        <f>T("문과라도 안 죄송한 이세계로 감")</f>
        <v>문과라도 안 죄송한 이세계로 감</v>
      </c>
      <c r="L2986">
        <v>100</v>
      </c>
      <c r="M2986">
        <v>100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0</v>
      </c>
      <c r="AH2986">
        <v>0</v>
      </c>
      <c r="AI2986">
        <v>100</v>
      </c>
      <c r="AJ2986">
        <v>1</v>
      </c>
      <c r="AK2986">
        <v>0</v>
      </c>
      <c r="AL2986">
        <v>0</v>
      </c>
      <c r="AM2986">
        <v>10</v>
      </c>
      <c r="AN2986">
        <v>0</v>
      </c>
      <c r="AO2986">
        <v>108</v>
      </c>
      <c r="AP2986">
        <v>-10.8</v>
      </c>
      <c r="AQ2986">
        <v>0</v>
      </c>
      <c r="AS2986">
        <v>0</v>
      </c>
      <c r="AT2986">
        <v>0</v>
      </c>
      <c r="AU2986">
        <v>108</v>
      </c>
      <c r="AV2986">
        <v>-10.8</v>
      </c>
      <c r="AW2986">
        <v>0</v>
      </c>
      <c r="AY2986">
        <v>0</v>
      </c>
      <c r="AZ2986">
        <v>0</v>
      </c>
      <c r="BA2986">
        <v>75.040000000000006</v>
      </c>
      <c r="BC2986" t="str">
        <f>T("0000000000000")</f>
        <v>0000000000000</v>
      </c>
      <c r="BE2986" t="str">
        <f>T("9791162589724")</f>
        <v>9791162589724</v>
      </c>
      <c r="BF2986" t="str">
        <f>T("E741932")</f>
        <v>E741932</v>
      </c>
      <c r="BG2986" t="str">
        <f>T("판타지 웹소설 &gt; 퓨전 판타지")</f>
        <v>판타지 웹소설 &gt; 퓨전 판타지</v>
      </c>
    </row>
    <row r="2987" spans="1:59">
      <c r="A2987" t="s">
        <v>60</v>
      </c>
      <c r="B2987" s="1">
        <v>46131</v>
      </c>
      <c r="C2987">
        <v>2378009513</v>
      </c>
      <c r="D2987">
        <v>2378014654</v>
      </c>
      <c r="E2987" t="str">
        <f>T("문과라도 안 죄송한 이세계로 감 270화")</f>
        <v>문과라도 안 죄송한 이세계로 감 270화</v>
      </c>
      <c r="F2987">
        <v>270</v>
      </c>
      <c r="G2987" t="str">
        <f>T("정수읠")</f>
        <v>정수읠</v>
      </c>
      <c r="J2987" t="str">
        <f>T("매드햇")</f>
        <v>매드햇</v>
      </c>
      <c r="K2987" t="str">
        <f>T("문과라도 안 죄송한 이세계로 감")</f>
        <v>문과라도 안 죄송한 이세계로 감</v>
      </c>
      <c r="L2987">
        <v>100</v>
      </c>
      <c r="M2987">
        <v>100</v>
      </c>
      <c r="N2987">
        <v>1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0</v>
      </c>
      <c r="AH2987">
        <v>0</v>
      </c>
      <c r="AI2987">
        <v>100</v>
      </c>
      <c r="AJ2987">
        <v>1</v>
      </c>
      <c r="AK2987">
        <v>0</v>
      </c>
      <c r="AL2987">
        <v>0</v>
      </c>
      <c r="AM2987">
        <v>10</v>
      </c>
      <c r="AN2987">
        <v>0</v>
      </c>
      <c r="AO2987">
        <v>108</v>
      </c>
      <c r="AP2987">
        <v>-10.8</v>
      </c>
      <c r="AQ2987">
        <v>0</v>
      </c>
      <c r="AS2987">
        <v>0</v>
      </c>
      <c r="AT2987">
        <v>0</v>
      </c>
      <c r="AU2987">
        <v>108</v>
      </c>
      <c r="AV2987">
        <v>-10.8</v>
      </c>
      <c r="AW2987">
        <v>0</v>
      </c>
      <c r="AY2987">
        <v>0</v>
      </c>
      <c r="AZ2987">
        <v>0</v>
      </c>
      <c r="BA2987">
        <v>75.040000000000006</v>
      </c>
      <c r="BC2987" t="str">
        <f>T("0000000000000")</f>
        <v>0000000000000</v>
      </c>
      <c r="BE2987" t="str">
        <f>T("9791162589724")</f>
        <v>9791162589724</v>
      </c>
      <c r="BF2987" t="str">
        <f>T("E744074")</f>
        <v>E744074</v>
      </c>
      <c r="BG2987" t="str">
        <f>T("판타지 웹소설 &gt; 퓨전 판타지")</f>
        <v>판타지 웹소설 &gt; 퓨전 판타지</v>
      </c>
    </row>
    <row r="2988" spans="1:59">
      <c r="A2988" t="s">
        <v>60</v>
      </c>
      <c r="B2988" s="1">
        <v>46131</v>
      </c>
      <c r="C2988">
        <v>2378009513</v>
      </c>
      <c r="D2988">
        <v>2378014655</v>
      </c>
      <c r="E2988" t="str">
        <f>T("문과라도 안 죄송한 이세계로 감 271화")</f>
        <v>문과라도 안 죄송한 이세계로 감 271화</v>
      </c>
      <c r="F2988">
        <v>271</v>
      </c>
      <c r="G2988" t="str">
        <f>T("정수읠")</f>
        <v>정수읠</v>
      </c>
      <c r="J2988" t="str">
        <f>T("매드햇")</f>
        <v>매드햇</v>
      </c>
      <c r="K2988" t="str">
        <f>T("문과라도 안 죄송한 이세계로 감")</f>
        <v>문과라도 안 죄송한 이세계로 감</v>
      </c>
      <c r="L2988">
        <v>100</v>
      </c>
      <c r="M2988">
        <v>100</v>
      </c>
      <c r="N2988">
        <v>1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0</v>
      </c>
      <c r="AH2988">
        <v>0</v>
      </c>
      <c r="AI2988">
        <v>100</v>
      </c>
      <c r="AJ2988">
        <v>1</v>
      </c>
      <c r="AK2988">
        <v>0</v>
      </c>
      <c r="AL2988">
        <v>0</v>
      </c>
      <c r="AM2988">
        <v>10</v>
      </c>
      <c r="AN2988">
        <v>0</v>
      </c>
      <c r="AO2988">
        <v>108</v>
      </c>
      <c r="AP2988">
        <v>-10.8</v>
      </c>
      <c r="AQ2988">
        <v>0</v>
      </c>
      <c r="AS2988">
        <v>0</v>
      </c>
      <c r="AT2988">
        <v>0</v>
      </c>
      <c r="AU2988">
        <v>108</v>
      </c>
      <c r="AV2988">
        <v>-10.8</v>
      </c>
      <c r="AW2988">
        <v>0</v>
      </c>
      <c r="AY2988">
        <v>0</v>
      </c>
      <c r="AZ2988">
        <v>0</v>
      </c>
      <c r="BA2988">
        <v>75.040000000000006</v>
      </c>
      <c r="BC2988" t="str">
        <f>T("0000000000000")</f>
        <v>0000000000000</v>
      </c>
      <c r="BE2988" t="str">
        <f>T("9791162589724")</f>
        <v>9791162589724</v>
      </c>
      <c r="BF2988" t="str">
        <f>T("E744075")</f>
        <v>E744075</v>
      </c>
      <c r="BG2988" t="str">
        <f>T("판타지 웹소설 &gt; 퓨전 판타지")</f>
        <v>판타지 웹소설 &gt; 퓨전 판타지</v>
      </c>
    </row>
    <row r="2989" spans="1:59">
      <c r="A2989" t="s">
        <v>60</v>
      </c>
      <c r="B2989" s="1">
        <v>46131</v>
      </c>
      <c r="C2989">
        <v>2378009513</v>
      </c>
      <c r="D2989">
        <v>2378014656</v>
      </c>
      <c r="E2989" t="str">
        <f>T("문과라도 안 죄송한 이세계로 감 272화")</f>
        <v>문과라도 안 죄송한 이세계로 감 272화</v>
      </c>
      <c r="F2989">
        <v>272</v>
      </c>
      <c r="G2989" t="str">
        <f>T("정수읠")</f>
        <v>정수읠</v>
      </c>
      <c r="J2989" t="str">
        <f>T("매드햇")</f>
        <v>매드햇</v>
      </c>
      <c r="K2989" t="str">
        <f>T("문과라도 안 죄송한 이세계로 감")</f>
        <v>문과라도 안 죄송한 이세계로 감</v>
      </c>
      <c r="L2989">
        <v>100</v>
      </c>
      <c r="M2989">
        <v>100</v>
      </c>
      <c r="N2989">
        <v>1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0</v>
      </c>
      <c r="AH2989">
        <v>0</v>
      </c>
      <c r="AI2989">
        <v>100</v>
      </c>
      <c r="AJ2989">
        <v>1</v>
      </c>
      <c r="AK2989">
        <v>0</v>
      </c>
      <c r="AL2989">
        <v>0</v>
      </c>
      <c r="AM2989">
        <v>10</v>
      </c>
      <c r="AN2989">
        <v>0</v>
      </c>
      <c r="AO2989">
        <v>108</v>
      </c>
      <c r="AP2989">
        <v>-10.8</v>
      </c>
      <c r="AQ2989">
        <v>0</v>
      </c>
      <c r="AS2989">
        <v>0</v>
      </c>
      <c r="AT2989">
        <v>0</v>
      </c>
      <c r="AU2989">
        <v>108</v>
      </c>
      <c r="AV2989">
        <v>-10.8</v>
      </c>
      <c r="AW2989">
        <v>0</v>
      </c>
      <c r="AY2989">
        <v>0</v>
      </c>
      <c r="AZ2989">
        <v>0</v>
      </c>
      <c r="BA2989">
        <v>75.040000000000006</v>
      </c>
      <c r="BC2989" t="str">
        <f>T("0000000000000")</f>
        <v>0000000000000</v>
      </c>
      <c r="BE2989" t="str">
        <f>T("9791162589724")</f>
        <v>9791162589724</v>
      </c>
      <c r="BF2989" t="str">
        <f>T("E744076")</f>
        <v>E744076</v>
      </c>
      <c r="BG2989" t="str">
        <f>T("판타지 웹소설 &gt; 퓨전 판타지")</f>
        <v>판타지 웹소설 &gt; 퓨전 판타지</v>
      </c>
    </row>
    <row r="2990" spans="1:59">
      <c r="A2990" t="s">
        <v>60</v>
      </c>
      <c r="B2990" s="1">
        <v>46131</v>
      </c>
      <c r="C2990">
        <v>2378009513</v>
      </c>
      <c r="D2990">
        <v>2378014657</v>
      </c>
      <c r="E2990" t="str">
        <f>T("문과라도 안 죄송한 이세계로 감 273화")</f>
        <v>문과라도 안 죄송한 이세계로 감 273화</v>
      </c>
      <c r="F2990">
        <v>273</v>
      </c>
      <c r="G2990" t="str">
        <f>T("정수읠")</f>
        <v>정수읠</v>
      </c>
      <c r="J2990" t="str">
        <f>T("매드햇")</f>
        <v>매드햇</v>
      </c>
      <c r="K2990" t="str">
        <f>T("문과라도 안 죄송한 이세계로 감")</f>
        <v>문과라도 안 죄송한 이세계로 감</v>
      </c>
      <c r="L2990">
        <v>100</v>
      </c>
      <c r="M2990">
        <v>100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0</v>
      </c>
      <c r="AH2990">
        <v>0</v>
      </c>
      <c r="AI2990">
        <v>100</v>
      </c>
      <c r="AJ2990">
        <v>1</v>
      </c>
      <c r="AK2990">
        <v>0</v>
      </c>
      <c r="AL2990">
        <v>0</v>
      </c>
      <c r="AM2990">
        <v>10</v>
      </c>
      <c r="AN2990">
        <v>0</v>
      </c>
      <c r="AO2990">
        <v>108</v>
      </c>
      <c r="AP2990">
        <v>-10.8</v>
      </c>
      <c r="AQ2990">
        <v>0</v>
      </c>
      <c r="AS2990">
        <v>0</v>
      </c>
      <c r="AT2990">
        <v>0</v>
      </c>
      <c r="AU2990">
        <v>108</v>
      </c>
      <c r="AV2990">
        <v>-10.8</v>
      </c>
      <c r="AW2990">
        <v>0</v>
      </c>
      <c r="AY2990">
        <v>0</v>
      </c>
      <c r="AZ2990">
        <v>0</v>
      </c>
      <c r="BA2990">
        <v>75.040000000000006</v>
      </c>
      <c r="BC2990" t="str">
        <f>T("0000000000000")</f>
        <v>0000000000000</v>
      </c>
      <c r="BE2990" t="str">
        <f>T("9791162589724")</f>
        <v>9791162589724</v>
      </c>
      <c r="BF2990" t="str">
        <f>T("E744077")</f>
        <v>E744077</v>
      </c>
      <c r="BG2990" t="str">
        <f>T("판타지 웹소설 &gt; 퓨전 판타지")</f>
        <v>판타지 웹소설 &gt; 퓨전 판타지</v>
      </c>
    </row>
    <row r="2991" spans="1:59">
      <c r="A2991" t="s">
        <v>60</v>
      </c>
      <c r="B2991" s="1">
        <v>46131</v>
      </c>
      <c r="C2991">
        <v>2378009513</v>
      </c>
      <c r="D2991">
        <v>2378014856</v>
      </c>
      <c r="E2991" t="str">
        <f>T("문과라도 안 죄송한 이세계로 감 274화")</f>
        <v>문과라도 안 죄송한 이세계로 감 274화</v>
      </c>
      <c r="F2991">
        <v>274</v>
      </c>
      <c r="G2991" t="str">
        <f>T("정수읠")</f>
        <v>정수읠</v>
      </c>
      <c r="J2991" t="str">
        <f>T("매드햇")</f>
        <v>매드햇</v>
      </c>
      <c r="K2991" t="str">
        <f>T("문과라도 안 죄송한 이세계로 감")</f>
        <v>문과라도 안 죄송한 이세계로 감</v>
      </c>
      <c r="L2991">
        <v>100</v>
      </c>
      <c r="M2991">
        <v>100</v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0</v>
      </c>
      <c r="AH2991">
        <v>0</v>
      </c>
      <c r="AI2991">
        <v>100</v>
      </c>
      <c r="AJ2991">
        <v>1</v>
      </c>
      <c r="AK2991">
        <v>0</v>
      </c>
      <c r="AL2991">
        <v>0</v>
      </c>
      <c r="AM2991">
        <v>10</v>
      </c>
      <c r="AN2991">
        <v>0</v>
      </c>
      <c r="AO2991">
        <v>108</v>
      </c>
      <c r="AP2991">
        <v>-10.8</v>
      </c>
      <c r="AQ2991">
        <v>0</v>
      </c>
      <c r="AS2991">
        <v>0</v>
      </c>
      <c r="AT2991">
        <v>0</v>
      </c>
      <c r="AU2991">
        <v>108</v>
      </c>
      <c r="AV2991">
        <v>-10.8</v>
      </c>
      <c r="AW2991">
        <v>0</v>
      </c>
      <c r="AY2991">
        <v>0</v>
      </c>
      <c r="AZ2991">
        <v>0</v>
      </c>
      <c r="BA2991">
        <v>75.040000000000006</v>
      </c>
      <c r="BC2991" t="str">
        <f>T("0000000000000")</f>
        <v>0000000000000</v>
      </c>
      <c r="BE2991" t="str">
        <f>T("9791162589724")</f>
        <v>9791162589724</v>
      </c>
      <c r="BF2991" t="str">
        <f>T("E744078")</f>
        <v>E744078</v>
      </c>
      <c r="BG2991" t="str">
        <f>T("판타지 웹소설 &gt; 퓨전 판타지")</f>
        <v>판타지 웹소설 &gt; 퓨전 판타지</v>
      </c>
    </row>
    <row r="2992" spans="1:59">
      <c r="A2992" t="s">
        <v>60</v>
      </c>
      <c r="B2992" s="1">
        <v>46131</v>
      </c>
      <c r="C2992">
        <v>2378009513</v>
      </c>
      <c r="D2992">
        <v>2378014857</v>
      </c>
      <c r="E2992" t="str">
        <f>T("문과라도 안 죄송한 이세계로 감 275화")</f>
        <v>문과라도 안 죄송한 이세계로 감 275화</v>
      </c>
      <c r="F2992">
        <v>275</v>
      </c>
      <c r="G2992" t="str">
        <f>T("정수읠")</f>
        <v>정수읠</v>
      </c>
      <c r="J2992" t="str">
        <f>T("매드햇")</f>
        <v>매드햇</v>
      </c>
      <c r="K2992" t="str">
        <f>T("문과라도 안 죄송한 이세계로 감")</f>
        <v>문과라도 안 죄송한 이세계로 감</v>
      </c>
      <c r="L2992">
        <v>100</v>
      </c>
      <c r="M2992">
        <v>100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0</v>
      </c>
      <c r="AH2992">
        <v>0</v>
      </c>
      <c r="AI2992">
        <v>100</v>
      </c>
      <c r="AJ2992">
        <v>1</v>
      </c>
      <c r="AK2992">
        <v>0</v>
      </c>
      <c r="AL2992">
        <v>0</v>
      </c>
      <c r="AM2992">
        <v>10</v>
      </c>
      <c r="AN2992">
        <v>0</v>
      </c>
      <c r="AO2992">
        <v>108</v>
      </c>
      <c r="AP2992">
        <v>-10.8</v>
      </c>
      <c r="AQ2992">
        <v>0</v>
      </c>
      <c r="AS2992">
        <v>0</v>
      </c>
      <c r="AT2992">
        <v>0</v>
      </c>
      <c r="AU2992">
        <v>108</v>
      </c>
      <c r="AV2992">
        <v>-10.8</v>
      </c>
      <c r="AW2992">
        <v>0</v>
      </c>
      <c r="AY2992">
        <v>0</v>
      </c>
      <c r="AZ2992">
        <v>0</v>
      </c>
      <c r="BA2992">
        <v>75.040000000000006</v>
      </c>
      <c r="BC2992" t="str">
        <f>T("0000000000000")</f>
        <v>0000000000000</v>
      </c>
      <c r="BE2992" t="str">
        <f>T("9791162589724")</f>
        <v>9791162589724</v>
      </c>
      <c r="BF2992" t="str">
        <f>T("E744079")</f>
        <v>E744079</v>
      </c>
      <c r="BG2992" t="str">
        <f>T("판타지 웹소설 &gt; 퓨전 판타지")</f>
        <v>판타지 웹소설 &gt; 퓨전 판타지</v>
      </c>
    </row>
    <row r="2993" spans="1:59">
      <c r="A2993" t="s">
        <v>60</v>
      </c>
      <c r="B2993" s="1">
        <v>46131</v>
      </c>
      <c r="C2993">
        <v>2378009513</v>
      </c>
      <c r="D2993">
        <v>2378014858</v>
      </c>
      <c r="E2993" t="str">
        <f>T("문과라도 안 죄송한 이세계로 감 276화")</f>
        <v>문과라도 안 죄송한 이세계로 감 276화</v>
      </c>
      <c r="F2993">
        <v>276</v>
      </c>
      <c r="G2993" t="str">
        <f>T("정수읠")</f>
        <v>정수읠</v>
      </c>
      <c r="J2993" t="str">
        <f>T("매드햇")</f>
        <v>매드햇</v>
      </c>
      <c r="K2993" t="str">
        <f>T("문과라도 안 죄송한 이세계로 감")</f>
        <v>문과라도 안 죄송한 이세계로 감</v>
      </c>
      <c r="L2993">
        <v>100</v>
      </c>
      <c r="M2993">
        <v>100</v>
      </c>
      <c r="N2993">
        <v>1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0</v>
      </c>
      <c r="AH2993">
        <v>0</v>
      </c>
      <c r="AI2993">
        <v>100</v>
      </c>
      <c r="AJ2993">
        <v>1</v>
      </c>
      <c r="AK2993">
        <v>0</v>
      </c>
      <c r="AL2993">
        <v>0</v>
      </c>
      <c r="AM2993">
        <v>10</v>
      </c>
      <c r="AN2993">
        <v>0</v>
      </c>
      <c r="AO2993">
        <v>108</v>
      </c>
      <c r="AP2993">
        <v>-10.8</v>
      </c>
      <c r="AQ2993">
        <v>0</v>
      </c>
      <c r="AS2993">
        <v>0</v>
      </c>
      <c r="AT2993">
        <v>0</v>
      </c>
      <c r="AU2993">
        <v>108</v>
      </c>
      <c r="AV2993">
        <v>-10.8</v>
      </c>
      <c r="AW2993">
        <v>0</v>
      </c>
      <c r="AY2993">
        <v>0</v>
      </c>
      <c r="AZ2993">
        <v>0</v>
      </c>
      <c r="BA2993">
        <v>75.040000000000006</v>
      </c>
      <c r="BC2993" t="str">
        <f>T("0000000000000")</f>
        <v>0000000000000</v>
      </c>
      <c r="BE2993" t="str">
        <f>T("9791162589724")</f>
        <v>9791162589724</v>
      </c>
      <c r="BF2993" t="str">
        <f>T("E744080")</f>
        <v>E744080</v>
      </c>
      <c r="BG2993" t="str">
        <f>T("판타지 웹소설 &gt; 퓨전 판타지")</f>
        <v>판타지 웹소설 &gt; 퓨전 판타지</v>
      </c>
    </row>
    <row r="2994" spans="1:59">
      <c r="A2994" t="s">
        <v>60</v>
      </c>
      <c r="B2994" s="1">
        <v>46131</v>
      </c>
      <c r="C2994">
        <v>2378009513</v>
      </c>
      <c r="D2994">
        <v>2378014859</v>
      </c>
      <c r="E2994" t="str">
        <f>T("문과라도 안 죄송한 이세계로 감 277화")</f>
        <v>문과라도 안 죄송한 이세계로 감 277화</v>
      </c>
      <c r="F2994">
        <v>277</v>
      </c>
      <c r="G2994" t="str">
        <f>T("정수읠")</f>
        <v>정수읠</v>
      </c>
      <c r="J2994" t="str">
        <f>T("매드햇")</f>
        <v>매드햇</v>
      </c>
      <c r="K2994" t="str">
        <f>T("문과라도 안 죄송한 이세계로 감")</f>
        <v>문과라도 안 죄송한 이세계로 감</v>
      </c>
      <c r="L2994">
        <v>100</v>
      </c>
      <c r="M2994">
        <v>100</v>
      </c>
      <c r="N2994">
        <v>1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0</v>
      </c>
      <c r="AH2994">
        <v>0</v>
      </c>
      <c r="AI2994">
        <v>100</v>
      </c>
      <c r="AJ2994">
        <v>1</v>
      </c>
      <c r="AK2994">
        <v>0</v>
      </c>
      <c r="AL2994">
        <v>0</v>
      </c>
      <c r="AM2994">
        <v>10</v>
      </c>
      <c r="AN2994">
        <v>0</v>
      </c>
      <c r="AO2994">
        <v>108</v>
      </c>
      <c r="AP2994">
        <v>-10.8</v>
      </c>
      <c r="AQ2994">
        <v>0</v>
      </c>
      <c r="AS2994">
        <v>0</v>
      </c>
      <c r="AT2994">
        <v>0</v>
      </c>
      <c r="AU2994">
        <v>108</v>
      </c>
      <c r="AV2994">
        <v>-10.8</v>
      </c>
      <c r="AW2994">
        <v>0</v>
      </c>
      <c r="AY2994">
        <v>0</v>
      </c>
      <c r="AZ2994">
        <v>0</v>
      </c>
      <c r="BA2994">
        <v>75.040000000000006</v>
      </c>
      <c r="BC2994" t="str">
        <f>T("0000000000000")</f>
        <v>0000000000000</v>
      </c>
      <c r="BE2994" t="str">
        <f>T("9791162589724")</f>
        <v>9791162589724</v>
      </c>
      <c r="BF2994" t="str">
        <f>T("E744081")</f>
        <v>E744081</v>
      </c>
      <c r="BG2994" t="str">
        <f>T("판타지 웹소설 &gt; 퓨전 판타지")</f>
        <v>판타지 웹소설 &gt; 퓨전 판타지</v>
      </c>
    </row>
    <row r="2995" spans="1:59">
      <c r="A2995" t="s">
        <v>60</v>
      </c>
      <c r="B2995" s="1">
        <v>46131</v>
      </c>
      <c r="C2995">
        <v>2378009513</v>
      </c>
      <c r="D2995">
        <v>2378015297</v>
      </c>
      <c r="E2995" t="str">
        <f>T("문과라도 안 죄송한 이세계로 감 278화")</f>
        <v>문과라도 안 죄송한 이세계로 감 278화</v>
      </c>
      <c r="F2995">
        <v>278</v>
      </c>
      <c r="G2995" t="str">
        <f>T("정수읠")</f>
        <v>정수읠</v>
      </c>
      <c r="J2995" t="str">
        <f>T("매드햇")</f>
        <v>매드햇</v>
      </c>
      <c r="K2995" t="str">
        <f>T("문과라도 안 죄송한 이세계로 감")</f>
        <v>문과라도 안 죄송한 이세계로 감</v>
      </c>
      <c r="L2995">
        <v>100</v>
      </c>
      <c r="M2995">
        <v>100</v>
      </c>
      <c r="N2995">
        <v>1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0</v>
      </c>
      <c r="AH2995">
        <v>0</v>
      </c>
      <c r="AI2995">
        <v>100</v>
      </c>
      <c r="AJ2995">
        <v>1</v>
      </c>
      <c r="AK2995">
        <v>0</v>
      </c>
      <c r="AL2995">
        <v>0</v>
      </c>
      <c r="AM2995">
        <v>10</v>
      </c>
      <c r="AN2995">
        <v>0</v>
      </c>
      <c r="AO2995">
        <v>108</v>
      </c>
      <c r="AP2995">
        <v>-10.8</v>
      </c>
      <c r="AQ2995">
        <v>0</v>
      </c>
      <c r="AS2995">
        <v>0</v>
      </c>
      <c r="AT2995">
        <v>0</v>
      </c>
      <c r="AU2995">
        <v>108</v>
      </c>
      <c r="AV2995">
        <v>-10.8</v>
      </c>
      <c r="AW2995">
        <v>0</v>
      </c>
      <c r="AY2995">
        <v>0</v>
      </c>
      <c r="AZ2995">
        <v>0</v>
      </c>
      <c r="BA2995">
        <v>75.040000000000006</v>
      </c>
      <c r="BC2995" t="str">
        <f>T("0000000000000")</f>
        <v>0000000000000</v>
      </c>
      <c r="BE2995" t="str">
        <f>T("9791162589724")</f>
        <v>9791162589724</v>
      </c>
      <c r="BF2995" t="str">
        <f>T("E746058")</f>
        <v>E746058</v>
      </c>
      <c r="BG2995" t="str">
        <f>T("판타지 웹소설 &gt; 퓨전 판타지")</f>
        <v>판타지 웹소설 &gt; 퓨전 판타지</v>
      </c>
    </row>
    <row r="2996" spans="1:59">
      <c r="A2996" t="s">
        <v>60</v>
      </c>
      <c r="B2996" s="1">
        <v>46131</v>
      </c>
      <c r="C2996">
        <v>2378009513</v>
      </c>
      <c r="D2996">
        <v>2378015298</v>
      </c>
      <c r="E2996" t="str">
        <f>T("문과라도 안 죄송한 이세계로 감 279화")</f>
        <v>문과라도 안 죄송한 이세계로 감 279화</v>
      </c>
      <c r="F2996">
        <v>279</v>
      </c>
      <c r="G2996" t="str">
        <f>T("정수읠")</f>
        <v>정수읠</v>
      </c>
      <c r="J2996" t="str">
        <f>T("매드햇")</f>
        <v>매드햇</v>
      </c>
      <c r="K2996" t="str">
        <f>T("문과라도 안 죄송한 이세계로 감")</f>
        <v>문과라도 안 죄송한 이세계로 감</v>
      </c>
      <c r="L2996">
        <v>100</v>
      </c>
      <c r="M2996">
        <v>100</v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0</v>
      </c>
      <c r="AH2996">
        <v>0</v>
      </c>
      <c r="AI2996">
        <v>100</v>
      </c>
      <c r="AJ2996">
        <v>1</v>
      </c>
      <c r="AK2996">
        <v>0</v>
      </c>
      <c r="AL2996">
        <v>0</v>
      </c>
      <c r="AM2996">
        <v>10</v>
      </c>
      <c r="AN2996">
        <v>0</v>
      </c>
      <c r="AO2996">
        <v>108</v>
      </c>
      <c r="AP2996">
        <v>-10.8</v>
      </c>
      <c r="AQ2996">
        <v>0</v>
      </c>
      <c r="AS2996">
        <v>0</v>
      </c>
      <c r="AT2996">
        <v>0</v>
      </c>
      <c r="AU2996">
        <v>108</v>
      </c>
      <c r="AV2996">
        <v>-10.8</v>
      </c>
      <c r="AW2996">
        <v>0</v>
      </c>
      <c r="AY2996">
        <v>0</v>
      </c>
      <c r="AZ2996">
        <v>0</v>
      </c>
      <c r="BA2996">
        <v>75.040000000000006</v>
      </c>
      <c r="BC2996" t="str">
        <f>T("0000000000000")</f>
        <v>0000000000000</v>
      </c>
      <c r="BE2996" t="str">
        <f>T("9791162589724")</f>
        <v>9791162589724</v>
      </c>
      <c r="BF2996" t="str">
        <f>T("E746059")</f>
        <v>E746059</v>
      </c>
      <c r="BG2996" t="str">
        <f>T("판타지 웹소설 &gt; 퓨전 판타지")</f>
        <v>판타지 웹소설 &gt; 퓨전 판타지</v>
      </c>
    </row>
    <row r="2997" spans="1:59">
      <c r="A2997" t="s">
        <v>60</v>
      </c>
      <c r="B2997" s="1">
        <v>46131</v>
      </c>
      <c r="C2997">
        <v>2378009513</v>
      </c>
      <c r="D2997">
        <v>2378015299</v>
      </c>
      <c r="E2997" t="str">
        <f>T("문과라도 안 죄송한 이세계로 감 280화")</f>
        <v>문과라도 안 죄송한 이세계로 감 280화</v>
      </c>
      <c r="F2997">
        <v>280</v>
      </c>
      <c r="G2997" t="str">
        <f>T("정수읠")</f>
        <v>정수읠</v>
      </c>
      <c r="J2997" t="str">
        <f>T("매드햇")</f>
        <v>매드햇</v>
      </c>
      <c r="K2997" t="str">
        <f>T("문과라도 안 죄송한 이세계로 감")</f>
        <v>문과라도 안 죄송한 이세계로 감</v>
      </c>
      <c r="L2997">
        <v>100</v>
      </c>
      <c r="M2997">
        <v>100</v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0</v>
      </c>
      <c r="AH2997">
        <v>0</v>
      </c>
      <c r="AI2997">
        <v>100</v>
      </c>
      <c r="AJ2997">
        <v>1</v>
      </c>
      <c r="AK2997">
        <v>0</v>
      </c>
      <c r="AL2997">
        <v>0</v>
      </c>
      <c r="AM2997">
        <v>10</v>
      </c>
      <c r="AN2997">
        <v>0</v>
      </c>
      <c r="AO2997">
        <v>108</v>
      </c>
      <c r="AP2997">
        <v>-10.8</v>
      </c>
      <c r="AQ2997">
        <v>0</v>
      </c>
      <c r="AS2997">
        <v>0</v>
      </c>
      <c r="AT2997">
        <v>0</v>
      </c>
      <c r="AU2997">
        <v>108</v>
      </c>
      <c r="AV2997">
        <v>-10.8</v>
      </c>
      <c r="AW2997">
        <v>0</v>
      </c>
      <c r="AY2997">
        <v>0</v>
      </c>
      <c r="AZ2997">
        <v>0</v>
      </c>
      <c r="BA2997">
        <v>75.040000000000006</v>
      </c>
      <c r="BC2997" t="str">
        <f>T("0000000000000")</f>
        <v>0000000000000</v>
      </c>
      <c r="BE2997" t="str">
        <f>T("9791162589724")</f>
        <v>9791162589724</v>
      </c>
      <c r="BF2997" t="str">
        <f>T("E746060")</f>
        <v>E746060</v>
      </c>
      <c r="BG2997" t="str">
        <f>T("판타지 웹소설 &gt; 퓨전 판타지")</f>
        <v>판타지 웹소설 &gt; 퓨전 판타지</v>
      </c>
    </row>
    <row r="2998" spans="1:59">
      <c r="A2998" t="s">
        <v>60</v>
      </c>
      <c r="B2998" s="1">
        <v>46131</v>
      </c>
      <c r="C2998">
        <v>2378009513</v>
      </c>
      <c r="D2998">
        <v>2378015300</v>
      </c>
      <c r="E2998" t="str">
        <f>T("문과라도 안 죄송한 이세계로 감 281화")</f>
        <v>문과라도 안 죄송한 이세계로 감 281화</v>
      </c>
      <c r="F2998">
        <v>281</v>
      </c>
      <c r="G2998" t="str">
        <f>T("정수읠")</f>
        <v>정수읠</v>
      </c>
      <c r="J2998" t="str">
        <f>T("매드햇")</f>
        <v>매드햇</v>
      </c>
      <c r="K2998" t="str">
        <f>T("문과라도 안 죄송한 이세계로 감")</f>
        <v>문과라도 안 죄송한 이세계로 감</v>
      </c>
      <c r="L2998">
        <v>100</v>
      </c>
      <c r="M2998">
        <v>100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0</v>
      </c>
      <c r="AH2998">
        <v>0</v>
      </c>
      <c r="AI2998">
        <v>100</v>
      </c>
      <c r="AJ2998">
        <v>1</v>
      </c>
      <c r="AK2998">
        <v>0</v>
      </c>
      <c r="AL2998">
        <v>0</v>
      </c>
      <c r="AM2998">
        <v>10</v>
      </c>
      <c r="AN2998">
        <v>0</v>
      </c>
      <c r="AO2998">
        <v>108</v>
      </c>
      <c r="AP2998">
        <v>-10.8</v>
      </c>
      <c r="AQ2998">
        <v>0</v>
      </c>
      <c r="AS2998">
        <v>0</v>
      </c>
      <c r="AT2998">
        <v>0</v>
      </c>
      <c r="AU2998">
        <v>108</v>
      </c>
      <c r="AV2998">
        <v>-10.8</v>
      </c>
      <c r="AW2998">
        <v>0</v>
      </c>
      <c r="AY2998">
        <v>0</v>
      </c>
      <c r="AZ2998">
        <v>0</v>
      </c>
      <c r="BA2998">
        <v>75.040000000000006</v>
      </c>
      <c r="BC2998" t="str">
        <f>T("0000000000000")</f>
        <v>0000000000000</v>
      </c>
      <c r="BE2998" t="str">
        <f>T("9791162589724")</f>
        <v>9791162589724</v>
      </c>
      <c r="BF2998" t="str">
        <f>T("E746061")</f>
        <v>E746061</v>
      </c>
      <c r="BG2998" t="str">
        <f>T("판타지 웹소설 &gt; 퓨전 판타지")</f>
        <v>판타지 웹소설 &gt; 퓨전 판타지</v>
      </c>
    </row>
    <row r="2999" spans="1:59">
      <c r="A2999" t="s">
        <v>60</v>
      </c>
      <c r="B2999" s="1">
        <v>46131</v>
      </c>
      <c r="C2999">
        <v>2378009513</v>
      </c>
      <c r="D2999">
        <v>2378015377</v>
      </c>
      <c r="E2999" t="str">
        <f>T("문과라도 안 죄송한 이세계로 감 282화")</f>
        <v>문과라도 안 죄송한 이세계로 감 282화</v>
      </c>
      <c r="F2999">
        <v>282</v>
      </c>
      <c r="G2999" t="str">
        <f>T("정수읠")</f>
        <v>정수읠</v>
      </c>
      <c r="J2999" t="str">
        <f>T("매드햇")</f>
        <v>매드햇</v>
      </c>
      <c r="K2999" t="str">
        <f>T("문과라도 안 죄송한 이세계로 감")</f>
        <v>문과라도 안 죄송한 이세계로 감</v>
      </c>
      <c r="L2999">
        <v>100</v>
      </c>
      <c r="M2999">
        <v>100</v>
      </c>
      <c r="N2999">
        <v>1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0</v>
      </c>
      <c r="AH2999">
        <v>0</v>
      </c>
      <c r="AI2999">
        <v>100</v>
      </c>
      <c r="AJ2999">
        <v>1</v>
      </c>
      <c r="AK2999">
        <v>0</v>
      </c>
      <c r="AL2999">
        <v>0</v>
      </c>
      <c r="AM2999">
        <v>10</v>
      </c>
      <c r="AN2999">
        <v>0</v>
      </c>
      <c r="AO2999">
        <v>108</v>
      </c>
      <c r="AP2999">
        <v>-10.8</v>
      </c>
      <c r="AQ2999">
        <v>0</v>
      </c>
      <c r="AS2999">
        <v>0</v>
      </c>
      <c r="AT2999">
        <v>0</v>
      </c>
      <c r="AU2999">
        <v>108</v>
      </c>
      <c r="AV2999">
        <v>-10.8</v>
      </c>
      <c r="AW2999">
        <v>0</v>
      </c>
      <c r="AY2999">
        <v>0</v>
      </c>
      <c r="AZ2999">
        <v>0</v>
      </c>
      <c r="BA2999">
        <v>75.040000000000006</v>
      </c>
      <c r="BC2999" t="str">
        <f>T("0000000000000")</f>
        <v>0000000000000</v>
      </c>
      <c r="BE2999" t="str">
        <f>T("9791162589724")</f>
        <v>9791162589724</v>
      </c>
      <c r="BF2999" t="str">
        <f>T("E747495")</f>
        <v>E747495</v>
      </c>
      <c r="BG2999" t="str">
        <f>T("판타지 웹소설 &gt; 퓨전 판타지")</f>
        <v>판타지 웹소설 &gt; 퓨전 판타지</v>
      </c>
    </row>
    <row r="3000" spans="1:59">
      <c r="A3000" t="s">
        <v>60</v>
      </c>
      <c r="B3000" s="1">
        <v>46131</v>
      </c>
      <c r="C3000">
        <v>2378009513</v>
      </c>
      <c r="D3000">
        <v>2378015378</v>
      </c>
      <c r="E3000" t="str">
        <f>T("문과라도 안 죄송한 이세계로 감 283화")</f>
        <v>문과라도 안 죄송한 이세계로 감 283화</v>
      </c>
      <c r="F3000">
        <v>283</v>
      </c>
      <c r="G3000" t="str">
        <f>T("정수읠")</f>
        <v>정수읠</v>
      </c>
      <c r="J3000" t="str">
        <f>T("매드햇")</f>
        <v>매드햇</v>
      </c>
      <c r="K3000" t="str">
        <f>T("문과라도 안 죄송한 이세계로 감")</f>
        <v>문과라도 안 죄송한 이세계로 감</v>
      </c>
      <c r="L3000">
        <v>100</v>
      </c>
      <c r="M3000">
        <v>100</v>
      </c>
      <c r="N3000">
        <v>1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0</v>
      </c>
      <c r="AH3000">
        <v>0</v>
      </c>
      <c r="AI3000">
        <v>100</v>
      </c>
      <c r="AJ3000">
        <v>1</v>
      </c>
      <c r="AK3000">
        <v>0</v>
      </c>
      <c r="AL3000">
        <v>0</v>
      </c>
      <c r="AM3000">
        <v>10</v>
      </c>
      <c r="AN3000">
        <v>0</v>
      </c>
      <c r="AO3000">
        <v>108</v>
      </c>
      <c r="AP3000">
        <v>-10.8</v>
      </c>
      <c r="AQ3000">
        <v>0</v>
      </c>
      <c r="AS3000">
        <v>0</v>
      </c>
      <c r="AT3000">
        <v>0</v>
      </c>
      <c r="AU3000">
        <v>108</v>
      </c>
      <c r="AV3000">
        <v>-10.8</v>
      </c>
      <c r="AW3000">
        <v>0</v>
      </c>
      <c r="AY3000">
        <v>0</v>
      </c>
      <c r="AZ3000">
        <v>0</v>
      </c>
      <c r="BA3000">
        <v>75.040000000000006</v>
      </c>
      <c r="BC3000" t="str">
        <f>T("0000000000000")</f>
        <v>0000000000000</v>
      </c>
      <c r="BE3000" t="str">
        <f>T("9791162589724")</f>
        <v>9791162589724</v>
      </c>
      <c r="BF3000" t="str">
        <f>T("E747496")</f>
        <v>E747496</v>
      </c>
      <c r="BG3000" t="str">
        <f>T("판타지 웹소설 &gt; 퓨전 판타지")</f>
        <v>판타지 웹소설 &gt; 퓨전 판타지</v>
      </c>
    </row>
    <row r="3001" spans="1:59">
      <c r="A3001" t="s">
        <v>60</v>
      </c>
      <c r="B3001" s="1">
        <v>46131</v>
      </c>
      <c r="C3001">
        <v>2378009513</v>
      </c>
      <c r="D3001">
        <v>2378015379</v>
      </c>
      <c r="E3001" t="str">
        <f>T("문과라도 안 죄송한 이세계로 감 284화")</f>
        <v>문과라도 안 죄송한 이세계로 감 284화</v>
      </c>
      <c r="F3001">
        <v>284</v>
      </c>
      <c r="G3001" t="str">
        <f>T("정수읠")</f>
        <v>정수읠</v>
      </c>
      <c r="J3001" t="str">
        <f>T("매드햇")</f>
        <v>매드햇</v>
      </c>
      <c r="K3001" t="str">
        <f>T("문과라도 안 죄송한 이세계로 감")</f>
        <v>문과라도 안 죄송한 이세계로 감</v>
      </c>
      <c r="L3001">
        <v>100</v>
      </c>
      <c r="M3001">
        <v>100</v>
      </c>
      <c r="N3001">
        <v>1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0</v>
      </c>
      <c r="AH3001">
        <v>0</v>
      </c>
      <c r="AI3001">
        <v>100</v>
      </c>
      <c r="AJ3001">
        <v>1</v>
      </c>
      <c r="AK3001">
        <v>0</v>
      </c>
      <c r="AL3001">
        <v>0</v>
      </c>
      <c r="AM3001">
        <v>10</v>
      </c>
      <c r="AN3001">
        <v>0</v>
      </c>
      <c r="AO3001">
        <v>108</v>
      </c>
      <c r="AP3001">
        <v>-10.8</v>
      </c>
      <c r="AQ3001">
        <v>0</v>
      </c>
      <c r="AS3001">
        <v>0</v>
      </c>
      <c r="AT3001">
        <v>0</v>
      </c>
      <c r="AU3001">
        <v>108</v>
      </c>
      <c r="AV3001">
        <v>-10.8</v>
      </c>
      <c r="AW3001">
        <v>0</v>
      </c>
      <c r="AY3001">
        <v>0</v>
      </c>
      <c r="AZ3001">
        <v>0</v>
      </c>
      <c r="BA3001">
        <v>75.040000000000006</v>
      </c>
      <c r="BC3001" t="str">
        <f>T("0000000000000")</f>
        <v>0000000000000</v>
      </c>
      <c r="BE3001" t="str">
        <f>T("9791162589724")</f>
        <v>9791162589724</v>
      </c>
      <c r="BF3001" t="str">
        <f>T("E747497")</f>
        <v>E747497</v>
      </c>
      <c r="BG3001" t="str">
        <f>T("판타지 웹소설 &gt; 퓨전 판타지")</f>
        <v>판타지 웹소설 &gt; 퓨전 판타지</v>
      </c>
    </row>
    <row r="3002" spans="1:59">
      <c r="A3002" t="s">
        <v>60</v>
      </c>
      <c r="B3002" s="1">
        <v>46131</v>
      </c>
      <c r="C3002">
        <v>2378009513</v>
      </c>
      <c r="D3002">
        <v>2378015380</v>
      </c>
      <c r="E3002" t="str">
        <f>T("문과라도 안 죄송한 이세계로 감 285화")</f>
        <v>문과라도 안 죄송한 이세계로 감 285화</v>
      </c>
      <c r="F3002">
        <v>285</v>
      </c>
      <c r="G3002" t="str">
        <f>T("정수읠")</f>
        <v>정수읠</v>
      </c>
      <c r="J3002" t="str">
        <f>T("매드햇")</f>
        <v>매드햇</v>
      </c>
      <c r="K3002" t="str">
        <f>T("문과라도 안 죄송한 이세계로 감")</f>
        <v>문과라도 안 죄송한 이세계로 감</v>
      </c>
      <c r="L3002">
        <v>100</v>
      </c>
      <c r="M3002">
        <v>100</v>
      </c>
      <c r="N3002">
        <v>1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0</v>
      </c>
      <c r="AH3002">
        <v>0</v>
      </c>
      <c r="AI3002">
        <v>100</v>
      </c>
      <c r="AJ3002">
        <v>1</v>
      </c>
      <c r="AK3002">
        <v>0</v>
      </c>
      <c r="AL3002">
        <v>0</v>
      </c>
      <c r="AM3002">
        <v>10</v>
      </c>
      <c r="AN3002">
        <v>0</v>
      </c>
      <c r="AO3002">
        <v>108</v>
      </c>
      <c r="AP3002">
        <v>-10.8</v>
      </c>
      <c r="AQ3002">
        <v>0</v>
      </c>
      <c r="AS3002">
        <v>0</v>
      </c>
      <c r="AT3002">
        <v>0</v>
      </c>
      <c r="AU3002">
        <v>108</v>
      </c>
      <c r="AV3002">
        <v>-10.8</v>
      </c>
      <c r="AW3002">
        <v>0</v>
      </c>
      <c r="AY3002">
        <v>0</v>
      </c>
      <c r="AZ3002">
        <v>0</v>
      </c>
      <c r="BA3002">
        <v>75.040000000000006</v>
      </c>
      <c r="BC3002" t="str">
        <f>T("0000000000000")</f>
        <v>0000000000000</v>
      </c>
      <c r="BE3002" t="str">
        <f>T("9791162589724")</f>
        <v>9791162589724</v>
      </c>
      <c r="BF3002" t="str">
        <f>T("E747498")</f>
        <v>E747498</v>
      </c>
      <c r="BG3002" t="str">
        <f>T("판타지 웹소설 &gt; 퓨전 판타지")</f>
        <v>판타지 웹소설 &gt; 퓨전 판타지</v>
      </c>
    </row>
    <row r="3003" spans="1:59">
      <c r="A3003" t="s">
        <v>60</v>
      </c>
      <c r="B3003" s="1">
        <v>46131</v>
      </c>
      <c r="C3003">
        <v>2378009513</v>
      </c>
      <c r="D3003">
        <v>2378015549</v>
      </c>
      <c r="E3003" t="str">
        <f>T("문과라도 안 죄송한 이세계로 감 286화")</f>
        <v>문과라도 안 죄송한 이세계로 감 286화</v>
      </c>
      <c r="F3003">
        <v>286</v>
      </c>
      <c r="G3003" t="str">
        <f>T("정수읠")</f>
        <v>정수읠</v>
      </c>
      <c r="J3003" t="str">
        <f>T("매드햇")</f>
        <v>매드햇</v>
      </c>
      <c r="K3003" t="str">
        <f>T("문과라도 안 죄송한 이세계로 감")</f>
        <v>문과라도 안 죄송한 이세계로 감</v>
      </c>
      <c r="L3003">
        <v>100</v>
      </c>
      <c r="M3003">
        <v>100</v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0</v>
      </c>
      <c r="AH3003">
        <v>0</v>
      </c>
      <c r="AI3003">
        <v>100</v>
      </c>
      <c r="AJ3003">
        <v>1</v>
      </c>
      <c r="AK3003">
        <v>0</v>
      </c>
      <c r="AL3003">
        <v>0</v>
      </c>
      <c r="AM3003">
        <v>10</v>
      </c>
      <c r="AN3003">
        <v>0</v>
      </c>
      <c r="AO3003">
        <v>108</v>
      </c>
      <c r="AP3003">
        <v>-10.8</v>
      </c>
      <c r="AQ3003">
        <v>0</v>
      </c>
      <c r="AS3003">
        <v>0</v>
      </c>
      <c r="AT3003">
        <v>0</v>
      </c>
      <c r="AU3003">
        <v>108</v>
      </c>
      <c r="AV3003">
        <v>-10.8</v>
      </c>
      <c r="AW3003">
        <v>0</v>
      </c>
      <c r="AY3003">
        <v>0</v>
      </c>
      <c r="AZ3003">
        <v>0</v>
      </c>
      <c r="BA3003">
        <v>75.040000000000006</v>
      </c>
      <c r="BC3003" t="str">
        <f>T("0000000000000")</f>
        <v>0000000000000</v>
      </c>
      <c r="BE3003" t="str">
        <f>T("9791162589724")</f>
        <v>9791162589724</v>
      </c>
      <c r="BF3003" t="str">
        <f>T("E749030")</f>
        <v>E749030</v>
      </c>
      <c r="BG3003" t="str">
        <f>T("판타지 웹소설 &gt; 퓨전 판타지")</f>
        <v>판타지 웹소설 &gt; 퓨전 판타지</v>
      </c>
    </row>
    <row r="3004" spans="1:59">
      <c r="A3004" t="s">
        <v>60</v>
      </c>
      <c r="B3004" s="1">
        <v>46131</v>
      </c>
      <c r="C3004">
        <v>2378009513</v>
      </c>
      <c r="D3004">
        <v>2378015550</v>
      </c>
      <c r="E3004" t="str">
        <f>T("문과라도 안 죄송한 이세계로 감 287화")</f>
        <v>문과라도 안 죄송한 이세계로 감 287화</v>
      </c>
      <c r="F3004">
        <v>287</v>
      </c>
      <c r="G3004" t="str">
        <f>T("정수읠")</f>
        <v>정수읠</v>
      </c>
      <c r="J3004" t="str">
        <f>T("매드햇")</f>
        <v>매드햇</v>
      </c>
      <c r="K3004" t="str">
        <f>T("문과라도 안 죄송한 이세계로 감")</f>
        <v>문과라도 안 죄송한 이세계로 감</v>
      </c>
      <c r="L3004">
        <v>100</v>
      </c>
      <c r="M3004">
        <v>100</v>
      </c>
      <c r="N3004">
        <v>1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0</v>
      </c>
      <c r="AH3004">
        <v>0</v>
      </c>
      <c r="AI3004">
        <v>100</v>
      </c>
      <c r="AJ3004">
        <v>1</v>
      </c>
      <c r="AK3004">
        <v>0</v>
      </c>
      <c r="AL3004">
        <v>0</v>
      </c>
      <c r="AM3004">
        <v>10</v>
      </c>
      <c r="AN3004">
        <v>0</v>
      </c>
      <c r="AO3004">
        <v>108</v>
      </c>
      <c r="AP3004">
        <v>-10.8</v>
      </c>
      <c r="AQ3004">
        <v>0</v>
      </c>
      <c r="AS3004">
        <v>0</v>
      </c>
      <c r="AT3004">
        <v>0</v>
      </c>
      <c r="AU3004">
        <v>108</v>
      </c>
      <c r="AV3004">
        <v>-10.8</v>
      </c>
      <c r="AW3004">
        <v>0</v>
      </c>
      <c r="AY3004">
        <v>0</v>
      </c>
      <c r="AZ3004">
        <v>0</v>
      </c>
      <c r="BA3004">
        <v>75.040000000000006</v>
      </c>
      <c r="BC3004" t="str">
        <f>T("0000000000000")</f>
        <v>0000000000000</v>
      </c>
      <c r="BE3004" t="str">
        <f>T("9791162589724")</f>
        <v>9791162589724</v>
      </c>
      <c r="BF3004" t="str">
        <f>T("E749031")</f>
        <v>E749031</v>
      </c>
      <c r="BG3004" t="str">
        <f>T("판타지 웹소설 &gt; 퓨전 판타지")</f>
        <v>판타지 웹소설 &gt; 퓨전 판타지</v>
      </c>
    </row>
    <row r="3005" spans="1:59">
      <c r="A3005" t="s">
        <v>60</v>
      </c>
      <c r="B3005" s="1">
        <v>46131</v>
      </c>
      <c r="C3005">
        <v>2378009513</v>
      </c>
      <c r="D3005">
        <v>2378015551</v>
      </c>
      <c r="E3005" t="str">
        <f>T("문과라도 안 죄송한 이세계로 감 288화")</f>
        <v>문과라도 안 죄송한 이세계로 감 288화</v>
      </c>
      <c r="F3005">
        <v>288</v>
      </c>
      <c r="G3005" t="str">
        <f>T("정수읠")</f>
        <v>정수읠</v>
      </c>
      <c r="J3005" t="str">
        <f>T("매드햇")</f>
        <v>매드햇</v>
      </c>
      <c r="K3005" t="str">
        <f>T("문과라도 안 죄송한 이세계로 감")</f>
        <v>문과라도 안 죄송한 이세계로 감</v>
      </c>
      <c r="L3005">
        <v>100</v>
      </c>
      <c r="M3005">
        <v>100</v>
      </c>
      <c r="N3005">
        <v>1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0</v>
      </c>
      <c r="AH3005">
        <v>0</v>
      </c>
      <c r="AI3005">
        <v>100</v>
      </c>
      <c r="AJ3005">
        <v>1</v>
      </c>
      <c r="AK3005">
        <v>0</v>
      </c>
      <c r="AL3005">
        <v>0</v>
      </c>
      <c r="AM3005">
        <v>10</v>
      </c>
      <c r="AN3005">
        <v>0</v>
      </c>
      <c r="AO3005">
        <v>108</v>
      </c>
      <c r="AP3005">
        <v>-10.8</v>
      </c>
      <c r="AQ3005">
        <v>0</v>
      </c>
      <c r="AS3005">
        <v>0</v>
      </c>
      <c r="AT3005">
        <v>0</v>
      </c>
      <c r="AU3005">
        <v>108</v>
      </c>
      <c r="AV3005">
        <v>-10.8</v>
      </c>
      <c r="AW3005">
        <v>0</v>
      </c>
      <c r="AY3005">
        <v>0</v>
      </c>
      <c r="AZ3005">
        <v>0</v>
      </c>
      <c r="BA3005">
        <v>75.040000000000006</v>
      </c>
      <c r="BC3005" t="str">
        <f>T("0000000000000")</f>
        <v>0000000000000</v>
      </c>
      <c r="BE3005" t="str">
        <f>T("9791162589724")</f>
        <v>9791162589724</v>
      </c>
      <c r="BF3005" t="str">
        <f>T("E749032")</f>
        <v>E749032</v>
      </c>
      <c r="BG3005" t="str">
        <f>T("판타지 웹소설 &gt; 퓨전 판타지")</f>
        <v>판타지 웹소설 &gt; 퓨전 판타지</v>
      </c>
    </row>
    <row r="3006" spans="1:59">
      <c r="A3006" t="s">
        <v>60</v>
      </c>
      <c r="B3006" s="1">
        <v>46131</v>
      </c>
      <c r="C3006">
        <v>2378009513</v>
      </c>
      <c r="D3006">
        <v>2378015552</v>
      </c>
      <c r="E3006" t="str">
        <f>T("문과라도 안 죄송한 이세계로 감 289화")</f>
        <v>문과라도 안 죄송한 이세계로 감 289화</v>
      </c>
      <c r="F3006">
        <v>289</v>
      </c>
      <c r="G3006" t="str">
        <f>T("정수읠")</f>
        <v>정수읠</v>
      </c>
      <c r="J3006" t="str">
        <f>T("매드햇")</f>
        <v>매드햇</v>
      </c>
      <c r="K3006" t="str">
        <f>T("문과라도 안 죄송한 이세계로 감")</f>
        <v>문과라도 안 죄송한 이세계로 감</v>
      </c>
      <c r="L3006">
        <v>100</v>
      </c>
      <c r="M3006">
        <v>100</v>
      </c>
      <c r="N3006">
        <v>1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0</v>
      </c>
      <c r="AH3006">
        <v>0</v>
      </c>
      <c r="AI3006">
        <v>100</v>
      </c>
      <c r="AJ3006">
        <v>1</v>
      </c>
      <c r="AK3006">
        <v>0</v>
      </c>
      <c r="AL3006">
        <v>0</v>
      </c>
      <c r="AM3006">
        <v>10</v>
      </c>
      <c r="AN3006">
        <v>0</v>
      </c>
      <c r="AO3006">
        <v>108</v>
      </c>
      <c r="AP3006">
        <v>-10.8</v>
      </c>
      <c r="AQ3006">
        <v>0</v>
      </c>
      <c r="AS3006">
        <v>0</v>
      </c>
      <c r="AT3006">
        <v>0</v>
      </c>
      <c r="AU3006">
        <v>108</v>
      </c>
      <c r="AV3006">
        <v>-10.8</v>
      </c>
      <c r="AW3006">
        <v>0</v>
      </c>
      <c r="AY3006">
        <v>0</v>
      </c>
      <c r="AZ3006">
        <v>0</v>
      </c>
      <c r="BA3006">
        <v>75.040000000000006</v>
      </c>
      <c r="BC3006" t="str">
        <f>T("0000000000000")</f>
        <v>0000000000000</v>
      </c>
      <c r="BE3006" t="str">
        <f>T("9791162589724")</f>
        <v>9791162589724</v>
      </c>
      <c r="BF3006" t="str">
        <f>T("E749033")</f>
        <v>E749033</v>
      </c>
      <c r="BG3006" t="str">
        <f>T("판타지 웹소설 &gt; 퓨전 판타지")</f>
        <v>판타지 웹소설 &gt; 퓨전 판타지</v>
      </c>
    </row>
    <row r="3007" spans="1:59">
      <c r="A3007" t="s">
        <v>60</v>
      </c>
      <c r="B3007" s="1">
        <v>46131</v>
      </c>
      <c r="C3007">
        <v>2378009513</v>
      </c>
      <c r="D3007">
        <v>2378015604</v>
      </c>
      <c r="E3007" t="str">
        <f>T("문과라도 안 죄송한 이세계로 감 290화")</f>
        <v>문과라도 안 죄송한 이세계로 감 290화</v>
      </c>
      <c r="F3007">
        <v>290</v>
      </c>
      <c r="G3007" t="str">
        <f>T("정수읠")</f>
        <v>정수읠</v>
      </c>
      <c r="J3007" t="str">
        <f>T("매드햇")</f>
        <v>매드햇</v>
      </c>
      <c r="K3007" t="str">
        <f>T("문과라도 안 죄송한 이세계로 감")</f>
        <v>문과라도 안 죄송한 이세계로 감</v>
      </c>
      <c r="L3007">
        <v>100</v>
      </c>
      <c r="M3007">
        <v>100</v>
      </c>
      <c r="N3007">
        <v>1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0</v>
      </c>
      <c r="AH3007">
        <v>0</v>
      </c>
      <c r="AI3007">
        <v>100</v>
      </c>
      <c r="AJ3007">
        <v>1</v>
      </c>
      <c r="AK3007">
        <v>0</v>
      </c>
      <c r="AL3007">
        <v>0</v>
      </c>
      <c r="AM3007">
        <v>10</v>
      </c>
      <c r="AN3007">
        <v>0</v>
      </c>
      <c r="AO3007">
        <v>108</v>
      </c>
      <c r="AP3007">
        <v>-10.8</v>
      </c>
      <c r="AQ3007">
        <v>0</v>
      </c>
      <c r="AS3007">
        <v>0</v>
      </c>
      <c r="AT3007">
        <v>0</v>
      </c>
      <c r="AU3007">
        <v>108</v>
      </c>
      <c r="AV3007">
        <v>-10.8</v>
      </c>
      <c r="AW3007">
        <v>0</v>
      </c>
      <c r="AY3007">
        <v>0</v>
      </c>
      <c r="AZ3007">
        <v>0</v>
      </c>
      <c r="BA3007">
        <v>75.040000000000006</v>
      </c>
      <c r="BC3007" t="str">
        <f>T("0000000000000")</f>
        <v>0000000000000</v>
      </c>
      <c r="BE3007" t="str">
        <f>T("9791162589724")</f>
        <v>9791162589724</v>
      </c>
      <c r="BF3007" t="str">
        <f>T("E750461")</f>
        <v>E750461</v>
      </c>
      <c r="BG3007" t="str">
        <f>T("판타지 웹소설 &gt; 퓨전 판타지")</f>
        <v>판타지 웹소설 &gt; 퓨전 판타지</v>
      </c>
    </row>
    <row r="3008" spans="1:59">
      <c r="A3008" t="s">
        <v>60</v>
      </c>
      <c r="B3008" s="1">
        <v>46131</v>
      </c>
      <c r="C3008">
        <v>2378009513</v>
      </c>
      <c r="D3008">
        <v>2378015605</v>
      </c>
      <c r="E3008" t="str">
        <f>T("문과라도 안 죄송한 이세계로 감 291화")</f>
        <v>문과라도 안 죄송한 이세계로 감 291화</v>
      </c>
      <c r="F3008">
        <v>291</v>
      </c>
      <c r="G3008" t="str">
        <f>T("정수읠")</f>
        <v>정수읠</v>
      </c>
      <c r="J3008" t="str">
        <f>T("매드햇")</f>
        <v>매드햇</v>
      </c>
      <c r="K3008" t="str">
        <f>T("문과라도 안 죄송한 이세계로 감")</f>
        <v>문과라도 안 죄송한 이세계로 감</v>
      </c>
      <c r="L3008">
        <v>100</v>
      </c>
      <c r="M3008">
        <v>100</v>
      </c>
      <c r="N3008">
        <v>1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0</v>
      </c>
      <c r="AH3008">
        <v>0</v>
      </c>
      <c r="AI3008">
        <v>100</v>
      </c>
      <c r="AJ3008">
        <v>1</v>
      </c>
      <c r="AK3008">
        <v>0</v>
      </c>
      <c r="AL3008">
        <v>0</v>
      </c>
      <c r="AM3008">
        <v>10</v>
      </c>
      <c r="AN3008">
        <v>0</v>
      </c>
      <c r="AO3008">
        <v>108</v>
      </c>
      <c r="AP3008">
        <v>-10.8</v>
      </c>
      <c r="AQ3008">
        <v>0</v>
      </c>
      <c r="AS3008">
        <v>0</v>
      </c>
      <c r="AT3008">
        <v>0</v>
      </c>
      <c r="AU3008">
        <v>108</v>
      </c>
      <c r="AV3008">
        <v>-10.8</v>
      </c>
      <c r="AW3008">
        <v>0</v>
      </c>
      <c r="AY3008">
        <v>0</v>
      </c>
      <c r="AZ3008">
        <v>0</v>
      </c>
      <c r="BA3008">
        <v>75.040000000000006</v>
      </c>
      <c r="BC3008" t="str">
        <f>T("0000000000000")</f>
        <v>0000000000000</v>
      </c>
      <c r="BE3008" t="str">
        <f>T("9791162589724")</f>
        <v>9791162589724</v>
      </c>
      <c r="BF3008" t="str">
        <f>T("E750462")</f>
        <v>E750462</v>
      </c>
      <c r="BG3008" t="str">
        <f>T("판타지 웹소설 &gt; 퓨전 판타지")</f>
        <v>판타지 웹소설 &gt; 퓨전 판타지</v>
      </c>
    </row>
    <row r="3009" spans="1:59">
      <c r="A3009" t="s">
        <v>60</v>
      </c>
      <c r="B3009" s="1">
        <v>46131</v>
      </c>
      <c r="C3009">
        <v>2378009513</v>
      </c>
      <c r="D3009">
        <v>2378015606</v>
      </c>
      <c r="E3009" t="str">
        <f>T("문과라도 안 죄송한 이세계로 감 292화")</f>
        <v>문과라도 안 죄송한 이세계로 감 292화</v>
      </c>
      <c r="F3009">
        <v>292</v>
      </c>
      <c r="G3009" t="str">
        <f>T("정수읠")</f>
        <v>정수읠</v>
      </c>
      <c r="J3009" t="str">
        <f>T("매드햇")</f>
        <v>매드햇</v>
      </c>
      <c r="K3009" t="str">
        <f>T("문과라도 안 죄송한 이세계로 감")</f>
        <v>문과라도 안 죄송한 이세계로 감</v>
      </c>
      <c r="L3009">
        <v>100</v>
      </c>
      <c r="M3009">
        <v>100</v>
      </c>
      <c r="N3009">
        <v>1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0</v>
      </c>
      <c r="AE3009">
        <v>0</v>
      </c>
      <c r="AF3009">
        <v>0</v>
      </c>
      <c r="AG3009">
        <v>0</v>
      </c>
      <c r="AH3009">
        <v>0</v>
      </c>
      <c r="AI3009">
        <v>100</v>
      </c>
      <c r="AJ3009">
        <v>1</v>
      </c>
      <c r="AK3009">
        <v>0</v>
      </c>
      <c r="AL3009">
        <v>0</v>
      </c>
      <c r="AM3009">
        <v>10</v>
      </c>
      <c r="AN3009">
        <v>0</v>
      </c>
      <c r="AO3009">
        <v>108</v>
      </c>
      <c r="AP3009">
        <v>-10.8</v>
      </c>
      <c r="AQ3009">
        <v>0</v>
      </c>
      <c r="AS3009">
        <v>0</v>
      </c>
      <c r="AT3009">
        <v>0</v>
      </c>
      <c r="AU3009">
        <v>108</v>
      </c>
      <c r="AV3009">
        <v>-10.8</v>
      </c>
      <c r="AW3009">
        <v>0</v>
      </c>
      <c r="AY3009">
        <v>0</v>
      </c>
      <c r="AZ3009">
        <v>0</v>
      </c>
      <c r="BA3009">
        <v>75.040000000000006</v>
      </c>
      <c r="BC3009" t="str">
        <f>T("0000000000000")</f>
        <v>0000000000000</v>
      </c>
      <c r="BE3009" t="str">
        <f>T("9791162589724")</f>
        <v>9791162589724</v>
      </c>
      <c r="BF3009" t="str">
        <f>T("E750463")</f>
        <v>E750463</v>
      </c>
      <c r="BG3009" t="str">
        <f>T("판타지 웹소설 &gt; 퓨전 판타지")</f>
        <v>판타지 웹소설 &gt; 퓨전 판타지</v>
      </c>
    </row>
    <row r="3010" spans="1:59">
      <c r="A3010" t="s">
        <v>60</v>
      </c>
      <c r="B3010" s="1">
        <v>46131</v>
      </c>
      <c r="C3010">
        <v>2378009513</v>
      </c>
      <c r="D3010">
        <v>2378015780</v>
      </c>
      <c r="E3010" t="str">
        <f>T("문과라도 안 죄송한 이세계로 감 295화")</f>
        <v>문과라도 안 죄송한 이세계로 감 295화</v>
      </c>
      <c r="F3010">
        <v>295</v>
      </c>
      <c r="G3010" t="str">
        <f>T("정수읠")</f>
        <v>정수읠</v>
      </c>
      <c r="J3010" t="str">
        <f>T("매드햇")</f>
        <v>매드햇</v>
      </c>
      <c r="K3010" t="str">
        <f>T("문과라도 안 죄송한 이세계로 감")</f>
        <v>문과라도 안 죄송한 이세계로 감</v>
      </c>
      <c r="L3010">
        <v>100</v>
      </c>
      <c r="M3010">
        <v>100</v>
      </c>
      <c r="N3010">
        <v>1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0</v>
      </c>
      <c r="AE3010">
        <v>0</v>
      </c>
      <c r="AF3010">
        <v>0</v>
      </c>
      <c r="AG3010">
        <v>0</v>
      </c>
      <c r="AH3010">
        <v>0</v>
      </c>
      <c r="AI3010">
        <v>100</v>
      </c>
      <c r="AJ3010">
        <v>1</v>
      </c>
      <c r="AK3010">
        <v>0</v>
      </c>
      <c r="AL3010">
        <v>0</v>
      </c>
      <c r="AM3010">
        <v>10</v>
      </c>
      <c r="AN3010">
        <v>0</v>
      </c>
      <c r="AO3010">
        <v>108</v>
      </c>
      <c r="AP3010">
        <v>-10.8</v>
      </c>
      <c r="AQ3010">
        <v>0</v>
      </c>
      <c r="AS3010">
        <v>0</v>
      </c>
      <c r="AT3010">
        <v>0</v>
      </c>
      <c r="AU3010">
        <v>108</v>
      </c>
      <c r="AV3010">
        <v>-10.8</v>
      </c>
      <c r="AW3010">
        <v>0</v>
      </c>
      <c r="AY3010">
        <v>0</v>
      </c>
      <c r="AZ3010">
        <v>0</v>
      </c>
      <c r="BA3010">
        <v>75.040000000000006</v>
      </c>
      <c r="BC3010" t="str">
        <f>T("0000000000000")</f>
        <v>0000000000000</v>
      </c>
      <c r="BE3010" t="str">
        <f>T("9791162589724")</f>
        <v>9791162589724</v>
      </c>
      <c r="BF3010" t="str">
        <f>T("E758222")</f>
        <v>E758222</v>
      </c>
      <c r="BG3010" t="str">
        <f>T("판타지 웹소설 &gt; 퓨전 판타지")</f>
        <v>판타지 웹소설 &gt; 퓨전 판타지</v>
      </c>
    </row>
    <row r="3011" spans="1:59">
      <c r="A3011" t="s">
        <v>60</v>
      </c>
      <c r="B3011" s="1">
        <v>46131</v>
      </c>
      <c r="C3011">
        <v>2378009513</v>
      </c>
      <c r="D3011">
        <v>2378015781</v>
      </c>
      <c r="E3011" t="str">
        <f>T("문과라도 안 죄송한 이세계로 감 296화")</f>
        <v>문과라도 안 죄송한 이세계로 감 296화</v>
      </c>
      <c r="F3011">
        <v>296</v>
      </c>
      <c r="G3011" t="str">
        <f>T("정수읠")</f>
        <v>정수읠</v>
      </c>
      <c r="J3011" t="str">
        <f>T("매드햇")</f>
        <v>매드햇</v>
      </c>
      <c r="K3011" t="str">
        <f>T("문과라도 안 죄송한 이세계로 감")</f>
        <v>문과라도 안 죄송한 이세계로 감</v>
      </c>
      <c r="L3011">
        <v>100</v>
      </c>
      <c r="M3011">
        <v>100</v>
      </c>
      <c r="N3011">
        <v>1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0</v>
      </c>
      <c r="AE3011">
        <v>0</v>
      </c>
      <c r="AF3011">
        <v>0</v>
      </c>
      <c r="AG3011">
        <v>0</v>
      </c>
      <c r="AH3011">
        <v>0</v>
      </c>
      <c r="AI3011">
        <v>100</v>
      </c>
      <c r="AJ3011">
        <v>1</v>
      </c>
      <c r="AK3011">
        <v>0</v>
      </c>
      <c r="AL3011">
        <v>0</v>
      </c>
      <c r="AM3011">
        <v>10</v>
      </c>
      <c r="AN3011">
        <v>0</v>
      </c>
      <c r="AO3011">
        <v>108</v>
      </c>
      <c r="AP3011">
        <v>-10.8</v>
      </c>
      <c r="AQ3011">
        <v>0</v>
      </c>
      <c r="AS3011">
        <v>0</v>
      </c>
      <c r="AT3011">
        <v>0</v>
      </c>
      <c r="AU3011">
        <v>108</v>
      </c>
      <c r="AV3011">
        <v>-10.8</v>
      </c>
      <c r="AW3011">
        <v>0</v>
      </c>
      <c r="AY3011">
        <v>0</v>
      </c>
      <c r="AZ3011">
        <v>0</v>
      </c>
      <c r="BA3011">
        <v>75.040000000000006</v>
      </c>
      <c r="BC3011" t="str">
        <f>T("0000000000000")</f>
        <v>0000000000000</v>
      </c>
      <c r="BE3011" t="str">
        <f>T("9791162589724")</f>
        <v>9791162589724</v>
      </c>
      <c r="BF3011" t="str">
        <f>T("E758223")</f>
        <v>E758223</v>
      </c>
      <c r="BG3011" t="str">
        <f>T("판타지 웹소설 &gt; 퓨전 판타지")</f>
        <v>판타지 웹소설 &gt; 퓨전 판타지</v>
      </c>
    </row>
    <row r="3012" spans="1:59">
      <c r="A3012" t="s">
        <v>60</v>
      </c>
      <c r="B3012" s="1">
        <v>46131</v>
      </c>
      <c r="C3012">
        <v>2378009513</v>
      </c>
      <c r="D3012">
        <v>2378015782</v>
      </c>
      <c r="E3012" t="str">
        <f>T("문과라도 안 죄송한 이세계로 감 297화")</f>
        <v>문과라도 안 죄송한 이세계로 감 297화</v>
      </c>
      <c r="F3012">
        <v>297</v>
      </c>
      <c r="G3012" t="str">
        <f>T("정수읠")</f>
        <v>정수읠</v>
      </c>
      <c r="J3012" t="str">
        <f>T("매드햇")</f>
        <v>매드햇</v>
      </c>
      <c r="K3012" t="str">
        <f>T("문과라도 안 죄송한 이세계로 감")</f>
        <v>문과라도 안 죄송한 이세계로 감</v>
      </c>
      <c r="L3012">
        <v>100</v>
      </c>
      <c r="M3012">
        <v>100</v>
      </c>
      <c r="N3012">
        <v>1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0</v>
      </c>
      <c r="AE3012">
        <v>0</v>
      </c>
      <c r="AF3012">
        <v>0</v>
      </c>
      <c r="AG3012">
        <v>0</v>
      </c>
      <c r="AH3012">
        <v>0</v>
      </c>
      <c r="AI3012">
        <v>100</v>
      </c>
      <c r="AJ3012">
        <v>1</v>
      </c>
      <c r="AK3012">
        <v>0</v>
      </c>
      <c r="AL3012">
        <v>0</v>
      </c>
      <c r="AM3012">
        <v>10</v>
      </c>
      <c r="AN3012">
        <v>0</v>
      </c>
      <c r="AO3012">
        <v>108</v>
      </c>
      <c r="AP3012">
        <v>-10.8</v>
      </c>
      <c r="AQ3012">
        <v>0</v>
      </c>
      <c r="AS3012">
        <v>0</v>
      </c>
      <c r="AT3012">
        <v>0</v>
      </c>
      <c r="AU3012">
        <v>108</v>
      </c>
      <c r="AV3012">
        <v>-10.8</v>
      </c>
      <c r="AW3012">
        <v>0</v>
      </c>
      <c r="AY3012">
        <v>0</v>
      </c>
      <c r="AZ3012">
        <v>0</v>
      </c>
      <c r="BA3012">
        <v>75.040000000000006</v>
      </c>
      <c r="BC3012" t="str">
        <f>T("0000000000000")</f>
        <v>0000000000000</v>
      </c>
      <c r="BE3012" t="str">
        <f>T("9791162589724")</f>
        <v>9791162589724</v>
      </c>
      <c r="BF3012" t="str">
        <f>T("E758224")</f>
        <v>E758224</v>
      </c>
      <c r="BG3012" t="str">
        <f>T("판타지 웹소설 &gt; 퓨전 판타지")</f>
        <v>판타지 웹소설 &gt; 퓨전 판타지</v>
      </c>
    </row>
    <row r="3013" spans="1:59">
      <c r="A3013" t="s">
        <v>60</v>
      </c>
      <c r="B3013" s="1">
        <v>46131</v>
      </c>
      <c r="C3013">
        <v>2378009513</v>
      </c>
      <c r="D3013">
        <v>2378015971</v>
      </c>
      <c r="E3013" t="str">
        <f>T("문과라도 안 죄송한 이세계로 감 298화")</f>
        <v>문과라도 안 죄송한 이세계로 감 298화</v>
      </c>
      <c r="F3013">
        <v>298</v>
      </c>
      <c r="G3013" t="str">
        <f>T("정수읠")</f>
        <v>정수읠</v>
      </c>
      <c r="J3013" t="str">
        <f>T("매드햇")</f>
        <v>매드햇</v>
      </c>
      <c r="K3013" t="str">
        <f>T("문과라도 안 죄송한 이세계로 감")</f>
        <v>문과라도 안 죄송한 이세계로 감</v>
      </c>
      <c r="L3013">
        <v>100</v>
      </c>
      <c r="M3013">
        <v>100</v>
      </c>
      <c r="N3013">
        <v>1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0</v>
      </c>
      <c r="AE3013">
        <v>0</v>
      </c>
      <c r="AF3013">
        <v>0</v>
      </c>
      <c r="AG3013">
        <v>0</v>
      </c>
      <c r="AH3013">
        <v>0</v>
      </c>
      <c r="AI3013">
        <v>100</v>
      </c>
      <c r="AJ3013">
        <v>1</v>
      </c>
      <c r="AK3013">
        <v>0</v>
      </c>
      <c r="AL3013">
        <v>0</v>
      </c>
      <c r="AM3013">
        <v>10</v>
      </c>
      <c r="AN3013">
        <v>0</v>
      </c>
      <c r="AO3013">
        <v>108</v>
      </c>
      <c r="AP3013">
        <v>-10.8</v>
      </c>
      <c r="AQ3013">
        <v>0</v>
      </c>
      <c r="AS3013">
        <v>0</v>
      </c>
      <c r="AT3013">
        <v>0</v>
      </c>
      <c r="AU3013">
        <v>108</v>
      </c>
      <c r="AV3013">
        <v>-10.8</v>
      </c>
      <c r="AW3013">
        <v>0</v>
      </c>
      <c r="AY3013">
        <v>0</v>
      </c>
      <c r="AZ3013">
        <v>0</v>
      </c>
      <c r="BA3013">
        <v>75.040000000000006</v>
      </c>
      <c r="BC3013" t="str">
        <f>T("0000000000000")</f>
        <v>0000000000000</v>
      </c>
      <c r="BE3013" t="str">
        <f>T("9791162589724")</f>
        <v>9791162589724</v>
      </c>
      <c r="BF3013" t="str">
        <f>T("E761132")</f>
        <v>E761132</v>
      </c>
      <c r="BG3013" t="str">
        <f>T("판타지 웹소설 &gt; 퓨전 판타지")</f>
        <v>판타지 웹소설 &gt; 퓨전 판타지</v>
      </c>
    </row>
    <row r="3014" spans="1:59">
      <c r="A3014" t="s">
        <v>60</v>
      </c>
      <c r="B3014" s="1">
        <v>46131</v>
      </c>
      <c r="C3014">
        <v>2378009513</v>
      </c>
      <c r="D3014">
        <v>2378015972</v>
      </c>
      <c r="E3014" t="str">
        <f>T("문과라도 안 죄송한 이세계로 감 299화")</f>
        <v>문과라도 안 죄송한 이세계로 감 299화</v>
      </c>
      <c r="F3014">
        <v>299</v>
      </c>
      <c r="G3014" t="str">
        <f>T("정수읠")</f>
        <v>정수읠</v>
      </c>
      <c r="J3014" t="str">
        <f>T("매드햇")</f>
        <v>매드햇</v>
      </c>
      <c r="K3014" t="str">
        <f>T("문과라도 안 죄송한 이세계로 감")</f>
        <v>문과라도 안 죄송한 이세계로 감</v>
      </c>
      <c r="L3014">
        <v>100</v>
      </c>
      <c r="M3014">
        <v>100</v>
      </c>
      <c r="N3014">
        <v>1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0</v>
      </c>
      <c r="AE3014">
        <v>0</v>
      </c>
      <c r="AF3014">
        <v>0</v>
      </c>
      <c r="AG3014">
        <v>0</v>
      </c>
      <c r="AH3014">
        <v>0</v>
      </c>
      <c r="AI3014">
        <v>100</v>
      </c>
      <c r="AJ3014">
        <v>1</v>
      </c>
      <c r="AK3014">
        <v>0</v>
      </c>
      <c r="AL3014">
        <v>0</v>
      </c>
      <c r="AM3014">
        <v>10</v>
      </c>
      <c r="AN3014">
        <v>0</v>
      </c>
      <c r="AO3014">
        <v>108</v>
      </c>
      <c r="AP3014">
        <v>-10.8</v>
      </c>
      <c r="AQ3014">
        <v>0</v>
      </c>
      <c r="AS3014">
        <v>0</v>
      </c>
      <c r="AT3014">
        <v>0</v>
      </c>
      <c r="AU3014">
        <v>108</v>
      </c>
      <c r="AV3014">
        <v>-10.8</v>
      </c>
      <c r="AW3014">
        <v>0</v>
      </c>
      <c r="AY3014">
        <v>0</v>
      </c>
      <c r="AZ3014">
        <v>0</v>
      </c>
      <c r="BA3014">
        <v>75.040000000000006</v>
      </c>
      <c r="BC3014" t="str">
        <f>T("0000000000000")</f>
        <v>0000000000000</v>
      </c>
      <c r="BE3014" t="str">
        <f>T("9791162589724")</f>
        <v>9791162589724</v>
      </c>
      <c r="BF3014" t="str">
        <f>T("E761133")</f>
        <v>E761133</v>
      </c>
      <c r="BG3014" t="str">
        <f>T("판타지 웹소설 &gt; 퓨전 판타지")</f>
        <v>판타지 웹소설 &gt; 퓨전 판타지</v>
      </c>
    </row>
    <row r="3015" spans="1:59">
      <c r="A3015" t="s">
        <v>60</v>
      </c>
      <c r="B3015" s="1">
        <v>46131</v>
      </c>
      <c r="C3015">
        <v>2378009513</v>
      </c>
      <c r="D3015">
        <v>2378015973</v>
      </c>
      <c r="E3015" t="str">
        <f>T("문과라도 안 죄송한 이세계로 감 300화")</f>
        <v>문과라도 안 죄송한 이세계로 감 300화</v>
      </c>
      <c r="F3015">
        <v>300</v>
      </c>
      <c r="G3015" t="str">
        <f>T("정수읠")</f>
        <v>정수읠</v>
      </c>
      <c r="J3015" t="str">
        <f>T("매드햇")</f>
        <v>매드햇</v>
      </c>
      <c r="K3015" t="str">
        <f>T("문과라도 안 죄송한 이세계로 감")</f>
        <v>문과라도 안 죄송한 이세계로 감</v>
      </c>
      <c r="L3015">
        <v>100</v>
      </c>
      <c r="M3015">
        <v>100</v>
      </c>
      <c r="N3015">
        <v>1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0</v>
      </c>
      <c r="AE3015">
        <v>0</v>
      </c>
      <c r="AF3015">
        <v>0</v>
      </c>
      <c r="AG3015">
        <v>0</v>
      </c>
      <c r="AH3015">
        <v>0</v>
      </c>
      <c r="AI3015">
        <v>100</v>
      </c>
      <c r="AJ3015">
        <v>1</v>
      </c>
      <c r="AK3015">
        <v>0</v>
      </c>
      <c r="AL3015">
        <v>0</v>
      </c>
      <c r="AM3015">
        <v>10</v>
      </c>
      <c r="AN3015">
        <v>0</v>
      </c>
      <c r="AO3015">
        <v>108</v>
      </c>
      <c r="AP3015">
        <v>-10.8</v>
      </c>
      <c r="AQ3015">
        <v>0</v>
      </c>
      <c r="AS3015">
        <v>0</v>
      </c>
      <c r="AT3015">
        <v>0</v>
      </c>
      <c r="AU3015">
        <v>108</v>
      </c>
      <c r="AV3015">
        <v>-10.8</v>
      </c>
      <c r="AW3015">
        <v>0</v>
      </c>
      <c r="AY3015">
        <v>0</v>
      </c>
      <c r="AZ3015">
        <v>0</v>
      </c>
      <c r="BA3015">
        <v>75.040000000000006</v>
      </c>
      <c r="BC3015" t="str">
        <f>T("0000000000000")</f>
        <v>0000000000000</v>
      </c>
      <c r="BE3015" t="str">
        <f>T("9791162589724")</f>
        <v>9791162589724</v>
      </c>
      <c r="BF3015" t="str">
        <f>T("E761134")</f>
        <v>E761134</v>
      </c>
      <c r="BG3015" t="str">
        <f>T("판타지 웹소설 &gt; 퓨전 판타지")</f>
        <v>판타지 웹소설 &gt; 퓨전 판타지</v>
      </c>
    </row>
    <row r="3016" spans="1:59">
      <c r="A3016" t="s">
        <v>60</v>
      </c>
      <c r="B3016" s="1">
        <v>46131</v>
      </c>
      <c r="C3016">
        <v>2378009513</v>
      </c>
      <c r="D3016">
        <v>2378015974</v>
      </c>
      <c r="E3016" t="str">
        <f>T("문과라도 안 죄송한 이세계로 감 301화")</f>
        <v>문과라도 안 죄송한 이세계로 감 301화</v>
      </c>
      <c r="F3016">
        <v>301</v>
      </c>
      <c r="G3016" t="str">
        <f>T("정수읠")</f>
        <v>정수읠</v>
      </c>
      <c r="J3016" t="str">
        <f>T("매드햇")</f>
        <v>매드햇</v>
      </c>
      <c r="K3016" t="str">
        <f>T("문과라도 안 죄송한 이세계로 감")</f>
        <v>문과라도 안 죄송한 이세계로 감</v>
      </c>
      <c r="L3016">
        <v>100</v>
      </c>
      <c r="M3016">
        <v>100</v>
      </c>
      <c r="N3016">
        <v>1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0</v>
      </c>
      <c r="AE3016">
        <v>0</v>
      </c>
      <c r="AF3016">
        <v>0</v>
      </c>
      <c r="AG3016">
        <v>0</v>
      </c>
      <c r="AH3016">
        <v>0</v>
      </c>
      <c r="AI3016">
        <v>100</v>
      </c>
      <c r="AJ3016">
        <v>1</v>
      </c>
      <c r="AK3016">
        <v>0</v>
      </c>
      <c r="AL3016">
        <v>0</v>
      </c>
      <c r="AM3016">
        <v>10</v>
      </c>
      <c r="AN3016">
        <v>0</v>
      </c>
      <c r="AO3016">
        <v>108</v>
      </c>
      <c r="AP3016">
        <v>-10.8</v>
      </c>
      <c r="AQ3016">
        <v>0</v>
      </c>
      <c r="AS3016">
        <v>0</v>
      </c>
      <c r="AT3016">
        <v>0</v>
      </c>
      <c r="AU3016">
        <v>108</v>
      </c>
      <c r="AV3016">
        <v>-10.8</v>
      </c>
      <c r="AW3016">
        <v>0</v>
      </c>
      <c r="AY3016">
        <v>0</v>
      </c>
      <c r="AZ3016">
        <v>0</v>
      </c>
      <c r="BA3016">
        <v>75.040000000000006</v>
      </c>
      <c r="BC3016" t="str">
        <f>T("0000000000000")</f>
        <v>0000000000000</v>
      </c>
      <c r="BE3016" t="str">
        <f>T("9791162589724")</f>
        <v>9791162589724</v>
      </c>
      <c r="BF3016" t="str">
        <f>T("E761135")</f>
        <v>E761135</v>
      </c>
      <c r="BG3016" t="str">
        <f>T("판타지 웹소설 &gt; 퓨전 판타지")</f>
        <v>판타지 웹소설 &gt; 퓨전 판타지</v>
      </c>
    </row>
    <row r="3017" spans="1:59">
      <c r="A3017" t="s">
        <v>60</v>
      </c>
      <c r="B3017" s="1">
        <v>46131</v>
      </c>
      <c r="C3017">
        <v>2378009513</v>
      </c>
      <c r="D3017">
        <v>2378015975</v>
      </c>
      <c r="E3017" t="str">
        <f>T("문과라도 안 죄송한 이세계로 감 302화")</f>
        <v>문과라도 안 죄송한 이세계로 감 302화</v>
      </c>
      <c r="F3017">
        <v>302</v>
      </c>
      <c r="G3017" t="str">
        <f>T("정수읠")</f>
        <v>정수읠</v>
      </c>
      <c r="J3017" t="str">
        <f>T("매드햇")</f>
        <v>매드햇</v>
      </c>
      <c r="K3017" t="str">
        <f>T("문과라도 안 죄송한 이세계로 감")</f>
        <v>문과라도 안 죄송한 이세계로 감</v>
      </c>
      <c r="L3017">
        <v>100</v>
      </c>
      <c r="M3017">
        <v>100</v>
      </c>
      <c r="N3017">
        <v>1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0</v>
      </c>
      <c r="AE3017">
        <v>0</v>
      </c>
      <c r="AF3017">
        <v>0</v>
      </c>
      <c r="AG3017">
        <v>0</v>
      </c>
      <c r="AH3017">
        <v>0</v>
      </c>
      <c r="AI3017">
        <v>100</v>
      </c>
      <c r="AJ3017">
        <v>1</v>
      </c>
      <c r="AK3017">
        <v>0</v>
      </c>
      <c r="AL3017">
        <v>0</v>
      </c>
      <c r="AM3017">
        <v>10</v>
      </c>
      <c r="AN3017">
        <v>0</v>
      </c>
      <c r="AO3017">
        <v>108</v>
      </c>
      <c r="AP3017">
        <v>-10.8</v>
      </c>
      <c r="AQ3017">
        <v>0</v>
      </c>
      <c r="AS3017">
        <v>0</v>
      </c>
      <c r="AT3017">
        <v>0</v>
      </c>
      <c r="AU3017">
        <v>108</v>
      </c>
      <c r="AV3017">
        <v>-10.8</v>
      </c>
      <c r="AW3017">
        <v>0</v>
      </c>
      <c r="AY3017">
        <v>0</v>
      </c>
      <c r="AZ3017">
        <v>0</v>
      </c>
      <c r="BA3017">
        <v>75.040000000000006</v>
      </c>
      <c r="BC3017" t="str">
        <f>T("0000000000000")</f>
        <v>0000000000000</v>
      </c>
      <c r="BE3017" t="str">
        <f>T("9791162589724")</f>
        <v>9791162589724</v>
      </c>
      <c r="BF3017" t="str">
        <f>T("E766766")</f>
        <v>E766766</v>
      </c>
      <c r="BG3017" t="str">
        <f>T("판타지 웹소설 &gt; 퓨전 판타지")</f>
        <v>판타지 웹소설 &gt; 퓨전 판타지</v>
      </c>
    </row>
    <row r="3018" spans="1:59">
      <c r="A3018" t="s">
        <v>60</v>
      </c>
      <c r="B3018" s="1">
        <v>46131</v>
      </c>
      <c r="C3018">
        <v>2378009513</v>
      </c>
      <c r="D3018">
        <v>2378015976</v>
      </c>
      <c r="E3018" t="str">
        <f>T("문과라도 안 죄송한 이세계로 감 303화")</f>
        <v>문과라도 안 죄송한 이세계로 감 303화</v>
      </c>
      <c r="F3018">
        <v>303</v>
      </c>
      <c r="G3018" t="str">
        <f>T("정수읠")</f>
        <v>정수읠</v>
      </c>
      <c r="J3018" t="str">
        <f>T("매드햇")</f>
        <v>매드햇</v>
      </c>
      <c r="K3018" t="str">
        <f>T("문과라도 안 죄송한 이세계로 감")</f>
        <v>문과라도 안 죄송한 이세계로 감</v>
      </c>
      <c r="L3018">
        <v>100</v>
      </c>
      <c r="M3018">
        <v>100</v>
      </c>
      <c r="N3018">
        <v>1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0</v>
      </c>
      <c r="AE3018">
        <v>0</v>
      </c>
      <c r="AF3018">
        <v>0</v>
      </c>
      <c r="AG3018">
        <v>0</v>
      </c>
      <c r="AH3018">
        <v>0</v>
      </c>
      <c r="AI3018">
        <v>100</v>
      </c>
      <c r="AJ3018">
        <v>1</v>
      </c>
      <c r="AK3018">
        <v>0</v>
      </c>
      <c r="AL3018">
        <v>0</v>
      </c>
      <c r="AM3018">
        <v>10</v>
      </c>
      <c r="AN3018">
        <v>0</v>
      </c>
      <c r="AO3018">
        <v>108</v>
      </c>
      <c r="AP3018">
        <v>-10.8</v>
      </c>
      <c r="AQ3018">
        <v>0</v>
      </c>
      <c r="AS3018">
        <v>0</v>
      </c>
      <c r="AT3018">
        <v>0</v>
      </c>
      <c r="AU3018">
        <v>108</v>
      </c>
      <c r="AV3018">
        <v>-10.8</v>
      </c>
      <c r="AW3018">
        <v>0</v>
      </c>
      <c r="AY3018">
        <v>0</v>
      </c>
      <c r="AZ3018">
        <v>0</v>
      </c>
      <c r="BA3018">
        <v>75.040000000000006</v>
      </c>
      <c r="BC3018" t="str">
        <f>T("0000000000000")</f>
        <v>0000000000000</v>
      </c>
      <c r="BE3018" t="str">
        <f>T("9791162589724")</f>
        <v>9791162589724</v>
      </c>
      <c r="BF3018" t="str">
        <f>T("E766767")</f>
        <v>E766767</v>
      </c>
      <c r="BG3018" t="str">
        <f>T("판타지 웹소설 &gt; 퓨전 판타지")</f>
        <v>판타지 웹소설 &gt; 퓨전 판타지</v>
      </c>
    </row>
    <row r="3019" spans="1:59">
      <c r="A3019" t="s">
        <v>60</v>
      </c>
      <c r="B3019" s="1">
        <v>46131</v>
      </c>
      <c r="C3019">
        <v>2378009513</v>
      </c>
      <c r="D3019">
        <v>2378015978</v>
      </c>
      <c r="E3019" t="str">
        <f>T("문과라도 안 죄송한 이세계로 감 305화")</f>
        <v>문과라도 안 죄송한 이세계로 감 305화</v>
      </c>
      <c r="F3019">
        <v>305</v>
      </c>
      <c r="G3019" t="str">
        <f>T("정수읠")</f>
        <v>정수읠</v>
      </c>
      <c r="J3019" t="str">
        <f>T("매드햇")</f>
        <v>매드햇</v>
      </c>
      <c r="K3019" t="str">
        <f>T("문과라도 안 죄송한 이세계로 감")</f>
        <v>문과라도 안 죄송한 이세계로 감</v>
      </c>
      <c r="L3019">
        <v>100</v>
      </c>
      <c r="M3019">
        <v>100</v>
      </c>
      <c r="N3019">
        <v>1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0</v>
      </c>
      <c r="AE3019">
        <v>0</v>
      </c>
      <c r="AF3019">
        <v>0</v>
      </c>
      <c r="AG3019">
        <v>0</v>
      </c>
      <c r="AH3019">
        <v>0</v>
      </c>
      <c r="AI3019">
        <v>100</v>
      </c>
      <c r="AJ3019">
        <v>1</v>
      </c>
      <c r="AK3019">
        <v>0</v>
      </c>
      <c r="AL3019">
        <v>0</v>
      </c>
      <c r="AM3019">
        <v>10</v>
      </c>
      <c r="AN3019">
        <v>0</v>
      </c>
      <c r="AO3019">
        <v>108</v>
      </c>
      <c r="AP3019">
        <v>-10.8</v>
      </c>
      <c r="AQ3019">
        <v>0</v>
      </c>
      <c r="AS3019">
        <v>0</v>
      </c>
      <c r="AT3019">
        <v>0</v>
      </c>
      <c r="AU3019">
        <v>108</v>
      </c>
      <c r="AV3019">
        <v>-10.8</v>
      </c>
      <c r="AW3019">
        <v>0</v>
      </c>
      <c r="AY3019">
        <v>0</v>
      </c>
      <c r="AZ3019">
        <v>0</v>
      </c>
      <c r="BA3019">
        <v>75.040000000000006</v>
      </c>
      <c r="BC3019" t="str">
        <f>T("0000000000000")</f>
        <v>0000000000000</v>
      </c>
      <c r="BE3019" t="str">
        <f>T("9791162589724")</f>
        <v>9791162589724</v>
      </c>
      <c r="BF3019" t="str">
        <f>T("E766769")</f>
        <v>E766769</v>
      </c>
      <c r="BG3019" t="str">
        <f>T("판타지 웹소설 &gt; 퓨전 판타지")</f>
        <v>판타지 웹소설 &gt; 퓨전 판타지</v>
      </c>
    </row>
    <row r="3020" spans="1:59">
      <c r="A3020" t="s">
        <v>60</v>
      </c>
      <c r="B3020" s="1">
        <v>46131</v>
      </c>
      <c r="C3020">
        <v>2378009513</v>
      </c>
      <c r="D3020">
        <v>2378016551</v>
      </c>
      <c r="E3020" t="str">
        <f>T("문과라도 안 죄송한 이세계로 감 307화")</f>
        <v>문과라도 안 죄송한 이세계로 감 307화</v>
      </c>
      <c r="F3020">
        <v>307</v>
      </c>
      <c r="G3020" t="str">
        <f>T("정수읠")</f>
        <v>정수읠</v>
      </c>
      <c r="J3020" t="str">
        <f>T("매드햇")</f>
        <v>매드햇</v>
      </c>
      <c r="K3020" t="str">
        <f>T("문과라도 안 죄송한 이세계로 감")</f>
        <v>문과라도 안 죄송한 이세계로 감</v>
      </c>
      <c r="L3020">
        <v>100</v>
      </c>
      <c r="M3020">
        <v>100</v>
      </c>
      <c r="N3020">
        <v>1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0</v>
      </c>
      <c r="AE3020">
        <v>0</v>
      </c>
      <c r="AF3020">
        <v>0</v>
      </c>
      <c r="AG3020">
        <v>0</v>
      </c>
      <c r="AH3020">
        <v>0</v>
      </c>
      <c r="AI3020">
        <v>100</v>
      </c>
      <c r="AJ3020">
        <v>1</v>
      </c>
      <c r="AK3020">
        <v>0</v>
      </c>
      <c r="AL3020">
        <v>0</v>
      </c>
      <c r="AM3020">
        <v>10</v>
      </c>
      <c r="AN3020">
        <v>0</v>
      </c>
      <c r="AO3020">
        <v>108</v>
      </c>
      <c r="AP3020">
        <v>-10.8</v>
      </c>
      <c r="AQ3020">
        <v>0</v>
      </c>
      <c r="AS3020">
        <v>0</v>
      </c>
      <c r="AT3020">
        <v>0</v>
      </c>
      <c r="AU3020">
        <v>108</v>
      </c>
      <c r="AV3020">
        <v>-10.8</v>
      </c>
      <c r="AW3020">
        <v>0</v>
      </c>
      <c r="AY3020">
        <v>0</v>
      </c>
      <c r="AZ3020">
        <v>0</v>
      </c>
      <c r="BA3020">
        <v>75.040000000000006</v>
      </c>
      <c r="BC3020" t="str">
        <f>T("0000000000000")</f>
        <v>0000000000000</v>
      </c>
      <c r="BE3020" t="str">
        <f>T("9791162589724")</f>
        <v>9791162589724</v>
      </c>
      <c r="BF3020" t="str">
        <f>T("E768848")</f>
        <v>E768848</v>
      </c>
      <c r="BG3020" t="str">
        <f>T("판타지 웹소설 &gt; 퓨전 판타지")</f>
        <v>판타지 웹소설 &gt; 퓨전 판타지</v>
      </c>
    </row>
    <row r="3021" spans="1:59">
      <c r="A3021" t="s">
        <v>60</v>
      </c>
      <c r="B3021" s="1">
        <v>46131</v>
      </c>
      <c r="C3021">
        <v>2378009513</v>
      </c>
      <c r="D3021">
        <v>2378016552</v>
      </c>
      <c r="E3021" t="str">
        <f>T("문과라도 안 죄송한 이세계로 감 308화")</f>
        <v>문과라도 안 죄송한 이세계로 감 308화</v>
      </c>
      <c r="F3021">
        <v>308</v>
      </c>
      <c r="G3021" t="str">
        <f>T("정수읠")</f>
        <v>정수읠</v>
      </c>
      <c r="J3021" t="str">
        <f>T("매드햇")</f>
        <v>매드햇</v>
      </c>
      <c r="K3021" t="str">
        <f>T("문과라도 안 죄송한 이세계로 감")</f>
        <v>문과라도 안 죄송한 이세계로 감</v>
      </c>
      <c r="L3021">
        <v>100</v>
      </c>
      <c r="M3021">
        <v>100</v>
      </c>
      <c r="N3021">
        <v>1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0</v>
      </c>
      <c r="AE3021">
        <v>0</v>
      </c>
      <c r="AF3021">
        <v>0</v>
      </c>
      <c r="AG3021">
        <v>0</v>
      </c>
      <c r="AH3021">
        <v>0</v>
      </c>
      <c r="AI3021">
        <v>100</v>
      </c>
      <c r="AJ3021">
        <v>1</v>
      </c>
      <c r="AK3021">
        <v>0</v>
      </c>
      <c r="AL3021">
        <v>0</v>
      </c>
      <c r="AM3021">
        <v>10</v>
      </c>
      <c r="AN3021">
        <v>0</v>
      </c>
      <c r="AO3021">
        <v>108</v>
      </c>
      <c r="AP3021">
        <v>-10.8</v>
      </c>
      <c r="AQ3021">
        <v>0</v>
      </c>
      <c r="AS3021">
        <v>0</v>
      </c>
      <c r="AT3021">
        <v>0</v>
      </c>
      <c r="AU3021">
        <v>108</v>
      </c>
      <c r="AV3021">
        <v>-10.8</v>
      </c>
      <c r="AW3021">
        <v>0</v>
      </c>
      <c r="AY3021">
        <v>0</v>
      </c>
      <c r="AZ3021">
        <v>0</v>
      </c>
      <c r="BA3021">
        <v>75.040000000000006</v>
      </c>
      <c r="BC3021" t="str">
        <f>T("0000000000000")</f>
        <v>0000000000000</v>
      </c>
      <c r="BE3021" t="str">
        <f>T("9791162589724")</f>
        <v>9791162589724</v>
      </c>
      <c r="BF3021" t="str">
        <f>T("E768849")</f>
        <v>E768849</v>
      </c>
      <c r="BG3021" t="str">
        <f>T("판타지 웹소설 &gt; 퓨전 판타지")</f>
        <v>판타지 웹소설 &gt; 퓨전 판타지</v>
      </c>
    </row>
    <row r="3022" spans="1:59">
      <c r="A3022" t="s">
        <v>60</v>
      </c>
      <c r="B3022" s="1">
        <v>46131</v>
      </c>
      <c r="C3022">
        <v>2378009513</v>
      </c>
      <c r="D3022">
        <v>2378016553</v>
      </c>
      <c r="E3022" t="str">
        <f>T("문과라도 안 죄송한 이세계로 감 309화")</f>
        <v>문과라도 안 죄송한 이세계로 감 309화</v>
      </c>
      <c r="F3022">
        <v>309</v>
      </c>
      <c r="G3022" t="str">
        <f>T("정수읠")</f>
        <v>정수읠</v>
      </c>
      <c r="J3022" t="str">
        <f>T("매드햇")</f>
        <v>매드햇</v>
      </c>
      <c r="K3022" t="str">
        <f>T("문과라도 안 죄송한 이세계로 감")</f>
        <v>문과라도 안 죄송한 이세계로 감</v>
      </c>
      <c r="L3022">
        <v>100</v>
      </c>
      <c r="M3022">
        <v>100</v>
      </c>
      <c r="N3022">
        <v>1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0</v>
      </c>
      <c r="AE3022">
        <v>0</v>
      </c>
      <c r="AF3022">
        <v>0</v>
      </c>
      <c r="AG3022">
        <v>0</v>
      </c>
      <c r="AH3022">
        <v>0</v>
      </c>
      <c r="AI3022">
        <v>100</v>
      </c>
      <c r="AJ3022">
        <v>1</v>
      </c>
      <c r="AK3022">
        <v>0</v>
      </c>
      <c r="AL3022">
        <v>0</v>
      </c>
      <c r="AM3022">
        <v>10</v>
      </c>
      <c r="AN3022">
        <v>0</v>
      </c>
      <c r="AO3022">
        <v>108</v>
      </c>
      <c r="AP3022">
        <v>-10.8</v>
      </c>
      <c r="AQ3022">
        <v>0</v>
      </c>
      <c r="AS3022">
        <v>0</v>
      </c>
      <c r="AT3022">
        <v>0</v>
      </c>
      <c r="AU3022">
        <v>108</v>
      </c>
      <c r="AV3022">
        <v>-10.8</v>
      </c>
      <c r="AW3022">
        <v>0</v>
      </c>
      <c r="AY3022">
        <v>0</v>
      </c>
      <c r="AZ3022">
        <v>0</v>
      </c>
      <c r="BA3022">
        <v>75.040000000000006</v>
      </c>
      <c r="BC3022" t="str">
        <f>T("0000000000000")</f>
        <v>0000000000000</v>
      </c>
      <c r="BE3022" t="str">
        <f>T("9791162589724")</f>
        <v>9791162589724</v>
      </c>
      <c r="BF3022" t="str">
        <f>T("E768850")</f>
        <v>E768850</v>
      </c>
      <c r="BG3022" t="str">
        <f>T("판타지 웹소설 &gt; 퓨전 판타지")</f>
        <v>판타지 웹소설 &gt; 퓨전 판타지</v>
      </c>
    </row>
    <row r="3023" spans="1:59">
      <c r="A3023" t="s">
        <v>60</v>
      </c>
      <c r="B3023" s="1">
        <v>46131</v>
      </c>
      <c r="C3023">
        <v>2378009513</v>
      </c>
      <c r="D3023">
        <v>2378016617</v>
      </c>
      <c r="E3023" t="str">
        <f>T("문과라도 안 죄송한 이세계로 감 310화")</f>
        <v>문과라도 안 죄송한 이세계로 감 310화</v>
      </c>
      <c r="F3023">
        <v>310</v>
      </c>
      <c r="G3023" t="str">
        <f>T("정수읠")</f>
        <v>정수읠</v>
      </c>
      <c r="J3023" t="str">
        <f>T("매드햇")</f>
        <v>매드햇</v>
      </c>
      <c r="K3023" t="str">
        <f>T("문과라도 안 죄송한 이세계로 감")</f>
        <v>문과라도 안 죄송한 이세계로 감</v>
      </c>
      <c r="L3023">
        <v>100</v>
      </c>
      <c r="M3023">
        <v>100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0</v>
      </c>
      <c r="AE3023">
        <v>0</v>
      </c>
      <c r="AF3023">
        <v>0</v>
      </c>
      <c r="AG3023">
        <v>0</v>
      </c>
      <c r="AH3023">
        <v>0</v>
      </c>
      <c r="AI3023">
        <v>100</v>
      </c>
      <c r="AJ3023">
        <v>1</v>
      </c>
      <c r="AK3023">
        <v>0</v>
      </c>
      <c r="AL3023">
        <v>0</v>
      </c>
      <c r="AM3023">
        <v>10</v>
      </c>
      <c r="AN3023">
        <v>0</v>
      </c>
      <c r="AO3023">
        <v>108</v>
      </c>
      <c r="AP3023">
        <v>-10.8</v>
      </c>
      <c r="AQ3023">
        <v>0</v>
      </c>
      <c r="AS3023">
        <v>0</v>
      </c>
      <c r="AT3023">
        <v>0</v>
      </c>
      <c r="AU3023">
        <v>108</v>
      </c>
      <c r="AV3023">
        <v>-10.8</v>
      </c>
      <c r="AW3023">
        <v>0</v>
      </c>
      <c r="AY3023">
        <v>0</v>
      </c>
      <c r="AZ3023">
        <v>0</v>
      </c>
      <c r="BA3023">
        <v>75.040000000000006</v>
      </c>
      <c r="BC3023" t="str">
        <f>T("0000000000000")</f>
        <v>0000000000000</v>
      </c>
      <c r="BE3023" t="str">
        <f>T("9791162589724")</f>
        <v>9791162589724</v>
      </c>
      <c r="BF3023" t="str">
        <f>T("E768851")</f>
        <v>E768851</v>
      </c>
      <c r="BG3023" t="str">
        <f>T("판타지 웹소설 &gt; 퓨전 판타지")</f>
        <v>판타지 웹소설 &gt; 퓨전 판타지</v>
      </c>
    </row>
    <row r="3024" spans="1:59">
      <c r="A3024" t="s">
        <v>60</v>
      </c>
      <c r="B3024" s="1">
        <v>46131</v>
      </c>
      <c r="C3024">
        <v>2378009513</v>
      </c>
      <c r="D3024">
        <v>2378016618</v>
      </c>
      <c r="E3024" t="str">
        <f>T("문과라도 안 죄송한 이세계로 감 311화")</f>
        <v>문과라도 안 죄송한 이세계로 감 311화</v>
      </c>
      <c r="F3024">
        <v>311</v>
      </c>
      <c r="G3024" t="str">
        <f>T("정수읠")</f>
        <v>정수읠</v>
      </c>
      <c r="J3024" t="str">
        <f>T("매드햇")</f>
        <v>매드햇</v>
      </c>
      <c r="K3024" t="str">
        <f>T("문과라도 안 죄송한 이세계로 감")</f>
        <v>문과라도 안 죄송한 이세계로 감</v>
      </c>
      <c r="L3024">
        <v>100</v>
      </c>
      <c r="M3024">
        <v>100</v>
      </c>
      <c r="N3024">
        <v>1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0</v>
      </c>
      <c r="AH3024">
        <v>0</v>
      </c>
      <c r="AI3024">
        <v>100</v>
      </c>
      <c r="AJ3024">
        <v>1</v>
      </c>
      <c r="AK3024">
        <v>0</v>
      </c>
      <c r="AL3024">
        <v>0</v>
      </c>
      <c r="AM3024">
        <v>10</v>
      </c>
      <c r="AN3024">
        <v>0</v>
      </c>
      <c r="AO3024">
        <v>108</v>
      </c>
      <c r="AP3024">
        <v>-10.8</v>
      </c>
      <c r="AQ3024">
        <v>0</v>
      </c>
      <c r="AS3024">
        <v>0</v>
      </c>
      <c r="AT3024">
        <v>0</v>
      </c>
      <c r="AU3024">
        <v>108</v>
      </c>
      <c r="AV3024">
        <v>-10.8</v>
      </c>
      <c r="AW3024">
        <v>0</v>
      </c>
      <c r="AY3024">
        <v>0</v>
      </c>
      <c r="AZ3024">
        <v>0</v>
      </c>
      <c r="BA3024">
        <v>75.040000000000006</v>
      </c>
      <c r="BC3024" t="str">
        <f>T("0000000000000")</f>
        <v>0000000000000</v>
      </c>
      <c r="BE3024" t="str">
        <f>T("9791162589724")</f>
        <v>9791162589724</v>
      </c>
      <c r="BF3024" t="str">
        <f>T("E768852")</f>
        <v>E768852</v>
      </c>
      <c r="BG3024" t="str">
        <f>T("판타지 웹소설 &gt; 퓨전 판타지")</f>
        <v>판타지 웹소설 &gt; 퓨전 판타지</v>
      </c>
    </row>
    <row r="3025" spans="1:59">
      <c r="A3025" t="s">
        <v>60</v>
      </c>
      <c r="B3025" s="1">
        <v>46131</v>
      </c>
      <c r="C3025">
        <v>2378009513</v>
      </c>
      <c r="D3025">
        <v>2378016619</v>
      </c>
      <c r="E3025" t="str">
        <f>T("문과라도 안 죄송한 이세계로 감 312화")</f>
        <v>문과라도 안 죄송한 이세계로 감 312화</v>
      </c>
      <c r="F3025">
        <v>312</v>
      </c>
      <c r="G3025" t="str">
        <f>T("정수읠")</f>
        <v>정수읠</v>
      </c>
      <c r="J3025" t="str">
        <f>T("매드햇")</f>
        <v>매드햇</v>
      </c>
      <c r="K3025" t="str">
        <f>T("문과라도 안 죄송한 이세계로 감")</f>
        <v>문과라도 안 죄송한 이세계로 감</v>
      </c>
      <c r="L3025">
        <v>100</v>
      </c>
      <c r="M3025">
        <v>100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0</v>
      </c>
      <c r="AH3025">
        <v>0</v>
      </c>
      <c r="AI3025">
        <v>100</v>
      </c>
      <c r="AJ3025">
        <v>1</v>
      </c>
      <c r="AK3025">
        <v>0</v>
      </c>
      <c r="AL3025">
        <v>0</v>
      </c>
      <c r="AM3025">
        <v>10</v>
      </c>
      <c r="AN3025">
        <v>0</v>
      </c>
      <c r="AO3025">
        <v>108</v>
      </c>
      <c r="AP3025">
        <v>-10.8</v>
      </c>
      <c r="AQ3025">
        <v>0</v>
      </c>
      <c r="AS3025">
        <v>0</v>
      </c>
      <c r="AT3025">
        <v>0</v>
      </c>
      <c r="AU3025">
        <v>108</v>
      </c>
      <c r="AV3025">
        <v>-10.8</v>
      </c>
      <c r="AW3025">
        <v>0</v>
      </c>
      <c r="AY3025">
        <v>0</v>
      </c>
      <c r="AZ3025">
        <v>0</v>
      </c>
      <c r="BA3025">
        <v>75.040000000000006</v>
      </c>
      <c r="BC3025" t="str">
        <f>T("0000000000000")</f>
        <v>0000000000000</v>
      </c>
      <c r="BE3025" t="str">
        <f>T("9791162589724")</f>
        <v>9791162589724</v>
      </c>
      <c r="BF3025" t="str">
        <f>T("E768853")</f>
        <v>E768853</v>
      </c>
      <c r="BG3025" t="str">
        <f>T("판타지 웹소설 &gt; 퓨전 판타지")</f>
        <v>판타지 웹소설 &gt; 퓨전 판타지</v>
      </c>
    </row>
    <row r="3026" spans="1:59">
      <c r="A3026" t="s">
        <v>60</v>
      </c>
      <c r="B3026" s="1">
        <v>46131</v>
      </c>
      <c r="C3026">
        <v>2378009513</v>
      </c>
      <c r="D3026">
        <v>2378016620</v>
      </c>
      <c r="E3026" t="str">
        <f>T("문과라도 안 죄송한 이세계로 감 313화")</f>
        <v>문과라도 안 죄송한 이세계로 감 313화</v>
      </c>
      <c r="F3026">
        <v>313</v>
      </c>
      <c r="G3026" t="str">
        <f>T("정수읠")</f>
        <v>정수읠</v>
      </c>
      <c r="J3026" t="str">
        <f>T("매드햇")</f>
        <v>매드햇</v>
      </c>
      <c r="K3026" t="str">
        <f>T("문과라도 안 죄송한 이세계로 감")</f>
        <v>문과라도 안 죄송한 이세계로 감</v>
      </c>
      <c r="L3026">
        <v>100</v>
      </c>
      <c r="M3026">
        <v>100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0</v>
      </c>
      <c r="AH3026">
        <v>0</v>
      </c>
      <c r="AI3026">
        <v>100</v>
      </c>
      <c r="AJ3026">
        <v>1</v>
      </c>
      <c r="AK3026">
        <v>0</v>
      </c>
      <c r="AL3026">
        <v>0</v>
      </c>
      <c r="AM3026">
        <v>10</v>
      </c>
      <c r="AN3026">
        <v>0</v>
      </c>
      <c r="AO3026">
        <v>108</v>
      </c>
      <c r="AP3026">
        <v>-10.8</v>
      </c>
      <c r="AQ3026">
        <v>0</v>
      </c>
      <c r="AS3026">
        <v>0</v>
      </c>
      <c r="AT3026">
        <v>0</v>
      </c>
      <c r="AU3026">
        <v>108</v>
      </c>
      <c r="AV3026">
        <v>-10.8</v>
      </c>
      <c r="AW3026">
        <v>0</v>
      </c>
      <c r="AY3026">
        <v>0</v>
      </c>
      <c r="AZ3026">
        <v>0</v>
      </c>
      <c r="BA3026">
        <v>75.040000000000006</v>
      </c>
      <c r="BC3026" t="str">
        <f>T("0000000000000")</f>
        <v>0000000000000</v>
      </c>
      <c r="BE3026" t="str">
        <f>T("9791162589724")</f>
        <v>9791162589724</v>
      </c>
      <c r="BF3026" t="str">
        <f>T("E768854")</f>
        <v>E768854</v>
      </c>
      <c r="BG3026" t="str">
        <f>T("판타지 웹소설 &gt; 퓨전 판타지")</f>
        <v>판타지 웹소설 &gt; 퓨전 판타지</v>
      </c>
    </row>
    <row r="3027" spans="1:59">
      <c r="A3027" t="s">
        <v>60</v>
      </c>
      <c r="B3027" s="1">
        <v>46131</v>
      </c>
      <c r="C3027">
        <v>2378009513</v>
      </c>
      <c r="D3027">
        <v>2378016703</v>
      </c>
      <c r="E3027" t="str">
        <f>T("문과라도 안 죄송한 이세계로 감 314화")</f>
        <v>문과라도 안 죄송한 이세계로 감 314화</v>
      </c>
      <c r="F3027">
        <v>314</v>
      </c>
      <c r="G3027" t="str">
        <f>T("정수읠")</f>
        <v>정수읠</v>
      </c>
      <c r="J3027" t="str">
        <f>T("매드햇")</f>
        <v>매드햇</v>
      </c>
      <c r="K3027" t="str">
        <f>T("문과라도 안 죄송한 이세계로 감")</f>
        <v>문과라도 안 죄송한 이세계로 감</v>
      </c>
      <c r="L3027">
        <v>100</v>
      </c>
      <c r="M3027">
        <v>100</v>
      </c>
      <c r="N3027">
        <v>1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0</v>
      </c>
      <c r="AH3027">
        <v>0</v>
      </c>
      <c r="AI3027">
        <v>100</v>
      </c>
      <c r="AJ3027">
        <v>1</v>
      </c>
      <c r="AK3027">
        <v>0</v>
      </c>
      <c r="AL3027">
        <v>0</v>
      </c>
      <c r="AM3027">
        <v>10</v>
      </c>
      <c r="AN3027">
        <v>0</v>
      </c>
      <c r="AO3027">
        <v>108</v>
      </c>
      <c r="AP3027">
        <v>-10.8</v>
      </c>
      <c r="AQ3027">
        <v>0</v>
      </c>
      <c r="AS3027">
        <v>0</v>
      </c>
      <c r="AT3027">
        <v>0</v>
      </c>
      <c r="AU3027">
        <v>108</v>
      </c>
      <c r="AV3027">
        <v>-10.8</v>
      </c>
      <c r="AW3027">
        <v>0</v>
      </c>
      <c r="AY3027">
        <v>0</v>
      </c>
      <c r="AZ3027">
        <v>0</v>
      </c>
      <c r="BA3027">
        <v>75.040000000000006</v>
      </c>
      <c r="BC3027" t="str">
        <f>T("0000000000000")</f>
        <v>0000000000000</v>
      </c>
      <c r="BE3027" t="str">
        <f>T("9791162589724")</f>
        <v>9791162589724</v>
      </c>
      <c r="BF3027" t="str">
        <f>T("E777774")</f>
        <v>E777774</v>
      </c>
      <c r="BG3027" t="str">
        <f>T("판타지 웹소설 &gt; 퓨전 판타지")</f>
        <v>판타지 웹소설 &gt; 퓨전 판타지</v>
      </c>
    </row>
    <row r="3028" spans="1:59">
      <c r="A3028" t="s">
        <v>60</v>
      </c>
      <c r="B3028" s="1">
        <v>46131</v>
      </c>
      <c r="C3028">
        <v>2378009513</v>
      </c>
      <c r="D3028">
        <v>2378016704</v>
      </c>
      <c r="E3028" t="str">
        <f>T("문과라도 안 죄송한 이세계로 감 315화")</f>
        <v>문과라도 안 죄송한 이세계로 감 315화</v>
      </c>
      <c r="F3028">
        <v>315</v>
      </c>
      <c r="G3028" t="str">
        <f>T("정수읠")</f>
        <v>정수읠</v>
      </c>
      <c r="J3028" t="str">
        <f>T("매드햇")</f>
        <v>매드햇</v>
      </c>
      <c r="K3028" t="str">
        <f>T("문과라도 안 죄송한 이세계로 감")</f>
        <v>문과라도 안 죄송한 이세계로 감</v>
      </c>
      <c r="L3028">
        <v>100</v>
      </c>
      <c r="M3028">
        <v>100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0</v>
      </c>
      <c r="AH3028">
        <v>0</v>
      </c>
      <c r="AI3028">
        <v>100</v>
      </c>
      <c r="AJ3028">
        <v>1</v>
      </c>
      <c r="AK3028">
        <v>0</v>
      </c>
      <c r="AL3028">
        <v>0</v>
      </c>
      <c r="AM3028">
        <v>10</v>
      </c>
      <c r="AN3028">
        <v>0</v>
      </c>
      <c r="AO3028">
        <v>108</v>
      </c>
      <c r="AP3028">
        <v>-10.8</v>
      </c>
      <c r="AQ3028">
        <v>0</v>
      </c>
      <c r="AS3028">
        <v>0</v>
      </c>
      <c r="AT3028">
        <v>0</v>
      </c>
      <c r="AU3028">
        <v>108</v>
      </c>
      <c r="AV3028">
        <v>-10.8</v>
      </c>
      <c r="AW3028">
        <v>0</v>
      </c>
      <c r="AY3028">
        <v>0</v>
      </c>
      <c r="AZ3028">
        <v>0</v>
      </c>
      <c r="BA3028">
        <v>75.040000000000006</v>
      </c>
      <c r="BC3028" t="str">
        <f>T("0000000000000")</f>
        <v>0000000000000</v>
      </c>
      <c r="BE3028" t="str">
        <f>T("9791162589724")</f>
        <v>9791162589724</v>
      </c>
      <c r="BF3028" t="str">
        <f>T("E777775")</f>
        <v>E777775</v>
      </c>
      <c r="BG3028" t="str">
        <f>T("판타지 웹소설 &gt; 퓨전 판타지")</f>
        <v>판타지 웹소설 &gt; 퓨전 판타지</v>
      </c>
    </row>
    <row r="3029" spans="1:59">
      <c r="A3029" t="s">
        <v>60</v>
      </c>
      <c r="B3029" s="1">
        <v>46131</v>
      </c>
      <c r="C3029">
        <v>2378009513</v>
      </c>
      <c r="D3029">
        <v>2378016705</v>
      </c>
      <c r="E3029" t="str">
        <f>T("문과라도 안 죄송한 이세계로 감 316화")</f>
        <v>문과라도 안 죄송한 이세계로 감 316화</v>
      </c>
      <c r="F3029">
        <v>316</v>
      </c>
      <c r="G3029" t="str">
        <f>T("정수읠")</f>
        <v>정수읠</v>
      </c>
      <c r="J3029" t="str">
        <f>T("매드햇")</f>
        <v>매드햇</v>
      </c>
      <c r="K3029" t="str">
        <f>T("문과라도 안 죄송한 이세계로 감")</f>
        <v>문과라도 안 죄송한 이세계로 감</v>
      </c>
      <c r="L3029">
        <v>100</v>
      </c>
      <c r="M3029">
        <v>100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0</v>
      </c>
      <c r="AH3029">
        <v>0</v>
      </c>
      <c r="AI3029">
        <v>100</v>
      </c>
      <c r="AJ3029">
        <v>1</v>
      </c>
      <c r="AK3029">
        <v>0</v>
      </c>
      <c r="AL3029">
        <v>0</v>
      </c>
      <c r="AM3029">
        <v>10</v>
      </c>
      <c r="AN3029">
        <v>0</v>
      </c>
      <c r="AO3029">
        <v>108</v>
      </c>
      <c r="AP3029">
        <v>-10.8</v>
      </c>
      <c r="AQ3029">
        <v>0</v>
      </c>
      <c r="AS3029">
        <v>0</v>
      </c>
      <c r="AT3029">
        <v>0</v>
      </c>
      <c r="AU3029">
        <v>108</v>
      </c>
      <c r="AV3029">
        <v>-10.8</v>
      </c>
      <c r="AW3029">
        <v>0</v>
      </c>
      <c r="AY3029">
        <v>0</v>
      </c>
      <c r="AZ3029">
        <v>0</v>
      </c>
      <c r="BA3029">
        <v>75.040000000000006</v>
      </c>
      <c r="BC3029" t="str">
        <f>T("0000000000000")</f>
        <v>0000000000000</v>
      </c>
      <c r="BE3029" t="str">
        <f>T("9791162589724")</f>
        <v>9791162589724</v>
      </c>
      <c r="BF3029" t="str">
        <f>T("E777776")</f>
        <v>E777776</v>
      </c>
      <c r="BG3029" t="str">
        <f>T("판타지 웹소설 &gt; 퓨전 판타지")</f>
        <v>판타지 웹소설 &gt; 퓨전 판타지</v>
      </c>
    </row>
    <row r="3030" spans="1:59">
      <c r="A3030" t="s">
        <v>60</v>
      </c>
      <c r="B3030" s="1">
        <v>46131</v>
      </c>
      <c r="C3030">
        <v>2378009513</v>
      </c>
      <c r="D3030">
        <v>2378016706</v>
      </c>
      <c r="E3030" t="str">
        <f>T("문과라도 안 죄송한 이세계로 감 317화")</f>
        <v>문과라도 안 죄송한 이세계로 감 317화</v>
      </c>
      <c r="F3030">
        <v>317</v>
      </c>
      <c r="G3030" t="str">
        <f>T("정수읠")</f>
        <v>정수읠</v>
      </c>
      <c r="J3030" t="str">
        <f>T("매드햇")</f>
        <v>매드햇</v>
      </c>
      <c r="K3030" t="str">
        <f>T("문과라도 안 죄송한 이세계로 감")</f>
        <v>문과라도 안 죄송한 이세계로 감</v>
      </c>
      <c r="L3030">
        <v>100</v>
      </c>
      <c r="M3030">
        <v>100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0</v>
      </c>
      <c r="AH3030">
        <v>0</v>
      </c>
      <c r="AI3030">
        <v>100</v>
      </c>
      <c r="AJ3030">
        <v>1</v>
      </c>
      <c r="AK3030">
        <v>0</v>
      </c>
      <c r="AL3030">
        <v>0</v>
      </c>
      <c r="AM3030">
        <v>10</v>
      </c>
      <c r="AN3030">
        <v>0</v>
      </c>
      <c r="AO3030">
        <v>108</v>
      </c>
      <c r="AP3030">
        <v>-10.8</v>
      </c>
      <c r="AQ3030">
        <v>0</v>
      </c>
      <c r="AS3030">
        <v>0</v>
      </c>
      <c r="AT3030">
        <v>0</v>
      </c>
      <c r="AU3030">
        <v>108</v>
      </c>
      <c r="AV3030">
        <v>-10.8</v>
      </c>
      <c r="AW3030">
        <v>0</v>
      </c>
      <c r="AY3030">
        <v>0</v>
      </c>
      <c r="AZ3030">
        <v>0</v>
      </c>
      <c r="BA3030">
        <v>75.040000000000006</v>
      </c>
      <c r="BC3030" t="str">
        <f>T("0000000000000")</f>
        <v>0000000000000</v>
      </c>
      <c r="BE3030" t="str">
        <f>T("9791162589724")</f>
        <v>9791162589724</v>
      </c>
      <c r="BF3030" t="str">
        <f>T("E777777")</f>
        <v>E777777</v>
      </c>
      <c r="BG3030" t="str">
        <f>T("판타지 웹소설 &gt; 퓨전 판타지")</f>
        <v>판타지 웹소설 &gt; 퓨전 판타지</v>
      </c>
    </row>
    <row r="3031" spans="1:59">
      <c r="A3031" t="s">
        <v>60</v>
      </c>
      <c r="B3031" s="1">
        <v>46131</v>
      </c>
      <c r="C3031">
        <v>2378009513</v>
      </c>
      <c r="D3031">
        <v>2378016766</v>
      </c>
      <c r="E3031" t="str">
        <f>T("문과라도 안 죄송한 이세계로 감 318화")</f>
        <v>문과라도 안 죄송한 이세계로 감 318화</v>
      </c>
      <c r="F3031">
        <v>318</v>
      </c>
      <c r="G3031" t="str">
        <f>T("정수읠")</f>
        <v>정수읠</v>
      </c>
      <c r="J3031" t="str">
        <f>T("매드햇")</f>
        <v>매드햇</v>
      </c>
      <c r="K3031" t="str">
        <f>T("문과라도 안 죄송한 이세계로 감")</f>
        <v>문과라도 안 죄송한 이세계로 감</v>
      </c>
      <c r="L3031">
        <v>100</v>
      </c>
      <c r="M3031">
        <v>100</v>
      </c>
      <c r="N3031">
        <v>1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0</v>
      </c>
      <c r="AH3031">
        <v>0</v>
      </c>
      <c r="AI3031">
        <v>100</v>
      </c>
      <c r="AJ3031">
        <v>1</v>
      </c>
      <c r="AK3031">
        <v>0</v>
      </c>
      <c r="AL3031">
        <v>0</v>
      </c>
      <c r="AM3031">
        <v>10</v>
      </c>
      <c r="AN3031">
        <v>0</v>
      </c>
      <c r="AO3031">
        <v>108</v>
      </c>
      <c r="AP3031">
        <v>-10.8</v>
      </c>
      <c r="AQ3031">
        <v>0</v>
      </c>
      <c r="AS3031">
        <v>0</v>
      </c>
      <c r="AT3031">
        <v>0</v>
      </c>
      <c r="AU3031">
        <v>108</v>
      </c>
      <c r="AV3031">
        <v>-10.8</v>
      </c>
      <c r="AW3031">
        <v>0</v>
      </c>
      <c r="AY3031">
        <v>0</v>
      </c>
      <c r="AZ3031">
        <v>0</v>
      </c>
      <c r="BA3031">
        <v>75.040000000000006</v>
      </c>
      <c r="BC3031" t="str">
        <f>T("0000000000000")</f>
        <v>0000000000000</v>
      </c>
      <c r="BE3031" t="str">
        <f>T("9791162589724")</f>
        <v>9791162589724</v>
      </c>
      <c r="BF3031" t="str">
        <f>T("E777778")</f>
        <v>E777778</v>
      </c>
      <c r="BG3031" t="str">
        <f>T("판타지 웹소설 &gt; 퓨전 판타지")</f>
        <v>판타지 웹소설 &gt; 퓨전 판타지</v>
      </c>
    </row>
    <row r="3032" spans="1:59">
      <c r="A3032" t="s">
        <v>60</v>
      </c>
      <c r="B3032" s="1">
        <v>46131</v>
      </c>
      <c r="C3032">
        <v>2378009513</v>
      </c>
      <c r="D3032">
        <v>2378016767</v>
      </c>
      <c r="E3032" t="str">
        <f>T("문과라도 안 죄송한 이세계로 감 319화")</f>
        <v>문과라도 안 죄송한 이세계로 감 319화</v>
      </c>
      <c r="F3032">
        <v>319</v>
      </c>
      <c r="G3032" t="str">
        <f>T("정수읠")</f>
        <v>정수읠</v>
      </c>
      <c r="J3032" t="str">
        <f>T("매드햇")</f>
        <v>매드햇</v>
      </c>
      <c r="K3032" t="str">
        <f>T("문과라도 안 죄송한 이세계로 감")</f>
        <v>문과라도 안 죄송한 이세계로 감</v>
      </c>
      <c r="L3032">
        <v>100</v>
      </c>
      <c r="M3032">
        <v>100</v>
      </c>
      <c r="N3032">
        <v>1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0</v>
      </c>
      <c r="AH3032">
        <v>0</v>
      </c>
      <c r="AI3032">
        <v>100</v>
      </c>
      <c r="AJ3032">
        <v>1</v>
      </c>
      <c r="AK3032">
        <v>0</v>
      </c>
      <c r="AL3032">
        <v>0</v>
      </c>
      <c r="AM3032">
        <v>10</v>
      </c>
      <c r="AN3032">
        <v>0</v>
      </c>
      <c r="AO3032">
        <v>108</v>
      </c>
      <c r="AP3032">
        <v>-10.8</v>
      </c>
      <c r="AQ3032">
        <v>0</v>
      </c>
      <c r="AS3032">
        <v>0</v>
      </c>
      <c r="AT3032">
        <v>0</v>
      </c>
      <c r="AU3032">
        <v>108</v>
      </c>
      <c r="AV3032">
        <v>-10.8</v>
      </c>
      <c r="AW3032">
        <v>0</v>
      </c>
      <c r="AY3032">
        <v>0</v>
      </c>
      <c r="AZ3032">
        <v>0</v>
      </c>
      <c r="BA3032">
        <v>75.040000000000006</v>
      </c>
      <c r="BC3032" t="str">
        <f>T("0000000000000")</f>
        <v>0000000000000</v>
      </c>
      <c r="BE3032" t="str">
        <f>T("9791162589724")</f>
        <v>9791162589724</v>
      </c>
      <c r="BF3032" t="str">
        <f>T("E777779")</f>
        <v>E777779</v>
      </c>
      <c r="BG3032" t="str">
        <f>T("판타지 웹소설 &gt; 퓨전 판타지")</f>
        <v>판타지 웹소설 &gt; 퓨전 판타지</v>
      </c>
    </row>
    <row r="3033" spans="1:59">
      <c r="A3033" t="s">
        <v>60</v>
      </c>
      <c r="B3033" s="1">
        <v>46131</v>
      </c>
      <c r="C3033">
        <v>2378009513</v>
      </c>
      <c r="D3033">
        <v>2378016768</v>
      </c>
      <c r="E3033" t="str">
        <f>T("문과라도 안 죄송한 이세계로 감 320화")</f>
        <v>문과라도 안 죄송한 이세계로 감 320화</v>
      </c>
      <c r="F3033">
        <v>320</v>
      </c>
      <c r="G3033" t="str">
        <f>T("정수읠")</f>
        <v>정수읠</v>
      </c>
      <c r="J3033" t="str">
        <f>T("매드햇")</f>
        <v>매드햇</v>
      </c>
      <c r="K3033" t="str">
        <f>T("문과라도 안 죄송한 이세계로 감")</f>
        <v>문과라도 안 죄송한 이세계로 감</v>
      </c>
      <c r="L3033">
        <v>100</v>
      </c>
      <c r="M3033">
        <v>100</v>
      </c>
      <c r="N3033">
        <v>1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0</v>
      </c>
      <c r="AH3033">
        <v>0</v>
      </c>
      <c r="AI3033">
        <v>100</v>
      </c>
      <c r="AJ3033">
        <v>1</v>
      </c>
      <c r="AK3033">
        <v>0</v>
      </c>
      <c r="AL3033">
        <v>0</v>
      </c>
      <c r="AM3033">
        <v>10</v>
      </c>
      <c r="AN3033">
        <v>0</v>
      </c>
      <c r="AO3033">
        <v>108</v>
      </c>
      <c r="AP3033">
        <v>-10.8</v>
      </c>
      <c r="AQ3033">
        <v>0</v>
      </c>
      <c r="AS3033">
        <v>0</v>
      </c>
      <c r="AT3033">
        <v>0</v>
      </c>
      <c r="AU3033">
        <v>108</v>
      </c>
      <c r="AV3033">
        <v>-10.8</v>
      </c>
      <c r="AW3033">
        <v>0</v>
      </c>
      <c r="AY3033">
        <v>0</v>
      </c>
      <c r="AZ3033">
        <v>0</v>
      </c>
      <c r="BA3033">
        <v>75.040000000000006</v>
      </c>
      <c r="BC3033" t="str">
        <f>T("0000000000000")</f>
        <v>0000000000000</v>
      </c>
      <c r="BE3033" t="str">
        <f>T("9791162589724")</f>
        <v>9791162589724</v>
      </c>
      <c r="BF3033" t="str">
        <f>T("E777780")</f>
        <v>E777780</v>
      </c>
      <c r="BG3033" t="str">
        <f>T("판타지 웹소설 &gt; 퓨전 판타지")</f>
        <v>판타지 웹소설 &gt; 퓨전 판타지</v>
      </c>
    </row>
    <row r="3034" spans="1:59">
      <c r="A3034" t="s">
        <v>60</v>
      </c>
      <c r="B3034" s="1">
        <v>46131</v>
      </c>
      <c r="C3034">
        <v>2378009513</v>
      </c>
      <c r="D3034">
        <v>2378016769</v>
      </c>
      <c r="E3034" t="str">
        <f>T("문과라도 안 죄송한 이세계로 감 321화")</f>
        <v>문과라도 안 죄송한 이세계로 감 321화</v>
      </c>
      <c r="F3034">
        <v>321</v>
      </c>
      <c r="G3034" t="str">
        <f>T("정수읠")</f>
        <v>정수읠</v>
      </c>
      <c r="J3034" t="str">
        <f>T("매드햇")</f>
        <v>매드햇</v>
      </c>
      <c r="K3034" t="str">
        <f>T("문과라도 안 죄송한 이세계로 감")</f>
        <v>문과라도 안 죄송한 이세계로 감</v>
      </c>
      <c r="L3034">
        <v>100</v>
      </c>
      <c r="M3034">
        <v>100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0</v>
      </c>
      <c r="AH3034">
        <v>0</v>
      </c>
      <c r="AI3034">
        <v>100</v>
      </c>
      <c r="AJ3034">
        <v>1</v>
      </c>
      <c r="AK3034">
        <v>0</v>
      </c>
      <c r="AL3034">
        <v>0</v>
      </c>
      <c r="AM3034">
        <v>10</v>
      </c>
      <c r="AN3034">
        <v>0</v>
      </c>
      <c r="AO3034">
        <v>108</v>
      </c>
      <c r="AP3034">
        <v>-10.8</v>
      </c>
      <c r="AQ3034">
        <v>0</v>
      </c>
      <c r="AS3034">
        <v>0</v>
      </c>
      <c r="AT3034">
        <v>0</v>
      </c>
      <c r="AU3034">
        <v>108</v>
      </c>
      <c r="AV3034">
        <v>-10.8</v>
      </c>
      <c r="AW3034">
        <v>0</v>
      </c>
      <c r="AY3034">
        <v>0</v>
      </c>
      <c r="AZ3034">
        <v>0</v>
      </c>
      <c r="BA3034">
        <v>75.040000000000006</v>
      </c>
      <c r="BC3034" t="str">
        <f>T("0000000000000")</f>
        <v>0000000000000</v>
      </c>
      <c r="BE3034" t="str">
        <f>T("9791162589724")</f>
        <v>9791162589724</v>
      </c>
      <c r="BF3034" t="str">
        <f>T("E777781")</f>
        <v>E777781</v>
      </c>
      <c r="BG3034" t="str">
        <f>T("판타지 웹소설 &gt; 퓨전 판타지")</f>
        <v>판타지 웹소설 &gt; 퓨전 판타지</v>
      </c>
    </row>
    <row r="3035" spans="1:59">
      <c r="A3035" t="s">
        <v>60</v>
      </c>
      <c r="B3035" s="1">
        <v>46131</v>
      </c>
      <c r="C3035">
        <v>2378009513</v>
      </c>
      <c r="D3035">
        <v>2378017578</v>
      </c>
      <c r="E3035" t="str">
        <f>T("문과라도 안 죄송한 이세계로 감 322화")</f>
        <v>문과라도 안 죄송한 이세계로 감 322화</v>
      </c>
      <c r="F3035">
        <v>322</v>
      </c>
      <c r="G3035" t="str">
        <f>T("정수읠")</f>
        <v>정수읠</v>
      </c>
      <c r="J3035" t="str">
        <f>T("매드햇")</f>
        <v>매드햇</v>
      </c>
      <c r="K3035" t="str">
        <f>T("문과라도 안 죄송한 이세계로 감")</f>
        <v>문과라도 안 죄송한 이세계로 감</v>
      </c>
      <c r="L3035">
        <v>100</v>
      </c>
      <c r="M3035">
        <v>100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0</v>
      </c>
      <c r="AH3035">
        <v>0</v>
      </c>
      <c r="AI3035">
        <v>100</v>
      </c>
      <c r="AJ3035">
        <v>1</v>
      </c>
      <c r="AK3035">
        <v>0</v>
      </c>
      <c r="AL3035">
        <v>0</v>
      </c>
      <c r="AM3035">
        <v>10</v>
      </c>
      <c r="AN3035">
        <v>0</v>
      </c>
      <c r="AO3035">
        <v>108</v>
      </c>
      <c r="AP3035">
        <v>-10.8</v>
      </c>
      <c r="AQ3035">
        <v>0</v>
      </c>
      <c r="AS3035">
        <v>0</v>
      </c>
      <c r="AT3035">
        <v>0</v>
      </c>
      <c r="AU3035">
        <v>108</v>
      </c>
      <c r="AV3035">
        <v>-10.8</v>
      </c>
      <c r="AW3035">
        <v>0</v>
      </c>
      <c r="AY3035">
        <v>0</v>
      </c>
      <c r="AZ3035">
        <v>0</v>
      </c>
      <c r="BA3035">
        <v>75.040000000000006</v>
      </c>
      <c r="BC3035" t="str">
        <f>T("0000000000000")</f>
        <v>0000000000000</v>
      </c>
      <c r="BE3035" t="str">
        <f>T("9791162589724")</f>
        <v>9791162589724</v>
      </c>
      <c r="BF3035" t="str">
        <f>T("E781666")</f>
        <v>E781666</v>
      </c>
      <c r="BG3035" t="str">
        <f>T("판타지 웹소설 &gt; 퓨전 판타지")</f>
        <v>판타지 웹소설 &gt; 퓨전 판타지</v>
      </c>
    </row>
    <row r="3036" spans="1:59">
      <c r="A3036" t="s">
        <v>60</v>
      </c>
      <c r="B3036" s="1">
        <v>46131</v>
      </c>
      <c r="C3036">
        <v>2378009513</v>
      </c>
      <c r="D3036">
        <v>2378017579</v>
      </c>
      <c r="E3036" t="str">
        <f>T("문과라도 안 죄송한 이세계로 감 323화")</f>
        <v>문과라도 안 죄송한 이세계로 감 323화</v>
      </c>
      <c r="F3036">
        <v>323</v>
      </c>
      <c r="G3036" t="str">
        <f>T("정수읠")</f>
        <v>정수읠</v>
      </c>
      <c r="J3036" t="str">
        <f>T("매드햇")</f>
        <v>매드햇</v>
      </c>
      <c r="K3036" t="str">
        <f>T("문과라도 안 죄송한 이세계로 감")</f>
        <v>문과라도 안 죄송한 이세계로 감</v>
      </c>
      <c r="L3036">
        <v>100</v>
      </c>
      <c r="M3036">
        <v>100</v>
      </c>
      <c r="N3036">
        <v>1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0</v>
      </c>
      <c r="AH3036">
        <v>0</v>
      </c>
      <c r="AI3036">
        <v>100</v>
      </c>
      <c r="AJ3036">
        <v>1</v>
      </c>
      <c r="AK3036">
        <v>0</v>
      </c>
      <c r="AL3036">
        <v>0</v>
      </c>
      <c r="AM3036">
        <v>10</v>
      </c>
      <c r="AN3036">
        <v>0</v>
      </c>
      <c r="AO3036">
        <v>108</v>
      </c>
      <c r="AP3036">
        <v>-10.8</v>
      </c>
      <c r="AQ3036">
        <v>0</v>
      </c>
      <c r="AS3036">
        <v>0</v>
      </c>
      <c r="AT3036">
        <v>0</v>
      </c>
      <c r="AU3036">
        <v>108</v>
      </c>
      <c r="AV3036">
        <v>-10.8</v>
      </c>
      <c r="AW3036">
        <v>0</v>
      </c>
      <c r="AY3036">
        <v>0</v>
      </c>
      <c r="AZ3036">
        <v>0</v>
      </c>
      <c r="BA3036">
        <v>75.040000000000006</v>
      </c>
      <c r="BC3036" t="str">
        <f>T("0000000000000")</f>
        <v>0000000000000</v>
      </c>
      <c r="BE3036" t="str">
        <f>T("9791162589724")</f>
        <v>9791162589724</v>
      </c>
      <c r="BF3036" t="str">
        <f>T("E781667")</f>
        <v>E781667</v>
      </c>
      <c r="BG3036" t="str">
        <f>T("판타지 웹소설 &gt; 퓨전 판타지")</f>
        <v>판타지 웹소설 &gt; 퓨전 판타지</v>
      </c>
    </row>
    <row r="3037" spans="1:59">
      <c r="A3037" t="s">
        <v>60</v>
      </c>
      <c r="B3037" s="1">
        <v>46131</v>
      </c>
      <c r="C3037">
        <v>2378009513</v>
      </c>
      <c r="D3037">
        <v>2378017580</v>
      </c>
      <c r="E3037" t="str">
        <f>T("문과라도 안 죄송한 이세계로 감 324화")</f>
        <v>문과라도 안 죄송한 이세계로 감 324화</v>
      </c>
      <c r="F3037">
        <v>324</v>
      </c>
      <c r="G3037" t="str">
        <f>T("정수읠")</f>
        <v>정수읠</v>
      </c>
      <c r="J3037" t="str">
        <f>T("매드햇")</f>
        <v>매드햇</v>
      </c>
      <c r="K3037" t="str">
        <f>T("문과라도 안 죄송한 이세계로 감")</f>
        <v>문과라도 안 죄송한 이세계로 감</v>
      </c>
      <c r="L3037">
        <v>100</v>
      </c>
      <c r="M3037">
        <v>100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0</v>
      </c>
      <c r="AH3037">
        <v>0</v>
      </c>
      <c r="AI3037">
        <v>100</v>
      </c>
      <c r="AJ3037">
        <v>1</v>
      </c>
      <c r="AK3037">
        <v>0</v>
      </c>
      <c r="AL3037">
        <v>0</v>
      </c>
      <c r="AM3037">
        <v>10</v>
      </c>
      <c r="AN3037">
        <v>0</v>
      </c>
      <c r="AO3037">
        <v>108</v>
      </c>
      <c r="AP3037">
        <v>-10.8</v>
      </c>
      <c r="AQ3037">
        <v>0</v>
      </c>
      <c r="AS3037">
        <v>0</v>
      </c>
      <c r="AT3037">
        <v>0</v>
      </c>
      <c r="AU3037">
        <v>108</v>
      </c>
      <c r="AV3037">
        <v>-10.8</v>
      </c>
      <c r="AW3037">
        <v>0</v>
      </c>
      <c r="AY3037">
        <v>0</v>
      </c>
      <c r="AZ3037">
        <v>0</v>
      </c>
      <c r="BA3037">
        <v>75.040000000000006</v>
      </c>
      <c r="BC3037" t="str">
        <f>T("0000000000000")</f>
        <v>0000000000000</v>
      </c>
      <c r="BE3037" t="str">
        <f>T("9791162589724")</f>
        <v>9791162589724</v>
      </c>
      <c r="BF3037" t="str">
        <f>T("E781668")</f>
        <v>E781668</v>
      </c>
      <c r="BG3037" t="str">
        <f>T("판타지 웹소설 &gt; 퓨전 판타지")</f>
        <v>판타지 웹소설 &gt; 퓨전 판타지</v>
      </c>
    </row>
    <row r="3038" spans="1:59">
      <c r="A3038" t="s">
        <v>60</v>
      </c>
      <c r="B3038" s="1">
        <v>46131</v>
      </c>
      <c r="C3038">
        <v>2378009513</v>
      </c>
      <c r="D3038">
        <v>2378017581</v>
      </c>
      <c r="E3038" t="str">
        <f>T("문과라도 안 죄송한 이세계로 감 325화")</f>
        <v>문과라도 안 죄송한 이세계로 감 325화</v>
      </c>
      <c r="F3038">
        <v>325</v>
      </c>
      <c r="G3038" t="str">
        <f>T("정수읠")</f>
        <v>정수읠</v>
      </c>
      <c r="J3038" t="str">
        <f>T("매드햇")</f>
        <v>매드햇</v>
      </c>
      <c r="K3038" t="str">
        <f>T("문과라도 안 죄송한 이세계로 감")</f>
        <v>문과라도 안 죄송한 이세계로 감</v>
      </c>
      <c r="L3038">
        <v>100</v>
      </c>
      <c r="M3038">
        <v>100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0</v>
      </c>
      <c r="AH3038">
        <v>0</v>
      </c>
      <c r="AI3038">
        <v>100</v>
      </c>
      <c r="AJ3038">
        <v>1</v>
      </c>
      <c r="AK3038">
        <v>0</v>
      </c>
      <c r="AL3038">
        <v>0</v>
      </c>
      <c r="AM3038">
        <v>10</v>
      </c>
      <c r="AN3038">
        <v>0</v>
      </c>
      <c r="AO3038">
        <v>108</v>
      </c>
      <c r="AP3038">
        <v>-10.8</v>
      </c>
      <c r="AQ3038">
        <v>0</v>
      </c>
      <c r="AS3038">
        <v>0</v>
      </c>
      <c r="AT3038">
        <v>0</v>
      </c>
      <c r="AU3038">
        <v>108</v>
      </c>
      <c r="AV3038">
        <v>-10.8</v>
      </c>
      <c r="AW3038">
        <v>0</v>
      </c>
      <c r="AY3038">
        <v>0</v>
      </c>
      <c r="AZ3038">
        <v>0</v>
      </c>
      <c r="BA3038">
        <v>75.040000000000006</v>
      </c>
      <c r="BC3038" t="str">
        <f>T("0000000000000")</f>
        <v>0000000000000</v>
      </c>
      <c r="BE3038" t="str">
        <f>T("9791162589724")</f>
        <v>9791162589724</v>
      </c>
      <c r="BF3038" t="str">
        <f>T("E781669")</f>
        <v>E781669</v>
      </c>
      <c r="BG3038" t="str">
        <f>T("판타지 웹소설 &gt; 퓨전 판타지")</f>
        <v>판타지 웹소설 &gt; 퓨전 판타지</v>
      </c>
    </row>
    <row r="3039" spans="1:59">
      <c r="A3039" t="s">
        <v>60</v>
      </c>
      <c r="B3039" s="1">
        <v>46131</v>
      </c>
      <c r="C3039">
        <v>2378009513</v>
      </c>
      <c r="D3039">
        <v>2378018008</v>
      </c>
      <c r="E3039" t="str">
        <f>T("문과라도 안 죄송한 이세계로 감 326화")</f>
        <v>문과라도 안 죄송한 이세계로 감 326화</v>
      </c>
      <c r="F3039">
        <v>326</v>
      </c>
      <c r="G3039" t="str">
        <f>T("정수읠")</f>
        <v>정수읠</v>
      </c>
      <c r="J3039" t="str">
        <f>T("매드햇")</f>
        <v>매드햇</v>
      </c>
      <c r="K3039" t="str">
        <f>T("문과라도 안 죄송한 이세계로 감")</f>
        <v>문과라도 안 죄송한 이세계로 감</v>
      </c>
      <c r="L3039">
        <v>100</v>
      </c>
      <c r="M3039">
        <v>100</v>
      </c>
      <c r="N3039">
        <v>1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0</v>
      </c>
      <c r="AH3039">
        <v>0</v>
      </c>
      <c r="AI3039">
        <v>100</v>
      </c>
      <c r="AJ3039">
        <v>1</v>
      </c>
      <c r="AK3039">
        <v>0</v>
      </c>
      <c r="AL3039">
        <v>0</v>
      </c>
      <c r="AM3039">
        <v>10</v>
      </c>
      <c r="AN3039">
        <v>0</v>
      </c>
      <c r="AO3039">
        <v>108</v>
      </c>
      <c r="AP3039">
        <v>-10.8</v>
      </c>
      <c r="AQ3039">
        <v>0</v>
      </c>
      <c r="AS3039">
        <v>0</v>
      </c>
      <c r="AT3039">
        <v>0</v>
      </c>
      <c r="AU3039">
        <v>108</v>
      </c>
      <c r="AV3039">
        <v>-10.8</v>
      </c>
      <c r="AW3039">
        <v>0</v>
      </c>
      <c r="AY3039">
        <v>0</v>
      </c>
      <c r="AZ3039">
        <v>0</v>
      </c>
      <c r="BA3039">
        <v>75.040000000000006</v>
      </c>
      <c r="BC3039" t="str">
        <f>T("0000000000000")</f>
        <v>0000000000000</v>
      </c>
      <c r="BE3039" t="str">
        <f>T("9791162589724")</f>
        <v>9791162589724</v>
      </c>
      <c r="BF3039" t="str">
        <f>T("E784557")</f>
        <v>E784557</v>
      </c>
      <c r="BG3039" t="str">
        <f>T("판타지 웹소설 &gt; 퓨전 판타지")</f>
        <v>판타지 웹소설 &gt; 퓨전 판타지</v>
      </c>
    </row>
    <row r="3040" spans="1:59">
      <c r="A3040" t="s">
        <v>60</v>
      </c>
      <c r="B3040" s="1">
        <v>46131</v>
      </c>
      <c r="C3040">
        <v>2378009513</v>
      </c>
      <c r="D3040">
        <v>2378018009</v>
      </c>
      <c r="E3040" t="str">
        <f>T("문과라도 안 죄송한 이세계로 감 327화")</f>
        <v>문과라도 안 죄송한 이세계로 감 327화</v>
      </c>
      <c r="F3040">
        <v>327</v>
      </c>
      <c r="G3040" t="str">
        <f>T("정수읠")</f>
        <v>정수읠</v>
      </c>
      <c r="J3040" t="str">
        <f>T("매드햇")</f>
        <v>매드햇</v>
      </c>
      <c r="K3040" t="str">
        <f>T("문과라도 안 죄송한 이세계로 감")</f>
        <v>문과라도 안 죄송한 이세계로 감</v>
      </c>
      <c r="L3040">
        <v>100</v>
      </c>
      <c r="M3040">
        <v>100</v>
      </c>
      <c r="N3040">
        <v>1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0</v>
      </c>
      <c r="AH3040">
        <v>0</v>
      </c>
      <c r="AI3040">
        <v>100</v>
      </c>
      <c r="AJ3040">
        <v>1</v>
      </c>
      <c r="AK3040">
        <v>0</v>
      </c>
      <c r="AL3040">
        <v>0</v>
      </c>
      <c r="AM3040">
        <v>10</v>
      </c>
      <c r="AN3040">
        <v>0</v>
      </c>
      <c r="AO3040">
        <v>108</v>
      </c>
      <c r="AP3040">
        <v>-10.8</v>
      </c>
      <c r="AQ3040">
        <v>0</v>
      </c>
      <c r="AS3040">
        <v>0</v>
      </c>
      <c r="AT3040">
        <v>0</v>
      </c>
      <c r="AU3040">
        <v>108</v>
      </c>
      <c r="AV3040">
        <v>-10.8</v>
      </c>
      <c r="AW3040">
        <v>0</v>
      </c>
      <c r="AY3040">
        <v>0</v>
      </c>
      <c r="AZ3040">
        <v>0</v>
      </c>
      <c r="BA3040">
        <v>75.040000000000006</v>
      </c>
      <c r="BC3040" t="str">
        <f>T("0000000000000")</f>
        <v>0000000000000</v>
      </c>
      <c r="BE3040" t="str">
        <f>T("9791162589724")</f>
        <v>9791162589724</v>
      </c>
      <c r="BF3040" t="str">
        <f>T("E784558")</f>
        <v>E784558</v>
      </c>
      <c r="BG3040" t="str">
        <f>T("판타지 웹소설 &gt; 퓨전 판타지")</f>
        <v>판타지 웹소설 &gt; 퓨전 판타지</v>
      </c>
    </row>
    <row r="3041" spans="1:59">
      <c r="A3041" t="s">
        <v>60</v>
      </c>
      <c r="B3041" s="1">
        <v>46131</v>
      </c>
      <c r="C3041">
        <v>2378009513</v>
      </c>
      <c r="D3041">
        <v>2378018010</v>
      </c>
      <c r="E3041" t="str">
        <f>T("문과라도 안 죄송한 이세계로 감 328화")</f>
        <v>문과라도 안 죄송한 이세계로 감 328화</v>
      </c>
      <c r="F3041">
        <v>328</v>
      </c>
      <c r="G3041" t="str">
        <f>T("정수읠")</f>
        <v>정수읠</v>
      </c>
      <c r="J3041" t="str">
        <f>T("매드햇")</f>
        <v>매드햇</v>
      </c>
      <c r="K3041" t="str">
        <f>T("문과라도 안 죄송한 이세계로 감")</f>
        <v>문과라도 안 죄송한 이세계로 감</v>
      </c>
      <c r="L3041">
        <v>100</v>
      </c>
      <c r="M3041">
        <v>100</v>
      </c>
      <c r="N3041">
        <v>1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0</v>
      </c>
      <c r="AH3041">
        <v>0</v>
      </c>
      <c r="AI3041">
        <v>100</v>
      </c>
      <c r="AJ3041">
        <v>1</v>
      </c>
      <c r="AK3041">
        <v>0</v>
      </c>
      <c r="AL3041">
        <v>0</v>
      </c>
      <c r="AM3041">
        <v>10</v>
      </c>
      <c r="AN3041">
        <v>0</v>
      </c>
      <c r="AO3041">
        <v>108</v>
      </c>
      <c r="AP3041">
        <v>-10.8</v>
      </c>
      <c r="AQ3041">
        <v>0</v>
      </c>
      <c r="AS3041">
        <v>0</v>
      </c>
      <c r="AT3041">
        <v>0</v>
      </c>
      <c r="AU3041">
        <v>108</v>
      </c>
      <c r="AV3041">
        <v>-10.8</v>
      </c>
      <c r="AW3041">
        <v>0</v>
      </c>
      <c r="AY3041">
        <v>0</v>
      </c>
      <c r="AZ3041">
        <v>0</v>
      </c>
      <c r="BA3041">
        <v>75.040000000000006</v>
      </c>
      <c r="BC3041" t="str">
        <f>T("0000000000000")</f>
        <v>0000000000000</v>
      </c>
      <c r="BE3041" t="str">
        <f>T("9791162589724")</f>
        <v>9791162589724</v>
      </c>
      <c r="BF3041" t="str">
        <f>T("E784559")</f>
        <v>E784559</v>
      </c>
      <c r="BG3041" t="str">
        <f>T("판타지 웹소설 &gt; 퓨전 판타지")</f>
        <v>판타지 웹소설 &gt; 퓨전 판타지</v>
      </c>
    </row>
    <row r="3042" spans="1:59">
      <c r="A3042" t="s">
        <v>60</v>
      </c>
      <c r="B3042" s="1">
        <v>46131</v>
      </c>
      <c r="C3042">
        <v>2378009513</v>
      </c>
      <c r="D3042">
        <v>2378018011</v>
      </c>
      <c r="E3042" t="str">
        <f>T("문과라도 안 죄송한 이세계로 감 329화")</f>
        <v>문과라도 안 죄송한 이세계로 감 329화</v>
      </c>
      <c r="F3042">
        <v>329</v>
      </c>
      <c r="G3042" t="str">
        <f>T("정수읠")</f>
        <v>정수읠</v>
      </c>
      <c r="J3042" t="str">
        <f>T("매드햇")</f>
        <v>매드햇</v>
      </c>
      <c r="K3042" t="str">
        <f>T("문과라도 안 죄송한 이세계로 감")</f>
        <v>문과라도 안 죄송한 이세계로 감</v>
      </c>
      <c r="L3042">
        <v>100</v>
      </c>
      <c r="M3042">
        <v>100</v>
      </c>
      <c r="N3042">
        <v>1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0</v>
      </c>
      <c r="AH3042">
        <v>0</v>
      </c>
      <c r="AI3042">
        <v>100</v>
      </c>
      <c r="AJ3042">
        <v>1</v>
      </c>
      <c r="AK3042">
        <v>0</v>
      </c>
      <c r="AL3042">
        <v>0</v>
      </c>
      <c r="AM3042">
        <v>10</v>
      </c>
      <c r="AN3042">
        <v>0</v>
      </c>
      <c r="AO3042">
        <v>108</v>
      </c>
      <c r="AP3042">
        <v>-10.8</v>
      </c>
      <c r="AQ3042">
        <v>0</v>
      </c>
      <c r="AS3042">
        <v>0</v>
      </c>
      <c r="AT3042">
        <v>0</v>
      </c>
      <c r="AU3042">
        <v>108</v>
      </c>
      <c r="AV3042">
        <v>-10.8</v>
      </c>
      <c r="AW3042">
        <v>0</v>
      </c>
      <c r="AY3042">
        <v>0</v>
      </c>
      <c r="AZ3042">
        <v>0</v>
      </c>
      <c r="BA3042">
        <v>75.040000000000006</v>
      </c>
      <c r="BC3042" t="str">
        <f>T("0000000000000")</f>
        <v>0000000000000</v>
      </c>
      <c r="BE3042" t="str">
        <f>T("9791162589724")</f>
        <v>9791162589724</v>
      </c>
      <c r="BF3042" t="str">
        <f>T("E784560")</f>
        <v>E784560</v>
      </c>
      <c r="BG3042" t="str">
        <f>T("판타지 웹소설 &gt; 퓨전 판타지")</f>
        <v>판타지 웹소설 &gt; 퓨전 판타지</v>
      </c>
    </row>
    <row r="3043" spans="1:59">
      <c r="A3043" t="s">
        <v>60</v>
      </c>
      <c r="B3043" s="1">
        <v>46131</v>
      </c>
      <c r="C3043">
        <v>2378009513</v>
      </c>
      <c r="D3043">
        <v>2378018012</v>
      </c>
      <c r="E3043" t="str">
        <f>T("문과라도 안 죄송한 이세계로 감 330화")</f>
        <v>문과라도 안 죄송한 이세계로 감 330화</v>
      </c>
      <c r="F3043">
        <v>330</v>
      </c>
      <c r="G3043" t="str">
        <f>T("정수읠")</f>
        <v>정수읠</v>
      </c>
      <c r="J3043" t="str">
        <f>T("매드햇")</f>
        <v>매드햇</v>
      </c>
      <c r="K3043" t="str">
        <f>T("문과라도 안 죄송한 이세계로 감")</f>
        <v>문과라도 안 죄송한 이세계로 감</v>
      </c>
      <c r="L3043">
        <v>100</v>
      </c>
      <c r="M3043">
        <v>100</v>
      </c>
      <c r="N3043">
        <v>1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0</v>
      </c>
      <c r="AH3043">
        <v>0</v>
      </c>
      <c r="AI3043">
        <v>100</v>
      </c>
      <c r="AJ3043">
        <v>1</v>
      </c>
      <c r="AK3043">
        <v>0</v>
      </c>
      <c r="AL3043">
        <v>0</v>
      </c>
      <c r="AM3043">
        <v>10</v>
      </c>
      <c r="AN3043">
        <v>0</v>
      </c>
      <c r="AO3043">
        <v>108</v>
      </c>
      <c r="AP3043">
        <v>-10.8</v>
      </c>
      <c r="AQ3043">
        <v>0</v>
      </c>
      <c r="AS3043">
        <v>0</v>
      </c>
      <c r="AT3043">
        <v>0</v>
      </c>
      <c r="AU3043">
        <v>108</v>
      </c>
      <c r="AV3043">
        <v>-10.8</v>
      </c>
      <c r="AW3043">
        <v>0</v>
      </c>
      <c r="AY3043">
        <v>0</v>
      </c>
      <c r="AZ3043">
        <v>0</v>
      </c>
      <c r="BA3043">
        <v>75.040000000000006</v>
      </c>
      <c r="BC3043" t="str">
        <f>T("0000000000000")</f>
        <v>0000000000000</v>
      </c>
      <c r="BE3043" t="str">
        <f>T("9791162589724")</f>
        <v>9791162589724</v>
      </c>
      <c r="BF3043" t="str">
        <f>T("E784561")</f>
        <v>E784561</v>
      </c>
      <c r="BG3043" t="str">
        <f>T("판타지 웹소설 &gt; 퓨전 판타지")</f>
        <v>판타지 웹소설 &gt; 퓨전 판타지</v>
      </c>
    </row>
    <row r="3044" spans="1:59">
      <c r="A3044" t="s">
        <v>60</v>
      </c>
      <c r="B3044" s="1">
        <v>46131</v>
      </c>
      <c r="C3044">
        <v>2378009513</v>
      </c>
      <c r="D3044">
        <v>2378018013</v>
      </c>
      <c r="E3044" t="str">
        <f>T("문과라도 안 죄송한 이세계로 감 331화")</f>
        <v>문과라도 안 죄송한 이세계로 감 331화</v>
      </c>
      <c r="F3044">
        <v>331</v>
      </c>
      <c r="G3044" t="str">
        <f>T("정수읠")</f>
        <v>정수읠</v>
      </c>
      <c r="J3044" t="str">
        <f>T("매드햇")</f>
        <v>매드햇</v>
      </c>
      <c r="K3044" t="str">
        <f>T("문과라도 안 죄송한 이세계로 감")</f>
        <v>문과라도 안 죄송한 이세계로 감</v>
      </c>
      <c r="L3044">
        <v>100</v>
      </c>
      <c r="M3044">
        <v>100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0</v>
      </c>
      <c r="AH3044">
        <v>0</v>
      </c>
      <c r="AI3044">
        <v>100</v>
      </c>
      <c r="AJ3044">
        <v>1</v>
      </c>
      <c r="AK3044">
        <v>0</v>
      </c>
      <c r="AL3044">
        <v>0</v>
      </c>
      <c r="AM3044">
        <v>10</v>
      </c>
      <c r="AN3044">
        <v>0</v>
      </c>
      <c r="AO3044">
        <v>108</v>
      </c>
      <c r="AP3044">
        <v>-10.8</v>
      </c>
      <c r="AQ3044">
        <v>0</v>
      </c>
      <c r="AS3044">
        <v>0</v>
      </c>
      <c r="AT3044">
        <v>0</v>
      </c>
      <c r="AU3044">
        <v>108</v>
      </c>
      <c r="AV3044">
        <v>-10.8</v>
      </c>
      <c r="AW3044">
        <v>0</v>
      </c>
      <c r="AY3044">
        <v>0</v>
      </c>
      <c r="AZ3044">
        <v>0</v>
      </c>
      <c r="BA3044">
        <v>75.040000000000006</v>
      </c>
      <c r="BC3044" t="str">
        <f>T("0000000000000")</f>
        <v>0000000000000</v>
      </c>
      <c r="BE3044" t="str">
        <f>T("9791162589724")</f>
        <v>9791162589724</v>
      </c>
      <c r="BF3044" t="str">
        <f>T("E784562")</f>
        <v>E784562</v>
      </c>
      <c r="BG3044" t="str">
        <f>T("판타지 웹소설 &gt; 퓨전 판타지")</f>
        <v>판타지 웹소설 &gt; 퓨전 판타지</v>
      </c>
    </row>
    <row r="3045" spans="1:59">
      <c r="A3045" t="s">
        <v>60</v>
      </c>
      <c r="B3045" s="1">
        <v>46131</v>
      </c>
      <c r="C3045">
        <v>2378009513</v>
      </c>
      <c r="D3045">
        <v>2378018295</v>
      </c>
      <c r="E3045" t="str">
        <f>T("문과라도 안 죄송한 이세계로 감 332화")</f>
        <v>문과라도 안 죄송한 이세계로 감 332화</v>
      </c>
      <c r="F3045">
        <v>332</v>
      </c>
      <c r="G3045" t="str">
        <f>T("정수읠")</f>
        <v>정수읠</v>
      </c>
      <c r="J3045" t="str">
        <f>T("매드햇")</f>
        <v>매드햇</v>
      </c>
      <c r="K3045" t="str">
        <f>T("문과라도 안 죄송한 이세계로 감")</f>
        <v>문과라도 안 죄송한 이세계로 감</v>
      </c>
      <c r="L3045">
        <v>100</v>
      </c>
      <c r="M3045">
        <v>100</v>
      </c>
      <c r="N3045">
        <v>1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0</v>
      </c>
      <c r="AH3045">
        <v>0</v>
      </c>
      <c r="AI3045">
        <v>100</v>
      </c>
      <c r="AJ3045">
        <v>1</v>
      </c>
      <c r="AK3045">
        <v>0</v>
      </c>
      <c r="AL3045">
        <v>0</v>
      </c>
      <c r="AM3045">
        <v>10</v>
      </c>
      <c r="AN3045">
        <v>0</v>
      </c>
      <c r="AO3045">
        <v>108</v>
      </c>
      <c r="AP3045">
        <v>-10.8</v>
      </c>
      <c r="AQ3045">
        <v>0</v>
      </c>
      <c r="AS3045">
        <v>0</v>
      </c>
      <c r="AT3045">
        <v>0</v>
      </c>
      <c r="AU3045">
        <v>108</v>
      </c>
      <c r="AV3045">
        <v>-10.8</v>
      </c>
      <c r="AW3045">
        <v>0</v>
      </c>
      <c r="AY3045">
        <v>0</v>
      </c>
      <c r="AZ3045">
        <v>0</v>
      </c>
      <c r="BA3045">
        <v>75.040000000000006</v>
      </c>
      <c r="BC3045" t="str">
        <f>T("0000000000000")</f>
        <v>0000000000000</v>
      </c>
      <c r="BE3045" t="str">
        <f>T("9791162589724")</f>
        <v>9791162589724</v>
      </c>
      <c r="BF3045" t="str">
        <f>T("E788228")</f>
        <v>E788228</v>
      </c>
      <c r="BG3045" t="str">
        <f>T("판타지 웹소설 &gt; 퓨전 판타지")</f>
        <v>판타지 웹소설 &gt; 퓨전 판타지</v>
      </c>
    </row>
    <row r="3046" spans="1:59">
      <c r="A3046" t="s">
        <v>60</v>
      </c>
      <c r="B3046" s="1">
        <v>46131</v>
      </c>
      <c r="C3046">
        <v>2378009513</v>
      </c>
      <c r="D3046">
        <v>2378018431</v>
      </c>
      <c r="E3046" t="str">
        <f>T("문과라도 안 죄송한 이세계로 감 333화")</f>
        <v>문과라도 안 죄송한 이세계로 감 333화</v>
      </c>
      <c r="F3046">
        <v>333</v>
      </c>
      <c r="G3046" t="str">
        <f>T("정수읠")</f>
        <v>정수읠</v>
      </c>
      <c r="J3046" t="str">
        <f>T("매드햇")</f>
        <v>매드햇</v>
      </c>
      <c r="K3046" t="str">
        <f>T("문과라도 안 죄송한 이세계로 감")</f>
        <v>문과라도 안 죄송한 이세계로 감</v>
      </c>
      <c r="L3046">
        <v>100</v>
      </c>
      <c r="M3046">
        <v>100</v>
      </c>
      <c r="N3046">
        <v>1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0</v>
      </c>
      <c r="AH3046">
        <v>0</v>
      </c>
      <c r="AI3046">
        <v>100</v>
      </c>
      <c r="AJ3046">
        <v>1</v>
      </c>
      <c r="AK3046">
        <v>0</v>
      </c>
      <c r="AL3046">
        <v>0</v>
      </c>
      <c r="AM3046">
        <v>10</v>
      </c>
      <c r="AN3046">
        <v>0</v>
      </c>
      <c r="AO3046">
        <v>108</v>
      </c>
      <c r="AP3046">
        <v>-10.8</v>
      </c>
      <c r="AQ3046">
        <v>0</v>
      </c>
      <c r="AS3046">
        <v>0</v>
      </c>
      <c r="AT3046">
        <v>0</v>
      </c>
      <c r="AU3046">
        <v>108</v>
      </c>
      <c r="AV3046">
        <v>-10.8</v>
      </c>
      <c r="AW3046">
        <v>0</v>
      </c>
      <c r="AY3046">
        <v>0</v>
      </c>
      <c r="AZ3046">
        <v>0</v>
      </c>
      <c r="BA3046">
        <v>75.040000000000006</v>
      </c>
      <c r="BC3046" t="str">
        <f>T("0000000000000")</f>
        <v>0000000000000</v>
      </c>
      <c r="BE3046" t="str">
        <f>T("9791162589724")</f>
        <v>9791162589724</v>
      </c>
      <c r="BF3046" t="str">
        <f>T("E788229")</f>
        <v>E788229</v>
      </c>
      <c r="BG3046" t="str">
        <f>T("판타지 웹소설 &gt; 퓨전 판타지")</f>
        <v>판타지 웹소설 &gt; 퓨전 판타지</v>
      </c>
    </row>
    <row r="3047" spans="1:59">
      <c r="A3047" t="s">
        <v>60</v>
      </c>
      <c r="B3047" s="1">
        <v>46131</v>
      </c>
      <c r="C3047">
        <v>2378009513</v>
      </c>
      <c r="D3047">
        <v>2378018885</v>
      </c>
      <c r="E3047" t="str">
        <f>T("문과라도 안 죄송한 이세계로 감 334화")</f>
        <v>문과라도 안 죄송한 이세계로 감 334화</v>
      </c>
      <c r="F3047">
        <v>334</v>
      </c>
      <c r="G3047" t="str">
        <f>T("정수읠")</f>
        <v>정수읠</v>
      </c>
      <c r="J3047" t="str">
        <f>T("매드햇")</f>
        <v>매드햇</v>
      </c>
      <c r="K3047" t="str">
        <f>T("문과라도 안 죄송한 이세계로 감")</f>
        <v>문과라도 안 죄송한 이세계로 감</v>
      </c>
      <c r="L3047">
        <v>100</v>
      </c>
      <c r="M3047">
        <v>100</v>
      </c>
      <c r="N3047">
        <v>1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0</v>
      </c>
      <c r="AH3047">
        <v>0</v>
      </c>
      <c r="AI3047">
        <v>100</v>
      </c>
      <c r="AJ3047">
        <v>1</v>
      </c>
      <c r="AK3047">
        <v>0</v>
      </c>
      <c r="AL3047">
        <v>0</v>
      </c>
      <c r="AM3047">
        <v>10</v>
      </c>
      <c r="AN3047">
        <v>0</v>
      </c>
      <c r="AO3047">
        <v>108</v>
      </c>
      <c r="AP3047">
        <v>-10.8</v>
      </c>
      <c r="AQ3047">
        <v>0</v>
      </c>
      <c r="AS3047">
        <v>0</v>
      </c>
      <c r="AT3047">
        <v>0</v>
      </c>
      <c r="AU3047">
        <v>108</v>
      </c>
      <c r="AV3047">
        <v>-10.8</v>
      </c>
      <c r="AW3047">
        <v>0</v>
      </c>
      <c r="AY3047">
        <v>0</v>
      </c>
      <c r="AZ3047">
        <v>0</v>
      </c>
      <c r="BA3047">
        <v>75.040000000000006</v>
      </c>
      <c r="BC3047" t="str">
        <f>T("0000000000000")</f>
        <v>0000000000000</v>
      </c>
      <c r="BE3047" t="str">
        <f>T("9791162589724")</f>
        <v>9791162589724</v>
      </c>
      <c r="BF3047" t="str">
        <f>T("E788230")</f>
        <v>E788230</v>
      </c>
      <c r="BG3047" t="str">
        <f>T("판타지 웹소설 &gt; 퓨전 판타지")</f>
        <v>판타지 웹소설 &gt; 퓨전 판타지</v>
      </c>
    </row>
    <row r="3048" spans="1:59">
      <c r="A3048" t="s">
        <v>60</v>
      </c>
      <c r="B3048" s="1">
        <v>46131</v>
      </c>
      <c r="C3048">
        <v>2378009513</v>
      </c>
      <c r="D3048">
        <v>2378019280</v>
      </c>
      <c r="E3048" t="str">
        <f>T("문과라도 안 죄송한 이세계로 감 335화")</f>
        <v>문과라도 안 죄송한 이세계로 감 335화</v>
      </c>
      <c r="F3048">
        <v>335</v>
      </c>
      <c r="G3048" t="str">
        <f>T("정수읠")</f>
        <v>정수읠</v>
      </c>
      <c r="J3048" t="str">
        <f>T("매드햇")</f>
        <v>매드햇</v>
      </c>
      <c r="K3048" t="str">
        <f>T("문과라도 안 죄송한 이세계로 감")</f>
        <v>문과라도 안 죄송한 이세계로 감</v>
      </c>
      <c r="L3048">
        <v>100</v>
      </c>
      <c r="M3048">
        <v>100</v>
      </c>
      <c r="N3048">
        <v>1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0</v>
      </c>
      <c r="AH3048">
        <v>0</v>
      </c>
      <c r="AI3048">
        <v>100</v>
      </c>
      <c r="AJ3048">
        <v>1</v>
      </c>
      <c r="AK3048">
        <v>0</v>
      </c>
      <c r="AL3048">
        <v>0</v>
      </c>
      <c r="AM3048">
        <v>10</v>
      </c>
      <c r="AN3048">
        <v>0</v>
      </c>
      <c r="AO3048">
        <v>108</v>
      </c>
      <c r="AP3048">
        <v>-10.8</v>
      </c>
      <c r="AQ3048">
        <v>0</v>
      </c>
      <c r="AS3048">
        <v>0</v>
      </c>
      <c r="AT3048">
        <v>0</v>
      </c>
      <c r="AU3048">
        <v>108</v>
      </c>
      <c r="AV3048">
        <v>-10.8</v>
      </c>
      <c r="AW3048">
        <v>0</v>
      </c>
      <c r="AY3048">
        <v>0</v>
      </c>
      <c r="AZ3048">
        <v>0</v>
      </c>
      <c r="BA3048">
        <v>75.040000000000006</v>
      </c>
      <c r="BC3048" t="str">
        <f>T("0000000000000")</f>
        <v>0000000000000</v>
      </c>
      <c r="BE3048" t="str">
        <f>T("9791162589724")</f>
        <v>9791162589724</v>
      </c>
      <c r="BF3048" t="str">
        <f>T("E788231")</f>
        <v>E788231</v>
      </c>
      <c r="BG3048" t="str">
        <f>T("판타지 웹소설 &gt; 퓨전 판타지")</f>
        <v>판타지 웹소설 &gt; 퓨전 판타지</v>
      </c>
    </row>
    <row r="3049" spans="1:59">
      <c r="A3049" t="s">
        <v>60</v>
      </c>
      <c r="B3049" s="1">
        <v>46131</v>
      </c>
      <c r="C3049">
        <v>2378009513</v>
      </c>
      <c r="D3049">
        <v>2378024518</v>
      </c>
      <c r="E3049" t="str">
        <f>T("문과라도 안 죄송한 이세계로 감 336화")</f>
        <v>문과라도 안 죄송한 이세계로 감 336화</v>
      </c>
      <c r="F3049">
        <v>336</v>
      </c>
      <c r="G3049" t="str">
        <f>T("정수읠")</f>
        <v>정수읠</v>
      </c>
      <c r="J3049" t="str">
        <f>T("매드햇")</f>
        <v>매드햇</v>
      </c>
      <c r="K3049" t="str">
        <f>T("문과라도 안 죄송한 이세계로 감")</f>
        <v>문과라도 안 죄송한 이세계로 감</v>
      </c>
      <c r="L3049">
        <v>100</v>
      </c>
      <c r="M3049">
        <v>100</v>
      </c>
      <c r="N3049">
        <v>1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0</v>
      </c>
      <c r="AH3049">
        <v>0</v>
      </c>
      <c r="AI3049">
        <v>100</v>
      </c>
      <c r="AJ3049">
        <v>1</v>
      </c>
      <c r="AK3049">
        <v>0</v>
      </c>
      <c r="AL3049">
        <v>0</v>
      </c>
      <c r="AM3049">
        <v>10</v>
      </c>
      <c r="AN3049">
        <v>0</v>
      </c>
      <c r="AO3049">
        <v>108</v>
      </c>
      <c r="AP3049">
        <v>-10.8</v>
      </c>
      <c r="AQ3049">
        <v>0</v>
      </c>
      <c r="AS3049">
        <v>0</v>
      </c>
      <c r="AT3049">
        <v>0</v>
      </c>
      <c r="AU3049">
        <v>108</v>
      </c>
      <c r="AV3049">
        <v>-10.8</v>
      </c>
      <c r="AW3049">
        <v>0</v>
      </c>
      <c r="AY3049">
        <v>0</v>
      </c>
      <c r="AZ3049">
        <v>0</v>
      </c>
      <c r="BA3049">
        <v>75.040000000000006</v>
      </c>
      <c r="BC3049" t="str">
        <f>T("0000000000000")</f>
        <v>0000000000000</v>
      </c>
      <c r="BE3049" t="str">
        <f>T("9791162589724")</f>
        <v>9791162589724</v>
      </c>
      <c r="BF3049" t="str">
        <f>T("E814276")</f>
        <v>E814276</v>
      </c>
      <c r="BG3049" t="str">
        <f>T("판타지 웹소설 &gt; 퓨전 판타지")</f>
        <v>판타지 웹소설 &gt; 퓨전 판타지</v>
      </c>
    </row>
    <row r="3050" spans="1:59">
      <c r="A3050" t="s">
        <v>60</v>
      </c>
      <c r="B3050" s="1">
        <v>46131</v>
      </c>
      <c r="C3050">
        <v>2378009513</v>
      </c>
      <c r="D3050">
        <v>2378024550</v>
      </c>
      <c r="E3050" t="str">
        <f>T("문과라도 안 죄송한 이세계로 감 337화")</f>
        <v>문과라도 안 죄송한 이세계로 감 337화</v>
      </c>
      <c r="F3050">
        <v>337</v>
      </c>
      <c r="G3050" t="str">
        <f>T("정수읠")</f>
        <v>정수읠</v>
      </c>
      <c r="J3050" t="str">
        <f>T("매드햇")</f>
        <v>매드햇</v>
      </c>
      <c r="K3050" t="str">
        <f>T("문과라도 안 죄송한 이세계로 감")</f>
        <v>문과라도 안 죄송한 이세계로 감</v>
      </c>
      <c r="L3050">
        <v>100</v>
      </c>
      <c r="M3050">
        <v>100</v>
      </c>
      <c r="N3050">
        <v>1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0</v>
      </c>
      <c r="AH3050">
        <v>0</v>
      </c>
      <c r="AI3050">
        <v>100</v>
      </c>
      <c r="AJ3050">
        <v>1</v>
      </c>
      <c r="AK3050">
        <v>0</v>
      </c>
      <c r="AL3050">
        <v>0</v>
      </c>
      <c r="AM3050">
        <v>10</v>
      </c>
      <c r="AN3050">
        <v>0</v>
      </c>
      <c r="AO3050">
        <v>108</v>
      </c>
      <c r="AP3050">
        <v>-10.8</v>
      </c>
      <c r="AQ3050">
        <v>0</v>
      </c>
      <c r="AS3050">
        <v>0</v>
      </c>
      <c r="AT3050">
        <v>0</v>
      </c>
      <c r="AU3050">
        <v>108</v>
      </c>
      <c r="AV3050">
        <v>-10.8</v>
      </c>
      <c r="AW3050">
        <v>0</v>
      </c>
      <c r="AY3050">
        <v>0</v>
      </c>
      <c r="AZ3050">
        <v>0</v>
      </c>
      <c r="BA3050">
        <v>75.040000000000006</v>
      </c>
      <c r="BC3050" t="str">
        <f>T("0000000000000")</f>
        <v>0000000000000</v>
      </c>
      <c r="BE3050" t="str">
        <f>T("9791162589724")</f>
        <v>9791162589724</v>
      </c>
      <c r="BF3050" t="str">
        <f>T("E814277")</f>
        <v>E814277</v>
      </c>
      <c r="BG3050" t="str">
        <f>T("판타지 웹소설 &gt; 퓨전 판타지")</f>
        <v>판타지 웹소설 &gt; 퓨전 판타지</v>
      </c>
    </row>
    <row r="3051" spans="1:59">
      <c r="A3051" t="s">
        <v>60</v>
      </c>
      <c r="B3051" s="1">
        <v>46131</v>
      </c>
      <c r="C3051">
        <v>2378009513</v>
      </c>
      <c r="D3051">
        <v>2378024565</v>
      </c>
      <c r="E3051" t="str">
        <f>T("문과라도 안 죄송한 이세계로 감 338화")</f>
        <v>문과라도 안 죄송한 이세계로 감 338화</v>
      </c>
      <c r="F3051">
        <v>338</v>
      </c>
      <c r="G3051" t="str">
        <f>T("정수읠")</f>
        <v>정수읠</v>
      </c>
      <c r="J3051" t="str">
        <f>T("매드햇")</f>
        <v>매드햇</v>
      </c>
      <c r="K3051" t="str">
        <f>T("문과라도 안 죄송한 이세계로 감")</f>
        <v>문과라도 안 죄송한 이세계로 감</v>
      </c>
      <c r="L3051">
        <v>100</v>
      </c>
      <c r="M3051">
        <v>100</v>
      </c>
      <c r="N3051">
        <v>1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0</v>
      </c>
      <c r="AH3051">
        <v>0</v>
      </c>
      <c r="AI3051">
        <v>100</v>
      </c>
      <c r="AJ3051">
        <v>1</v>
      </c>
      <c r="AK3051">
        <v>0</v>
      </c>
      <c r="AL3051">
        <v>0</v>
      </c>
      <c r="AM3051">
        <v>10</v>
      </c>
      <c r="AN3051">
        <v>0</v>
      </c>
      <c r="AO3051">
        <v>108</v>
      </c>
      <c r="AP3051">
        <v>-10.8</v>
      </c>
      <c r="AQ3051">
        <v>0</v>
      </c>
      <c r="AS3051">
        <v>0</v>
      </c>
      <c r="AT3051">
        <v>0</v>
      </c>
      <c r="AU3051">
        <v>108</v>
      </c>
      <c r="AV3051">
        <v>-10.8</v>
      </c>
      <c r="AW3051">
        <v>0</v>
      </c>
      <c r="AY3051">
        <v>0</v>
      </c>
      <c r="AZ3051">
        <v>0</v>
      </c>
      <c r="BA3051">
        <v>75.040000000000006</v>
      </c>
      <c r="BC3051" t="str">
        <f>T("0000000000000")</f>
        <v>0000000000000</v>
      </c>
      <c r="BE3051" t="str">
        <f>T("9791162589724")</f>
        <v>9791162589724</v>
      </c>
      <c r="BF3051" t="str">
        <f>T("E814278")</f>
        <v>E814278</v>
      </c>
      <c r="BG3051" t="str">
        <f>T("판타지 웹소설 &gt; 퓨전 판타지")</f>
        <v>판타지 웹소설 &gt; 퓨전 판타지</v>
      </c>
    </row>
    <row r="3052" spans="1:59">
      <c r="A3052" t="s">
        <v>60</v>
      </c>
      <c r="B3052" s="1">
        <v>46131</v>
      </c>
      <c r="C3052">
        <v>2378009513</v>
      </c>
      <c r="D3052">
        <v>2378024600</v>
      </c>
      <c r="E3052" t="str">
        <f>T("문과라도 안 죄송한 이세계로 감 339화")</f>
        <v>문과라도 안 죄송한 이세계로 감 339화</v>
      </c>
      <c r="F3052">
        <v>339</v>
      </c>
      <c r="G3052" t="str">
        <f>T("정수읠")</f>
        <v>정수읠</v>
      </c>
      <c r="J3052" t="str">
        <f>T("매드햇")</f>
        <v>매드햇</v>
      </c>
      <c r="K3052" t="str">
        <f>T("문과라도 안 죄송한 이세계로 감")</f>
        <v>문과라도 안 죄송한 이세계로 감</v>
      </c>
      <c r="L3052">
        <v>100</v>
      </c>
      <c r="M3052">
        <v>100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0</v>
      </c>
      <c r="AH3052">
        <v>0</v>
      </c>
      <c r="AI3052">
        <v>100</v>
      </c>
      <c r="AJ3052">
        <v>1</v>
      </c>
      <c r="AK3052">
        <v>0</v>
      </c>
      <c r="AL3052">
        <v>0</v>
      </c>
      <c r="AM3052">
        <v>10</v>
      </c>
      <c r="AN3052">
        <v>0</v>
      </c>
      <c r="AO3052">
        <v>108</v>
      </c>
      <c r="AP3052">
        <v>-10.8</v>
      </c>
      <c r="AQ3052">
        <v>0</v>
      </c>
      <c r="AS3052">
        <v>0</v>
      </c>
      <c r="AT3052">
        <v>0</v>
      </c>
      <c r="AU3052">
        <v>108</v>
      </c>
      <c r="AV3052">
        <v>-10.8</v>
      </c>
      <c r="AW3052">
        <v>0</v>
      </c>
      <c r="AY3052">
        <v>0</v>
      </c>
      <c r="AZ3052">
        <v>0</v>
      </c>
      <c r="BA3052">
        <v>75.040000000000006</v>
      </c>
      <c r="BC3052" t="str">
        <f>T("0000000000000")</f>
        <v>0000000000000</v>
      </c>
      <c r="BE3052" t="str">
        <f>T("9791162589724")</f>
        <v>9791162589724</v>
      </c>
      <c r="BF3052" t="str">
        <f>T("E816980")</f>
        <v>E816980</v>
      </c>
      <c r="BG3052" t="str">
        <f>T("판타지 웹소설 &gt; 퓨전 판타지")</f>
        <v>판타지 웹소설 &gt; 퓨전 판타지</v>
      </c>
    </row>
    <row r="3053" spans="1:59">
      <c r="A3053" t="s">
        <v>60</v>
      </c>
      <c r="B3053" s="1">
        <v>46131</v>
      </c>
      <c r="C3053">
        <v>2378009513</v>
      </c>
      <c r="D3053">
        <v>2378024601</v>
      </c>
      <c r="E3053" t="str">
        <f>T("문과라도 안 죄송한 이세계로 감 340화")</f>
        <v>문과라도 안 죄송한 이세계로 감 340화</v>
      </c>
      <c r="F3053">
        <v>340</v>
      </c>
      <c r="G3053" t="str">
        <f>T("정수읠")</f>
        <v>정수읠</v>
      </c>
      <c r="J3053" t="str">
        <f>T("매드햇")</f>
        <v>매드햇</v>
      </c>
      <c r="K3053" t="str">
        <f>T("문과라도 안 죄송한 이세계로 감")</f>
        <v>문과라도 안 죄송한 이세계로 감</v>
      </c>
      <c r="L3053">
        <v>100</v>
      </c>
      <c r="M3053">
        <v>100</v>
      </c>
      <c r="N3053">
        <v>1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0</v>
      </c>
      <c r="AH3053">
        <v>0</v>
      </c>
      <c r="AI3053">
        <v>100</v>
      </c>
      <c r="AJ3053">
        <v>1</v>
      </c>
      <c r="AK3053">
        <v>0</v>
      </c>
      <c r="AL3053">
        <v>0</v>
      </c>
      <c r="AM3053">
        <v>10</v>
      </c>
      <c r="AN3053">
        <v>0</v>
      </c>
      <c r="AO3053">
        <v>108</v>
      </c>
      <c r="AP3053">
        <v>-10.8</v>
      </c>
      <c r="AQ3053">
        <v>0</v>
      </c>
      <c r="AS3053">
        <v>0</v>
      </c>
      <c r="AT3053">
        <v>0</v>
      </c>
      <c r="AU3053">
        <v>108</v>
      </c>
      <c r="AV3053">
        <v>-10.8</v>
      </c>
      <c r="AW3053">
        <v>0</v>
      </c>
      <c r="AY3053">
        <v>0</v>
      </c>
      <c r="AZ3053">
        <v>0</v>
      </c>
      <c r="BA3053">
        <v>75.040000000000006</v>
      </c>
      <c r="BC3053" t="str">
        <f>T("0000000000000")</f>
        <v>0000000000000</v>
      </c>
      <c r="BE3053" t="str">
        <f>T("9791162589724")</f>
        <v>9791162589724</v>
      </c>
      <c r="BF3053" t="str">
        <f>T("E816981")</f>
        <v>E816981</v>
      </c>
      <c r="BG3053" t="str">
        <f>T("판타지 웹소설 &gt; 퓨전 판타지")</f>
        <v>판타지 웹소설 &gt; 퓨전 판타지</v>
      </c>
    </row>
    <row r="3054" spans="1:59">
      <c r="A3054" t="s">
        <v>60</v>
      </c>
      <c r="B3054" s="1">
        <v>46131</v>
      </c>
      <c r="C3054">
        <v>2378009513</v>
      </c>
      <c r="D3054">
        <v>2378024602</v>
      </c>
      <c r="E3054" t="str">
        <f>T("문과라도 안 죄송한 이세계로 감 341화")</f>
        <v>문과라도 안 죄송한 이세계로 감 341화</v>
      </c>
      <c r="F3054">
        <v>341</v>
      </c>
      <c r="G3054" t="str">
        <f>T("정수읠")</f>
        <v>정수읠</v>
      </c>
      <c r="J3054" t="str">
        <f>T("매드햇")</f>
        <v>매드햇</v>
      </c>
      <c r="K3054" t="str">
        <f>T("문과라도 안 죄송한 이세계로 감")</f>
        <v>문과라도 안 죄송한 이세계로 감</v>
      </c>
      <c r="L3054">
        <v>100</v>
      </c>
      <c r="M3054">
        <v>100</v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0</v>
      </c>
      <c r="AH3054">
        <v>0</v>
      </c>
      <c r="AI3054">
        <v>100</v>
      </c>
      <c r="AJ3054">
        <v>1</v>
      </c>
      <c r="AK3054">
        <v>0</v>
      </c>
      <c r="AL3054">
        <v>0</v>
      </c>
      <c r="AM3054">
        <v>10</v>
      </c>
      <c r="AN3054">
        <v>0</v>
      </c>
      <c r="AO3054">
        <v>108</v>
      </c>
      <c r="AP3054">
        <v>-10.8</v>
      </c>
      <c r="AQ3054">
        <v>0</v>
      </c>
      <c r="AS3054">
        <v>0</v>
      </c>
      <c r="AT3054">
        <v>0</v>
      </c>
      <c r="AU3054">
        <v>108</v>
      </c>
      <c r="AV3054">
        <v>-10.8</v>
      </c>
      <c r="AW3054">
        <v>0</v>
      </c>
      <c r="AY3054">
        <v>0</v>
      </c>
      <c r="AZ3054">
        <v>0</v>
      </c>
      <c r="BA3054">
        <v>75.040000000000006</v>
      </c>
      <c r="BC3054" t="str">
        <f>T("0000000000000")</f>
        <v>0000000000000</v>
      </c>
      <c r="BE3054" t="str">
        <f>T("9791162589724")</f>
        <v>9791162589724</v>
      </c>
      <c r="BF3054" t="str">
        <f>T("E816982")</f>
        <v>E816982</v>
      </c>
      <c r="BG3054" t="str">
        <f>T("판타지 웹소설 &gt; 퓨전 판타지")</f>
        <v>판타지 웹소설 &gt; 퓨전 판타지</v>
      </c>
    </row>
    <row r="3055" spans="1:59">
      <c r="A3055" t="s">
        <v>60</v>
      </c>
      <c r="B3055" s="1">
        <v>46131</v>
      </c>
      <c r="C3055">
        <v>2378009513</v>
      </c>
      <c r="D3055">
        <v>2378024700</v>
      </c>
      <c r="E3055" t="str">
        <f>T("문과라도 안 죄송한 이세계로 감 342화")</f>
        <v>문과라도 안 죄송한 이세계로 감 342화</v>
      </c>
      <c r="F3055">
        <v>342</v>
      </c>
      <c r="G3055" t="str">
        <f>T("정수읠")</f>
        <v>정수읠</v>
      </c>
      <c r="J3055" t="str">
        <f>T("매드햇")</f>
        <v>매드햇</v>
      </c>
      <c r="K3055" t="str">
        <f>T("문과라도 안 죄송한 이세계로 감")</f>
        <v>문과라도 안 죄송한 이세계로 감</v>
      </c>
      <c r="L3055">
        <v>100</v>
      </c>
      <c r="M3055">
        <v>100</v>
      </c>
      <c r="N3055">
        <v>1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0</v>
      </c>
      <c r="AH3055">
        <v>0</v>
      </c>
      <c r="AI3055">
        <v>100</v>
      </c>
      <c r="AJ3055">
        <v>1</v>
      </c>
      <c r="AK3055">
        <v>0</v>
      </c>
      <c r="AL3055">
        <v>0</v>
      </c>
      <c r="AM3055">
        <v>10</v>
      </c>
      <c r="AN3055">
        <v>0</v>
      </c>
      <c r="AO3055">
        <v>108</v>
      </c>
      <c r="AP3055">
        <v>-10.8</v>
      </c>
      <c r="AQ3055">
        <v>0</v>
      </c>
      <c r="AS3055">
        <v>0</v>
      </c>
      <c r="AT3055">
        <v>0</v>
      </c>
      <c r="AU3055">
        <v>108</v>
      </c>
      <c r="AV3055">
        <v>-10.8</v>
      </c>
      <c r="AW3055">
        <v>0</v>
      </c>
      <c r="AY3055">
        <v>0</v>
      </c>
      <c r="AZ3055">
        <v>0</v>
      </c>
      <c r="BA3055">
        <v>75.040000000000006</v>
      </c>
      <c r="BC3055" t="str">
        <f>T("0000000000000")</f>
        <v>0000000000000</v>
      </c>
      <c r="BE3055" t="str">
        <f>T("9791162589724")</f>
        <v>9791162589724</v>
      </c>
      <c r="BF3055" t="str">
        <f>T("E817007")</f>
        <v>E817007</v>
      </c>
      <c r="BG3055" t="str">
        <f>T("판타지 웹소설 &gt; 퓨전 판타지")</f>
        <v>판타지 웹소설 &gt; 퓨전 판타지</v>
      </c>
    </row>
    <row r="3056" spans="1:59">
      <c r="A3056" t="s">
        <v>60</v>
      </c>
      <c r="B3056" s="1">
        <v>46131</v>
      </c>
      <c r="C3056">
        <v>2378009513</v>
      </c>
      <c r="D3056">
        <v>2378024725</v>
      </c>
      <c r="E3056" t="str">
        <f>T("문과라도 안 죄송한 이세계로 감 343화")</f>
        <v>문과라도 안 죄송한 이세계로 감 343화</v>
      </c>
      <c r="F3056">
        <v>343</v>
      </c>
      <c r="G3056" t="str">
        <f>T("정수읠")</f>
        <v>정수읠</v>
      </c>
      <c r="J3056" t="str">
        <f>T("매드햇")</f>
        <v>매드햇</v>
      </c>
      <c r="K3056" t="str">
        <f>T("문과라도 안 죄송한 이세계로 감")</f>
        <v>문과라도 안 죄송한 이세계로 감</v>
      </c>
      <c r="L3056">
        <v>100</v>
      </c>
      <c r="M3056">
        <v>100</v>
      </c>
      <c r="N3056">
        <v>1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0</v>
      </c>
      <c r="AH3056">
        <v>0</v>
      </c>
      <c r="AI3056">
        <v>100</v>
      </c>
      <c r="AJ3056">
        <v>1</v>
      </c>
      <c r="AK3056">
        <v>0</v>
      </c>
      <c r="AL3056">
        <v>0</v>
      </c>
      <c r="AM3056">
        <v>10</v>
      </c>
      <c r="AN3056">
        <v>0</v>
      </c>
      <c r="AO3056">
        <v>108</v>
      </c>
      <c r="AP3056">
        <v>-10.8</v>
      </c>
      <c r="AQ3056">
        <v>0</v>
      </c>
      <c r="AS3056">
        <v>0</v>
      </c>
      <c r="AT3056">
        <v>0</v>
      </c>
      <c r="AU3056">
        <v>108</v>
      </c>
      <c r="AV3056">
        <v>-10.8</v>
      </c>
      <c r="AW3056">
        <v>0</v>
      </c>
      <c r="AY3056">
        <v>0</v>
      </c>
      <c r="AZ3056">
        <v>0</v>
      </c>
      <c r="BA3056">
        <v>75.040000000000006</v>
      </c>
      <c r="BC3056" t="str">
        <f>T("0000000000000")</f>
        <v>0000000000000</v>
      </c>
      <c r="BE3056" t="str">
        <f>T("9791162589724")</f>
        <v>9791162589724</v>
      </c>
      <c r="BF3056" t="str">
        <f>T("E817008")</f>
        <v>E817008</v>
      </c>
      <c r="BG3056" t="str">
        <f>T("판타지 웹소설 &gt; 퓨전 판타지")</f>
        <v>판타지 웹소설 &gt; 퓨전 판타지</v>
      </c>
    </row>
    <row r="3057" spans="1:59">
      <c r="A3057" t="s">
        <v>60</v>
      </c>
      <c r="B3057" s="1">
        <v>46131</v>
      </c>
      <c r="C3057">
        <v>2378009513</v>
      </c>
      <c r="D3057">
        <v>2378024750</v>
      </c>
      <c r="E3057" t="str">
        <f>T("문과라도 안 죄송한 이세계로 감 344화")</f>
        <v>문과라도 안 죄송한 이세계로 감 344화</v>
      </c>
      <c r="F3057">
        <v>344</v>
      </c>
      <c r="G3057" t="str">
        <f>T("정수읠")</f>
        <v>정수읠</v>
      </c>
      <c r="J3057" t="str">
        <f>T("매드햇")</f>
        <v>매드햇</v>
      </c>
      <c r="K3057" t="str">
        <f>T("문과라도 안 죄송한 이세계로 감")</f>
        <v>문과라도 안 죄송한 이세계로 감</v>
      </c>
      <c r="L3057">
        <v>100</v>
      </c>
      <c r="M3057">
        <v>100</v>
      </c>
      <c r="N3057">
        <v>1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0</v>
      </c>
      <c r="AH3057">
        <v>0</v>
      </c>
      <c r="AI3057">
        <v>100</v>
      </c>
      <c r="AJ3057">
        <v>1</v>
      </c>
      <c r="AK3057">
        <v>0</v>
      </c>
      <c r="AL3057">
        <v>0</v>
      </c>
      <c r="AM3057">
        <v>10</v>
      </c>
      <c r="AN3057">
        <v>0</v>
      </c>
      <c r="AO3057">
        <v>108</v>
      </c>
      <c r="AP3057">
        <v>-10.8</v>
      </c>
      <c r="AQ3057">
        <v>0</v>
      </c>
      <c r="AS3057">
        <v>0</v>
      </c>
      <c r="AT3057">
        <v>0</v>
      </c>
      <c r="AU3057">
        <v>108</v>
      </c>
      <c r="AV3057">
        <v>-10.8</v>
      </c>
      <c r="AW3057">
        <v>0</v>
      </c>
      <c r="AY3057">
        <v>0</v>
      </c>
      <c r="AZ3057">
        <v>0</v>
      </c>
      <c r="BA3057">
        <v>75.040000000000006</v>
      </c>
      <c r="BC3057" t="str">
        <f>T("0000000000000")</f>
        <v>0000000000000</v>
      </c>
      <c r="BE3057" t="str">
        <f>T("9791162589724")</f>
        <v>9791162589724</v>
      </c>
      <c r="BF3057" t="str">
        <f>T("E817009")</f>
        <v>E817009</v>
      </c>
      <c r="BG3057" t="str">
        <f>T("판타지 웹소설 &gt; 퓨전 판타지")</f>
        <v>판타지 웹소설 &gt; 퓨전 판타지</v>
      </c>
    </row>
    <row r="3058" spans="1:59">
      <c r="A3058" t="s">
        <v>60</v>
      </c>
      <c r="B3058" s="1">
        <v>46131</v>
      </c>
      <c r="C3058">
        <v>2378009513</v>
      </c>
      <c r="D3058">
        <v>2378024826</v>
      </c>
      <c r="E3058" t="str">
        <f>T("문과라도 안 죄송한 이세계로 감 345화")</f>
        <v>문과라도 안 죄송한 이세계로 감 345화</v>
      </c>
      <c r="F3058">
        <v>345</v>
      </c>
      <c r="G3058" t="str">
        <f>T("정수읠")</f>
        <v>정수읠</v>
      </c>
      <c r="J3058" t="str">
        <f>T("매드햇")</f>
        <v>매드햇</v>
      </c>
      <c r="K3058" t="str">
        <f>T("문과라도 안 죄송한 이세계로 감")</f>
        <v>문과라도 안 죄송한 이세계로 감</v>
      </c>
      <c r="L3058">
        <v>100</v>
      </c>
      <c r="M3058">
        <v>100</v>
      </c>
      <c r="N3058">
        <v>1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0</v>
      </c>
      <c r="AH3058">
        <v>0</v>
      </c>
      <c r="AI3058">
        <v>100</v>
      </c>
      <c r="AJ3058">
        <v>1</v>
      </c>
      <c r="AK3058">
        <v>0</v>
      </c>
      <c r="AL3058">
        <v>0</v>
      </c>
      <c r="AM3058">
        <v>10</v>
      </c>
      <c r="AN3058">
        <v>0</v>
      </c>
      <c r="AO3058">
        <v>108</v>
      </c>
      <c r="AP3058">
        <v>-10.8</v>
      </c>
      <c r="AQ3058">
        <v>0</v>
      </c>
      <c r="AS3058">
        <v>0</v>
      </c>
      <c r="AT3058">
        <v>0</v>
      </c>
      <c r="AU3058">
        <v>108</v>
      </c>
      <c r="AV3058">
        <v>-10.8</v>
      </c>
      <c r="AW3058">
        <v>0</v>
      </c>
      <c r="AY3058">
        <v>0</v>
      </c>
      <c r="AZ3058">
        <v>0</v>
      </c>
      <c r="BA3058">
        <v>75.040000000000006</v>
      </c>
      <c r="BC3058" t="str">
        <f>T("0000000000000")</f>
        <v>0000000000000</v>
      </c>
      <c r="BE3058" t="str">
        <f>T("9791162589724")</f>
        <v>9791162589724</v>
      </c>
      <c r="BF3058" t="str">
        <f>T("E820005")</f>
        <v>E820005</v>
      </c>
      <c r="BG3058" t="str">
        <f>T("판타지 웹소설 &gt; 퓨전 판타지")</f>
        <v>판타지 웹소설 &gt; 퓨전 판타지</v>
      </c>
    </row>
    <row r="3059" spans="1:59">
      <c r="A3059" t="s">
        <v>60</v>
      </c>
      <c r="B3059" s="1">
        <v>46131</v>
      </c>
      <c r="C3059">
        <v>2378009513</v>
      </c>
      <c r="D3059">
        <v>2378024827</v>
      </c>
      <c r="E3059" t="str">
        <f>T("문과라도 안 죄송한 이세계로 감 346화")</f>
        <v>문과라도 안 죄송한 이세계로 감 346화</v>
      </c>
      <c r="F3059">
        <v>346</v>
      </c>
      <c r="G3059" t="str">
        <f>T("정수읠")</f>
        <v>정수읠</v>
      </c>
      <c r="J3059" t="str">
        <f>T("매드햇")</f>
        <v>매드햇</v>
      </c>
      <c r="K3059" t="str">
        <f>T("문과라도 안 죄송한 이세계로 감")</f>
        <v>문과라도 안 죄송한 이세계로 감</v>
      </c>
      <c r="L3059">
        <v>100</v>
      </c>
      <c r="M3059">
        <v>100</v>
      </c>
      <c r="N3059">
        <v>1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0</v>
      </c>
      <c r="AH3059">
        <v>0</v>
      </c>
      <c r="AI3059">
        <v>100</v>
      </c>
      <c r="AJ3059">
        <v>1</v>
      </c>
      <c r="AK3059">
        <v>0</v>
      </c>
      <c r="AL3059">
        <v>0</v>
      </c>
      <c r="AM3059">
        <v>10</v>
      </c>
      <c r="AN3059">
        <v>0</v>
      </c>
      <c r="AO3059">
        <v>108</v>
      </c>
      <c r="AP3059">
        <v>-10.8</v>
      </c>
      <c r="AQ3059">
        <v>0</v>
      </c>
      <c r="AS3059">
        <v>0</v>
      </c>
      <c r="AT3059">
        <v>0</v>
      </c>
      <c r="AU3059">
        <v>108</v>
      </c>
      <c r="AV3059">
        <v>-10.8</v>
      </c>
      <c r="AW3059">
        <v>0</v>
      </c>
      <c r="AY3059">
        <v>0</v>
      </c>
      <c r="AZ3059">
        <v>0</v>
      </c>
      <c r="BA3059">
        <v>75.040000000000006</v>
      </c>
      <c r="BC3059" t="str">
        <f>T("0000000000000")</f>
        <v>0000000000000</v>
      </c>
      <c r="BE3059" t="str">
        <f>T("9791162589724")</f>
        <v>9791162589724</v>
      </c>
      <c r="BF3059" t="str">
        <f>T("E820006")</f>
        <v>E820006</v>
      </c>
      <c r="BG3059" t="str">
        <f>T("판타지 웹소설 &gt; 퓨전 판타지")</f>
        <v>판타지 웹소설 &gt; 퓨전 판타지</v>
      </c>
    </row>
    <row r="3060" spans="1:59">
      <c r="A3060" t="s">
        <v>60</v>
      </c>
      <c r="B3060" s="1">
        <v>46131</v>
      </c>
      <c r="C3060">
        <v>2378009513</v>
      </c>
      <c r="D3060">
        <v>2378024828</v>
      </c>
      <c r="E3060" t="str">
        <f>T("문과라도 안 죄송한 이세계로 감 347화")</f>
        <v>문과라도 안 죄송한 이세계로 감 347화</v>
      </c>
      <c r="F3060">
        <v>347</v>
      </c>
      <c r="G3060" t="str">
        <f>T("정수읠")</f>
        <v>정수읠</v>
      </c>
      <c r="J3060" t="str">
        <f>T("매드햇")</f>
        <v>매드햇</v>
      </c>
      <c r="K3060" t="str">
        <f>T("문과라도 안 죄송한 이세계로 감")</f>
        <v>문과라도 안 죄송한 이세계로 감</v>
      </c>
      <c r="L3060">
        <v>100</v>
      </c>
      <c r="M3060">
        <v>100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0</v>
      </c>
      <c r="AH3060">
        <v>0</v>
      </c>
      <c r="AI3060">
        <v>100</v>
      </c>
      <c r="AJ3060">
        <v>1</v>
      </c>
      <c r="AK3060">
        <v>0</v>
      </c>
      <c r="AL3060">
        <v>0</v>
      </c>
      <c r="AM3060">
        <v>10</v>
      </c>
      <c r="AN3060">
        <v>0</v>
      </c>
      <c r="AO3060">
        <v>108</v>
      </c>
      <c r="AP3060">
        <v>-10.8</v>
      </c>
      <c r="AQ3060">
        <v>0</v>
      </c>
      <c r="AS3060">
        <v>0</v>
      </c>
      <c r="AT3060">
        <v>0</v>
      </c>
      <c r="AU3060">
        <v>108</v>
      </c>
      <c r="AV3060">
        <v>-10.8</v>
      </c>
      <c r="AW3060">
        <v>0</v>
      </c>
      <c r="AY3060">
        <v>0</v>
      </c>
      <c r="AZ3060">
        <v>0</v>
      </c>
      <c r="BA3060">
        <v>75.040000000000006</v>
      </c>
      <c r="BC3060" t="str">
        <f>T("0000000000000")</f>
        <v>0000000000000</v>
      </c>
      <c r="BE3060" t="str">
        <f>T("9791162589724")</f>
        <v>9791162589724</v>
      </c>
      <c r="BF3060" t="str">
        <f>T("E820007")</f>
        <v>E820007</v>
      </c>
      <c r="BG3060" t="str">
        <f>T("판타지 웹소설 &gt; 퓨전 판타지")</f>
        <v>판타지 웹소설 &gt; 퓨전 판타지</v>
      </c>
    </row>
    <row r="3061" spans="1:59">
      <c r="A3061" t="s">
        <v>60</v>
      </c>
      <c r="B3061" s="1">
        <v>46131</v>
      </c>
      <c r="C3061">
        <v>2378009513</v>
      </c>
      <c r="D3061">
        <v>2378024875</v>
      </c>
      <c r="E3061" t="str">
        <f>T("문과라도 안 죄송한 이세계로 감 348화")</f>
        <v>문과라도 안 죄송한 이세계로 감 348화</v>
      </c>
      <c r="F3061">
        <v>348</v>
      </c>
      <c r="G3061" t="str">
        <f>T("정수읠")</f>
        <v>정수읠</v>
      </c>
      <c r="J3061" t="str">
        <f>T("매드햇")</f>
        <v>매드햇</v>
      </c>
      <c r="K3061" t="str">
        <f>T("문과라도 안 죄송한 이세계로 감")</f>
        <v>문과라도 안 죄송한 이세계로 감</v>
      </c>
      <c r="L3061">
        <v>100</v>
      </c>
      <c r="M3061">
        <v>100</v>
      </c>
      <c r="N3061">
        <v>1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0</v>
      </c>
      <c r="AH3061">
        <v>0</v>
      </c>
      <c r="AI3061">
        <v>100</v>
      </c>
      <c r="AJ3061">
        <v>1</v>
      </c>
      <c r="AK3061">
        <v>0</v>
      </c>
      <c r="AL3061">
        <v>0</v>
      </c>
      <c r="AM3061">
        <v>10</v>
      </c>
      <c r="AN3061">
        <v>0</v>
      </c>
      <c r="AO3061">
        <v>108</v>
      </c>
      <c r="AP3061">
        <v>-10.8</v>
      </c>
      <c r="AQ3061">
        <v>0</v>
      </c>
      <c r="AS3061">
        <v>0</v>
      </c>
      <c r="AT3061">
        <v>0</v>
      </c>
      <c r="AU3061">
        <v>108</v>
      </c>
      <c r="AV3061">
        <v>-10.8</v>
      </c>
      <c r="AW3061">
        <v>0</v>
      </c>
      <c r="AY3061">
        <v>0</v>
      </c>
      <c r="AZ3061">
        <v>0</v>
      </c>
      <c r="BA3061">
        <v>75.040000000000006</v>
      </c>
      <c r="BC3061" t="str">
        <f>T("0000000000000")</f>
        <v>0000000000000</v>
      </c>
      <c r="BE3061" t="str">
        <f>T("9791162589724")</f>
        <v>9791162589724</v>
      </c>
      <c r="BF3061" t="str">
        <f>T("E820989")</f>
        <v>E820989</v>
      </c>
      <c r="BG3061" t="str">
        <f>T("판타지 웹소설 &gt; 퓨전 판타지")</f>
        <v>판타지 웹소설 &gt; 퓨전 판타지</v>
      </c>
    </row>
    <row r="3062" spans="1:59">
      <c r="A3062" t="s">
        <v>60</v>
      </c>
      <c r="B3062" s="1">
        <v>46131</v>
      </c>
      <c r="C3062">
        <v>2378009513</v>
      </c>
      <c r="D3062">
        <v>2378024876</v>
      </c>
      <c r="E3062" t="str">
        <f>T("문과라도 안 죄송한 이세계로 감 349화")</f>
        <v>문과라도 안 죄송한 이세계로 감 349화</v>
      </c>
      <c r="F3062">
        <v>349</v>
      </c>
      <c r="G3062" t="str">
        <f>T("정수읠")</f>
        <v>정수읠</v>
      </c>
      <c r="J3062" t="str">
        <f>T("매드햇")</f>
        <v>매드햇</v>
      </c>
      <c r="K3062" t="str">
        <f>T("문과라도 안 죄송한 이세계로 감")</f>
        <v>문과라도 안 죄송한 이세계로 감</v>
      </c>
      <c r="L3062">
        <v>100</v>
      </c>
      <c r="M3062">
        <v>100</v>
      </c>
      <c r="N3062">
        <v>1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0</v>
      </c>
      <c r="AH3062">
        <v>0</v>
      </c>
      <c r="AI3062">
        <v>100</v>
      </c>
      <c r="AJ3062">
        <v>1</v>
      </c>
      <c r="AK3062">
        <v>0</v>
      </c>
      <c r="AL3062">
        <v>0</v>
      </c>
      <c r="AM3062">
        <v>10</v>
      </c>
      <c r="AN3062">
        <v>0</v>
      </c>
      <c r="AO3062">
        <v>108</v>
      </c>
      <c r="AP3062">
        <v>-10.8</v>
      </c>
      <c r="AQ3062">
        <v>0</v>
      </c>
      <c r="AS3062">
        <v>0</v>
      </c>
      <c r="AT3062">
        <v>0</v>
      </c>
      <c r="AU3062">
        <v>108</v>
      </c>
      <c r="AV3062">
        <v>-10.8</v>
      </c>
      <c r="AW3062">
        <v>0</v>
      </c>
      <c r="AY3062">
        <v>0</v>
      </c>
      <c r="AZ3062">
        <v>0</v>
      </c>
      <c r="BA3062">
        <v>75.040000000000006</v>
      </c>
      <c r="BC3062" t="str">
        <f>T("0000000000000")</f>
        <v>0000000000000</v>
      </c>
      <c r="BE3062" t="str">
        <f>T("9791162589724")</f>
        <v>9791162589724</v>
      </c>
      <c r="BF3062" t="str">
        <f>T("E820990")</f>
        <v>E820990</v>
      </c>
      <c r="BG3062" t="str">
        <f>T("판타지 웹소설 &gt; 퓨전 판타지")</f>
        <v>판타지 웹소설 &gt; 퓨전 판타지</v>
      </c>
    </row>
    <row r="3063" spans="1:59">
      <c r="A3063" t="s">
        <v>60</v>
      </c>
      <c r="B3063" s="1">
        <v>46131</v>
      </c>
      <c r="C3063">
        <v>2378009513</v>
      </c>
      <c r="D3063">
        <v>2378024877</v>
      </c>
      <c r="E3063" t="str">
        <f>T("문과라도 안 죄송한 이세계로 감 350화")</f>
        <v>문과라도 안 죄송한 이세계로 감 350화</v>
      </c>
      <c r="F3063">
        <v>350</v>
      </c>
      <c r="G3063" t="str">
        <f>T("정수읠")</f>
        <v>정수읠</v>
      </c>
      <c r="J3063" t="str">
        <f>T("매드햇")</f>
        <v>매드햇</v>
      </c>
      <c r="K3063" t="str">
        <f>T("문과라도 안 죄송한 이세계로 감")</f>
        <v>문과라도 안 죄송한 이세계로 감</v>
      </c>
      <c r="L3063">
        <v>100</v>
      </c>
      <c r="M3063">
        <v>100</v>
      </c>
      <c r="N3063">
        <v>1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0</v>
      </c>
      <c r="AH3063">
        <v>0</v>
      </c>
      <c r="AI3063">
        <v>100</v>
      </c>
      <c r="AJ3063">
        <v>1</v>
      </c>
      <c r="AK3063">
        <v>0</v>
      </c>
      <c r="AL3063">
        <v>0</v>
      </c>
      <c r="AM3063">
        <v>10</v>
      </c>
      <c r="AN3063">
        <v>0</v>
      </c>
      <c r="AO3063">
        <v>108</v>
      </c>
      <c r="AP3063">
        <v>-10.8</v>
      </c>
      <c r="AQ3063">
        <v>0</v>
      </c>
      <c r="AS3063">
        <v>0</v>
      </c>
      <c r="AT3063">
        <v>0</v>
      </c>
      <c r="AU3063">
        <v>108</v>
      </c>
      <c r="AV3063">
        <v>-10.8</v>
      </c>
      <c r="AW3063">
        <v>0</v>
      </c>
      <c r="AY3063">
        <v>0</v>
      </c>
      <c r="AZ3063">
        <v>0</v>
      </c>
      <c r="BA3063">
        <v>75.040000000000006</v>
      </c>
      <c r="BC3063" t="str">
        <f>T("0000000000000")</f>
        <v>0000000000000</v>
      </c>
      <c r="BE3063" t="str">
        <f>T("9791162589724")</f>
        <v>9791162589724</v>
      </c>
      <c r="BF3063" t="str">
        <f>T("E820991")</f>
        <v>E820991</v>
      </c>
      <c r="BG3063" t="str">
        <f>T("판타지 웹소설 &gt; 퓨전 판타지")</f>
        <v>판타지 웹소설 &gt; 퓨전 판타지</v>
      </c>
    </row>
    <row r="3064" spans="1:59">
      <c r="A3064" t="s">
        <v>60</v>
      </c>
      <c r="B3064" s="1">
        <v>46131</v>
      </c>
      <c r="C3064">
        <v>2378009513</v>
      </c>
      <c r="D3064">
        <v>2378025129</v>
      </c>
      <c r="E3064" t="str">
        <f>T("문과라도 안 죄송한 이세계로 감 351화")</f>
        <v>문과라도 안 죄송한 이세계로 감 351화</v>
      </c>
      <c r="F3064">
        <v>351</v>
      </c>
      <c r="G3064" t="str">
        <f>T("정수읠")</f>
        <v>정수읠</v>
      </c>
      <c r="J3064" t="str">
        <f>T("매드햇")</f>
        <v>매드햇</v>
      </c>
      <c r="K3064" t="str">
        <f>T("문과라도 안 죄송한 이세계로 감")</f>
        <v>문과라도 안 죄송한 이세계로 감</v>
      </c>
      <c r="L3064">
        <v>100</v>
      </c>
      <c r="M3064">
        <v>100</v>
      </c>
      <c r="N3064">
        <v>1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0</v>
      </c>
      <c r="AH3064">
        <v>0</v>
      </c>
      <c r="AI3064">
        <v>100</v>
      </c>
      <c r="AJ3064">
        <v>1</v>
      </c>
      <c r="AK3064">
        <v>0</v>
      </c>
      <c r="AL3064">
        <v>0</v>
      </c>
      <c r="AM3064">
        <v>10</v>
      </c>
      <c r="AN3064">
        <v>0</v>
      </c>
      <c r="AO3064">
        <v>108</v>
      </c>
      <c r="AP3064">
        <v>-10.8</v>
      </c>
      <c r="AQ3064">
        <v>0</v>
      </c>
      <c r="AS3064">
        <v>0</v>
      </c>
      <c r="AT3064">
        <v>0</v>
      </c>
      <c r="AU3064">
        <v>108</v>
      </c>
      <c r="AV3064">
        <v>-10.8</v>
      </c>
      <c r="AW3064">
        <v>0</v>
      </c>
      <c r="AY3064">
        <v>0</v>
      </c>
      <c r="AZ3064">
        <v>0</v>
      </c>
      <c r="BA3064">
        <v>75.040000000000006</v>
      </c>
      <c r="BC3064" t="str">
        <f>T("0000000000000")</f>
        <v>0000000000000</v>
      </c>
      <c r="BE3064" t="str">
        <f>T("9791162589724")</f>
        <v>9791162589724</v>
      </c>
      <c r="BF3064" t="str">
        <f>T("E822425")</f>
        <v>E822425</v>
      </c>
      <c r="BG3064" t="str">
        <f>T("판타지 웹소설 &gt; 퓨전 판타지")</f>
        <v>판타지 웹소설 &gt; 퓨전 판타지</v>
      </c>
    </row>
    <row r="3065" spans="1:59">
      <c r="A3065" t="s">
        <v>60</v>
      </c>
      <c r="B3065" s="1">
        <v>46131</v>
      </c>
      <c r="C3065">
        <v>2378009513</v>
      </c>
      <c r="D3065">
        <v>2378025130</v>
      </c>
      <c r="E3065" t="str">
        <f>T("문과라도 안 죄송한 이세계로 감 352화")</f>
        <v>문과라도 안 죄송한 이세계로 감 352화</v>
      </c>
      <c r="F3065">
        <v>352</v>
      </c>
      <c r="G3065" t="str">
        <f>T("정수읠")</f>
        <v>정수읠</v>
      </c>
      <c r="J3065" t="str">
        <f>T("매드햇")</f>
        <v>매드햇</v>
      </c>
      <c r="K3065" t="str">
        <f>T("문과라도 안 죄송한 이세계로 감")</f>
        <v>문과라도 안 죄송한 이세계로 감</v>
      </c>
      <c r="L3065">
        <v>100</v>
      </c>
      <c r="M3065">
        <v>100</v>
      </c>
      <c r="N3065">
        <v>1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0</v>
      </c>
      <c r="AH3065">
        <v>0</v>
      </c>
      <c r="AI3065">
        <v>100</v>
      </c>
      <c r="AJ3065">
        <v>1</v>
      </c>
      <c r="AK3065">
        <v>0</v>
      </c>
      <c r="AL3065">
        <v>0</v>
      </c>
      <c r="AM3065">
        <v>10</v>
      </c>
      <c r="AN3065">
        <v>0</v>
      </c>
      <c r="AO3065">
        <v>108</v>
      </c>
      <c r="AP3065">
        <v>-10.8</v>
      </c>
      <c r="AQ3065">
        <v>0</v>
      </c>
      <c r="AS3065">
        <v>0</v>
      </c>
      <c r="AT3065">
        <v>0</v>
      </c>
      <c r="AU3065">
        <v>108</v>
      </c>
      <c r="AV3065">
        <v>-10.8</v>
      </c>
      <c r="AW3065">
        <v>0</v>
      </c>
      <c r="AY3065">
        <v>0</v>
      </c>
      <c r="AZ3065">
        <v>0</v>
      </c>
      <c r="BA3065">
        <v>75.040000000000006</v>
      </c>
      <c r="BC3065" t="str">
        <f>T("0000000000000")</f>
        <v>0000000000000</v>
      </c>
      <c r="BE3065" t="str">
        <f>T("9791162589724")</f>
        <v>9791162589724</v>
      </c>
      <c r="BF3065" t="str">
        <f>T("E822426")</f>
        <v>E822426</v>
      </c>
      <c r="BG3065" t="str">
        <f>T("판타지 웹소설 &gt; 퓨전 판타지")</f>
        <v>판타지 웹소설 &gt; 퓨전 판타지</v>
      </c>
    </row>
    <row r="3066" spans="1:59">
      <c r="A3066" t="s">
        <v>60</v>
      </c>
      <c r="B3066" s="1">
        <v>46131</v>
      </c>
      <c r="C3066">
        <v>2378009513</v>
      </c>
      <c r="D3066">
        <v>2378025140</v>
      </c>
      <c r="E3066" t="str">
        <f>T("문과라도 안 죄송한 이세계로 감 353화")</f>
        <v>문과라도 안 죄송한 이세계로 감 353화</v>
      </c>
      <c r="F3066">
        <v>353</v>
      </c>
      <c r="G3066" t="str">
        <f>T("정수읠")</f>
        <v>정수읠</v>
      </c>
      <c r="J3066" t="str">
        <f>T("매드햇")</f>
        <v>매드햇</v>
      </c>
      <c r="K3066" t="str">
        <f>T("문과라도 안 죄송한 이세계로 감")</f>
        <v>문과라도 안 죄송한 이세계로 감</v>
      </c>
      <c r="L3066">
        <v>100</v>
      </c>
      <c r="M3066">
        <v>100</v>
      </c>
      <c r="N3066">
        <v>1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0</v>
      </c>
      <c r="AH3066">
        <v>0</v>
      </c>
      <c r="AI3066">
        <v>100</v>
      </c>
      <c r="AJ3066">
        <v>1</v>
      </c>
      <c r="AK3066">
        <v>0</v>
      </c>
      <c r="AL3066">
        <v>0</v>
      </c>
      <c r="AM3066">
        <v>10</v>
      </c>
      <c r="AN3066">
        <v>0</v>
      </c>
      <c r="AO3066">
        <v>108</v>
      </c>
      <c r="AP3066">
        <v>-10.8</v>
      </c>
      <c r="AQ3066">
        <v>0</v>
      </c>
      <c r="AS3066">
        <v>0</v>
      </c>
      <c r="AT3066">
        <v>0</v>
      </c>
      <c r="AU3066">
        <v>108</v>
      </c>
      <c r="AV3066">
        <v>-10.8</v>
      </c>
      <c r="AW3066">
        <v>0</v>
      </c>
      <c r="AY3066">
        <v>0</v>
      </c>
      <c r="AZ3066">
        <v>0</v>
      </c>
      <c r="BA3066">
        <v>75.040000000000006</v>
      </c>
      <c r="BC3066" t="str">
        <f>T("0000000000000")</f>
        <v>0000000000000</v>
      </c>
      <c r="BE3066" t="str">
        <f>T("9791162589724")</f>
        <v>9791162589724</v>
      </c>
      <c r="BF3066" t="str">
        <f>T("E822453")</f>
        <v>E822453</v>
      </c>
      <c r="BG3066" t="str">
        <f>T("판타지 웹소설 &gt; 퓨전 판타지")</f>
        <v>판타지 웹소설 &gt; 퓨전 판타지</v>
      </c>
    </row>
    <row r="3067" spans="1:59">
      <c r="A3067" t="s">
        <v>60</v>
      </c>
      <c r="B3067" s="1">
        <v>46131</v>
      </c>
      <c r="C3067">
        <v>2378009513</v>
      </c>
      <c r="D3067">
        <v>2378025580</v>
      </c>
      <c r="E3067" t="str">
        <f>T("문과라도 안 죄송한 이세계로 감 354화")</f>
        <v>문과라도 안 죄송한 이세계로 감 354화</v>
      </c>
      <c r="F3067">
        <v>354</v>
      </c>
      <c r="G3067" t="str">
        <f>T("정수읠")</f>
        <v>정수읠</v>
      </c>
      <c r="J3067" t="str">
        <f>T("매드햇")</f>
        <v>매드햇</v>
      </c>
      <c r="K3067" t="str">
        <f>T("문과라도 안 죄송한 이세계로 감")</f>
        <v>문과라도 안 죄송한 이세계로 감</v>
      </c>
      <c r="L3067">
        <v>100</v>
      </c>
      <c r="M3067">
        <v>100</v>
      </c>
      <c r="N3067">
        <v>1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0</v>
      </c>
      <c r="AH3067">
        <v>0</v>
      </c>
      <c r="AI3067">
        <v>100</v>
      </c>
      <c r="AJ3067">
        <v>1</v>
      </c>
      <c r="AK3067">
        <v>0</v>
      </c>
      <c r="AL3067">
        <v>0</v>
      </c>
      <c r="AM3067">
        <v>10</v>
      </c>
      <c r="AN3067">
        <v>0</v>
      </c>
      <c r="AO3067">
        <v>108</v>
      </c>
      <c r="AP3067">
        <v>-10.8</v>
      </c>
      <c r="AQ3067">
        <v>0</v>
      </c>
      <c r="AS3067">
        <v>0</v>
      </c>
      <c r="AT3067">
        <v>0</v>
      </c>
      <c r="AU3067">
        <v>108</v>
      </c>
      <c r="AV3067">
        <v>-10.8</v>
      </c>
      <c r="AW3067">
        <v>0</v>
      </c>
      <c r="AY3067">
        <v>0</v>
      </c>
      <c r="AZ3067">
        <v>0</v>
      </c>
      <c r="BA3067">
        <v>75.040000000000006</v>
      </c>
      <c r="BC3067" t="str">
        <f>T("0000000000000")</f>
        <v>0000000000000</v>
      </c>
      <c r="BE3067" t="str">
        <f>T("9791162589724")</f>
        <v>9791162589724</v>
      </c>
      <c r="BF3067" t="str">
        <f>T("E825879")</f>
        <v>E825879</v>
      </c>
      <c r="BG3067" t="str">
        <f>T("판타지 웹소설 &gt; 퓨전 판타지")</f>
        <v>판타지 웹소설 &gt; 퓨전 판타지</v>
      </c>
    </row>
    <row r="3068" spans="1:59">
      <c r="A3068" t="s">
        <v>60</v>
      </c>
      <c r="B3068" s="1">
        <v>46131</v>
      </c>
      <c r="C3068">
        <v>2378009513</v>
      </c>
      <c r="D3068">
        <v>2378025581</v>
      </c>
      <c r="E3068" t="str">
        <f>T("문과라도 안 죄송한 이세계로 감 355화")</f>
        <v>문과라도 안 죄송한 이세계로 감 355화</v>
      </c>
      <c r="F3068">
        <v>355</v>
      </c>
      <c r="G3068" t="str">
        <f>T("정수읠")</f>
        <v>정수읠</v>
      </c>
      <c r="J3068" t="str">
        <f>T("매드햇")</f>
        <v>매드햇</v>
      </c>
      <c r="K3068" t="str">
        <f>T("문과라도 안 죄송한 이세계로 감")</f>
        <v>문과라도 안 죄송한 이세계로 감</v>
      </c>
      <c r="L3068">
        <v>100</v>
      </c>
      <c r="M3068">
        <v>100</v>
      </c>
      <c r="N3068">
        <v>1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0</v>
      </c>
      <c r="AH3068">
        <v>0</v>
      </c>
      <c r="AI3068">
        <v>100</v>
      </c>
      <c r="AJ3068">
        <v>1</v>
      </c>
      <c r="AK3068">
        <v>0</v>
      </c>
      <c r="AL3068">
        <v>0</v>
      </c>
      <c r="AM3068">
        <v>10</v>
      </c>
      <c r="AN3068">
        <v>0</v>
      </c>
      <c r="AO3068">
        <v>108</v>
      </c>
      <c r="AP3068">
        <v>-10.8</v>
      </c>
      <c r="AQ3068">
        <v>0</v>
      </c>
      <c r="AS3068">
        <v>0</v>
      </c>
      <c r="AT3068">
        <v>0</v>
      </c>
      <c r="AU3068">
        <v>108</v>
      </c>
      <c r="AV3068">
        <v>-10.8</v>
      </c>
      <c r="AW3068">
        <v>0</v>
      </c>
      <c r="AY3068">
        <v>0</v>
      </c>
      <c r="AZ3068">
        <v>0</v>
      </c>
      <c r="BA3068">
        <v>75.040000000000006</v>
      </c>
      <c r="BC3068" t="str">
        <f>T("0000000000000")</f>
        <v>0000000000000</v>
      </c>
      <c r="BE3068" t="str">
        <f>T("9791162589724")</f>
        <v>9791162589724</v>
      </c>
      <c r="BF3068" t="str">
        <f>T("E825880")</f>
        <v>E825880</v>
      </c>
      <c r="BG3068" t="str">
        <f>T("판타지 웹소설 &gt; 퓨전 판타지")</f>
        <v>판타지 웹소설 &gt; 퓨전 판타지</v>
      </c>
    </row>
    <row r="3069" spans="1:59">
      <c r="A3069" t="s">
        <v>60</v>
      </c>
      <c r="B3069" s="1">
        <v>46131</v>
      </c>
      <c r="C3069">
        <v>2378009513</v>
      </c>
      <c r="D3069">
        <v>2378025771</v>
      </c>
      <c r="E3069" t="str">
        <f>T("문과라도 안 죄송한 이세계로 감 356화")</f>
        <v>문과라도 안 죄송한 이세계로 감 356화</v>
      </c>
      <c r="F3069">
        <v>356</v>
      </c>
      <c r="G3069" t="str">
        <f>T("정수읠")</f>
        <v>정수읠</v>
      </c>
      <c r="J3069" t="str">
        <f>T("매드햇")</f>
        <v>매드햇</v>
      </c>
      <c r="K3069" t="str">
        <f>T("문과라도 안 죄송한 이세계로 감")</f>
        <v>문과라도 안 죄송한 이세계로 감</v>
      </c>
      <c r="L3069">
        <v>100</v>
      </c>
      <c r="M3069">
        <v>100</v>
      </c>
      <c r="N3069">
        <v>1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0</v>
      </c>
      <c r="AH3069">
        <v>0</v>
      </c>
      <c r="AI3069">
        <v>100</v>
      </c>
      <c r="AJ3069">
        <v>1</v>
      </c>
      <c r="AK3069">
        <v>0</v>
      </c>
      <c r="AL3069">
        <v>0</v>
      </c>
      <c r="AM3069">
        <v>10</v>
      </c>
      <c r="AN3069">
        <v>0</v>
      </c>
      <c r="AO3069">
        <v>108</v>
      </c>
      <c r="AP3069">
        <v>-10.8</v>
      </c>
      <c r="AQ3069">
        <v>0</v>
      </c>
      <c r="AS3069">
        <v>0</v>
      </c>
      <c r="AT3069">
        <v>0</v>
      </c>
      <c r="AU3069">
        <v>108</v>
      </c>
      <c r="AV3069">
        <v>-10.8</v>
      </c>
      <c r="AW3069">
        <v>0</v>
      </c>
      <c r="AY3069">
        <v>0</v>
      </c>
      <c r="AZ3069">
        <v>0</v>
      </c>
      <c r="BA3069">
        <v>75.040000000000006</v>
      </c>
      <c r="BC3069" t="str">
        <f>T("0000000000000")</f>
        <v>0000000000000</v>
      </c>
      <c r="BE3069" t="str">
        <f>T("9791162589724")</f>
        <v>9791162589724</v>
      </c>
      <c r="BF3069" t="str">
        <f>T("E827279")</f>
        <v>E827279</v>
      </c>
      <c r="BG3069" t="str">
        <f>T("판타지 웹소설 &gt; 퓨전 판타지")</f>
        <v>판타지 웹소설 &gt; 퓨전 판타지</v>
      </c>
    </row>
    <row r="3070" spans="1:59">
      <c r="A3070" t="s">
        <v>60</v>
      </c>
      <c r="B3070" s="1">
        <v>46131</v>
      </c>
      <c r="C3070">
        <v>2378009513</v>
      </c>
      <c r="D3070">
        <v>2378009598</v>
      </c>
      <c r="E3070" t="str">
        <f>T("문과라도 안 죄송한 이세계로 감 86화")</f>
        <v>문과라도 안 죄송한 이세계로 감 86화</v>
      </c>
      <c r="F3070">
        <v>86</v>
      </c>
      <c r="G3070" t="str">
        <f>T("정수읠")</f>
        <v>정수읠</v>
      </c>
      <c r="J3070" t="str">
        <f>T("매드햇")</f>
        <v>매드햇</v>
      </c>
      <c r="K3070" t="str">
        <f>T("문과라도 안 죄송한 이세계로 감")</f>
        <v>문과라도 안 죄송한 이세계로 감</v>
      </c>
      <c r="L3070">
        <v>100</v>
      </c>
      <c r="M3070">
        <v>100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0</v>
      </c>
      <c r="AH3070">
        <v>0</v>
      </c>
      <c r="AI3070">
        <v>100</v>
      </c>
      <c r="AJ3070">
        <v>1</v>
      </c>
      <c r="AK3070">
        <v>0</v>
      </c>
      <c r="AL3070">
        <v>0</v>
      </c>
      <c r="AM3070">
        <v>100</v>
      </c>
      <c r="AN3070">
        <v>0</v>
      </c>
      <c r="AO3070">
        <v>0</v>
      </c>
      <c r="AP3070">
        <v>0</v>
      </c>
      <c r="AQ3070">
        <v>0</v>
      </c>
      <c r="AS3070">
        <v>0</v>
      </c>
      <c r="AT3070">
        <v>0</v>
      </c>
      <c r="AV3070">
        <v>0</v>
      </c>
      <c r="AW3070">
        <v>0</v>
      </c>
      <c r="AY3070">
        <v>0</v>
      </c>
      <c r="AZ3070">
        <v>0</v>
      </c>
      <c r="BA3070">
        <v>70</v>
      </c>
      <c r="BE3070" t="str">
        <f>T("9791162589724")</f>
        <v>9791162589724</v>
      </c>
      <c r="BF3070" t="str">
        <f>T("E448322")</f>
        <v>E448322</v>
      </c>
      <c r="BG3070" t="str">
        <f>T("판타지 웹소설 &gt; 퓨전 판타지")</f>
        <v>판타지 웹소설 &gt; 퓨전 판타지</v>
      </c>
    </row>
    <row r="3071" spans="1:59">
      <c r="A3071" t="s">
        <v>60</v>
      </c>
      <c r="B3071" s="1">
        <v>46131</v>
      </c>
      <c r="C3071">
        <v>2378009513</v>
      </c>
      <c r="D3071">
        <v>2378009599</v>
      </c>
      <c r="E3071" t="str">
        <f>T("문과라도 안 죄송한 이세계로 감 87화")</f>
        <v>문과라도 안 죄송한 이세계로 감 87화</v>
      </c>
      <c r="F3071">
        <v>87</v>
      </c>
      <c r="G3071" t="str">
        <f>T("정수읠")</f>
        <v>정수읠</v>
      </c>
      <c r="J3071" t="str">
        <f>T("매드햇")</f>
        <v>매드햇</v>
      </c>
      <c r="K3071" t="str">
        <f>T("문과라도 안 죄송한 이세계로 감")</f>
        <v>문과라도 안 죄송한 이세계로 감</v>
      </c>
      <c r="L3071">
        <v>100</v>
      </c>
      <c r="M3071">
        <v>100</v>
      </c>
      <c r="N3071">
        <v>1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0</v>
      </c>
      <c r="AH3071">
        <v>0</v>
      </c>
      <c r="AI3071">
        <v>100</v>
      </c>
      <c r="AJ3071">
        <v>1</v>
      </c>
      <c r="AK3071">
        <v>0</v>
      </c>
      <c r="AL3071">
        <v>0</v>
      </c>
      <c r="AM3071">
        <v>100</v>
      </c>
      <c r="AN3071">
        <v>0</v>
      </c>
      <c r="AO3071">
        <v>0</v>
      </c>
      <c r="AP3071">
        <v>0</v>
      </c>
      <c r="AQ3071">
        <v>0</v>
      </c>
      <c r="AS3071">
        <v>0</v>
      </c>
      <c r="AT3071">
        <v>0</v>
      </c>
      <c r="AV3071">
        <v>0</v>
      </c>
      <c r="AW3071">
        <v>0</v>
      </c>
      <c r="AY3071">
        <v>0</v>
      </c>
      <c r="AZ3071">
        <v>0</v>
      </c>
      <c r="BA3071">
        <v>70</v>
      </c>
      <c r="BE3071" t="str">
        <f>T("9791162589724")</f>
        <v>9791162589724</v>
      </c>
      <c r="BF3071" t="str">
        <f>T("E448323")</f>
        <v>E448323</v>
      </c>
      <c r="BG3071" t="str">
        <f>T("판타지 웹소설 &gt; 퓨전 판타지")</f>
        <v>판타지 웹소설 &gt; 퓨전 판타지</v>
      </c>
    </row>
    <row r="3072" spans="1:59">
      <c r="A3072" t="s">
        <v>60</v>
      </c>
      <c r="B3072" s="1">
        <v>46131</v>
      </c>
      <c r="C3072">
        <v>2378009513</v>
      </c>
      <c r="D3072">
        <v>2378009600</v>
      </c>
      <c r="E3072" t="str">
        <f>T("문과라도 안 죄송한 이세계로 감 88화")</f>
        <v>문과라도 안 죄송한 이세계로 감 88화</v>
      </c>
      <c r="F3072">
        <v>88</v>
      </c>
      <c r="G3072" t="str">
        <f>T("정수읠")</f>
        <v>정수읠</v>
      </c>
      <c r="J3072" t="str">
        <f>T("매드햇")</f>
        <v>매드햇</v>
      </c>
      <c r="K3072" t="str">
        <f>T("문과라도 안 죄송한 이세계로 감")</f>
        <v>문과라도 안 죄송한 이세계로 감</v>
      </c>
      <c r="L3072">
        <v>100</v>
      </c>
      <c r="M3072">
        <v>100</v>
      </c>
      <c r="N3072">
        <v>1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0</v>
      </c>
      <c r="AE3072">
        <v>0</v>
      </c>
      <c r="AF3072">
        <v>0</v>
      </c>
      <c r="AG3072">
        <v>0</v>
      </c>
      <c r="AH3072">
        <v>0</v>
      </c>
      <c r="AI3072">
        <v>100</v>
      </c>
      <c r="AJ3072">
        <v>1</v>
      </c>
      <c r="AK3072">
        <v>0</v>
      </c>
      <c r="AL3072">
        <v>0</v>
      </c>
      <c r="AM3072">
        <v>100</v>
      </c>
      <c r="AN3072">
        <v>0</v>
      </c>
      <c r="AO3072">
        <v>0</v>
      </c>
      <c r="AP3072">
        <v>0</v>
      </c>
      <c r="AQ3072">
        <v>0</v>
      </c>
      <c r="AS3072">
        <v>0</v>
      </c>
      <c r="AT3072">
        <v>0</v>
      </c>
      <c r="AV3072">
        <v>0</v>
      </c>
      <c r="AW3072">
        <v>0</v>
      </c>
      <c r="AY3072">
        <v>0</v>
      </c>
      <c r="AZ3072">
        <v>0</v>
      </c>
      <c r="BA3072">
        <v>70</v>
      </c>
      <c r="BE3072" t="str">
        <f>T("9791162589724")</f>
        <v>9791162589724</v>
      </c>
      <c r="BF3072" t="str">
        <f>T("E448324")</f>
        <v>E448324</v>
      </c>
      <c r="BG3072" t="str">
        <f>T("판타지 웹소설 &gt; 퓨전 판타지")</f>
        <v>판타지 웹소설 &gt; 퓨전 판타지</v>
      </c>
    </row>
    <row r="3073" spans="1:59">
      <c r="A3073" t="s">
        <v>60</v>
      </c>
      <c r="B3073" s="1">
        <v>46131</v>
      </c>
      <c r="C3073">
        <v>2378009513</v>
      </c>
      <c r="D3073">
        <v>2378009601</v>
      </c>
      <c r="E3073" t="str">
        <f>T("문과라도 안 죄송한 이세계로 감 89화")</f>
        <v>문과라도 안 죄송한 이세계로 감 89화</v>
      </c>
      <c r="F3073">
        <v>89</v>
      </c>
      <c r="G3073" t="str">
        <f>T("정수읠")</f>
        <v>정수읠</v>
      </c>
      <c r="J3073" t="str">
        <f>T("매드햇")</f>
        <v>매드햇</v>
      </c>
      <c r="K3073" t="str">
        <f>T("문과라도 안 죄송한 이세계로 감")</f>
        <v>문과라도 안 죄송한 이세계로 감</v>
      </c>
      <c r="L3073">
        <v>100</v>
      </c>
      <c r="M3073">
        <v>100</v>
      </c>
      <c r="N3073">
        <v>1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0</v>
      </c>
      <c r="AE3073">
        <v>0</v>
      </c>
      <c r="AF3073">
        <v>0</v>
      </c>
      <c r="AG3073">
        <v>0</v>
      </c>
      <c r="AH3073">
        <v>0</v>
      </c>
      <c r="AI3073">
        <v>100</v>
      </c>
      <c r="AJ3073">
        <v>1</v>
      </c>
      <c r="AK3073">
        <v>0</v>
      </c>
      <c r="AL3073">
        <v>0</v>
      </c>
      <c r="AM3073">
        <v>100</v>
      </c>
      <c r="AN3073">
        <v>0</v>
      </c>
      <c r="AO3073">
        <v>0</v>
      </c>
      <c r="AP3073">
        <v>0</v>
      </c>
      <c r="AQ3073">
        <v>0</v>
      </c>
      <c r="AS3073">
        <v>0</v>
      </c>
      <c r="AT3073">
        <v>0</v>
      </c>
      <c r="AV3073">
        <v>0</v>
      </c>
      <c r="AW3073">
        <v>0</v>
      </c>
      <c r="AY3073">
        <v>0</v>
      </c>
      <c r="AZ3073">
        <v>0</v>
      </c>
      <c r="BA3073">
        <v>70</v>
      </c>
      <c r="BE3073" t="str">
        <f>T("9791162589724")</f>
        <v>9791162589724</v>
      </c>
      <c r="BF3073" t="str">
        <f>T("E448325")</f>
        <v>E448325</v>
      </c>
      <c r="BG3073" t="str">
        <f>T("판타지 웹소설 &gt; 퓨전 판타지")</f>
        <v>판타지 웹소설 &gt; 퓨전 판타지</v>
      </c>
    </row>
    <row r="3074" spans="1:59">
      <c r="A3074" t="s">
        <v>60</v>
      </c>
      <c r="B3074" s="1">
        <v>46131</v>
      </c>
      <c r="C3074">
        <v>2378009513</v>
      </c>
      <c r="D3074">
        <v>2378009602</v>
      </c>
      <c r="E3074" t="str">
        <f>T("문과라도 안 죄송한 이세계로 감 90화")</f>
        <v>문과라도 안 죄송한 이세계로 감 90화</v>
      </c>
      <c r="F3074">
        <v>90</v>
      </c>
      <c r="G3074" t="str">
        <f>T("정수읠")</f>
        <v>정수읠</v>
      </c>
      <c r="J3074" t="str">
        <f>T("매드햇")</f>
        <v>매드햇</v>
      </c>
      <c r="K3074" t="str">
        <f>T("문과라도 안 죄송한 이세계로 감")</f>
        <v>문과라도 안 죄송한 이세계로 감</v>
      </c>
      <c r="L3074">
        <v>100</v>
      </c>
      <c r="M3074">
        <v>100</v>
      </c>
      <c r="N3074">
        <v>1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0</v>
      </c>
      <c r="AE3074">
        <v>0</v>
      </c>
      <c r="AF3074">
        <v>0</v>
      </c>
      <c r="AG3074">
        <v>0</v>
      </c>
      <c r="AH3074">
        <v>0</v>
      </c>
      <c r="AI3074">
        <v>100</v>
      </c>
      <c r="AJ3074">
        <v>1</v>
      </c>
      <c r="AK3074">
        <v>0</v>
      </c>
      <c r="AL3074">
        <v>0</v>
      </c>
      <c r="AM3074">
        <v>100</v>
      </c>
      <c r="AN3074">
        <v>0</v>
      </c>
      <c r="AO3074">
        <v>0</v>
      </c>
      <c r="AP3074">
        <v>0</v>
      </c>
      <c r="AQ3074">
        <v>0</v>
      </c>
      <c r="AS3074">
        <v>0</v>
      </c>
      <c r="AT3074">
        <v>0</v>
      </c>
      <c r="AV3074">
        <v>0</v>
      </c>
      <c r="AW3074">
        <v>0</v>
      </c>
      <c r="AY3074">
        <v>0</v>
      </c>
      <c r="AZ3074">
        <v>0</v>
      </c>
      <c r="BA3074">
        <v>70</v>
      </c>
      <c r="BE3074" t="str">
        <f>T("9791162589724")</f>
        <v>9791162589724</v>
      </c>
      <c r="BF3074" t="str">
        <f>T("E448326")</f>
        <v>E448326</v>
      </c>
      <c r="BG3074" t="str">
        <f>T("판타지 웹소설 &gt; 퓨전 판타지")</f>
        <v>판타지 웹소설 &gt; 퓨전 판타지</v>
      </c>
    </row>
    <row r="3075" spans="1:59">
      <c r="A3075" t="s">
        <v>60</v>
      </c>
      <c r="B3075" s="1">
        <v>46131</v>
      </c>
      <c r="C3075">
        <v>2378009513</v>
      </c>
      <c r="D3075">
        <v>2378009603</v>
      </c>
      <c r="E3075" t="str">
        <f>T("문과라도 안 죄송한 이세계로 감 91화")</f>
        <v>문과라도 안 죄송한 이세계로 감 91화</v>
      </c>
      <c r="F3075">
        <v>91</v>
      </c>
      <c r="G3075" t="str">
        <f>T("정수읠")</f>
        <v>정수읠</v>
      </c>
      <c r="J3075" t="str">
        <f>T("매드햇")</f>
        <v>매드햇</v>
      </c>
      <c r="K3075" t="str">
        <f>T("문과라도 안 죄송한 이세계로 감")</f>
        <v>문과라도 안 죄송한 이세계로 감</v>
      </c>
      <c r="L3075">
        <v>100</v>
      </c>
      <c r="M3075">
        <v>100</v>
      </c>
      <c r="N3075">
        <v>1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0</v>
      </c>
      <c r="AE3075">
        <v>0</v>
      </c>
      <c r="AF3075">
        <v>0</v>
      </c>
      <c r="AG3075">
        <v>0</v>
      </c>
      <c r="AH3075">
        <v>0</v>
      </c>
      <c r="AI3075">
        <v>100</v>
      </c>
      <c r="AJ3075">
        <v>1</v>
      </c>
      <c r="AK3075">
        <v>0</v>
      </c>
      <c r="AL3075">
        <v>0</v>
      </c>
      <c r="AM3075">
        <v>100</v>
      </c>
      <c r="AN3075">
        <v>0</v>
      </c>
      <c r="AO3075">
        <v>0</v>
      </c>
      <c r="AP3075">
        <v>0</v>
      </c>
      <c r="AQ3075">
        <v>0</v>
      </c>
      <c r="AS3075">
        <v>0</v>
      </c>
      <c r="AT3075">
        <v>0</v>
      </c>
      <c r="AV3075">
        <v>0</v>
      </c>
      <c r="AW3075">
        <v>0</v>
      </c>
      <c r="AY3075">
        <v>0</v>
      </c>
      <c r="AZ3075">
        <v>0</v>
      </c>
      <c r="BA3075">
        <v>70</v>
      </c>
      <c r="BE3075" t="str">
        <f>T("9791162589724")</f>
        <v>9791162589724</v>
      </c>
      <c r="BF3075" t="str">
        <f>T("E448327")</f>
        <v>E448327</v>
      </c>
      <c r="BG3075" t="str">
        <f>T("판타지 웹소설 &gt; 퓨전 판타지")</f>
        <v>판타지 웹소설 &gt; 퓨전 판타지</v>
      </c>
    </row>
    <row r="3076" spans="1:59">
      <c r="A3076" t="s">
        <v>60</v>
      </c>
      <c r="B3076" s="1">
        <v>46131</v>
      </c>
      <c r="C3076">
        <v>2378009513</v>
      </c>
      <c r="D3076">
        <v>2378009604</v>
      </c>
      <c r="E3076" t="str">
        <f>T("문과라도 안 죄송한 이세계로 감 92화")</f>
        <v>문과라도 안 죄송한 이세계로 감 92화</v>
      </c>
      <c r="F3076">
        <v>92</v>
      </c>
      <c r="G3076" t="str">
        <f>T("정수읠")</f>
        <v>정수읠</v>
      </c>
      <c r="J3076" t="str">
        <f>T("매드햇")</f>
        <v>매드햇</v>
      </c>
      <c r="K3076" t="str">
        <f>T("문과라도 안 죄송한 이세계로 감")</f>
        <v>문과라도 안 죄송한 이세계로 감</v>
      </c>
      <c r="L3076">
        <v>100</v>
      </c>
      <c r="M3076">
        <v>100</v>
      </c>
      <c r="N3076">
        <v>1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0</v>
      </c>
      <c r="AE3076">
        <v>0</v>
      </c>
      <c r="AF3076">
        <v>0</v>
      </c>
      <c r="AG3076">
        <v>0</v>
      </c>
      <c r="AH3076">
        <v>0</v>
      </c>
      <c r="AI3076">
        <v>100</v>
      </c>
      <c r="AJ3076">
        <v>1</v>
      </c>
      <c r="AK3076">
        <v>0</v>
      </c>
      <c r="AL3076">
        <v>0</v>
      </c>
      <c r="AM3076">
        <v>100</v>
      </c>
      <c r="AN3076">
        <v>0</v>
      </c>
      <c r="AO3076">
        <v>0</v>
      </c>
      <c r="AP3076">
        <v>0</v>
      </c>
      <c r="AQ3076">
        <v>0</v>
      </c>
      <c r="AS3076">
        <v>0</v>
      </c>
      <c r="AT3076">
        <v>0</v>
      </c>
      <c r="AV3076">
        <v>0</v>
      </c>
      <c r="AW3076">
        <v>0</v>
      </c>
      <c r="AY3076">
        <v>0</v>
      </c>
      <c r="AZ3076">
        <v>0</v>
      </c>
      <c r="BA3076">
        <v>70</v>
      </c>
      <c r="BE3076" t="str">
        <f>T("9791162589724")</f>
        <v>9791162589724</v>
      </c>
      <c r="BF3076" t="str">
        <f>T("E448328")</f>
        <v>E448328</v>
      </c>
      <c r="BG3076" t="str">
        <f>T("판타지 웹소설 &gt; 퓨전 판타지")</f>
        <v>판타지 웹소설 &gt; 퓨전 판타지</v>
      </c>
    </row>
    <row r="3077" spans="1:59">
      <c r="A3077" t="s">
        <v>60</v>
      </c>
      <c r="B3077" s="1">
        <v>46131</v>
      </c>
      <c r="C3077">
        <v>2378009513</v>
      </c>
      <c r="D3077">
        <v>2378009605</v>
      </c>
      <c r="E3077" t="str">
        <f>T("문과라도 안 죄송한 이세계로 감 93화")</f>
        <v>문과라도 안 죄송한 이세계로 감 93화</v>
      </c>
      <c r="F3077">
        <v>93</v>
      </c>
      <c r="G3077" t="str">
        <f>T("정수읠")</f>
        <v>정수읠</v>
      </c>
      <c r="J3077" t="str">
        <f>T("매드햇")</f>
        <v>매드햇</v>
      </c>
      <c r="K3077" t="str">
        <f>T("문과라도 안 죄송한 이세계로 감")</f>
        <v>문과라도 안 죄송한 이세계로 감</v>
      </c>
      <c r="L3077">
        <v>100</v>
      </c>
      <c r="M3077">
        <v>100</v>
      </c>
      <c r="N3077">
        <v>1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0</v>
      </c>
      <c r="AE3077">
        <v>0</v>
      </c>
      <c r="AF3077">
        <v>0</v>
      </c>
      <c r="AG3077">
        <v>0</v>
      </c>
      <c r="AH3077">
        <v>0</v>
      </c>
      <c r="AI3077">
        <v>100</v>
      </c>
      <c r="AJ3077">
        <v>1</v>
      </c>
      <c r="AK3077">
        <v>0</v>
      </c>
      <c r="AL3077">
        <v>0</v>
      </c>
      <c r="AM3077">
        <v>100</v>
      </c>
      <c r="AN3077">
        <v>0</v>
      </c>
      <c r="AO3077">
        <v>0</v>
      </c>
      <c r="AP3077">
        <v>0</v>
      </c>
      <c r="AQ3077">
        <v>0</v>
      </c>
      <c r="AS3077">
        <v>0</v>
      </c>
      <c r="AT3077">
        <v>0</v>
      </c>
      <c r="AV3077">
        <v>0</v>
      </c>
      <c r="AW3077">
        <v>0</v>
      </c>
      <c r="AY3077">
        <v>0</v>
      </c>
      <c r="AZ3077">
        <v>0</v>
      </c>
      <c r="BA3077">
        <v>70</v>
      </c>
      <c r="BE3077" t="str">
        <f>T("9791162589724")</f>
        <v>9791162589724</v>
      </c>
      <c r="BF3077" t="str">
        <f>T("E448329")</f>
        <v>E448329</v>
      </c>
      <c r="BG3077" t="str">
        <f>T("판타지 웹소설 &gt; 퓨전 판타지")</f>
        <v>판타지 웹소설 &gt; 퓨전 판타지</v>
      </c>
    </row>
    <row r="3078" spans="1:59">
      <c r="A3078" t="s">
        <v>60</v>
      </c>
      <c r="B3078" s="1">
        <v>46131</v>
      </c>
      <c r="C3078">
        <v>2378009513</v>
      </c>
      <c r="D3078">
        <v>2378012888</v>
      </c>
      <c r="E3078" t="str">
        <f>T("문과라도 안 죄송한 이세계로 감 218화")</f>
        <v>문과라도 안 죄송한 이세계로 감 218화</v>
      </c>
      <c r="F3078">
        <v>218</v>
      </c>
      <c r="G3078" t="str">
        <f>T("정수읠")</f>
        <v>정수읠</v>
      </c>
      <c r="J3078" t="str">
        <f>T("매드햇")</f>
        <v>매드햇</v>
      </c>
      <c r="K3078" t="str">
        <f>T("문과라도 안 죄송한 이세계로 감")</f>
        <v>문과라도 안 죄송한 이세계로 감</v>
      </c>
      <c r="L3078">
        <v>100</v>
      </c>
      <c r="M3078">
        <v>200</v>
      </c>
      <c r="N3078">
        <v>2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0</v>
      </c>
      <c r="AE3078">
        <v>0</v>
      </c>
      <c r="AF3078">
        <v>0</v>
      </c>
      <c r="AG3078">
        <v>0</v>
      </c>
      <c r="AH3078">
        <v>0</v>
      </c>
      <c r="AI3078">
        <v>200</v>
      </c>
      <c r="AJ3078">
        <v>2</v>
      </c>
      <c r="AK3078">
        <v>0</v>
      </c>
      <c r="AL3078">
        <v>0</v>
      </c>
      <c r="AM3078">
        <v>200</v>
      </c>
      <c r="AN3078">
        <v>0</v>
      </c>
      <c r="AO3078">
        <v>0</v>
      </c>
      <c r="AP3078">
        <v>0</v>
      </c>
      <c r="AQ3078">
        <v>0</v>
      </c>
      <c r="AS3078">
        <v>0</v>
      </c>
      <c r="AT3078">
        <v>0</v>
      </c>
      <c r="AV3078">
        <v>0</v>
      </c>
      <c r="AW3078">
        <v>0</v>
      </c>
      <c r="AY3078">
        <v>0</v>
      </c>
      <c r="AZ3078">
        <v>0</v>
      </c>
      <c r="BA3078">
        <v>140</v>
      </c>
      <c r="BC3078" t="str">
        <f>T("0000000000000")</f>
        <v>0000000000000</v>
      </c>
      <c r="BE3078" t="str">
        <f>T("9791162589724")</f>
        <v>9791162589724</v>
      </c>
      <c r="BF3078" t="str">
        <f>T("E678129")</f>
        <v>E678129</v>
      </c>
      <c r="BG3078" t="str">
        <f>T("판타지 웹소설 &gt; 퓨전 판타지")</f>
        <v>판타지 웹소설 &gt; 퓨전 판타지</v>
      </c>
    </row>
    <row r="3079" spans="1:59">
      <c r="A3079" t="s">
        <v>60</v>
      </c>
      <c r="B3079" s="1">
        <v>46131</v>
      </c>
      <c r="C3079">
        <v>2378009513</v>
      </c>
      <c r="D3079">
        <v>2378009558</v>
      </c>
      <c r="E3079" t="str">
        <f>T("문과라도 안 죄송한 이세계로 감 46화")</f>
        <v>문과라도 안 죄송한 이세계로 감 46화</v>
      </c>
      <c r="F3079">
        <v>46</v>
      </c>
      <c r="G3079" t="str">
        <f>T("정수읠")</f>
        <v>정수읠</v>
      </c>
      <c r="J3079" t="str">
        <f>T("매드햇")</f>
        <v>매드햇</v>
      </c>
      <c r="K3079" t="str">
        <f>T("문과라도 안 죄송한 이세계로 감")</f>
        <v>문과라도 안 죄송한 이세계로 감</v>
      </c>
      <c r="L3079">
        <v>100</v>
      </c>
      <c r="M3079">
        <v>100</v>
      </c>
      <c r="N3079">
        <v>1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0</v>
      </c>
      <c r="AE3079">
        <v>0</v>
      </c>
      <c r="AF3079">
        <v>0</v>
      </c>
      <c r="AG3079">
        <v>0</v>
      </c>
      <c r="AH3079">
        <v>0</v>
      </c>
      <c r="AI3079">
        <v>100</v>
      </c>
      <c r="AJ3079">
        <v>1</v>
      </c>
      <c r="AK3079">
        <v>0</v>
      </c>
      <c r="AL3079">
        <v>0</v>
      </c>
      <c r="AM3079">
        <v>100</v>
      </c>
      <c r="AN3079">
        <v>0</v>
      </c>
      <c r="AO3079">
        <v>0</v>
      </c>
      <c r="AP3079">
        <v>0</v>
      </c>
      <c r="AQ3079">
        <v>0</v>
      </c>
      <c r="AS3079">
        <v>0</v>
      </c>
      <c r="AT3079">
        <v>0</v>
      </c>
      <c r="AV3079">
        <v>0</v>
      </c>
      <c r="AW3079">
        <v>0</v>
      </c>
      <c r="AY3079">
        <v>0</v>
      </c>
      <c r="AZ3079">
        <v>0</v>
      </c>
      <c r="BA3079">
        <v>70</v>
      </c>
      <c r="BE3079" t="str">
        <f>T("9791162589724")</f>
        <v>9791162589724</v>
      </c>
      <c r="BF3079" t="str">
        <f>T("E448282")</f>
        <v>E448282</v>
      </c>
      <c r="BG3079" t="str">
        <f>T("판타지 웹소설 &gt; 퓨전 판타지")</f>
        <v>판타지 웹소설 &gt; 퓨전 판타지</v>
      </c>
    </row>
    <row r="3080" spans="1:59">
      <c r="A3080" t="s">
        <v>60</v>
      </c>
      <c r="B3080" s="1">
        <v>46131</v>
      </c>
      <c r="C3080">
        <v>2378009513</v>
      </c>
      <c r="D3080">
        <v>2378009559</v>
      </c>
      <c r="E3080" t="str">
        <f>T("문과라도 안 죄송한 이세계로 감 47화")</f>
        <v>문과라도 안 죄송한 이세계로 감 47화</v>
      </c>
      <c r="F3080">
        <v>47</v>
      </c>
      <c r="G3080" t="str">
        <f>T("정수읠")</f>
        <v>정수읠</v>
      </c>
      <c r="J3080" t="str">
        <f>T("매드햇")</f>
        <v>매드햇</v>
      </c>
      <c r="K3080" t="str">
        <f>T("문과라도 안 죄송한 이세계로 감")</f>
        <v>문과라도 안 죄송한 이세계로 감</v>
      </c>
      <c r="L3080">
        <v>100</v>
      </c>
      <c r="M3080">
        <v>100</v>
      </c>
      <c r="N3080">
        <v>1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0</v>
      </c>
      <c r="AE3080">
        <v>0</v>
      </c>
      <c r="AF3080">
        <v>0</v>
      </c>
      <c r="AG3080">
        <v>0</v>
      </c>
      <c r="AH3080">
        <v>0</v>
      </c>
      <c r="AI3080">
        <v>100</v>
      </c>
      <c r="AJ3080">
        <v>1</v>
      </c>
      <c r="AK3080">
        <v>0</v>
      </c>
      <c r="AL3080">
        <v>0</v>
      </c>
      <c r="AM3080">
        <v>100</v>
      </c>
      <c r="AN3080">
        <v>0</v>
      </c>
      <c r="AO3080">
        <v>0</v>
      </c>
      <c r="AP3080">
        <v>0</v>
      </c>
      <c r="AQ3080">
        <v>0</v>
      </c>
      <c r="AS3080">
        <v>0</v>
      </c>
      <c r="AT3080">
        <v>0</v>
      </c>
      <c r="AV3080">
        <v>0</v>
      </c>
      <c r="AW3080">
        <v>0</v>
      </c>
      <c r="AY3080">
        <v>0</v>
      </c>
      <c r="AZ3080">
        <v>0</v>
      </c>
      <c r="BA3080">
        <v>70</v>
      </c>
      <c r="BE3080" t="str">
        <f>T("9791162589724")</f>
        <v>9791162589724</v>
      </c>
      <c r="BF3080" t="str">
        <f>T("E448283")</f>
        <v>E448283</v>
      </c>
      <c r="BG3080" t="str">
        <f>T("판타지 웹소설 &gt; 퓨전 판타지")</f>
        <v>판타지 웹소설 &gt; 퓨전 판타지</v>
      </c>
    </row>
    <row r="3081" spans="1:59">
      <c r="A3081" t="s">
        <v>60</v>
      </c>
      <c r="B3081" s="1">
        <v>46131</v>
      </c>
      <c r="C3081">
        <v>2378009513</v>
      </c>
      <c r="D3081">
        <v>2378009560</v>
      </c>
      <c r="E3081" t="str">
        <f>T("문과라도 안 죄송한 이세계로 감 48화")</f>
        <v>문과라도 안 죄송한 이세계로 감 48화</v>
      </c>
      <c r="F3081">
        <v>48</v>
      </c>
      <c r="G3081" t="str">
        <f>T("정수읠")</f>
        <v>정수읠</v>
      </c>
      <c r="J3081" t="str">
        <f>T("매드햇")</f>
        <v>매드햇</v>
      </c>
      <c r="K3081" t="str">
        <f>T("문과라도 안 죄송한 이세계로 감")</f>
        <v>문과라도 안 죄송한 이세계로 감</v>
      </c>
      <c r="L3081">
        <v>100</v>
      </c>
      <c r="M3081">
        <v>100</v>
      </c>
      <c r="N3081">
        <v>1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0</v>
      </c>
      <c r="AE3081">
        <v>0</v>
      </c>
      <c r="AF3081">
        <v>0</v>
      </c>
      <c r="AG3081">
        <v>0</v>
      </c>
      <c r="AH3081">
        <v>0</v>
      </c>
      <c r="AI3081">
        <v>100</v>
      </c>
      <c r="AJ3081">
        <v>1</v>
      </c>
      <c r="AK3081">
        <v>0</v>
      </c>
      <c r="AL3081">
        <v>0</v>
      </c>
      <c r="AM3081">
        <v>100</v>
      </c>
      <c r="AN3081">
        <v>0</v>
      </c>
      <c r="AO3081">
        <v>0</v>
      </c>
      <c r="AP3081">
        <v>0</v>
      </c>
      <c r="AQ3081">
        <v>0</v>
      </c>
      <c r="AS3081">
        <v>0</v>
      </c>
      <c r="AT3081">
        <v>0</v>
      </c>
      <c r="AV3081">
        <v>0</v>
      </c>
      <c r="AW3081">
        <v>0</v>
      </c>
      <c r="AY3081">
        <v>0</v>
      </c>
      <c r="AZ3081">
        <v>0</v>
      </c>
      <c r="BA3081">
        <v>70</v>
      </c>
      <c r="BE3081" t="str">
        <f>T("9791162589724")</f>
        <v>9791162589724</v>
      </c>
      <c r="BF3081" t="str">
        <f>T("E448284")</f>
        <v>E448284</v>
      </c>
      <c r="BG3081" t="str">
        <f>T("판타지 웹소설 &gt; 퓨전 판타지")</f>
        <v>판타지 웹소설 &gt; 퓨전 판타지</v>
      </c>
    </row>
    <row r="3082" spans="1:59">
      <c r="A3082" t="s">
        <v>60</v>
      </c>
      <c r="B3082" s="1">
        <v>46131</v>
      </c>
      <c r="C3082">
        <v>2378009513</v>
      </c>
      <c r="D3082">
        <v>2378009561</v>
      </c>
      <c r="E3082" t="str">
        <f>T("문과라도 안 죄송한 이세계로 감 49화")</f>
        <v>문과라도 안 죄송한 이세계로 감 49화</v>
      </c>
      <c r="F3082">
        <v>49</v>
      </c>
      <c r="G3082" t="str">
        <f>T("정수읠")</f>
        <v>정수읠</v>
      </c>
      <c r="J3082" t="str">
        <f>T("매드햇")</f>
        <v>매드햇</v>
      </c>
      <c r="K3082" t="str">
        <f>T("문과라도 안 죄송한 이세계로 감")</f>
        <v>문과라도 안 죄송한 이세계로 감</v>
      </c>
      <c r="L3082">
        <v>100</v>
      </c>
      <c r="M3082">
        <v>100</v>
      </c>
      <c r="N3082">
        <v>1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0</v>
      </c>
      <c r="AE3082">
        <v>0</v>
      </c>
      <c r="AF3082">
        <v>0</v>
      </c>
      <c r="AG3082">
        <v>0</v>
      </c>
      <c r="AH3082">
        <v>0</v>
      </c>
      <c r="AI3082">
        <v>100</v>
      </c>
      <c r="AJ3082">
        <v>1</v>
      </c>
      <c r="AK3082">
        <v>0</v>
      </c>
      <c r="AL3082">
        <v>0</v>
      </c>
      <c r="AM3082">
        <v>100</v>
      </c>
      <c r="AN3082">
        <v>0</v>
      </c>
      <c r="AO3082">
        <v>0</v>
      </c>
      <c r="AP3082">
        <v>0</v>
      </c>
      <c r="AQ3082">
        <v>0</v>
      </c>
      <c r="AS3082">
        <v>0</v>
      </c>
      <c r="AT3082">
        <v>0</v>
      </c>
      <c r="AV3082">
        <v>0</v>
      </c>
      <c r="AW3082">
        <v>0</v>
      </c>
      <c r="AY3082">
        <v>0</v>
      </c>
      <c r="AZ3082">
        <v>0</v>
      </c>
      <c r="BA3082">
        <v>70</v>
      </c>
      <c r="BE3082" t="str">
        <f>T("9791162589724")</f>
        <v>9791162589724</v>
      </c>
      <c r="BF3082" t="str">
        <f>T("E448285")</f>
        <v>E448285</v>
      </c>
      <c r="BG3082" t="str">
        <f>T("판타지 웹소설 &gt; 퓨전 판타지")</f>
        <v>판타지 웹소설 &gt; 퓨전 판타지</v>
      </c>
    </row>
    <row r="3083" spans="1:59">
      <c r="A3083" t="s">
        <v>60</v>
      </c>
      <c r="B3083" s="1">
        <v>46131</v>
      </c>
      <c r="C3083">
        <v>2378009513</v>
      </c>
      <c r="D3083">
        <v>2378009562</v>
      </c>
      <c r="E3083" t="str">
        <f>T("문과라도 안 죄송한 이세계로 감 50화")</f>
        <v>문과라도 안 죄송한 이세계로 감 50화</v>
      </c>
      <c r="F3083">
        <v>50</v>
      </c>
      <c r="G3083" t="str">
        <f>T("정수읠")</f>
        <v>정수읠</v>
      </c>
      <c r="J3083" t="str">
        <f>T("매드햇")</f>
        <v>매드햇</v>
      </c>
      <c r="K3083" t="str">
        <f>T("문과라도 안 죄송한 이세계로 감")</f>
        <v>문과라도 안 죄송한 이세계로 감</v>
      </c>
      <c r="L3083">
        <v>100</v>
      </c>
      <c r="M3083">
        <v>100</v>
      </c>
      <c r="N3083">
        <v>1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0</v>
      </c>
      <c r="AE3083">
        <v>0</v>
      </c>
      <c r="AF3083">
        <v>0</v>
      </c>
      <c r="AG3083">
        <v>0</v>
      </c>
      <c r="AH3083">
        <v>0</v>
      </c>
      <c r="AI3083">
        <v>100</v>
      </c>
      <c r="AJ3083">
        <v>1</v>
      </c>
      <c r="AK3083">
        <v>0</v>
      </c>
      <c r="AL3083">
        <v>0</v>
      </c>
      <c r="AM3083">
        <v>100</v>
      </c>
      <c r="AN3083">
        <v>0</v>
      </c>
      <c r="AO3083">
        <v>0</v>
      </c>
      <c r="AP3083">
        <v>0</v>
      </c>
      <c r="AQ3083">
        <v>0</v>
      </c>
      <c r="AS3083">
        <v>0</v>
      </c>
      <c r="AT3083">
        <v>0</v>
      </c>
      <c r="AV3083">
        <v>0</v>
      </c>
      <c r="AW3083">
        <v>0</v>
      </c>
      <c r="AY3083">
        <v>0</v>
      </c>
      <c r="AZ3083">
        <v>0</v>
      </c>
      <c r="BA3083">
        <v>70</v>
      </c>
      <c r="BE3083" t="str">
        <f>T("9791162589724")</f>
        <v>9791162589724</v>
      </c>
      <c r="BF3083" t="str">
        <f>T("E448286")</f>
        <v>E448286</v>
      </c>
      <c r="BG3083" t="str">
        <f>T("판타지 웹소설 &gt; 퓨전 판타지")</f>
        <v>판타지 웹소설 &gt; 퓨전 판타지</v>
      </c>
    </row>
    <row r="3084" spans="1:59">
      <c r="A3084" t="s">
        <v>60</v>
      </c>
      <c r="B3084" s="1">
        <v>46131</v>
      </c>
      <c r="C3084">
        <v>2378009513</v>
      </c>
      <c r="D3084">
        <v>2378009563</v>
      </c>
      <c r="E3084" t="str">
        <f>T("문과라도 안 죄송한 이세계로 감 51화")</f>
        <v>문과라도 안 죄송한 이세계로 감 51화</v>
      </c>
      <c r="F3084">
        <v>51</v>
      </c>
      <c r="G3084" t="str">
        <f>T("정수읠")</f>
        <v>정수읠</v>
      </c>
      <c r="J3084" t="str">
        <f>T("매드햇")</f>
        <v>매드햇</v>
      </c>
      <c r="K3084" t="str">
        <f>T("문과라도 안 죄송한 이세계로 감")</f>
        <v>문과라도 안 죄송한 이세계로 감</v>
      </c>
      <c r="L3084">
        <v>100</v>
      </c>
      <c r="M3084">
        <v>100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0</v>
      </c>
      <c r="AE3084">
        <v>0</v>
      </c>
      <c r="AF3084">
        <v>0</v>
      </c>
      <c r="AG3084">
        <v>0</v>
      </c>
      <c r="AH3084">
        <v>0</v>
      </c>
      <c r="AI3084">
        <v>100</v>
      </c>
      <c r="AJ3084">
        <v>1</v>
      </c>
      <c r="AK3084">
        <v>0</v>
      </c>
      <c r="AL3084">
        <v>0</v>
      </c>
      <c r="AM3084">
        <v>100</v>
      </c>
      <c r="AN3084">
        <v>0</v>
      </c>
      <c r="AO3084">
        <v>0</v>
      </c>
      <c r="AP3084">
        <v>0</v>
      </c>
      <c r="AQ3084">
        <v>0</v>
      </c>
      <c r="AS3084">
        <v>0</v>
      </c>
      <c r="AT3084">
        <v>0</v>
      </c>
      <c r="AV3084">
        <v>0</v>
      </c>
      <c r="AW3084">
        <v>0</v>
      </c>
      <c r="AY3084">
        <v>0</v>
      </c>
      <c r="AZ3084">
        <v>0</v>
      </c>
      <c r="BA3084">
        <v>70</v>
      </c>
      <c r="BE3084" t="str">
        <f>T("9791162589724")</f>
        <v>9791162589724</v>
      </c>
      <c r="BF3084" t="str">
        <f>T("E448287")</f>
        <v>E448287</v>
      </c>
      <c r="BG3084" t="str">
        <f>T("판타지 웹소설 &gt; 퓨전 판타지")</f>
        <v>판타지 웹소설 &gt; 퓨전 판타지</v>
      </c>
    </row>
    <row r="3085" spans="1:59">
      <c r="A3085" t="s">
        <v>60</v>
      </c>
      <c r="B3085" s="1">
        <v>46131</v>
      </c>
      <c r="C3085">
        <v>2378009513</v>
      </c>
      <c r="D3085">
        <v>2378009564</v>
      </c>
      <c r="E3085" t="str">
        <f>T("문과라도 안 죄송한 이세계로 감 52화")</f>
        <v>문과라도 안 죄송한 이세계로 감 52화</v>
      </c>
      <c r="F3085">
        <v>52</v>
      </c>
      <c r="G3085" t="str">
        <f>T("정수읠")</f>
        <v>정수읠</v>
      </c>
      <c r="J3085" t="str">
        <f>T("매드햇")</f>
        <v>매드햇</v>
      </c>
      <c r="K3085" t="str">
        <f>T("문과라도 안 죄송한 이세계로 감")</f>
        <v>문과라도 안 죄송한 이세계로 감</v>
      </c>
      <c r="L3085">
        <v>100</v>
      </c>
      <c r="M3085">
        <v>100</v>
      </c>
      <c r="N3085">
        <v>1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0</v>
      </c>
      <c r="AE3085">
        <v>0</v>
      </c>
      <c r="AF3085">
        <v>0</v>
      </c>
      <c r="AG3085">
        <v>0</v>
      </c>
      <c r="AH3085">
        <v>0</v>
      </c>
      <c r="AI3085">
        <v>100</v>
      </c>
      <c r="AJ3085">
        <v>1</v>
      </c>
      <c r="AK3085">
        <v>0</v>
      </c>
      <c r="AL3085">
        <v>0</v>
      </c>
      <c r="AM3085">
        <v>100</v>
      </c>
      <c r="AN3085">
        <v>0</v>
      </c>
      <c r="AO3085">
        <v>0</v>
      </c>
      <c r="AP3085">
        <v>0</v>
      </c>
      <c r="AQ3085">
        <v>0</v>
      </c>
      <c r="AS3085">
        <v>0</v>
      </c>
      <c r="AT3085">
        <v>0</v>
      </c>
      <c r="AV3085">
        <v>0</v>
      </c>
      <c r="AW3085">
        <v>0</v>
      </c>
      <c r="AY3085">
        <v>0</v>
      </c>
      <c r="AZ3085">
        <v>0</v>
      </c>
      <c r="BA3085">
        <v>70</v>
      </c>
      <c r="BE3085" t="str">
        <f>T("9791162589724")</f>
        <v>9791162589724</v>
      </c>
      <c r="BF3085" t="str">
        <f>T("E448288")</f>
        <v>E448288</v>
      </c>
      <c r="BG3085" t="str">
        <f>T("판타지 웹소설 &gt; 퓨전 판타지")</f>
        <v>판타지 웹소설 &gt; 퓨전 판타지</v>
      </c>
    </row>
    <row r="3086" spans="1:59">
      <c r="A3086" t="s">
        <v>60</v>
      </c>
      <c r="B3086" s="1">
        <v>46131</v>
      </c>
      <c r="C3086">
        <v>2378009513</v>
      </c>
      <c r="D3086">
        <v>2378009565</v>
      </c>
      <c r="E3086" t="str">
        <f>T("문과라도 안 죄송한 이세계로 감 53화")</f>
        <v>문과라도 안 죄송한 이세계로 감 53화</v>
      </c>
      <c r="F3086">
        <v>53</v>
      </c>
      <c r="G3086" t="str">
        <f>T("정수읠")</f>
        <v>정수읠</v>
      </c>
      <c r="J3086" t="str">
        <f>T("매드햇")</f>
        <v>매드햇</v>
      </c>
      <c r="K3086" t="str">
        <f>T("문과라도 안 죄송한 이세계로 감")</f>
        <v>문과라도 안 죄송한 이세계로 감</v>
      </c>
      <c r="L3086">
        <v>100</v>
      </c>
      <c r="M3086">
        <v>100</v>
      </c>
      <c r="N3086">
        <v>1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0</v>
      </c>
      <c r="AE3086">
        <v>0</v>
      </c>
      <c r="AF3086">
        <v>0</v>
      </c>
      <c r="AG3086">
        <v>0</v>
      </c>
      <c r="AH3086">
        <v>0</v>
      </c>
      <c r="AI3086">
        <v>100</v>
      </c>
      <c r="AJ3086">
        <v>1</v>
      </c>
      <c r="AK3086">
        <v>0</v>
      </c>
      <c r="AL3086">
        <v>0</v>
      </c>
      <c r="AM3086">
        <v>100</v>
      </c>
      <c r="AN3086">
        <v>0</v>
      </c>
      <c r="AO3086">
        <v>0</v>
      </c>
      <c r="AP3086">
        <v>0</v>
      </c>
      <c r="AQ3086">
        <v>0</v>
      </c>
      <c r="AS3086">
        <v>0</v>
      </c>
      <c r="AT3086">
        <v>0</v>
      </c>
      <c r="AV3086">
        <v>0</v>
      </c>
      <c r="AW3086">
        <v>0</v>
      </c>
      <c r="AY3086">
        <v>0</v>
      </c>
      <c r="AZ3086">
        <v>0</v>
      </c>
      <c r="BA3086">
        <v>70</v>
      </c>
      <c r="BE3086" t="str">
        <f>T("9791162589724")</f>
        <v>9791162589724</v>
      </c>
      <c r="BF3086" t="str">
        <f>T("E448289")</f>
        <v>E448289</v>
      </c>
      <c r="BG3086" t="str">
        <f>T("판타지 웹소설 &gt; 퓨전 판타지")</f>
        <v>판타지 웹소설 &gt; 퓨전 판타지</v>
      </c>
    </row>
    <row r="3087" spans="1:59">
      <c r="A3087" t="s">
        <v>60</v>
      </c>
      <c r="B3087" s="1">
        <v>46131</v>
      </c>
      <c r="C3087">
        <v>2378009513</v>
      </c>
      <c r="D3087">
        <v>2378009566</v>
      </c>
      <c r="E3087" t="str">
        <f>T("문과라도 안 죄송한 이세계로 감 54화")</f>
        <v>문과라도 안 죄송한 이세계로 감 54화</v>
      </c>
      <c r="F3087">
        <v>54</v>
      </c>
      <c r="G3087" t="str">
        <f>T("정수읠")</f>
        <v>정수읠</v>
      </c>
      <c r="J3087" t="str">
        <f>T("매드햇")</f>
        <v>매드햇</v>
      </c>
      <c r="K3087" t="str">
        <f>T("문과라도 안 죄송한 이세계로 감")</f>
        <v>문과라도 안 죄송한 이세계로 감</v>
      </c>
      <c r="L3087">
        <v>100</v>
      </c>
      <c r="M3087">
        <v>100</v>
      </c>
      <c r="N3087">
        <v>1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0</v>
      </c>
      <c r="AE3087">
        <v>0</v>
      </c>
      <c r="AF3087">
        <v>0</v>
      </c>
      <c r="AG3087">
        <v>0</v>
      </c>
      <c r="AH3087">
        <v>0</v>
      </c>
      <c r="AI3087">
        <v>100</v>
      </c>
      <c r="AJ3087">
        <v>1</v>
      </c>
      <c r="AK3087">
        <v>0</v>
      </c>
      <c r="AL3087">
        <v>0</v>
      </c>
      <c r="AM3087">
        <v>100</v>
      </c>
      <c r="AN3087">
        <v>0</v>
      </c>
      <c r="AO3087">
        <v>0</v>
      </c>
      <c r="AP3087">
        <v>0</v>
      </c>
      <c r="AQ3087">
        <v>0</v>
      </c>
      <c r="AS3087">
        <v>0</v>
      </c>
      <c r="AT3087">
        <v>0</v>
      </c>
      <c r="AV3087">
        <v>0</v>
      </c>
      <c r="AW3087">
        <v>0</v>
      </c>
      <c r="AY3087">
        <v>0</v>
      </c>
      <c r="AZ3087">
        <v>0</v>
      </c>
      <c r="BA3087">
        <v>70</v>
      </c>
      <c r="BE3087" t="str">
        <f>T("9791162589724")</f>
        <v>9791162589724</v>
      </c>
      <c r="BF3087" t="str">
        <f>T("E448290")</f>
        <v>E448290</v>
      </c>
      <c r="BG3087" t="str">
        <f>T("판타지 웹소설 &gt; 퓨전 판타지")</f>
        <v>판타지 웹소설 &gt; 퓨전 판타지</v>
      </c>
    </row>
    <row r="3088" spans="1:59">
      <c r="A3088" t="s">
        <v>60</v>
      </c>
      <c r="B3088" s="1">
        <v>46131</v>
      </c>
      <c r="C3088">
        <v>2378009513</v>
      </c>
      <c r="D3088">
        <v>2378009567</v>
      </c>
      <c r="E3088" t="str">
        <f>T("문과라도 안 죄송한 이세계로 감 55화")</f>
        <v>문과라도 안 죄송한 이세계로 감 55화</v>
      </c>
      <c r="F3088">
        <v>55</v>
      </c>
      <c r="G3088" t="str">
        <f>T("정수읠")</f>
        <v>정수읠</v>
      </c>
      <c r="J3088" t="str">
        <f>T("매드햇")</f>
        <v>매드햇</v>
      </c>
      <c r="K3088" t="str">
        <f>T("문과라도 안 죄송한 이세계로 감")</f>
        <v>문과라도 안 죄송한 이세계로 감</v>
      </c>
      <c r="L3088">
        <v>100</v>
      </c>
      <c r="M3088">
        <v>100</v>
      </c>
      <c r="N3088">
        <v>1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0</v>
      </c>
      <c r="AE3088">
        <v>0</v>
      </c>
      <c r="AF3088">
        <v>0</v>
      </c>
      <c r="AG3088">
        <v>0</v>
      </c>
      <c r="AH3088">
        <v>0</v>
      </c>
      <c r="AI3088">
        <v>100</v>
      </c>
      <c r="AJ3088">
        <v>1</v>
      </c>
      <c r="AK3088">
        <v>0</v>
      </c>
      <c r="AL3088">
        <v>0</v>
      </c>
      <c r="AM3088">
        <v>100</v>
      </c>
      <c r="AN3088">
        <v>0</v>
      </c>
      <c r="AO3088">
        <v>0</v>
      </c>
      <c r="AP3088">
        <v>0</v>
      </c>
      <c r="AQ3088">
        <v>0</v>
      </c>
      <c r="AS3088">
        <v>0</v>
      </c>
      <c r="AT3088">
        <v>0</v>
      </c>
      <c r="AV3088">
        <v>0</v>
      </c>
      <c r="AW3088">
        <v>0</v>
      </c>
      <c r="AY3088">
        <v>0</v>
      </c>
      <c r="AZ3088">
        <v>0</v>
      </c>
      <c r="BA3088">
        <v>70</v>
      </c>
      <c r="BE3088" t="str">
        <f>T("9791162589724")</f>
        <v>9791162589724</v>
      </c>
      <c r="BF3088" t="str">
        <f>T("E448291")</f>
        <v>E448291</v>
      </c>
      <c r="BG3088" t="str">
        <f>T("판타지 웹소설 &gt; 퓨전 판타지")</f>
        <v>판타지 웹소설 &gt; 퓨전 판타지</v>
      </c>
    </row>
    <row r="3089" spans="1:59">
      <c r="A3089" t="s">
        <v>60</v>
      </c>
      <c r="B3089" s="1">
        <v>46131</v>
      </c>
      <c r="C3089">
        <v>2378009513</v>
      </c>
      <c r="D3089">
        <v>2378009568</v>
      </c>
      <c r="E3089" t="str">
        <f>T("문과라도 안 죄송한 이세계로 감 56화")</f>
        <v>문과라도 안 죄송한 이세계로 감 56화</v>
      </c>
      <c r="F3089">
        <v>56</v>
      </c>
      <c r="G3089" t="str">
        <f>T("정수읠")</f>
        <v>정수읠</v>
      </c>
      <c r="J3089" t="str">
        <f>T("매드햇")</f>
        <v>매드햇</v>
      </c>
      <c r="K3089" t="str">
        <f>T("문과라도 안 죄송한 이세계로 감")</f>
        <v>문과라도 안 죄송한 이세계로 감</v>
      </c>
      <c r="L3089">
        <v>100</v>
      </c>
      <c r="M3089">
        <v>100</v>
      </c>
      <c r="N3089">
        <v>1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0</v>
      </c>
      <c r="AE3089">
        <v>0</v>
      </c>
      <c r="AF3089">
        <v>0</v>
      </c>
      <c r="AG3089">
        <v>0</v>
      </c>
      <c r="AH3089">
        <v>0</v>
      </c>
      <c r="AI3089">
        <v>100</v>
      </c>
      <c r="AJ3089">
        <v>1</v>
      </c>
      <c r="AK3089">
        <v>0</v>
      </c>
      <c r="AL3089">
        <v>0</v>
      </c>
      <c r="AM3089">
        <v>100</v>
      </c>
      <c r="AN3089">
        <v>0</v>
      </c>
      <c r="AO3089">
        <v>0</v>
      </c>
      <c r="AP3089">
        <v>0</v>
      </c>
      <c r="AQ3089">
        <v>0</v>
      </c>
      <c r="AS3089">
        <v>0</v>
      </c>
      <c r="AT3089">
        <v>0</v>
      </c>
      <c r="AV3089">
        <v>0</v>
      </c>
      <c r="AW3089">
        <v>0</v>
      </c>
      <c r="AY3089">
        <v>0</v>
      </c>
      <c r="AZ3089">
        <v>0</v>
      </c>
      <c r="BA3089">
        <v>70</v>
      </c>
      <c r="BE3089" t="str">
        <f>T("9791162589724")</f>
        <v>9791162589724</v>
      </c>
      <c r="BF3089" t="str">
        <f>T("E448292")</f>
        <v>E448292</v>
      </c>
      <c r="BG3089" t="str">
        <f>T("판타지 웹소설 &gt; 퓨전 판타지")</f>
        <v>판타지 웹소설 &gt; 퓨전 판타지</v>
      </c>
    </row>
    <row r="3090" spans="1:59">
      <c r="A3090" t="s">
        <v>60</v>
      </c>
      <c r="B3090" s="1">
        <v>46131</v>
      </c>
      <c r="C3090">
        <v>2378009513</v>
      </c>
      <c r="D3090">
        <v>2378009569</v>
      </c>
      <c r="E3090" t="str">
        <f>T("문과라도 안 죄송한 이세계로 감 57화")</f>
        <v>문과라도 안 죄송한 이세계로 감 57화</v>
      </c>
      <c r="F3090">
        <v>57</v>
      </c>
      <c r="G3090" t="str">
        <f>T("정수읠")</f>
        <v>정수읠</v>
      </c>
      <c r="J3090" t="str">
        <f>T("매드햇")</f>
        <v>매드햇</v>
      </c>
      <c r="K3090" t="str">
        <f>T("문과라도 안 죄송한 이세계로 감")</f>
        <v>문과라도 안 죄송한 이세계로 감</v>
      </c>
      <c r="L3090">
        <v>100</v>
      </c>
      <c r="M3090">
        <v>100</v>
      </c>
      <c r="N3090">
        <v>1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0</v>
      </c>
      <c r="AE3090">
        <v>0</v>
      </c>
      <c r="AF3090">
        <v>0</v>
      </c>
      <c r="AG3090">
        <v>0</v>
      </c>
      <c r="AH3090">
        <v>0</v>
      </c>
      <c r="AI3090">
        <v>100</v>
      </c>
      <c r="AJ3090">
        <v>1</v>
      </c>
      <c r="AK3090">
        <v>0</v>
      </c>
      <c r="AL3090">
        <v>0</v>
      </c>
      <c r="AM3090">
        <v>100</v>
      </c>
      <c r="AN3090">
        <v>0</v>
      </c>
      <c r="AO3090">
        <v>0</v>
      </c>
      <c r="AP3090">
        <v>0</v>
      </c>
      <c r="AQ3090">
        <v>0</v>
      </c>
      <c r="AS3090">
        <v>0</v>
      </c>
      <c r="AT3090">
        <v>0</v>
      </c>
      <c r="AV3090">
        <v>0</v>
      </c>
      <c r="AW3090">
        <v>0</v>
      </c>
      <c r="AY3090">
        <v>0</v>
      </c>
      <c r="AZ3090">
        <v>0</v>
      </c>
      <c r="BA3090">
        <v>70</v>
      </c>
      <c r="BE3090" t="str">
        <f>T("9791162589724")</f>
        <v>9791162589724</v>
      </c>
      <c r="BF3090" t="str">
        <f>T("E448293")</f>
        <v>E448293</v>
      </c>
      <c r="BG3090" t="str">
        <f>T("판타지 웹소설 &gt; 퓨전 판타지")</f>
        <v>판타지 웹소설 &gt; 퓨전 판타지</v>
      </c>
    </row>
    <row r="3091" spans="1:59">
      <c r="A3091" t="s">
        <v>60</v>
      </c>
      <c r="B3091" s="1">
        <v>46131</v>
      </c>
      <c r="C3091">
        <v>2378009513</v>
      </c>
      <c r="D3091">
        <v>2378009570</v>
      </c>
      <c r="E3091" t="str">
        <f>T("문과라도 안 죄송한 이세계로 감 58화")</f>
        <v>문과라도 안 죄송한 이세계로 감 58화</v>
      </c>
      <c r="F3091">
        <v>58</v>
      </c>
      <c r="G3091" t="str">
        <f>T("정수읠")</f>
        <v>정수읠</v>
      </c>
      <c r="J3091" t="str">
        <f>T("매드햇")</f>
        <v>매드햇</v>
      </c>
      <c r="K3091" t="str">
        <f>T("문과라도 안 죄송한 이세계로 감")</f>
        <v>문과라도 안 죄송한 이세계로 감</v>
      </c>
      <c r="L3091">
        <v>100</v>
      </c>
      <c r="M3091">
        <v>100</v>
      </c>
      <c r="N3091">
        <v>1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0</v>
      </c>
      <c r="AE3091">
        <v>0</v>
      </c>
      <c r="AF3091">
        <v>0</v>
      </c>
      <c r="AG3091">
        <v>0</v>
      </c>
      <c r="AH3091">
        <v>0</v>
      </c>
      <c r="AI3091">
        <v>100</v>
      </c>
      <c r="AJ3091">
        <v>1</v>
      </c>
      <c r="AK3091">
        <v>0</v>
      </c>
      <c r="AL3091">
        <v>0</v>
      </c>
      <c r="AM3091">
        <v>100</v>
      </c>
      <c r="AN3091">
        <v>0</v>
      </c>
      <c r="AO3091">
        <v>0</v>
      </c>
      <c r="AP3091">
        <v>0</v>
      </c>
      <c r="AQ3091">
        <v>0</v>
      </c>
      <c r="AS3091">
        <v>0</v>
      </c>
      <c r="AT3091">
        <v>0</v>
      </c>
      <c r="AV3091">
        <v>0</v>
      </c>
      <c r="AW3091">
        <v>0</v>
      </c>
      <c r="AY3091">
        <v>0</v>
      </c>
      <c r="AZ3091">
        <v>0</v>
      </c>
      <c r="BA3091">
        <v>70</v>
      </c>
      <c r="BE3091" t="str">
        <f>T("9791162589724")</f>
        <v>9791162589724</v>
      </c>
      <c r="BF3091" t="str">
        <f>T("E448294")</f>
        <v>E448294</v>
      </c>
      <c r="BG3091" t="str">
        <f>T("판타지 웹소설 &gt; 퓨전 판타지")</f>
        <v>판타지 웹소설 &gt; 퓨전 판타지</v>
      </c>
    </row>
    <row r="3092" spans="1:59">
      <c r="A3092" t="s">
        <v>60</v>
      </c>
      <c r="B3092" s="1">
        <v>46131</v>
      </c>
      <c r="C3092">
        <v>2378009513</v>
      </c>
      <c r="D3092">
        <v>2378009571</v>
      </c>
      <c r="E3092" t="str">
        <f>T("문과라도 안 죄송한 이세계로 감 59화")</f>
        <v>문과라도 안 죄송한 이세계로 감 59화</v>
      </c>
      <c r="F3092">
        <v>59</v>
      </c>
      <c r="G3092" t="str">
        <f>T("정수읠")</f>
        <v>정수읠</v>
      </c>
      <c r="J3092" t="str">
        <f>T("매드햇")</f>
        <v>매드햇</v>
      </c>
      <c r="K3092" t="str">
        <f>T("문과라도 안 죄송한 이세계로 감")</f>
        <v>문과라도 안 죄송한 이세계로 감</v>
      </c>
      <c r="L3092">
        <v>100</v>
      </c>
      <c r="M3092">
        <v>100</v>
      </c>
      <c r="N3092">
        <v>1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0</v>
      </c>
      <c r="AE3092">
        <v>0</v>
      </c>
      <c r="AF3092">
        <v>0</v>
      </c>
      <c r="AG3092">
        <v>0</v>
      </c>
      <c r="AH3092">
        <v>0</v>
      </c>
      <c r="AI3092">
        <v>100</v>
      </c>
      <c r="AJ3092">
        <v>1</v>
      </c>
      <c r="AK3092">
        <v>0</v>
      </c>
      <c r="AL3092">
        <v>0</v>
      </c>
      <c r="AM3092">
        <v>100</v>
      </c>
      <c r="AN3092">
        <v>0</v>
      </c>
      <c r="AO3092">
        <v>0</v>
      </c>
      <c r="AP3092">
        <v>0</v>
      </c>
      <c r="AQ3092">
        <v>0</v>
      </c>
      <c r="AS3092">
        <v>0</v>
      </c>
      <c r="AT3092">
        <v>0</v>
      </c>
      <c r="AV3092">
        <v>0</v>
      </c>
      <c r="AW3092">
        <v>0</v>
      </c>
      <c r="AY3092">
        <v>0</v>
      </c>
      <c r="AZ3092">
        <v>0</v>
      </c>
      <c r="BA3092">
        <v>70</v>
      </c>
      <c r="BE3092" t="str">
        <f>T("9791162589724")</f>
        <v>9791162589724</v>
      </c>
      <c r="BF3092" t="str">
        <f>T("E448295")</f>
        <v>E448295</v>
      </c>
      <c r="BG3092" t="str">
        <f>T("판타지 웹소설 &gt; 퓨전 판타지")</f>
        <v>판타지 웹소설 &gt; 퓨전 판타지</v>
      </c>
    </row>
    <row r="3093" spans="1:59">
      <c r="A3093" t="s">
        <v>60</v>
      </c>
      <c r="B3093" s="1">
        <v>46131</v>
      </c>
      <c r="C3093">
        <v>2378009513</v>
      </c>
      <c r="D3093">
        <v>2378009572</v>
      </c>
      <c r="E3093" t="str">
        <f>T("문과라도 안 죄송한 이세계로 감 60화")</f>
        <v>문과라도 안 죄송한 이세계로 감 60화</v>
      </c>
      <c r="F3093">
        <v>60</v>
      </c>
      <c r="G3093" t="str">
        <f>T("정수읠")</f>
        <v>정수읠</v>
      </c>
      <c r="J3093" t="str">
        <f>T("매드햇")</f>
        <v>매드햇</v>
      </c>
      <c r="K3093" t="str">
        <f>T("문과라도 안 죄송한 이세계로 감")</f>
        <v>문과라도 안 죄송한 이세계로 감</v>
      </c>
      <c r="L3093">
        <v>100</v>
      </c>
      <c r="M3093">
        <v>100</v>
      </c>
      <c r="N3093">
        <v>1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0</v>
      </c>
      <c r="AE3093">
        <v>0</v>
      </c>
      <c r="AF3093">
        <v>0</v>
      </c>
      <c r="AG3093">
        <v>0</v>
      </c>
      <c r="AH3093">
        <v>0</v>
      </c>
      <c r="AI3093">
        <v>100</v>
      </c>
      <c r="AJ3093">
        <v>1</v>
      </c>
      <c r="AK3093">
        <v>0</v>
      </c>
      <c r="AL3093">
        <v>0</v>
      </c>
      <c r="AM3093">
        <v>100</v>
      </c>
      <c r="AN3093">
        <v>0</v>
      </c>
      <c r="AO3093">
        <v>0</v>
      </c>
      <c r="AP3093">
        <v>0</v>
      </c>
      <c r="AQ3093">
        <v>0</v>
      </c>
      <c r="AS3093">
        <v>0</v>
      </c>
      <c r="AT3093">
        <v>0</v>
      </c>
      <c r="AV3093">
        <v>0</v>
      </c>
      <c r="AW3093">
        <v>0</v>
      </c>
      <c r="AY3093">
        <v>0</v>
      </c>
      <c r="AZ3093">
        <v>0</v>
      </c>
      <c r="BA3093">
        <v>70</v>
      </c>
      <c r="BE3093" t="str">
        <f>T("9791162589724")</f>
        <v>9791162589724</v>
      </c>
      <c r="BF3093" t="str">
        <f>T("E448296")</f>
        <v>E448296</v>
      </c>
      <c r="BG3093" t="str">
        <f>T("판타지 웹소설 &gt; 퓨전 판타지")</f>
        <v>판타지 웹소설 &gt; 퓨전 판타지</v>
      </c>
    </row>
    <row r="3094" spans="1:59">
      <c r="A3094" t="s">
        <v>60</v>
      </c>
      <c r="B3094" s="1">
        <v>46131</v>
      </c>
      <c r="C3094">
        <v>2378009513</v>
      </c>
      <c r="D3094">
        <v>2378009573</v>
      </c>
      <c r="E3094" t="str">
        <f>T("문과라도 안 죄송한 이세계로 감 61화")</f>
        <v>문과라도 안 죄송한 이세계로 감 61화</v>
      </c>
      <c r="F3094">
        <v>61</v>
      </c>
      <c r="G3094" t="str">
        <f>T("정수읠")</f>
        <v>정수읠</v>
      </c>
      <c r="J3094" t="str">
        <f>T("매드햇")</f>
        <v>매드햇</v>
      </c>
      <c r="K3094" t="str">
        <f>T("문과라도 안 죄송한 이세계로 감")</f>
        <v>문과라도 안 죄송한 이세계로 감</v>
      </c>
      <c r="L3094">
        <v>100</v>
      </c>
      <c r="M3094">
        <v>100</v>
      </c>
      <c r="N3094">
        <v>1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0</v>
      </c>
      <c r="AE3094">
        <v>0</v>
      </c>
      <c r="AF3094">
        <v>0</v>
      </c>
      <c r="AG3094">
        <v>0</v>
      </c>
      <c r="AH3094">
        <v>0</v>
      </c>
      <c r="AI3094">
        <v>100</v>
      </c>
      <c r="AJ3094">
        <v>1</v>
      </c>
      <c r="AK3094">
        <v>0</v>
      </c>
      <c r="AL3094">
        <v>0</v>
      </c>
      <c r="AM3094">
        <v>100</v>
      </c>
      <c r="AN3094">
        <v>0</v>
      </c>
      <c r="AO3094">
        <v>0</v>
      </c>
      <c r="AP3094">
        <v>0</v>
      </c>
      <c r="AQ3094">
        <v>0</v>
      </c>
      <c r="AS3094">
        <v>0</v>
      </c>
      <c r="AT3094">
        <v>0</v>
      </c>
      <c r="AV3094">
        <v>0</v>
      </c>
      <c r="AW3094">
        <v>0</v>
      </c>
      <c r="AY3094">
        <v>0</v>
      </c>
      <c r="AZ3094">
        <v>0</v>
      </c>
      <c r="BA3094">
        <v>70</v>
      </c>
      <c r="BE3094" t="str">
        <f>T("9791162589724")</f>
        <v>9791162589724</v>
      </c>
      <c r="BF3094" t="str">
        <f>T("E448297")</f>
        <v>E448297</v>
      </c>
      <c r="BG3094" t="str">
        <f>T("판타지 웹소설 &gt; 퓨전 판타지")</f>
        <v>판타지 웹소설 &gt; 퓨전 판타지</v>
      </c>
    </row>
    <row r="3095" spans="1:59">
      <c r="A3095" t="s">
        <v>60</v>
      </c>
      <c r="B3095" s="1">
        <v>46131</v>
      </c>
      <c r="C3095">
        <v>2378009513</v>
      </c>
      <c r="D3095">
        <v>2378009574</v>
      </c>
      <c r="E3095" t="str">
        <f>T("문과라도 안 죄송한 이세계로 감 62화")</f>
        <v>문과라도 안 죄송한 이세계로 감 62화</v>
      </c>
      <c r="F3095">
        <v>62</v>
      </c>
      <c r="G3095" t="str">
        <f>T("정수읠")</f>
        <v>정수읠</v>
      </c>
      <c r="J3095" t="str">
        <f>T("매드햇")</f>
        <v>매드햇</v>
      </c>
      <c r="K3095" t="str">
        <f>T("문과라도 안 죄송한 이세계로 감")</f>
        <v>문과라도 안 죄송한 이세계로 감</v>
      </c>
      <c r="L3095">
        <v>100</v>
      </c>
      <c r="M3095">
        <v>100</v>
      </c>
      <c r="N3095">
        <v>1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0</v>
      </c>
      <c r="AE3095">
        <v>0</v>
      </c>
      <c r="AF3095">
        <v>0</v>
      </c>
      <c r="AG3095">
        <v>0</v>
      </c>
      <c r="AH3095">
        <v>0</v>
      </c>
      <c r="AI3095">
        <v>100</v>
      </c>
      <c r="AJ3095">
        <v>1</v>
      </c>
      <c r="AK3095">
        <v>0</v>
      </c>
      <c r="AL3095">
        <v>0</v>
      </c>
      <c r="AM3095">
        <v>100</v>
      </c>
      <c r="AN3095">
        <v>0</v>
      </c>
      <c r="AO3095">
        <v>0</v>
      </c>
      <c r="AP3095">
        <v>0</v>
      </c>
      <c r="AQ3095">
        <v>0</v>
      </c>
      <c r="AS3095">
        <v>0</v>
      </c>
      <c r="AT3095">
        <v>0</v>
      </c>
      <c r="AV3095">
        <v>0</v>
      </c>
      <c r="AW3095">
        <v>0</v>
      </c>
      <c r="AY3095">
        <v>0</v>
      </c>
      <c r="AZ3095">
        <v>0</v>
      </c>
      <c r="BA3095">
        <v>70</v>
      </c>
      <c r="BE3095" t="str">
        <f>T("9791162589724")</f>
        <v>9791162589724</v>
      </c>
      <c r="BF3095" t="str">
        <f>T("E448298")</f>
        <v>E448298</v>
      </c>
      <c r="BG3095" t="str">
        <f>T("판타지 웹소설 &gt; 퓨전 판타지")</f>
        <v>판타지 웹소설 &gt; 퓨전 판타지</v>
      </c>
    </row>
    <row r="3096" spans="1:59">
      <c r="A3096" t="s">
        <v>60</v>
      </c>
      <c r="B3096" s="1">
        <v>46131</v>
      </c>
      <c r="C3096">
        <v>2378009513</v>
      </c>
      <c r="D3096">
        <v>2378009575</v>
      </c>
      <c r="E3096" t="str">
        <f>T("문과라도 안 죄송한 이세계로 감 63화")</f>
        <v>문과라도 안 죄송한 이세계로 감 63화</v>
      </c>
      <c r="F3096">
        <v>63</v>
      </c>
      <c r="G3096" t="str">
        <f>T("정수읠")</f>
        <v>정수읠</v>
      </c>
      <c r="J3096" t="str">
        <f>T("매드햇")</f>
        <v>매드햇</v>
      </c>
      <c r="K3096" t="str">
        <f>T("문과라도 안 죄송한 이세계로 감")</f>
        <v>문과라도 안 죄송한 이세계로 감</v>
      </c>
      <c r="L3096">
        <v>100</v>
      </c>
      <c r="M3096">
        <v>100</v>
      </c>
      <c r="N3096">
        <v>1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0</v>
      </c>
      <c r="AE3096">
        <v>0</v>
      </c>
      <c r="AF3096">
        <v>0</v>
      </c>
      <c r="AG3096">
        <v>0</v>
      </c>
      <c r="AH3096">
        <v>0</v>
      </c>
      <c r="AI3096">
        <v>100</v>
      </c>
      <c r="AJ3096">
        <v>1</v>
      </c>
      <c r="AK3096">
        <v>0</v>
      </c>
      <c r="AL3096">
        <v>0</v>
      </c>
      <c r="AM3096">
        <v>100</v>
      </c>
      <c r="AN3096">
        <v>0</v>
      </c>
      <c r="AO3096">
        <v>0</v>
      </c>
      <c r="AP3096">
        <v>0</v>
      </c>
      <c r="AQ3096">
        <v>0</v>
      </c>
      <c r="AS3096">
        <v>0</v>
      </c>
      <c r="AT3096">
        <v>0</v>
      </c>
      <c r="AV3096">
        <v>0</v>
      </c>
      <c r="AW3096">
        <v>0</v>
      </c>
      <c r="AY3096">
        <v>0</v>
      </c>
      <c r="AZ3096">
        <v>0</v>
      </c>
      <c r="BA3096">
        <v>70</v>
      </c>
      <c r="BE3096" t="str">
        <f>T("9791162589724")</f>
        <v>9791162589724</v>
      </c>
      <c r="BF3096" t="str">
        <f>T("E448299")</f>
        <v>E448299</v>
      </c>
      <c r="BG3096" t="str">
        <f>T("판타지 웹소설 &gt; 퓨전 판타지")</f>
        <v>판타지 웹소설 &gt; 퓨전 판타지</v>
      </c>
    </row>
    <row r="3097" spans="1:59">
      <c r="A3097" t="s">
        <v>60</v>
      </c>
      <c r="B3097" s="1">
        <v>46131</v>
      </c>
      <c r="C3097">
        <v>2378009513</v>
      </c>
      <c r="D3097">
        <v>2378009576</v>
      </c>
      <c r="E3097" t="str">
        <f>T("문과라도 안 죄송한 이세계로 감 64화")</f>
        <v>문과라도 안 죄송한 이세계로 감 64화</v>
      </c>
      <c r="F3097">
        <v>64</v>
      </c>
      <c r="G3097" t="str">
        <f>T("정수읠")</f>
        <v>정수읠</v>
      </c>
      <c r="J3097" t="str">
        <f>T("매드햇")</f>
        <v>매드햇</v>
      </c>
      <c r="K3097" t="str">
        <f>T("문과라도 안 죄송한 이세계로 감")</f>
        <v>문과라도 안 죄송한 이세계로 감</v>
      </c>
      <c r="L3097">
        <v>100</v>
      </c>
      <c r="M3097">
        <v>100</v>
      </c>
      <c r="N3097">
        <v>1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0</v>
      </c>
      <c r="AE3097">
        <v>0</v>
      </c>
      <c r="AF3097">
        <v>0</v>
      </c>
      <c r="AG3097">
        <v>0</v>
      </c>
      <c r="AH3097">
        <v>0</v>
      </c>
      <c r="AI3097">
        <v>100</v>
      </c>
      <c r="AJ3097">
        <v>1</v>
      </c>
      <c r="AK3097">
        <v>0</v>
      </c>
      <c r="AL3097">
        <v>0</v>
      </c>
      <c r="AM3097">
        <v>100</v>
      </c>
      <c r="AN3097">
        <v>0</v>
      </c>
      <c r="AO3097">
        <v>0</v>
      </c>
      <c r="AP3097">
        <v>0</v>
      </c>
      <c r="AQ3097">
        <v>0</v>
      </c>
      <c r="AS3097">
        <v>0</v>
      </c>
      <c r="AT3097">
        <v>0</v>
      </c>
      <c r="AV3097">
        <v>0</v>
      </c>
      <c r="AW3097">
        <v>0</v>
      </c>
      <c r="AY3097">
        <v>0</v>
      </c>
      <c r="AZ3097">
        <v>0</v>
      </c>
      <c r="BA3097">
        <v>70</v>
      </c>
      <c r="BE3097" t="str">
        <f>T("9791162589724")</f>
        <v>9791162589724</v>
      </c>
      <c r="BF3097" t="str">
        <f>T("E448300")</f>
        <v>E448300</v>
      </c>
      <c r="BG3097" t="str">
        <f>T("판타지 웹소설 &gt; 퓨전 판타지")</f>
        <v>판타지 웹소설 &gt; 퓨전 판타지</v>
      </c>
    </row>
    <row r="3098" spans="1:59">
      <c r="A3098" t="s">
        <v>60</v>
      </c>
      <c r="B3098" s="1">
        <v>46131</v>
      </c>
      <c r="C3098">
        <v>2378009513</v>
      </c>
      <c r="D3098">
        <v>2378009577</v>
      </c>
      <c r="E3098" t="str">
        <f>T("문과라도 안 죄송한 이세계로 감 65화")</f>
        <v>문과라도 안 죄송한 이세계로 감 65화</v>
      </c>
      <c r="F3098">
        <v>65</v>
      </c>
      <c r="G3098" t="str">
        <f>T("정수읠")</f>
        <v>정수읠</v>
      </c>
      <c r="J3098" t="str">
        <f>T("매드햇")</f>
        <v>매드햇</v>
      </c>
      <c r="K3098" t="str">
        <f>T("문과라도 안 죄송한 이세계로 감")</f>
        <v>문과라도 안 죄송한 이세계로 감</v>
      </c>
      <c r="L3098">
        <v>100</v>
      </c>
      <c r="M3098">
        <v>100</v>
      </c>
      <c r="N3098">
        <v>1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0</v>
      </c>
      <c r="AE3098">
        <v>0</v>
      </c>
      <c r="AF3098">
        <v>0</v>
      </c>
      <c r="AG3098">
        <v>0</v>
      </c>
      <c r="AH3098">
        <v>0</v>
      </c>
      <c r="AI3098">
        <v>100</v>
      </c>
      <c r="AJ3098">
        <v>1</v>
      </c>
      <c r="AK3098">
        <v>0</v>
      </c>
      <c r="AL3098">
        <v>0</v>
      </c>
      <c r="AM3098">
        <v>100</v>
      </c>
      <c r="AN3098">
        <v>0</v>
      </c>
      <c r="AO3098">
        <v>0</v>
      </c>
      <c r="AP3098">
        <v>0</v>
      </c>
      <c r="AQ3098">
        <v>0</v>
      </c>
      <c r="AS3098">
        <v>0</v>
      </c>
      <c r="AT3098">
        <v>0</v>
      </c>
      <c r="AV3098">
        <v>0</v>
      </c>
      <c r="AW3098">
        <v>0</v>
      </c>
      <c r="AY3098">
        <v>0</v>
      </c>
      <c r="AZ3098">
        <v>0</v>
      </c>
      <c r="BA3098">
        <v>70</v>
      </c>
      <c r="BE3098" t="str">
        <f>T("9791162589724")</f>
        <v>9791162589724</v>
      </c>
      <c r="BF3098" t="str">
        <f>T("E448301")</f>
        <v>E448301</v>
      </c>
      <c r="BG3098" t="str">
        <f>T("판타지 웹소설 &gt; 퓨전 판타지")</f>
        <v>판타지 웹소설 &gt; 퓨전 판타지</v>
      </c>
    </row>
    <row r="3099" spans="1:59">
      <c r="A3099" t="s">
        <v>60</v>
      </c>
      <c r="B3099" s="1">
        <v>46131</v>
      </c>
      <c r="C3099">
        <v>2378009513</v>
      </c>
      <c r="D3099">
        <v>2378009578</v>
      </c>
      <c r="E3099" t="str">
        <f>T("문과라도 안 죄송한 이세계로 감 66화")</f>
        <v>문과라도 안 죄송한 이세계로 감 66화</v>
      </c>
      <c r="F3099">
        <v>66</v>
      </c>
      <c r="G3099" t="str">
        <f>T("정수읠")</f>
        <v>정수읠</v>
      </c>
      <c r="J3099" t="str">
        <f>T("매드햇")</f>
        <v>매드햇</v>
      </c>
      <c r="K3099" t="str">
        <f>T("문과라도 안 죄송한 이세계로 감")</f>
        <v>문과라도 안 죄송한 이세계로 감</v>
      </c>
      <c r="L3099">
        <v>100</v>
      </c>
      <c r="M3099">
        <v>100</v>
      </c>
      <c r="N3099">
        <v>1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0</v>
      </c>
      <c r="AE3099">
        <v>0</v>
      </c>
      <c r="AF3099">
        <v>0</v>
      </c>
      <c r="AG3099">
        <v>0</v>
      </c>
      <c r="AH3099">
        <v>0</v>
      </c>
      <c r="AI3099">
        <v>100</v>
      </c>
      <c r="AJ3099">
        <v>1</v>
      </c>
      <c r="AK3099">
        <v>0</v>
      </c>
      <c r="AL3099">
        <v>0</v>
      </c>
      <c r="AM3099">
        <v>100</v>
      </c>
      <c r="AN3099">
        <v>0</v>
      </c>
      <c r="AO3099">
        <v>0</v>
      </c>
      <c r="AP3099">
        <v>0</v>
      </c>
      <c r="AQ3099">
        <v>0</v>
      </c>
      <c r="AS3099">
        <v>0</v>
      </c>
      <c r="AT3099">
        <v>0</v>
      </c>
      <c r="AV3099">
        <v>0</v>
      </c>
      <c r="AW3099">
        <v>0</v>
      </c>
      <c r="AY3099">
        <v>0</v>
      </c>
      <c r="AZ3099">
        <v>0</v>
      </c>
      <c r="BA3099">
        <v>70</v>
      </c>
      <c r="BE3099" t="str">
        <f>T("9791162589724")</f>
        <v>9791162589724</v>
      </c>
      <c r="BF3099" t="str">
        <f>T("E448302")</f>
        <v>E448302</v>
      </c>
      <c r="BG3099" t="str">
        <f>T("판타지 웹소설 &gt; 퓨전 판타지")</f>
        <v>판타지 웹소설 &gt; 퓨전 판타지</v>
      </c>
    </row>
    <row r="3100" spans="1:59">
      <c r="A3100" t="s">
        <v>60</v>
      </c>
      <c r="B3100" s="1">
        <v>46131</v>
      </c>
      <c r="C3100">
        <v>2378009513</v>
      </c>
      <c r="D3100">
        <v>2378009580</v>
      </c>
      <c r="E3100" t="str">
        <f>T("문과라도 안 죄송한 이세계로 감 68화")</f>
        <v>문과라도 안 죄송한 이세계로 감 68화</v>
      </c>
      <c r="F3100">
        <v>68</v>
      </c>
      <c r="G3100" t="str">
        <f>T("정수읠")</f>
        <v>정수읠</v>
      </c>
      <c r="J3100" t="str">
        <f>T("매드햇")</f>
        <v>매드햇</v>
      </c>
      <c r="K3100" t="str">
        <f>T("문과라도 안 죄송한 이세계로 감")</f>
        <v>문과라도 안 죄송한 이세계로 감</v>
      </c>
      <c r="L3100">
        <v>100</v>
      </c>
      <c r="M3100">
        <v>100</v>
      </c>
      <c r="N3100">
        <v>1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0</v>
      </c>
      <c r="AE3100">
        <v>0</v>
      </c>
      <c r="AF3100">
        <v>0</v>
      </c>
      <c r="AG3100">
        <v>0</v>
      </c>
      <c r="AH3100">
        <v>0</v>
      </c>
      <c r="AI3100">
        <v>100</v>
      </c>
      <c r="AJ3100">
        <v>1</v>
      </c>
      <c r="AK3100">
        <v>0</v>
      </c>
      <c r="AL3100">
        <v>0</v>
      </c>
      <c r="AM3100">
        <v>100</v>
      </c>
      <c r="AN3100">
        <v>0</v>
      </c>
      <c r="AO3100">
        <v>0</v>
      </c>
      <c r="AP3100">
        <v>0</v>
      </c>
      <c r="AQ3100">
        <v>0</v>
      </c>
      <c r="AS3100">
        <v>0</v>
      </c>
      <c r="AT3100">
        <v>0</v>
      </c>
      <c r="AV3100">
        <v>0</v>
      </c>
      <c r="AW3100">
        <v>0</v>
      </c>
      <c r="AY3100">
        <v>0</v>
      </c>
      <c r="AZ3100">
        <v>0</v>
      </c>
      <c r="BA3100">
        <v>70</v>
      </c>
      <c r="BE3100" t="str">
        <f>T("9791162589724")</f>
        <v>9791162589724</v>
      </c>
      <c r="BF3100" t="str">
        <f>T("E448304")</f>
        <v>E448304</v>
      </c>
      <c r="BG3100" t="str">
        <f>T("판타지 웹소설 &gt; 퓨전 판타지")</f>
        <v>판타지 웹소설 &gt; 퓨전 판타지</v>
      </c>
    </row>
    <row r="3101" spans="1:59">
      <c r="A3101" t="s">
        <v>60</v>
      </c>
      <c r="B3101" s="1">
        <v>46131</v>
      </c>
      <c r="C3101">
        <v>2378009513</v>
      </c>
      <c r="D3101">
        <v>2378009581</v>
      </c>
      <c r="E3101" t="str">
        <f>T("문과라도 안 죄송한 이세계로 감 69화")</f>
        <v>문과라도 안 죄송한 이세계로 감 69화</v>
      </c>
      <c r="F3101">
        <v>69</v>
      </c>
      <c r="G3101" t="str">
        <f>T("정수읠")</f>
        <v>정수읠</v>
      </c>
      <c r="J3101" t="str">
        <f>T("매드햇")</f>
        <v>매드햇</v>
      </c>
      <c r="K3101" t="str">
        <f>T("문과라도 안 죄송한 이세계로 감")</f>
        <v>문과라도 안 죄송한 이세계로 감</v>
      </c>
      <c r="L3101">
        <v>100</v>
      </c>
      <c r="M3101">
        <v>100</v>
      </c>
      <c r="N3101">
        <v>1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0</v>
      </c>
      <c r="AE3101">
        <v>0</v>
      </c>
      <c r="AF3101">
        <v>0</v>
      </c>
      <c r="AG3101">
        <v>0</v>
      </c>
      <c r="AH3101">
        <v>0</v>
      </c>
      <c r="AI3101">
        <v>100</v>
      </c>
      <c r="AJ3101">
        <v>1</v>
      </c>
      <c r="AK3101">
        <v>0</v>
      </c>
      <c r="AL3101">
        <v>0</v>
      </c>
      <c r="AM3101">
        <v>100</v>
      </c>
      <c r="AN3101">
        <v>0</v>
      </c>
      <c r="AO3101">
        <v>0</v>
      </c>
      <c r="AP3101">
        <v>0</v>
      </c>
      <c r="AQ3101">
        <v>0</v>
      </c>
      <c r="AS3101">
        <v>0</v>
      </c>
      <c r="AT3101">
        <v>0</v>
      </c>
      <c r="AV3101">
        <v>0</v>
      </c>
      <c r="AW3101">
        <v>0</v>
      </c>
      <c r="AY3101">
        <v>0</v>
      </c>
      <c r="AZ3101">
        <v>0</v>
      </c>
      <c r="BA3101">
        <v>70</v>
      </c>
      <c r="BE3101" t="str">
        <f>T("9791162589724")</f>
        <v>9791162589724</v>
      </c>
      <c r="BF3101" t="str">
        <f>T("E448305")</f>
        <v>E448305</v>
      </c>
      <c r="BG3101" t="str">
        <f>T("판타지 웹소설 &gt; 퓨전 판타지")</f>
        <v>판타지 웹소설 &gt; 퓨전 판타지</v>
      </c>
    </row>
    <row r="3102" spans="1:59">
      <c r="A3102" t="s">
        <v>60</v>
      </c>
      <c r="B3102" s="1">
        <v>46131</v>
      </c>
      <c r="C3102">
        <v>2378009513</v>
      </c>
      <c r="D3102">
        <v>2378009582</v>
      </c>
      <c r="E3102" t="str">
        <f>T("문과라도 안 죄송한 이세계로 감 70화")</f>
        <v>문과라도 안 죄송한 이세계로 감 70화</v>
      </c>
      <c r="F3102">
        <v>70</v>
      </c>
      <c r="G3102" t="str">
        <f>T("정수읠")</f>
        <v>정수읠</v>
      </c>
      <c r="J3102" t="str">
        <f>T("매드햇")</f>
        <v>매드햇</v>
      </c>
      <c r="K3102" t="str">
        <f>T("문과라도 안 죄송한 이세계로 감")</f>
        <v>문과라도 안 죄송한 이세계로 감</v>
      </c>
      <c r="L3102">
        <v>100</v>
      </c>
      <c r="M3102">
        <v>100</v>
      </c>
      <c r="N3102">
        <v>1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0</v>
      </c>
      <c r="AE3102">
        <v>0</v>
      </c>
      <c r="AF3102">
        <v>0</v>
      </c>
      <c r="AG3102">
        <v>0</v>
      </c>
      <c r="AH3102">
        <v>0</v>
      </c>
      <c r="AI3102">
        <v>100</v>
      </c>
      <c r="AJ3102">
        <v>1</v>
      </c>
      <c r="AK3102">
        <v>0</v>
      </c>
      <c r="AL3102">
        <v>0</v>
      </c>
      <c r="AM3102">
        <v>100</v>
      </c>
      <c r="AN3102">
        <v>0</v>
      </c>
      <c r="AO3102">
        <v>0</v>
      </c>
      <c r="AP3102">
        <v>0</v>
      </c>
      <c r="AQ3102">
        <v>0</v>
      </c>
      <c r="AS3102">
        <v>0</v>
      </c>
      <c r="AT3102">
        <v>0</v>
      </c>
      <c r="AV3102">
        <v>0</v>
      </c>
      <c r="AW3102">
        <v>0</v>
      </c>
      <c r="AY3102">
        <v>0</v>
      </c>
      <c r="AZ3102">
        <v>0</v>
      </c>
      <c r="BA3102">
        <v>70</v>
      </c>
      <c r="BE3102" t="str">
        <f>T("9791162589724")</f>
        <v>9791162589724</v>
      </c>
      <c r="BF3102" t="str">
        <f>T("E448306")</f>
        <v>E448306</v>
      </c>
      <c r="BG3102" t="str">
        <f>T("판타지 웹소설 &gt; 퓨전 판타지")</f>
        <v>판타지 웹소설 &gt; 퓨전 판타지</v>
      </c>
    </row>
    <row r="3103" spans="1:59">
      <c r="A3103" t="s">
        <v>60</v>
      </c>
      <c r="B3103" s="1">
        <v>46131</v>
      </c>
      <c r="C3103">
        <v>2378009513</v>
      </c>
      <c r="D3103">
        <v>2378009583</v>
      </c>
      <c r="E3103" t="str">
        <f>T("문과라도 안 죄송한 이세계로 감 71화")</f>
        <v>문과라도 안 죄송한 이세계로 감 71화</v>
      </c>
      <c r="F3103">
        <v>71</v>
      </c>
      <c r="G3103" t="str">
        <f>T("정수읠")</f>
        <v>정수읠</v>
      </c>
      <c r="J3103" t="str">
        <f>T("매드햇")</f>
        <v>매드햇</v>
      </c>
      <c r="K3103" t="str">
        <f>T("문과라도 안 죄송한 이세계로 감")</f>
        <v>문과라도 안 죄송한 이세계로 감</v>
      </c>
      <c r="L3103">
        <v>100</v>
      </c>
      <c r="M3103">
        <v>100</v>
      </c>
      <c r="N3103">
        <v>1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0</v>
      </c>
      <c r="AE3103">
        <v>0</v>
      </c>
      <c r="AF3103">
        <v>0</v>
      </c>
      <c r="AG3103">
        <v>0</v>
      </c>
      <c r="AH3103">
        <v>0</v>
      </c>
      <c r="AI3103">
        <v>100</v>
      </c>
      <c r="AJ3103">
        <v>1</v>
      </c>
      <c r="AK3103">
        <v>0</v>
      </c>
      <c r="AL3103">
        <v>0</v>
      </c>
      <c r="AM3103">
        <v>100</v>
      </c>
      <c r="AN3103">
        <v>0</v>
      </c>
      <c r="AO3103">
        <v>0</v>
      </c>
      <c r="AP3103">
        <v>0</v>
      </c>
      <c r="AQ3103">
        <v>0</v>
      </c>
      <c r="AS3103">
        <v>0</v>
      </c>
      <c r="AT3103">
        <v>0</v>
      </c>
      <c r="AV3103">
        <v>0</v>
      </c>
      <c r="AW3103">
        <v>0</v>
      </c>
      <c r="AY3103">
        <v>0</v>
      </c>
      <c r="AZ3103">
        <v>0</v>
      </c>
      <c r="BA3103">
        <v>70</v>
      </c>
      <c r="BE3103" t="str">
        <f>T("9791162589724")</f>
        <v>9791162589724</v>
      </c>
      <c r="BF3103" t="str">
        <f>T("E448307")</f>
        <v>E448307</v>
      </c>
      <c r="BG3103" t="str">
        <f>T("판타지 웹소설 &gt; 퓨전 판타지")</f>
        <v>판타지 웹소설 &gt; 퓨전 판타지</v>
      </c>
    </row>
    <row r="3104" spans="1:59">
      <c r="A3104" t="s">
        <v>60</v>
      </c>
      <c r="B3104" s="1">
        <v>46131</v>
      </c>
      <c r="C3104">
        <v>2378009513</v>
      </c>
      <c r="D3104">
        <v>2378009584</v>
      </c>
      <c r="E3104" t="str">
        <f>T("문과라도 안 죄송한 이세계로 감 72화")</f>
        <v>문과라도 안 죄송한 이세계로 감 72화</v>
      </c>
      <c r="F3104">
        <v>72</v>
      </c>
      <c r="G3104" t="str">
        <f>T("정수읠")</f>
        <v>정수읠</v>
      </c>
      <c r="J3104" t="str">
        <f>T("매드햇")</f>
        <v>매드햇</v>
      </c>
      <c r="K3104" t="str">
        <f>T("문과라도 안 죄송한 이세계로 감")</f>
        <v>문과라도 안 죄송한 이세계로 감</v>
      </c>
      <c r="L3104">
        <v>100</v>
      </c>
      <c r="M3104">
        <v>100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0</v>
      </c>
      <c r="AE3104">
        <v>0</v>
      </c>
      <c r="AF3104">
        <v>0</v>
      </c>
      <c r="AG3104">
        <v>0</v>
      </c>
      <c r="AH3104">
        <v>0</v>
      </c>
      <c r="AI3104">
        <v>100</v>
      </c>
      <c r="AJ3104">
        <v>1</v>
      </c>
      <c r="AK3104">
        <v>0</v>
      </c>
      <c r="AL3104">
        <v>0</v>
      </c>
      <c r="AM3104">
        <v>100</v>
      </c>
      <c r="AN3104">
        <v>0</v>
      </c>
      <c r="AO3104">
        <v>0</v>
      </c>
      <c r="AP3104">
        <v>0</v>
      </c>
      <c r="AQ3104">
        <v>0</v>
      </c>
      <c r="AS3104">
        <v>0</v>
      </c>
      <c r="AT3104">
        <v>0</v>
      </c>
      <c r="AV3104">
        <v>0</v>
      </c>
      <c r="AW3104">
        <v>0</v>
      </c>
      <c r="AY3104">
        <v>0</v>
      </c>
      <c r="AZ3104">
        <v>0</v>
      </c>
      <c r="BA3104">
        <v>70</v>
      </c>
      <c r="BE3104" t="str">
        <f>T("9791162589724")</f>
        <v>9791162589724</v>
      </c>
      <c r="BF3104" t="str">
        <f>T("E448308")</f>
        <v>E448308</v>
      </c>
      <c r="BG3104" t="str">
        <f>T("판타지 웹소설 &gt; 퓨전 판타지")</f>
        <v>판타지 웹소설 &gt; 퓨전 판타지</v>
      </c>
    </row>
    <row r="3105" spans="1:59">
      <c r="A3105" t="s">
        <v>60</v>
      </c>
      <c r="B3105" s="1">
        <v>46131</v>
      </c>
      <c r="C3105">
        <v>2378009513</v>
      </c>
      <c r="D3105">
        <v>2378009585</v>
      </c>
      <c r="E3105" t="str">
        <f>T("문과라도 안 죄송한 이세계로 감 73화")</f>
        <v>문과라도 안 죄송한 이세계로 감 73화</v>
      </c>
      <c r="F3105">
        <v>73</v>
      </c>
      <c r="G3105" t="str">
        <f>T("정수읠")</f>
        <v>정수읠</v>
      </c>
      <c r="J3105" t="str">
        <f>T("매드햇")</f>
        <v>매드햇</v>
      </c>
      <c r="K3105" t="str">
        <f>T("문과라도 안 죄송한 이세계로 감")</f>
        <v>문과라도 안 죄송한 이세계로 감</v>
      </c>
      <c r="L3105">
        <v>100</v>
      </c>
      <c r="M3105">
        <v>100</v>
      </c>
      <c r="N3105">
        <v>1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0</v>
      </c>
      <c r="AE3105">
        <v>0</v>
      </c>
      <c r="AF3105">
        <v>0</v>
      </c>
      <c r="AG3105">
        <v>0</v>
      </c>
      <c r="AH3105">
        <v>0</v>
      </c>
      <c r="AI3105">
        <v>100</v>
      </c>
      <c r="AJ3105">
        <v>1</v>
      </c>
      <c r="AK3105">
        <v>0</v>
      </c>
      <c r="AL3105">
        <v>0</v>
      </c>
      <c r="AM3105">
        <v>100</v>
      </c>
      <c r="AN3105">
        <v>0</v>
      </c>
      <c r="AO3105">
        <v>0</v>
      </c>
      <c r="AP3105">
        <v>0</v>
      </c>
      <c r="AQ3105">
        <v>0</v>
      </c>
      <c r="AS3105">
        <v>0</v>
      </c>
      <c r="AT3105">
        <v>0</v>
      </c>
      <c r="AV3105">
        <v>0</v>
      </c>
      <c r="AW3105">
        <v>0</v>
      </c>
      <c r="AY3105">
        <v>0</v>
      </c>
      <c r="AZ3105">
        <v>0</v>
      </c>
      <c r="BA3105">
        <v>70</v>
      </c>
      <c r="BE3105" t="str">
        <f>T("9791162589724")</f>
        <v>9791162589724</v>
      </c>
      <c r="BF3105" t="str">
        <f>T("E448309")</f>
        <v>E448309</v>
      </c>
      <c r="BG3105" t="str">
        <f>T("판타지 웹소설 &gt; 퓨전 판타지")</f>
        <v>판타지 웹소설 &gt; 퓨전 판타지</v>
      </c>
    </row>
    <row r="3106" spans="1:59">
      <c r="A3106" t="s">
        <v>60</v>
      </c>
      <c r="B3106" s="1">
        <v>46131</v>
      </c>
      <c r="C3106">
        <v>2378009513</v>
      </c>
      <c r="D3106">
        <v>2378009586</v>
      </c>
      <c r="E3106" t="str">
        <f>T("문과라도 안 죄송한 이세계로 감 74화")</f>
        <v>문과라도 안 죄송한 이세계로 감 74화</v>
      </c>
      <c r="F3106">
        <v>74</v>
      </c>
      <c r="G3106" t="str">
        <f>T("정수읠")</f>
        <v>정수읠</v>
      </c>
      <c r="J3106" t="str">
        <f>T("매드햇")</f>
        <v>매드햇</v>
      </c>
      <c r="K3106" t="str">
        <f>T("문과라도 안 죄송한 이세계로 감")</f>
        <v>문과라도 안 죄송한 이세계로 감</v>
      </c>
      <c r="L3106">
        <v>100</v>
      </c>
      <c r="M3106">
        <v>100</v>
      </c>
      <c r="N3106">
        <v>1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0</v>
      </c>
      <c r="AE3106">
        <v>0</v>
      </c>
      <c r="AF3106">
        <v>0</v>
      </c>
      <c r="AG3106">
        <v>0</v>
      </c>
      <c r="AH3106">
        <v>0</v>
      </c>
      <c r="AI3106">
        <v>100</v>
      </c>
      <c r="AJ3106">
        <v>1</v>
      </c>
      <c r="AK3106">
        <v>0</v>
      </c>
      <c r="AL3106">
        <v>0</v>
      </c>
      <c r="AM3106">
        <v>100</v>
      </c>
      <c r="AN3106">
        <v>0</v>
      </c>
      <c r="AO3106">
        <v>0</v>
      </c>
      <c r="AP3106">
        <v>0</v>
      </c>
      <c r="AQ3106">
        <v>0</v>
      </c>
      <c r="AS3106">
        <v>0</v>
      </c>
      <c r="AT3106">
        <v>0</v>
      </c>
      <c r="AV3106">
        <v>0</v>
      </c>
      <c r="AW3106">
        <v>0</v>
      </c>
      <c r="AY3106">
        <v>0</v>
      </c>
      <c r="AZ3106">
        <v>0</v>
      </c>
      <c r="BA3106">
        <v>70</v>
      </c>
      <c r="BE3106" t="str">
        <f>T("9791162589724")</f>
        <v>9791162589724</v>
      </c>
      <c r="BF3106" t="str">
        <f>T("E448310")</f>
        <v>E448310</v>
      </c>
      <c r="BG3106" t="str">
        <f>T("판타지 웹소설 &gt; 퓨전 판타지")</f>
        <v>판타지 웹소설 &gt; 퓨전 판타지</v>
      </c>
    </row>
    <row r="3107" spans="1:59">
      <c r="A3107" t="s">
        <v>60</v>
      </c>
      <c r="B3107" s="1">
        <v>46131</v>
      </c>
      <c r="C3107">
        <v>2378009513</v>
      </c>
      <c r="D3107">
        <v>2378009587</v>
      </c>
      <c r="E3107" t="str">
        <f>T("문과라도 안 죄송한 이세계로 감 75화")</f>
        <v>문과라도 안 죄송한 이세계로 감 75화</v>
      </c>
      <c r="F3107">
        <v>75</v>
      </c>
      <c r="G3107" t="str">
        <f>T("정수읠")</f>
        <v>정수읠</v>
      </c>
      <c r="J3107" t="str">
        <f>T("매드햇")</f>
        <v>매드햇</v>
      </c>
      <c r="K3107" t="str">
        <f>T("문과라도 안 죄송한 이세계로 감")</f>
        <v>문과라도 안 죄송한 이세계로 감</v>
      </c>
      <c r="L3107">
        <v>100</v>
      </c>
      <c r="M3107">
        <v>100</v>
      </c>
      <c r="N3107">
        <v>1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0</v>
      </c>
      <c r="AE3107">
        <v>0</v>
      </c>
      <c r="AF3107">
        <v>0</v>
      </c>
      <c r="AG3107">
        <v>0</v>
      </c>
      <c r="AH3107">
        <v>0</v>
      </c>
      <c r="AI3107">
        <v>100</v>
      </c>
      <c r="AJ3107">
        <v>1</v>
      </c>
      <c r="AK3107">
        <v>0</v>
      </c>
      <c r="AL3107">
        <v>0</v>
      </c>
      <c r="AM3107">
        <v>100</v>
      </c>
      <c r="AN3107">
        <v>0</v>
      </c>
      <c r="AO3107">
        <v>0</v>
      </c>
      <c r="AP3107">
        <v>0</v>
      </c>
      <c r="AQ3107">
        <v>0</v>
      </c>
      <c r="AS3107">
        <v>0</v>
      </c>
      <c r="AT3107">
        <v>0</v>
      </c>
      <c r="AV3107">
        <v>0</v>
      </c>
      <c r="AW3107">
        <v>0</v>
      </c>
      <c r="AY3107">
        <v>0</v>
      </c>
      <c r="AZ3107">
        <v>0</v>
      </c>
      <c r="BA3107">
        <v>70</v>
      </c>
      <c r="BE3107" t="str">
        <f>T("9791162589724")</f>
        <v>9791162589724</v>
      </c>
      <c r="BF3107" t="str">
        <f>T("E448311")</f>
        <v>E448311</v>
      </c>
      <c r="BG3107" t="str">
        <f>T("판타지 웹소설 &gt; 퓨전 판타지")</f>
        <v>판타지 웹소설 &gt; 퓨전 판타지</v>
      </c>
    </row>
    <row r="3108" spans="1:59">
      <c r="A3108" t="s">
        <v>60</v>
      </c>
      <c r="B3108" s="1">
        <v>46131</v>
      </c>
      <c r="C3108">
        <v>2378009513</v>
      </c>
      <c r="D3108">
        <v>2378009588</v>
      </c>
      <c r="E3108" t="str">
        <f>T("문과라도 안 죄송한 이세계로 감 76화")</f>
        <v>문과라도 안 죄송한 이세계로 감 76화</v>
      </c>
      <c r="F3108">
        <v>76</v>
      </c>
      <c r="G3108" t="str">
        <f>T("정수읠")</f>
        <v>정수읠</v>
      </c>
      <c r="J3108" t="str">
        <f>T("매드햇")</f>
        <v>매드햇</v>
      </c>
      <c r="K3108" t="str">
        <f>T("문과라도 안 죄송한 이세계로 감")</f>
        <v>문과라도 안 죄송한 이세계로 감</v>
      </c>
      <c r="L3108">
        <v>100</v>
      </c>
      <c r="M3108">
        <v>100</v>
      </c>
      <c r="N3108">
        <v>1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0</v>
      </c>
      <c r="AE3108">
        <v>0</v>
      </c>
      <c r="AF3108">
        <v>0</v>
      </c>
      <c r="AG3108">
        <v>0</v>
      </c>
      <c r="AH3108">
        <v>0</v>
      </c>
      <c r="AI3108">
        <v>100</v>
      </c>
      <c r="AJ3108">
        <v>1</v>
      </c>
      <c r="AK3108">
        <v>0</v>
      </c>
      <c r="AL3108">
        <v>0</v>
      </c>
      <c r="AM3108">
        <v>100</v>
      </c>
      <c r="AN3108">
        <v>0</v>
      </c>
      <c r="AO3108">
        <v>0</v>
      </c>
      <c r="AP3108">
        <v>0</v>
      </c>
      <c r="AQ3108">
        <v>0</v>
      </c>
      <c r="AS3108">
        <v>0</v>
      </c>
      <c r="AT3108">
        <v>0</v>
      </c>
      <c r="AV3108">
        <v>0</v>
      </c>
      <c r="AW3108">
        <v>0</v>
      </c>
      <c r="AY3108">
        <v>0</v>
      </c>
      <c r="AZ3108">
        <v>0</v>
      </c>
      <c r="BA3108">
        <v>70</v>
      </c>
      <c r="BE3108" t="str">
        <f>T("9791162589724")</f>
        <v>9791162589724</v>
      </c>
      <c r="BF3108" t="str">
        <f>T("E448312")</f>
        <v>E448312</v>
      </c>
      <c r="BG3108" t="str">
        <f>T("판타지 웹소설 &gt; 퓨전 판타지")</f>
        <v>판타지 웹소설 &gt; 퓨전 판타지</v>
      </c>
    </row>
    <row r="3109" spans="1:59">
      <c r="A3109" t="s">
        <v>60</v>
      </c>
      <c r="B3109" s="1">
        <v>46131</v>
      </c>
      <c r="C3109">
        <v>2378009513</v>
      </c>
      <c r="D3109">
        <v>2378009589</v>
      </c>
      <c r="E3109" t="str">
        <f>T("문과라도 안 죄송한 이세계로 감 77화")</f>
        <v>문과라도 안 죄송한 이세계로 감 77화</v>
      </c>
      <c r="F3109">
        <v>77</v>
      </c>
      <c r="G3109" t="str">
        <f>T("정수읠")</f>
        <v>정수읠</v>
      </c>
      <c r="J3109" t="str">
        <f>T("매드햇")</f>
        <v>매드햇</v>
      </c>
      <c r="K3109" t="str">
        <f>T("문과라도 안 죄송한 이세계로 감")</f>
        <v>문과라도 안 죄송한 이세계로 감</v>
      </c>
      <c r="L3109">
        <v>100</v>
      </c>
      <c r="M3109">
        <v>200</v>
      </c>
      <c r="N3109">
        <v>2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0</v>
      </c>
      <c r="AE3109">
        <v>0</v>
      </c>
      <c r="AF3109">
        <v>0</v>
      </c>
      <c r="AG3109">
        <v>0</v>
      </c>
      <c r="AH3109">
        <v>0</v>
      </c>
      <c r="AI3109">
        <v>200</v>
      </c>
      <c r="AJ3109">
        <v>2</v>
      </c>
      <c r="AK3109">
        <v>0</v>
      </c>
      <c r="AL3109">
        <v>0</v>
      </c>
      <c r="AM3109">
        <v>200</v>
      </c>
      <c r="AN3109">
        <v>0</v>
      </c>
      <c r="AO3109">
        <v>0</v>
      </c>
      <c r="AP3109">
        <v>0</v>
      </c>
      <c r="AQ3109">
        <v>0</v>
      </c>
      <c r="AS3109">
        <v>0</v>
      </c>
      <c r="AT3109">
        <v>0</v>
      </c>
      <c r="AV3109">
        <v>0</v>
      </c>
      <c r="AW3109">
        <v>0</v>
      </c>
      <c r="AY3109">
        <v>0</v>
      </c>
      <c r="AZ3109">
        <v>0</v>
      </c>
      <c r="BA3109">
        <v>140</v>
      </c>
      <c r="BE3109" t="str">
        <f>T("9791162589724")</f>
        <v>9791162589724</v>
      </c>
      <c r="BF3109" t="str">
        <f>T("E448313")</f>
        <v>E448313</v>
      </c>
      <c r="BG3109" t="str">
        <f>T("판타지 웹소설 &gt; 퓨전 판타지")</f>
        <v>판타지 웹소설 &gt; 퓨전 판타지</v>
      </c>
    </row>
    <row r="3110" spans="1:59">
      <c r="A3110" t="s">
        <v>60</v>
      </c>
      <c r="B3110" s="1">
        <v>46131</v>
      </c>
      <c r="C3110">
        <v>2378009513</v>
      </c>
      <c r="D3110">
        <v>2378012909</v>
      </c>
      <c r="E3110" t="str">
        <f>T("문과라도 안 죄송한 이세계로 감 219화")</f>
        <v>문과라도 안 죄송한 이세계로 감 219화</v>
      </c>
      <c r="F3110">
        <v>219</v>
      </c>
      <c r="G3110" t="str">
        <f>T("정수읠")</f>
        <v>정수읠</v>
      </c>
      <c r="J3110" t="str">
        <f>T("매드햇")</f>
        <v>매드햇</v>
      </c>
      <c r="K3110" t="str">
        <f>T("문과라도 안 죄송한 이세계로 감")</f>
        <v>문과라도 안 죄송한 이세계로 감</v>
      </c>
      <c r="L3110">
        <v>100</v>
      </c>
      <c r="M3110">
        <v>100</v>
      </c>
      <c r="N3110">
        <v>1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0</v>
      </c>
      <c r="AE3110">
        <v>0</v>
      </c>
      <c r="AF3110">
        <v>0</v>
      </c>
      <c r="AG3110">
        <v>0</v>
      </c>
      <c r="AH3110">
        <v>0</v>
      </c>
      <c r="AI3110">
        <v>100</v>
      </c>
      <c r="AJ3110">
        <v>1</v>
      </c>
      <c r="AK3110">
        <v>0</v>
      </c>
      <c r="AL3110">
        <v>0</v>
      </c>
      <c r="AM3110">
        <v>100</v>
      </c>
      <c r="AN3110">
        <v>0</v>
      </c>
      <c r="AO3110">
        <v>0</v>
      </c>
      <c r="AP3110">
        <v>0</v>
      </c>
      <c r="AQ3110">
        <v>0</v>
      </c>
      <c r="AS3110">
        <v>0</v>
      </c>
      <c r="AT3110">
        <v>0</v>
      </c>
      <c r="AV3110">
        <v>0</v>
      </c>
      <c r="AW3110">
        <v>0</v>
      </c>
      <c r="AY3110">
        <v>0</v>
      </c>
      <c r="AZ3110">
        <v>0</v>
      </c>
      <c r="BA3110">
        <v>70</v>
      </c>
      <c r="BC3110" t="str">
        <f>T("0000000000000")</f>
        <v>0000000000000</v>
      </c>
      <c r="BE3110" t="str">
        <f>T("9791162589724")</f>
        <v>9791162589724</v>
      </c>
      <c r="BF3110" t="str">
        <f>T("E678130")</f>
        <v>E678130</v>
      </c>
      <c r="BG3110" t="str">
        <f>T("판타지 웹소설 &gt; 퓨전 판타지")</f>
        <v>판타지 웹소설 &gt; 퓨전 판타지</v>
      </c>
    </row>
    <row r="3111" spans="1:59">
      <c r="A3111" t="s">
        <v>60</v>
      </c>
      <c r="B3111" s="1">
        <v>46131</v>
      </c>
      <c r="C3111">
        <v>2378009513</v>
      </c>
      <c r="D3111">
        <v>2378009606</v>
      </c>
      <c r="E3111" t="str">
        <f>T("문과라도 안 죄송한 이세계로 감 94화")</f>
        <v>문과라도 안 죄송한 이세계로 감 94화</v>
      </c>
      <c r="F3111">
        <v>94</v>
      </c>
      <c r="G3111" t="str">
        <f>T("정수읠")</f>
        <v>정수읠</v>
      </c>
      <c r="J3111" t="str">
        <f>T("매드햇")</f>
        <v>매드햇</v>
      </c>
      <c r="K3111" t="str">
        <f>T("문과라도 안 죄송한 이세계로 감")</f>
        <v>문과라도 안 죄송한 이세계로 감</v>
      </c>
      <c r="L3111">
        <v>100</v>
      </c>
      <c r="M3111">
        <v>100</v>
      </c>
      <c r="N3111">
        <v>1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0</v>
      </c>
      <c r="AE3111">
        <v>0</v>
      </c>
      <c r="AF3111">
        <v>0</v>
      </c>
      <c r="AG3111">
        <v>0</v>
      </c>
      <c r="AH3111">
        <v>0</v>
      </c>
      <c r="AI3111">
        <v>100</v>
      </c>
      <c r="AJ3111">
        <v>1</v>
      </c>
      <c r="AK3111">
        <v>0</v>
      </c>
      <c r="AL3111">
        <v>0</v>
      </c>
      <c r="AM3111">
        <v>100</v>
      </c>
      <c r="AN3111">
        <v>0</v>
      </c>
      <c r="AO3111">
        <v>0</v>
      </c>
      <c r="AP3111">
        <v>0</v>
      </c>
      <c r="AQ3111">
        <v>0</v>
      </c>
      <c r="AS3111">
        <v>0</v>
      </c>
      <c r="AT3111">
        <v>0</v>
      </c>
      <c r="AV3111">
        <v>0</v>
      </c>
      <c r="AW3111">
        <v>0</v>
      </c>
      <c r="AY3111">
        <v>0</v>
      </c>
      <c r="AZ3111">
        <v>0</v>
      </c>
      <c r="BA3111">
        <v>70</v>
      </c>
      <c r="BE3111" t="str">
        <f>T("9791162589724")</f>
        <v>9791162589724</v>
      </c>
      <c r="BF3111" t="str">
        <f>T("E448330")</f>
        <v>E448330</v>
      </c>
      <c r="BG3111" t="str">
        <f>T("판타지 웹소설 &gt; 퓨전 판타지")</f>
        <v>판타지 웹소설 &gt; 퓨전 판타지</v>
      </c>
    </row>
    <row r="3112" spans="1:59">
      <c r="A3112" t="s">
        <v>60</v>
      </c>
      <c r="B3112" s="1">
        <v>46131</v>
      </c>
      <c r="C3112">
        <v>2378009513</v>
      </c>
      <c r="D3112">
        <v>2378037596</v>
      </c>
      <c r="E3112" t="str">
        <f>T("문과라도 안 죄송한 이세계로 감 488화")</f>
        <v>문과라도 안 죄송한 이세계로 감 488화</v>
      </c>
      <c r="F3112">
        <v>488</v>
      </c>
      <c r="G3112" t="str">
        <f>T("정수읠")</f>
        <v>정수읠</v>
      </c>
      <c r="J3112" t="str">
        <f>T("매드햇")</f>
        <v>매드햇</v>
      </c>
      <c r="K3112" t="str">
        <f>T("문과라도 안 죄송한 이세계로 감")</f>
        <v>문과라도 안 죄송한 이세계로 감</v>
      </c>
      <c r="L3112">
        <v>100</v>
      </c>
      <c r="M3112">
        <v>200</v>
      </c>
      <c r="N3112">
        <v>2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0</v>
      </c>
      <c r="AE3112">
        <v>0</v>
      </c>
      <c r="AF3112">
        <v>0</v>
      </c>
      <c r="AG3112">
        <v>0</v>
      </c>
      <c r="AH3112">
        <v>0</v>
      </c>
      <c r="AI3112">
        <v>200</v>
      </c>
      <c r="AJ3112">
        <v>2</v>
      </c>
      <c r="AK3112">
        <v>0</v>
      </c>
      <c r="AL3112">
        <v>0</v>
      </c>
      <c r="AM3112">
        <v>110</v>
      </c>
      <c r="AN3112">
        <v>0</v>
      </c>
      <c r="AO3112">
        <v>108</v>
      </c>
      <c r="AP3112">
        <v>-10.8</v>
      </c>
      <c r="AQ3112">
        <v>0</v>
      </c>
      <c r="AS3112">
        <v>0</v>
      </c>
      <c r="AT3112">
        <v>0</v>
      </c>
      <c r="AU3112">
        <v>108</v>
      </c>
      <c r="AV3112">
        <v>-10.8</v>
      </c>
      <c r="AW3112">
        <v>0</v>
      </c>
      <c r="AY3112">
        <v>0</v>
      </c>
      <c r="AZ3112">
        <v>0</v>
      </c>
      <c r="BA3112">
        <v>145.04</v>
      </c>
      <c r="BC3112" t="str">
        <f>T("0000000000000")</f>
        <v>0000000000000</v>
      </c>
      <c r="BE3112" t="str">
        <f>T("9791162589724")</f>
        <v>9791162589724</v>
      </c>
      <c r="BF3112" t="str">
        <f>T("N135363")</f>
        <v>N135363</v>
      </c>
      <c r="BG3112" t="str">
        <f>T("판타지 웹소설 &gt; 퓨전 판타지")</f>
        <v>판타지 웹소설 &gt; 퓨전 판타지</v>
      </c>
    </row>
    <row r="3113" spans="1:59">
      <c r="A3113" t="s">
        <v>60</v>
      </c>
      <c r="B3113" s="1">
        <v>46131</v>
      </c>
      <c r="C3113">
        <v>2378009513</v>
      </c>
      <c r="D3113">
        <v>2378009607</v>
      </c>
      <c r="E3113" t="str">
        <f>T("문과라도 안 죄송한 이세계로 감 95화")</f>
        <v>문과라도 안 죄송한 이세계로 감 95화</v>
      </c>
      <c r="F3113">
        <v>95</v>
      </c>
      <c r="G3113" t="str">
        <f>T("정수읠")</f>
        <v>정수읠</v>
      </c>
      <c r="J3113" t="str">
        <f>T("매드햇")</f>
        <v>매드햇</v>
      </c>
      <c r="K3113" t="str">
        <f>T("문과라도 안 죄송한 이세계로 감")</f>
        <v>문과라도 안 죄송한 이세계로 감</v>
      </c>
      <c r="L3113">
        <v>100</v>
      </c>
      <c r="M3113">
        <v>100</v>
      </c>
      <c r="N3113">
        <v>1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0</v>
      </c>
      <c r="AE3113">
        <v>0</v>
      </c>
      <c r="AF3113">
        <v>0</v>
      </c>
      <c r="AG3113">
        <v>0</v>
      </c>
      <c r="AH3113">
        <v>0</v>
      </c>
      <c r="AI3113">
        <v>100</v>
      </c>
      <c r="AJ3113">
        <v>1</v>
      </c>
      <c r="AK3113">
        <v>0</v>
      </c>
      <c r="AL3113">
        <v>0</v>
      </c>
      <c r="AM3113">
        <v>100</v>
      </c>
      <c r="AN3113">
        <v>0</v>
      </c>
      <c r="AO3113">
        <v>0</v>
      </c>
      <c r="AP3113">
        <v>0</v>
      </c>
      <c r="AQ3113">
        <v>0</v>
      </c>
      <c r="AS3113">
        <v>0</v>
      </c>
      <c r="AT3113">
        <v>0</v>
      </c>
      <c r="AV3113">
        <v>0</v>
      </c>
      <c r="AW3113">
        <v>0</v>
      </c>
      <c r="AY3113">
        <v>0</v>
      </c>
      <c r="AZ3113">
        <v>0</v>
      </c>
      <c r="BA3113">
        <v>70</v>
      </c>
      <c r="BE3113" t="str">
        <f>T("9791162589724")</f>
        <v>9791162589724</v>
      </c>
      <c r="BF3113" t="str">
        <f>T("E448331")</f>
        <v>E448331</v>
      </c>
      <c r="BG3113" t="str">
        <f>T("판타지 웹소설 &gt; 퓨전 판타지")</f>
        <v>판타지 웹소설 &gt; 퓨전 판타지</v>
      </c>
    </row>
    <row r="3114" spans="1:59">
      <c r="A3114" t="s">
        <v>60</v>
      </c>
      <c r="B3114" s="1">
        <v>46131</v>
      </c>
      <c r="C3114">
        <v>2378009513</v>
      </c>
      <c r="D3114">
        <v>2378009608</v>
      </c>
      <c r="E3114" t="str">
        <f>T("문과라도 안 죄송한 이세계로 감 96화")</f>
        <v>문과라도 안 죄송한 이세계로 감 96화</v>
      </c>
      <c r="F3114">
        <v>96</v>
      </c>
      <c r="G3114" t="str">
        <f>T("정수읠")</f>
        <v>정수읠</v>
      </c>
      <c r="J3114" t="str">
        <f>T("매드햇")</f>
        <v>매드햇</v>
      </c>
      <c r="K3114" t="str">
        <f>T("문과라도 안 죄송한 이세계로 감")</f>
        <v>문과라도 안 죄송한 이세계로 감</v>
      </c>
      <c r="L3114">
        <v>100</v>
      </c>
      <c r="M3114">
        <v>100</v>
      </c>
      <c r="N3114">
        <v>1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0</v>
      </c>
      <c r="AE3114">
        <v>0</v>
      </c>
      <c r="AF3114">
        <v>0</v>
      </c>
      <c r="AG3114">
        <v>0</v>
      </c>
      <c r="AH3114">
        <v>0</v>
      </c>
      <c r="AI3114">
        <v>100</v>
      </c>
      <c r="AJ3114">
        <v>1</v>
      </c>
      <c r="AK3114">
        <v>0</v>
      </c>
      <c r="AL3114">
        <v>0</v>
      </c>
      <c r="AM3114">
        <v>100</v>
      </c>
      <c r="AN3114">
        <v>0</v>
      </c>
      <c r="AO3114">
        <v>0</v>
      </c>
      <c r="AP3114">
        <v>0</v>
      </c>
      <c r="AQ3114">
        <v>0</v>
      </c>
      <c r="AS3114">
        <v>0</v>
      </c>
      <c r="AT3114">
        <v>0</v>
      </c>
      <c r="AV3114">
        <v>0</v>
      </c>
      <c r="AW3114">
        <v>0</v>
      </c>
      <c r="AY3114">
        <v>0</v>
      </c>
      <c r="AZ3114">
        <v>0</v>
      </c>
      <c r="BA3114">
        <v>70</v>
      </c>
      <c r="BE3114" t="str">
        <f>T("9791162589724")</f>
        <v>9791162589724</v>
      </c>
      <c r="BF3114" t="str">
        <f>T("E448332")</f>
        <v>E448332</v>
      </c>
      <c r="BG3114" t="str">
        <f>T("판타지 웹소설 &gt; 퓨전 판타지")</f>
        <v>판타지 웹소설 &gt; 퓨전 판타지</v>
      </c>
    </row>
    <row r="3115" spans="1:59">
      <c r="A3115" t="s">
        <v>60</v>
      </c>
      <c r="B3115" s="1">
        <v>46131</v>
      </c>
      <c r="C3115">
        <v>2378009513</v>
      </c>
      <c r="D3115">
        <v>2378016550</v>
      </c>
      <c r="E3115" t="str">
        <f>T("문과라도 안 죄송한 이세계로 감 306화")</f>
        <v>문과라도 안 죄송한 이세계로 감 306화</v>
      </c>
      <c r="F3115">
        <v>306</v>
      </c>
      <c r="G3115" t="str">
        <f>T("정수읠")</f>
        <v>정수읠</v>
      </c>
      <c r="J3115" t="str">
        <f>T("매드햇")</f>
        <v>매드햇</v>
      </c>
      <c r="K3115" t="str">
        <f>T("문과라도 안 죄송한 이세계로 감")</f>
        <v>문과라도 안 죄송한 이세계로 감</v>
      </c>
      <c r="L3115">
        <v>100</v>
      </c>
      <c r="M3115">
        <v>200</v>
      </c>
      <c r="N3115">
        <v>2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0</v>
      </c>
      <c r="AE3115">
        <v>0</v>
      </c>
      <c r="AF3115">
        <v>0</v>
      </c>
      <c r="AG3115">
        <v>0</v>
      </c>
      <c r="AH3115">
        <v>0</v>
      </c>
      <c r="AI3115">
        <v>200</v>
      </c>
      <c r="AJ3115">
        <v>2</v>
      </c>
      <c r="AK3115">
        <v>0</v>
      </c>
      <c r="AL3115">
        <v>0</v>
      </c>
      <c r="AM3115">
        <v>110</v>
      </c>
      <c r="AN3115">
        <v>0</v>
      </c>
      <c r="AO3115">
        <v>108</v>
      </c>
      <c r="AP3115">
        <v>-10.8</v>
      </c>
      <c r="AQ3115">
        <v>0</v>
      </c>
      <c r="AS3115">
        <v>0</v>
      </c>
      <c r="AT3115">
        <v>0</v>
      </c>
      <c r="AU3115">
        <v>108</v>
      </c>
      <c r="AV3115">
        <v>-10.8</v>
      </c>
      <c r="AW3115">
        <v>0</v>
      </c>
      <c r="AY3115">
        <v>0</v>
      </c>
      <c r="AZ3115">
        <v>0</v>
      </c>
      <c r="BA3115">
        <v>145.04</v>
      </c>
      <c r="BC3115" t="str">
        <f>T("0000000000000")</f>
        <v>0000000000000</v>
      </c>
      <c r="BE3115" t="str">
        <f>T("9791162589724")</f>
        <v>9791162589724</v>
      </c>
      <c r="BF3115" t="str">
        <f>T("E768847")</f>
        <v>E768847</v>
      </c>
      <c r="BG3115" t="str">
        <f>T("판타지 웹소설 &gt; 퓨전 판타지")</f>
        <v>판타지 웹소설 &gt; 퓨전 판타지</v>
      </c>
    </row>
    <row r="3116" spans="1:59">
      <c r="A3116" t="s">
        <v>60</v>
      </c>
      <c r="B3116" s="1">
        <v>46131</v>
      </c>
      <c r="C3116">
        <v>2378009513</v>
      </c>
      <c r="D3116">
        <v>2378026644</v>
      </c>
      <c r="E3116" t="str">
        <f>T("문과라도 안 죄송한 이세계로 감 357화")</f>
        <v>문과라도 안 죄송한 이세계로 감 357화</v>
      </c>
      <c r="F3116">
        <v>357</v>
      </c>
      <c r="G3116" t="str">
        <f>T("정수읠")</f>
        <v>정수읠</v>
      </c>
      <c r="J3116" t="str">
        <f>T("매드햇")</f>
        <v>매드햇</v>
      </c>
      <c r="K3116" t="str">
        <f>T("문과라도 안 죄송한 이세계로 감")</f>
        <v>문과라도 안 죄송한 이세계로 감</v>
      </c>
      <c r="L3116">
        <v>100</v>
      </c>
      <c r="M3116">
        <v>100</v>
      </c>
      <c r="N3116">
        <v>1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0</v>
      </c>
      <c r="AE3116">
        <v>0</v>
      </c>
      <c r="AF3116">
        <v>0</v>
      </c>
      <c r="AG3116">
        <v>0</v>
      </c>
      <c r="AH3116">
        <v>0</v>
      </c>
      <c r="AI3116">
        <v>100</v>
      </c>
      <c r="AJ3116">
        <v>1</v>
      </c>
      <c r="AK3116">
        <v>0</v>
      </c>
      <c r="AL3116">
        <v>0</v>
      </c>
      <c r="AM3116">
        <v>10</v>
      </c>
      <c r="AN3116">
        <v>0</v>
      </c>
      <c r="AO3116">
        <v>108</v>
      </c>
      <c r="AP3116">
        <v>-10.8</v>
      </c>
      <c r="AQ3116">
        <v>0</v>
      </c>
      <c r="AS3116">
        <v>0</v>
      </c>
      <c r="AT3116">
        <v>0</v>
      </c>
      <c r="AU3116">
        <v>108</v>
      </c>
      <c r="AV3116">
        <v>-10.8</v>
      </c>
      <c r="AW3116">
        <v>0</v>
      </c>
      <c r="AY3116">
        <v>0</v>
      </c>
      <c r="AZ3116">
        <v>0</v>
      </c>
      <c r="BA3116">
        <v>75.040000000000006</v>
      </c>
      <c r="BC3116" t="str">
        <f>T("0000000000000")</f>
        <v>0000000000000</v>
      </c>
      <c r="BE3116" t="str">
        <f>T("9791162589724")</f>
        <v>9791162589724</v>
      </c>
      <c r="BF3116" t="str">
        <f>T("E830253")</f>
        <v>E830253</v>
      </c>
      <c r="BG3116" t="str">
        <f>T("판타지 웹소설 &gt; 퓨전 판타지")</f>
        <v>판타지 웹소설 &gt; 퓨전 판타지</v>
      </c>
    </row>
    <row r="3117" spans="1:59">
      <c r="A3117" t="s">
        <v>60</v>
      </c>
      <c r="B3117" s="1">
        <v>46131</v>
      </c>
      <c r="C3117">
        <v>2378009513</v>
      </c>
      <c r="D3117">
        <v>2378026645</v>
      </c>
      <c r="E3117" t="str">
        <f>T("문과라도 안 죄송한 이세계로 감 358화")</f>
        <v>문과라도 안 죄송한 이세계로 감 358화</v>
      </c>
      <c r="F3117">
        <v>358</v>
      </c>
      <c r="G3117" t="str">
        <f>T("정수읠")</f>
        <v>정수읠</v>
      </c>
      <c r="J3117" t="str">
        <f>T("매드햇")</f>
        <v>매드햇</v>
      </c>
      <c r="K3117" t="str">
        <f>T("문과라도 안 죄송한 이세계로 감")</f>
        <v>문과라도 안 죄송한 이세계로 감</v>
      </c>
      <c r="L3117">
        <v>100</v>
      </c>
      <c r="M3117">
        <v>100</v>
      </c>
      <c r="N3117">
        <v>1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0</v>
      </c>
      <c r="AE3117">
        <v>0</v>
      </c>
      <c r="AF3117">
        <v>0</v>
      </c>
      <c r="AG3117">
        <v>0</v>
      </c>
      <c r="AH3117">
        <v>0</v>
      </c>
      <c r="AI3117">
        <v>100</v>
      </c>
      <c r="AJ3117">
        <v>1</v>
      </c>
      <c r="AK3117">
        <v>0</v>
      </c>
      <c r="AL3117">
        <v>0</v>
      </c>
      <c r="AM3117">
        <v>10</v>
      </c>
      <c r="AN3117">
        <v>0</v>
      </c>
      <c r="AO3117">
        <v>108</v>
      </c>
      <c r="AP3117">
        <v>-10.8</v>
      </c>
      <c r="AQ3117">
        <v>0</v>
      </c>
      <c r="AS3117">
        <v>0</v>
      </c>
      <c r="AT3117">
        <v>0</v>
      </c>
      <c r="AU3117">
        <v>108</v>
      </c>
      <c r="AV3117">
        <v>-10.8</v>
      </c>
      <c r="AW3117">
        <v>0</v>
      </c>
      <c r="AY3117">
        <v>0</v>
      </c>
      <c r="AZ3117">
        <v>0</v>
      </c>
      <c r="BA3117">
        <v>75.040000000000006</v>
      </c>
      <c r="BC3117" t="str">
        <f>T("0000000000000")</f>
        <v>0000000000000</v>
      </c>
      <c r="BE3117" t="str">
        <f>T("9791162589724")</f>
        <v>9791162589724</v>
      </c>
      <c r="BF3117" t="str">
        <f>T("E830254")</f>
        <v>E830254</v>
      </c>
      <c r="BG3117" t="str">
        <f>T("판타지 웹소설 &gt; 퓨전 판타지")</f>
        <v>판타지 웹소설 &gt; 퓨전 판타지</v>
      </c>
    </row>
    <row r="3118" spans="1:59">
      <c r="A3118" t="s">
        <v>60</v>
      </c>
      <c r="B3118" s="1">
        <v>46131</v>
      </c>
      <c r="C3118">
        <v>2378009513</v>
      </c>
      <c r="D3118">
        <v>2378026646</v>
      </c>
      <c r="E3118" t="str">
        <f>T("문과라도 안 죄송한 이세계로 감 359화")</f>
        <v>문과라도 안 죄송한 이세계로 감 359화</v>
      </c>
      <c r="F3118">
        <v>359</v>
      </c>
      <c r="G3118" t="str">
        <f>T("정수읠")</f>
        <v>정수읠</v>
      </c>
      <c r="J3118" t="str">
        <f>T("매드햇")</f>
        <v>매드햇</v>
      </c>
      <c r="K3118" t="str">
        <f>T("문과라도 안 죄송한 이세계로 감")</f>
        <v>문과라도 안 죄송한 이세계로 감</v>
      </c>
      <c r="L3118">
        <v>100</v>
      </c>
      <c r="M3118">
        <v>100</v>
      </c>
      <c r="N3118">
        <v>1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0</v>
      </c>
      <c r="AE3118">
        <v>0</v>
      </c>
      <c r="AF3118">
        <v>0</v>
      </c>
      <c r="AG3118">
        <v>0</v>
      </c>
      <c r="AH3118">
        <v>0</v>
      </c>
      <c r="AI3118">
        <v>100</v>
      </c>
      <c r="AJ3118">
        <v>1</v>
      </c>
      <c r="AK3118">
        <v>0</v>
      </c>
      <c r="AL3118">
        <v>0</v>
      </c>
      <c r="AM3118">
        <v>10</v>
      </c>
      <c r="AN3118">
        <v>0</v>
      </c>
      <c r="AO3118">
        <v>108</v>
      </c>
      <c r="AP3118">
        <v>-10.8</v>
      </c>
      <c r="AQ3118">
        <v>0</v>
      </c>
      <c r="AS3118">
        <v>0</v>
      </c>
      <c r="AT3118">
        <v>0</v>
      </c>
      <c r="AU3118">
        <v>108</v>
      </c>
      <c r="AV3118">
        <v>-10.8</v>
      </c>
      <c r="AW3118">
        <v>0</v>
      </c>
      <c r="AY3118">
        <v>0</v>
      </c>
      <c r="AZ3118">
        <v>0</v>
      </c>
      <c r="BA3118">
        <v>75.040000000000006</v>
      </c>
      <c r="BC3118" t="str">
        <f>T("0000000000000")</f>
        <v>0000000000000</v>
      </c>
      <c r="BE3118" t="str">
        <f>T("9791162589724")</f>
        <v>9791162589724</v>
      </c>
      <c r="BF3118" t="str">
        <f>T("E830255")</f>
        <v>E830255</v>
      </c>
      <c r="BG3118" t="str">
        <f>T("판타지 웹소설 &gt; 퓨전 판타지")</f>
        <v>판타지 웹소설 &gt; 퓨전 판타지</v>
      </c>
    </row>
    <row r="3119" spans="1:59">
      <c r="A3119" t="s">
        <v>60</v>
      </c>
      <c r="B3119" s="1">
        <v>46131</v>
      </c>
      <c r="C3119">
        <v>2378009513</v>
      </c>
      <c r="D3119">
        <v>2378026716</v>
      </c>
      <c r="E3119" t="str">
        <f>T("문과라도 안 죄송한 이세계로 감 360화")</f>
        <v>문과라도 안 죄송한 이세계로 감 360화</v>
      </c>
      <c r="F3119">
        <v>360</v>
      </c>
      <c r="G3119" t="str">
        <f>T("정수읠")</f>
        <v>정수읠</v>
      </c>
      <c r="J3119" t="str">
        <f>T("매드햇")</f>
        <v>매드햇</v>
      </c>
      <c r="K3119" t="str">
        <f>T("문과라도 안 죄송한 이세계로 감")</f>
        <v>문과라도 안 죄송한 이세계로 감</v>
      </c>
      <c r="L3119">
        <v>100</v>
      </c>
      <c r="M3119">
        <v>100</v>
      </c>
      <c r="N3119">
        <v>1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0</v>
      </c>
      <c r="AE3119">
        <v>0</v>
      </c>
      <c r="AF3119">
        <v>0</v>
      </c>
      <c r="AG3119">
        <v>0</v>
      </c>
      <c r="AH3119">
        <v>0</v>
      </c>
      <c r="AI3119">
        <v>100</v>
      </c>
      <c r="AJ3119">
        <v>1</v>
      </c>
      <c r="AK3119">
        <v>0</v>
      </c>
      <c r="AL3119">
        <v>0</v>
      </c>
      <c r="AM3119">
        <v>10</v>
      </c>
      <c r="AN3119">
        <v>0</v>
      </c>
      <c r="AO3119">
        <v>108</v>
      </c>
      <c r="AP3119">
        <v>-10.8</v>
      </c>
      <c r="AQ3119">
        <v>0</v>
      </c>
      <c r="AS3119">
        <v>0</v>
      </c>
      <c r="AT3119">
        <v>0</v>
      </c>
      <c r="AU3119">
        <v>108</v>
      </c>
      <c r="AV3119">
        <v>-10.8</v>
      </c>
      <c r="AW3119">
        <v>0</v>
      </c>
      <c r="AY3119">
        <v>0</v>
      </c>
      <c r="AZ3119">
        <v>0</v>
      </c>
      <c r="BA3119">
        <v>75.040000000000006</v>
      </c>
      <c r="BC3119" t="str">
        <f>T("0000000000000")</f>
        <v>0000000000000</v>
      </c>
      <c r="BE3119" t="str">
        <f>T("9791162589724")</f>
        <v>9791162589724</v>
      </c>
      <c r="BF3119" t="str">
        <f>T("E830495")</f>
        <v>E830495</v>
      </c>
      <c r="BG3119" t="str">
        <f>T("판타지 웹소설 &gt; 퓨전 판타지")</f>
        <v>판타지 웹소설 &gt; 퓨전 판타지</v>
      </c>
    </row>
    <row r="3120" spans="1:59">
      <c r="A3120" t="s">
        <v>60</v>
      </c>
      <c r="B3120" s="1">
        <v>46131</v>
      </c>
      <c r="C3120">
        <v>2378009513</v>
      </c>
      <c r="D3120">
        <v>2378026717</v>
      </c>
      <c r="E3120" t="str">
        <f>T("문과라도 안 죄송한 이세계로 감 361화")</f>
        <v>문과라도 안 죄송한 이세계로 감 361화</v>
      </c>
      <c r="F3120">
        <v>361</v>
      </c>
      <c r="G3120" t="str">
        <f>T("정수읠")</f>
        <v>정수읠</v>
      </c>
      <c r="J3120" t="str">
        <f>T("매드햇")</f>
        <v>매드햇</v>
      </c>
      <c r="K3120" t="str">
        <f>T("문과라도 안 죄송한 이세계로 감")</f>
        <v>문과라도 안 죄송한 이세계로 감</v>
      </c>
      <c r="L3120">
        <v>100</v>
      </c>
      <c r="M3120">
        <v>100</v>
      </c>
      <c r="N3120">
        <v>1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0</v>
      </c>
      <c r="AE3120">
        <v>0</v>
      </c>
      <c r="AF3120">
        <v>0</v>
      </c>
      <c r="AG3120">
        <v>0</v>
      </c>
      <c r="AH3120">
        <v>0</v>
      </c>
      <c r="AI3120">
        <v>100</v>
      </c>
      <c r="AJ3120">
        <v>1</v>
      </c>
      <c r="AK3120">
        <v>0</v>
      </c>
      <c r="AL3120">
        <v>0</v>
      </c>
      <c r="AM3120">
        <v>10</v>
      </c>
      <c r="AN3120">
        <v>0</v>
      </c>
      <c r="AO3120">
        <v>108</v>
      </c>
      <c r="AP3120">
        <v>-10.8</v>
      </c>
      <c r="AQ3120">
        <v>0</v>
      </c>
      <c r="AS3120">
        <v>0</v>
      </c>
      <c r="AT3120">
        <v>0</v>
      </c>
      <c r="AU3120">
        <v>108</v>
      </c>
      <c r="AV3120">
        <v>-10.8</v>
      </c>
      <c r="AW3120">
        <v>0</v>
      </c>
      <c r="AY3120">
        <v>0</v>
      </c>
      <c r="AZ3120">
        <v>0</v>
      </c>
      <c r="BA3120">
        <v>75.040000000000006</v>
      </c>
      <c r="BC3120" t="str">
        <f>T("0000000000000")</f>
        <v>0000000000000</v>
      </c>
      <c r="BE3120" t="str">
        <f>T("9791162589724")</f>
        <v>9791162589724</v>
      </c>
      <c r="BF3120" t="str">
        <f>T("E830496")</f>
        <v>E830496</v>
      </c>
      <c r="BG3120" t="str">
        <f>T("판타지 웹소설 &gt; 퓨전 판타지")</f>
        <v>판타지 웹소설 &gt; 퓨전 판타지</v>
      </c>
    </row>
    <row r="3121" spans="1:59">
      <c r="A3121" t="s">
        <v>60</v>
      </c>
      <c r="B3121" s="1">
        <v>46131</v>
      </c>
      <c r="C3121">
        <v>2378009513</v>
      </c>
      <c r="D3121">
        <v>2378026790</v>
      </c>
      <c r="E3121" t="str">
        <f>T("문과라도 안 죄송한 이세계로 감 362화")</f>
        <v>문과라도 안 죄송한 이세계로 감 362화</v>
      </c>
      <c r="F3121">
        <v>362</v>
      </c>
      <c r="G3121" t="str">
        <f>T("정수읠")</f>
        <v>정수읠</v>
      </c>
      <c r="J3121" t="str">
        <f>T("매드햇")</f>
        <v>매드햇</v>
      </c>
      <c r="K3121" t="str">
        <f>T("문과라도 안 죄송한 이세계로 감")</f>
        <v>문과라도 안 죄송한 이세계로 감</v>
      </c>
      <c r="L3121">
        <v>100</v>
      </c>
      <c r="M3121">
        <v>100</v>
      </c>
      <c r="N3121">
        <v>1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0</v>
      </c>
      <c r="AE3121">
        <v>0</v>
      </c>
      <c r="AF3121">
        <v>0</v>
      </c>
      <c r="AG3121">
        <v>0</v>
      </c>
      <c r="AH3121">
        <v>0</v>
      </c>
      <c r="AI3121">
        <v>100</v>
      </c>
      <c r="AJ3121">
        <v>1</v>
      </c>
      <c r="AK3121">
        <v>0</v>
      </c>
      <c r="AL3121">
        <v>0</v>
      </c>
      <c r="AM3121">
        <v>10</v>
      </c>
      <c r="AN3121">
        <v>0</v>
      </c>
      <c r="AO3121">
        <v>108</v>
      </c>
      <c r="AP3121">
        <v>-10.8</v>
      </c>
      <c r="AQ3121">
        <v>0</v>
      </c>
      <c r="AS3121">
        <v>0</v>
      </c>
      <c r="AT3121">
        <v>0</v>
      </c>
      <c r="AU3121">
        <v>108</v>
      </c>
      <c r="AV3121">
        <v>-10.8</v>
      </c>
      <c r="AW3121">
        <v>0</v>
      </c>
      <c r="AY3121">
        <v>0</v>
      </c>
      <c r="AZ3121">
        <v>0</v>
      </c>
      <c r="BA3121">
        <v>75.040000000000006</v>
      </c>
      <c r="BC3121" t="str">
        <f>T("0000000000000")</f>
        <v>0000000000000</v>
      </c>
      <c r="BE3121" t="str">
        <f>T("9791162589724")</f>
        <v>9791162589724</v>
      </c>
      <c r="BF3121" t="str">
        <f>T("E830497")</f>
        <v>E830497</v>
      </c>
      <c r="BG3121" t="str">
        <f>T("판타지 웹소설 &gt; 퓨전 판타지")</f>
        <v>판타지 웹소설 &gt; 퓨전 판타지</v>
      </c>
    </row>
    <row r="3122" spans="1:59">
      <c r="A3122" t="s">
        <v>60</v>
      </c>
      <c r="B3122" s="1">
        <v>46131</v>
      </c>
      <c r="C3122">
        <v>2378009513</v>
      </c>
      <c r="D3122">
        <v>2378026976</v>
      </c>
      <c r="E3122" t="str">
        <f>T("문과라도 안 죄송한 이세계로 감 363화")</f>
        <v>문과라도 안 죄송한 이세계로 감 363화</v>
      </c>
      <c r="F3122">
        <v>363</v>
      </c>
      <c r="G3122" t="str">
        <f>T("정수읠")</f>
        <v>정수읠</v>
      </c>
      <c r="J3122" t="str">
        <f>T("매드햇")</f>
        <v>매드햇</v>
      </c>
      <c r="K3122" t="str">
        <f>T("문과라도 안 죄송한 이세계로 감")</f>
        <v>문과라도 안 죄송한 이세계로 감</v>
      </c>
      <c r="L3122">
        <v>100</v>
      </c>
      <c r="M3122">
        <v>100</v>
      </c>
      <c r="N3122">
        <v>1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0</v>
      </c>
      <c r="AE3122">
        <v>0</v>
      </c>
      <c r="AF3122">
        <v>0</v>
      </c>
      <c r="AG3122">
        <v>0</v>
      </c>
      <c r="AH3122">
        <v>0</v>
      </c>
      <c r="AI3122">
        <v>100</v>
      </c>
      <c r="AJ3122">
        <v>1</v>
      </c>
      <c r="AK3122">
        <v>0</v>
      </c>
      <c r="AL3122">
        <v>0</v>
      </c>
      <c r="AM3122">
        <v>10</v>
      </c>
      <c r="AN3122">
        <v>0</v>
      </c>
      <c r="AO3122">
        <v>108</v>
      </c>
      <c r="AP3122">
        <v>-10.8</v>
      </c>
      <c r="AQ3122">
        <v>0</v>
      </c>
      <c r="AS3122">
        <v>0</v>
      </c>
      <c r="AT3122">
        <v>0</v>
      </c>
      <c r="AU3122">
        <v>108</v>
      </c>
      <c r="AV3122">
        <v>-10.8</v>
      </c>
      <c r="AW3122">
        <v>0</v>
      </c>
      <c r="AY3122">
        <v>0</v>
      </c>
      <c r="AZ3122">
        <v>0</v>
      </c>
      <c r="BA3122">
        <v>75.040000000000006</v>
      </c>
      <c r="BC3122" t="str">
        <f>T("0000000000000")</f>
        <v>0000000000000</v>
      </c>
      <c r="BE3122" t="str">
        <f>T("9791162589724")</f>
        <v>9791162589724</v>
      </c>
      <c r="BF3122" t="str">
        <f>T("E834856")</f>
        <v>E834856</v>
      </c>
      <c r="BG3122" t="str">
        <f>T("판타지 웹소설 &gt; 퓨전 판타지")</f>
        <v>판타지 웹소설 &gt; 퓨전 판타지</v>
      </c>
    </row>
    <row r="3123" spans="1:59">
      <c r="A3123" t="s">
        <v>60</v>
      </c>
      <c r="B3123" s="1">
        <v>46131</v>
      </c>
      <c r="C3123">
        <v>2378009513</v>
      </c>
      <c r="D3123">
        <v>2378026989</v>
      </c>
      <c r="E3123" t="str">
        <f>T("문과라도 안 죄송한 이세계로 감 364화")</f>
        <v>문과라도 안 죄송한 이세계로 감 364화</v>
      </c>
      <c r="F3123">
        <v>364</v>
      </c>
      <c r="G3123" t="str">
        <f>T("정수읠")</f>
        <v>정수읠</v>
      </c>
      <c r="J3123" t="str">
        <f>T("매드햇")</f>
        <v>매드햇</v>
      </c>
      <c r="K3123" t="str">
        <f>T("문과라도 안 죄송한 이세계로 감")</f>
        <v>문과라도 안 죄송한 이세계로 감</v>
      </c>
      <c r="L3123">
        <v>100</v>
      </c>
      <c r="M3123">
        <v>100</v>
      </c>
      <c r="N3123">
        <v>1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0</v>
      </c>
      <c r="AE3123">
        <v>0</v>
      </c>
      <c r="AF3123">
        <v>0</v>
      </c>
      <c r="AG3123">
        <v>0</v>
      </c>
      <c r="AH3123">
        <v>0</v>
      </c>
      <c r="AI3123">
        <v>100</v>
      </c>
      <c r="AJ3123">
        <v>1</v>
      </c>
      <c r="AK3123">
        <v>0</v>
      </c>
      <c r="AL3123">
        <v>0</v>
      </c>
      <c r="AM3123">
        <v>10</v>
      </c>
      <c r="AN3123">
        <v>0</v>
      </c>
      <c r="AO3123">
        <v>108</v>
      </c>
      <c r="AP3123">
        <v>-10.8</v>
      </c>
      <c r="AQ3123">
        <v>0</v>
      </c>
      <c r="AS3123">
        <v>0</v>
      </c>
      <c r="AT3123">
        <v>0</v>
      </c>
      <c r="AU3123">
        <v>108</v>
      </c>
      <c r="AV3123">
        <v>-10.8</v>
      </c>
      <c r="AW3123">
        <v>0</v>
      </c>
      <c r="AY3123">
        <v>0</v>
      </c>
      <c r="AZ3123">
        <v>0</v>
      </c>
      <c r="BA3123">
        <v>75.040000000000006</v>
      </c>
      <c r="BC3123" t="str">
        <f>T("0000000000000")</f>
        <v>0000000000000</v>
      </c>
      <c r="BE3123" t="str">
        <f>T("9791162589724")</f>
        <v>9791162589724</v>
      </c>
      <c r="BF3123" t="str">
        <f>T("E835173")</f>
        <v>E835173</v>
      </c>
      <c r="BG3123" t="str">
        <f>T("판타지 웹소설 &gt; 퓨전 판타지")</f>
        <v>판타지 웹소설 &gt; 퓨전 판타지</v>
      </c>
    </row>
    <row r="3124" spans="1:59">
      <c r="A3124" t="s">
        <v>60</v>
      </c>
      <c r="B3124" s="1">
        <v>46131</v>
      </c>
      <c r="C3124">
        <v>2378009513</v>
      </c>
      <c r="D3124">
        <v>2378027031</v>
      </c>
      <c r="E3124" t="str">
        <f>T("문과라도 안 죄송한 이세계로 감 365화")</f>
        <v>문과라도 안 죄송한 이세계로 감 365화</v>
      </c>
      <c r="F3124">
        <v>365</v>
      </c>
      <c r="G3124" t="str">
        <f>T("정수읠")</f>
        <v>정수읠</v>
      </c>
      <c r="J3124" t="str">
        <f>T("매드햇")</f>
        <v>매드햇</v>
      </c>
      <c r="K3124" t="str">
        <f>T("문과라도 안 죄송한 이세계로 감")</f>
        <v>문과라도 안 죄송한 이세계로 감</v>
      </c>
      <c r="L3124">
        <v>100</v>
      </c>
      <c r="M3124">
        <v>100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0</v>
      </c>
      <c r="AE3124">
        <v>0</v>
      </c>
      <c r="AF3124">
        <v>0</v>
      </c>
      <c r="AG3124">
        <v>0</v>
      </c>
      <c r="AH3124">
        <v>0</v>
      </c>
      <c r="AI3124">
        <v>100</v>
      </c>
      <c r="AJ3124">
        <v>1</v>
      </c>
      <c r="AK3124">
        <v>0</v>
      </c>
      <c r="AL3124">
        <v>0</v>
      </c>
      <c r="AM3124">
        <v>10</v>
      </c>
      <c r="AN3124">
        <v>0</v>
      </c>
      <c r="AO3124">
        <v>108</v>
      </c>
      <c r="AP3124">
        <v>-10.8</v>
      </c>
      <c r="AQ3124">
        <v>0</v>
      </c>
      <c r="AS3124">
        <v>0</v>
      </c>
      <c r="AT3124">
        <v>0</v>
      </c>
      <c r="AU3124">
        <v>108</v>
      </c>
      <c r="AV3124">
        <v>-10.8</v>
      </c>
      <c r="AW3124">
        <v>0</v>
      </c>
      <c r="AY3124">
        <v>0</v>
      </c>
      <c r="AZ3124">
        <v>0</v>
      </c>
      <c r="BA3124">
        <v>75.040000000000006</v>
      </c>
      <c r="BC3124" t="str">
        <f>T("0000000000000")</f>
        <v>0000000000000</v>
      </c>
      <c r="BE3124" t="str">
        <f>T("9791162589724")</f>
        <v>9791162589724</v>
      </c>
      <c r="BF3124" t="str">
        <f>T("E836369")</f>
        <v>E836369</v>
      </c>
      <c r="BG3124" t="str">
        <f>T("판타지 웹소설 &gt; 퓨전 판타지")</f>
        <v>판타지 웹소설 &gt; 퓨전 판타지</v>
      </c>
    </row>
    <row r="3125" spans="1:59">
      <c r="A3125" t="s">
        <v>60</v>
      </c>
      <c r="B3125" s="1">
        <v>46131</v>
      </c>
      <c r="C3125">
        <v>2378009513</v>
      </c>
      <c r="D3125">
        <v>2378027038</v>
      </c>
      <c r="E3125" t="str">
        <f>T("문과라도 안 죄송한 이세계로 감 366화")</f>
        <v>문과라도 안 죄송한 이세계로 감 366화</v>
      </c>
      <c r="F3125">
        <v>366</v>
      </c>
      <c r="G3125" t="str">
        <f>T("정수읠")</f>
        <v>정수읠</v>
      </c>
      <c r="J3125" t="str">
        <f>T("매드햇")</f>
        <v>매드햇</v>
      </c>
      <c r="K3125" t="str">
        <f>T("문과라도 안 죄송한 이세계로 감")</f>
        <v>문과라도 안 죄송한 이세계로 감</v>
      </c>
      <c r="L3125">
        <v>100</v>
      </c>
      <c r="M3125">
        <v>100</v>
      </c>
      <c r="N3125">
        <v>1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0</v>
      </c>
      <c r="AE3125">
        <v>0</v>
      </c>
      <c r="AF3125">
        <v>0</v>
      </c>
      <c r="AG3125">
        <v>0</v>
      </c>
      <c r="AH3125">
        <v>0</v>
      </c>
      <c r="AI3125">
        <v>100</v>
      </c>
      <c r="AJ3125">
        <v>1</v>
      </c>
      <c r="AK3125">
        <v>0</v>
      </c>
      <c r="AL3125">
        <v>0</v>
      </c>
      <c r="AM3125">
        <v>10</v>
      </c>
      <c r="AN3125">
        <v>0</v>
      </c>
      <c r="AO3125">
        <v>108</v>
      </c>
      <c r="AP3125">
        <v>-10.8</v>
      </c>
      <c r="AQ3125">
        <v>0</v>
      </c>
      <c r="AS3125">
        <v>0</v>
      </c>
      <c r="AT3125">
        <v>0</v>
      </c>
      <c r="AU3125">
        <v>108</v>
      </c>
      <c r="AV3125">
        <v>-10.8</v>
      </c>
      <c r="AW3125">
        <v>0</v>
      </c>
      <c r="AY3125">
        <v>0</v>
      </c>
      <c r="AZ3125">
        <v>0</v>
      </c>
      <c r="BA3125">
        <v>75.040000000000006</v>
      </c>
      <c r="BC3125" t="str">
        <f>T("0000000000000")</f>
        <v>0000000000000</v>
      </c>
      <c r="BE3125" t="str">
        <f>T("9791162589724")</f>
        <v>9791162589724</v>
      </c>
      <c r="BF3125" t="str">
        <f>T("E836435")</f>
        <v>E836435</v>
      </c>
      <c r="BG3125" t="str">
        <f>T("판타지 웹소설 &gt; 퓨전 판타지")</f>
        <v>판타지 웹소설 &gt; 퓨전 판타지</v>
      </c>
    </row>
    <row r="3126" spans="1:59">
      <c r="A3126" t="s">
        <v>60</v>
      </c>
      <c r="B3126" s="1">
        <v>46131</v>
      </c>
      <c r="C3126">
        <v>2378009513</v>
      </c>
      <c r="D3126">
        <v>2378027061</v>
      </c>
      <c r="E3126" t="str">
        <f>T("문과라도 안 죄송한 이세계로 감 367화")</f>
        <v>문과라도 안 죄송한 이세계로 감 367화</v>
      </c>
      <c r="F3126">
        <v>367</v>
      </c>
      <c r="G3126" t="str">
        <f>T("정수읠")</f>
        <v>정수읠</v>
      </c>
      <c r="J3126" t="str">
        <f>T("매드햇")</f>
        <v>매드햇</v>
      </c>
      <c r="K3126" t="str">
        <f>T("문과라도 안 죄송한 이세계로 감")</f>
        <v>문과라도 안 죄송한 이세계로 감</v>
      </c>
      <c r="L3126">
        <v>100</v>
      </c>
      <c r="M3126">
        <v>100</v>
      </c>
      <c r="N3126">
        <v>1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0</v>
      </c>
      <c r="AE3126">
        <v>0</v>
      </c>
      <c r="AF3126">
        <v>0</v>
      </c>
      <c r="AG3126">
        <v>0</v>
      </c>
      <c r="AH3126">
        <v>0</v>
      </c>
      <c r="AI3126">
        <v>100</v>
      </c>
      <c r="AJ3126">
        <v>1</v>
      </c>
      <c r="AK3126">
        <v>0</v>
      </c>
      <c r="AL3126">
        <v>0</v>
      </c>
      <c r="AM3126">
        <v>10</v>
      </c>
      <c r="AN3126">
        <v>0</v>
      </c>
      <c r="AO3126">
        <v>108</v>
      </c>
      <c r="AP3126">
        <v>-10.8</v>
      </c>
      <c r="AQ3126">
        <v>0</v>
      </c>
      <c r="AS3126">
        <v>0</v>
      </c>
      <c r="AT3126">
        <v>0</v>
      </c>
      <c r="AU3126">
        <v>108</v>
      </c>
      <c r="AV3126">
        <v>-10.8</v>
      </c>
      <c r="AW3126">
        <v>0</v>
      </c>
      <c r="AY3126">
        <v>0</v>
      </c>
      <c r="AZ3126">
        <v>0</v>
      </c>
      <c r="BA3126">
        <v>75.040000000000006</v>
      </c>
      <c r="BC3126" t="str">
        <f>T("0000000000000")</f>
        <v>0000000000000</v>
      </c>
      <c r="BE3126" t="str">
        <f>T("9791162589724")</f>
        <v>9791162589724</v>
      </c>
      <c r="BF3126" t="str">
        <f>T("E836490")</f>
        <v>E836490</v>
      </c>
      <c r="BG3126" t="str">
        <f>T("판타지 웹소설 &gt; 퓨전 판타지")</f>
        <v>판타지 웹소설 &gt; 퓨전 판타지</v>
      </c>
    </row>
    <row r="3127" spans="1:59">
      <c r="A3127" t="s">
        <v>60</v>
      </c>
      <c r="B3127" s="1">
        <v>46131</v>
      </c>
      <c r="C3127">
        <v>2378009513</v>
      </c>
      <c r="D3127">
        <v>2378027087</v>
      </c>
      <c r="E3127" t="str">
        <f>T("문과라도 안 죄송한 이세계로 감 368화")</f>
        <v>문과라도 안 죄송한 이세계로 감 368화</v>
      </c>
      <c r="F3127">
        <v>368</v>
      </c>
      <c r="G3127" t="str">
        <f>T("정수읠")</f>
        <v>정수읠</v>
      </c>
      <c r="J3127" t="str">
        <f>T("매드햇")</f>
        <v>매드햇</v>
      </c>
      <c r="K3127" t="str">
        <f>T("문과라도 안 죄송한 이세계로 감")</f>
        <v>문과라도 안 죄송한 이세계로 감</v>
      </c>
      <c r="L3127">
        <v>100</v>
      </c>
      <c r="M3127">
        <v>100</v>
      </c>
      <c r="N3127">
        <v>1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0</v>
      </c>
      <c r="AE3127">
        <v>0</v>
      </c>
      <c r="AF3127">
        <v>0</v>
      </c>
      <c r="AG3127">
        <v>0</v>
      </c>
      <c r="AH3127">
        <v>0</v>
      </c>
      <c r="AI3127">
        <v>100</v>
      </c>
      <c r="AJ3127">
        <v>1</v>
      </c>
      <c r="AK3127">
        <v>0</v>
      </c>
      <c r="AL3127">
        <v>0</v>
      </c>
      <c r="AM3127">
        <v>10</v>
      </c>
      <c r="AN3127">
        <v>0</v>
      </c>
      <c r="AO3127">
        <v>108</v>
      </c>
      <c r="AP3127">
        <v>-10.8</v>
      </c>
      <c r="AQ3127">
        <v>0</v>
      </c>
      <c r="AS3127">
        <v>0</v>
      </c>
      <c r="AT3127">
        <v>0</v>
      </c>
      <c r="AU3127">
        <v>108</v>
      </c>
      <c r="AV3127">
        <v>-10.8</v>
      </c>
      <c r="AW3127">
        <v>0</v>
      </c>
      <c r="AY3127">
        <v>0</v>
      </c>
      <c r="AZ3127">
        <v>0</v>
      </c>
      <c r="BA3127">
        <v>75.040000000000006</v>
      </c>
      <c r="BC3127" t="str">
        <f>T("0000000000000")</f>
        <v>0000000000000</v>
      </c>
      <c r="BE3127" t="str">
        <f>T("9791162589724")</f>
        <v>9791162589724</v>
      </c>
      <c r="BF3127" t="str">
        <f>T("E837655")</f>
        <v>E837655</v>
      </c>
      <c r="BG3127" t="str">
        <f>T("판타지 웹소설 &gt; 퓨전 판타지")</f>
        <v>판타지 웹소설 &gt; 퓨전 판타지</v>
      </c>
    </row>
    <row r="3128" spans="1:59">
      <c r="A3128" t="s">
        <v>60</v>
      </c>
      <c r="B3128" s="1">
        <v>46131</v>
      </c>
      <c r="C3128">
        <v>2378009513</v>
      </c>
      <c r="D3128">
        <v>2378027100</v>
      </c>
      <c r="E3128" t="str">
        <f>T("문과라도 안 죄송한 이세계로 감 369화")</f>
        <v>문과라도 안 죄송한 이세계로 감 369화</v>
      </c>
      <c r="F3128">
        <v>369</v>
      </c>
      <c r="G3128" t="str">
        <f>T("정수읠")</f>
        <v>정수읠</v>
      </c>
      <c r="J3128" t="str">
        <f>T("매드햇")</f>
        <v>매드햇</v>
      </c>
      <c r="K3128" t="str">
        <f>T("문과라도 안 죄송한 이세계로 감")</f>
        <v>문과라도 안 죄송한 이세계로 감</v>
      </c>
      <c r="L3128">
        <v>100</v>
      </c>
      <c r="M3128">
        <v>100</v>
      </c>
      <c r="N3128">
        <v>1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0</v>
      </c>
      <c r="AE3128">
        <v>0</v>
      </c>
      <c r="AF3128">
        <v>0</v>
      </c>
      <c r="AG3128">
        <v>0</v>
      </c>
      <c r="AH3128">
        <v>0</v>
      </c>
      <c r="AI3128">
        <v>100</v>
      </c>
      <c r="AJ3128">
        <v>1</v>
      </c>
      <c r="AK3128">
        <v>0</v>
      </c>
      <c r="AL3128">
        <v>0</v>
      </c>
      <c r="AM3128">
        <v>10</v>
      </c>
      <c r="AN3128">
        <v>0</v>
      </c>
      <c r="AO3128">
        <v>108</v>
      </c>
      <c r="AP3128">
        <v>-10.8</v>
      </c>
      <c r="AQ3128">
        <v>0</v>
      </c>
      <c r="AS3128">
        <v>0</v>
      </c>
      <c r="AT3128">
        <v>0</v>
      </c>
      <c r="AU3128">
        <v>108</v>
      </c>
      <c r="AV3128">
        <v>-10.8</v>
      </c>
      <c r="AW3128">
        <v>0</v>
      </c>
      <c r="AY3128">
        <v>0</v>
      </c>
      <c r="AZ3128">
        <v>0</v>
      </c>
      <c r="BA3128">
        <v>75.040000000000006</v>
      </c>
      <c r="BC3128" t="str">
        <f>T("0000000000000")</f>
        <v>0000000000000</v>
      </c>
      <c r="BE3128" t="str">
        <f>T("9791162589724")</f>
        <v>9791162589724</v>
      </c>
      <c r="BF3128" t="str">
        <f>T("E839832")</f>
        <v>E839832</v>
      </c>
      <c r="BG3128" t="str">
        <f>T("판타지 웹소설 &gt; 퓨전 판타지")</f>
        <v>판타지 웹소설 &gt; 퓨전 판타지</v>
      </c>
    </row>
    <row r="3129" spans="1:59">
      <c r="A3129" t="s">
        <v>60</v>
      </c>
      <c r="B3129" s="1">
        <v>46131</v>
      </c>
      <c r="C3129">
        <v>2378009513</v>
      </c>
      <c r="D3129">
        <v>2378027125</v>
      </c>
      <c r="E3129" t="str">
        <f>T("문과라도 안 죄송한 이세계로 감 370화")</f>
        <v>문과라도 안 죄송한 이세계로 감 370화</v>
      </c>
      <c r="F3129">
        <v>370</v>
      </c>
      <c r="G3129" t="str">
        <f>T("정수읠")</f>
        <v>정수읠</v>
      </c>
      <c r="J3129" t="str">
        <f>T("매드햇")</f>
        <v>매드햇</v>
      </c>
      <c r="K3129" t="str">
        <f>T("문과라도 안 죄송한 이세계로 감")</f>
        <v>문과라도 안 죄송한 이세계로 감</v>
      </c>
      <c r="L3129">
        <v>100</v>
      </c>
      <c r="M3129">
        <v>100</v>
      </c>
      <c r="N3129">
        <v>1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0</v>
      </c>
      <c r="AE3129">
        <v>0</v>
      </c>
      <c r="AF3129">
        <v>0</v>
      </c>
      <c r="AG3129">
        <v>0</v>
      </c>
      <c r="AH3129">
        <v>0</v>
      </c>
      <c r="AI3129">
        <v>100</v>
      </c>
      <c r="AJ3129">
        <v>1</v>
      </c>
      <c r="AK3129">
        <v>0</v>
      </c>
      <c r="AL3129">
        <v>0</v>
      </c>
      <c r="AM3129">
        <v>10</v>
      </c>
      <c r="AN3129">
        <v>0</v>
      </c>
      <c r="AO3129">
        <v>108</v>
      </c>
      <c r="AP3129">
        <v>-10.8</v>
      </c>
      <c r="AQ3129">
        <v>0</v>
      </c>
      <c r="AS3129">
        <v>0</v>
      </c>
      <c r="AT3129">
        <v>0</v>
      </c>
      <c r="AU3129">
        <v>108</v>
      </c>
      <c r="AV3129">
        <v>-10.8</v>
      </c>
      <c r="AW3129">
        <v>0</v>
      </c>
      <c r="AY3129">
        <v>0</v>
      </c>
      <c r="AZ3129">
        <v>0</v>
      </c>
      <c r="BA3129">
        <v>75.040000000000006</v>
      </c>
      <c r="BC3129" t="str">
        <f>T("0000000000000")</f>
        <v>0000000000000</v>
      </c>
      <c r="BE3129" t="str">
        <f>T("9791162589724")</f>
        <v>9791162589724</v>
      </c>
      <c r="BF3129" t="str">
        <f>T("E840512")</f>
        <v>E840512</v>
      </c>
      <c r="BG3129" t="str">
        <f>T("판타지 웹소설 &gt; 퓨전 판타지")</f>
        <v>판타지 웹소설 &gt; 퓨전 판타지</v>
      </c>
    </row>
    <row r="3130" spans="1:59">
      <c r="A3130" t="s">
        <v>60</v>
      </c>
      <c r="B3130" s="1">
        <v>46131</v>
      </c>
      <c r="C3130">
        <v>2378009513</v>
      </c>
      <c r="D3130">
        <v>2378027521</v>
      </c>
      <c r="E3130" t="str">
        <f>T("문과라도 안 죄송한 이세계로 감 371화")</f>
        <v>문과라도 안 죄송한 이세계로 감 371화</v>
      </c>
      <c r="F3130">
        <v>371</v>
      </c>
      <c r="G3130" t="str">
        <f>T("정수읠")</f>
        <v>정수읠</v>
      </c>
      <c r="J3130" t="str">
        <f>T("매드햇")</f>
        <v>매드햇</v>
      </c>
      <c r="K3130" t="str">
        <f>T("문과라도 안 죄송한 이세계로 감")</f>
        <v>문과라도 안 죄송한 이세계로 감</v>
      </c>
      <c r="L3130">
        <v>100</v>
      </c>
      <c r="M3130">
        <v>100</v>
      </c>
      <c r="N3130">
        <v>1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0</v>
      </c>
      <c r="AE3130">
        <v>0</v>
      </c>
      <c r="AF3130">
        <v>0</v>
      </c>
      <c r="AG3130">
        <v>0</v>
      </c>
      <c r="AH3130">
        <v>0</v>
      </c>
      <c r="AI3130">
        <v>100</v>
      </c>
      <c r="AJ3130">
        <v>1</v>
      </c>
      <c r="AK3130">
        <v>0</v>
      </c>
      <c r="AL3130">
        <v>0</v>
      </c>
      <c r="AM3130">
        <v>10</v>
      </c>
      <c r="AN3130">
        <v>0</v>
      </c>
      <c r="AO3130">
        <v>108</v>
      </c>
      <c r="AP3130">
        <v>-10.8</v>
      </c>
      <c r="AQ3130">
        <v>0</v>
      </c>
      <c r="AS3130">
        <v>0</v>
      </c>
      <c r="AT3130">
        <v>0</v>
      </c>
      <c r="AU3130">
        <v>108</v>
      </c>
      <c r="AV3130">
        <v>-10.8</v>
      </c>
      <c r="AW3130">
        <v>0</v>
      </c>
      <c r="AY3130">
        <v>0</v>
      </c>
      <c r="AZ3130">
        <v>0</v>
      </c>
      <c r="BA3130">
        <v>75.040000000000006</v>
      </c>
      <c r="BC3130" t="str">
        <f>T("0000000000000")</f>
        <v>0000000000000</v>
      </c>
      <c r="BE3130" t="str">
        <f>T("9791162589724")</f>
        <v>9791162589724</v>
      </c>
      <c r="BF3130" t="str">
        <f>T("E840513")</f>
        <v>E840513</v>
      </c>
      <c r="BG3130" t="str">
        <f>T("판타지 웹소설 &gt; 퓨전 판타지")</f>
        <v>판타지 웹소설 &gt; 퓨전 판타지</v>
      </c>
    </row>
    <row r="3131" spans="1:59">
      <c r="A3131" t="s">
        <v>60</v>
      </c>
      <c r="B3131" s="1">
        <v>46131</v>
      </c>
      <c r="C3131">
        <v>2378009513</v>
      </c>
      <c r="D3131">
        <v>2378028011</v>
      </c>
      <c r="E3131" t="str">
        <f>T("문과라도 안 죄송한 이세계로 감 372화")</f>
        <v>문과라도 안 죄송한 이세계로 감 372화</v>
      </c>
      <c r="F3131">
        <v>372</v>
      </c>
      <c r="G3131" t="str">
        <f>T("정수읠")</f>
        <v>정수읠</v>
      </c>
      <c r="J3131" t="str">
        <f>T("매드햇")</f>
        <v>매드햇</v>
      </c>
      <c r="K3131" t="str">
        <f>T("문과라도 안 죄송한 이세계로 감")</f>
        <v>문과라도 안 죄송한 이세계로 감</v>
      </c>
      <c r="L3131">
        <v>100</v>
      </c>
      <c r="M3131">
        <v>100</v>
      </c>
      <c r="N3131">
        <v>1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0</v>
      </c>
      <c r="AE3131">
        <v>0</v>
      </c>
      <c r="AF3131">
        <v>0</v>
      </c>
      <c r="AG3131">
        <v>0</v>
      </c>
      <c r="AH3131">
        <v>0</v>
      </c>
      <c r="AI3131">
        <v>100</v>
      </c>
      <c r="AJ3131">
        <v>1</v>
      </c>
      <c r="AK3131">
        <v>0</v>
      </c>
      <c r="AL3131">
        <v>0</v>
      </c>
      <c r="AM3131">
        <v>10</v>
      </c>
      <c r="AN3131">
        <v>0</v>
      </c>
      <c r="AO3131">
        <v>108</v>
      </c>
      <c r="AP3131">
        <v>-10.8</v>
      </c>
      <c r="AQ3131">
        <v>0</v>
      </c>
      <c r="AS3131">
        <v>0</v>
      </c>
      <c r="AT3131">
        <v>0</v>
      </c>
      <c r="AU3131">
        <v>108</v>
      </c>
      <c r="AV3131">
        <v>-10.8</v>
      </c>
      <c r="AW3131">
        <v>0</v>
      </c>
      <c r="AY3131">
        <v>0</v>
      </c>
      <c r="AZ3131">
        <v>0</v>
      </c>
      <c r="BA3131">
        <v>75.040000000000006</v>
      </c>
      <c r="BC3131" t="str">
        <f>T("0000000000000")</f>
        <v>0000000000000</v>
      </c>
      <c r="BE3131" t="str">
        <f>T("9791162589724")</f>
        <v>9791162589724</v>
      </c>
      <c r="BF3131" t="str">
        <f>T("E843008")</f>
        <v>E843008</v>
      </c>
      <c r="BG3131" t="str">
        <f>T("판타지 웹소설 &gt; 퓨전 판타지")</f>
        <v>판타지 웹소설 &gt; 퓨전 판타지</v>
      </c>
    </row>
    <row r="3132" spans="1:59">
      <c r="A3132" t="s">
        <v>60</v>
      </c>
      <c r="B3132" s="1">
        <v>46131</v>
      </c>
      <c r="C3132">
        <v>2378009513</v>
      </c>
      <c r="D3132">
        <v>2378028035</v>
      </c>
      <c r="E3132" t="str">
        <f>T("문과라도 안 죄송한 이세계로 감 373화")</f>
        <v>문과라도 안 죄송한 이세계로 감 373화</v>
      </c>
      <c r="F3132">
        <v>373</v>
      </c>
      <c r="G3132" t="str">
        <f>T("정수읠")</f>
        <v>정수읠</v>
      </c>
      <c r="J3132" t="str">
        <f>T("매드햇")</f>
        <v>매드햇</v>
      </c>
      <c r="K3132" t="str">
        <f>T("문과라도 안 죄송한 이세계로 감")</f>
        <v>문과라도 안 죄송한 이세계로 감</v>
      </c>
      <c r="L3132">
        <v>100</v>
      </c>
      <c r="M3132">
        <v>100</v>
      </c>
      <c r="N3132">
        <v>1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0</v>
      </c>
      <c r="AE3132">
        <v>0</v>
      </c>
      <c r="AF3132">
        <v>0</v>
      </c>
      <c r="AG3132">
        <v>0</v>
      </c>
      <c r="AH3132">
        <v>0</v>
      </c>
      <c r="AI3132">
        <v>100</v>
      </c>
      <c r="AJ3132">
        <v>1</v>
      </c>
      <c r="AK3132">
        <v>0</v>
      </c>
      <c r="AL3132">
        <v>0</v>
      </c>
      <c r="AM3132">
        <v>10</v>
      </c>
      <c r="AN3132">
        <v>0</v>
      </c>
      <c r="AO3132">
        <v>108</v>
      </c>
      <c r="AP3132">
        <v>-10.8</v>
      </c>
      <c r="AQ3132">
        <v>0</v>
      </c>
      <c r="AS3132">
        <v>0</v>
      </c>
      <c r="AT3132">
        <v>0</v>
      </c>
      <c r="AU3132">
        <v>108</v>
      </c>
      <c r="AV3132">
        <v>-10.8</v>
      </c>
      <c r="AW3132">
        <v>0</v>
      </c>
      <c r="AY3132">
        <v>0</v>
      </c>
      <c r="AZ3132">
        <v>0</v>
      </c>
      <c r="BA3132">
        <v>75.040000000000006</v>
      </c>
      <c r="BC3132" t="str">
        <f>T("0000000000000")</f>
        <v>0000000000000</v>
      </c>
      <c r="BE3132" t="str">
        <f>T("9791162589724")</f>
        <v>9791162589724</v>
      </c>
      <c r="BF3132" t="str">
        <f>T("E843009")</f>
        <v>E843009</v>
      </c>
      <c r="BG3132" t="str">
        <f>T("판타지 웹소설 &gt; 퓨전 판타지")</f>
        <v>판타지 웹소설 &gt; 퓨전 판타지</v>
      </c>
    </row>
    <row r="3133" spans="1:59">
      <c r="A3133" t="s">
        <v>60</v>
      </c>
      <c r="B3133" s="1">
        <v>46131</v>
      </c>
      <c r="C3133">
        <v>2378009513</v>
      </c>
      <c r="D3133">
        <v>2378028170</v>
      </c>
      <c r="E3133" t="str">
        <f>T("문과라도 안 죄송한 이세계로 감 374화")</f>
        <v>문과라도 안 죄송한 이세계로 감 374화</v>
      </c>
      <c r="F3133">
        <v>374</v>
      </c>
      <c r="G3133" t="str">
        <f>T("정수읠")</f>
        <v>정수읠</v>
      </c>
      <c r="J3133" t="str">
        <f>T("매드햇")</f>
        <v>매드햇</v>
      </c>
      <c r="K3133" t="str">
        <f>T("문과라도 안 죄송한 이세계로 감")</f>
        <v>문과라도 안 죄송한 이세계로 감</v>
      </c>
      <c r="L3133">
        <v>100</v>
      </c>
      <c r="M3133">
        <v>100</v>
      </c>
      <c r="N3133">
        <v>1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0</v>
      </c>
      <c r="AE3133">
        <v>0</v>
      </c>
      <c r="AF3133">
        <v>0</v>
      </c>
      <c r="AG3133">
        <v>0</v>
      </c>
      <c r="AH3133">
        <v>0</v>
      </c>
      <c r="AI3133">
        <v>100</v>
      </c>
      <c r="AJ3133">
        <v>1</v>
      </c>
      <c r="AK3133">
        <v>0</v>
      </c>
      <c r="AL3133">
        <v>0</v>
      </c>
      <c r="AM3133">
        <v>10</v>
      </c>
      <c r="AN3133">
        <v>0</v>
      </c>
      <c r="AO3133">
        <v>108</v>
      </c>
      <c r="AP3133">
        <v>-10.8</v>
      </c>
      <c r="AQ3133">
        <v>0</v>
      </c>
      <c r="AS3133">
        <v>0</v>
      </c>
      <c r="AT3133">
        <v>0</v>
      </c>
      <c r="AU3133">
        <v>108</v>
      </c>
      <c r="AV3133">
        <v>-10.8</v>
      </c>
      <c r="AW3133">
        <v>0</v>
      </c>
      <c r="AY3133">
        <v>0</v>
      </c>
      <c r="AZ3133">
        <v>0</v>
      </c>
      <c r="BA3133">
        <v>75.040000000000006</v>
      </c>
      <c r="BC3133" t="str">
        <f>T("0000000000000")</f>
        <v>0000000000000</v>
      </c>
      <c r="BE3133" t="str">
        <f>T("9791162589724")</f>
        <v>9791162589724</v>
      </c>
      <c r="BF3133" t="str">
        <f>T("E843390")</f>
        <v>E843390</v>
      </c>
      <c r="BG3133" t="str">
        <f>T("판타지 웹소설 &gt; 퓨전 판타지")</f>
        <v>판타지 웹소설 &gt; 퓨전 판타지</v>
      </c>
    </row>
    <row r="3134" spans="1:59">
      <c r="A3134" t="s">
        <v>60</v>
      </c>
      <c r="B3134" s="1">
        <v>46131</v>
      </c>
      <c r="C3134">
        <v>2378009513</v>
      </c>
      <c r="D3134">
        <v>2378028186</v>
      </c>
      <c r="E3134" t="str">
        <f>T("문과라도 안 죄송한 이세계로 감 375화")</f>
        <v>문과라도 안 죄송한 이세계로 감 375화</v>
      </c>
      <c r="F3134">
        <v>375</v>
      </c>
      <c r="G3134" t="str">
        <f>T("정수읠")</f>
        <v>정수읠</v>
      </c>
      <c r="J3134" t="str">
        <f>T("매드햇")</f>
        <v>매드햇</v>
      </c>
      <c r="K3134" t="str">
        <f>T("문과라도 안 죄송한 이세계로 감")</f>
        <v>문과라도 안 죄송한 이세계로 감</v>
      </c>
      <c r="L3134">
        <v>100</v>
      </c>
      <c r="M3134">
        <v>100</v>
      </c>
      <c r="N3134">
        <v>1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0</v>
      </c>
      <c r="AE3134">
        <v>0</v>
      </c>
      <c r="AF3134">
        <v>0</v>
      </c>
      <c r="AG3134">
        <v>0</v>
      </c>
      <c r="AH3134">
        <v>0</v>
      </c>
      <c r="AI3134">
        <v>100</v>
      </c>
      <c r="AJ3134">
        <v>1</v>
      </c>
      <c r="AK3134">
        <v>0</v>
      </c>
      <c r="AL3134">
        <v>0</v>
      </c>
      <c r="AM3134">
        <v>10</v>
      </c>
      <c r="AN3134">
        <v>0</v>
      </c>
      <c r="AO3134">
        <v>108</v>
      </c>
      <c r="AP3134">
        <v>-10.8</v>
      </c>
      <c r="AQ3134">
        <v>0</v>
      </c>
      <c r="AS3134">
        <v>0</v>
      </c>
      <c r="AT3134">
        <v>0</v>
      </c>
      <c r="AU3134">
        <v>108</v>
      </c>
      <c r="AV3134">
        <v>-10.8</v>
      </c>
      <c r="AW3134">
        <v>0</v>
      </c>
      <c r="AY3134">
        <v>0</v>
      </c>
      <c r="AZ3134">
        <v>0</v>
      </c>
      <c r="BA3134">
        <v>75.040000000000006</v>
      </c>
      <c r="BC3134" t="str">
        <f>T("0000000000000")</f>
        <v>0000000000000</v>
      </c>
      <c r="BE3134" t="str">
        <f>T("9791162589724")</f>
        <v>9791162589724</v>
      </c>
      <c r="BF3134" t="str">
        <f>T("E844250")</f>
        <v>E844250</v>
      </c>
      <c r="BG3134" t="str">
        <f>T("판타지 웹소설 &gt; 퓨전 판타지")</f>
        <v>판타지 웹소설 &gt; 퓨전 판타지</v>
      </c>
    </row>
    <row r="3135" spans="1:59">
      <c r="A3135" t="s">
        <v>60</v>
      </c>
      <c r="B3135" s="1">
        <v>46131</v>
      </c>
      <c r="C3135">
        <v>2378009513</v>
      </c>
      <c r="D3135">
        <v>2378028223</v>
      </c>
      <c r="E3135" t="str">
        <f>T("문과라도 안 죄송한 이세계로 감 376화")</f>
        <v>문과라도 안 죄송한 이세계로 감 376화</v>
      </c>
      <c r="F3135">
        <v>376</v>
      </c>
      <c r="G3135" t="str">
        <f>T("정수읠")</f>
        <v>정수읠</v>
      </c>
      <c r="J3135" t="str">
        <f>T("매드햇")</f>
        <v>매드햇</v>
      </c>
      <c r="K3135" t="str">
        <f>T("문과라도 안 죄송한 이세계로 감")</f>
        <v>문과라도 안 죄송한 이세계로 감</v>
      </c>
      <c r="L3135">
        <v>100</v>
      </c>
      <c r="M3135">
        <v>100</v>
      </c>
      <c r="N3135">
        <v>1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0</v>
      </c>
      <c r="AE3135">
        <v>0</v>
      </c>
      <c r="AF3135">
        <v>0</v>
      </c>
      <c r="AG3135">
        <v>0</v>
      </c>
      <c r="AH3135">
        <v>0</v>
      </c>
      <c r="AI3135">
        <v>100</v>
      </c>
      <c r="AJ3135">
        <v>1</v>
      </c>
      <c r="AK3135">
        <v>0</v>
      </c>
      <c r="AL3135">
        <v>0</v>
      </c>
      <c r="AM3135">
        <v>10</v>
      </c>
      <c r="AN3135">
        <v>0</v>
      </c>
      <c r="AO3135">
        <v>108</v>
      </c>
      <c r="AP3135">
        <v>-10.8</v>
      </c>
      <c r="AQ3135">
        <v>0</v>
      </c>
      <c r="AS3135">
        <v>0</v>
      </c>
      <c r="AT3135">
        <v>0</v>
      </c>
      <c r="AU3135">
        <v>108</v>
      </c>
      <c r="AV3135">
        <v>-10.8</v>
      </c>
      <c r="AW3135">
        <v>0</v>
      </c>
      <c r="AY3135">
        <v>0</v>
      </c>
      <c r="AZ3135">
        <v>0</v>
      </c>
      <c r="BA3135">
        <v>75.040000000000006</v>
      </c>
      <c r="BC3135" t="str">
        <f>T("0000000000000")</f>
        <v>0000000000000</v>
      </c>
      <c r="BE3135" t="str">
        <f>T("9791162589724")</f>
        <v>9791162589724</v>
      </c>
      <c r="BF3135" t="str">
        <f>T("E844352")</f>
        <v>E844352</v>
      </c>
      <c r="BG3135" t="str">
        <f>T("판타지 웹소설 &gt; 퓨전 판타지")</f>
        <v>판타지 웹소설 &gt; 퓨전 판타지</v>
      </c>
    </row>
    <row r="3136" spans="1:59">
      <c r="A3136" t="s">
        <v>60</v>
      </c>
      <c r="B3136" s="1">
        <v>46131</v>
      </c>
      <c r="C3136">
        <v>2378009513</v>
      </c>
      <c r="D3136">
        <v>2378028261</v>
      </c>
      <c r="E3136" t="str">
        <f>T("문과라도 안 죄송한 이세계로 감 377화")</f>
        <v>문과라도 안 죄송한 이세계로 감 377화</v>
      </c>
      <c r="F3136">
        <v>377</v>
      </c>
      <c r="G3136" t="str">
        <f>T("정수읠")</f>
        <v>정수읠</v>
      </c>
      <c r="J3136" t="str">
        <f>T("매드햇")</f>
        <v>매드햇</v>
      </c>
      <c r="K3136" t="str">
        <f>T("문과라도 안 죄송한 이세계로 감")</f>
        <v>문과라도 안 죄송한 이세계로 감</v>
      </c>
      <c r="L3136">
        <v>100</v>
      </c>
      <c r="M3136">
        <v>100</v>
      </c>
      <c r="N3136">
        <v>1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0</v>
      </c>
      <c r="AE3136">
        <v>0</v>
      </c>
      <c r="AF3136">
        <v>0</v>
      </c>
      <c r="AG3136">
        <v>0</v>
      </c>
      <c r="AH3136">
        <v>0</v>
      </c>
      <c r="AI3136">
        <v>100</v>
      </c>
      <c r="AJ3136">
        <v>1</v>
      </c>
      <c r="AK3136">
        <v>0</v>
      </c>
      <c r="AL3136">
        <v>0</v>
      </c>
      <c r="AM3136">
        <v>10</v>
      </c>
      <c r="AN3136">
        <v>0</v>
      </c>
      <c r="AO3136">
        <v>108</v>
      </c>
      <c r="AP3136">
        <v>-10.8</v>
      </c>
      <c r="AQ3136">
        <v>0</v>
      </c>
      <c r="AS3136">
        <v>0</v>
      </c>
      <c r="AT3136">
        <v>0</v>
      </c>
      <c r="AU3136">
        <v>108</v>
      </c>
      <c r="AV3136">
        <v>-10.8</v>
      </c>
      <c r="AW3136">
        <v>0</v>
      </c>
      <c r="AY3136">
        <v>0</v>
      </c>
      <c r="AZ3136">
        <v>0</v>
      </c>
      <c r="BA3136">
        <v>75.040000000000006</v>
      </c>
      <c r="BC3136" t="str">
        <f>T("0000000000000")</f>
        <v>0000000000000</v>
      </c>
      <c r="BE3136" t="str">
        <f>T("9791162589724")</f>
        <v>9791162589724</v>
      </c>
      <c r="BF3136" t="str">
        <f>T("E844353")</f>
        <v>E844353</v>
      </c>
      <c r="BG3136" t="str">
        <f>T("판타지 웹소설 &gt; 퓨전 판타지")</f>
        <v>판타지 웹소설 &gt; 퓨전 판타지</v>
      </c>
    </row>
    <row r="3137" spans="1:59">
      <c r="A3137" t="s">
        <v>60</v>
      </c>
      <c r="B3137" s="1">
        <v>46131</v>
      </c>
      <c r="C3137">
        <v>2378009513</v>
      </c>
      <c r="D3137">
        <v>2378028262</v>
      </c>
      <c r="E3137" t="str">
        <f>T("문과라도 안 죄송한 이세계로 감 378화")</f>
        <v>문과라도 안 죄송한 이세계로 감 378화</v>
      </c>
      <c r="F3137">
        <v>378</v>
      </c>
      <c r="G3137" t="str">
        <f>T("정수읠")</f>
        <v>정수읠</v>
      </c>
      <c r="J3137" t="str">
        <f>T("매드햇")</f>
        <v>매드햇</v>
      </c>
      <c r="K3137" t="str">
        <f>T("문과라도 안 죄송한 이세계로 감")</f>
        <v>문과라도 안 죄송한 이세계로 감</v>
      </c>
      <c r="L3137">
        <v>100</v>
      </c>
      <c r="M3137">
        <v>100</v>
      </c>
      <c r="N3137">
        <v>1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0</v>
      </c>
      <c r="AE3137">
        <v>0</v>
      </c>
      <c r="AF3137">
        <v>0</v>
      </c>
      <c r="AG3137">
        <v>0</v>
      </c>
      <c r="AH3137">
        <v>0</v>
      </c>
      <c r="AI3137">
        <v>100</v>
      </c>
      <c r="AJ3137">
        <v>1</v>
      </c>
      <c r="AK3137">
        <v>0</v>
      </c>
      <c r="AL3137">
        <v>0</v>
      </c>
      <c r="AM3137">
        <v>10</v>
      </c>
      <c r="AN3137">
        <v>0</v>
      </c>
      <c r="AO3137">
        <v>108</v>
      </c>
      <c r="AP3137">
        <v>-10.8</v>
      </c>
      <c r="AQ3137">
        <v>0</v>
      </c>
      <c r="AS3137">
        <v>0</v>
      </c>
      <c r="AT3137">
        <v>0</v>
      </c>
      <c r="AU3137">
        <v>108</v>
      </c>
      <c r="AV3137">
        <v>-10.8</v>
      </c>
      <c r="AW3137">
        <v>0</v>
      </c>
      <c r="AY3137">
        <v>0</v>
      </c>
      <c r="AZ3137">
        <v>0</v>
      </c>
      <c r="BA3137">
        <v>75.040000000000006</v>
      </c>
      <c r="BC3137" t="str">
        <f>T("0000000000000")</f>
        <v>0000000000000</v>
      </c>
      <c r="BE3137" t="str">
        <f>T("9791162589724")</f>
        <v>9791162589724</v>
      </c>
      <c r="BF3137" t="str">
        <f>T("E846438")</f>
        <v>E846438</v>
      </c>
      <c r="BG3137" t="str">
        <f>T("판타지 웹소설 &gt; 퓨전 판타지")</f>
        <v>판타지 웹소설 &gt; 퓨전 판타지</v>
      </c>
    </row>
    <row r="3138" spans="1:59">
      <c r="A3138" t="s">
        <v>60</v>
      </c>
      <c r="B3138" s="1">
        <v>46131</v>
      </c>
      <c r="C3138">
        <v>2378009513</v>
      </c>
      <c r="D3138">
        <v>2378028287</v>
      </c>
      <c r="E3138" t="str">
        <f>T("문과라도 안 죄송한 이세계로 감 379화")</f>
        <v>문과라도 안 죄송한 이세계로 감 379화</v>
      </c>
      <c r="F3138">
        <v>379</v>
      </c>
      <c r="G3138" t="str">
        <f>T("정수읠")</f>
        <v>정수읠</v>
      </c>
      <c r="J3138" t="str">
        <f>T("매드햇")</f>
        <v>매드햇</v>
      </c>
      <c r="K3138" t="str">
        <f>T("문과라도 안 죄송한 이세계로 감")</f>
        <v>문과라도 안 죄송한 이세계로 감</v>
      </c>
      <c r="L3138">
        <v>100</v>
      </c>
      <c r="M3138">
        <v>100</v>
      </c>
      <c r="N3138">
        <v>1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0</v>
      </c>
      <c r="AE3138">
        <v>0</v>
      </c>
      <c r="AF3138">
        <v>0</v>
      </c>
      <c r="AG3138">
        <v>0</v>
      </c>
      <c r="AH3138">
        <v>0</v>
      </c>
      <c r="AI3138">
        <v>100</v>
      </c>
      <c r="AJ3138">
        <v>1</v>
      </c>
      <c r="AK3138">
        <v>0</v>
      </c>
      <c r="AL3138">
        <v>0</v>
      </c>
      <c r="AM3138">
        <v>10</v>
      </c>
      <c r="AN3138">
        <v>0</v>
      </c>
      <c r="AO3138">
        <v>108</v>
      </c>
      <c r="AP3138">
        <v>-10.8</v>
      </c>
      <c r="AQ3138">
        <v>0</v>
      </c>
      <c r="AS3138">
        <v>0</v>
      </c>
      <c r="AT3138">
        <v>0</v>
      </c>
      <c r="AU3138">
        <v>108</v>
      </c>
      <c r="AV3138">
        <v>-10.8</v>
      </c>
      <c r="AW3138">
        <v>0</v>
      </c>
      <c r="AY3138">
        <v>0</v>
      </c>
      <c r="AZ3138">
        <v>0</v>
      </c>
      <c r="BA3138">
        <v>75.040000000000006</v>
      </c>
      <c r="BC3138" t="str">
        <f>T("0000000000000")</f>
        <v>0000000000000</v>
      </c>
      <c r="BE3138" t="str">
        <f>T("9791162589724")</f>
        <v>9791162589724</v>
      </c>
      <c r="BF3138" t="str">
        <f>T("E847082")</f>
        <v>E847082</v>
      </c>
      <c r="BG3138" t="str">
        <f>T("판타지 웹소설 &gt; 퓨전 판타지")</f>
        <v>판타지 웹소설 &gt; 퓨전 판타지</v>
      </c>
    </row>
    <row r="3139" spans="1:59">
      <c r="A3139" t="s">
        <v>60</v>
      </c>
      <c r="B3139" s="1">
        <v>46131</v>
      </c>
      <c r="C3139">
        <v>2378009513</v>
      </c>
      <c r="D3139">
        <v>2378028458</v>
      </c>
      <c r="E3139" t="str">
        <f>T("문과라도 안 죄송한 이세계로 감 380화")</f>
        <v>문과라도 안 죄송한 이세계로 감 380화</v>
      </c>
      <c r="F3139">
        <v>380</v>
      </c>
      <c r="G3139" t="str">
        <f>T("정수읠")</f>
        <v>정수읠</v>
      </c>
      <c r="J3139" t="str">
        <f>T("매드햇")</f>
        <v>매드햇</v>
      </c>
      <c r="K3139" t="str">
        <f>T("문과라도 안 죄송한 이세계로 감")</f>
        <v>문과라도 안 죄송한 이세계로 감</v>
      </c>
      <c r="L3139">
        <v>100</v>
      </c>
      <c r="M3139">
        <v>100</v>
      </c>
      <c r="N3139">
        <v>1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0</v>
      </c>
      <c r="AE3139">
        <v>0</v>
      </c>
      <c r="AF3139">
        <v>0</v>
      </c>
      <c r="AG3139">
        <v>0</v>
      </c>
      <c r="AH3139">
        <v>0</v>
      </c>
      <c r="AI3139">
        <v>100</v>
      </c>
      <c r="AJ3139">
        <v>1</v>
      </c>
      <c r="AK3139">
        <v>0</v>
      </c>
      <c r="AL3139">
        <v>0</v>
      </c>
      <c r="AM3139">
        <v>10</v>
      </c>
      <c r="AN3139">
        <v>0</v>
      </c>
      <c r="AO3139">
        <v>108</v>
      </c>
      <c r="AP3139">
        <v>-10.8</v>
      </c>
      <c r="AQ3139">
        <v>0</v>
      </c>
      <c r="AS3139">
        <v>0</v>
      </c>
      <c r="AT3139">
        <v>0</v>
      </c>
      <c r="AU3139">
        <v>108</v>
      </c>
      <c r="AV3139">
        <v>-10.8</v>
      </c>
      <c r="AW3139">
        <v>0</v>
      </c>
      <c r="AY3139">
        <v>0</v>
      </c>
      <c r="AZ3139">
        <v>0</v>
      </c>
      <c r="BA3139">
        <v>75.040000000000006</v>
      </c>
      <c r="BC3139" t="str">
        <f>T("0000000000000")</f>
        <v>0000000000000</v>
      </c>
      <c r="BE3139" t="str">
        <f>T("9791162589724")</f>
        <v>9791162589724</v>
      </c>
      <c r="BF3139" t="str">
        <f>T("E848664")</f>
        <v>E848664</v>
      </c>
      <c r="BG3139" t="str">
        <f>T("판타지 웹소설 &gt; 퓨전 판타지")</f>
        <v>판타지 웹소설 &gt; 퓨전 판타지</v>
      </c>
    </row>
    <row r="3140" spans="1:59">
      <c r="A3140" t="s">
        <v>60</v>
      </c>
      <c r="B3140" s="1">
        <v>46131</v>
      </c>
      <c r="C3140">
        <v>2378009513</v>
      </c>
      <c r="D3140">
        <v>2378028470</v>
      </c>
      <c r="E3140" t="str">
        <f>T("문과라도 안 죄송한 이세계로 감 381화")</f>
        <v>문과라도 안 죄송한 이세계로 감 381화</v>
      </c>
      <c r="F3140">
        <v>381</v>
      </c>
      <c r="G3140" t="str">
        <f>T("정수읠")</f>
        <v>정수읠</v>
      </c>
      <c r="J3140" t="str">
        <f>T("매드햇")</f>
        <v>매드햇</v>
      </c>
      <c r="K3140" t="str">
        <f>T("문과라도 안 죄송한 이세계로 감")</f>
        <v>문과라도 안 죄송한 이세계로 감</v>
      </c>
      <c r="L3140">
        <v>100</v>
      </c>
      <c r="M3140">
        <v>100</v>
      </c>
      <c r="N3140">
        <v>1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0</v>
      </c>
      <c r="AE3140">
        <v>0</v>
      </c>
      <c r="AF3140">
        <v>0</v>
      </c>
      <c r="AG3140">
        <v>0</v>
      </c>
      <c r="AH3140">
        <v>0</v>
      </c>
      <c r="AI3140">
        <v>100</v>
      </c>
      <c r="AJ3140">
        <v>1</v>
      </c>
      <c r="AK3140">
        <v>0</v>
      </c>
      <c r="AL3140">
        <v>0</v>
      </c>
      <c r="AM3140">
        <v>10</v>
      </c>
      <c r="AN3140">
        <v>0</v>
      </c>
      <c r="AO3140">
        <v>108</v>
      </c>
      <c r="AP3140">
        <v>-10.8</v>
      </c>
      <c r="AQ3140">
        <v>0</v>
      </c>
      <c r="AS3140">
        <v>0</v>
      </c>
      <c r="AT3140">
        <v>0</v>
      </c>
      <c r="AU3140">
        <v>108</v>
      </c>
      <c r="AV3140">
        <v>-10.8</v>
      </c>
      <c r="AW3140">
        <v>0</v>
      </c>
      <c r="AY3140">
        <v>0</v>
      </c>
      <c r="AZ3140">
        <v>0</v>
      </c>
      <c r="BA3140">
        <v>75.040000000000006</v>
      </c>
      <c r="BC3140" t="str">
        <f>T("0000000000000")</f>
        <v>0000000000000</v>
      </c>
      <c r="BE3140" t="str">
        <f>T("9791162589724")</f>
        <v>9791162589724</v>
      </c>
      <c r="BF3140" t="str">
        <f>T("E848665")</f>
        <v>E848665</v>
      </c>
      <c r="BG3140" t="str">
        <f>T("판타지 웹소설 &gt; 퓨전 판타지")</f>
        <v>판타지 웹소설 &gt; 퓨전 판타지</v>
      </c>
    </row>
    <row r="3141" spans="1:59">
      <c r="A3141" t="s">
        <v>60</v>
      </c>
      <c r="B3141" s="1">
        <v>46131</v>
      </c>
      <c r="C3141">
        <v>2378009513</v>
      </c>
      <c r="D3141">
        <v>2378028866</v>
      </c>
      <c r="E3141" t="str">
        <f>T("문과라도 안 죄송한 이세계로 감 382화")</f>
        <v>문과라도 안 죄송한 이세계로 감 382화</v>
      </c>
      <c r="F3141">
        <v>382</v>
      </c>
      <c r="G3141" t="str">
        <f>T("정수읠")</f>
        <v>정수읠</v>
      </c>
      <c r="J3141" t="str">
        <f>T("매드햇")</f>
        <v>매드햇</v>
      </c>
      <c r="K3141" t="str">
        <f>T("문과라도 안 죄송한 이세계로 감")</f>
        <v>문과라도 안 죄송한 이세계로 감</v>
      </c>
      <c r="L3141">
        <v>100</v>
      </c>
      <c r="M3141">
        <v>100</v>
      </c>
      <c r="N3141">
        <v>1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0</v>
      </c>
      <c r="AE3141">
        <v>0</v>
      </c>
      <c r="AF3141">
        <v>0</v>
      </c>
      <c r="AG3141">
        <v>0</v>
      </c>
      <c r="AH3141">
        <v>0</v>
      </c>
      <c r="AI3141">
        <v>100</v>
      </c>
      <c r="AJ3141">
        <v>1</v>
      </c>
      <c r="AK3141">
        <v>0</v>
      </c>
      <c r="AL3141">
        <v>0</v>
      </c>
      <c r="AM3141">
        <v>10</v>
      </c>
      <c r="AN3141">
        <v>0</v>
      </c>
      <c r="AO3141">
        <v>108</v>
      </c>
      <c r="AP3141">
        <v>-10.8</v>
      </c>
      <c r="AQ3141">
        <v>0</v>
      </c>
      <c r="AS3141">
        <v>0</v>
      </c>
      <c r="AT3141">
        <v>0</v>
      </c>
      <c r="AU3141">
        <v>108</v>
      </c>
      <c r="AV3141">
        <v>-10.8</v>
      </c>
      <c r="AW3141">
        <v>0</v>
      </c>
      <c r="AY3141">
        <v>0</v>
      </c>
      <c r="AZ3141">
        <v>0</v>
      </c>
      <c r="BA3141">
        <v>75.040000000000006</v>
      </c>
      <c r="BC3141" t="str">
        <f>T("0000000000000")</f>
        <v>0000000000000</v>
      </c>
      <c r="BE3141" t="str">
        <f>T("9791162589724")</f>
        <v>9791162589724</v>
      </c>
      <c r="BF3141" t="str">
        <f>T("E848666")</f>
        <v>E848666</v>
      </c>
      <c r="BG3141" t="str">
        <f>T("판타지 웹소설 &gt; 퓨전 판타지")</f>
        <v>판타지 웹소설 &gt; 퓨전 판타지</v>
      </c>
    </row>
    <row r="3142" spans="1:59">
      <c r="A3142" t="s">
        <v>60</v>
      </c>
      <c r="B3142" s="1">
        <v>46131</v>
      </c>
      <c r="C3142">
        <v>2378009513</v>
      </c>
      <c r="D3142">
        <v>2378028895</v>
      </c>
      <c r="E3142" t="str">
        <f>T("문과라도 안 죄송한 이세계로 감 383화")</f>
        <v>문과라도 안 죄송한 이세계로 감 383화</v>
      </c>
      <c r="F3142">
        <v>383</v>
      </c>
      <c r="G3142" t="str">
        <f>T("정수읠")</f>
        <v>정수읠</v>
      </c>
      <c r="J3142" t="str">
        <f>T("매드햇")</f>
        <v>매드햇</v>
      </c>
      <c r="K3142" t="str">
        <f>T("문과라도 안 죄송한 이세계로 감")</f>
        <v>문과라도 안 죄송한 이세계로 감</v>
      </c>
      <c r="L3142">
        <v>100</v>
      </c>
      <c r="M3142">
        <v>100</v>
      </c>
      <c r="N3142">
        <v>1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0</v>
      </c>
      <c r="AE3142">
        <v>0</v>
      </c>
      <c r="AF3142">
        <v>0</v>
      </c>
      <c r="AG3142">
        <v>0</v>
      </c>
      <c r="AH3142">
        <v>0</v>
      </c>
      <c r="AI3142">
        <v>100</v>
      </c>
      <c r="AJ3142">
        <v>1</v>
      </c>
      <c r="AK3142">
        <v>0</v>
      </c>
      <c r="AL3142">
        <v>0</v>
      </c>
      <c r="AM3142">
        <v>10</v>
      </c>
      <c r="AN3142">
        <v>0</v>
      </c>
      <c r="AO3142">
        <v>108</v>
      </c>
      <c r="AP3142">
        <v>-10.8</v>
      </c>
      <c r="AQ3142">
        <v>0</v>
      </c>
      <c r="AS3142">
        <v>0</v>
      </c>
      <c r="AT3142">
        <v>0</v>
      </c>
      <c r="AU3142">
        <v>108</v>
      </c>
      <c r="AV3142">
        <v>-10.8</v>
      </c>
      <c r="AW3142">
        <v>0</v>
      </c>
      <c r="AY3142">
        <v>0</v>
      </c>
      <c r="AZ3142">
        <v>0</v>
      </c>
      <c r="BA3142">
        <v>75.040000000000006</v>
      </c>
      <c r="BC3142" t="str">
        <f>T("0000000000000")</f>
        <v>0000000000000</v>
      </c>
      <c r="BE3142" t="str">
        <f>T("9791162589724")</f>
        <v>9791162589724</v>
      </c>
      <c r="BF3142" t="str">
        <f>T("E849762")</f>
        <v>E849762</v>
      </c>
      <c r="BG3142" t="str">
        <f>T("판타지 웹소설 &gt; 퓨전 판타지")</f>
        <v>판타지 웹소설 &gt; 퓨전 판타지</v>
      </c>
    </row>
    <row r="3143" spans="1:59">
      <c r="A3143" t="s">
        <v>60</v>
      </c>
      <c r="B3143" s="1">
        <v>46131</v>
      </c>
      <c r="C3143">
        <v>2378009513</v>
      </c>
      <c r="D3143">
        <v>2378028910</v>
      </c>
      <c r="E3143" t="str">
        <f>T("문과라도 안 죄송한 이세계로 감 384화")</f>
        <v>문과라도 안 죄송한 이세계로 감 384화</v>
      </c>
      <c r="F3143">
        <v>384</v>
      </c>
      <c r="G3143" t="str">
        <f>T("정수읠")</f>
        <v>정수읠</v>
      </c>
      <c r="J3143" t="str">
        <f>T("매드햇")</f>
        <v>매드햇</v>
      </c>
      <c r="K3143" t="str">
        <f>T("문과라도 안 죄송한 이세계로 감")</f>
        <v>문과라도 안 죄송한 이세계로 감</v>
      </c>
      <c r="L3143">
        <v>100</v>
      </c>
      <c r="M3143">
        <v>100</v>
      </c>
      <c r="N3143">
        <v>1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0</v>
      </c>
      <c r="AE3143">
        <v>0</v>
      </c>
      <c r="AF3143">
        <v>0</v>
      </c>
      <c r="AG3143">
        <v>0</v>
      </c>
      <c r="AH3143">
        <v>0</v>
      </c>
      <c r="AI3143">
        <v>100</v>
      </c>
      <c r="AJ3143">
        <v>1</v>
      </c>
      <c r="AK3143">
        <v>0</v>
      </c>
      <c r="AL3143">
        <v>0</v>
      </c>
      <c r="AM3143">
        <v>10</v>
      </c>
      <c r="AN3143">
        <v>0</v>
      </c>
      <c r="AO3143">
        <v>108</v>
      </c>
      <c r="AP3143">
        <v>-10.8</v>
      </c>
      <c r="AQ3143">
        <v>0</v>
      </c>
      <c r="AS3143">
        <v>0</v>
      </c>
      <c r="AT3143">
        <v>0</v>
      </c>
      <c r="AU3143">
        <v>108</v>
      </c>
      <c r="AV3143">
        <v>-10.8</v>
      </c>
      <c r="AW3143">
        <v>0</v>
      </c>
      <c r="AY3143">
        <v>0</v>
      </c>
      <c r="AZ3143">
        <v>0</v>
      </c>
      <c r="BA3143">
        <v>75.040000000000006</v>
      </c>
      <c r="BC3143" t="str">
        <f>T("0000000000000")</f>
        <v>0000000000000</v>
      </c>
      <c r="BE3143" t="str">
        <f>T("9791162589724")</f>
        <v>9791162589724</v>
      </c>
      <c r="BF3143" t="str">
        <f>T("E855837")</f>
        <v>E855837</v>
      </c>
      <c r="BG3143" t="str">
        <f>T("판타지 웹소설 &gt; 퓨전 판타지")</f>
        <v>판타지 웹소설 &gt; 퓨전 판타지</v>
      </c>
    </row>
    <row r="3144" spans="1:59">
      <c r="A3144" t="s">
        <v>60</v>
      </c>
      <c r="B3144" s="1">
        <v>46131</v>
      </c>
      <c r="C3144">
        <v>2378009513</v>
      </c>
      <c r="D3144">
        <v>2378029038</v>
      </c>
      <c r="E3144" t="str">
        <f>T("문과라도 안 죄송한 이세계로 감 385화")</f>
        <v>문과라도 안 죄송한 이세계로 감 385화</v>
      </c>
      <c r="F3144">
        <v>385</v>
      </c>
      <c r="G3144" t="str">
        <f>T("정수읠")</f>
        <v>정수읠</v>
      </c>
      <c r="J3144" t="str">
        <f>T("매드햇")</f>
        <v>매드햇</v>
      </c>
      <c r="K3144" t="str">
        <f>T("문과라도 안 죄송한 이세계로 감")</f>
        <v>문과라도 안 죄송한 이세계로 감</v>
      </c>
      <c r="L3144">
        <v>100</v>
      </c>
      <c r="M3144">
        <v>100</v>
      </c>
      <c r="N3144">
        <v>1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0</v>
      </c>
      <c r="AE3144">
        <v>0</v>
      </c>
      <c r="AF3144">
        <v>0</v>
      </c>
      <c r="AG3144">
        <v>0</v>
      </c>
      <c r="AH3144">
        <v>0</v>
      </c>
      <c r="AI3144">
        <v>100</v>
      </c>
      <c r="AJ3144">
        <v>1</v>
      </c>
      <c r="AK3144">
        <v>0</v>
      </c>
      <c r="AL3144">
        <v>0</v>
      </c>
      <c r="AM3144">
        <v>10</v>
      </c>
      <c r="AN3144">
        <v>0</v>
      </c>
      <c r="AO3144">
        <v>108</v>
      </c>
      <c r="AP3144">
        <v>-10.8</v>
      </c>
      <c r="AQ3144">
        <v>0</v>
      </c>
      <c r="AS3144">
        <v>0</v>
      </c>
      <c r="AT3144">
        <v>0</v>
      </c>
      <c r="AU3144">
        <v>108</v>
      </c>
      <c r="AV3144">
        <v>-10.8</v>
      </c>
      <c r="AW3144">
        <v>0</v>
      </c>
      <c r="AY3144">
        <v>0</v>
      </c>
      <c r="AZ3144">
        <v>0</v>
      </c>
      <c r="BA3144">
        <v>75.040000000000006</v>
      </c>
      <c r="BC3144" t="str">
        <f>T("0000000000000")</f>
        <v>0000000000000</v>
      </c>
      <c r="BE3144" t="str">
        <f>T("9791162589724")</f>
        <v>9791162589724</v>
      </c>
      <c r="BF3144" t="str">
        <f>T("E855838")</f>
        <v>E855838</v>
      </c>
      <c r="BG3144" t="str">
        <f>T("판타지 웹소설 &gt; 퓨전 판타지")</f>
        <v>판타지 웹소설 &gt; 퓨전 판타지</v>
      </c>
    </row>
    <row r="3145" spans="1:59">
      <c r="A3145" t="s">
        <v>60</v>
      </c>
      <c r="B3145" s="1">
        <v>46131</v>
      </c>
      <c r="C3145">
        <v>2378009513</v>
      </c>
      <c r="D3145">
        <v>2378029283</v>
      </c>
      <c r="E3145" t="str">
        <f>T("문과라도 안 죄송한 이세계로 감 386화")</f>
        <v>문과라도 안 죄송한 이세계로 감 386화</v>
      </c>
      <c r="F3145">
        <v>386</v>
      </c>
      <c r="G3145" t="str">
        <f>T("정수읠")</f>
        <v>정수읠</v>
      </c>
      <c r="J3145" t="str">
        <f>T("매드햇")</f>
        <v>매드햇</v>
      </c>
      <c r="K3145" t="str">
        <f>T("문과라도 안 죄송한 이세계로 감")</f>
        <v>문과라도 안 죄송한 이세계로 감</v>
      </c>
      <c r="L3145">
        <v>100</v>
      </c>
      <c r="M3145">
        <v>100</v>
      </c>
      <c r="N3145">
        <v>1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100</v>
      </c>
      <c r="AJ3145">
        <v>1</v>
      </c>
      <c r="AK3145">
        <v>0</v>
      </c>
      <c r="AL3145">
        <v>0</v>
      </c>
      <c r="AM3145">
        <v>10</v>
      </c>
      <c r="AN3145">
        <v>0</v>
      </c>
      <c r="AO3145">
        <v>108</v>
      </c>
      <c r="AP3145">
        <v>-10.8</v>
      </c>
      <c r="AQ3145">
        <v>0</v>
      </c>
      <c r="AS3145">
        <v>0</v>
      </c>
      <c r="AT3145">
        <v>0</v>
      </c>
      <c r="AU3145">
        <v>108</v>
      </c>
      <c r="AV3145">
        <v>-10.8</v>
      </c>
      <c r="AW3145">
        <v>0</v>
      </c>
      <c r="AY3145">
        <v>0</v>
      </c>
      <c r="AZ3145">
        <v>0</v>
      </c>
      <c r="BA3145">
        <v>75.040000000000006</v>
      </c>
      <c r="BC3145" t="str">
        <f>T("0000000000000")</f>
        <v>0000000000000</v>
      </c>
      <c r="BE3145" t="str">
        <f>T("9791162589724")</f>
        <v>9791162589724</v>
      </c>
      <c r="BF3145" t="str">
        <f>T("E856094")</f>
        <v>E856094</v>
      </c>
      <c r="BG3145" t="str">
        <f>T("판타지 웹소설 &gt; 퓨전 판타지")</f>
        <v>판타지 웹소설 &gt; 퓨전 판타지</v>
      </c>
    </row>
    <row r="3146" spans="1:59">
      <c r="A3146" t="s">
        <v>60</v>
      </c>
      <c r="B3146" s="1">
        <v>46131</v>
      </c>
      <c r="C3146">
        <v>2378009513</v>
      </c>
      <c r="D3146">
        <v>2378029488</v>
      </c>
      <c r="E3146" t="str">
        <f>T("문과라도 안 죄송한 이세계로 감 387화")</f>
        <v>문과라도 안 죄송한 이세계로 감 387화</v>
      </c>
      <c r="F3146">
        <v>387</v>
      </c>
      <c r="G3146" t="str">
        <f>T("정수읠")</f>
        <v>정수읠</v>
      </c>
      <c r="J3146" t="str">
        <f>T("매드햇")</f>
        <v>매드햇</v>
      </c>
      <c r="K3146" t="str">
        <f>T("문과라도 안 죄송한 이세계로 감")</f>
        <v>문과라도 안 죄송한 이세계로 감</v>
      </c>
      <c r="L3146">
        <v>100</v>
      </c>
      <c r="M3146">
        <v>100</v>
      </c>
      <c r="N3146">
        <v>1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100</v>
      </c>
      <c r="AJ3146">
        <v>1</v>
      </c>
      <c r="AK3146">
        <v>0</v>
      </c>
      <c r="AL3146">
        <v>0</v>
      </c>
      <c r="AM3146">
        <v>10</v>
      </c>
      <c r="AN3146">
        <v>0</v>
      </c>
      <c r="AO3146">
        <v>108</v>
      </c>
      <c r="AP3146">
        <v>-10.8</v>
      </c>
      <c r="AQ3146">
        <v>0</v>
      </c>
      <c r="AS3146">
        <v>0</v>
      </c>
      <c r="AT3146">
        <v>0</v>
      </c>
      <c r="AU3146">
        <v>108</v>
      </c>
      <c r="AV3146">
        <v>-10.8</v>
      </c>
      <c r="AW3146">
        <v>0</v>
      </c>
      <c r="AY3146">
        <v>0</v>
      </c>
      <c r="AZ3146">
        <v>0</v>
      </c>
      <c r="BA3146">
        <v>75.040000000000006</v>
      </c>
      <c r="BC3146" t="str">
        <f>T("0000000000000")</f>
        <v>0000000000000</v>
      </c>
      <c r="BE3146" t="str">
        <f>T("9791162589724")</f>
        <v>9791162589724</v>
      </c>
      <c r="BF3146" t="str">
        <f>T("E858309")</f>
        <v>E858309</v>
      </c>
      <c r="BG3146" t="str">
        <f>T("판타지 웹소설 &gt; 퓨전 판타지")</f>
        <v>판타지 웹소설 &gt; 퓨전 판타지</v>
      </c>
    </row>
    <row r="3147" spans="1:59">
      <c r="A3147" t="s">
        <v>60</v>
      </c>
      <c r="B3147" s="1">
        <v>46131</v>
      </c>
      <c r="C3147">
        <v>2378009513</v>
      </c>
      <c r="D3147">
        <v>2378029515</v>
      </c>
      <c r="E3147" t="str">
        <f>T("문과라도 안 죄송한 이세계로 감 388화")</f>
        <v>문과라도 안 죄송한 이세계로 감 388화</v>
      </c>
      <c r="F3147">
        <v>388</v>
      </c>
      <c r="G3147" t="str">
        <f>T("정수읠")</f>
        <v>정수읠</v>
      </c>
      <c r="J3147" t="str">
        <f>T("매드햇")</f>
        <v>매드햇</v>
      </c>
      <c r="K3147" t="str">
        <f>T("문과라도 안 죄송한 이세계로 감")</f>
        <v>문과라도 안 죄송한 이세계로 감</v>
      </c>
      <c r="L3147">
        <v>100</v>
      </c>
      <c r="M3147">
        <v>100</v>
      </c>
      <c r="N3147">
        <v>1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100</v>
      </c>
      <c r="AJ3147">
        <v>1</v>
      </c>
      <c r="AK3147">
        <v>0</v>
      </c>
      <c r="AL3147">
        <v>0</v>
      </c>
      <c r="AM3147">
        <v>10</v>
      </c>
      <c r="AN3147">
        <v>0</v>
      </c>
      <c r="AO3147">
        <v>108</v>
      </c>
      <c r="AP3147">
        <v>-10.8</v>
      </c>
      <c r="AQ3147">
        <v>0</v>
      </c>
      <c r="AS3147">
        <v>0</v>
      </c>
      <c r="AT3147">
        <v>0</v>
      </c>
      <c r="AU3147">
        <v>108</v>
      </c>
      <c r="AV3147">
        <v>-10.8</v>
      </c>
      <c r="AW3147">
        <v>0</v>
      </c>
      <c r="AY3147">
        <v>0</v>
      </c>
      <c r="AZ3147">
        <v>0</v>
      </c>
      <c r="BA3147">
        <v>75.040000000000006</v>
      </c>
      <c r="BC3147" t="str">
        <f>T("0000000000000")</f>
        <v>0000000000000</v>
      </c>
      <c r="BE3147" t="str">
        <f>T("9791162589724")</f>
        <v>9791162589724</v>
      </c>
      <c r="BF3147" t="str">
        <f>T("E861927")</f>
        <v>E861927</v>
      </c>
      <c r="BG3147" t="str">
        <f>T("판타지 웹소설 &gt; 퓨전 판타지")</f>
        <v>판타지 웹소설 &gt; 퓨전 판타지</v>
      </c>
    </row>
    <row r="3148" spans="1:59">
      <c r="A3148" t="s">
        <v>60</v>
      </c>
      <c r="B3148" s="1">
        <v>46131</v>
      </c>
      <c r="C3148">
        <v>2378009513</v>
      </c>
      <c r="D3148">
        <v>2378029582</v>
      </c>
      <c r="E3148" t="str">
        <f>T("문과라도 안 죄송한 이세계로 감 389화")</f>
        <v>문과라도 안 죄송한 이세계로 감 389화</v>
      </c>
      <c r="F3148">
        <v>389</v>
      </c>
      <c r="G3148" t="str">
        <f>T("정수읠")</f>
        <v>정수읠</v>
      </c>
      <c r="J3148" t="str">
        <f>T("매드햇")</f>
        <v>매드햇</v>
      </c>
      <c r="K3148" t="str">
        <f>T("문과라도 안 죄송한 이세계로 감")</f>
        <v>문과라도 안 죄송한 이세계로 감</v>
      </c>
      <c r="L3148">
        <v>100</v>
      </c>
      <c r="M3148">
        <v>100</v>
      </c>
      <c r="N3148">
        <v>1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100</v>
      </c>
      <c r="AJ3148">
        <v>1</v>
      </c>
      <c r="AK3148">
        <v>0</v>
      </c>
      <c r="AL3148">
        <v>0</v>
      </c>
      <c r="AM3148">
        <v>10</v>
      </c>
      <c r="AN3148">
        <v>0</v>
      </c>
      <c r="AO3148">
        <v>108</v>
      </c>
      <c r="AP3148">
        <v>-10.8</v>
      </c>
      <c r="AQ3148">
        <v>0</v>
      </c>
      <c r="AS3148">
        <v>0</v>
      </c>
      <c r="AT3148">
        <v>0</v>
      </c>
      <c r="AU3148">
        <v>108</v>
      </c>
      <c r="AV3148">
        <v>-10.8</v>
      </c>
      <c r="AW3148">
        <v>0</v>
      </c>
      <c r="AY3148">
        <v>0</v>
      </c>
      <c r="AZ3148">
        <v>0</v>
      </c>
      <c r="BA3148">
        <v>75.040000000000006</v>
      </c>
      <c r="BC3148" t="str">
        <f>T("0000000000000")</f>
        <v>0000000000000</v>
      </c>
      <c r="BE3148" t="str">
        <f>T("9791162589724")</f>
        <v>9791162589724</v>
      </c>
      <c r="BF3148" t="str">
        <f>T("E861928")</f>
        <v>E861928</v>
      </c>
      <c r="BG3148" t="str">
        <f>T("판타지 웹소설 &gt; 퓨전 판타지")</f>
        <v>판타지 웹소설 &gt; 퓨전 판타지</v>
      </c>
    </row>
    <row r="3149" spans="1:59">
      <c r="A3149" t="s">
        <v>60</v>
      </c>
      <c r="B3149" s="1">
        <v>46131</v>
      </c>
      <c r="C3149">
        <v>2378009513</v>
      </c>
      <c r="D3149">
        <v>2378029595</v>
      </c>
      <c r="E3149" t="str">
        <f>T("문과라도 안 죄송한 이세계로 감 390화")</f>
        <v>문과라도 안 죄송한 이세계로 감 390화</v>
      </c>
      <c r="F3149">
        <v>390</v>
      </c>
      <c r="G3149" t="str">
        <f>T("정수읠")</f>
        <v>정수읠</v>
      </c>
      <c r="J3149" t="str">
        <f>T("매드햇")</f>
        <v>매드햇</v>
      </c>
      <c r="K3149" t="str">
        <f>T("문과라도 안 죄송한 이세계로 감")</f>
        <v>문과라도 안 죄송한 이세계로 감</v>
      </c>
      <c r="L3149">
        <v>100</v>
      </c>
      <c r="M3149">
        <v>100</v>
      </c>
      <c r="N3149">
        <v>1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100</v>
      </c>
      <c r="AJ3149">
        <v>1</v>
      </c>
      <c r="AK3149">
        <v>0</v>
      </c>
      <c r="AL3149">
        <v>0</v>
      </c>
      <c r="AM3149">
        <v>10</v>
      </c>
      <c r="AN3149">
        <v>0</v>
      </c>
      <c r="AO3149">
        <v>108</v>
      </c>
      <c r="AP3149">
        <v>-10.8</v>
      </c>
      <c r="AQ3149">
        <v>0</v>
      </c>
      <c r="AS3149">
        <v>0</v>
      </c>
      <c r="AT3149">
        <v>0</v>
      </c>
      <c r="AU3149">
        <v>108</v>
      </c>
      <c r="AV3149">
        <v>-10.8</v>
      </c>
      <c r="AW3149">
        <v>0</v>
      </c>
      <c r="AY3149">
        <v>0</v>
      </c>
      <c r="AZ3149">
        <v>0</v>
      </c>
      <c r="BA3149">
        <v>75.040000000000006</v>
      </c>
      <c r="BC3149" t="str">
        <f>T("0000000000000")</f>
        <v>0000000000000</v>
      </c>
      <c r="BE3149" t="str">
        <f>T("9791162589724")</f>
        <v>9791162589724</v>
      </c>
      <c r="BF3149" t="str">
        <f>T("E862589")</f>
        <v>E862589</v>
      </c>
      <c r="BG3149" t="str">
        <f>T("판타지 웹소설 &gt; 퓨전 판타지")</f>
        <v>판타지 웹소설 &gt; 퓨전 판타지</v>
      </c>
    </row>
    <row r="3150" spans="1:59">
      <c r="A3150" t="s">
        <v>60</v>
      </c>
      <c r="B3150" s="1">
        <v>46131</v>
      </c>
      <c r="C3150">
        <v>2378009513</v>
      </c>
      <c r="D3150">
        <v>2378029650</v>
      </c>
      <c r="E3150" t="str">
        <f>T("문과라도 안 죄송한 이세계로 감 391화")</f>
        <v>문과라도 안 죄송한 이세계로 감 391화</v>
      </c>
      <c r="F3150">
        <v>391</v>
      </c>
      <c r="G3150" t="str">
        <f>T("정수읠")</f>
        <v>정수읠</v>
      </c>
      <c r="J3150" t="str">
        <f>T("매드햇")</f>
        <v>매드햇</v>
      </c>
      <c r="K3150" t="str">
        <f>T("문과라도 안 죄송한 이세계로 감")</f>
        <v>문과라도 안 죄송한 이세계로 감</v>
      </c>
      <c r="L3150">
        <v>100</v>
      </c>
      <c r="M3150">
        <v>100</v>
      </c>
      <c r="N3150">
        <v>1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100</v>
      </c>
      <c r="AJ3150">
        <v>1</v>
      </c>
      <c r="AK3150">
        <v>0</v>
      </c>
      <c r="AL3150">
        <v>0</v>
      </c>
      <c r="AM3150">
        <v>10</v>
      </c>
      <c r="AN3150">
        <v>0</v>
      </c>
      <c r="AO3150">
        <v>108</v>
      </c>
      <c r="AP3150">
        <v>-10.8</v>
      </c>
      <c r="AQ3150">
        <v>0</v>
      </c>
      <c r="AS3150">
        <v>0</v>
      </c>
      <c r="AT3150">
        <v>0</v>
      </c>
      <c r="AU3150">
        <v>108</v>
      </c>
      <c r="AV3150">
        <v>-10.8</v>
      </c>
      <c r="AW3150">
        <v>0</v>
      </c>
      <c r="AY3150">
        <v>0</v>
      </c>
      <c r="AZ3150">
        <v>0</v>
      </c>
      <c r="BA3150">
        <v>75.040000000000006</v>
      </c>
      <c r="BC3150" t="str">
        <f>T("0000000000000")</f>
        <v>0000000000000</v>
      </c>
      <c r="BE3150" t="str">
        <f>T("9791162589724")</f>
        <v>9791162589724</v>
      </c>
      <c r="BF3150" t="str">
        <f>T("E862594")</f>
        <v>E862594</v>
      </c>
      <c r="BG3150" t="str">
        <f>T("판타지 웹소설 &gt; 퓨전 판타지")</f>
        <v>판타지 웹소설 &gt; 퓨전 판타지</v>
      </c>
    </row>
    <row r="3151" spans="1:59">
      <c r="A3151" t="s">
        <v>60</v>
      </c>
      <c r="B3151" s="1">
        <v>46131</v>
      </c>
      <c r="C3151">
        <v>2378009513</v>
      </c>
      <c r="D3151">
        <v>2378029839</v>
      </c>
      <c r="E3151" t="str">
        <f>T("문과라도 안 죄송한 이세계로 감 392화")</f>
        <v>문과라도 안 죄송한 이세계로 감 392화</v>
      </c>
      <c r="F3151">
        <v>392</v>
      </c>
      <c r="G3151" t="str">
        <f>T("정수읠")</f>
        <v>정수읠</v>
      </c>
      <c r="J3151" t="str">
        <f>T("매드햇")</f>
        <v>매드햇</v>
      </c>
      <c r="K3151" t="str">
        <f>T("문과라도 안 죄송한 이세계로 감")</f>
        <v>문과라도 안 죄송한 이세계로 감</v>
      </c>
      <c r="L3151">
        <v>100</v>
      </c>
      <c r="M3151">
        <v>100</v>
      </c>
      <c r="N3151">
        <v>1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100</v>
      </c>
      <c r="AJ3151">
        <v>1</v>
      </c>
      <c r="AK3151">
        <v>0</v>
      </c>
      <c r="AL3151">
        <v>0</v>
      </c>
      <c r="AM3151">
        <v>10</v>
      </c>
      <c r="AN3151">
        <v>0</v>
      </c>
      <c r="AO3151">
        <v>108</v>
      </c>
      <c r="AP3151">
        <v>-10.8</v>
      </c>
      <c r="AQ3151">
        <v>0</v>
      </c>
      <c r="AS3151">
        <v>0</v>
      </c>
      <c r="AT3151">
        <v>0</v>
      </c>
      <c r="AU3151">
        <v>108</v>
      </c>
      <c r="AV3151">
        <v>-10.8</v>
      </c>
      <c r="AW3151">
        <v>0</v>
      </c>
      <c r="AY3151">
        <v>0</v>
      </c>
      <c r="AZ3151">
        <v>0</v>
      </c>
      <c r="BA3151">
        <v>75.040000000000006</v>
      </c>
      <c r="BC3151" t="str">
        <f>T("0000000000000")</f>
        <v>0000000000000</v>
      </c>
      <c r="BE3151" t="str">
        <f>T("9791162589724")</f>
        <v>9791162589724</v>
      </c>
      <c r="BF3151" t="str">
        <f>T("E862595")</f>
        <v>E862595</v>
      </c>
      <c r="BG3151" t="str">
        <f>T("판타지 웹소설 &gt; 퓨전 판타지")</f>
        <v>판타지 웹소설 &gt; 퓨전 판타지</v>
      </c>
    </row>
    <row r="3152" spans="1:59">
      <c r="A3152" t="s">
        <v>60</v>
      </c>
      <c r="B3152" s="1">
        <v>46131</v>
      </c>
      <c r="C3152">
        <v>2378009513</v>
      </c>
      <c r="D3152">
        <v>2378029840</v>
      </c>
      <c r="E3152" t="str">
        <f>T("문과라도 안 죄송한 이세계로 감 393화")</f>
        <v>문과라도 안 죄송한 이세계로 감 393화</v>
      </c>
      <c r="F3152">
        <v>393</v>
      </c>
      <c r="G3152" t="str">
        <f>T("정수읠")</f>
        <v>정수읠</v>
      </c>
      <c r="J3152" t="str">
        <f>T("매드햇")</f>
        <v>매드햇</v>
      </c>
      <c r="K3152" t="str">
        <f>T("문과라도 안 죄송한 이세계로 감")</f>
        <v>문과라도 안 죄송한 이세계로 감</v>
      </c>
      <c r="L3152">
        <v>100</v>
      </c>
      <c r="M3152">
        <v>100</v>
      </c>
      <c r="N3152">
        <v>1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100</v>
      </c>
      <c r="AJ3152">
        <v>1</v>
      </c>
      <c r="AK3152">
        <v>0</v>
      </c>
      <c r="AL3152">
        <v>0</v>
      </c>
      <c r="AM3152">
        <v>10</v>
      </c>
      <c r="AN3152">
        <v>0</v>
      </c>
      <c r="AO3152">
        <v>108</v>
      </c>
      <c r="AP3152">
        <v>-10.8</v>
      </c>
      <c r="AQ3152">
        <v>0</v>
      </c>
      <c r="AS3152">
        <v>0</v>
      </c>
      <c r="AT3152">
        <v>0</v>
      </c>
      <c r="AU3152">
        <v>108</v>
      </c>
      <c r="AV3152">
        <v>-10.8</v>
      </c>
      <c r="AW3152">
        <v>0</v>
      </c>
      <c r="AY3152">
        <v>0</v>
      </c>
      <c r="AZ3152">
        <v>0</v>
      </c>
      <c r="BA3152">
        <v>75.040000000000006</v>
      </c>
      <c r="BC3152" t="str">
        <f>T("0000000000000")</f>
        <v>0000000000000</v>
      </c>
      <c r="BE3152" t="str">
        <f>T("9791162589724")</f>
        <v>9791162589724</v>
      </c>
      <c r="BF3152" t="str">
        <f>T("E865985")</f>
        <v>E865985</v>
      </c>
      <c r="BG3152" t="str">
        <f>T("판타지 웹소설 &gt; 퓨전 판타지")</f>
        <v>판타지 웹소설 &gt; 퓨전 판타지</v>
      </c>
    </row>
    <row r="3153" spans="1:59">
      <c r="A3153" t="s">
        <v>60</v>
      </c>
      <c r="B3153" s="1">
        <v>46131</v>
      </c>
      <c r="C3153">
        <v>2378009513</v>
      </c>
      <c r="D3153">
        <v>2378029841</v>
      </c>
      <c r="E3153" t="str">
        <f>T("문과라도 안 죄송한 이세계로 감 394화")</f>
        <v>문과라도 안 죄송한 이세계로 감 394화</v>
      </c>
      <c r="F3153">
        <v>394</v>
      </c>
      <c r="G3153" t="str">
        <f>T("정수읠")</f>
        <v>정수읠</v>
      </c>
      <c r="J3153" t="str">
        <f>T("매드햇")</f>
        <v>매드햇</v>
      </c>
      <c r="K3153" t="str">
        <f>T("문과라도 안 죄송한 이세계로 감")</f>
        <v>문과라도 안 죄송한 이세계로 감</v>
      </c>
      <c r="L3153">
        <v>100</v>
      </c>
      <c r="M3153">
        <v>100</v>
      </c>
      <c r="N3153">
        <v>1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100</v>
      </c>
      <c r="AJ3153">
        <v>1</v>
      </c>
      <c r="AK3153">
        <v>0</v>
      </c>
      <c r="AL3153">
        <v>0</v>
      </c>
      <c r="AM3153">
        <v>10</v>
      </c>
      <c r="AN3153">
        <v>0</v>
      </c>
      <c r="AO3153">
        <v>108</v>
      </c>
      <c r="AP3153">
        <v>-10.8</v>
      </c>
      <c r="AQ3153">
        <v>0</v>
      </c>
      <c r="AS3153">
        <v>0</v>
      </c>
      <c r="AT3153">
        <v>0</v>
      </c>
      <c r="AU3153">
        <v>108</v>
      </c>
      <c r="AV3153">
        <v>-10.8</v>
      </c>
      <c r="AW3153">
        <v>0</v>
      </c>
      <c r="AY3153">
        <v>0</v>
      </c>
      <c r="AZ3153">
        <v>0</v>
      </c>
      <c r="BA3153">
        <v>75.040000000000006</v>
      </c>
      <c r="BC3153" t="str">
        <f>T("0000000000000")</f>
        <v>0000000000000</v>
      </c>
      <c r="BE3153" t="str">
        <f>T("9791162589724")</f>
        <v>9791162589724</v>
      </c>
      <c r="BF3153" t="str">
        <f>T("E865986")</f>
        <v>E865986</v>
      </c>
      <c r="BG3153" t="str">
        <f>T("판타지 웹소설 &gt; 퓨전 판타지")</f>
        <v>판타지 웹소설 &gt; 퓨전 판타지</v>
      </c>
    </row>
    <row r="3154" spans="1:59">
      <c r="A3154" t="s">
        <v>60</v>
      </c>
      <c r="B3154" s="1">
        <v>46131</v>
      </c>
      <c r="C3154">
        <v>2378009513</v>
      </c>
      <c r="D3154">
        <v>2378029883</v>
      </c>
      <c r="E3154" t="str">
        <f>T("문과라도 안 죄송한 이세계로 감 395화")</f>
        <v>문과라도 안 죄송한 이세계로 감 395화</v>
      </c>
      <c r="F3154">
        <v>395</v>
      </c>
      <c r="G3154" t="str">
        <f>T("정수읠")</f>
        <v>정수읠</v>
      </c>
      <c r="J3154" t="str">
        <f>T("매드햇")</f>
        <v>매드햇</v>
      </c>
      <c r="K3154" t="str">
        <f>T("문과라도 안 죄송한 이세계로 감")</f>
        <v>문과라도 안 죄송한 이세계로 감</v>
      </c>
      <c r="L3154">
        <v>100</v>
      </c>
      <c r="M3154">
        <v>100</v>
      </c>
      <c r="N3154">
        <v>1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100</v>
      </c>
      <c r="AJ3154">
        <v>1</v>
      </c>
      <c r="AK3154">
        <v>0</v>
      </c>
      <c r="AL3154">
        <v>0</v>
      </c>
      <c r="AM3154">
        <v>10</v>
      </c>
      <c r="AN3154">
        <v>0</v>
      </c>
      <c r="AO3154">
        <v>108</v>
      </c>
      <c r="AP3154">
        <v>-10.8</v>
      </c>
      <c r="AQ3154">
        <v>0</v>
      </c>
      <c r="AS3154">
        <v>0</v>
      </c>
      <c r="AT3154">
        <v>0</v>
      </c>
      <c r="AU3154">
        <v>108</v>
      </c>
      <c r="AV3154">
        <v>-10.8</v>
      </c>
      <c r="AW3154">
        <v>0</v>
      </c>
      <c r="AY3154">
        <v>0</v>
      </c>
      <c r="AZ3154">
        <v>0</v>
      </c>
      <c r="BA3154">
        <v>75.040000000000006</v>
      </c>
      <c r="BC3154" t="str">
        <f>T("0000000000000")</f>
        <v>0000000000000</v>
      </c>
      <c r="BE3154" t="str">
        <f>T("9791162589724")</f>
        <v>9791162589724</v>
      </c>
      <c r="BF3154" t="str">
        <f>T("E868762")</f>
        <v>E868762</v>
      </c>
      <c r="BG3154" t="str">
        <f>T("판타지 웹소설 &gt; 퓨전 판타지")</f>
        <v>판타지 웹소설 &gt; 퓨전 판타지</v>
      </c>
    </row>
    <row r="3155" spans="1:59">
      <c r="A3155" t="s">
        <v>60</v>
      </c>
      <c r="B3155" s="1">
        <v>46131</v>
      </c>
      <c r="C3155">
        <v>2378009513</v>
      </c>
      <c r="D3155">
        <v>2378029906</v>
      </c>
      <c r="E3155" t="str">
        <f>T("문과라도 안 죄송한 이세계로 감 396화")</f>
        <v>문과라도 안 죄송한 이세계로 감 396화</v>
      </c>
      <c r="F3155">
        <v>396</v>
      </c>
      <c r="G3155" t="str">
        <f>T("정수읠")</f>
        <v>정수읠</v>
      </c>
      <c r="J3155" t="str">
        <f>T("매드햇")</f>
        <v>매드햇</v>
      </c>
      <c r="K3155" t="str">
        <f>T("문과라도 안 죄송한 이세계로 감")</f>
        <v>문과라도 안 죄송한 이세계로 감</v>
      </c>
      <c r="L3155">
        <v>100</v>
      </c>
      <c r="M3155">
        <v>100</v>
      </c>
      <c r="N3155">
        <v>1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0</v>
      </c>
      <c r="AE3155">
        <v>0</v>
      </c>
      <c r="AF3155">
        <v>0</v>
      </c>
      <c r="AG3155">
        <v>0</v>
      </c>
      <c r="AH3155">
        <v>0</v>
      </c>
      <c r="AI3155">
        <v>100</v>
      </c>
      <c r="AJ3155">
        <v>1</v>
      </c>
      <c r="AK3155">
        <v>0</v>
      </c>
      <c r="AL3155">
        <v>0</v>
      </c>
      <c r="AM3155">
        <v>10</v>
      </c>
      <c r="AN3155">
        <v>0</v>
      </c>
      <c r="AO3155">
        <v>108</v>
      </c>
      <c r="AP3155">
        <v>-10.8</v>
      </c>
      <c r="AQ3155">
        <v>0</v>
      </c>
      <c r="AS3155">
        <v>0</v>
      </c>
      <c r="AT3155">
        <v>0</v>
      </c>
      <c r="AU3155">
        <v>108</v>
      </c>
      <c r="AV3155">
        <v>-10.8</v>
      </c>
      <c r="AW3155">
        <v>0</v>
      </c>
      <c r="AY3155">
        <v>0</v>
      </c>
      <c r="AZ3155">
        <v>0</v>
      </c>
      <c r="BA3155">
        <v>75.040000000000006</v>
      </c>
      <c r="BC3155" t="str">
        <f>T("0000000000000")</f>
        <v>0000000000000</v>
      </c>
      <c r="BE3155" t="str">
        <f>T("9791162589724")</f>
        <v>9791162589724</v>
      </c>
      <c r="BF3155" t="str">
        <f>T("E869543")</f>
        <v>E869543</v>
      </c>
      <c r="BG3155" t="str">
        <f>T("판타지 웹소설 &gt; 퓨전 판타지")</f>
        <v>판타지 웹소설 &gt; 퓨전 판타지</v>
      </c>
    </row>
    <row r="3156" spans="1:59">
      <c r="A3156" t="s">
        <v>60</v>
      </c>
      <c r="B3156" s="1">
        <v>46131</v>
      </c>
      <c r="C3156">
        <v>2378009513</v>
      </c>
      <c r="D3156">
        <v>2378030665</v>
      </c>
      <c r="E3156" t="str">
        <f>T("문과라도 안 죄송한 이세계로 감 397화")</f>
        <v>문과라도 안 죄송한 이세계로 감 397화</v>
      </c>
      <c r="F3156">
        <v>397</v>
      </c>
      <c r="G3156" t="str">
        <f>T("정수읠")</f>
        <v>정수읠</v>
      </c>
      <c r="J3156" t="str">
        <f>T("매드햇")</f>
        <v>매드햇</v>
      </c>
      <c r="K3156" t="str">
        <f>T("문과라도 안 죄송한 이세계로 감")</f>
        <v>문과라도 안 죄송한 이세계로 감</v>
      </c>
      <c r="L3156">
        <v>100</v>
      </c>
      <c r="M3156">
        <v>100</v>
      </c>
      <c r="N3156">
        <v>1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0</v>
      </c>
      <c r="AE3156">
        <v>0</v>
      </c>
      <c r="AF3156">
        <v>0</v>
      </c>
      <c r="AG3156">
        <v>0</v>
      </c>
      <c r="AH3156">
        <v>0</v>
      </c>
      <c r="AI3156">
        <v>100</v>
      </c>
      <c r="AJ3156">
        <v>1</v>
      </c>
      <c r="AK3156">
        <v>0</v>
      </c>
      <c r="AL3156">
        <v>0</v>
      </c>
      <c r="AM3156">
        <v>10</v>
      </c>
      <c r="AN3156">
        <v>0</v>
      </c>
      <c r="AO3156">
        <v>108</v>
      </c>
      <c r="AP3156">
        <v>-10.8</v>
      </c>
      <c r="AQ3156">
        <v>0</v>
      </c>
      <c r="AS3156">
        <v>0</v>
      </c>
      <c r="AT3156">
        <v>0</v>
      </c>
      <c r="AU3156">
        <v>108</v>
      </c>
      <c r="AV3156">
        <v>-10.8</v>
      </c>
      <c r="AW3156">
        <v>0</v>
      </c>
      <c r="AY3156">
        <v>0</v>
      </c>
      <c r="AZ3156">
        <v>0</v>
      </c>
      <c r="BA3156">
        <v>75.040000000000006</v>
      </c>
      <c r="BC3156" t="str">
        <f>T("0000000000000")</f>
        <v>0000000000000</v>
      </c>
      <c r="BE3156" t="str">
        <f>T("9791162589724")</f>
        <v>9791162589724</v>
      </c>
      <c r="BF3156" t="str">
        <f>T("E869551")</f>
        <v>E869551</v>
      </c>
      <c r="BG3156" t="str">
        <f>T("판타지 웹소설 &gt; 퓨전 판타지")</f>
        <v>판타지 웹소설 &gt; 퓨전 판타지</v>
      </c>
    </row>
    <row r="3157" spans="1:59">
      <c r="A3157" t="s">
        <v>60</v>
      </c>
      <c r="B3157" s="1">
        <v>46131</v>
      </c>
      <c r="C3157">
        <v>2378009513</v>
      </c>
      <c r="D3157">
        <v>2378030694</v>
      </c>
      <c r="E3157" t="str">
        <f>T("문과라도 안 죄송한 이세계로 감 398화")</f>
        <v>문과라도 안 죄송한 이세계로 감 398화</v>
      </c>
      <c r="F3157">
        <v>398</v>
      </c>
      <c r="G3157" t="str">
        <f>T("정수읠")</f>
        <v>정수읠</v>
      </c>
      <c r="J3157" t="str">
        <f>T("매드햇")</f>
        <v>매드햇</v>
      </c>
      <c r="K3157" t="str">
        <f>T("문과라도 안 죄송한 이세계로 감")</f>
        <v>문과라도 안 죄송한 이세계로 감</v>
      </c>
      <c r="L3157">
        <v>100</v>
      </c>
      <c r="M3157">
        <v>100</v>
      </c>
      <c r="N3157">
        <v>1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0</v>
      </c>
      <c r="AE3157">
        <v>0</v>
      </c>
      <c r="AF3157">
        <v>0</v>
      </c>
      <c r="AG3157">
        <v>0</v>
      </c>
      <c r="AH3157">
        <v>0</v>
      </c>
      <c r="AI3157">
        <v>100</v>
      </c>
      <c r="AJ3157">
        <v>1</v>
      </c>
      <c r="AK3157">
        <v>0</v>
      </c>
      <c r="AL3157">
        <v>0</v>
      </c>
      <c r="AM3157">
        <v>10</v>
      </c>
      <c r="AN3157">
        <v>0</v>
      </c>
      <c r="AO3157">
        <v>108</v>
      </c>
      <c r="AP3157">
        <v>-10.8</v>
      </c>
      <c r="AQ3157">
        <v>0</v>
      </c>
      <c r="AS3157">
        <v>0</v>
      </c>
      <c r="AT3157">
        <v>0</v>
      </c>
      <c r="AU3157">
        <v>108</v>
      </c>
      <c r="AV3157">
        <v>-10.8</v>
      </c>
      <c r="AW3157">
        <v>0</v>
      </c>
      <c r="AY3157">
        <v>0</v>
      </c>
      <c r="AZ3157">
        <v>0</v>
      </c>
      <c r="BA3157">
        <v>75.040000000000006</v>
      </c>
      <c r="BC3157" t="str">
        <f>T("0000000000000")</f>
        <v>0000000000000</v>
      </c>
      <c r="BE3157" t="str">
        <f>T("9791162589724")</f>
        <v>9791162589724</v>
      </c>
      <c r="BF3157" t="str">
        <f>T("E869552")</f>
        <v>E869552</v>
      </c>
      <c r="BG3157" t="str">
        <f>T("판타지 웹소설 &gt; 퓨전 판타지")</f>
        <v>판타지 웹소설 &gt; 퓨전 판타지</v>
      </c>
    </row>
    <row r="3158" spans="1:59">
      <c r="A3158" t="s">
        <v>60</v>
      </c>
      <c r="B3158" s="1">
        <v>46131</v>
      </c>
      <c r="C3158">
        <v>2378009513</v>
      </c>
      <c r="D3158">
        <v>2378030695</v>
      </c>
      <c r="E3158" t="str">
        <f>T("문과라도 안 죄송한 이세계로 감 399화")</f>
        <v>문과라도 안 죄송한 이세계로 감 399화</v>
      </c>
      <c r="F3158">
        <v>399</v>
      </c>
      <c r="G3158" t="str">
        <f>T("정수읠")</f>
        <v>정수읠</v>
      </c>
      <c r="J3158" t="str">
        <f>T("매드햇")</f>
        <v>매드햇</v>
      </c>
      <c r="K3158" t="str">
        <f>T("문과라도 안 죄송한 이세계로 감")</f>
        <v>문과라도 안 죄송한 이세계로 감</v>
      </c>
      <c r="L3158">
        <v>100</v>
      </c>
      <c r="M3158">
        <v>100</v>
      </c>
      <c r="N3158">
        <v>1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0</v>
      </c>
      <c r="AE3158">
        <v>0</v>
      </c>
      <c r="AF3158">
        <v>0</v>
      </c>
      <c r="AG3158">
        <v>0</v>
      </c>
      <c r="AH3158">
        <v>0</v>
      </c>
      <c r="AI3158">
        <v>100</v>
      </c>
      <c r="AJ3158">
        <v>1</v>
      </c>
      <c r="AK3158">
        <v>0</v>
      </c>
      <c r="AL3158">
        <v>0</v>
      </c>
      <c r="AM3158">
        <v>10</v>
      </c>
      <c r="AN3158">
        <v>0</v>
      </c>
      <c r="AO3158">
        <v>108</v>
      </c>
      <c r="AP3158">
        <v>-10.8</v>
      </c>
      <c r="AQ3158">
        <v>0</v>
      </c>
      <c r="AS3158">
        <v>0</v>
      </c>
      <c r="AT3158">
        <v>0</v>
      </c>
      <c r="AU3158">
        <v>108</v>
      </c>
      <c r="AV3158">
        <v>-10.8</v>
      </c>
      <c r="AW3158">
        <v>0</v>
      </c>
      <c r="AY3158">
        <v>0</v>
      </c>
      <c r="AZ3158">
        <v>0</v>
      </c>
      <c r="BA3158">
        <v>75.040000000000006</v>
      </c>
      <c r="BC3158" t="str">
        <f>T("0000000000000")</f>
        <v>0000000000000</v>
      </c>
      <c r="BE3158" t="str">
        <f>T("9791162589724")</f>
        <v>9791162589724</v>
      </c>
      <c r="BF3158" t="str">
        <f>T("E873050")</f>
        <v>E873050</v>
      </c>
      <c r="BG3158" t="str">
        <f>T("판타지 웹소설 &gt; 퓨전 판타지")</f>
        <v>판타지 웹소설 &gt; 퓨전 판타지</v>
      </c>
    </row>
    <row r="3159" spans="1:59">
      <c r="A3159" t="s">
        <v>60</v>
      </c>
      <c r="B3159" s="1">
        <v>46131</v>
      </c>
      <c r="C3159">
        <v>2378009513</v>
      </c>
      <c r="D3159">
        <v>2378030733</v>
      </c>
      <c r="E3159" t="str">
        <f>T("문과라도 안 죄송한 이세계로 감 400화")</f>
        <v>문과라도 안 죄송한 이세계로 감 400화</v>
      </c>
      <c r="F3159">
        <v>400</v>
      </c>
      <c r="G3159" t="str">
        <f>T("정수읠")</f>
        <v>정수읠</v>
      </c>
      <c r="J3159" t="str">
        <f>T("매드햇")</f>
        <v>매드햇</v>
      </c>
      <c r="K3159" t="str">
        <f>T("문과라도 안 죄송한 이세계로 감")</f>
        <v>문과라도 안 죄송한 이세계로 감</v>
      </c>
      <c r="L3159">
        <v>100</v>
      </c>
      <c r="M3159">
        <v>100</v>
      </c>
      <c r="N3159">
        <v>1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100</v>
      </c>
      <c r="AJ3159">
        <v>1</v>
      </c>
      <c r="AK3159">
        <v>0</v>
      </c>
      <c r="AL3159">
        <v>0</v>
      </c>
      <c r="AM3159">
        <v>10</v>
      </c>
      <c r="AN3159">
        <v>0</v>
      </c>
      <c r="AO3159">
        <v>108</v>
      </c>
      <c r="AP3159">
        <v>-10.8</v>
      </c>
      <c r="AQ3159">
        <v>0</v>
      </c>
      <c r="AS3159">
        <v>0</v>
      </c>
      <c r="AT3159">
        <v>0</v>
      </c>
      <c r="AU3159">
        <v>108</v>
      </c>
      <c r="AV3159">
        <v>-10.8</v>
      </c>
      <c r="AW3159">
        <v>0</v>
      </c>
      <c r="AY3159">
        <v>0</v>
      </c>
      <c r="AZ3159">
        <v>0</v>
      </c>
      <c r="BA3159">
        <v>75.040000000000006</v>
      </c>
      <c r="BC3159" t="str">
        <f>T("0000000000000")</f>
        <v>0000000000000</v>
      </c>
      <c r="BE3159" t="str">
        <f>T("9791162589724")</f>
        <v>9791162589724</v>
      </c>
      <c r="BF3159" t="str">
        <f>T("E873051")</f>
        <v>E873051</v>
      </c>
      <c r="BG3159" t="str">
        <f>T("판타지 웹소설 &gt; 퓨전 판타지")</f>
        <v>판타지 웹소설 &gt; 퓨전 판타지</v>
      </c>
    </row>
    <row r="3160" spans="1:59">
      <c r="A3160" t="s">
        <v>60</v>
      </c>
      <c r="B3160" s="1">
        <v>46131</v>
      </c>
      <c r="C3160">
        <v>2378009513</v>
      </c>
      <c r="D3160">
        <v>2378030788</v>
      </c>
      <c r="E3160" t="str">
        <f>T("문과라도 안 죄송한 이세계로 감 401화")</f>
        <v>문과라도 안 죄송한 이세계로 감 401화</v>
      </c>
      <c r="F3160">
        <v>401</v>
      </c>
      <c r="G3160" t="str">
        <f>T("정수읠")</f>
        <v>정수읠</v>
      </c>
      <c r="J3160" t="str">
        <f>T("매드햇")</f>
        <v>매드햇</v>
      </c>
      <c r="K3160" t="str">
        <f>T("문과라도 안 죄송한 이세계로 감")</f>
        <v>문과라도 안 죄송한 이세계로 감</v>
      </c>
      <c r="L3160">
        <v>100</v>
      </c>
      <c r="M3160">
        <v>100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100</v>
      </c>
      <c r="AJ3160">
        <v>1</v>
      </c>
      <c r="AK3160">
        <v>0</v>
      </c>
      <c r="AL3160">
        <v>0</v>
      </c>
      <c r="AM3160">
        <v>10</v>
      </c>
      <c r="AN3160">
        <v>0</v>
      </c>
      <c r="AO3160">
        <v>108</v>
      </c>
      <c r="AP3160">
        <v>-10.8</v>
      </c>
      <c r="AQ3160">
        <v>0</v>
      </c>
      <c r="AS3160">
        <v>0</v>
      </c>
      <c r="AT3160">
        <v>0</v>
      </c>
      <c r="AU3160">
        <v>108</v>
      </c>
      <c r="AV3160">
        <v>-10.8</v>
      </c>
      <c r="AW3160">
        <v>0</v>
      </c>
      <c r="AY3160">
        <v>0</v>
      </c>
      <c r="AZ3160">
        <v>0</v>
      </c>
      <c r="BA3160">
        <v>75.040000000000006</v>
      </c>
      <c r="BC3160" t="str">
        <f>T("0000000000000")</f>
        <v>0000000000000</v>
      </c>
      <c r="BE3160" t="str">
        <f>T("9791162589724")</f>
        <v>9791162589724</v>
      </c>
      <c r="BF3160" t="str">
        <f>T("E877506")</f>
        <v>E877506</v>
      </c>
      <c r="BG3160" t="str">
        <f>T("판타지 웹소설 &gt; 퓨전 판타지")</f>
        <v>판타지 웹소설 &gt; 퓨전 판타지</v>
      </c>
    </row>
    <row r="3161" spans="1:59">
      <c r="A3161" t="s">
        <v>60</v>
      </c>
      <c r="B3161" s="1">
        <v>46131</v>
      </c>
      <c r="C3161">
        <v>2378009513</v>
      </c>
      <c r="D3161">
        <v>2378030789</v>
      </c>
      <c r="E3161" t="str">
        <f>T("문과라도 안 죄송한 이세계로 감 402화")</f>
        <v>문과라도 안 죄송한 이세계로 감 402화</v>
      </c>
      <c r="F3161">
        <v>402</v>
      </c>
      <c r="G3161" t="str">
        <f>T("정수읠")</f>
        <v>정수읠</v>
      </c>
      <c r="J3161" t="str">
        <f>T("매드햇")</f>
        <v>매드햇</v>
      </c>
      <c r="K3161" t="str">
        <f>T("문과라도 안 죄송한 이세계로 감")</f>
        <v>문과라도 안 죄송한 이세계로 감</v>
      </c>
      <c r="L3161">
        <v>100</v>
      </c>
      <c r="M3161">
        <v>100</v>
      </c>
      <c r="N3161">
        <v>1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100</v>
      </c>
      <c r="AJ3161">
        <v>1</v>
      </c>
      <c r="AK3161">
        <v>0</v>
      </c>
      <c r="AL3161">
        <v>0</v>
      </c>
      <c r="AM3161">
        <v>10</v>
      </c>
      <c r="AN3161">
        <v>0</v>
      </c>
      <c r="AO3161">
        <v>108</v>
      </c>
      <c r="AP3161">
        <v>-10.8</v>
      </c>
      <c r="AQ3161">
        <v>0</v>
      </c>
      <c r="AS3161">
        <v>0</v>
      </c>
      <c r="AT3161">
        <v>0</v>
      </c>
      <c r="AU3161">
        <v>108</v>
      </c>
      <c r="AV3161">
        <v>-10.8</v>
      </c>
      <c r="AW3161">
        <v>0</v>
      </c>
      <c r="AY3161">
        <v>0</v>
      </c>
      <c r="AZ3161">
        <v>0</v>
      </c>
      <c r="BA3161">
        <v>75.040000000000006</v>
      </c>
      <c r="BC3161" t="str">
        <f>T("0000000000000")</f>
        <v>0000000000000</v>
      </c>
      <c r="BE3161" t="str">
        <f>T("9791162589724")</f>
        <v>9791162589724</v>
      </c>
      <c r="BF3161" t="str">
        <f>T("E877507")</f>
        <v>E877507</v>
      </c>
      <c r="BG3161" t="str">
        <f>T("판타지 웹소설 &gt; 퓨전 판타지")</f>
        <v>판타지 웹소설 &gt; 퓨전 판타지</v>
      </c>
    </row>
    <row r="3162" spans="1:59">
      <c r="A3162" t="s">
        <v>60</v>
      </c>
      <c r="B3162" s="1">
        <v>46131</v>
      </c>
      <c r="C3162">
        <v>2378009513</v>
      </c>
      <c r="D3162">
        <v>2378031038</v>
      </c>
      <c r="E3162" t="str">
        <f>T("문과라도 안 죄송한 이세계로 감 403화")</f>
        <v>문과라도 안 죄송한 이세계로 감 403화</v>
      </c>
      <c r="F3162">
        <v>403</v>
      </c>
      <c r="G3162" t="str">
        <f>T("정수읠")</f>
        <v>정수읠</v>
      </c>
      <c r="J3162" t="str">
        <f>T("매드햇")</f>
        <v>매드햇</v>
      </c>
      <c r="K3162" t="str">
        <f>T("문과라도 안 죄송한 이세계로 감")</f>
        <v>문과라도 안 죄송한 이세계로 감</v>
      </c>
      <c r="L3162">
        <v>100</v>
      </c>
      <c r="M3162">
        <v>100</v>
      </c>
      <c r="N3162">
        <v>1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100</v>
      </c>
      <c r="AJ3162">
        <v>1</v>
      </c>
      <c r="AK3162">
        <v>0</v>
      </c>
      <c r="AL3162">
        <v>0</v>
      </c>
      <c r="AM3162">
        <v>10</v>
      </c>
      <c r="AN3162">
        <v>0</v>
      </c>
      <c r="AO3162">
        <v>108</v>
      </c>
      <c r="AP3162">
        <v>-10.8</v>
      </c>
      <c r="AQ3162">
        <v>0</v>
      </c>
      <c r="AS3162">
        <v>0</v>
      </c>
      <c r="AT3162">
        <v>0</v>
      </c>
      <c r="AU3162">
        <v>108</v>
      </c>
      <c r="AV3162">
        <v>-10.8</v>
      </c>
      <c r="AW3162">
        <v>0</v>
      </c>
      <c r="AY3162">
        <v>0</v>
      </c>
      <c r="AZ3162">
        <v>0</v>
      </c>
      <c r="BA3162">
        <v>75.040000000000006</v>
      </c>
      <c r="BC3162" t="str">
        <f>T("0000000000000")</f>
        <v>0000000000000</v>
      </c>
      <c r="BE3162" t="str">
        <f>T("9791162589724")</f>
        <v>9791162589724</v>
      </c>
      <c r="BF3162" t="str">
        <f>T("E877534")</f>
        <v>E877534</v>
      </c>
      <c r="BG3162" t="str">
        <f>T("판타지 웹소설 &gt; 퓨전 판타지")</f>
        <v>판타지 웹소설 &gt; 퓨전 판타지</v>
      </c>
    </row>
    <row r="3163" spans="1:59">
      <c r="A3163" t="s">
        <v>60</v>
      </c>
      <c r="B3163" s="1">
        <v>46131</v>
      </c>
      <c r="C3163">
        <v>2378009513</v>
      </c>
      <c r="D3163">
        <v>2378031188</v>
      </c>
      <c r="E3163" t="str">
        <f>T("문과라도 안 죄송한 이세계로 감 404화")</f>
        <v>문과라도 안 죄송한 이세계로 감 404화</v>
      </c>
      <c r="F3163">
        <v>404</v>
      </c>
      <c r="G3163" t="str">
        <f>T("정수읠")</f>
        <v>정수읠</v>
      </c>
      <c r="J3163" t="str">
        <f>T("매드햇")</f>
        <v>매드햇</v>
      </c>
      <c r="K3163" t="str">
        <f>T("문과라도 안 죄송한 이세계로 감")</f>
        <v>문과라도 안 죄송한 이세계로 감</v>
      </c>
      <c r="L3163">
        <v>100</v>
      </c>
      <c r="M3163">
        <v>100</v>
      </c>
      <c r="N3163">
        <v>1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100</v>
      </c>
      <c r="AJ3163">
        <v>1</v>
      </c>
      <c r="AK3163">
        <v>0</v>
      </c>
      <c r="AL3163">
        <v>0</v>
      </c>
      <c r="AM3163">
        <v>10</v>
      </c>
      <c r="AN3163">
        <v>0</v>
      </c>
      <c r="AO3163">
        <v>108</v>
      </c>
      <c r="AP3163">
        <v>-10.8</v>
      </c>
      <c r="AQ3163">
        <v>0</v>
      </c>
      <c r="AS3163">
        <v>0</v>
      </c>
      <c r="AT3163">
        <v>0</v>
      </c>
      <c r="AU3163">
        <v>108</v>
      </c>
      <c r="AV3163">
        <v>-10.8</v>
      </c>
      <c r="AW3163">
        <v>0</v>
      </c>
      <c r="AY3163">
        <v>0</v>
      </c>
      <c r="AZ3163">
        <v>0</v>
      </c>
      <c r="BA3163">
        <v>75.040000000000006</v>
      </c>
      <c r="BC3163" t="str">
        <f>T("0000000000000")</f>
        <v>0000000000000</v>
      </c>
      <c r="BE3163" t="str">
        <f>T("9791162589724")</f>
        <v>9791162589724</v>
      </c>
      <c r="BF3163" t="str">
        <f>T("N000053")</f>
        <v>N000053</v>
      </c>
      <c r="BG3163" t="str">
        <f>T("판타지 웹소설 &gt; 퓨전 판타지")</f>
        <v>판타지 웹소설 &gt; 퓨전 판타지</v>
      </c>
    </row>
    <row r="3164" spans="1:59">
      <c r="A3164" t="s">
        <v>60</v>
      </c>
      <c r="B3164" s="1">
        <v>46131</v>
      </c>
      <c r="C3164">
        <v>2378009513</v>
      </c>
      <c r="D3164">
        <v>2378031203</v>
      </c>
      <c r="E3164" t="str">
        <f>T("문과라도 안 죄송한 이세계로 감 405화")</f>
        <v>문과라도 안 죄송한 이세계로 감 405화</v>
      </c>
      <c r="F3164">
        <v>405</v>
      </c>
      <c r="G3164" t="str">
        <f>T("정수읠")</f>
        <v>정수읠</v>
      </c>
      <c r="J3164" t="str">
        <f>T("매드햇")</f>
        <v>매드햇</v>
      </c>
      <c r="K3164" t="str">
        <f>T("문과라도 안 죄송한 이세계로 감")</f>
        <v>문과라도 안 죄송한 이세계로 감</v>
      </c>
      <c r="L3164">
        <v>100</v>
      </c>
      <c r="M3164">
        <v>100</v>
      </c>
      <c r="N3164">
        <v>1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0</v>
      </c>
      <c r="AH3164">
        <v>0</v>
      </c>
      <c r="AI3164">
        <v>100</v>
      </c>
      <c r="AJ3164">
        <v>1</v>
      </c>
      <c r="AK3164">
        <v>0</v>
      </c>
      <c r="AL3164">
        <v>0</v>
      </c>
      <c r="AM3164">
        <v>10</v>
      </c>
      <c r="AN3164">
        <v>0</v>
      </c>
      <c r="AO3164">
        <v>108</v>
      </c>
      <c r="AP3164">
        <v>-10.8</v>
      </c>
      <c r="AQ3164">
        <v>0</v>
      </c>
      <c r="AS3164">
        <v>0</v>
      </c>
      <c r="AT3164">
        <v>0</v>
      </c>
      <c r="AU3164">
        <v>108</v>
      </c>
      <c r="AV3164">
        <v>-10.8</v>
      </c>
      <c r="AW3164">
        <v>0</v>
      </c>
      <c r="AY3164">
        <v>0</v>
      </c>
      <c r="AZ3164">
        <v>0</v>
      </c>
      <c r="BA3164">
        <v>75.040000000000006</v>
      </c>
      <c r="BC3164" t="str">
        <f>T("0000000000000")</f>
        <v>0000000000000</v>
      </c>
      <c r="BE3164" t="str">
        <f>T("9791162589724")</f>
        <v>9791162589724</v>
      </c>
      <c r="BF3164" t="str">
        <f>T("N000887")</f>
        <v>N000887</v>
      </c>
      <c r="BG3164" t="str">
        <f>T("판타지 웹소설 &gt; 퓨전 판타지")</f>
        <v>판타지 웹소설 &gt; 퓨전 판타지</v>
      </c>
    </row>
    <row r="3165" spans="1:59">
      <c r="A3165" t="s">
        <v>60</v>
      </c>
      <c r="B3165" s="1">
        <v>46131</v>
      </c>
      <c r="C3165">
        <v>2378009513</v>
      </c>
      <c r="D3165">
        <v>2378031231</v>
      </c>
      <c r="E3165" t="str">
        <f>T("문과라도 안 죄송한 이세계로 감 406화")</f>
        <v>문과라도 안 죄송한 이세계로 감 406화</v>
      </c>
      <c r="F3165">
        <v>406</v>
      </c>
      <c r="G3165" t="str">
        <f>T("정수읠")</f>
        <v>정수읠</v>
      </c>
      <c r="J3165" t="str">
        <f>T("매드햇")</f>
        <v>매드햇</v>
      </c>
      <c r="K3165" t="str">
        <f>T("문과라도 안 죄송한 이세계로 감")</f>
        <v>문과라도 안 죄송한 이세계로 감</v>
      </c>
      <c r="L3165">
        <v>100</v>
      </c>
      <c r="M3165">
        <v>100</v>
      </c>
      <c r="N3165">
        <v>1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0</v>
      </c>
      <c r="AH3165">
        <v>0</v>
      </c>
      <c r="AI3165">
        <v>100</v>
      </c>
      <c r="AJ3165">
        <v>1</v>
      </c>
      <c r="AK3165">
        <v>0</v>
      </c>
      <c r="AL3165">
        <v>0</v>
      </c>
      <c r="AM3165">
        <v>10</v>
      </c>
      <c r="AN3165">
        <v>0</v>
      </c>
      <c r="AO3165">
        <v>108</v>
      </c>
      <c r="AP3165">
        <v>-10.8</v>
      </c>
      <c r="AQ3165">
        <v>0</v>
      </c>
      <c r="AS3165">
        <v>0</v>
      </c>
      <c r="AT3165">
        <v>0</v>
      </c>
      <c r="AU3165">
        <v>108</v>
      </c>
      <c r="AV3165">
        <v>-10.8</v>
      </c>
      <c r="AW3165">
        <v>0</v>
      </c>
      <c r="AY3165">
        <v>0</v>
      </c>
      <c r="AZ3165">
        <v>0</v>
      </c>
      <c r="BA3165">
        <v>75.040000000000006</v>
      </c>
      <c r="BC3165" t="str">
        <f>T("0000000000000")</f>
        <v>0000000000000</v>
      </c>
      <c r="BE3165" t="str">
        <f>T("9791162589724")</f>
        <v>9791162589724</v>
      </c>
      <c r="BF3165" t="str">
        <f>T("N003922")</f>
        <v>N003922</v>
      </c>
      <c r="BG3165" t="str">
        <f>T("판타지 웹소설 &gt; 퓨전 판타지")</f>
        <v>판타지 웹소설 &gt; 퓨전 판타지</v>
      </c>
    </row>
    <row r="3166" spans="1:59">
      <c r="A3166" t="s">
        <v>60</v>
      </c>
      <c r="B3166" s="1">
        <v>46131</v>
      </c>
      <c r="C3166">
        <v>2378009513</v>
      </c>
      <c r="D3166">
        <v>2378031250</v>
      </c>
      <c r="E3166" t="str">
        <f>T("문과라도 안 죄송한 이세계로 감 407화")</f>
        <v>문과라도 안 죄송한 이세계로 감 407화</v>
      </c>
      <c r="F3166">
        <v>407</v>
      </c>
      <c r="G3166" t="str">
        <f>T("정수읠")</f>
        <v>정수읠</v>
      </c>
      <c r="J3166" t="str">
        <f>T("매드햇")</f>
        <v>매드햇</v>
      </c>
      <c r="K3166" t="str">
        <f>T("문과라도 안 죄송한 이세계로 감")</f>
        <v>문과라도 안 죄송한 이세계로 감</v>
      </c>
      <c r="L3166">
        <v>100</v>
      </c>
      <c r="M3166">
        <v>100</v>
      </c>
      <c r="N3166">
        <v>1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0</v>
      </c>
      <c r="AH3166">
        <v>0</v>
      </c>
      <c r="AI3166">
        <v>100</v>
      </c>
      <c r="AJ3166">
        <v>1</v>
      </c>
      <c r="AK3166">
        <v>0</v>
      </c>
      <c r="AL3166">
        <v>0</v>
      </c>
      <c r="AM3166">
        <v>10</v>
      </c>
      <c r="AN3166">
        <v>0</v>
      </c>
      <c r="AO3166">
        <v>108</v>
      </c>
      <c r="AP3166">
        <v>-10.8</v>
      </c>
      <c r="AQ3166">
        <v>0</v>
      </c>
      <c r="AS3166">
        <v>0</v>
      </c>
      <c r="AT3166">
        <v>0</v>
      </c>
      <c r="AU3166">
        <v>108</v>
      </c>
      <c r="AV3166">
        <v>-10.8</v>
      </c>
      <c r="AW3166">
        <v>0</v>
      </c>
      <c r="AY3166">
        <v>0</v>
      </c>
      <c r="AZ3166">
        <v>0</v>
      </c>
      <c r="BA3166">
        <v>75.040000000000006</v>
      </c>
      <c r="BC3166" t="str">
        <f>T("0000000000000")</f>
        <v>0000000000000</v>
      </c>
      <c r="BE3166" t="str">
        <f>T("9791162589724")</f>
        <v>9791162589724</v>
      </c>
      <c r="BG3166" t="str">
        <f>T("판타지 웹소설 &gt; 퓨전 판타지")</f>
        <v>판타지 웹소설 &gt; 퓨전 판타지</v>
      </c>
    </row>
    <row r="3167" spans="1:59">
      <c r="A3167" t="s">
        <v>60</v>
      </c>
      <c r="B3167" s="1">
        <v>46131</v>
      </c>
      <c r="C3167">
        <v>2378009513</v>
      </c>
      <c r="D3167">
        <v>2378031354</v>
      </c>
      <c r="E3167" t="str">
        <f>T("문과라도 안 죄송한 이세계로 감 411화")</f>
        <v>문과라도 안 죄송한 이세계로 감 411화</v>
      </c>
      <c r="F3167">
        <v>411</v>
      </c>
      <c r="G3167" t="str">
        <f>T("정수읠")</f>
        <v>정수읠</v>
      </c>
      <c r="J3167" t="str">
        <f>T("매드햇")</f>
        <v>매드햇</v>
      </c>
      <c r="K3167" t="str">
        <f>T("문과라도 안 죄송한 이세계로 감")</f>
        <v>문과라도 안 죄송한 이세계로 감</v>
      </c>
      <c r="L3167">
        <v>100</v>
      </c>
      <c r="M3167">
        <v>100</v>
      </c>
      <c r="N3167">
        <v>1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0</v>
      </c>
      <c r="AH3167">
        <v>0</v>
      </c>
      <c r="AI3167">
        <v>100</v>
      </c>
      <c r="AJ3167">
        <v>1</v>
      </c>
      <c r="AK3167">
        <v>0</v>
      </c>
      <c r="AL3167">
        <v>0</v>
      </c>
      <c r="AM3167">
        <v>10</v>
      </c>
      <c r="AN3167">
        <v>0</v>
      </c>
      <c r="AO3167">
        <v>108</v>
      </c>
      <c r="AP3167">
        <v>-10.8</v>
      </c>
      <c r="AQ3167">
        <v>0</v>
      </c>
      <c r="AS3167">
        <v>0</v>
      </c>
      <c r="AT3167">
        <v>0</v>
      </c>
      <c r="AU3167">
        <v>108</v>
      </c>
      <c r="AV3167">
        <v>-10.8</v>
      </c>
      <c r="AW3167">
        <v>0</v>
      </c>
      <c r="AY3167">
        <v>0</v>
      </c>
      <c r="AZ3167">
        <v>0</v>
      </c>
      <c r="BA3167">
        <v>75.040000000000006</v>
      </c>
      <c r="BC3167" t="str">
        <f>T("0000000000000")</f>
        <v>0000000000000</v>
      </c>
      <c r="BE3167" t="str">
        <f>T("9791162589724")</f>
        <v>9791162589724</v>
      </c>
      <c r="BF3167" t="str">
        <f>T("N009330")</f>
        <v>N009330</v>
      </c>
      <c r="BG3167" t="str">
        <f>T("판타지 웹소설 &gt; 퓨전 판타지")</f>
        <v>판타지 웹소설 &gt; 퓨전 판타지</v>
      </c>
    </row>
    <row r="3168" spans="1:59">
      <c r="A3168" t="s">
        <v>60</v>
      </c>
      <c r="B3168" s="1">
        <v>46131</v>
      </c>
      <c r="C3168">
        <v>2378009513</v>
      </c>
      <c r="D3168">
        <v>2378031386</v>
      </c>
      <c r="E3168" t="str">
        <f>T("문과라도 안 죄송한 이세계로 감 412화")</f>
        <v>문과라도 안 죄송한 이세계로 감 412화</v>
      </c>
      <c r="F3168">
        <v>412</v>
      </c>
      <c r="G3168" t="str">
        <f>T("정수읠")</f>
        <v>정수읠</v>
      </c>
      <c r="J3168" t="str">
        <f>T("매드햇")</f>
        <v>매드햇</v>
      </c>
      <c r="K3168" t="str">
        <f>T("문과라도 안 죄송한 이세계로 감")</f>
        <v>문과라도 안 죄송한 이세계로 감</v>
      </c>
      <c r="L3168">
        <v>100</v>
      </c>
      <c r="M3168">
        <v>100</v>
      </c>
      <c r="N3168">
        <v>1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0</v>
      </c>
      <c r="AH3168">
        <v>0</v>
      </c>
      <c r="AI3168">
        <v>100</v>
      </c>
      <c r="AJ3168">
        <v>1</v>
      </c>
      <c r="AK3168">
        <v>0</v>
      </c>
      <c r="AL3168">
        <v>0</v>
      </c>
      <c r="AM3168">
        <v>10</v>
      </c>
      <c r="AN3168">
        <v>0</v>
      </c>
      <c r="AO3168">
        <v>108</v>
      </c>
      <c r="AP3168">
        <v>-10.8</v>
      </c>
      <c r="AQ3168">
        <v>0</v>
      </c>
      <c r="AS3168">
        <v>0</v>
      </c>
      <c r="AT3168">
        <v>0</v>
      </c>
      <c r="AU3168">
        <v>108</v>
      </c>
      <c r="AV3168">
        <v>-10.8</v>
      </c>
      <c r="AW3168">
        <v>0</v>
      </c>
      <c r="AY3168">
        <v>0</v>
      </c>
      <c r="AZ3168">
        <v>0</v>
      </c>
      <c r="BA3168">
        <v>75.040000000000006</v>
      </c>
      <c r="BC3168" t="str">
        <f>T("0000000000000")</f>
        <v>0000000000000</v>
      </c>
      <c r="BE3168" t="str">
        <f>T("9791162589724")</f>
        <v>9791162589724</v>
      </c>
      <c r="BF3168" t="str">
        <f>T("N012176")</f>
        <v>N012176</v>
      </c>
      <c r="BG3168" t="str">
        <f>T("판타지 웹소설 &gt; 퓨전 판타지")</f>
        <v>판타지 웹소설 &gt; 퓨전 판타지</v>
      </c>
    </row>
    <row r="3169" spans="1:59">
      <c r="A3169" t="s">
        <v>60</v>
      </c>
      <c r="B3169" s="1">
        <v>46131</v>
      </c>
      <c r="C3169">
        <v>2378009513</v>
      </c>
      <c r="D3169">
        <v>2378031668</v>
      </c>
      <c r="E3169" t="str">
        <f>T("문과라도 안 죄송한 이세계로 감 414화")</f>
        <v>문과라도 안 죄송한 이세계로 감 414화</v>
      </c>
      <c r="F3169">
        <v>414</v>
      </c>
      <c r="G3169" t="str">
        <f>T("정수읠")</f>
        <v>정수읠</v>
      </c>
      <c r="J3169" t="str">
        <f>T("매드햇")</f>
        <v>매드햇</v>
      </c>
      <c r="K3169" t="str">
        <f>T("문과라도 안 죄송한 이세계로 감")</f>
        <v>문과라도 안 죄송한 이세계로 감</v>
      </c>
      <c r="L3169">
        <v>100</v>
      </c>
      <c r="M3169">
        <v>100</v>
      </c>
      <c r="N3169">
        <v>1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0</v>
      </c>
      <c r="AH3169">
        <v>0</v>
      </c>
      <c r="AI3169">
        <v>100</v>
      </c>
      <c r="AJ3169">
        <v>1</v>
      </c>
      <c r="AK3169">
        <v>0</v>
      </c>
      <c r="AL3169">
        <v>0</v>
      </c>
      <c r="AM3169">
        <v>10</v>
      </c>
      <c r="AN3169">
        <v>0</v>
      </c>
      <c r="AO3169">
        <v>108</v>
      </c>
      <c r="AP3169">
        <v>-10.8</v>
      </c>
      <c r="AQ3169">
        <v>0</v>
      </c>
      <c r="AS3169">
        <v>0</v>
      </c>
      <c r="AT3169">
        <v>0</v>
      </c>
      <c r="AU3169">
        <v>108</v>
      </c>
      <c r="AV3169">
        <v>-10.8</v>
      </c>
      <c r="AW3169">
        <v>0</v>
      </c>
      <c r="AY3169">
        <v>0</v>
      </c>
      <c r="AZ3169">
        <v>0</v>
      </c>
      <c r="BA3169">
        <v>75.040000000000006</v>
      </c>
      <c r="BC3169" t="str">
        <f>T("0000000000000")</f>
        <v>0000000000000</v>
      </c>
      <c r="BE3169" t="str">
        <f>T("9791162589724")</f>
        <v>9791162589724</v>
      </c>
      <c r="BF3169" t="str">
        <f>T("N015649")</f>
        <v>N015649</v>
      </c>
      <c r="BG3169" t="str">
        <f>T("판타지 웹소설 &gt; 퓨전 판타지")</f>
        <v>판타지 웹소설 &gt; 퓨전 판타지</v>
      </c>
    </row>
    <row r="3170" spans="1:59">
      <c r="A3170" t="s">
        <v>60</v>
      </c>
      <c r="B3170" s="1">
        <v>46131</v>
      </c>
      <c r="C3170">
        <v>2378009513</v>
      </c>
      <c r="D3170">
        <v>2378031690</v>
      </c>
      <c r="E3170" t="str">
        <f>T("문과라도 안 죄송한 이세계로 감 415화")</f>
        <v>문과라도 안 죄송한 이세계로 감 415화</v>
      </c>
      <c r="F3170">
        <v>415</v>
      </c>
      <c r="G3170" t="str">
        <f>T("정수읠")</f>
        <v>정수읠</v>
      </c>
      <c r="J3170" t="str">
        <f>T("매드햇")</f>
        <v>매드햇</v>
      </c>
      <c r="K3170" t="str">
        <f>T("문과라도 안 죄송한 이세계로 감")</f>
        <v>문과라도 안 죄송한 이세계로 감</v>
      </c>
      <c r="L3170">
        <v>100</v>
      </c>
      <c r="M3170">
        <v>100</v>
      </c>
      <c r="N3170">
        <v>1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100</v>
      </c>
      <c r="AJ3170">
        <v>1</v>
      </c>
      <c r="AK3170">
        <v>0</v>
      </c>
      <c r="AL3170">
        <v>0</v>
      </c>
      <c r="AM3170">
        <v>10</v>
      </c>
      <c r="AN3170">
        <v>0</v>
      </c>
      <c r="AO3170">
        <v>108</v>
      </c>
      <c r="AP3170">
        <v>-10.8</v>
      </c>
      <c r="AQ3170">
        <v>0</v>
      </c>
      <c r="AS3170">
        <v>0</v>
      </c>
      <c r="AT3170">
        <v>0</v>
      </c>
      <c r="AU3170">
        <v>108</v>
      </c>
      <c r="AV3170">
        <v>-10.8</v>
      </c>
      <c r="AW3170">
        <v>0</v>
      </c>
      <c r="AY3170">
        <v>0</v>
      </c>
      <c r="AZ3170">
        <v>0</v>
      </c>
      <c r="BA3170">
        <v>75.040000000000006</v>
      </c>
      <c r="BC3170" t="str">
        <f>T("0000000000000")</f>
        <v>0000000000000</v>
      </c>
      <c r="BE3170" t="str">
        <f>T("9791162589724")</f>
        <v>9791162589724</v>
      </c>
      <c r="BF3170" t="str">
        <f>T("N017629")</f>
        <v>N017629</v>
      </c>
      <c r="BG3170" t="str">
        <f>T("판타지 웹소설 &gt; 퓨전 판타지")</f>
        <v>판타지 웹소설 &gt; 퓨전 판타지</v>
      </c>
    </row>
    <row r="3171" spans="1:59">
      <c r="A3171" t="s">
        <v>60</v>
      </c>
      <c r="B3171" s="1">
        <v>46131</v>
      </c>
      <c r="C3171">
        <v>2378009513</v>
      </c>
      <c r="D3171">
        <v>2378031723</v>
      </c>
      <c r="E3171" t="str">
        <f>T("문과라도 안 죄송한 이세계로 감 416화")</f>
        <v>문과라도 안 죄송한 이세계로 감 416화</v>
      </c>
      <c r="F3171">
        <v>416</v>
      </c>
      <c r="G3171" t="str">
        <f>T("정수읠")</f>
        <v>정수읠</v>
      </c>
      <c r="J3171" t="str">
        <f>T("매드햇")</f>
        <v>매드햇</v>
      </c>
      <c r="K3171" t="str">
        <f>T("문과라도 안 죄송한 이세계로 감")</f>
        <v>문과라도 안 죄송한 이세계로 감</v>
      </c>
      <c r="L3171">
        <v>100</v>
      </c>
      <c r="M3171">
        <v>100</v>
      </c>
      <c r="N3171">
        <v>1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100</v>
      </c>
      <c r="AJ3171">
        <v>1</v>
      </c>
      <c r="AK3171">
        <v>0</v>
      </c>
      <c r="AL3171">
        <v>0</v>
      </c>
      <c r="AM3171">
        <v>10</v>
      </c>
      <c r="AN3171">
        <v>0</v>
      </c>
      <c r="AO3171">
        <v>108</v>
      </c>
      <c r="AP3171">
        <v>-10.8</v>
      </c>
      <c r="AQ3171">
        <v>0</v>
      </c>
      <c r="AS3171">
        <v>0</v>
      </c>
      <c r="AT3171">
        <v>0</v>
      </c>
      <c r="AU3171">
        <v>108</v>
      </c>
      <c r="AV3171">
        <v>-10.8</v>
      </c>
      <c r="AW3171">
        <v>0</v>
      </c>
      <c r="AY3171">
        <v>0</v>
      </c>
      <c r="AZ3171">
        <v>0</v>
      </c>
      <c r="BA3171">
        <v>75.040000000000006</v>
      </c>
      <c r="BC3171" t="str">
        <f>T("0000000000000")</f>
        <v>0000000000000</v>
      </c>
      <c r="BE3171" t="str">
        <f>T("9791162589724")</f>
        <v>9791162589724</v>
      </c>
      <c r="BF3171" t="str">
        <f>T("N021741")</f>
        <v>N021741</v>
      </c>
      <c r="BG3171" t="str">
        <f>T("판타지 웹소설 &gt; 퓨전 판타지")</f>
        <v>판타지 웹소설 &gt; 퓨전 판타지</v>
      </c>
    </row>
    <row r="3172" spans="1:59">
      <c r="A3172" t="s">
        <v>60</v>
      </c>
      <c r="B3172" s="1">
        <v>46131</v>
      </c>
      <c r="C3172">
        <v>2378009513</v>
      </c>
      <c r="D3172">
        <v>2378031729</v>
      </c>
      <c r="E3172" t="str">
        <f>T("문과라도 안 죄송한 이세계로 감 417화")</f>
        <v>문과라도 안 죄송한 이세계로 감 417화</v>
      </c>
      <c r="F3172">
        <v>417</v>
      </c>
      <c r="G3172" t="str">
        <f>T("정수읠")</f>
        <v>정수읠</v>
      </c>
      <c r="J3172" t="str">
        <f>T("매드햇")</f>
        <v>매드햇</v>
      </c>
      <c r="K3172" t="str">
        <f>T("문과라도 안 죄송한 이세계로 감")</f>
        <v>문과라도 안 죄송한 이세계로 감</v>
      </c>
      <c r="L3172">
        <v>100</v>
      </c>
      <c r="M3172">
        <v>100</v>
      </c>
      <c r="N3172">
        <v>1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100</v>
      </c>
      <c r="AJ3172">
        <v>1</v>
      </c>
      <c r="AK3172">
        <v>0</v>
      </c>
      <c r="AL3172">
        <v>0</v>
      </c>
      <c r="AM3172">
        <v>10</v>
      </c>
      <c r="AN3172">
        <v>0</v>
      </c>
      <c r="AO3172">
        <v>108</v>
      </c>
      <c r="AP3172">
        <v>-10.8</v>
      </c>
      <c r="AQ3172">
        <v>0</v>
      </c>
      <c r="AS3172">
        <v>0</v>
      </c>
      <c r="AT3172">
        <v>0</v>
      </c>
      <c r="AU3172">
        <v>108</v>
      </c>
      <c r="AV3172">
        <v>-10.8</v>
      </c>
      <c r="AW3172">
        <v>0</v>
      </c>
      <c r="AY3172">
        <v>0</v>
      </c>
      <c r="AZ3172">
        <v>0</v>
      </c>
      <c r="BA3172">
        <v>75.040000000000006</v>
      </c>
      <c r="BC3172" t="str">
        <f>T("0000000000000")</f>
        <v>0000000000000</v>
      </c>
      <c r="BE3172" t="str">
        <f>T("9791162589724")</f>
        <v>9791162589724</v>
      </c>
      <c r="BF3172" t="str">
        <f>T("N021804")</f>
        <v>N021804</v>
      </c>
      <c r="BG3172" t="str">
        <f>T("판타지 웹소설 &gt; 퓨전 판타지")</f>
        <v>판타지 웹소설 &gt; 퓨전 판타지</v>
      </c>
    </row>
    <row r="3173" spans="1:59">
      <c r="A3173" t="s">
        <v>60</v>
      </c>
      <c r="B3173" s="1">
        <v>46131</v>
      </c>
      <c r="C3173">
        <v>2378009513</v>
      </c>
      <c r="D3173">
        <v>2378031762</v>
      </c>
      <c r="E3173" t="str">
        <f>T("문과라도 안 죄송한 이세계로 감 418화")</f>
        <v>문과라도 안 죄송한 이세계로 감 418화</v>
      </c>
      <c r="F3173">
        <v>418</v>
      </c>
      <c r="G3173" t="str">
        <f>T("정수읠")</f>
        <v>정수읠</v>
      </c>
      <c r="J3173" t="str">
        <f>T("매드햇")</f>
        <v>매드햇</v>
      </c>
      <c r="K3173" t="str">
        <f>T("문과라도 안 죄송한 이세계로 감")</f>
        <v>문과라도 안 죄송한 이세계로 감</v>
      </c>
      <c r="L3173">
        <v>100</v>
      </c>
      <c r="M3173">
        <v>100</v>
      </c>
      <c r="N3173">
        <v>1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100</v>
      </c>
      <c r="AJ3173">
        <v>1</v>
      </c>
      <c r="AK3173">
        <v>0</v>
      </c>
      <c r="AL3173">
        <v>0</v>
      </c>
      <c r="AM3173">
        <v>10</v>
      </c>
      <c r="AN3173">
        <v>0</v>
      </c>
      <c r="AO3173">
        <v>108</v>
      </c>
      <c r="AP3173">
        <v>-10.8</v>
      </c>
      <c r="AQ3173">
        <v>0</v>
      </c>
      <c r="AS3173">
        <v>0</v>
      </c>
      <c r="AT3173">
        <v>0</v>
      </c>
      <c r="AU3173">
        <v>108</v>
      </c>
      <c r="AV3173">
        <v>-10.8</v>
      </c>
      <c r="AW3173">
        <v>0</v>
      </c>
      <c r="AY3173">
        <v>0</v>
      </c>
      <c r="AZ3173">
        <v>0</v>
      </c>
      <c r="BA3173">
        <v>75.040000000000006</v>
      </c>
      <c r="BC3173" t="str">
        <f>T("0000000000000")</f>
        <v>0000000000000</v>
      </c>
      <c r="BE3173" t="str">
        <f>T("9791162589724")</f>
        <v>9791162589724</v>
      </c>
      <c r="BF3173" t="str">
        <f>T("N025016")</f>
        <v>N025016</v>
      </c>
      <c r="BG3173" t="str">
        <f>T("판타지 웹소설 &gt; 퓨전 판타지")</f>
        <v>판타지 웹소설 &gt; 퓨전 판타지</v>
      </c>
    </row>
    <row r="3174" spans="1:59">
      <c r="A3174" t="s">
        <v>60</v>
      </c>
      <c r="B3174" s="1">
        <v>46131</v>
      </c>
      <c r="C3174">
        <v>2378009513</v>
      </c>
      <c r="D3174">
        <v>2378031782</v>
      </c>
      <c r="E3174" t="str">
        <f>T("문과라도 안 죄송한 이세계로 감 419화")</f>
        <v>문과라도 안 죄송한 이세계로 감 419화</v>
      </c>
      <c r="F3174">
        <v>419</v>
      </c>
      <c r="G3174" t="str">
        <f>T("정수읠")</f>
        <v>정수읠</v>
      </c>
      <c r="J3174" t="str">
        <f>T("매드햇")</f>
        <v>매드햇</v>
      </c>
      <c r="K3174" t="str">
        <f>T("문과라도 안 죄송한 이세계로 감")</f>
        <v>문과라도 안 죄송한 이세계로 감</v>
      </c>
      <c r="L3174">
        <v>100</v>
      </c>
      <c r="M3174">
        <v>100</v>
      </c>
      <c r="N3174">
        <v>1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100</v>
      </c>
      <c r="AJ3174">
        <v>1</v>
      </c>
      <c r="AK3174">
        <v>0</v>
      </c>
      <c r="AL3174">
        <v>0</v>
      </c>
      <c r="AM3174">
        <v>10</v>
      </c>
      <c r="AN3174">
        <v>0</v>
      </c>
      <c r="AO3174">
        <v>108</v>
      </c>
      <c r="AP3174">
        <v>-10.8</v>
      </c>
      <c r="AQ3174">
        <v>0</v>
      </c>
      <c r="AS3174">
        <v>0</v>
      </c>
      <c r="AT3174">
        <v>0</v>
      </c>
      <c r="AU3174">
        <v>108</v>
      </c>
      <c r="AV3174">
        <v>-10.8</v>
      </c>
      <c r="AW3174">
        <v>0</v>
      </c>
      <c r="AY3174">
        <v>0</v>
      </c>
      <c r="AZ3174">
        <v>0</v>
      </c>
      <c r="BA3174">
        <v>75.040000000000006</v>
      </c>
      <c r="BC3174" t="str">
        <f>T("0000000000000")</f>
        <v>0000000000000</v>
      </c>
      <c r="BE3174" t="str">
        <f>T("9791162589724")</f>
        <v>9791162589724</v>
      </c>
      <c r="BF3174" t="str">
        <f>T("N025604")</f>
        <v>N025604</v>
      </c>
      <c r="BG3174" t="str">
        <f>T("판타지 웹소설 &gt; 퓨전 판타지")</f>
        <v>판타지 웹소설 &gt; 퓨전 판타지</v>
      </c>
    </row>
    <row r="3175" spans="1:59">
      <c r="A3175" t="s">
        <v>60</v>
      </c>
      <c r="B3175" s="1">
        <v>46131</v>
      </c>
      <c r="C3175">
        <v>2378009513</v>
      </c>
      <c r="D3175">
        <v>2378031798</v>
      </c>
      <c r="E3175" t="str">
        <f>T("문과라도 안 죄송한 이세계로 감 420화")</f>
        <v>문과라도 안 죄송한 이세계로 감 420화</v>
      </c>
      <c r="F3175">
        <v>420</v>
      </c>
      <c r="G3175" t="str">
        <f>T("정수읠")</f>
        <v>정수읠</v>
      </c>
      <c r="J3175" t="str">
        <f>T("매드햇")</f>
        <v>매드햇</v>
      </c>
      <c r="K3175" t="str">
        <f>T("문과라도 안 죄송한 이세계로 감")</f>
        <v>문과라도 안 죄송한 이세계로 감</v>
      </c>
      <c r="L3175">
        <v>100</v>
      </c>
      <c r="M3175">
        <v>100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100</v>
      </c>
      <c r="AJ3175">
        <v>1</v>
      </c>
      <c r="AK3175">
        <v>0</v>
      </c>
      <c r="AL3175">
        <v>0</v>
      </c>
      <c r="AM3175">
        <v>10</v>
      </c>
      <c r="AN3175">
        <v>0</v>
      </c>
      <c r="AO3175">
        <v>108</v>
      </c>
      <c r="AP3175">
        <v>-10.8</v>
      </c>
      <c r="AQ3175">
        <v>0</v>
      </c>
      <c r="AS3175">
        <v>0</v>
      </c>
      <c r="AT3175">
        <v>0</v>
      </c>
      <c r="AU3175">
        <v>108</v>
      </c>
      <c r="AV3175">
        <v>-10.8</v>
      </c>
      <c r="AW3175">
        <v>0</v>
      </c>
      <c r="AY3175">
        <v>0</v>
      </c>
      <c r="AZ3175">
        <v>0</v>
      </c>
      <c r="BA3175">
        <v>75.040000000000006</v>
      </c>
      <c r="BC3175" t="str">
        <f>T("0000000000000")</f>
        <v>0000000000000</v>
      </c>
      <c r="BE3175" t="str">
        <f>T("9791162589724")</f>
        <v>9791162589724</v>
      </c>
      <c r="BF3175" t="str">
        <f>T("N026173")</f>
        <v>N026173</v>
      </c>
      <c r="BG3175" t="str">
        <f>T("판타지 웹소설 &gt; 퓨전 판타지")</f>
        <v>판타지 웹소설 &gt; 퓨전 판타지</v>
      </c>
    </row>
    <row r="3176" spans="1:59">
      <c r="A3176" t="s">
        <v>60</v>
      </c>
      <c r="B3176" s="1">
        <v>46131</v>
      </c>
      <c r="C3176">
        <v>2378009513</v>
      </c>
      <c r="D3176">
        <v>2378031827</v>
      </c>
      <c r="E3176" t="str">
        <f>T("문과라도 안 죄송한 이세계로 감 421화")</f>
        <v>문과라도 안 죄송한 이세계로 감 421화</v>
      </c>
      <c r="F3176">
        <v>421</v>
      </c>
      <c r="G3176" t="str">
        <f>T("정수읠")</f>
        <v>정수읠</v>
      </c>
      <c r="J3176" t="str">
        <f>T("매드햇")</f>
        <v>매드햇</v>
      </c>
      <c r="K3176" t="str">
        <f>T("문과라도 안 죄송한 이세계로 감")</f>
        <v>문과라도 안 죄송한 이세계로 감</v>
      </c>
      <c r="L3176">
        <v>100</v>
      </c>
      <c r="M3176">
        <v>100</v>
      </c>
      <c r="N3176">
        <v>1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0</v>
      </c>
      <c r="AH3176">
        <v>0</v>
      </c>
      <c r="AI3176">
        <v>100</v>
      </c>
      <c r="AJ3176">
        <v>1</v>
      </c>
      <c r="AK3176">
        <v>0</v>
      </c>
      <c r="AL3176">
        <v>0</v>
      </c>
      <c r="AM3176">
        <v>10</v>
      </c>
      <c r="AN3176">
        <v>0</v>
      </c>
      <c r="AO3176">
        <v>108</v>
      </c>
      <c r="AP3176">
        <v>-10.8</v>
      </c>
      <c r="AQ3176">
        <v>0</v>
      </c>
      <c r="AS3176">
        <v>0</v>
      </c>
      <c r="AT3176">
        <v>0</v>
      </c>
      <c r="AU3176">
        <v>108</v>
      </c>
      <c r="AV3176">
        <v>-10.8</v>
      </c>
      <c r="AW3176">
        <v>0</v>
      </c>
      <c r="AY3176">
        <v>0</v>
      </c>
      <c r="AZ3176">
        <v>0</v>
      </c>
      <c r="BA3176">
        <v>75.040000000000006</v>
      </c>
      <c r="BC3176" t="str">
        <f>T("0000000000000")</f>
        <v>0000000000000</v>
      </c>
      <c r="BE3176" t="str">
        <f>T("9791162589724")</f>
        <v>9791162589724</v>
      </c>
      <c r="BF3176" t="str">
        <f>T("N026945")</f>
        <v>N026945</v>
      </c>
      <c r="BG3176" t="str">
        <f>T("판타지 웹소설 &gt; 퓨전 판타지")</f>
        <v>판타지 웹소설 &gt; 퓨전 판타지</v>
      </c>
    </row>
    <row r="3177" spans="1:59">
      <c r="A3177" t="s">
        <v>60</v>
      </c>
      <c r="B3177" s="1">
        <v>46131</v>
      </c>
      <c r="C3177">
        <v>2378009513</v>
      </c>
      <c r="D3177">
        <v>2378031850</v>
      </c>
      <c r="E3177" t="str">
        <f>T("문과라도 안 죄송한 이세계로 감 422화")</f>
        <v>문과라도 안 죄송한 이세계로 감 422화</v>
      </c>
      <c r="F3177">
        <v>422</v>
      </c>
      <c r="G3177" t="str">
        <f>T("정수읠")</f>
        <v>정수읠</v>
      </c>
      <c r="J3177" t="str">
        <f>T("매드햇")</f>
        <v>매드햇</v>
      </c>
      <c r="K3177" t="str">
        <f>T("문과라도 안 죄송한 이세계로 감")</f>
        <v>문과라도 안 죄송한 이세계로 감</v>
      </c>
      <c r="L3177">
        <v>100</v>
      </c>
      <c r="M3177">
        <v>100</v>
      </c>
      <c r="N3177">
        <v>1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0</v>
      </c>
      <c r="AH3177">
        <v>0</v>
      </c>
      <c r="AI3177">
        <v>100</v>
      </c>
      <c r="AJ3177">
        <v>1</v>
      </c>
      <c r="AK3177">
        <v>0</v>
      </c>
      <c r="AL3177">
        <v>0</v>
      </c>
      <c r="AM3177">
        <v>10</v>
      </c>
      <c r="AN3177">
        <v>0</v>
      </c>
      <c r="AO3177">
        <v>108</v>
      </c>
      <c r="AP3177">
        <v>-10.8</v>
      </c>
      <c r="AQ3177">
        <v>0</v>
      </c>
      <c r="AS3177">
        <v>0</v>
      </c>
      <c r="AT3177">
        <v>0</v>
      </c>
      <c r="AU3177">
        <v>108</v>
      </c>
      <c r="AV3177">
        <v>-10.8</v>
      </c>
      <c r="AW3177">
        <v>0</v>
      </c>
      <c r="AY3177">
        <v>0</v>
      </c>
      <c r="AZ3177">
        <v>0</v>
      </c>
      <c r="BA3177">
        <v>75.040000000000006</v>
      </c>
      <c r="BC3177" t="str">
        <f>T("0000000000000")</f>
        <v>0000000000000</v>
      </c>
      <c r="BE3177" t="str">
        <f>T("9791162589724")</f>
        <v>9791162589724</v>
      </c>
      <c r="BF3177" t="str">
        <f>T("N027017")</f>
        <v>N027017</v>
      </c>
      <c r="BG3177" t="str">
        <f>T("판타지 웹소설 &gt; 퓨전 판타지")</f>
        <v>판타지 웹소설 &gt; 퓨전 판타지</v>
      </c>
    </row>
    <row r="3178" spans="1:59">
      <c r="A3178" t="s">
        <v>60</v>
      </c>
      <c r="B3178" s="1">
        <v>46131</v>
      </c>
      <c r="C3178">
        <v>2378009513</v>
      </c>
      <c r="D3178">
        <v>2378031885</v>
      </c>
      <c r="E3178" t="str">
        <f>T("문과라도 안 죄송한 이세계로 감 423화")</f>
        <v>문과라도 안 죄송한 이세계로 감 423화</v>
      </c>
      <c r="F3178">
        <v>423</v>
      </c>
      <c r="G3178" t="str">
        <f>T("정수읠")</f>
        <v>정수읠</v>
      </c>
      <c r="J3178" t="str">
        <f>T("매드햇")</f>
        <v>매드햇</v>
      </c>
      <c r="K3178" t="str">
        <f>T("문과라도 안 죄송한 이세계로 감")</f>
        <v>문과라도 안 죄송한 이세계로 감</v>
      </c>
      <c r="L3178">
        <v>100</v>
      </c>
      <c r="M3178">
        <v>100</v>
      </c>
      <c r="N3178">
        <v>1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0</v>
      </c>
      <c r="AH3178">
        <v>0</v>
      </c>
      <c r="AI3178">
        <v>100</v>
      </c>
      <c r="AJ3178">
        <v>1</v>
      </c>
      <c r="AK3178">
        <v>0</v>
      </c>
      <c r="AL3178">
        <v>0</v>
      </c>
      <c r="AM3178">
        <v>10</v>
      </c>
      <c r="AN3178">
        <v>0</v>
      </c>
      <c r="AO3178">
        <v>108</v>
      </c>
      <c r="AP3178">
        <v>-10.8</v>
      </c>
      <c r="AQ3178">
        <v>0</v>
      </c>
      <c r="AS3178">
        <v>0</v>
      </c>
      <c r="AT3178">
        <v>0</v>
      </c>
      <c r="AU3178">
        <v>108</v>
      </c>
      <c r="AV3178">
        <v>-10.8</v>
      </c>
      <c r="AW3178">
        <v>0</v>
      </c>
      <c r="AY3178">
        <v>0</v>
      </c>
      <c r="AZ3178">
        <v>0</v>
      </c>
      <c r="BA3178">
        <v>75.040000000000006</v>
      </c>
      <c r="BC3178" t="str">
        <f>T("0000000000000")</f>
        <v>0000000000000</v>
      </c>
      <c r="BE3178" t="str">
        <f>T("9791162589724")</f>
        <v>9791162589724</v>
      </c>
      <c r="BF3178" t="str">
        <f>T("N027077")</f>
        <v>N027077</v>
      </c>
      <c r="BG3178" t="str">
        <f>T("판타지 웹소설 &gt; 퓨전 판타지")</f>
        <v>판타지 웹소설 &gt; 퓨전 판타지</v>
      </c>
    </row>
    <row r="3179" spans="1:59">
      <c r="A3179" t="s">
        <v>60</v>
      </c>
      <c r="B3179" s="1">
        <v>46131</v>
      </c>
      <c r="C3179">
        <v>2378009513</v>
      </c>
      <c r="D3179">
        <v>2378031898</v>
      </c>
      <c r="E3179" t="str">
        <f>T("문과라도 안 죄송한 이세계로 감 424화")</f>
        <v>문과라도 안 죄송한 이세계로 감 424화</v>
      </c>
      <c r="F3179">
        <v>424</v>
      </c>
      <c r="G3179" t="str">
        <f>T("정수읠")</f>
        <v>정수읠</v>
      </c>
      <c r="J3179" t="str">
        <f>T("매드햇")</f>
        <v>매드햇</v>
      </c>
      <c r="K3179" t="str">
        <f>T("문과라도 안 죄송한 이세계로 감")</f>
        <v>문과라도 안 죄송한 이세계로 감</v>
      </c>
      <c r="L3179">
        <v>100</v>
      </c>
      <c r="M3179">
        <v>100</v>
      </c>
      <c r="N3179">
        <v>1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0</v>
      </c>
      <c r="AH3179">
        <v>0</v>
      </c>
      <c r="AI3179">
        <v>100</v>
      </c>
      <c r="AJ3179">
        <v>1</v>
      </c>
      <c r="AK3179">
        <v>0</v>
      </c>
      <c r="AL3179">
        <v>0</v>
      </c>
      <c r="AM3179">
        <v>10</v>
      </c>
      <c r="AN3179">
        <v>0</v>
      </c>
      <c r="AO3179">
        <v>108</v>
      </c>
      <c r="AP3179">
        <v>-10.8</v>
      </c>
      <c r="AQ3179">
        <v>0</v>
      </c>
      <c r="AS3179">
        <v>0</v>
      </c>
      <c r="AT3179">
        <v>0</v>
      </c>
      <c r="AU3179">
        <v>108</v>
      </c>
      <c r="AV3179">
        <v>-10.8</v>
      </c>
      <c r="AW3179">
        <v>0</v>
      </c>
      <c r="AY3179">
        <v>0</v>
      </c>
      <c r="AZ3179">
        <v>0</v>
      </c>
      <c r="BA3179">
        <v>75.040000000000006</v>
      </c>
      <c r="BC3179" t="str">
        <f>T("0000000000000")</f>
        <v>0000000000000</v>
      </c>
      <c r="BE3179" t="str">
        <f>T("9791162589724")</f>
        <v>9791162589724</v>
      </c>
      <c r="BF3179" t="str">
        <f>T("N028967")</f>
        <v>N028967</v>
      </c>
      <c r="BG3179" t="str">
        <f>T("판타지 웹소설 &gt; 퓨전 판타지")</f>
        <v>판타지 웹소설 &gt; 퓨전 판타지</v>
      </c>
    </row>
    <row r="3180" spans="1:59">
      <c r="A3180" t="s">
        <v>60</v>
      </c>
      <c r="B3180" s="1">
        <v>46131</v>
      </c>
      <c r="C3180">
        <v>2378009513</v>
      </c>
      <c r="D3180">
        <v>2378032177</v>
      </c>
      <c r="E3180" t="str">
        <f>T("문과라도 안 죄송한 이세계로 감 425화")</f>
        <v>문과라도 안 죄송한 이세계로 감 425화</v>
      </c>
      <c r="F3180">
        <v>425</v>
      </c>
      <c r="G3180" t="str">
        <f>T("정수읠")</f>
        <v>정수읠</v>
      </c>
      <c r="J3180" t="str">
        <f>T("매드햇")</f>
        <v>매드햇</v>
      </c>
      <c r="K3180" t="str">
        <f>T("문과라도 안 죄송한 이세계로 감")</f>
        <v>문과라도 안 죄송한 이세계로 감</v>
      </c>
      <c r="L3180">
        <v>100</v>
      </c>
      <c r="M3180">
        <v>100</v>
      </c>
      <c r="N3180">
        <v>1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0</v>
      </c>
      <c r="AH3180">
        <v>0</v>
      </c>
      <c r="AI3180">
        <v>100</v>
      </c>
      <c r="AJ3180">
        <v>1</v>
      </c>
      <c r="AK3180">
        <v>0</v>
      </c>
      <c r="AL3180">
        <v>0</v>
      </c>
      <c r="AM3180">
        <v>10</v>
      </c>
      <c r="AN3180">
        <v>0</v>
      </c>
      <c r="AO3180">
        <v>108</v>
      </c>
      <c r="AP3180">
        <v>-10.8</v>
      </c>
      <c r="AQ3180">
        <v>0</v>
      </c>
      <c r="AS3180">
        <v>0</v>
      </c>
      <c r="AT3180">
        <v>0</v>
      </c>
      <c r="AU3180">
        <v>108</v>
      </c>
      <c r="AV3180">
        <v>-10.8</v>
      </c>
      <c r="AW3180">
        <v>0</v>
      </c>
      <c r="AY3180">
        <v>0</v>
      </c>
      <c r="AZ3180">
        <v>0</v>
      </c>
      <c r="BA3180">
        <v>75.040000000000006</v>
      </c>
      <c r="BC3180" t="str">
        <f>T("0000000000000")</f>
        <v>0000000000000</v>
      </c>
      <c r="BE3180" t="str">
        <f>T("9791162589724")</f>
        <v>9791162589724</v>
      </c>
      <c r="BF3180" t="str">
        <f>T("N031222")</f>
        <v>N031222</v>
      </c>
      <c r="BG3180" t="str">
        <f>T("판타지 웹소설 &gt; 퓨전 판타지")</f>
        <v>판타지 웹소설 &gt; 퓨전 판타지</v>
      </c>
    </row>
    <row r="3181" spans="1:59">
      <c r="A3181" t="s">
        <v>60</v>
      </c>
      <c r="B3181" s="1">
        <v>46131</v>
      </c>
      <c r="C3181">
        <v>2378009513</v>
      </c>
      <c r="D3181">
        <v>2378032190</v>
      </c>
      <c r="E3181" t="str">
        <f>T("문과라도 안 죄송한 이세계로 감 426화")</f>
        <v>문과라도 안 죄송한 이세계로 감 426화</v>
      </c>
      <c r="F3181">
        <v>426</v>
      </c>
      <c r="G3181" t="str">
        <f>T("정수읠")</f>
        <v>정수읠</v>
      </c>
      <c r="J3181" t="str">
        <f>T("매드햇")</f>
        <v>매드햇</v>
      </c>
      <c r="K3181" t="str">
        <f>T("문과라도 안 죄송한 이세계로 감")</f>
        <v>문과라도 안 죄송한 이세계로 감</v>
      </c>
      <c r="L3181">
        <v>100</v>
      </c>
      <c r="M3181">
        <v>100</v>
      </c>
      <c r="N3181">
        <v>1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0</v>
      </c>
      <c r="AH3181">
        <v>0</v>
      </c>
      <c r="AI3181">
        <v>100</v>
      </c>
      <c r="AJ3181">
        <v>1</v>
      </c>
      <c r="AK3181">
        <v>0</v>
      </c>
      <c r="AL3181">
        <v>0</v>
      </c>
      <c r="AM3181">
        <v>10</v>
      </c>
      <c r="AN3181">
        <v>0</v>
      </c>
      <c r="AO3181">
        <v>108</v>
      </c>
      <c r="AP3181">
        <v>-10.8</v>
      </c>
      <c r="AQ3181">
        <v>0</v>
      </c>
      <c r="AS3181">
        <v>0</v>
      </c>
      <c r="AT3181">
        <v>0</v>
      </c>
      <c r="AU3181">
        <v>108</v>
      </c>
      <c r="AV3181">
        <v>-10.8</v>
      </c>
      <c r="AW3181">
        <v>0</v>
      </c>
      <c r="AY3181">
        <v>0</v>
      </c>
      <c r="AZ3181">
        <v>0</v>
      </c>
      <c r="BA3181">
        <v>75.040000000000006</v>
      </c>
      <c r="BC3181" t="str">
        <f>T("0000000000000")</f>
        <v>0000000000000</v>
      </c>
      <c r="BE3181" t="str">
        <f>T("9791162589724")</f>
        <v>9791162589724</v>
      </c>
      <c r="BF3181" t="str">
        <f>T("N031223")</f>
        <v>N031223</v>
      </c>
      <c r="BG3181" t="str">
        <f>T("판타지 웹소설 &gt; 퓨전 판타지")</f>
        <v>판타지 웹소설 &gt; 퓨전 판타지</v>
      </c>
    </row>
    <row r="3182" spans="1:59">
      <c r="A3182" t="s">
        <v>60</v>
      </c>
      <c r="B3182" s="1">
        <v>46131</v>
      </c>
      <c r="C3182">
        <v>2378009513</v>
      </c>
      <c r="D3182">
        <v>2378032209</v>
      </c>
      <c r="E3182" t="str">
        <f>T("문과라도 안 죄송한 이세계로 감 427화")</f>
        <v>문과라도 안 죄송한 이세계로 감 427화</v>
      </c>
      <c r="F3182">
        <v>427</v>
      </c>
      <c r="G3182" t="str">
        <f>T("정수읠")</f>
        <v>정수읠</v>
      </c>
      <c r="J3182" t="str">
        <f>T("매드햇")</f>
        <v>매드햇</v>
      </c>
      <c r="K3182" t="str">
        <f>T("문과라도 안 죄송한 이세계로 감")</f>
        <v>문과라도 안 죄송한 이세계로 감</v>
      </c>
      <c r="L3182">
        <v>100</v>
      </c>
      <c r="M3182">
        <v>100</v>
      </c>
      <c r="N3182">
        <v>1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100</v>
      </c>
      <c r="AJ3182">
        <v>1</v>
      </c>
      <c r="AK3182">
        <v>0</v>
      </c>
      <c r="AL3182">
        <v>0</v>
      </c>
      <c r="AM3182">
        <v>10</v>
      </c>
      <c r="AN3182">
        <v>0</v>
      </c>
      <c r="AO3182">
        <v>108</v>
      </c>
      <c r="AP3182">
        <v>-10.8</v>
      </c>
      <c r="AQ3182">
        <v>0</v>
      </c>
      <c r="AS3182">
        <v>0</v>
      </c>
      <c r="AT3182">
        <v>0</v>
      </c>
      <c r="AU3182">
        <v>108</v>
      </c>
      <c r="AV3182">
        <v>-10.8</v>
      </c>
      <c r="AW3182">
        <v>0</v>
      </c>
      <c r="AY3182">
        <v>0</v>
      </c>
      <c r="AZ3182">
        <v>0</v>
      </c>
      <c r="BA3182">
        <v>75.040000000000006</v>
      </c>
      <c r="BC3182" t="str">
        <f>T("0000000000000")</f>
        <v>0000000000000</v>
      </c>
      <c r="BE3182" t="str">
        <f>T("9791162589724")</f>
        <v>9791162589724</v>
      </c>
      <c r="BF3182" t="str">
        <f>T("N035622")</f>
        <v>N035622</v>
      </c>
      <c r="BG3182" t="str">
        <f>T("판타지 웹소설 &gt; 퓨전 판타지")</f>
        <v>판타지 웹소설 &gt; 퓨전 판타지</v>
      </c>
    </row>
    <row r="3183" spans="1:59">
      <c r="A3183" t="s">
        <v>60</v>
      </c>
      <c r="B3183" s="1">
        <v>46131</v>
      </c>
      <c r="C3183">
        <v>2378009513</v>
      </c>
      <c r="D3183">
        <v>2378032226</v>
      </c>
      <c r="E3183" t="str">
        <f>T("문과라도 안 죄송한 이세계로 감 428화")</f>
        <v>문과라도 안 죄송한 이세계로 감 428화</v>
      </c>
      <c r="F3183">
        <v>428</v>
      </c>
      <c r="G3183" t="str">
        <f>T("정수읠")</f>
        <v>정수읠</v>
      </c>
      <c r="J3183" t="str">
        <f>T("매드햇")</f>
        <v>매드햇</v>
      </c>
      <c r="K3183" t="str">
        <f>T("문과라도 안 죄송한 이세계로 감")</f>
        <v>문과라도 안 죄송한 이세계로 감</v>
      </c>
      <c r="L3183">
        <v>100</v>
      </c>
      <c r="M3183">
        <v>100</v>
      </c>
      <c r="N3183">
        <v>1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100</v>
      </c>
      <c r="AJ3183">
        <v>1</v>
      </c>
      <c r="AK3183">
        <v>0</v>
      </c>
      <c r="AL3183">
        <v>0</v>
      </c>
      <c r="AM3183">
        <v>10</v>
      </c>
      <c r="AN3183">
        <v>0</v>
      </c>
      <c r="AO3183">
        <v>108</v>
      </c>
      <c r="AP3183">
        <v>-10.8</v>
      </c>
      <c r="AQ3183">
        <v>0</v>
      </c>
      <c r="AS3183">
        <v>0</v>
      </c>
      <c r="AT3183">
        <v>0</v>
      </c>
      <c r="AU3183">
        <v>108</v>
      </c>
      <c r="AV3183">
        <v>-10.8</v>
      </c>
      <c r="AW3183">
        <v>0</v>
      </c>
      <c r="AY3183">
        <v>0</v>
      </c>
      <c r="AZ3183">
        <v>0</v>
      </c>
      <c r="BA3183">
        <v>75.040000000000006</v>
      </c>
      <c r="BC3183" t="str">
        <f>T("0000000000000")</f>
        <v>0000000000000</v>
      </c>
      <c r="BE3183" t="str">
        <f>T("9791162589724")</f>
        <v>9791162589724</v>
      </c>
      <c r="BF3183" t="str">
        <f>T("N036618")</f>
        <v>N036618</v>
      </c>
      <c r="BG3183" t="str">
        <f>T("판타지 웹소설 &gt; 퓨전 판타지")</f>
        <v>판타지 웹소설 &gt; 퓨전 판타지</v>
      </c>
    </row>
    <row r="3184" spans="1:59">
      <c r="A3184" t="s">
        <v>60</v>
      </c>
      <c r="B3184" s="1">
        <v>46131</v>
      </c>
      <c r="C3184">
        <v>2378009513</v>
      </c>
      <c r="D3184">
        <v>2378032251</v>
      </c>
      <c r="E3184" t="str">
        <f>T("문과라도 안 죄송한 이세계로 감 429화")</f>
        <v>문과라도 안 죄송한 이세계로 감 429화</v>
      </c>
      <c r="F3184">
        <v>429</v>
      </c>
      <c r="G3184" t="str">
        <f>T("정수읠")</f>
        <v>정수읠</v>
      </c>
      <c r="J3184" t="str">
        <f>T("매드햇")</f>
        <v>매드햇</v>
      </c>
      <c r="K3184" t="str">
        <f>T("문과라도 안 죄송한 이세계로 감")</f>
        <v>문과라도 안 죄송한 이세계로 감</v>
      </c>
      <c r="L3184">
        <v>100</v>
      </c>
      <c r="M3184">
        <v>100</v>
      </c>
      <c r="N3184">
        <v>1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100</v>
      </c>
      <c r="AJ3184">
        <v>1</v>
      </c>
      <c r="AK3184">
        <v>0</v>
      </c>
      <c r="AL3184">
        <v>0</v>
      </c>
      <c r="AM3184">
        <v>10</v>
      </c>
      <c r="AN3184">
        <v>0</v>
      </c>
      <c r="AO3184">
        <v>108</v>
      </c>
      <c r="AP3184">
        <v>-10.8</v>
      </c>
      <c r="AQ3184">
        <v>0</v>
      </c>
      <c r="AS3184">
        <v>0</v>
      </c>
      <c r="AT3184">
        <v>0</v>
      </c>
      <c r="AU3184">
        <v>108</v>
      </c>
      <c r="AV3184">
        <v>-10.8</v>
      </c>
      <c r="AW3184">
        <v>0</v>
      </c>
      <c r="AY3184">
        <v>0</v>
      </c>
      <c r="AZ3184">
        <v>0</v>
      </c>
      <c r="BA3184">
        <v>75.040000000000006</v>
      </c>
      <c r="BC3184" t="str">
        <f>T("0000000000000")</f>
        <v>0000000000000</v>
      </c>
      <c r="BE3184" t="str">
        <f>T("9791162589724")</f>
        <v>9791162589724</v>
      </c>
      <c r="BF3184" t="str">
        <f>T("N037079")</f>
        <v>N037079</v>
      </c>
      <c r="BG3184" t="str">
        <f>T("판타지 웹소설 &gt; 퓨전 판타지")</f>
        <v>판타지 웹소설 &gt; 퓨전 판타지</v>
      </c>
    </row>
    <row r="3185" spans="1:59">
      <c r="A3185" t="s">
        <v>60</v>
      </c>
      <c r="B3185" s="1">
        <v>46131</v>
      </c>
      <c r="C3185">
        <v>2378009513</v>
      </c>
      <c r="D3185">
        <v>2378032258</v>
      </c>
      <c r="E3185" t="str">
        <f>T("문과라도 안 죄송한 이세계로 감 430화")</f>
        <v>문과라도 안 죄송한 이세계로 감 430화</v>
      </c>
      <c r="F3185">
        <v>430</v>
      </c>
      <c r="G3185" t="str">
        <f>T("정수읠")</f>
        <v>정수읠</v>
      </c>
      <c r="J3185" t="str">
        <f>T("매드햇")</f>
        <v>매드햇</v>
      </c>
      <c r="K3185" t="str">
        <f>T("문과라도 안 죄송한 이세계로 감")</f>
        <v>문과라도 안 죄송한 이세계로 감</v>
      </c>
      <c r="L3185">
        <v>100</v>
      </c>
      <c r="M3185">
        <v>100</v>
      </c>
      <c r="N3185">
        <v>1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100</v>
      </c>
      <c r="AJ3185">
        <v>1</v>
      </c>
      <c r="AK3185">
        <v>0</v>
      </c>
      <c r="AL3185">
        <v>0</v>
      </c>
      <c r="AM3185">
        <v>10</v>
      </c>
      <c r="AN3185">
        <v>0</v>
      </c>
      <c r="AO3185">
        <v>108</v>
      </c>
      <c r="AP3185">
        <v>-10.8</v>
      </c>
      <c r="AQ3185">
        <v>0</v>
      </c>
      <c r="AS3185">
        <v>0</v>
      </c>
      <c r="AT3185">
        <v>0</v>
      </c>
      <c r="AU3185">
        <v>108</v>
      </c>
      <c r="AV3185">
        <v>-10.8</v>
      </c>
      <c r="AW3185">
        <v>0</v>
      </c>
      <c r="AY3185">
        <v>0</v>
      </c>
      <c r="AZ3185">
        <v>0</v>
      </c>
      <c r="BA3185">
        <v>75.040000000000006</v>
      </c>
      <c r="BC3185" t="str">
        <f>T("0000000000000")</f>
        <v>0000000000000</v>
      </c>
      <c r="BE3185" t="str">
        <f>T("9791162589724")</f>
        <v>9791162589724</v>
      </c>
      <c r="BF3185" t="str">
        <f>T("N037094")</f>
        <v>N037094</v>
      </c>
      <c r="BG3185" t="str">
        <f>T("판타지 웹소설 &gt; 퓨전 판타지")</f>
        <v>판타지 웹소설 &gt; 퓨전 판타지</v>
      </c>
    </row>
    <row r="3186" spans="1:59">
      <c r="A3186" t="s">
        <v>60</v>
      </c>
      <c r="B3186" s="1">
        <v>46131</v>
      </c>
      <c r="C3186">
        <v>2378009513</v>
      </c>
      <c r="D3186">
        <v>2378032284</v>
      </c>
      <c r="E3186" t="str">
        <f>T("문과라도 안 죄송한 이세계로 감 431화")</f>
        <v>문과라도 안 죄송한 이세계로 감 431화</v>
      </c>
      <c r="F3186">
        <v>431</v>
      </c>
      <c r="G3186" t="str">
        <f>T("정수읠")</f>
        <v>정수읠</v>
      </c>
      <c r="J3186" t="str">
        <f>T("매드햇")</f>
        <v>매드햇</v>
      </c>
      <c r="K3186" t="str">
        <f>T("문과라도 안 죄송한 이세계로 감")</f>
        <v>문과라도 안 죄송한 이세계로 감</v>
      </c>
      <c r="L3186">
        <v>100</v>
      </c>
      <c r="M3186">
        <v>100</v>
      </c>
      <c r="N3186">
        <v>1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100</v>
      </c>
      <c r="AJ3186">
        <v>1</v>
      </c>
      <c r="AK3186">
        <v>0</v>
      </c>
      <c r="AL3186">
        <v>0</v>
      </c>
      <c r="AM3186">
        <v>10</v>
      </c>
      <c r="AN3186">
        <v>0</v>
      </c>
      <c r="AO3186">
        <v>108</v>
      </c>
      <c r="AP3186">
        <v>-10.8</v>
      </c>
      <c r="AQ3186">
        <v>0</v>
      </c>
      <c r="AS3186">
        <v>0</v>
      </c>
      <c r="AT3186">
        <v>0</v>
      </c>
      <c r="AU3186">
        <v>108</v>
      </c>
      <c r="AV3186">
        <v>-10.8</v>
      </c>
      <c r="AW3186">
        <v>0</v>
      </c>
      <c r="AY3186">
        <v>0</v>
      </c>
      <c r="AZ3186">
        <v>0</v>
      </c>
      <c r="BA3186">
        <v>75.040000000000006</v>
      </c>
      <c r="BC3186" t="str">
        <f>T("0000000000000")</f>
        <v>0000000000000</v>
      </c>
      <c r="BE3186" t="str">
        <f>T("9791162589724")</f>
        <v>9791162589724</v>
      </c>
      <c r="BF3186" t="str">
        <f>T("N037192")</f>
        <v>N037192</v>
      </c>
      <c r="BG3186" t="str">
        <f>T("판타지 웹소설 &gt; 퓨전 판타지")</f>
        <v>판타지 웹소설 &gt; 퓨전 판타지</v>
      </c>
    </row>
    <row r="3187" spans="1:59">
      <c r="A3187" t="s">
        <v>60</v>
      </c>
      <c r="B3187" s="1">
        <v>46131</v>
      </c>
      <c r="C3187">
        <v>2378009513</v>
      </c>
      <c r="D3187">
        <v>2378032298</v>
      </c>
      <c r="E3187" t="str">
        <f>T("문과라도 안 죄송한 이세계로 감 432화")</f>
        <v>문과라도 안 죄송한 이세계로 감 432화</v>
      </c>
      <c r="F3187">
        <v>432</v>
      </c>
      <c r="G3187" t="str">
        <f>T("정수읠")</f>
        <v>정수읠</v>
      </c>
      <c r="J3187" t="str">
        <f>T("매드햇")</f>
        <v>매드햇</v>
      </c>
      <c r="K3187" t="str">
        <f>T("문과라도 안 죄송한 이세계로 감")</f>
        <v>문과라도 안 죄송한 이세계로 감</v>
      </c>
      <c r="L3187">
        <v>100</v>
      </c>
      <c r="M3187">
        <v>100</v>
      </c>
      <c r="N3187">
        <v>1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0</v>
      </c>
      <c r="AH3187">
        <v>0</v>
      </c>
      <c r="AI3187">
        <v>100</v>
      </c>
      <c r="AJ3187">
        <v>1</v>
      </c>
      <c r="AK3187">
        <v>0</v>
      </c>
      <c r="AL3187">
        <v>0</v>
      </c>
      <c r="AM3187">
        <v>10</v>
      </c>
      <c r="AN3187">
        <v>0</v>
      </c>
      <c r="AO3187">
        <v>108</v>
      </c>
      <c r="AP3187">
        <v>-10.8</v>
      </c>
      <c r="AQ3187">
        <v>0</v>
      </c>
      <c r="AS3187">
        <v>0</v>
      </c>
      <c r="AT3187">
        <v>0</v>
      </c>
      <c r="AU3187">
        <v>108</v>
      </c>
      <c r="AV3187">
        <v>-10.8</v>
      </c>
      <c r="AW3187">
        <v>0</v>
      </c>
      <c r="AY3187">
        <v>0</v>
      </c>
      <c r="AZ3187">
        <v>0</v>
      </c>
      <c r="BA3187">
        <v>75.040000000000006</v>
      </c>
      <c r="BC3187" t="str">
        <f>T("0000000000000")</f>
        <v>0000000000000</v>
      </c>
      <c r="BE3187" t="str">
        <f>T("9791162589724")</f>
        <v>9791162589724</v>
      </c>
      <c r="BF3187" t="str">
        <f>T("N041334")</f>
        <v>N041334</v>
      </c>
      <c r="BG3187" t="str">
        <f>T("판타지 웹소설 &gt; 퓨전 판타지")</f>
        <v>판타지 웹소설 &gt; 퓨전 판타지</v>
      </c>
    </row>
    <row r="3188" spans="1:59">
      <c r="A3188" t="s">
        <v>60</v>
      </c>
      <c r="B3188" s="1">
        <v>46131</v>
      </c>
      <c r="C3188">
        <v>2378009513</v>
      </c>
      <c r="D3188">
        <v>2378032313</v>
      </c>
      <c r="E3188" t="str">
        <f>T("문과라도 안 죄송한 이세계로 감 433화")</f>
        <v>문과라도 안 죄송한 이세계로 감 433화</v>
      </c>
      <c r="F3188">
        <v>433</v>
      </c>
      <c r="G3188" t="str">
        <f>T("정수읠")</f>
        <v>정수읠</v>
      </c>
      <c r="J3188" t="str">
        <f>T("매드햇")</f>
        <v>매드햇</v>
      </c>
      <c r="K3188" t="str">
        <f>T("문과라도 안 죄송한 이세계로 감")</f>
        <v>문과라도 안 죄송한 이세계로 감</v>
      </c>
      <c r="L3188">
        <v>100</v>
      </c>
      <c r="M3188">
        <v>100</v>
      </c>
      <c r="N3188">
        <v>1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0</v>
      </c>
      <c r="AH3188">
        <v>0</v>
      </c>
      <c r="AI3188">
        <v>100</v>
      </c>
      <c r="AJ3188">
        <v>1</v>
      </c>
      <c r="AK3188">
        <v>0</v>
      </c>
      <c r="AL3188">
        <v>0</v>
      </c>
      <c r="AM3188">
        <v>10</v>
      </c>
      <c r="AN3188">
        <v>0</v>
      </c>
      <c r="AO3188">
        <v>108</v>
      </c>
      <c r="AP3188">
        <v>-10.8</v>
      </c>
      <c r="AQ3188">
        <v>0</v>
      </c>
      <c r="AS3188">
        <v>0</v>
      </c>
      <c r="AT3188">
        <v>0</v>
      </c>
      <c r="AU3188">
        <v>108</v>
      </c>
      <c r="AV3188">
        <v>-10.8</v>
      </c>
      <c r="AW3188">
        <v>0</v>
      </c>
      <c r="AY3188">
        <v>0</v>
      </c>
      <c r="AZ3188">
        <v>0</v>
      </c>
      <c r="BA3188">
        <v>75.040000000000006</v>
      </c>
      <c r="BC3188" t="str">
        <f>T("0000000000000")</f>
        <v>0000000000000</v>
      </c>
      <c r="BE3188" t="str">
        <f>T("9791162589724")</f>
        <v>9791162589724</v>
      </c>
      <c r="BF3188" t="str">
        <f>T("N043497")</f>
        <v>N043497</v>
      </c>
      <c r="BG3188" t="str">
        <f>T("판타지 웹소설 &gt; 퓨전 판타지")</f>
        <v>판타지 웹소설 &gt; 퓨전 판타지</v>
      </c>
    </row>
    <row r="3189" spans="1:59">
      <c r="A3189" t="s">
        <v>60</v>
      </c>
      <c r="B3189" s="1">
        <v>46131</v>
      </c>
      <c r="C3189">
        <v>2378009513</v>
      </c>
      <c r="D3189">
        <v>2378032327</v>
      </c>
      <c r="E3189" t="str">
        <f>T("문과라도 안 죄송한 이세계로 감 434화")</f>
        <v>문과라도 안 죄송한 이세계로 감 434화</v>
      </c>
      <c r="F3189">
        <v>434</v>
      </c>
      <c r="G3189" t="str">
        <f>T("정수읠")</f>
        <v>정수읠</v>
      </c>
      <c r="J3189" t="str">
        <f>T("매드햇")</f>
        <v>매드햇</v>
      </c>
      <c r="K3189" t="str">
        <f>T("문과라도 안 죄송한 이세계로 감")</f>
        <v>문과라도 안 죄송한 이세계로 감</v>
      </c>
      <c r="L3189">
        <v>100</v>
      </c>
      <c r="M3189">
        <v>100</v>
      </c>
      <c r="N3189">
        <v>1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0</v>
      </c>
      <c r="AH3189">
        <v>0</v>
      </c>
      <c r="AI3189">
        <v>100</v>
      </c>
      <c r="AJ3189">
        <v>1</v>
      </c>
      <c r="AK3189">
        <v>0</v>
      </c>
      <c r="AL3189">
        <v>0</v>
      </c>
      <c r="AM3189">
        <v>10</v>
      </c>
      <c r="AN3189">
        <v>0</v>
      </c>
      <c r="AO3189">
        <v>108</v>
      </c>
      <c r="AP3189">
        <v>-10.8</v>
      </c>
      <c r="AQ3189">
        <v>0</v>
      </c>
      <c r="AS3189">
        <v>0</v>
      </c>
      <c r="AT3189">
        <v>0</v>
      </c>
      <c r="AU3189">
        <v>108</v>
      </c>
      <c r="AV3189">
        <v>-10.8</v>
      </c>
      <c r="AW3189">
        <v>0</v>
      </c>
      <c r="AY3189">
        <v>0</v>
      </c>
      <c r="AZ3189">
        <v>0</v>
      </c>
      <c r="BA3189">
        <v>75.040000000000006</v>
      </c>
      <c r="BC3189" t="str">
        <f>T("0000000000000")</f>
        <v>0000000000000</v>
      </c>
      <c r="BE3189" t="str">
        <f>T("9791162589724")</f>
        <v>9791162589724</v>
      </c>
      <c r="BF3189" t="str">
        <f>T("N044657")</f>
        <v>N044657</v>
      </c>
      <c r="BG3189" t="str">
        <f>T("판타지 웹소설 &gt; 퓨전 판타지")</f>
        <v>판타지 웹소설 &gt; 퓨전 판타지</v>
      </c>
    </row>
    <row r="3190" spans="1:59">
      <c r="A3190" t="s">
        <v>60</v>
      </c>
      <c r="B3190" s="1">
        <v>46131</v>
      </c>
      <c r="C3190">
        <v>2378009513</v>
      </c>
      <c r="D3190">
        <v>2378032728</v>
      </c>
      <c r="E3190" t="str">
        <f>T("문과라도 안 죄송한 이세계로 감 435화")</f>
        <v>문과라도 안 죄송한 이세계로 감 435화</v>
      </c>
      <c r="F3190">
        <v>435</v>
      </c>
      <c r="G3190" t="str">
        <f>T("정수읠")</f>
        <v>정수읠</v>
      </c>
      <c r="J3190" t="str">
        <f>T("매드햇")</f>
        <v>매드햇</v>
      </c>
      <c r="K3190" t="str">
        <f>T("문과라도 안 죄송한 이세계로 감")</f>
        <v>문과라도 안 죄송한 이세계로 감</v>
      </c>
      <c r="L3190">
        <v>100</v>
      </c>
      <c r="M3190">
        <v>100</v>
      </c>
      <c r="N3190">
        <v>1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0</v>
      </c>
      <c r="AH3190">
        <v>0</v>
      </c>
      <c r="AI3190">
        <v>100</v>
      </c>
      <c r="AJ3190">
        <v>1</v>
      </c>
      <c r="AK3190">
        <v>0</v>
      </c>
      <c r="AL3190">
        <v>0</v>
      </c>
      <c r="AM3190">
        <v>10</v>
      </c>
      <c r="AN3190">
        <v>0</v>
      </c>
      <c r="AO3190">
        <v>108</v>
      </c>
      <c r="AP3190">
        <v>-10.8</v>
      </c>
      <c r="AQ3190">
        <v>0</v>
      </c>
      <c r="AS3190">
        <v>0</v>
      </c>
      <c r="AT3190">
        <v>0</v>
      </c>
      <c r="AU3190">
        <v>108</v>
      </c>
      <c r="AV3190">
        <v>-10.8</v>
      </c>
      <c r="AW3190">
        <v>0</v>
      </c>
      <c r="AY3190">
        <v>0</v>
      </c>
      <c r="AZ3190">
        <v>0</v>
      </c>
      <c r="BA3190">
        <v>75.040000000000006</v>
      </c>
      <c r="BC3190" t="str">
        <f>T("0000000000000")</f>
        <v>0000000000000</v>
      </c>
      <c r="BE3190" t="str">
        <f>T("9791162589724")</f>
        <v>9791162589724</v>
      </c>
      <c r="BF3190" t="str">
        <f>T("N046129")</f>
        <v>N046129</v>
      </c>
      <c r="BG3190" t="str">
        <f>T("판타지 웹소설 &gt; 퓨전 판타지")</f>
        <v>판타지 웹소설 &gt; 퓨전 판타지</v>
      </c>
    </row>
    <row r="3191" spans="1:59">
      <c r="A3191" t="s">
        <v>60</v>
      </c>
      <c r="B3191" s="1">
        <v>46131</v>
      </c>
      <c r="C3191">
        <v>2378009513</v>
      </c>
      <c r="D3191">
        <v>2378032729</v>
      </c>
      <c r="E3191" t="str">
        <f>T("문과라도 안 죄송한 이세계로 감 436화")</f>
        <v>문과라도 안 죄송한 이세계로 감 436화</v>
      </c>
      <c r="F3191">
        <v>436</v>
      </c>
      <c r="G3191" t="str">
        <f>T("정수읠")</f>
        <v>정수읠</v>
      </c>
      <c r="J3191" t="str">
        <f>T("매드햇")</f>
        <v>매드햇</v>
      </c>
      <c r="K3191" t="str">
        <f>T("문과라도 안 죄송한 이세계로 감")</f>
        <v>문과라도 안 죄송한 이세계로 감</v>
      </c>
      <c r="L3191">
        <v>100</v>
      </c>
      <c r="M3191">
        <v>100</v>
      </c>
      <c r="N3191">
        <v>1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0</v>
      </c>
      <c r="AH3191">
        <v>0</v>
      </c>
      <c r="AI3191">
        <v>100</v>
      </c>
      <c r="AJ3191">
        <v>1</v>
      </c>
      <c r="AK3191">
        <v>0</v>
      </c>
      <c r="AL3191">
        <v>0</v>
      </c>
      <c r="AM3191">
        <v>10</v>
      </c>
      <c r="AN3191">
        <v>0</v>
      </c>
      <c r="AO3191">
        <v>108</v>
      </c>
      <c r="AP3191">
        <v>-10.8</v>
      </c>
      <c r="AQ3191">
        <v>0</v>
      </c>
      <c r="AS3191">
        <v>0</v>
      </c>
      <c r="AT3191">
        <v>0</v>
      </c>
      <c r="AU3191">
        <v>108</v>
      </c>
      <c r="AV3191">
        <v>-10.8</v>
      </c>
      <c r="AW3191">
        <v>0</v>
      </c>
      <c r="AY3191">
        <v>0</v>
      </c>
      <c r="AZ3191">
        <v>0</v>
      </c>
      <c r="BA3191">
        <v>75.040000000000006</v>
      </c>
      <c r="BC3191" t="str">
        <f>T("0000000000000")</f>
        <v>0000000000000</v>
      </c>
      <c r="BE3191" t="str">
        <f>T("9791162589724")</f>
        <v>9791162589724</v>
      </c>
      <c r="BF3191" t="str">
        <f>T("N046165")</f>
        <v>N046165</v>
      </c>
      <c r="BG3191" t="str">
        <f>T("판타지 웹소설 &gt; 퓨전 판타지")</f>
        <v>판타지 웹소설 &gt; 퓨전 판타지</v>
      </c>
    </row>
    <row r="3192" spans="1:59">
      <c r="A3192" t="s">
        <v>60</v>
      </c>
      <c r="B3192" s="1">
        <v>46131</v>
      </c>
      <c r="C3192">
        <v>2378009513</v>
      </c>
      <c r="D3192">
        <v>2378033015</v>
      </c>
      <c r="E3192" t="str">
        <f>T("문과라도 안 죄송한 이세계로 감 437화")</f>
        <v>문과라도 안 죄송한 이세계로 감 437화</v>
      </c>
      <c r="F3192">
        <v>437</v>
      </c>
      <c r="G3192" t="str">
        <f>T("정수읠")</f>
        <v>정수읠</v>
      </c>
      <c r="J3192" t="str">
        <f>T("매드햇")</f>
        <v>매드햇</v>
      </c>
      <c r="K3192" t="str">
        <f>T("문과라도 안 죄송한 이세계로 감")</f>
        <v>문과라도 안 죄송한 이세계로 감</v>
      </c>
      <c r="L3192">
        <v>100</v>
      </c>
      <c r="M3192">
        <v>100</v>
      </c>
      <c r="N3192">
        <v>1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100</v>
      </c>
      <c r="AJ3192">
        <v>1</v>
      </c>
      <c r="AK3192">
        <v>0</v>
      </c>
      <c r="AL3192">
        <v>0</v>
      </c>
      <c r="AM3192">
        <v>10</v>
      </c>
      <c r="AN3192">
        <v>0</v>
      </c>
      <c r="AO3192">
        <v>108</v>
      </c>
      <c r="AP3192">
        <v>-10.8</v>
      </c>
      <c r="AQ3192">
        <v>0</v>
      </c>
      <c r="AS3192">
        <v>0</v>
      </c>
      <c r="AT3192">
        <v>0</v>
      </c>
      <c r="AU3192">
        <v>108</v>
      </c>
      <c r="AV3192">
        <v>-10.8</v>
      </c>
      <c r="AW3192">
        <v>0</v>
      </c>
      <c r="AY3192">
        <v>0</v>
      </c>
      <c r="AZ3192">
        <v>0</v>
      </c>
      <c r="BA3192">
        <v>75.040000000000006</v>
      </c>
      <c r="BC3192" t="str">
        <f>T("0000000000000")</f>
        <v>0000000000000</v>
      </c>
      <c r="BE3192" t="str">
        <f>T("9791162589724")</f>
        <v>9791162589724</v>
      </c>
      <c r="BF3192" t="str">
        <f>T("N049020")</f>
        <v>N049020</v>
      </c>
      <c r="BG3192" t="str">
        <f>T("판타지 웹소설 &gt; 퓨전 판타지")</f>
        <v>판타지 웹소설 &gt; 퓨전 판타지</v>
      </c>
    </row>
    <row r="3193" spans="1:59">
      <c r="A3193" t="s">
        <v>60</v>
      </c>
      <c r="B3193" s="1">
        <v>46131</v>
      </c>
      <c r="C3193">
        <v>2378009513</v>
      </c>
      <c r="D3193">
        <v>2378033054</v>
      </c>
      <c r="E3193" t="str">
        <f>T("문과라도 안 죄송한 이세계로 감 438화")</f>
        <v>문과라도 안 죄송한 이세계로 감 438화</v>
      </c>
      <c r="F3193">
        <v>438</v>
      </c>
      <c r="G3193" t="str">
        <f>T("정수읠")</f>
        <v>정수읠</v>
      </c>
      <c r="J3193" t="str">
        <f>T("매드햇")</f>
        <v>매드햇</v>
      </c>
      <c r="K3193" t="str">
        <f>T("문과라도 안 죄송한 이세계로 감")</f>
        <v>문과라도 안 죄송한 이세계로 감</v>
      </c>
      <c r="L3193">
        <v>100</v>
      </c>
      <c r="M3193">
        <v>100</v>
      </c>
      <c r="N3193">
        <v>1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100</v>
      </c>
      <c r="AJ3193">
        <v>1</v>
      </c>
      <c r="AK3193">
        <v>0</v>
      </c>
      <c r="AL3193">
        <v>0</v>
      </c>
      <c r="AM3193">
        <v>10</v>
      </c>
      <c r="AN3193">
        <v>0</v>
      </c>
      <c r="AO3193">
        <v>108</v>
      </c>
      <c r="AP3193">
        <v>-10.8</v>
      </c>
      <c r="AQ3193">
        <v>0</v>
      </c>
      <c r="AS3193">
        <v>0</v>
      </c>
      <c r="AT3193">
        <v>0</v>
      </c>
      <c r="AU3193">
        <v>108</v>
      </c>
      <c r="AV3193">
        <v>-10.8</v>
      </c>
      <c r="AW3193">
        <v>0</v>
      </c>
      <c r="AY3193">
        <v>0</v>
      </c>
      <c r="AZ3193">
        <v>0</v>
      </c>
      <c r="BA3193">
        <v>75.040000000000006</v>
      </c>
      <c r="BC3193" t="str">
        <f>T("0000000000000")</f>
        <v>0000000000000</v>
      </c>
      <c r="BE3193" t="str">
        <f>T("9791162589724")</f>
        <v>9791162589724</v>
      </c>
      <c r="BF3193" t="str">
        <f>T("N050949")</f>
        <v>N050949</v>
      </c>
      <c r="BG3193" t="str">
        <f>T("판타지 웹소설 &gt; 퓨전 판타지")</f>
        <v>판타지 웹소설 &gt; 퓨전 판타지</v>
      </c>
    </row>
    <row r="3194" spans="1:59">
      <c r="A3194" t="s">
        <v>60</v>
      </c>
      <c r="B3194" s="1">
        <v>46131</v>
      </c>
      <c r="C3194">
        <v>2378009513</v>
      </c>
      <c r="D3194">
        <v>2378033094</v>
      </c>
      <c r="E3194" t="str">
        <f>T("문과라도 안 죄송한 이세계로 감 439화")</f>
        <v>문과라도 안 죄송한 이세계로 감 439화</v>
      </c>
      <c r="F3194">
        <v>439</v>
      </c>
      <c r="G3194" t="str">
        <f>T("정수읠")</f>
        <v>정수읠</v>
      </c>
      <c r="J3194" t="str">
        <f>T("매드햇")</f>
        <v>매드햇</v>
      </c>
      <c r="K3194" t="str">
        <f>T("문과라도 안 죄송한 이세계로 감")</f>
        <v>문과라도 안 죄송한 이세계로 감</v>
      </c>
      <c r="L3194">
        <v>100</v>
      </c>
      <c r="M3194">
        <v>100</v>
      </c>
      <c r="N3194">
        <v>1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100</v>
      </c>
      <c r="AJ3194">
        <v>1</v>
      </c>
      <c r="AK3194">
        <v>0</v>
      </c>
      <c r="AL3194">
        <v>0</v>
      </c>
      <c r="AM3194">
        <v>10</v>
      </c>
      <c r="AN3194">
        <v>0</v>
      </c>
      <c r="AO3194">
        <v>108</v>
      </c>
      <c r="AP3194">
        <v>-10.8</v>
      </c>
      <c r="AQ3194">
        <v>0</v>
      </c>
      <c r="AS3194">
        <v>0</v>
      </c>
      <c r="AT3194">
        <v>0</v>
      </c>
      <c r="AU3194">
        <v>108</v>
      </c>
      <c r="AV3194">
        <v>-10.8</v>
      </c>
      <c r="AW3194">
        <v>0</v>
      </c>
      <c r="AY3194">
        <v>0</v>
      </c>
      <c r="AZ3194">
        <v>0</v>
      </c>
      <c r="BA3194">
        <v>75.040000000000006</v>
      </c>
      <c r="BC3194" t="str">
        <f>T("0000000000000")</f>
        <v>0000000000000</v>
      </c>
      <c r="BE3194" t="str">
        <f>T("9791162589724")</f>
        <v>9791162589724</v>
      </c>
      <c r="BF3194" t="str">
        <f>T("N054197")</f>
        <v>N054197</v>
      </c>
      <c r="BG3194" t="str">
        <f>T("판타지 웹소설 &gt; 퓨전 판타지")</f>
        <v>판타지 웹소설 &gt; 퓨전 판타지</v>
      </c>
    </row>
    <row r="3195" spans="1:59">
      <c r="A3195" t="s">
        <v>60</v>
      </c>
      <c r="B3195" s="1">
        <v>46131</v>
      </c>
      <c r="C3195">
        <v>2378009513</v>
      </c>
      <c r="D3195">
        <v>2378033138</v>
      </c>
      <c r="E3195" t="str">
        <f>T("문과라도 안 죄송한 이세계로 감 440화")</f>
        <v>문과라도 안 죄송한 이세계로 감 440화</v>
      </c>
      <c r="F3195">
        <v>440</v>
      </c>
      <c r="G3195" t="str">
        <f>T("정수읠")</f>
        <v>정수읠</v>
      </c>
      <c r="J3195" t="str">
        <f>T("매드햇")</f>
        <v>매드햇</v>
      </c>
      <c r="K3195" t="str">
        <f>T("문과라도 안 죄송한 이세계로 감")</f>
        <v>문과라도 안 죄송한 이세계로 감</v>
      </c>
      <c r="L3195">
        <v>100</v>
      </c>
      <c r="M3195">
        <v>100</v>
      </c>
      <c r="N3195">
        <v>1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100</v>
      </c>
      <c r="AJ3195">
        <v>1</v>
      </c>
      <c r="AK3195">
        <v>0</v>
      </c>
      <c r="AL3195">
        <v>0</v>
      </c>
      <c r="AM3195">
        <v>10</v>
      </c>
      <c r="AN3195">
        <v>0</v>
      </c>
      <c r="AO3195">
        <v>108</v>
      </c>
      <c r="AP3195">
        <v>-10.8</v>
      </c>
      <c r="AQ3195">
        <v>0</v>
      </c>
      <c r="AS3195">
        <v>0</v>
      </c>
      <c r="AT3195">
        <v>0</v>
      </c>
      <c r="AU3195">
        <v>108</v>
      </c>
      <c r="AV3195">
        <v>-10.8</v>
      </c>
      <c r="AW3195">
        <v>0</v>
      </c>
      <c r="AY3195">
        <v>0</v>
      </c>
      <c r="AZ3195">
        <v>0</v>
      </c>
      <c r="BA3195">
        <v>75.040000000000006</v>
      </c>
      <c r="BC3195" t="str">
        <f>T("0000000000000")</f>
        <v>0000000000000</v>
      </c>
      <c r="BE3195" t="str">
        <f>T("9791162589724")</f>
        <v>9791162589724</v>
      </c>
      <c r="BF3195" t="str">
        <f>T("N059062")</f>
        <v>N059062</v>
      </c>
      <c r="BG3195" t="str">
        <f>T("판타지 웹소설 &gt; 퓨전 판타지")</f>
        <v>판타지 웹소설 &gt; 퓨전 판타지</v>
      </c>
    </row>
    <row r="3196" spans="1:59">
      <c r="A3196" t="s">
        <v>60</v>
      </c>
      <c r="B3196" s="1">
        <v>46131</v>
      </c>
      <c r="C3196">
        <v>2378009513</v>
      </c>
      <c r="D3196">
        <v>2378033751</v>
      </c>
      <c r="E3196" t="str">
        <f>T("문과라도 안 죄송한 이세계로 감 441화")</f>
        <v>문과라도 안 죄송한 이세계로 감 441화</v>
      </c>
      <c r="F3196">
        <v>441</v>
      </c>
      <c r="G3196" t="str">
        <f>T("정수읠")</f>
        <v>정수읠</v>
      </c>
      <c r="J3196" t="str">
        <f>T("매드햇")</f>
        <v>매드햇</v>
      </c>
      <c r="K3196" t="str">
        <f>T("문과라도 안 죄송한 이세계로 감")</f>
        <v>문과라도 안 죄송한 이세계로 감</v>
      </c>
      <c r="L3196">
        <v>100</v>
      </c>
      <c r="M3196">
        <v>100</v>
      </c>
      <c r="N3196">
        <v>1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100</v>
      </c>
      <c r="AJ3196">
        <v>1</v>
      </c>
      <c r="AK3196">
        <v>0</v>
      </c>
      <c r="AL3196">
        <v>0</v>
      </c>
      <c r="AM3196">
        <v>10</v>
      </c>
      <c r="AN3196">
        <v>0</v>
      </c>
      <c r="AO3196">
        <v>108</v>
      </c>
      <c r="AP3196">
        <v>-10.8</v>
      </c>
      <c r="AQ3196">
        <v>0</v>
      </c>
      <c r="AS3196">
        <v>0</v>
      </c>
      <c r="AT3196">
        <v>0</v>
      </c>
      <c r="AU3196">
        <v>108</v>
      </c>
      <c r="AV3196">
        <v>-10.8</v>
      </c>
      <c r="AW3196">
        <v>0</v>
      </c>
      <c r="AY3196">
        <v>0</v>
      </c>
      <c r="AZ3196">
        <v>0</v>
      </c>
      <c r="BA3196">
        <v>75.040000000000006</v>
      </c>
      <c r="BC3196" t="str">
        <f>T("0000000000000")</f>
        <v>0000000000000</v>
      </c>
      <c r="BE3196" t="str">
        <f>T("9791162589724")</f>
        <v>9791162589724</v>
      </c>
      <c r="BF3196" t="str">
        <f>T("N074674")</f>
        <v>N074674</v>
      </c>
      <c r="BG3196" t="str">
        <f>T("판타지 웹소설 &gt; 퓨전 판타지")</f>
        <v>판타지 웹소설 &gt; 퓨전 판타지</v>
      </c>
    </row>
    <row r="3197" spans="1:59">
      <c r="A3197" t="s">
        <v>60</v>
      </c>
      <c r="B3197" s="1">
        <v>46131</v>
      </c>
      <c r="C3197">
        <v>2378009513</v>
      </c>
      <c r="D3197">
        <v>2378033752</v>
      </c>
      <c r="E3197" t="str">
        <f>T("문과라도 안 죄송한 이세계로 감 442화")</f>
        <v>문과라도 안 죄송한 이세계로 감 442화</v>
      </c>
      <c r="F3197">
        <v>442</v>
      </c>
      <c r="G3197" t="str">
        <f>T("정수읠")</f>
        <v>정수읠</v>
      </c>
      <c r="J3197" t="str">
        <f>T("매드햇")</f>
        <v>매드햇</v>
      </c>
      <c r="K3197" t="str">
        <f>T("문과라도 안 죄송한 이세계로 감")</f>
        <v>문과라도 안 죄송한 이세계로 감</v>
      </c>
      <c r="L3197">
        <v>100</v>
      </c>
      <c r="M3197">
        <v>100</v>
      </c>
      <c r="N3197">
        <v>1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100</v>
      </c>
      <c r="AJ3197">
        <v>1</v>
      </c>
      <c r="AK3197">
        <v>0</v>
      </c>
      <c r="AL3197">
        <v>0</v>
      </c>
      <c r="AM3197">
        <v>10</v>
      </c>
      <c r="AN3197">
        <v>0</v>
      </c>
      <c r="AO3197">
        <v>108</v>
      </c>
      <c r="AP3197">
        <v>-10.8</v>
      </c>
      <c r="AQ3197">
        <v>0</v>
      </c>
      <c r="AS3197">
        <v>0</v>
      </c>
      <c r="AT3197">
        <v>0</v>
      </c>
      <c r="AU3197">
        <v>108</v>
      </c>
      <c r="AV3197">
        <v>-10.8</v>
      </c>
      <c r="AW3197">
        <v>0</v>
      </c>
      <c r="AY3197">
        <v>0</v>
      </c>
      <c r="AZ3197">
        <v>0</v>
      </c>
      <c r="BA3197">
        <v>75.040000000000006</v>
      </c>
      <c r="BC3197" t="str">
        <f>T("0000000000000")</f>
        <v>0000000000000</v>
      </c>
      <c r="BE3197" t="str">
        <f>T("9791162589724")</f>
        <v>9791162589724</v>
      </c>
      <c r="BF3197" t="str">
        <f>T("N074675")</f>
        <v>N074675</v>
      </c>
      <c r="BG3197" t="str">
        <f>T("판타지 웹소설 &gt; 퓨전 판타지")</f>
        <v>판타지 웹소설 &gt; 퓨전 판타지</v>
      </c>
    </row>
    <row r="3198" spans="1:59">
      <c r="A3198" t="s">
        <v>60</v>
      </c>
      <c r="B3198" s="1">
        <v>46131</v>
      </c>
      <c r="C3198">
        <v>2378009513</v>
      </c>
      <c r="D3198">
        <v>2378033753</v>
      </c>
      <c r="E3198" t="str">
        <f>T("문과라도 안 죄송한 이세계로 감 443화")</f>
        <v>문과라도 안 죄송한 이세계로 감 443화</v>
      </c>
      <c r="F3198">
        <v>443</v>
      </c>
      <c r="G3198" t="str">
        <f>T("정수읠")</f>
        <v>정수읠</v>
      </c>
      <c r="J3198" t="str">
        <f>T("매드햇")</f>
        <v>매드햇</v>
      </c>
      <c r="K3198" t="str">
        <f>T("문과라도 안 죄송한 이세계로 감")</f>
        <v>문과라도 안 죄송한 이세계로 감</v>
      </c>
      <c r="L3198">
        <v>100</v>
      </c>
      <c r="M3198">
        <v>100</v>
      </c>
      <c r="N3198">
        <v>1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100</v>
      </c>
      <c r="AJ3198">
        <v>1</v>
      </c>
      <c r="AK3198">
        <v>0</v>
      </c>
      <c r="AL3198">
        <v>0</v>
      </c>
      <c r="AM3198">
        <v>10</v>
      </c>
      <c r="AN3198">
        <v>0</v>
      </c>
      <c r="AO3198">
        <v>108</v>
      </c>
      <c r="AP3198">
        <v>-10.8</v>
      </c>
      <c r="AQ3198">
        <v>0</v>
      </c>
      <c r="AS3198">
        <v>0</v>
      </c>
      <c r="AT3198">
        <v>0</v>
      </c>
      <c r="AU3198">
        <v>108</v>
      </c>
      <c r="AV3198">
        <v>-10.8</v>
      </c>
      <c r="AW3198">
        <v>0</v>
      </c>
      <c r="AY3198">
        <v>0</v>
      </c>
      <c r="AZ3198">
        <v>0</v>
      </c>
      <c r="BA3198">
        <v>75.040000000000006</v>
      </c>
      <c r="BC3198" t="str">
        <f>T("0000000000000")</f>
        <v>0000000000000</v>
      </c>
      <c r="BE3198" t="str">
        <f>T("9791162589724")</f>
        <v>9791162589724</v>
      </c>
      <c r="BF3198" t="str">
        <f>T("N074676")</f>
        <v>N074676</v>
      </c>
      <c r="BG3198" t="str">
        <f>T("판타지 웹소설 &gt; 퓨전 판타지")</f>
        <v>판타지 웹소설 &gt; 퓨전 판타지</v>
      </c>
    </row>
    <row r="3199" spans="1:59">
      <c r="A3199" t="s">
        <v>60</v>
      </c>
      <c r="B3199" s="1">
        <v>46131</v>
      </c>
      <c r="C3199">
        <v>2378009513</v>
      </c>
      <c r="D3199">
        <v>2378033756</v>
      </c>
      <c r="E3199" t="str">
        <f>T("문과라도 안 죄송한 이세계로 감 444화")</f>
        <v>문과라도 안 죄송한 이세계로 감 444화</v>
      </c>
      <c r="F3199">
        <v>444</v>
      </c>
      <c r="G3199" t="str">
        <f>T("정수읠")</f>
        <v>정수읠</v>
      </c>
      <c r="J3199" t="str">
        <f>T("매드햇")</f>
        <v>매드햇</v>
      </c>
      <c r="K3199" t="str">
        <f>T("문과라도 안 죄송한 이세계로 감")</f>
        <v>문과라도 안 죄송한 이세계로 감</v>
      </c>
      <c r="L3199">
        <v>100</v>
      </c>
      <c r="M3199">
        <v>100</v>
      </c>
      <c r="N3199">
        <v>1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100</v>
      </c>
      <c r="AJ3199">
        <v>1</v>
      </c>
      <c r="AK3199">
        <v>0</v>
      </c>
      <c r="AL3199">
        <v>0</v>
      </c>
      <c r="AM3199">
        <v>10</v>
      </c>
      <c r="AN3199">
        <v>0</v>
      </c>
      <c r="AO3199">
        <v>108</v>
      </c>
      <c r="AP3199">
        <v>-10.8</v>
      </c>
      <c r="AQ3199">
        <v>0</v>
      </c>
      <c r="AS3199">
        <v>0</v>
      </c>
      <c r="AT3199">
        <v>0</v>
      </c>
      <c r="AU3199">
        <v>108</v>
      </c>
      <c r="AV3199">
        <v>-10.8</v>
      </c>
      <c r="AW3199">
        <v>0</v>
      </c>
      <c r="AY3199">
        <v>0</v>
      </c>
      <c r="AZ3199">
        <v>0</v>
      </c>
      <c r="BA3199">
        <v>75.040000000000006</v>
      </c>
      <c r="BC3199" t="str">
        <f>T("0000000000000")</f>
        <v>0000000000000</v>
      </c>
      <c r="BE3199" t="str">
        <f>T("9791162589724")</f>
        <v>9791162589724</v>
      </c>
      <c r="BF3199" t="str">
        <f>T("N075363")</f>
        <v>N075363</v>
      </c>
      <c r="BG3199" t="str">
        <f>T("판타지 웹소설 &gt; 퓨전 판타지")</f>
        <v>판타지 웹소설 &gt; 퓨전 판타지</v>
      </c>
    </row>
    <row r="3200" spans="1:59">
      <c r="A3200" t="s">
        <v>60</v>
      </c>
      <c r="B3200" s="1">
        <v>46131</v>
      </c>
      <c r="C3200">
        <v>2378009513</v>
      </c>
      <c r="D3200">
        <v>2378033767</v>
      </c>
      <c r="E3200" t="str">
        <f>T("문과라도 안 죄송한 이세계로 감 445화")</f>
        <v>문과라도 안 죄송한 이세계로 감 445화</v>
      </c>
      <c r="F3200">
        <v>445</v>
      </c>
      <c r="G3200" t="str">
        <f>T("정수읠")</f>
        <v>정수읠</v>
      </c>
      <c r="J3200" t="str">
        <f>T("매드햇")</f>
        <v>매드햇</v>
      </c>
      <c r="K3200" t="str">
        <f>T("문과라도 안 죄송한 이세계로 감")</f>
        <v>문과라도 안 죄송한 이세계로 감</v>
      </c>
      <c r="L3200">
        <v>100</v>
      </c>
      <c r="M3200">
        <v>100</v>
      </c>
      <c r="N3200">
        <v>1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100</v>
      </c>
      <c r="AJ3200">
        <v>1</v>
      </c>
      <c r="AK3200">
        <v>0</v>
      </c>
      <c r="AL3200">
        <v>0</v>
      </c>
      <c r="AM3200">
        <v>10</v>
      </c>
      <c r="AN3200">
        <v>0</v>
      </c>
      <c r="AO3200">
        <v>108</v>
      </c>
      <c r="AP3200">
        <v>-10.8</v>
      </c>
      <c r="AQ3200">
        <v>0</v>
      </c>
      <c r="AS3200">
        <v>0</v>
      </c>
      <c r="AT3200">
        <v>0</v>
      </c>
      <c r="AU3200">
        <v>108</v>
      </c>
      <c r="AV3200">
        <v>-10.8</v>
      </c>
      <c r="AW3200">
        <v>0</v>
      </c>
      <c r="AY3200">
        <v>0</v>
      </c>
      <c r="AZ3200">
        <v>0</v>
      </c>
      <c r="BA3200">
        <v>75.040000000000006</v>
      </c>
      <c r="BC3200" t="str">
        <f>T("0000000000000")</f>
        <v>0000000000000</v>
      </c>
      <c r="BE3200" t="str">
        <f>T("9791162589724")</f>
        <v>9791162589724</v>
      </c>
      <c r="BF3200" t="str">
        <f>T("N075364")</f>
        <v>N075364</v>
      </c>
      <c r="BG3200" t="str">
        <f>T("판타지 웹소설 &gt; 퓨전 판타지")</f>
        <v>판타지 웹소설 &gt; 퓨전 판타지</v>
      </c>
    </row>
    <row r="3201" spans="1:59">
      <c r="A3201" t="s">
        <v>60</v>
      </c>
      <c r="B3201" s="1">
        <v>46131</v>
      </c>
      <c r="C3201">
        <v>2378009513</v>
      </c>
      <c r="D3201">
        <v>2378033789</v>
      </c>
      <c r="E3201" t="str">
        <f>T("문과라도 안 죄송한 이세계로 감 446화")</f>
        <v>문과라도 안 죄송한 이세계로 감 446화</v>
      </c>
      <c r="F3201">
        <v>446</v>
      </c>
      <c r="G3201" t="str">
        <f>T("정수읠")</f>
        <v>정수읠</v>
      </c>
      <c r="J3201" t="str">
        <f>T("매드햇")</f>
        <v>매드햇</v>
      </c>
      <c r="K3201" t="str">
        <f>T("문과라도 안 죄송한 이세계로 감")</f>
        <v>문과라도 안 죄송한 이세계로 감</v>
      </c>
      <c r="L3201">
        <v>100</v>
      </c>
      <c r="M3201">
        <v>100</v>
      </c>
      <c r="N3201">
        <v>1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100</v>
      </c>
      <c r="AJ3201">
        <v>1</v>
      </c>
      <c r="AK3201">
        <v>0</v>
      </c>
      <c r="AL3201">
        <v>0</v>
      </c>
      <c r="AM3201">
        <v>10</v>
      </c>
      <c r="AN3201">
        <v>0</v>
      </c>
      <c r="AO3201">
        <v>108</v>
      </c>
      <c r="AP3201">
        <v>-10.8</v>
      </c>
      <c r="AQ3201">
        <v>0</v>
      </c>
      <c r="AS3201">
        <v>0</v>
      </c>
      <c r="AT3201">
        <v>0</v>
      </c>
      <c r="AU3201">
        <v>108</v>
      </c>
      <c r="AV3201">
        <v>-10.8</v>
      </c>
      <c r="AW3201">
        <v>0</v>
      </c>
      <c r="AY3201">
        <v>0</v>
      </c>
      <c r="AZ3201">
        <v>0</v>
      </c>
      <c r="BA3201">
        <v>75.040000000000006</v>
      </c>
      <c r="BC3201" t="str">
        <f>T("0000000000000")</f>
        <v>0000000000000</v>
      </c>
      <c r="BE3201" t="str">
        <f>T("9791162589724")</f>
        <v>9791162589724</v>
      </c>
      <c r="BF3201" t="str">
        <f>T("N075365")</f>
        <v>N075365</v>
      </c>
      <c r="BG3201" t="str">
        <f>T("판타지 웹소설 &gt; 퓨전 판타지")</f>
        <v>판타지 웹소설 &gt; 퓨전 판타지</v>
      </c>
    </row>
    <row r="3202" spans="1:59">
      <c r="A3202" t="s">
        <v>60</v>
      </c>
      <c r="B3202" s="1">
        <v>46131</v>
      </c>
      <c r="C3202">
        <v>2378009513</v>
      </c>
      <c r="D3202">
        <v>2378033794</v>
      </c>
      <c r="E3202" t="str">
        <f>T("문과라도 안 죄송한 이세계로 감 447화")</f>
        <v>문과라도 안 죄송한 이세계로 감 447화</v>
      </c>
      <c r="F3202">
        <v>447</v>
      </c>
      <c r="G3202" t="str">
        <f>T("정수읠")</f>
        <v>정수읠</v>
      </c>
      <c r="J3202" t="str">
        <f>T("매드햇")</f>
        <v>매드햇</v>
      </c>
      <c r="K3202" t="str">
        <f>T("문과라도 안 죄송한 이세계로 감")</f>
        <v>문과라도 안 죄송한 이세계로 감</v>
      </c>
      <c r="L3202">
        <v>100</v>
      </c>
      <c r="M3202">
        <v>100</v>
      </c>
      <c r="N3202">
        <v>1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100</v>
      </c>
      <c r="AJ3202">
        <v>1</v>
      </c>
      <c r="AK3202">
        <v>0</v>
      </c>
      <c r="AL3202">
        <v>0</v>
      </c>
      <c r="AM3202">
        <v>10</v>
      </c>
      <c r="AN3202">
        <v>0</v>
      </c>
      <c r="AO3202">
        <v>108</v>
      </c>
      <c r="AP3202">
        <v>-10.8</v>
      </c>
      <c r="AQ3202">
        <v>0</v>
      </c>
      <c r="AS3202">
        <v>0</v>
      </c>
      <c r="AT3202">
        <v>0</v>
      </c>
      <c r="AU3202">
        <v>108</v>
      </c>
      <c r="AV3202">
        <v>-10.8</v>
      </c>
      <c r="AW3202">
        <v>0</v>
      </c>
      <c r="AY3202">
        <v>0</v>
      </c>
      <c r="AZ3202">
        <v>0</v>
      </c>
      <c r="BA3202">
        <v>75.040000000000006</v>
      </c>
      <c r="BC3202" t="str">
        <f>T("0000000000000")</f>
        <v>0000000000000</v>
      </c>
      <c r="BE3202" t="str">
        <f>T("9791162589724")</f>
        <v>9791162589724</v>
      </c>
      <c r="BF3202" t="str">
        <f>T("N078635")</f>
        <v>N078635</v>
      </c>
      <c r="BG3202" t="str">
        <f>T("판타지 웹소설 &gt; 퓨전 판타지")</f>
        <v>판타지 웹소설 &gt; 퓨전 판타지</v>
      </c>
    </row>
    <row r="3203" spans="1:59">
      <c r="A3203" t="s">
        <v>60</v>
      </c>
      <c r="B3203" s="1">
        <v>46131</v>
      </c>
      <c r="C3203">
        <v>2378009513</v>
      </c>
      <c r="D3203">
        <v>2378033814</v>
      </c>
      <c r="E3203" t="str">
        <f>T("문과라도 안 죄송한 이세계로 감 448화")</f>
        <v>문과라도 안 죄송한 이세계로 감 448화</v>
      </c>
      <c r="F3203">
        <v>448</v>
      </c>
      <c r="G3203" t="str">
        <f>T("정수읠")</f>
        <v>정수읠</v>
      </c>
      <c r="J3203" t="str">
        <f>T("매드햇")</f>
        <v>매드햇</v>
      </c>
      <c r="K3203" t="str">
        <f>T("문과라도 안 죄송한 이세계로 감")</f>
        <v>문과라도 안 죄송한 이세계로 감</v>
      </c>
      <c r="L3203">
        <v>100</v>
      </c>
      <c r="M3203">
        <v>100</v>
      </c>
      <c r="N3203">
        <v>1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100</v>
      </c>
      <c r="AJ3203">
        <v>1</v>
      </c>
      <c r="AK3203">
        <v>0</v>
      </c>
      <c r="AL3203">
        <v>0</v>
      </c>
      <c r="AM3203">
        <v>10</v>
      </c>
      <c r="AN3203">
        <v>0</v>
      </c>
      <c r="AO3203">
        <v>108</v>
      </c>
      <c r="AP3203">
        <v>-10.8</v>
      </c>
      <c r="AQ3203">
        <v>0</v>
      </c>
      <c r="AS3203">
        <v>0</v>
      </c>
      <c r="AT3203">
        <v>0</v>
      </c>
      <c r="AU3203">
        <v>108</v>
      </c>
      <c r="AV3203">
        <v>-10.8</v>
      </c>
      <c r="AW3203">
        <v>0</v>
      </c>
      <c r="AY3203">
        <v>0</v>
      </c>
      <c r="AZ3203">
        <v>0</v>
      </c>
      <c r="BA3203">
        <v>75.040000000000006</v>
      </c>
      <c r="BC3203" t="str">
        <f>T("0000000000000")</f>
        <v>0000000000000</v>
      </c>
      <c r="BE3203" t="str">
        <f>T("9791162589724")</f>
        <v>9791162589724</v>
      </c>
      <c r="BF3203" t="str">
        <f>T("N078664")</f>
        <v>N078664</v>
      </c>
      <c r="BG3203" t="str">
        <f>T("판타지 웹소설 &gt; 퓨전 판타지")</f>
        <v>판타지 웹소설 &gt; 퓨전 판타지</v>
      </c>
    </row>
    <row r="3204" spans="1:59">
      <c r="A3204" t="s">
        <v>60</v>
      </c>
      <c r="B3204" s="1">
        <v>46131</v>
      </c>
      <c r="C3204">
        <v>2378009513</v>
      </c>
      <c r="D3204">
        <v>2378033827</v>
      </c>
      <c r="E3204" t="str">
        <f>T("문과라도 안 죄송한 이세계로 감 449화")</f>
        <v>문과라도 안 죄송한 이세계로 감 449화</v>
      </c>
      <c r="F3204">
        <v>449</v>
      </c>
      <c r="G3204" t="str">
        <f>T("정수읠")</f>
        <v>정수읠</v>
      </c>
      <c r="J3204" t="str">
        <f>T("매드햇")</f>
        <v>매드햇</v>
      </c>
      <c r="K3204" t="str">
        <f>T("문과라도 안 죄송한 이세계로 감")</f>
        <v>문과라도 안 죄송한 이세계로 감</v>
      </c>
      <c r="L3204">
        <v>100</v>
      </c>
      <c r="M3204">
        <v>100</v>
      </c>
      <c r="N3204">
        <v>1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100</v>
      </c>
      <c r="AJ3204">
        <v>1</v>
      </c>
      <c r="AK3204">
        <v>0</v>
      </c>
      <c r="AL3204">
        <v>0</v>
      </c>
      <c r="AM3204">
        <v>10</v>
      </c>
      <c r="AN3204">
        <v>0</v>
      </c>
      <c r="AO3204">
        <v>108</v>
      </c>
      <c r="AP3204">
        <v>-10.8</v>
      </c>
      <c r="AQ3204">
        <v>0</v>
      </c>
      <c r="AS3204">
        <v>0</v>
      </c>
      <c r="AT3204">
        <v>0</v>
      </c>
      <c r="AU3204">
        <v>108</v>
      </c>
      <c r="AV3204">
        <v>-10.8</v>
      </c>
      <c r="AW3204">
        <v>0</v>
      </c>
      <c r="AY3204">
        <v>0</v>
      </c>
      <c r="AZ3204">
        <v>0</v>
      </c>
      <c r="BA3204">
        <v>75.040000000000006</v>
      </c>
      <c r="BC3204" t="str">
        <f>T("0000000000000")</f>
        <v>0000000000000</v>
      </c>
      <c r="BE3204" t="str">
        <f>T("9791162589724")</f>
        <v>9791162589724</v>
      </c>
      <c r="BF3204" t="str">
        <f>T("N078665")</f>
        <v>N078665</v>
      </c>
      <c r="BG3204" t="str">
        <f>T("판타지 웹소설 &gt; 퓨전 판타지")</f>
        <v>판타지 웹소설 &gt; 퓨전 판타지</v>
      </c>
    </row>
    <row r="3205" spans="1:59">
      <c r="A3205" t="s">
        <v>60</v>
      </c>
      <c r="B3205" s="1">
        <v>46131</v>
      </c>
      <c r="C3205">
        <v>2378009513</v>
      </c>
      <c r="D3205">
        <v>2378033838</v>
      </c>
      <c r="E3205" t="str">
        <f>T("문과라도 안 죄송한 이세계로 감 450화")</f>
        <v>문과라도 안 죄송한 이세계로 감 450화</v>
      </c>
      <c r="F3205">
        <v>450</v>
      </c>
      <c r="G3205" t="str">
        <f>T("정수읠")</f>
        <v>정수읠</v>
      </c>
      <c r="J3205" t="str">
        <f>T("매드햇")</f>
        <v>매드햇</v>
      </c>
      <c r="K3205" t="str">
        <f>T("문과라도 안 죄송한 이세계로 감")</f>
        <v>문과라도 안 죄송한 이세계로 감</v>
      </c>
      <c r="L3205">
        <v>100</v>
      </c>
      <c r="M3205">
        <v>100</v>
      </c>
      <c r="N3205">
        <v>1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100</v>
      </c>
      <c r="AJ3205">
        <v>1</v>
      </c>
      <c r="AK3205">
        <v>0</v>
      </c>
      <c r="AL3205">
        <v>0</v>
      </c>
      <c r="AM3205">
        <v>10</v>
      </c>
      <c r="AN3205">
        <v>0</v>
      </c>
      <c r="AO3205">
        <v>108</v>
      </c>
      <c r="AP3205">
        <v>-10.8</v>
      </c>
      <c r="AQ3205">
        <v>0</v>
      </c>
      <c r="AS3205">
        <v>0</v>
      </c>
      <c r="AT3205">
        <v>0</v>
      </c>
      <c r="AU3205">
        <v>108</v>
      </c>
      <c r="AV3205">
        <v>-10.8</v>
      </c>
      <c r="AW3205">
        <v>0</v>
      </c>
      <c r="AY3205">
        <v>0</v>
      </c>
      <c r="AZ3205">
        <v>0</v>
      </c>
      <c r="BA3205">
        <v>75.040000000000006</v>
      </c>
      <c r="BC3205" t="str">
        <f>T("0000000000000")</f>
        <v>0000000000000</v>
      </c>
      <c r="BE3205" t="str">
        <f>T("9791162589724")</f>
        <v>9791162589724</v>
      </c>
      <c r="BF3205" t="str">
        <f>T("N083215")</f>
        <v>N083215</v>
      </c>
      <c r="BG3205" t="str">
        <f>T("판타지 웹소설 &gt; 퓨전 판타지")</f>
        <v>판타지 웹소설 &gt; 퓨전 판타지</v>
      </c>
    </row>
    <row r="3206" spans="1:59">
      <c r="A3206" t="s">
        <v>60</v>
      </c>
      <c r="B3206" s="1">
        <v>46131</v>
      </c>
      <c r="C3206">
        <v>2378009513</v>
      </c>
      <c r="D3206">
        <v>2378034085</v>
      </c>
      <c r="E3206" t="str">
        <f>T("문과라도 안 죄송한 이세계로 감 457화")</f>
        <v>문과라도 안 죄송한 이세계로 감 457화</v>
      </c>
      <c r="F3206">
        <v>457</v>
      </c>
      <c r="G3206" t="str">
        <f>T("정수읠")</f>
        <v>정수읠</v>
      </c>
      <c r="J3206" t="str">
        <f>T("매드햇")</f>
        <v>매드햇</v>
      </c>
      <c r="K3206" t="str">
        <f>T("문과라도 안 죄송한 이세계로 감")</f>
        <v>문과라도 안 죄송한 이세계로 감</v>
      </c>
      <c r="L3206">
        <v>100</v>
      </c>
      <c r="M3206">
        <v>100</v>
      </c>
      <c r="N3206">
        <v>1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100</v>
      </c>
      <c r="AJ3206">
        <v>1</v>
      </c>
      <c r="AK3206">
        <v>0</v>
      </c>
      <c r="AL3206">
        <v>0</v>
      </c>
      <c r="AM3206">
        <v>10</v>
      </c>
      <c r="AN3206">
        <v>0</v>
      </c>
      <c r="AO3206">
        <v>108</v>
      </c>
      <c r="AP3206">
        <v>-10.8</v>
      </c>
      <c r="AQ3206">
        <v>0</v>
      </c>
      <c r="AS3206">
        <v>0</v>
      </c>
      <c r="AT3206">
        <v>0</v>
      </c>
      <c r="AU3206">
        <v>108</v>
      </c>
      <c r="AV3206">
        <v>-10.8</v>
      </c>
      <c r="AW3206">
        <v>0</v>
      </c>
      <c r="AY3206">
        <v>0</v>
      </c>
      <c r="AZ3206">
        <v>0</v>
      </c>
      <c r="BA3206">
        <v>75.040000000000006</v>
      </c>
      <c r="BC3206" t="str">
        <f>T("0000000000000")</f>
        <v>0000000000000</v>
      </c>
      <c r="BE3206" t="str">
        <f>T("9791162589724")</f>
        <v>9791162589724</v>
      </c>
      <c r="BF3206" t="str">
        <f>T("N089779")</f>
        <v>N089779</v>
      </c>
      <c r="BG3206" t="str">
        <f>T("판타지 웹소설 &gt; 퓨전 판타지")</f>
        <v>판타지 웹소설 &gt; 퓨전 판타지</v>
      </c>
    </row>
    <row r="3207" spans="1:59">
      <c r="A3207" t="s">
        <v>60</v>
      </c>
      <c r="B3207" s="1">
        <v>46131</v>
      </c>
      <c r="C3207">
        <v>2378009513</v>
      </c>
      <c r="D3207">
        <v>2378034364</v>
      </c>
      <c r="E3207" t="str">
        <f>T("문과라도 안 죄송한 이세계로 감 458화")</f>
        <v>문과라도 안 죄송한 이세계로 감 458화</v>
      </c>
      <c r="F3207">
        <v>458</v>
      </c>
      <c r="G3207" t="str">
        <f>T("정수읠")</f>
        <v>정수읠</v>
      </c>
      <c r="J3207" t="str">
        <f>T("매드햇")</f>
        <v>매드햇</v>
      </c>
      <c r="K3207" t="str">
        <f>T("문과라도 안 죄송한 이세계로 감")</f>
        <v>문과라도 안 죄송한 이세계로 감</v>
      </c>
      <c r="L3207">
        <v>100</v>
      </c>
      <c r="M3207">
        <v>100</v>
      </c>
      <c r="N3207">
        <v>1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100</v>
      </c>
      <c r="AJ3207">
        <v>1</v>
      </c>
      <c r="AK3207">
        <v>0</v>
      </c>
      <c r="AL3207">
        <v>0</v>
      </c>
      <c r="AM3207">
        <v>10</v>
      </c>
      <c r="AN3207">
        <v>0</v>
      </c>
      <c r="AO3207">
        <v>108</v>
      </c>
      <c r="AP3207">
        <v>-10.8</v>
      </c>
      <c r="AQ3207">
        <v>0</v>
      </c>
      <c r="AS3207">
        <v>0</v>
      </c>
      <c r="AT3207">
        <v>0</v>
      </c>
      <c r="AU3207">
        <v>108</v>
      </c>
      <c r="AV3207">
        <v>-10.8</v>
      </c>
      <c r="AW3207">
        <v>0</v>
      </c>
      <c r="AY3207">
        <v>0</v>
      </c>
      <c r="AZ3207">
        <v>0</v>
      </c>
      <c r="BA3207">
        <v>75.040000000000006</v>
      </c>
      <c r="BC3207" t="str">
        <f>T("0000000000000")</f>
        <v>0000000000000</v>
      </c>
      <c r="BE3207" t="str">
        <f>T("9791162589724")</f>
        <v>9791162589724</v>
      </c>
      <c r="BF3207" t="str">
        <f>T("N092431")</f>
        <v>N092431</v>
      </c>
      <c r="BG3207" t="str">
        <f>T("판타지 웹소설 &gt; 퓨전 판타지")</f>
        <v>판타지 웹소설 &gt; 퓨전 판타지</v>
      </c>
    </row>
    <row r="3208" spans="1:59">
      <c r="A3208" t="s">
        <v>60</v>
      </c>
      <c r="B3208" s="1">
        <v>46131</v>
      </c>
      <c r="C3208">
        <v>2378009513</v>
      </c>
      <c r="D3208">
        <v>2378034365</v>
      </c>
      <c r="E3208" t="str">
        <f>T("문과라도 안 죄송한 이세계로 감 459화")</f>
        <v>문과라도 안 죄송한 이세계로 감 459화</v>
      </c>
      <c r="F3208">
        <v>459</v>
      </c>
      <c r="G3208" t="str">
        <f>T("정수읠")</f>
        <v>정수읠</v>
      </c>
      <c r="J3208" t="str">
        <f>T("매드햇")</f>
        <v>매드햇</v>
      </c>
      <c r="K3208" t="str">
        <f>T("문과라도 안 죄송한 이세계로 감")</f>
        <v>문과라도 안 죄송한 이세계로 감</v>
      </c>
      <c r="L3208">
        <v>100</v>
      </c>
      <c r="M3208">
        <v>100</v>
      </c>
      <c r="N3208">
        <v>1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100</v>
      </c>
      <c r="AJ3208">
        <v>1</v>
      </c>
      <c r="AK3208">
        <v>0</v>
      </c>
      <c r="AL3208">
        <v>0</v>
      </c>
      <c r="AM3208">
        <v>10</v>
      </c>
      <c r="AN3208">
        <v>0</v>
      </c>
      <c r="AO3208">
        <v>108</v>
      </c>
      <c r="AP3208">
        <v>-10.8</v>
      </c>
      <c r="AQ3208">
        <v>0</v>
      </c>
      <c r="AS3208">
        <v>0</v>
      </c>
      <c r="AT3208">
        <v>0</v>
      </c>
      <c r="AU3208">
        <v>108</v>
      </c>
      <c r="AV3208">
        <v>-10.8</v>
      </c>
      <c r="AW3208">
        <v>0</v>
      </c>
      <c r="AY3208">
        <v>0</v>
      </c>
      <c r="AZ3208">
        <v>0</v>
      </c>
      <c r="BA3208">
        <v>75.040000000000006</v>
      </c>
      <c r="BC3208" t="str">
        <f>T("0000000000000")</f>
        <v>0000000000000</v>
      </c>
      <c r="BE3208" t="str">
        <f>T("9791162589724")</f>
        <v>9791162589724</v>
      </c>
      <c r="BF3208" t="str">
        <f>T("N092432")</f>
        <v>N092432</v>
      </c>
      <c r="BG3208" t="str">
        <f>T("판타지 웹소설 &gt; 퓨전 판타지")</f>
        <v>판타지 웹소설 &gt; 퓨전 판타지</v>
      </c>
    </row>
    <row r="3209" spans="1:59">
      <c r="A3209" t="s">
        <v>60</v>
      </c>
      <c r="B3209" s="1">
        <v>46131</v>
      </c>
      <c r="C3209">
        <v>2378009513</v>
      </c>
      <c r="D3209">
        <v>2378034411</v>
      </c>
      <c r="E3209" t="str">
        <f>T("문과라도 안 죄송한 이세계로 감 460화")</f>
        <v>문과라도 안 죄송한 이세계로 감 460화</v>
      </c>
      <c r="F3209">
        <v>460</v>
      </c>
      <c r="G3209" t="str">
        <f>T("정수읠")</f>
        <v>정수읠</v>
      </c>
      <c r="J3209" t="str">
        <f>T("매드햇")</f>
        <v>매드햇</v>
      </c>
      <c r="K3209" t="str">
        <f>T("문과라도 안 죄송한 이세계로 감")</f>
        <v>문과라도 안 죄송한 이세계로 감</v>
      </c>
      <c r="L3209">
        <v>100</v>
      </c>
      <c r="M3209">
        <v>100</v>
      </c>
      <c r="N3209">
        <v>1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100</v>
      </c>
      <c r="AJ3209">
        <v>1</v>
      </c>
      <c r="AK3209">
        <v>0</v>
      </c>
      <c r="AL3209">
        <v>0</v>
      </c>
      <c r="AM3209">
        <v>10</v>
      </c>
      <c r="AN3209">
        <v>0</v>
      </c>
      <c r="AO3209">
        <v>108</v>
      </c>
      <c r="AP3209">
        <v>-10.8</v>
      </c>
      <c r="AQ3209">
        <v>0</v>
      </c>
      <c r="AS3209">
        <v>0</v>
      </c>
      <c r="AT3209">
        <v>0</v>
      </c>
      <c r="AU3209">
        <v>108</v>
      </c>
      <c r="AV3209">
        <v>-10.8</v>
      </c>
      <c r="AW3209">
        <v>0</v>
      </c>
      <c r="AY3209">
        <v>0</v>
      </c>
      <c r="AZ3209">
        <v>0</v>
      </c>
      <c r="BA3209">
        <v>75.040000000000006</v>
      </c>
      <c r="BC3209" t="str">
        <f>T("0000000000000")</f>
        <v>0000000000000</v>
      </c>
      <c r="BE3209" t="str">
        <f>T("9791162589724")</f>
        <v>9791162589724</v>
      </c>
      <c r="BF3209" t="str">
        <f>T("N096838")</f>
        <v>N096838</v>
      </c>
      <c r="BG3209" t="str">
        <f>T("판타지 웹소설 &gt; 퓨전 판타지")</f>
        <v>판타지 웹소설 &gt; 퓨전 판타지</v>
      </c>
    </row>
    <row r="3210" spans="1:59">
      <c r="A3210" t="s">
        <v>60</v>
      </c>
      <c r="B3210" s="1">
        <v>46131</v>
      </c>
      <c r="C3210">
        <v>2378009513</v>
      </c>
      <c r="D3210">
        <v>2378034799</v>
      </c>
      <c r="E3210" t="str">
        <f>T("문과라도 안 죄송한 이세계로 감 461화")</f>
        <v>문과라도 안 죄송한 이세계로 감 461화</v>
      </c>
      <c r="F3210">
        <v>461</v>
      </c>
      <c r="G3210" t="str">
        <f>T("정수읠")</f>
        <v>정수읠</v>
      </c>
      <c r="J3210" t="str">
        <f>T("매드햇")</f>
        <v>매드햇</v>
      </c>
      <c r="K3210" t="str">
        <f>T("문과라도 안 죄송한 이세계로 감")</f>
        <v>문과라도 안 죄송한 이세계로 감</v>
      </c>
      <c r="L3210">
        <v>100</v>
      </c>
      <c r="M3210">
        <v>100</v>
      </c>
      <c r="N3210">
        <v>1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100</v>
      </c>
      <c r="AJ3210">
        <v>1</v>
      </c>
      <c r="AK3210">
        <v>0</v>
      </c>
      <c r="AL3210">
        <v>0</v>
      </c>
      <c r="AM3210">
        <v>10</v>
      </c>
      <c r="AN3210">
        <v>0</v>
      </c>
      <c r="AO3210">
        <v>108</v>
      </c>
      <c r="AP3210">
        <v>-10.8</v>
      </c>
      <c r="AQ3210">
        <v>0</v>
      </c>
      <c r="AS3210">
        <v>0</v>
      </c>
      <c r="AT3210">
        <v>0</v>
      </c>
      <c r="AU3210">
        <v>108</v>
      </c>
      <c r="AV3210">
        <v>-10.8</v>
      </c>
      <c r="AW3210">
        <v>0</v>
      </c>
      <c r="AY3210">
        <v>0</v>
      </c>
      <c r="AZ3210">
        <v>0</v>
      </c>
      <c r="BA3210">
        <v>75.040000000000006</v>
      </c>
      <c r="BC3210" t="str">
        <f>T("0000000000000")</f>
        <v>0000000000000</v>
      </c>
      <c r="BE3210" t="str">
        <f>T("9791162589724")</f>
        <v>9791162589724</v>
      </c>
      <c r="BF3210" t="str">
        <f>T("N096839")</f>
        <v>N096839</v>
      </c>
      <c r="BG3210" t="str">
        <f>T("판타지 웹소설 &gt; 퓨전 판타지")</f>
        <v>판타지 웹소설 &gt; 퓨전 판타지</v>
      </c>
    </row>
    <row r="3211" spans="1:59">
      <c r="A3211" t="s">
        <v>60</v>
      </c>
      <c r="B3211" s="1">
        <v>46131</v>
      </c>
      <c r="C3211">
        <v>2378009513</v>
      </c>
      <c r="D3211">
        <v>2378034808</v>
      </c>
      <c r="E3211" t="str">
        <f>T("문과라도 안 죄송한 이세계로 감 462화")</f>
        <v>문과라도 안 죄송한 이세계로 감 462화</v>
      </c>
      <c r="F3211">
        <v>462</v>
      </c>
      <c r="G3211" t="str">
        <f>T("정수읠")</f>
        <v>정수읠</v>
      </c>
      <c r="J3211" t="str">
        <f>T("매드햇")</f>
        <v>매드햇</v>
      </c>
      <c r="K3211" t="str">
        <f>T("문과라도 안 죄송한 이세계로 감")</f>
        <v>문과라도 안 죄송한 이세계로 감</v>
      </c>
      <c r="L3211">
        <v>100</v>
      </c>
      <c r="M3211">
        <v>100</v>
      </c>
      <c r="N3211">
        <v>1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100</v>
      </c>
      <c r="AJ3211">
        <v>1</v>
      </c>
      <c r="AK3211">
        <v>0</v>
      </c>
      <c r="AL3211">
        <v>0</v>
      </c>
      <c r="AM3211">
        <v>10</v>
      </c>
      <c r="AN3211">
        <v>0</v>
      </c>
      <c r="AO3211">
        <v>108</v>
      </c>
      <c r="AP3211">
        <v>-10.8</v>
      </c>
      <c r="AQ3211">
        <v>0</v>
      </c>
      <c r="AS3211">
        <v>0</v>
      </c>
      <c r="AT3211">
        <v>0</v>
      </c>
      <c r="AU3211">
        <v>108</v>
      </c>
      <c r="AV3211">
        <v>-10.8</v>
      </c>
      <c r="AW3211">
        <v>0</v>
      </c>
      <c r="AY3211">
        <v>0</v>
      </c>
      <c r="AZ3211">
        <v>0</v>
      </c>
      <c r="BA3211">
        <v>75.040000000000006</v>
      </c>
      <c r="BC3211" t="str">
        <f>T("0000000000000")</f>
        <v>0000000000000</v>
      </c>
      <c r="BE3211" t="str">
        <f>T("9791162589724")</f>
        <v>9791162589724</v>
      </c>
      <c r="BF3211" t="str">
        <f>T("N096997")</f>
        <v>N096997</v>
      </c>
      <c r="BG3211" t="str">
        <f>T("판타지 웹소설 &gt; 퓨전 판타지")</f>
        <v>판타지 웹소설 &gt; 퓨전 판타지</v>
      </c>
    </row>
    <row r="3212" spans="1:59">
      <c r="A3212" t="s">
        <v>60</v>
      </c>
      <c r="B3212" s="1">
        <v>46131</v>
      </c>
      <c r="C3212">
        <v>2378009513</v>
      </c>
      <c r="D3212">
        <v>2378034825</v>
      </c>
      <c r="E3212" t="str">
        <f>T("문과라도 안 죄송한 이세계로 감 463화")</f>
        <v>문과라도 안 죄송한 이세계로 감 463화</v>
      </c>
      <c r="F3212">
        <v>463</v>
      </c>
      <c r="G3212" t="str">
        <f>T("정수읠")</f>
        <v>정수읠</v>
      </c>
      <c r="J3212" t="str">
        <f>T("매드햇")</f>
        <v>매드햇</v>
      </c>
      <c r="K3212" t="str">
        <f>T("문과라도 안 죄송한 이세계로 감")</f>
        <v>문과라도 안 죄송한 이세계로 감</v>
      </c>
      <c r="L3212">
        <v>100</v>
      </c>
      <c r="M3212">
        <v>100</v>
      </c>
      <c r="N3212">
        <v>1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100</v>
      </c>
      <c r="AJ3212">
        <v>1</v>
      </c>
      <c r="AK3212">
        <v>0</v>
      </c>
      <c r="AL3212">
        <v>0</v>
      </c>
      <c r="AM3212">
        <v>10</v>
      </c>
      <c r="AN3212">
        <v>0</v>
      </c>
      <c r="AO3212">
        <v>108</v>
      </c>
      <c r="AP3212">
        <v>-10.8</v>
      </c>
      <c r="AQ3212">
        <v>0</v>
      </c>
      <c r="AS3212">
        <v>0</v>
      </c>
      <c r="AT3212">
        <v>0</v>
      </c>
      <c r="AU3212">
        <v>108</v>
      </c>
      <c r="AV3212">
        <v>-10.8</v>
      </c>
      <c r="AW3212">
        <v>0</v>
      </c>
      <c r="AY3212">
        <v>0</v>
      </c>
      <c r="AZ3212">
        <v>0</v>
      </c>
      <c r="BA3212">
        <v>75.040000000000006</v>
      </c>
      <c r="BC3212" t="str">
        <f>T("0000000000000")</f>
        <v>0000000000000</v>
      </c>
      <c r="BE3212" t="str">
        <f>T("9791162589724")</f>
        <v>9791162589724</v>
      </c>
      <c r="BF3212" t="str">
        <f>T("N099605")</f>
        <v>N099605</v>
      </c>
      <c r="BG3212" t="str">
        <f>T("판타지 웹소설 &gt; 퓨전 판타지")</f>
        <v>판타지 웹소설 &gt; 퓨전 판타지</v>
      </c>
    </row>
    <row r="3213" spans="1:59">
      <c r="A3213" t="s">
        <v>60</v>
      </c>
      <c r="B3213" s="1">
        <v>46131</v>
      </c>
      <c r="C3213">
        <v>2378009513</v>
      </c>
      <c r="D3213">
        <v>2378034840</v>
      </c>
      <c r="E3213" t="str">
        <f>T("문과라도 안 죄송한 이세계로 감 464화")</f>
        <v>문과라도 안 죄송한 이세계로 감 464화</v>
      </c>
      <c r="F3213">
        <v>464</v>
      </c>
      <c r="G3213" t="str">
        <f>T("정수읠")</f>
        <v>정수읠</v>
      </c>
      <c r="J3213" t="str">
        <f>T("매드햇")</f>
        <v>매드햇</v>
      </c>
      <c r="K3213" t="str">
        <f>T("문과라도 안 죄송한 이세계로 감")</f>
        <v>문과라도 안 죄송한 이세계로 감</v>
      </c>
      <c r="L3213">
        <v>100</v>
      </c>
      <c r="M3213">
        <v>100</v>
      </c>
      <c r="N3213">
        <v>1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100</v>
      </c>
      <c r="AJ3213">
        <v>1</v>
      </c>
      <c r="AK3213">
        <v>0</v>
      </c>
      <c r="AL3213">
        <v>0</v>
      </c>
      <c r="AM3213">
        <v>10</v>
      </c>
      <c r="AN3213">
        <v>0</v>
      </c>
      <c r="AO3213">
        <v>108</v>
      </c>
      <c r="AP3213">
        <v>-10.8</v>
      </c>
      <c r="AQ3213">
        <v>0</v>
      </c>
      <c r="AS3213">
        <v>0</v>
      </c>
      <c r="AT3213">
        <v>0</v>
      </c>
      <c r="AU3213">
        <v>108</v>
      </c>
      <c r="AV3213">
        <v>-10.8</v>
      </c>
      <c r="AW3213">
        <v>0</v>
      </c>
      <c r="AY3213">
        <v>0</v>
      </c>
      <c r="AZ3213">
        <v>0</v>
      </c>
      <c r="BA3213">
        <v>75.040000000000006</v>
      </c>
      <c r="BC3213" t="str">
        <f>T("0000000000000")</f>
        <v>0000000000000</v>
      </c>
      <c r="BE3213" t="str">
        <f>T("9791162589724")</f>
        <v>9791162589724</v>
      </c>
      <c r="BF3213" t="str">
        <f>T("N100520")</f>
        <v>N100520</v>
      </c>
      <c r="BG3213" t="str">
        <f>T("판타지 웹소설 &gt; 퓨전 판타지")</f>
        <v>판타지 웹소설 &gt; 퓨전 판타지</v>
      </c>
    </row>
    <row r="3214" spans="1:59">
      <c r="A3214" t="s">
        <v>60</v>
      </c>
      <c r="B3214" s="1">
        <v>46131</v>
      </c>
      <c r="C3214">
        <v>2378009513</v>
      </c>
      <c r="D3214">
        <v>2378035042</v>
      </c>
      <c r="E3214" t="str">
        <f>T("문과라도 안 죄송한 이세계로 감 465화")</f>
        <v>문과라도 안 죄송한 이세계로 감 465화</v>
      </c>
      <c r="F3214">
        <v>465</v>
      </c>
      <c r="G3214" t="str">
        <f>T("정수읠")</f>
        <v>정수읠</v>
      </c>
      <c r="J3214" t="str">
        <f>T("매드햇")</f>
        <v>매드햇</v>
      </c>
      <c r="K3214" t="str">
        <f>T("문과라도 안 죄송한 이세계로 감")</f>
        <v>문과라도 안 죄송한 이세계로 감</v>
      </c>
      <c r="L3214">
        <v>100</v>
      </c>
      <c r="M3214">
        <v>100</v>
      </c>
      <c r="N3214">
        <v>1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100</v>
      </c>
      <c r="AJ3214">
        <v>1</v>
      </c>
      <c r="AK3214">
        <v>0</v>
      </c>
      <c r="AL3214">
        <v>0</v>
      </c>
      <c r="AM3214">
        <v>10</v>
      </c>
      <c r="AN3214">
        <v>0</v>
      </c>
      <c r="AO3214">
        <v>108</v>
      </c>
      <c r="AP3214">
        <v>-10.8</v>
      </c>
      <c r="AQ3214">
        <v>0</v>
      </c>
      <c r="AS3214">
        <v>0</v>
      </c>
      <c r="AT3214">
        <v>0</v>
      </c>
      <c r="AU3214">
        <v>108</v>
      </c>
      <c r="AV3214">
        <v>-10.8</v>
      </c>
      <c r="AW3214">
        <v>0</v>
      </c>
      <c r="AY3214">
        <v>0</v>
      </c>
      <c r="AZ3214">
        <v>0</v>
      </c>
      <c r="BA3214">
        <v>75.040000000000006</v>
      </c>
      <c r="BC3214" t="str">
        <f>T("0000000000000")</f>
        <v>0000000000000</v>
      </c>
      <c r="BE3214" t="str">
        <f>T("9791162589724")</f>
        <v>9791162589724</v>
      </c>
      <c r="BF3214" t="str">
        <f>T("N100698")</f>
        <v>N100698</v>
      </c>
      <c r="BG3214" t="str">
        <f>T("판타지 웹소설 &gt; 퓨전 판타지")</f>
        <v>판타지 웹소설 &gt; 퓨전 판타지</v>
      </c>
    </row>
    <row r="3215" spans="1:59">
      <c r="A3215" t="s">
        <v>60</v>
      </c>
      <c r="B3215" s="1">
        <v>46131</v>
      </c>
      <c r="C3215">
        <v>2378009513</v>
      </c>
      <c r="D3215">
        <v>2378035044</v>
      </c>
      <c r="E3215" t="str">
        <f>T("문과라도 안 죄송한 이세계로 감 466화")</f>
        <v>문과라도 안 죄송한 이세계로 감 466화</v>
      </c>
      <c r="F3215">
        <v>466</v>
      </c>
      <c r="G3215" t="str">
        <f>T("정수읠")</f>
        <v>정수읠</v>
      </c>
      <c r="J3215" t="str">
        <f>T("매드햇")</f>
        <v>매드햇</v>
      </c>
      <c r="K3215" t="str">
        <f>T("문과라도 안 죄송한 이세계로 감")</f>
        <v>문과라도 안 죄송한 이세계로 감</v>
      </c>
      <c r="L3215">
        <v>100</v>
      </c>
      <c r="M3215">
        <v>100</v>
      </c>
      <c r="N3215">
        <v>1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100</v>
      </c>
      <c r="AJ3215">
        <v>1</v>
      </c>
      <c r="AK3215">
        <v>0</v>
      </c>
      <c r="AL3215">
        <v>0</v>
      </c>
      <c r="AM3215">
        <v>10</v>
      </c>
      <c r="AN3215">
        <v>0</v>
      </c>
      <c r="AO3215">
        <v>108</v>
      </c>
      <c r="AP3215">
        <v>-10.8</v>
      </c>
      <c r="AQ3215">
        <v>0</v>
      </c>
      <c r="AS3215">
        <v>0</v>
      </c>
      <c r="AT3215">
        <v>0</v>
      </c>
      <c r="AU3215">
        <v>108</v>
      </c>
      <c r="AV3215">
        <v>-10.8</v>
      </c>
      <c r="AW3215">
        <v>0</v>
      </c>
      <c r="AY3215">
        <v>0</v>
      </c>
      <c r="AZ3215">
        <v>0</v>
      </c>
      <c r="BA3215">
        <v>75.040000000000006</v>
      </c>
      <c r="BC3215" t="str">
        <f>T("0000000000000")</f>
        <v>0000000000000</v>
      </c>
      <c r="BE3215" t="str">
        <f>T("9791162589724")</f>
        <v>9791162589724</v>
      </c>
      <c r="BF3215" t="str">
        <f>T("N101306")</f>
        <v>N101306</v>
      </c>
      <c r="BG3215" t="str">
        <f>T("판타지 웹소설 &gt; 퓨전 판타지")</f>
        <v>판타지 웹소설 &gt; 퓨전 판타지</v>
      </c>
    </row>
    <row r="3216" spans="1:59">
      <c r="A3216" t="s">
        <v>60</v>
      </c>
      <c r="B3216" s="1">
        <v>46131</v>
      </c>
      <c r="C3216">
        <v>2378009513</v>
      </c>
      <c r="D3216">
        <v>2378035060</v>
      </c>
      <c r="E3216" t="str">
        <f>T("문과라도 안 죄송한 이세계로 감 467화")</f>
        <v>문과라도 안 죄송한 이세계로 감 467화</v>
      </c>
      <c r="F3216">
        <v>467</v>
      </c>
      <c r="G3216" t="str">
        <f>T("정수읠")</f>
        <v>정수읠</v>
      </c>
      <c r="J3216" t="str">
        <f>T("매드햇")</f>
        <v>매드햇</v>
      </c>
      <c r="K3216" t="str">
        <f>T("문과라도 안 죄송한 이세계로 감")</f>
        <v>문과라도 안 죄송한 이세계로 감</v>
      </c>
      <c r="L3216">
        <v>100</v>
      </c>
      <c r="M3216">
        <v>100</v>
      </c>
      <c r="N3216">
        <v>1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100</v>
      </c>
      <c r="AJ3216">
        <v>1</v>
      </c>
      <c r="AK3216">
        <v>0</v>
      </c>
      <c r="AL3216">
        <v>0</v>
      </c>
      <c r="AM3216">
        <v>10</v>
      </c>
      <c r="AN3216">
        <v>0</v>
      </c>
      <c r="AO3216">
        <v>108</v>
      </c>
      <c r="AP3216">
        <v>-10.8</v>
      </c>
      <c r="AQ3216">
        <v>0</v>
      </c>
      <c r="AS3216">
        <v>0</v>
      </c>
      <c r="AT3216">
        <v>0</v>
      </c>
      <c r="AU3216">
        <v>108</v>
      </c>
      <c r="AV3216">
        <v>-10.8</v>
      </c>
      <c r="AW3216">
        <v>0</v>
      </c>
      <c r="AY3216">
        <v>0</v>
      </c>
      <c r="AZ3216">
        <v>0</v>
      </c>
      <c r="BA3216">
        <v>75.040000000000006</v>
      </c>
      <c r="BC3216" t="str">
        <f>T("0000000000000")</f>
        <v>0000000000000</v>
      </c>
      <c r="BE3216" t="str">
        <f>T("9791162589724")</f>
        <v>9791162589724</v>
      </c>
      <c r="BF3216" t="str">
        <f>T("N105260")</f>
        <v>N105260</v>
      </c>
      <c r="BG3216" t="str">
        <f>T("판타지 웹소설 &gt; 퓨전 판타지")</f>
        <v>판타지 웹소설 &gt; 퓨전 판타지</v>
      </c>
    </row>
    <row r="3217" spans="1:59">
      <c r="A3217" t="s">
        <v>60</v>
      </c>
      <c r="B3217" s="1">
        <v>46131</v>
      </c>
      <c r="C3217">
        <v>2378009513</v>
      </c>
      <c r="D3217">
        <v>2378035079</v>
      </c>
      <c r="E3217" t="str">
        <f>T("문과라도 안 죄송한 이세계로 감 468화")</f>
        <v>문과라도 안 죄송한 이세계로 감 468화</v>
      </c>
      <c r="F3217">
        <v>468</v>
      </c>
      <c r="G3217" t="str">
        <f>T("정수읠")</f>
        <v>정수읠</v>
      </c>
      <c r="J3217" t="str">
        <f>T("매드햇")</f>
        <v>매드햇</v>
      </c>
      <c r="K3217" t="str">
        <f>T("문과라도 안 죄송한 이세계로 감")</f>
        <v>문과라도 안 죄송한 이세계로 감</v>
      </c>
      <c r="L3217">
        <v>100</v>
      </c>
      <c r="M3217">
        <v>100</v>
      </c>
      <c r="N3217">
        <v>1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100</v>
      </c>
      <c r="AJ3217">
        <v>1</v>
      </c>
      <c r="AK3217">
        <v>0</v>
      </c>
      <c r="AL3217">
        <v>0</v>
      </c>
      <c r="AM3217">
        <v>10</v>
      </c>
      <c r="AN3217">
        <v>0</v>
      </c>
      <c r="AO3217">
        <v>108</v>
      </c>
      <c r="AP3217">
        <v>-10.8</v>
      </c>
      <c r="AQ3217">
        <v>0</v>
      </c>
      <c r="AS3217">
        <v>0</v>
      </c>
      <c r="AT3217">
        <v>0</v>
      </c>
      <c r="AU3217">
        <v>108</v>
      </c>
      <c r="AV3217">
        <v>-10.8</v>
      </c>
      <c r="AW3217">
        <v>0</v>
      </c>
      <c r="AY3217">
        <v>0</v>
      </c>
      <c r="AZ3217">
        <v>0</v>
      </c>
      <c r="BA3217">
        <v>75.040000000000006</v>
      </c>
      <c r="BC3217" t="str">
        <f>T("0000000000000")</f>
        <v>0000000000000</v>
      </c>
      <c r="BE3217" t="str">
        <f>T("9791162589724")</f>
        <v>9791162589724</v>
      </c>
      <c r="BF3217" t="str">
        <f>T("N105331")</f>
        <v>N105331</v>
      </c>
      <c r="BG3217" t="str">
        <f>T("판타지 웹소설 &gt; 퓨전 판타지")</f>
        <v>판타지 웹소설 &gt; 퓨전 판타지</v>
      </c>
    </row>
    <row r="3218" spans="1:59">
      <c r="A3218" t="s">
        <v>60</v>
      </c>
      <c r="B3218" s="1">
        <v>46131</v>
      </c>
      <c r="C3218">
        <v>2378009513</v>
      </c>
      <c r="D3218">
        <v>2378035086</v>
      </c>
      <c r="E3218" t="str">
        <f>T("문과라도 안 죄송한 이세계로 감 469화")</f>
        <v>문과라도 안 죄송한 이세계로 감 469화</v>
      </c>
      <c r="F3218">
        <v>469</v>
      </c>
      <c r="G3218" t="str">
        <f>T("정수읠")</f>
        <v>정수읠</v>
      </c>
      <c r="J3218" t="str">
        <f>T("매드햇")</f>
        <v>매드햇</v>
      </c>
      <c r="K3218" t="str">
        <f>T("문과라도 안 죄송한 이세계로 감")</f>
        <v>문과라도 안 죄송한 이세계로 감</v>
      </c>
      <c r="L3218">
        <v>100</v>
      </c>
      <c r="M3218">
        <v>100</v>
      </c>
      <c r="N3218">
        <v>1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100</v>
      </c>
      <c r="AJ3218">
        <v>1</v>
      </c>
      <c r="AK3218">
        <v>0</v>
      </c>
      <c r="AL3218">
        <v>0</v>
      </c>
      <c r="AM3218">
        <v>10</v>
      </c>
      <c r="AN3218">
        <v>0</v>
      </c>
      <c r="AO3218">
        <v>108</v>
      </c>
      <c r="AP3218">
        <v>-10.8</v>
      </c>
      <c r="AQ3218">
        <v>0</v>
      </c>
      <c r="AS3218">
        <v>0</v>
      </c>
      <c r="AT3218">
        <v>0</v>
      </c>
      <c r="AU3218">
        <v>108</v>
      </c>
      <c r="AV3218">
        <v>-10.8</v>
      </c>
      <c r="AW3218">
        <v>0</v>
      </c>
      <c r="AY3218">
        <v>0</v>
      </c>
      <c r="AZ3218">
        <v>0</v>
      </c>
      <c r="BA3218">
        <v>75.040000000000006</v>
      </c>
      <c r="BC3218" t="str">
        <f>T("0000000000000")</f>
        <v>0000000000000</v>
      </c>
      <c r="BE3218" t="str">
        <f>T("9791162589724")</f>
        <v>9791162589724</v>
      </c>
      <c r="BF3218" t="str">
        <f>T("N105424")</f>
        <v>N105424</v>
      </c>
      <c r="BG3218" t="str">
        <f>T("판타지 웹소설 &gt; 퓨전 판타지")</f>
        <v>판타지 웹소설 &gt; 퓨전 판타지</v>
      </c>
    </row>
    <row r="3219" spans="1:59">
      <c r="A3219" t="s">
        <v>60</v>
      </c>
      <c r="B3219" s="1">
        <v>46131</v>
      </c>
      <c r="C3219">
        <v>2378009513</v>
      </c>
      <c r="D3219">
        <v>2378035433</v>
      </c>
      <c r="E3219" t="str">
        <f>T("문과라도 안 죄송한 이세계로 감 470화")</f>
        <v>문과라도 안 죄송한 이세계로 감 470화</v>
      </c>
      <c r="F3219">
        <v>470</v>
      </c>
      <c r="G3219" t="str">
        <f>T("정수읠")</f>
        <v>정수읠</v>
      </c>
      <c r="J3219" t="str">
        <f>T("매드햇")</f>
        <v>매드햇</v>
      </c>
      <c r="K3219" t="str">
        <f>T("문과라도 안 죄송한 이세계로 감")</f>
        <v>문과라도 안 죄송한 이세계로 감</v>
      </c>
      <c r="L3219">
        <v>100</v>
      </c>
      <c r="M3219">
        <v>100</v>
      </c>
      <c r="N3219">
        <v>1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100</v>
      </c>
      <c r="AJ3219">
        <v>1</v>
      </c>
      <c r="AK3219">
        <v>0</v>
      </c>
      <c r="AL3219">
        <v>0</v>
      </c>
      <c r="AM3219">
        <v>10</v>
      </c>
      <c r="AN3219">
        <v>0</v>
      </c>
      <c r="AO3219">
        <v>108</v>
      </c>
      <c r="AP3219">
        <v>-10.8</v>
      </c>
      <c r="AQ3219">
        <v>0</v>
      </c>
      <c r="AS3219">
        <v>0</v>
      </c>
      <c r="AT3219">
        <v>0</v>
      </c>
      <c r="AU3219">
        <v>108</v>
      </c>
      <c r="AV3219">
        <v>-10.8</v>
      </c>
      <c r="AW3219">
        <v>0</v>
      </c>
      <c r="AY3219">
        <v>0</v>
      </c>
      <c r="AZ3219">
        <v>0</v>
      </c>
      <c r="BA3219">
        <v>75.040000000000006</v>
      </c>
      <c r="BC3219" t="str">
        <f>T("0000000000000")</f>
        <v>0000000000000</v>
      </c>
      <c r="BE3219" t="str">
        <f>T("9791162589724")</f>
        <v>9791162589724</v>
      </c>
      <c r="BF3219" t="str">
        <f>T("N108188")</f>
        <v>N108188</v>
      </c>
      <c r="BG3219" t="str">
        <f>T("판타지 웹소설 &gt; 퓨전 판타지")</f>
        <v>판타지 웹소설 &gt; 퓨전 판타지</v>
      </c>
    </row>
    <row r="3220" spans="1:59">
      <c r="A3220" t="s">
        <v>60</v>
      </c>
      <c r="B3220" s="1">
        <v>46131</v>
      </c>
      <c r="C3220">
        <v>2378009513</v>
      </c>
      <c r="D3220">
        <v>2378036366</v>
      </c>
      <c r="E3220" t="str">
        <f>T("문과라도 안 죄송한 이세계로 감 471화")</f>
        <v>문과라도 안 죄송한 이세계로 감 471화</v>
      </c>
      <c r="F3220">
        <v>471</v>
      </c>
      <c r="G3220" t="str">
        <f>T("정수읠")</f>
        <v>정수읠</v>
      </c>
      <c r="J3220" t="str">
        <f>T("매드햇")</f>
        <v>매드햇</v>
      </c>
      <c r="K3220" t="str">
        <f>T("문과라도 안 죄송한 이세계로 감")</f>
        <v>문과라도 안 죄송한 이세계로 감</v>
      </c>
      <c r="L3220">
        <v>100</v>
      </c>
      <c r="M3220">
        <v>100</v>
      </c>
      <c r="N3220">
        <v>1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100</v>
      </c>
      <c r="AJ3220">
        <v>1</v>
      </c>
      <c r="AK3220">
        <v>0</v>
      </c>
      <c r="AL3220">
        <v>0</v>
      </c>
      <c r="AM3220">
        <v>10</v>
      </c>
      <c r="AN3220">
        <v>0</v>
      </c>
      <c r="AO3220">
        <v>108</v>
      </c>
      <c r="AP3220">
        <v>-10.8</v>
      </c>
      <c r="AQ3220">
        <v>0</v>
      </c>
      <c r="AS3220">
        <v>0</v>
      </c>
      <c r="AT3220">
        <v>0</v>
      </c>
      <c r="AU3220">
        <v>108</v>
      </c>
      <c r="AV3220">
        <v>-10.8</v>
      </c>
      <c r="AW3220">
        <v>0</v>
      </c>
      <c r="AY3220">
        <v>0</v>
      </c>
      <c r="AZ3220">
        <v>0</v>
      </c>
      <c r="BA3220">
        <v>75.040000000000006</v>
      </c>
      <c r="BC3220" t="str">
        <f>T("0000000000000")</f>
        <v>0000000000000</v>
      </c>
      <c r="BE3220" t="str">
        <f>T("9791162589724")</f>
        <v>9791162589724</v>
      </c>
      <c r="BF3220" t="str">
        <f>T("N111152")</f>
        <v>N111152</v>
      </c>
      <c r="BG3220" t="str">
        <f>T("판타지 웹소설 &gt; 퓨전 판타지")</f>
        <v>판타지 웹소설 &gt; 퓨전 판타지</v>
      </c>
    </row>
    <row r="3221" spans="1:59">
      <c r="A3221" t="s">
        <v>60</v>
      </c>
      <c r="B3221" s="1">
        <v>46131</v>
      </c>
      <c r="C3221">
        <v>2378009513</v>
      </c>
      <c r="D3221">
        <v>2378036374</v>
      </c>
      <c r="E3221" t="str">
        <f>T("문과라도 안 죄송한 이세계로 감 472화")</f>
        <v>문과라도 안 죄송한 이세계로 감 472화</v>
      </c>
      <c r="F3221">
        <v>472</v>
      </c>
      <c r="G3221" t="str">
        <f>T("정수읠")</f>
        <v>정수읠</v>
      </c>
      <c r="J3221" t="str">
        <f>T("매드햇")</f>
        <v>매드햇</v>
      </c>
      <c r="K3221" t="str">
        <f>T("문과라도 안 죄송한 이세계로 감")</f>
        <v>문과라도 안 죄송한 이세계로 감</v>
      </c>
      <c r="L3221">
        <v>100</v>
      </c>
      <c r="M3221">
        <v>100</v>
      </c>
      <c r="N3221">
        <v>1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100</v>
      </c>
      <c r="AJ3221">
        <v>1</v>
      </c>
      <c r="AK3221">
        <v>0</v>
      </c>
      <c r="AL3221">
        <v>0</v>
      </c>
      <c r="AM3221">
        <v>10</v>
      </c>
      <c r="AN3221">
        <v>0</v>
      </c>
      <c r="AO3221">
        <v>108</v>
      </c>
      <c r="AP3221">
        <v>-10.8</v>
      </c>
      <c r="AQ3221">
        <v>0</v>
      </c>
      <c r="AS3221">
        <v>0</v>
      </c>
      <c r="AT3221">
        <v>0</v>
      </c>
      <c r="AU3221">
        <v>108</v>
      </c>
      <c r="AV3221">
        <v>-10.8</v>
      </c>
      <c r="AW3221">
        <v>0</v>
      </c>
      <c r="AY3221">
        <v>0</v>
      </c>
      <c r="AZ3221">
        <v>0</v>
      </c>
      <c r="BA3221">
        <v>75.040000000000006</v>
      </c>
      <c r="BC3221" t="str">
        <f>T("0000000000000")</f>
        <v>0000000000000</v>
      </c>
      <c r="BE3221" t="str">
        <f>T("9791162589724")</f>
        <v>9791162589724</v>
      </c>
      <c r="BF3221" t="str">
        <f>T("N111328")</f>
        <v>N111328</v>
      </c>
      <c r="BG3221" t="str">
        <f>T("판타지 웹소설 &gt; 퓨전 판타지")</f>
        <v>판타지 웹소설 &gt; 퓨전 판타지</v>
      </c>
    </row>
    <row r="3222" spans="1:59">
      <c r="A3222" t="s">
        <v>60</v>
      </c>
      <c r="B3222" s="1">
        <v>46131</v>
      </c>
      <c r="C3222">
        <v>2378009513</v>
      </c>
      <c r="D3222">
        <v>2378036406</v>
      </c>
      <c r="E3222" t="str">
        <f>T("문과라도 안 죄송한 이세계로 감 473화")</f>
        <v>문과라도 안 죄송한 이세계로 감 473화</v>
      </c>
      <c r="F3222">
        <v>473</v>
      </c>
      <c r="G3222" t="str">
        <f>T("정수읠")</f>
        <v>정수읠</v>
      </c>
      <c r="J3222" t="str">
        <f>T("매드햇")</f>
        <v>매드햇</v>
      </c>
      <c r="K3222" t="str">
        <f>T("문과라도 안 죄송한 이세계로 감")</f>
        <v>문과라도 안 죄송한 이세계로 감</v>
      </c>
      <c r="L3222">
        <v>100</v>
      </c>
      <c r="M3222">
        <v>100</v>
      </c>
      <c r="N3222">
        <v>1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100</v>
      </c>
      <c r="AJ3222">
        <v>1</v>
      </c>
      <c r="AK3222">
        <v>0</v>
      </c>
      <c r="AL3222">
        <v>0</v>
      </c>
      <c r="AM3222">
        <v>10</v>
      </c>
      <c r="AN3222">
        <v>0</v>
      </c>
      <c r="AO3222">
        <v>108</v>
      </c>
      <c r="AP3222">
        <v>-10.8</v>
      </c>
      <c r="AQ3222">
        <v>0</v>
      </c>
      <c r="AS3222">
        <v>0</v>
      </c>
      <c r="AT3222">
        <v>0</v>
      </c>
      <c r="AU3222">
        <v>108</v>
      </c>
      <c r="AV3222">
        <v>-10.8</v>
      </c>
      <c r="AW3222">
        <v>0</v>
      </c>
      <c r="AY3222">
        <v>0</v>
      </c>
      <c r="AZ3222">
        <v>0</v>
      </c>
      <c r="BA3222">
        <v>75.040000000000006</v>
      </c>
      <c r="BC3222" t="str">
        <f>T("0000000000000")</f>
        <v>0000000000000</v>
      </c>
      <c r="BE3222" t="str">
        <f>T("9791162589724")</f>
        <v>9791162589724</v>
      </c>
      <c r="BF3222" t="str">
        <f>T("N111654")</f>
        <v>N111654</v>
      </c>
      <c r="BG3222" t="str">
        <f>T("판타지 웹소설 &gt; 퓨전 판타지")</f>
        <v>판타지 웹소설 &gt; 퓨전 판타지</v>
      </c>
    </row>
    <row r="3223" spans="1:59">
      <c r="A3223" t="s">
        <v>60</v>
      </c>
      <c r="B3223" s="1">
        <v>46131</v>
      </c>
      <c r="C3223">
        <v>2378009513</v>
      </c>
      <c r="D3223">
        <v>2378036423</v>
      </c>
      <c r="E3223" t="str">
        <f>T("문과라도 안 죄송한 이세계로 감 474화")</f>
        <v>문과라도 안 죄송한 이세계로 감 474화</v>
      </c>
      <c r="F3223">
        <v>474</v>
      </c>
      <c r="G3223" t="str">
        <f>T("정수읠")</f>
        <v>정수읠</v>
      </c>
      <c r="J3223" t="str">
        <f>T("매드햇")</f>
        <v>매드햇</v>
      </c>
      <c r="K3223" t="str">
        <f>T("문과라도 안 죄송한 이세계로 감")</f>
        <v>문과라도 안 죄송한 이세계로 감</v>
      </c>
      <c r="L3223">
        <v>100</v>
      </c>
      <c r="M3223">
        <v>100</v>
      </c>
      <c r="N3223">
        <v>1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100</v>
      </c>
      <c r="AJ3223">
        <v>1</v>
      </c>
      <c r="AK3223">
        <v>0</v>
      </c>
      <c r="AL3223">
        <v>0</v>
      </c>
      <c r="AM3223">
        <v>10</v>
      </c>
      <c r="AN3223">
        <v>0</v>
      </c>
      <c r="AO3223">
        <v>108</v>
      </c>
      <c r="AP3223">
        <v>-10.8</v>
      </c>
      <c r="AQ3223">
        <v>0</v>
      </c>
      <c r="AS3223">
        <v>0</v>
      </c>
      <c r="AT3223">
        <v>0</v>
      </c>
      <c r="AU3223">
        <v>108</v>
      </c>
      <c r="AV3223">
        <v>-10.8</v>
      </c>
      <c r="AW3223">
        <v>0</v>
      </c>
      <c r="AY3223">
        <v>0</v>
      </c>
      <c r="AZ3223">
        <v>0</v>
      </c>
      <c r="BA3223">
        <v>75.040000000000006</v>
      </c>
      <c r="BC3223" t="str">
        <f>T("0000000000000")</f>
        <v>0000000000000</v>
      </c>
      <c r="BE3223" t="str">
        <f>T("9791162589724")</f>
        <v>9791162589724</v>
      </c>
      <c r="BF3223" t="str">
        <f>T("N114000")</f>
        <v>N114000</v>
      </c>
      <c r="BG3223" t="str">
        <f>T("판타지 웹소설 &gt; 퓨전 판타지")</f>
        <v>판타지 웹소설 &gt; 퓨전 판타지</v>
      </c>
    </row>
    <row r="3224" spans="1:59">
      <c r="A3224" t="s">
        <v>60</v>
      </c>
      <c r="B3224" s="1">
        <v>46131</v>
      </c>
      <c r="C3224">
        <v>2378009513</v>
      </c>
      <c r="D3224">
        <v>2378036651</v>
      </c>
      <c r="E3224" t="str">
        <f>T("문과라도 안 죄송한 이세계로 감 475화")</f>
        <v>문과라도 안 죄송한 이세계로 감 475화</v>
      </c>
      <c r="F3224">
        <v>475</v>
      </c>
      <c r="G3224" t="str">
        <f>T("정수읠")</f>
        <v>정수읠</v>
      </c>
      <c r="J3224" t="str">
        <f>T("매드햇")</f>
        <v>매드햇</v>
      </c>
      <c r="K3224" t="str">
        <f>T("문과라도 안 죄송한 이세계로 감")</f>
        <v>문과라도 안 죄송한 이세계로 감</v>
      </c>
      <c r="L3224">
        <v>100</v>
      </c>
      <c r="M3224">
        <v>100</v>
      </c>
      <c r="N3224">
        <v>1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0</v>
      </c>
      <c r="AH3224">
        <v>0</v>
      </c>
      <c r="AI3224">
        <v>100</v>
      </c>
      <c r="AJ3224">
        <v>1</v>
      </c>
      <c r="AK3224">
        <v>0</v>
      </c>
      <c r="AL3224">
        <v>0</v>
      </c>
      <c r="AM3224">
        <v>10</v>
      </c>
      <c r="AN3224">
        <v>0</v>
      </c>
      <c r="AO3224">
        <v>108</v>
      </c>
      <c r="AP3224">
        <v>-10.8</v>
      </c>
      <c r="AQ3224">
        <v>0</v>
      </c>
      <c r="AS3224">
        <v>0</v>
      </c>
      <c r="AT3224">
        <v>0</v>
      </c>
      <c r="AU3224">
        <v>108</v>
      </c>
      <c r="AV3224">
        <v>-10.8</v>
      </c>
      <c r="AW3224">
        <v>0</v>
      </c>
      <c r="AY3224">
        <v>0</v>
      </c>
      <c r="AZ3224">
        <v>0</v>
      </c>
      <c r="BA3224">
        <v>75.040000000000006</v>
      </c>
      <c r="BC3224" t="str">
        <f>T("0000000000000")</f>
        <v>0000000000000</v>
      </c>
      <c r="BE3224" t="str">
        <f>T("9791162589724")</f>
        <v>9791162589724</v>
      </c>
      <c r="BF3224" t="str">
        <f>T("N114597")</f>
        <v>N114597</v>
      </c>
      <c r="BG3224" t="str">
        <f>T("판타지 웹소설 &gt; 퓨전 판타지")</f>
        <v>판타지 웹소설 &gt; 퓨전 판타지</v>
      </c>
    </row>
    <row r="3225" spans="1:59">
      <c r="A3225" t="s">
        <v>60</v>
      </c>
      <c r="B3225" s="1">
        <v>46131</v>
      </c>
      <c r="C3225">
        <v>2378009513</v>
      </c>
      <c r="D3225">
        <v>2378036669</v>
      </c>
      <c r="E3225" t="str">
        <f>T("문과라도 안 죄송한 이세계로 감 476화")</f>
        <v>문과라도 안 죄송한 이세계로 감 476화</v>
      </c>
      <c r="F3225">
        <v>476</v>
      </c>
      <c r="G3225" t="str">
        <f>T("정수읠")</f>
        <v>정수읠</v>
      </c>
      <c r="J3225" t="str">
        <f>T("매드햇")</f>
        <v>매드햇</v>
      </c>
      <c r="K3225" t="str">
        <f>T("문과라도 안 죄송한 이세계로 감")</f>
        <v>문과라도 안 죄송한 이세계로 감</v>
      </c>
      <c r="L3225">
        <v>100</v>
      </c>
      <c r="M3225">
        <v>100</v>
      </c>
      <c r="N3225">
        <v>1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0</v>
      </c>
      <c r="AH3225">
        <v>0</v>
      </c>
      <c r="AI3225">
        <v>100</v>
      </c>
      <c r="AJ3225">
        <v>1</v>
      </c>
      <c r="AK3225">
        <v>0</v>
      </c>
      <c r="AL3225">
        <v>0</v>
      </c>
      <c r="AM3225">
        <v>10</v>
      </c>
      <c r="AN3225">
        <v>0</v>
      </c>
      <c r="AO3225">
        <v>108</v>
      </c>
      <c r="AP3225">
        <v>-10.8</v>
      </c>
      <c r="AQ3225">
        <v>0</v>
      </c>
      <c r="AS3225">
        <v>0</v>
      </c>
      <c r="AT3225">
        <v>0</v>
      </c>
      <c r="AU3225">
        <v>108</v>
      </c>
      <c r="AV3225">
        <v>-10.8</v>
      </c>
      <c r="AW3225">
        <v>0</v>
      </c>
      <c r="AY3225">
        <v>0</v>
      </c>
      <c r="AZ3225">
        <v>0</v>
      </c>
      <c r="BA3225">
        <v>75.040000000000006</v>
      </c>
      <c r="BC3225" t="str">
        <f>T("0000000000000")</f>
        <v>0000000000000</v>
      </c>
      <c r="BE3225" t="str">
        <f>T("9791162589724")</f>
        <v>9791162589724</v>
      </c>
      <c r="BF3225" t="str">
        <f>T("N117337")</f>
        <v>N117337</v>
      </c>
      <c r="BG3225" t="str">
        <f>T("판타지 웹소설 &gt; 퓨전 판타지")</f>
        <v>판타지 웹소설 &gt; 퓨전 판타지</v>
      </c>
    </row>
    <row r="3226" spans="1:59">
      <c r="A3226" t="s">
        <v>60</v>
      </c>
      <c r="B3226" s="1">
        <v>46131</v>
      </c>
      <c r="C3226">
        <v>2378009513</v>
      </c>
      <c r="D3226">
        <v>2378036994</v>
      </c>
      <c r="E3226" t="str">
        <f>T("문과라도 안 죄송한 이세계로 감 477화")</f>
        <v>문과라도 안 죄송한 이세계로 감 477화</v>
      </c>
      <c r="F3226">
        <v>477</v>
      </c>
      <c r="G3226" t="str">
        <f>T("정수읠")</f>
        <v>정수읠</v>
      </c>
      <c r="J3226" t="str">
        <f>T("매드햇")</f>
        <v>매드햇</v>
      </c>
      <c r="K3226" t="str">
        <f>T("문과라도 안 죄송한 이세계로 감")</f>
        <v>문과라도 안 죄송한 이세계로 감</v>
      </c>
      <c r="L3226">
        <v>100</v>
      </c>
      <c r="M3226">
        <v>100</v>
      </c>
      <c r="N3226">
        <v>1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0</v>
      </c>
      <c r="AH3226">
        <v>0</v>
      </c>
      <c r="AI3226">
        <v>100</v>
      </c>
      <c r="AJ3226">
        <v>1</v>
      </c>
      <c r="AK3226">
        <v>0</v>
      </c>
      <c r="AL3226">
        <v>0</v>
      </c>
      <c r="AM3226">
        <v>10</v>
      </c>
      <c r="AN3226">
        <v>0</v>
      </c>
      <c r="AO3226">
        <v>108</v>
      </c>
      <c r="AP3226">
        <v>-10.8</v>
      </c>
      <c r="AQ3226">
        <v>0</v>
      </c>
      <c r="AS3226">
        <v>0</v>
      </c>
      <c r="AT3226">
        <v>0</v>
      </c>
      <c r="AU3226">
        <v>108</v>
      </c>
      <c r="AV3226">
        <v>-10.8</v>
      </c>
      <c r="AW3226">
        <v>0</v>
      </c>
      <c r="AY3226">
        <v>0</v>
      </c>
      <c r="AZ3226">
        <v>0</v>
      </c>
      <c r="BA3226">
        <v>75.040000000000006</v>
      </c>
      <c r="BC3226" t="str">
        <f>T("0000000000000")</f>
        <v>0000000000000</v>
      </c>
      <c r="BE3226" t="str">
        <f>T("9791162589724")</f>
        <v>9791162589724</v>
      </c>
      <c r="BF3226" t="str">
        <f>T("N117539")</f>
        <v>N117539</v>
      </c>
      <c r="BG3226" t="str">
        <f>T("판타지 웹소설 &gt; 퓨전 판타지")</f>
        <v>판타지 웹소설 &gt; 퓨전 판타지</v>
      </c>
    </row>
    <row r="3227" spans="1:59">
      <c r="A3227" t="s">
        <v>60</v>
      </c>
      <c r="B3227" s="1">
        <v>46131</v>
      </c>
      <c r="C3227">
        <v>2378009513</v>
      </c>
      <c r="D3227">
        <v>2378037024</v>
      </c>
      <c r="E3227" t="str">
        <f>T("문과라도 안 죄송한 이세계로 감 478화")</f>
        <v>문과라도 안 죄송한 이세계로 감 478화</v>
      </c>
      <c r="F3227">
        <v>478</v>
      </c>
      <c r="G3227" t="str">
        <f>T("정수읠")</f>
        <v>정수읠</v>
      </c>
      <c r="J3227" t="str">
        <f>T("매드햇")</f>
        <v>매드햇</v>
      </c>
      <c r="K3227" t="str">
        <f>T("문과라도 안 죄송한 이세계로 감")</f>
        <v>문과라도 안 죄송한 이세계로 감</v>
      </c>
      <c r="L3227">
        <v>100</v>
      </c>
      <c r="M3227">
        <v>100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0</v>
      </c>
      <c r="AH3227">
        <v>0</v>
      </c>
      <c r="AI3227">
        <v>100</v>
      </c>
      <c r="AJ3227">
        <v>1</v>
      </c>
      <c r="AK3227">
        <v>0</v>
      </c>
      <c r="AL3227">
        <v>0</v>
      </c>
      <c r="AM3227">
        <v>10</v>
      </c>
      <c r="AN3227">
        <v>0</v>
      </c>
      <c r="AO3227">
        <v>108</v>
      </c>
      <c r="AP3227">
        <v>-10.8</v>
      </c>
      <c r="AQ3227">
        <v>0</v>
      </c>
      <c r="AS3227">
        <v>0</v>
      </c>
      <c r="AT3227">
        <v>0</v>
      </c>
      <c r="AU3227">
        <v>108</v>
      </c>
      <c r="AV3227">
        <v>-10.8</v>
      </c>
      <c r="AW3227">
        <v>0</v>
      </c>
      <c r="AY3227">
        <v>0</v>
      </c>
      <c r="AZ3227">
        <v>0</v>
      </c>
      <c r="BA3227">
        <v>75.040000000000006</v>
      </c>
      <c r="BC3227" t="str">
        <f>T("0000000000000")</f>
        <v>0000000000000</v>
      </c>
      <c r="BE3227" t="str">
        <f>T("9791162589724")</f>
        <v>9791162589724</v>
      </c>
      <c r="BF3227" t="str">
        <f>T("N117540")</f>
        <v>N117540</v>
      </c>
      <c r="BG3227" t="str">
        <f>T("판타지 웹소설 &gt; 퓨전 판타지")</f>
        <v>판타지 웹소설 &gt; 퓨전 판타지</v>
      </c>
    </row>
    <row r="3228" spans="1:59">
      <c r="A3228" t="s">
        <v>60</v>
      </c>
      <c r="B3228" s="1">
        <v>46131</v>
      </c>
      <c r="C3228">
        <v>2378009513</v>
      </c>
      <c r="D3228">
        <v>2378037061</v>
      </c>
      <c r="E3228" t="str">
        <f>T("문과라도 안 죄송한 이세계로 감 479화")</f>
        <v>문과라도 안 죄송한 이세계로 감 479화</v>
      </c>
      <c r="F3228">
        <v>479</v>
      </c>
      <c r="G3228" t="str">
        <f>T("정수읠")</f>
        <v>정수읠</v>
      </c>
      <c r="J3228" t="str">
        <f>T("매드햇")</f>
        <v>매드햇</v>
      </c>
      <c r="K3228" t="str">
        <f>T("문과라도 안 죄송한 이세계로 감")</f>
        <v>문과라도 안 죄송한 이세계로 감</v>
      </c>
      <c r="L3228">
        <v>100</v>
      </c>
      <c r="M3228">
        <v>100</v>
      </c>
      <c r="N3228">
        <v>1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0</v>
      </c>
      <c r="AH3228">
        <v>0</v>
      </c>
      <c r="AI3228">
        <v>100</v>
      </c>
      <c r="AJ3228">
        <v>1</v>
      </c>
      <c r="AK3228">
        <v>0</v>
      </c>
      <c r="AL3228">
        <v>0</v>
      </c>
      <c r="AM3228">
        <v>10</v>
      </c>
      <c r="AN3228">
        <v>0</v>
      </c>
      <c r="AO3228">
        <v>108</v>
      </c>
      <c r="AP3228">
        <v>-10.8</v>
      </c>
      <c r="AQ3228">
        <v>0</v>
      </c>
      <c r="AS3228">
        <v>0</v>
      </c>
      <c r="AT3228">
        <v>0</v>
      </c>
      <c r="AU3228">
        <v>108</v>
      </c>
      <c r="AV3228">
        <v>-10.8</v>
      </c>
      <c r="AW3228">
        <v>0</v>
      </c>
      <c r="AY3228">
        <v>0</v>
      </c>
      <c r="AZ3228">
        <v>0</v>
      </c>
      <c r="BA3228">
        <v>75.040000000000006</v>
      </c>
      <c r="BC3228" t="str">
        <f>T("0000000000000")</f>
        <v>0000000000000</v>
      </c>
      <c r="BE3228" t="str">
        <f>T("9791162589724")</f>
        <v>9791162589724</v>
      </c>
      <c r="BF3228" t="str">
        <f>T("N120441")</f>
        <v>N120441</v>
      </c>
      <c r="BG3228" t="str">
        <f>T("판타지 웹소설 &gt; 퓨전 판타지")</f>
        <v>판타지 웹소설 &gt; 퓨전 판타지</v>
      </c>
    </row>
    <row r="3229" spans="1:59">
      <c r="A3229" t="s">
        <v>60</v>
      </c>
      <c r="B3229" s="1">
        <v>46131</v>
      </c>
      <c r="C3229">
        <v>2378009513</v>
      </c>
      <c r="D3229">
        <v>2378037087</v>
      </c>
      <c r="E3229" t="str">
        <f>T("문과라도 안 죄송한 이세계로 감 480화")</f>
        <v>문과라도 안 죄송한 이세계로 감 480화</v>
      </c>
      <c r="F3229">
        <v>480</v>
      </c>
      <c r="G3229" t="str">
        <f>T("정수읠")</f>
        <v>정수읠</v>
      </c>
      <c r="J3229" t="str">
        <f>T("매드햇")</f>
        <v>매드햇</v>
      </c>
      <c r="K3229" t="str">
        <f>T("문과라도 안 죄송한 이세계로 감")</f>
        <v>문과라도 안 죄송한 이세계로 감</v>
      </c>
      <c r="L3229">
        <v>100</v>
      </c>
      <c r="M3229">
        <v>100</v>
      </c>
      <c r="N3229">
        <v>1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0</v>
      </c>
      <c r="AH3229">
        <v>0</v>
      </c>
      <c r="AI3229">
        <v>100</v>
      </c>
      <c r="AJ3229">
        <v>1</v>
      </c>
      <c r="AK3229">
        <v>0</v>
      </c>
      <c r="AL3229">
        <v>0</v>
      </c>
      <c r="AM3229">
        <v>10</v>
      </c>
      <c r="AN3229">
        <v>0</v>
      </c>
      <c r="AO3229">
        <v>108</v>
      </c>
      <c r="AP3229">
        <v>-10.8</v>
      </c>
      <c r="AQ3229">
        <v>0</v>
      </c>
      <c r="AS3229">
        <v>0</v>
      </c>
      <c r="AT3229">
        <v>0</v>
      </c>
      <c r="AU3229">
        <v>108</v>
      </c>
      <c r="AV3229">
        <v>-10.8</v>
      </c>
      <c r="AW3229">
        <v>0</v>
      </c>
      <c r="AY3229">
        <v>0</v>
      </c>
      <c r="AZ3229">
        <v>0</v>
      </c>
      <c r="BA3229">
        <v>75.040000000000006</v>
      </c>
      <c r="BC3229" t="str">
        <f>T("0000000000000")</f>
        <v>0000000000000</v>
      </c>
      <c r="BE3229" t="str">
        <f>T("9791162589724")</f>
        <v>9791162589724</v>
      </c>
      <c r="BF3229" t="str">
        <f>T("N121211")</f>
        <v>N121211</v>
      </c>
      <c r="BG3229" t="str">
        <f>T("판타지 웹소설 &gt; 퓨전 판타지")</f>
        <v>판타지 웹소설 &gt; 퓨전 판타지</v>
      </c>
    </row>
    <row r="3230" spans="1:59">
      <c r="A3230" t="s">
        <v>60</v>
      </c>
      <c r="B3230" s="1">
        <v>46131</v>
      </c>
      <c r="C3230">
        <v>2378009513</v>
      </c>
      <c r="D3230">
        <v>2378037126</v>
      </c>
      <c r="E3230" t="str">
        <f>T("문과라도 안 죄송한 이세계로 감 481화")</f>
        <v>문과라도 안 죄송한 이세계로 감 481화</v>
      </c>
      <c r="F3230">
        <v>481</v>
      </c>
      <c r="G3230" t="str">
        <f>T("정수읠")</f>
        <v>정수읠</v>
      </c>
      <c r="J3230" t="str">
        <f>T("매드햇")</f>
        <v>매드햇</v>
      </c>
      <c r="K3230" t="str">
        <f>T("문과라도 안 죄송한 이세계로 감")</f>
        <v>문과라도 안 죄송한 이세계로 감</v>
      </c>
      <c r="L3230">
        <v>100</v>
      </c>
      <c r="M3230">
        <v>100</v>
      </c>
      <c r="N3230">
        <v>1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0</v>
      </c>
      <c r="AH3230">
        <v>0</v>
      </c>
      <c r="AI3230">
        <v>100</v>
      </c>
      <c r="AJ3230">
        <v>1</v>
      </c>
      <c r="AK3230">
        <v>0</v>
      </c>
      <c r="AL3230">
        <v>0</v>
      </c>
      <c r="AM3230">
        <v>10</v>
      </c>
      <c r="AN3230">
        <v>0</v>
      </c>
      <c r="AO3230">
        <v>108</v>
      </c>
      <c r="AP3230">
        <v>-10.8</v>
      </c>
      <c r="AQ3230">
        <v>0</v>
      </c>
      <c r="AS3230">
        <v>0</v>
      </c>
      <c r="AT3230">
        <v>0</v>
      </c>
      <c r="AU3230">
        <v>108</v>
      </c>
      <c r="AV3230">
        <v>-10.8</v>
      </c>
      <c r="AW3230">
        <v>0</v>
      </c>
      <c r="AY3230">
        <v>0</v>
      </c>
      <c r="AZ3230">
        <v>0</v>
      </c>
      <c r="BA3230">
        <v>75.040000000000006</v>
      </c>
      <c r="BC3230" t="str">
        <f>T("0000000000000")</f>
        <v>0000000000000</v>
      </c>
      <c r="BE3230" t="str">
        <f>T("9791162589724")</f>
        <v>9791162589724</v>
      </c>
      <c r="BF3230" t="str">
        <f>T("N124114")</f>
        <v>N124114</v>
      </c>
      <c r="BG3230" t="str">
        <f>T("판타지 웹소설 &gt; 퓨전 판타지")</f>
        <v>판타지 웹소설 &gt; 퓨전 판타지</v>
      </c>
    </row>
    <row r="3231" spans="1:59">
      <c r="A3231" t="s">
        <v>60</v>
      </c>
      <c r="B3231" s="1">
        <v>46131</v>
      </c>
      <c r="C3231">
        <v>2378009513</v>
      </c>
      <c r="D3231">
        <v>2378037145</v>
      </c>
      <c r="E3231" t="str">
        <f>T("문과라도 안 죄송한 이세계로 감 482화")</f>
        <v>문과라도 안 죄송한 이세계로 감 482화</v>
      </c>
      <c r="F3231">
        <v>482</v>
      </c>
      <c r="G3231" t="str">
        <f>T("정수읠")</f>
        <v>정수읠</v>
      </c>
      <c r="J3231" t="str">
        <f>T("매드햇")</f>
        <v>매드햇</v>
      </c>
      <c r="K3231" t="str">
        <f>T("문과라도 안 죄송한 이세계로 감")</f>
        <v>문과라도 안 죄송한 이세계로 감</v>
      </c>
      <c r="L3231">
        <v>100</v>
      </c>
      <c r="M3231">
        <v>100</v>
      </c>
      <c r="N3231">
        <v>1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0</v>
      </c>
      <c r="AH3231">
        <v>0</v>
      </c>
      <c r="AI3231">
        <v>100</v>
      </c>
      <c r="AJ3231">
        <v>1</v>
      </c>
      <c r="AK3231">
        <v>0</v>
      </c>
      <c r="AL3231">
        <v>0</v>
      </c>
      <c r="AM3231">
        <v>10</v>
      </c>
      <c r="AN3231">
        <v>0</v>
      </c>
      <c r="AO3231">
        <v>108</v>
      </c>
      <c r="AP3231">
        <v>-10.8</v>
      </c>
      <c r="AQ3231">
        <v>0</v>
      </c>
      <c r="AS3231">
        <v>0</v>
      </c>
      <c r="AT3231">
        <v>0</v>
      </c>
      <c r="AU3231">
        <v>108</v>
      </c>
      <c r="AV3231">
        <v>-10.8</v>
      </c>
      <c r="AW3231">
        <v>0</v>
      </c>
      <c r="AY3231">
        <v>0</v>
      </c>
      <c r="AZ3231">
        <v>0</v>
      </c>
      <c r="BA3231">
        <v>75.040000000000006</v>
      </c>
      <c r="BC3231" t="str">
        <f>T("0000000000000")</f>
        <v>0000000000000</v>
      </c>
      <c r="BE3231" t="str">
        <f>T("9791162589724")</f>
        <v>9791162589724</v>
      </c>
      <c r="BG3231" t="str">
        <f>T("판타지 웹소설 &gt; 퓨전 판타지")</f>
        <v>판타지 웹소설 &gt; 퓨전 판타지</v>
      </c>
    </row>
    <row r="3232" spans="1:59">
      <c r="A3232" t="s">
        <v>60</v>
      </c>
      <c r="B3232" s="1">
        <v>46131</v>
      </c>
      <c r="C3232">
        <v>2378009513</v>
      </c>
      <c r="D3232">
        <v>2378037146</v>
      </c>
      <c r="E3232" t="str">
        <f>T("문과라도 안 죄송한 이세계로 감 483화")</f>
        <v>문과라도 안 죄송한 이세계로 감 483화</v>
      </c>
      <c r="F3232">
        <v>483</v>
      </c>
      <c r="G3232" t="str">
        <f>T("정수읠")</f>
        <v>정수읠</v>
      </c>
      <c r="J3232" t="str">
        <f>T("매드햇")</f>
        <v>매드햇</v>
      </c>
      <c r="K3232" t="str">
        <f>T("문과라도 안 죄송한 이세계로 감")</f>
        <v>문과라도 안 죄송한 이세계로 감</v>
      </c>
      <c r="L3232">
        <v>100</v>
      </c>
      <c r="M3232">
        <v>100</v>
      </c>
      <c r="N3232">
        <v>1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0</v>
      </c>
      <c r="AH3232">
        <v>0</v>
      </c>
      <c r="AI3232">
        <v>100</v>
      </c>
      <c r="AJ3232">
        <v>1</v>
      </c>
      <c r="AK3232">
        <v>0</v>
      </c>
      <c r="AL3232">
        <v>0</v>
      </c>
      <c r="AM3232">
        <v>10</v>
      </c>
      <c r="AN3232">
        <v>0</v>
      </c>
      <c r="AO3232">
        <v>108</v>
      </c>
      <c r="AP3232">
        <v>-10.8</v>
      </c>
      <c r="AQ3232">
        <v>0</v>
      </c>
      <c r="AS3232">
        <v>0</v>
      </c>
      <c r="AT3232">
        <v>0</v>
      </c>
      <c r="AU3232">
        <v>108</v>
      </c>
      <c r="AV3232">
        <v>-10.8</v>
      </c>
      <c r="AW3232">
        <v>0</v>
      </c>
      <c r="AY3232">
        <v>0</v>
      </c>
      <c r="AZ3232">
        <v>0</v>
      </c>
      <c r="BA3232">
        <v>75.040000000000006</v>
      </c>
      <c r="BC3232" t="str">
        <f>T("0000000000000")</f>
        <v>0000000000000</v>
      </c>
      <c r="BE3232" t="str">
        <f>T("9791162589724")</f>
        <v>9791162589724</v>
      </c>
      <c r="BF3232" t="str">
        <f>T("N124116")</f>
        <v>N124116</v>
      </c>
      <c r="BG3232" t="str">
        <f>T("판타지 웹소설 &gt; 퓨전 판타지")</f>
        <v>판타지 웹소설 &gt; 퓨전 판타지</v>
      </c>
    </row>
    <row r="3233" spans="1:59">
      <c r="A3233" t="s">
        <v>60</v>
      </c>
      <c r="B3233" s="1">
        <v>46131</v>
      </c>
      <c r="C3233">
        <v>2378009513</v>
      </c>
      <c r="D3233">
        <v>2378037436</v>
      </c>
      <c r="E3233" t="str">
        <f>T("문과라도 안 죄송한 이세계로 감 484화")</f>
        <v>문과라도 안 죄송한 이세계로 감 484화</v>
      </c>
      <c r="F3233">
        <v>484</v>
      </c>
      <c r="G3233" t="str">
        <f>T("정수읠")</f>
        <v>정수읠</v>
      </c>
      <c r="J3233" t="str">
        <f>T("매드햇")</f>
        <v>매드햇</v>
      </c>
      <c r="K3233" t="str">
        <f>T("문과라도 안 죄송한 이세계로 감")</f>
        <v>문과라도 안 죄송한 이세계로 감</v>
      </c>
      <c r="L3233">
        <v>100</v>
      </c>
      <c r="M3233">
        <v>100</v>
      </c>
      <c r="N3233">
        <v>1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0</v>
      </c>
      <c r="AH3233">
        <v>0</v>
      </c>
      <c r="AI3233">
        <v>100</v>
      </c>
      <c r="AJ3233">
        <v>1</v>
      </c>
      <c r="AK3233">
        <v>0</v>
      </c>
      <c r="AL3233">
        <v>0</v>
      </c>
      <c r="AM3233">
        <v>10</v>
      </c>
      <c r="AN3233">
        <v>0</v>
      </c>
      <c r="AO3233">
        <v>108</v>
      </c>
      <c r="AP3233">
        <v>-10.8</v>
      </c>
      <c r="AQ3233">
        <v>0</v>
      </c>
      <c r="AS3233">
        <v>0</v>
      </c>
      <c r="AT3233">
        <v>0</v>
      </c>
      <c r="AU3233">
        <v>108</v>
      </c>
      <c r="AV3233">
        <v>-10.8</v>
      </c>
      <c r="AW3233">
        <v>0</v>
      </c>
      <c r="AY3233">
        <v>0</v>
      </c>
      <c r="AZ3233">
        <v>0</v>
      </c>
      <c r="BA3233">
        <v>75.040000000000006</v>
      </c>
      <c r="BC3233" t="str">
        <f>T("0000000000000")</f>
        <v>0000000000000</v>
      </c>
      <c r="BE3233" t="str">
        <f>T("9791162589724")</f>
        <v>9791162589724</v>
      </c>
      <c r="BG3233" t="str">
        <f>T("판타지 웹소설 &gt; 퓨전 판타지")</f>
        <v>판타지 웹소설 &gt; 퓨전 판타지</v>
      </c>
    </row>
    <row r="3234" spans="1:59">
      <c r="A3234" t="s">
        <v>60</v>
      </c>
      <c r="B3234" s="1">
        <v>46131</v>
      </c>
      <c r="C3234">
        <v>2378009513</v>
      </c>
      <c r="D3234">
        <v>2378037469</v>
      </c>
      <c r="E3234" t="str">
        <f>T("문과라도 안 죄송한 이세계로 감 485화")</f>
        <v>문과라도 안 죄송한 이세계로 감 485화</v>
      </c>
      <c r="F3234">
        <v>485</v>
      </c>
      <c r="G3234" t="str">
        <f>T("정수읠")</f>
        <v>정수읠</v>
      </c>
      <c r="J3234" t="str">
        <f>T("매드햇")</f>
        <v>매드햇</v>
      </c>
      <c r="K3234" t="str">
        <f>T("문과라도 안 죄송한 이세계로 감")</f>
        <v>문과라도 안 죄송한 이세계로 감</v>
      </c>
      <c r="L3234">
        <v>100</v>
      </c>
      <c r="M3234">
        <v>100</v>
      </c>
      <c r="N3234">
        <v>1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0</v>
      </c>
      <c r="AH3234">
        <v>0</v>
      </c>
      <c r="AI3234">
        <v>100</v>
      </c>
      <c r="AJ3234">
        <v>1</v>
      </c>
      <c r="AK3234">
        <v>0</v>
      </c>
      <c r="AL3234">
        <v>0</v>
      </c>
      <c r="AM3234">
        <v>10</v>
      </c>
      <c r="AN3234">
        <v>0</v>
      </c>
      <c r="AO3234">
        <v>108</v>
      </c>
      <c r="AP3234">
        <v>-10.8</v>
      </c>
      <c r="AQ3234">
        <v>0</v>
      </c>
      <c r="AS3234">
        <v>0</v>
      </c>
      <c r="AT3234">
        <v>0</v>
      </c>
      <c r="AU3234">
        <v>108</v>
      </c>
      <c r="AV3234">
        <v>-10.8</v>
      </c>
      <c r="AW3234">
        <v>0</v>
      </c>
      <c r="AY3234">
        <v>0</v>
      </c>
      <c r="AZ3234">
        <v>0</v>
      </c>
      <c r="BA3234">
        <v>75.040000000000006</v>
      </c>
      <c r="BC3234" t="str">
        <f>T("0000000000000")</f>
        <v>0000000000000</v>
      </c>
      <c r="BE3234" t="str">
        <f>T("9791162589724")</f>
        <v>9791162589724</v>
      </c>
      <c r="BF3234" t="str">
        <f>T("N129465")</f>
        <v>N129465</v>
      </c>
      <c r="BG3234" t="str">
        <f>T("판타지 웹소설 &gt; 퓨전 판타지")</f>
        <v>판타지 웹소설 &gt; 퓨전 판타지</v>
      </c>
    </row>
    <row r="3235" spans="1:59">
      <c r="A3235" t="s">
        <v>60</v>
      </c>
      <c r="B3235" s="1">
        <v>46131</v>
      </c>
      <c r="C3235">
        <v>2378009513</v>
      </c>
      <c r="D3235">
        <v>2378037594</v>
      </c>
      <c r="E3235" t="str">
        <f>T("문과라도 안 죄송한 이세계로 감 486화")</f>
        <v>문과라도 안 죄송한 이세계로 감 486화</v>
      </c>
      <c r="F3235">
        <v>486</v>
      </c>
      <c r="G3235" t="str">
        <f>T("정수읠")</f>
        <v>정수읠</v>
      </c>
      <c r="J3235" t="str">
        <f>T("매드햇")</f>
        <v>매드햇</v>
      </c>
      <c r="K3235" t="str">
        <f>T("문과라도 안 죄송한 이세계로 감")</f>
        <v>문과라도 안 죄송한 이세계로 감</v>
      </c>
      <c r="L3235">
        <v>100</v>
      </c>
      <c r="M3235">
        <v>100</v>
      </c>
      <c r="N3235">
        <v>1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0</v>
      </c>
      <c r="AH3235">
        <v>0</v>
      </c>
      <c r="AI3235">
        <v>100</v>
      </c>
      <c r="AJ3235">
        <v>1</v>
      </c>
      <c r="AK3235">
        <v>0</v>
      </c>
      <c r="AL3235">
        <v>0</v>
      </c>
      <c r="AM3235">
        <v>10</v>
      </c>
      <c r="AN3235">
        <v>0</v>
      </c>
      <c r="AO3235">
        <v>108</v>
      </c>
      <c r="AP3235">
        <v>-10.8</v>
      </c>
      <c r="AQ3235">
        <v>0</v>
      </c>
      <c r="AS3235">
        <v>0</v>
      </c>
      <c r="AT3235">
        <v>0</v>
      </c>
      <c r="AU3235">
        <v>108</v>
      </c>
      <c r="AV3235">
        <v>-10.8</v>
      </c>
      <c r="AW3235">
        <v>0</v>
      </c>
      <c r="AY3235">
        <v>0</v>
      </c>
      <c r="AZ3235">
        <v>0</v>
      </c>
      <c r="BA3235">
        <v>75.040000000000006</v>
      </c>
      <c r="BC3235" t="str">
        <f>T("0000000000000")</f>
        <v>0000000000000</v>
      </c>
      <c r="BE3235" t="str">
        <f>T("9791162589724")</f>
        <v>9791162589724</v>
      </c>
      <c r="BF3235" t="str">
        <f>T("N129466")</f>
        <v>N129466</v>
      </c>
      <c r="BG3235" t="str">
        <f>T("판타지 웹소설 &gt; 퓨전 판타지")</f>
        <v>판타지 웹소설 &gt; 퓨전 판타지</v>
      </c>
    </row>
    <row r="3236" spans="1:59">
      <c r="A3236" t="s">
        <v>60</v>
      </c>
      <c r="B3236" s="1">
        <v>46131</v>
      </c>
      <c r="C3236">
        <v>2378009513</v>
      </c>
      <c r="D3236">
        <v>2378037597</v>
      </c>
      <c r="E3236" t="str">
        <f>T("문과라도 안 죄송한 이세계로 감 489화")</f>
        <v>문과라도 안 죄송한 이세계로 감 489화</v>
      </c>
      <c r="F3236">
        <v>489</v>
      </c>
      <c r="G3236" t="str">
        <f>T("정수읠")</f>
        <v>정수읠</v>
      </c>
      <c r="J3236" t="str">
        <f>T("매드햇")</f>
        <v>매드햇</v>
      </c>
      <c r="K3236" t="str">
        <f>T("문과라도 안 죄송한 이세계로 감")</f>
        <v>문과라도 안 죄송한 이세계로 감</v>
      </c>
      <c r="L3236">
        <v>100</v>
      </c>
      <c r="M3236">
        <v>100</v>
      </c>
      <c r="N3236">
        <v>1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100</v>
      </c>
      <c r="AJ3236">
        <v>1</v>
      </c>
      <c r="AK3236">
        <v>0</v>
      </c>
      <c r="AL3236">
        <v>0</v>
      </c>
      <c r="AM3236">
        <v>10</v>
      </c>
      <c r="AN3236">
        <v>0</v>
      </c>
      <c r="AO3236">
        <v>108</v>
      </c>
      <c r="AP3236">
        <v>-10.8</v>
      </c>
      <c r="AQ3236">
        <v>0</v>
      </c>
      <c r="AS3236">
        <v>0</v>
      </c>
      <c r="AT3236">
        <v>0</v>
      </c>
      <c r="AU3236">
        <v>108</v>
      </c>
      <c r="AV3236">
        <v>-10.8</v>
      </c>
      <c r="AW3236">
        <v>0</v>
      </c>
      <c r="AY3236">
        <v>0</v>
      </c>
      <c r="AZ3236">
        <v>0</v>
      </c>
      <c r="BA3236">
        <v>75.040000000000006</v>
      </c>
      <c r="BC3236" t="str">
        <f>T("0000000000000")</f>
        <v>0000000000000</v>
      </c>
      <c r="BE3236" t="str">
        <f>T("9791162589724")</f>
        <v>9791162589724</v>
      </c>
      <c r="BF3236" t="str">
        <f>T("N135364")</f>
        <v>N135364</v>
      </c>
      <c r="BG3236" t="str">
        <f>T("판타지 웹소설 &gt; 퓨전 판타지")</f>
        <v>판타지 웹소설 &gt; 퓨전 판타지</v>
      </c>
    </row>
    <row r="3237" spans="1:59">
      <c r="A3237" t="s">
        <v>60</v>
      </c>
      <c r="B3237" s="1">
        <v>46131</v>
      </c>
      <c r="C3237">
        <v>2378009513</v>
      </c>
      <c r="D3237">
        <v>2378037598</v>
      </c>
      <c r="E3237" t="str">
        <f>T("문과라도 안 죄송한 이세계로 감 490화 (삽화) (완결)")</f>
        <v>문과라도 안 죄송한 이세계로 감 490화 (삽화) (완결)</v>
      </c>
      <c r="F3237">
        <v>490</v>
      </c>
      <c r="G3237" t="str">
        <f>T("정수읠")</f>
        <v>정수읠</v>
      </c>
      <c r="J3237" t="str">
        <f>T("매드햇")</f>
        <v>매드햇</v>
      </c>
      <c r="K3237" t="str">
        <f>T("문과라도 안 죄송한 이세계로 감")</f>
        <v>문과라도 안 죄송한 이세계로 감</v>
      </c>
      <c r="L3237">
        <v>100</v>
      </c>
      <c r="M3237">
        <v>100</v>
      </c>
      <c r="N3237">
        <v>1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100</v>
      </c>
      <c r="AJ3237">
        <v>1</v>
      </c>
      <c r="AK3237">
        <v>0</v>
      </c>
      <c r="AL3237">
        <v>0</v>
      </c>
      <c r="AM3237">
        <v>10</v>
      </c>
      <c r="AN3237">
        <v>0</v>
      </c>
      <c r="AO3237">
        <v>108</v>
      </c>
      <c r="AP3237">
        <v>-10.8</v>
      </c>
      <c r="AQ3237">
        <v>0</v>
      </c>
      <c r="AS3237">
        <v>0</v>
      </c>
      <c r="AT3237">
        <v>0</v>
      </c>
      <c r="AU3237">
        <v>108</v>
      </c>
      <c r="AV3237">
        <v>-10.8</v>
      </c>
      <c r="AW3237">
        <v>0</v>
      </c>
      <c r="AY3237">
        <v>0</v>
      </c>
      <c r="AZ3237">
        <v>0</v>
      </c>
      <c r="BA3237">
        <v>75.040000000000006</v>
      </c>
      <c r="BC3237" t="str">
        <f>T("0000000000000")</f>
        <v>0000000000000</v>
      </c>
      <c r="BE3237" t="str">
        <f>T("9791162589724")</f>
        <v>9791162589724</v>
      </c>
      <c r="BF3237" t="str">
        <f>T("N135365")</f>
        <v>N135365</v>
      </c>
      <c r="BG3237" t="str">
        <f>T("판타지 웹소설 &gt; 퓨전 판타지")</f>
        <v>판타지 웹소설 &gt; 퓨전 판타지</v>
      </c>
    </row>
    <row r="3238" spans="1:59">
      <c r="A3238" t="s">
        <v>60</v>
      </c>
      <c r="B3238" s="1">
        <v>46131</v>
      </c>
      <c r="C3238">
        <v>2378009513</v>
      </c>
      <c r="D3238">
        <v>2378013346</v>
      </c>
      <c r="E3238" t="str">
        <f>T("문과라도 안 죄송한 이세계로 감 225화")</f>
        <v>문과라도 안 죄송한 이세계로 감 225화</v>
      </c>
      <c r="F3238">
        <v>225</v>
      </c>
      <c r="G3238" t="str">
        <f>T("정수읠")</f>
        <v>정수읠</v>
      </c>
      <c r="J3238" t="str">
        <f>T("매드햇")</f>
        <v>매드햇</v>
      </c>
      <c r="K3238" t="str">
        <f>T("문과라도 안 죄송한 이세계로 감")</f>
        <v>문과라도 안 죄송한 이세계로 감</v>
      </c>
      <c r="L3238">
        <v>100</v>
      </c>
      <c r="M3238">
        <v>100</v>
      </c>
      <c r="N3238">
        <v>1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100</v>
      </c>
      <c r="AJ3238">
        <v>1</v>
      </c>
      <c r="AK3238">
        <v>0</v>
      </c>
      <c r="AL3238">
        <v>0</v>
      </c>
      <c r="AM3238">
        <v>100</v>
      </c>
      <c r="AN3238">
        <v>0</v>
      </c>
      <c r="AO3238">
        <v>0</v>
      </c>
      <c r="AP3238">
        <v>0</v>
      </c>
      <c r="AQ3238">
        <v>0</v>
      </c>
      <c r="AS3238">
        <v>0</v>
      </c>
      <c r="AT3238">
        <v>0</v>
      </c>
      <c r="AV3238">
        <v>0</v>
      </c>
      <c r="AW3238">
        <v>0</v>
      </c>
      <c r="AY3238">
        <v>0</v>
      </c>
      <c r="AZ3238">
        <v>0</v>
      </c>
      <c r="BA3238">
        <v>70</v>
      </c>
      <c r="BC3238" t="str">
        <f>T("0000000000000")</f>
        <v>0000000000000</v>
      </c>
      <c r="BE3238" t="str">
        <f>T("9791162589724")</f>
        <v>9791162589724</v>
      </c>
      <c r="BF3238" t="str">
        <f>T("E690465")</f>
        <v>E690465</v>
      </c>
      <c r="BG3238" t="str">
        <f>T("판타지 웹소설 &gt; 퓨전 판타지")</f>
        <v>판타지 웹소설 &gt; 퓨전 판타지</v>
      </c>
    </row>
    <row r="3239" spans="1:59">
      <c r="A3239" t="s">
        <v>60</v>
      </c>
      <c r="B3239" s="1">
        <v>46131</v>
      </c>
      <c r="C3239">
        <v>2378009513</v>
      </c>
      <c r="D3239">
        <v>2378013356</v>
      </c>
      <c r="E3239" t="str">
        <f>T("문과라도 안 죄송한 이세계로 감 226화")</f>
        <v>문과라도 안 죄송한 이세계로 감 226화</v>
      </c>
      <c r="F3239">
        <v>226</v>
      </c>
      <c r="G3239" t="str">
        <f>T("정수읠")</f>
        <v>정수읠</v>
      </c>
      <c r="J3239" t="str">
        <f>T("매드햇")</f>
        <v>매드햇</v>
      </c>
      <c r="K3239" t="str">
        <f>T("문과라도 안 죄송한 이세계로 감")</f>
        <v>문과라도 안 죄송한 이세계로 감</v>
      </c>
      <c r="L3239">
        <v>100</v>
      </c>
      <c r="M3239">
        <v>100</v>
      </c>
      <c r="N3239">
        <v>1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100</v>
      </c>
      <c r="AJ3239">
        <v>1</v>
      </c>
      <c r="AK3239">
        <v>0</v>
      </c>
      <c r="AL3239">
        <v>0</v>
      </c>
      <c r="AM3239">
        <v>100</v>
      </c>
      <c r="AN3239">
        <v>0</v>
      </c>
      <c r="AO3239">
        <v>0</v>
      </c>
      <c r="AP3239">
        <v>0</v>
      </c>
      <c r="AQ3239">
        <v>0</v>
      </c>
      <c r="AS3239">
        <v>0</v>
      </c>
      <c r="AT3239">
        <v>0</v>
      </c>
      <c r="AV3239">
        <v>0</v>
      </c>
      <c r="AW3239">
        <v>0</v>
      </c>
      <c r="AY3239">
        <v>0</v>
      </c>
      <c r="AZ3239">
        <v>0</v>
      </c>
      <c r="BA3239">
        <v>70</v>
      </c>
      <c r="BC3239" t="str">
        <f>T("0000000000000")</f>
        <v>0000000000000</v>
      </c>
      <c r="BE3239" t="str">
        <f>T("9791162589724")</f>
        <v>9791162589724</v>
      </c>
      <c r="BF3239" t="str">
        <f>T("E690466")</f>
        <v>E690466</v>
      </c>
      <c r="BG3239" t="str">
        <f>T("판타지 웹소설 &gt; 퓨전 판타지")</f>
        <v>판타지 웹소설 &gt; 퓨전 판타지</v>
      </c>
    </row>
    <row r="3240" spans="1:59">
      <c r="A3240" t="s">
        <v>60</v>
      </c>
      <c r="B3240" s="1">
        <v>46131</v>
      </c>
      <c r="C3240">
        <v>2378009513</v>
      </c>
      <c r="D3240">
        <v>2378009540</v>
      </c>
      <c r="E3240" t="str">
        <f>T("문과라도 안 죄송한 이세계로 감 28화")</f>
        <v>문과라도 안 죄송한 이세계로 감 28화</v>
      </c>
      <c r="F3240">
        <v>28</v>
      </c>
      <c r="G3240" t="str">
        <f>T("정수읠")</f>
        <v>정수읠</v>
      </c>
      <c r="J3240" t="str">
        <f>T("매드햇")</f>
        <v>매드햇</v>
      </c>
      <c r="K3240" t="str">
        <f>T("문과라도 안 죄송한 이세계로 감")</f>
        <v>문과라도 안 죄송한 이세계로 감</v>
      </c>
      <c r="L3240">
        <v>100</v>
      </c>
      <c r="M3240">
        <v>100</v>
      </c>
      <c r="N3240">
        <v>1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100</v>
      </c>
      <c r="AJ3240">
        <v>1</v>
      </c>
      <c r="AK3240">
        <v>0</v>
      </c>
      <c r="AL3240">
        <v>0</v>
      </c>
      <c r="AM3240">
        <v>100</v>
      </c>
      <c r="AN3240">
        <v>0</v>
      </c>
      <c r="AO3240">
        <v>0</v>
      </c>
      <c r="AP3240">
        <v>0</v>
      </c>
      <c r="AQ3240">
        <v>0</v>
      </c>
      <c r="AS3240">
        <v>0</v>
      </c>
      <c r="AT3240">
        <v>0</v>
      </c>
      <c r="AV3240">
        <v>0</v>
      </c>
      <c r="AW3240">
        <v>0</v>
      </c>
      <c r="AY3240">
        <v>0</v>
      </c>
      <c r="AZ3240">
        <v>0</v>
      </c>
      <c r="BA3240">
        <v>70</v>
      </c>
      <c r="BE3240" t="str">
        <f>T("9791162589724")</f>
        <v>9791162589724</v>
      </c>
      <c r="BF3240" t="str">
        <f>T("E448264")</f>
        <v>E448264</v>
      </c>
      <c r="BG3240" t="str">
        <f>T("판타지 웹소설 &gt; 퓨전 판타지")</f>
        <v>판타지 웹소설 &gt; 퓨전 판타지</v>
      </c>
    </row>
    <row r="3241" spans="1:59">
      <c r="A3241" t="s">
        <v>60</v>
      </c>
      <c r="B3241" s="1">
        <v>46129</v>
      </c>
      <c r="C3241">
        <v>2378042343</v>
      </c>
      <c r="D3241">
        <v>2378042343</v>
      </c>
      <c r="E3241" t="str">
        <f>T("미국 로또로 역대급 재벌! 1화")</f>
        <v>미국 로또로 역대급 재벌! 1화</v>
      </c>
      <c r="F3241">
        <v>1</v>
      </c>
      <c r="G3241" t="str">
        <f>T("강바기")</f>
        <v>강바기</v>
      </c>
      <c r="J3241" t="str">
        <f>T("매드햇")</f>
        <v>매드햇</v>
      </c>
      <c r="K3241" t="str">
        <f>T("미국 로또로 역대급 재벌!")</f>
        <v>미국 로또로 역대급 재벌!</v>
      </c>
      <c r="L3241">
        <v>0</v>
      </c>
      <c r="M3241">
        <v>0</v>
      </c>
      <c r="N3241">
        <v>0</v>
      </c>
      <c r="O3241">
        <v>1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0</v>
      </c>
      <c r="AE3241">
        <v>0</v>
      </c>
      <c r="AF3241">
        <v>0</v>
      </c>
      <c r="AG3241">
        <v>0</v>
      </c>
      <c r="AH3241">
        <v>0</v>
      </c>
      <c r="AI3241">
        <v>0</v>
      </c>
      <c r="AJ3241">
        <v>1</v>
      </c>
      <c r="AK3241">
        <v>0</v>
      </c>
      <c r="AL3241">
        <v>0</v>
      </c>
      <c r="AM3241">
        <v>0</v>
      </c>
      <c r="AN3241">
        <v>0</v>
      </c>
      <c r="AO3241">
        <v>0</v>
      </c>
      <c r="AP3241">
        <v>0</v>
      </c>
      <c r="AQ3241">
        <v>0</v>
      </c>
      <c r="AS3241">
        <v>0</v>
      </c>
      <c r="AT3241">
        <v>0</v>
      </c>
      <c r="AV3241">
        <v>0</v>
      </c>
      <c r="AW3241">
        <v>0</v>
      </c>
      <c r="AY3241">
        <v>0</v>
      </c>
      <c r="AZ3241">
        <v>0</v>
      </c>
      <c r="BA3241">
        <v>0</v>
      </c>
      <c r="BE3241" t="str">
        <f>T("9791137013100")</f>
        <v>9791137013100</v>
      </c>
      <c r="BF3241" t="str">
        <f>T("N187335")</f>
        <v>N187335</v>
      </c>
      <c r="BG3241" t="str">
        <f>T("판타지 웹소설 &gt; 현대 판타지")</f>
        <v>판타지 웹소설 &gt; 현대 판타지</v>
      </c>
    </row>
    <row r="3242" spans="1:59">
      <c r="A3242" t="s">
        <v>60</v>
      </c>
      <c r="B3242" s="1">
        <v>46129</v>
      </c>
      <c r="C3242">
        <v>2378042343</v>
      </c>
      <c r="D3242">
        <v>2378042344</v>
      </c>
      <c r="E3242" t="str">
        <f>T("미국 로또로 역대급 재벌! 2화")</f>
        <v>미국 로또로 역대급 재벌! 2화</v>
      </c>
      <c r="F3242">
        <v>2</v>
      </c>
      <c r="G3242" t="str">
        <f>T("강바기")</f>
        <v>강바기</v>
      </c>
      <c r="J3242" t="str">
        <f>T("매드햇")</f>
        <v>매드햇</v>
      </c>
      <c r="K3242" t="str">
        <f>T("미국 로또로 역대급 재벌!")</f>
        <v>미국 로또로 역대급 재벌!</v>
      </c>
      <c r="L3242">
        <v>0</v>
      </c>
      <c r="M3242">
        <v>0</v>
      </c>
      <c r="N3242">
        <v>0</v>
      </c>
      <c r="O3242">
        <v>1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0</v>
      </c>
      <c r="AE3242">
        <v>0</v>
      </c>
      <c r="AF3242">
        <v>0</v>
      </c>
      <c r="AG3242">
        <v>0</v>
      </c>
      <c r="AH3242">
        <v>0</v>
      </c>
      <c r="AI3242">
        <v>0</v>
      </c>
      <c r="AJ3242">
        <v>1</v>
      </c>
      <c r="AK3242">
        <v>0</v>
      </c>
      <c r="AL3242">
        <v>0</v>
      </c>
      <c r="AM3242">
        <v>0</v>
      </c>
      <c r="AN3242">
        <v>0</v>
      </c>
      <c r="AO3242">
        <v>0</v>
      </c>
      <c r="AP3242">
        <v>0</v>
      </c>
      <c r="AQ3242">
        <v>0</v>
      </c>
      <c r="AS3242">
        <v>0</v>
      </c>
      <c r="AT3242">
        <v>0</v>
      </c>
      <c r="AV3242">
        <v>0</v>
      </c>
      <c r="AW3242">
        <v>0</v>
      </c>
      <c r="AY3242">
        <v>0</v>
      </c>
      <c r="AZ3242">
        <v>0</v>
      </c>
      <c r="BA3242">
        <v>0</v>
      </c>
      <c r="BE3242" t="str">
        <f>T("9791137013100")</f>
        <v>9791137013100</v>
      </c>
      <c r="BF3242" t="str">
        <f>T("N187336")</f>
        <v>N187336</v>
      </c>
      <c r="BG3242" t="str">
        <f>T("판타지 웹소설 &gt; 현대 판타지")</f>
        <v>판타지 웹소설 &gt; 현대 판타지</v>
      </c>
    </row>
    <row r="3243" spans="1:59">
      <c r="A3243" t="s">
        <v>60</v>
      </c>
      <c r="B3243" s="1">
        <v>46129</v>
      </c>
      <c r="C3243">
        <v>2378042343</v>
      </c>
      <c r="D3243">
        <v>2378042345</v>
      </c>
      <c r="E3243" t="str">
        <f>T("미국 로또로 역대급 재벌! 3화")</f>
        <v>미국 로또로 역대급 재벌! 3화</v>
      </c>
      <c r="F3243">
        <v>3</v>
      </c>
      <c r="G3243" t="str">
        <f>T("강바기")</f>
        <v>강바기</v>
      </c>
      <c r="J3243" t="str">
        <f>T("매드햇")</f>
        <v>매드햇</v>
      </c>
      <c r="K3243" t="str">
        <f>T("미국 로또로 역대급 재벌!")</f>
        <v>미국 로또로 역대급 재벌!</v>
      </c>
      <c r="L3243">
        <v>0</v>
      </c>
      <c r="M3243">
        <v>0</v>
      </c>
      <c r="N3243">
        <v>0</v>
      </c>
      <c r="O3243">
        <v>1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0</v>
      </c>
      <c r="AE3243">
        <v>0</v>
      </c>
      <c r="AF3243">
        <v>0</v>
      </c>
      <c r="AG3243">
        <v>0</v>
      </c>
      <c r="AH3243">
        <v>0</v>
      </c>
      <c r="AI3243">
        <v>0</v>
      </c>
      <c r="AJ3243">
        <v>1</v>
      </c>
      <c r="AK3243">
        <v>0</v>
      </c>
      <c r="AL3243">
        <v>0</v>
      </c>
      <c r="AM3243">
        <v>0</v>
      </c>
      <c r="AN3243">
        <v>0</v>
      </c>
      <c r="AO3243">
        <v>0</v>
      </c>
      <c r="AP3243">
        <v>0</v>
      </c>
      <c r="AQ3243">
        <v>0</v>
      </c>
      <c r="AS3243">
        <v>0</v>
      </c>
      <c r="AT3243">
        <v>0</v>
      </c>
      <c r="AV3243">
        <v>0</v>
      </c>
      <c r="AW3243">
        <v>0</v>
      </c>
      <c r="AY3243">
        <v>0</v>
      </c>
      <c r="AZ3243">
        <v>0</v>
      </c>
      <c r="BA3243">
        <v>0</v>
      </c>
      <c r="BE3243" t="str">
        <f>T("9791137013100")</f>
        <v>9791137013100</v>
      </c>
      <c r="BF3243" t="str">
        <f>T("N187337")</f>
        <v>N187337</v>
      </c>
      <c r="BG3243" t="str">
        <f>T("판타지 웹소설 &gt; 현대 판타지")</f>
        <v>판타지 웹소설 &gt; 현대 판타지</v>
      </c>
    </row>
    <row r="3244" spans="1:59">
      <c r="A3244" t="s">
        <v>60</v>
      </c>
      <c r="B3244" s="1">
        <v>46129</v>
      </c>
      <c r="C3244">
        <v>2378042343</v>
      </c>
      <c r="D3244">
        <v>2378042346</v>
      </c>
      <c r="E3244" t="str">
        <f>T("미국 로또로 역대급 재벌! 4화")</f>
        <v>미국 로또로 역대급 재벌! 4화</v>
      </c>
      <c r="F3244">
        <v>4</v>
      </c>
      <c r="G3244" t="str">
        <f>T("강바기")</f>
        <v>강바기</v>
      </c>
      <c r="J3244" t="str">
        <f>T("매드햇")</f>
        <v>매드햇</v>
      </c>
      <c r="K3244" t="str">
        <f>T("미국 로또로 역대급 재벌!")</f>
        <v>미국 로또로 역대급 재벌!</v>
      </c>
      <c r="L3244">
        <v>0</v>
      </c>
      <c r="M3244">
        <v>0</v>
      </c>
      <c r="N3244">
        <v>0</v>
      </c>
      <c r="O3244">
        <v>1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0</v>
      </c>
      <c r="AE3244">
        <v>0</v>
      </c>
      <c r="AF3244">
        <v>0</v>
      </c>
      <c r="AG3244">
        <v>0</v>
      </c>
      <c r="AH3244">
        <v>0</v>
      </c>
      <c r="AI3244">
        <v>0</v>
      </c>
      <c r="AJ3244">
        <v>1</v>
      </c>
      <c r="AK3244">
        <v>0</v>
      </c>
      <c r="AL3244">
        <v>0</v>
      </c>
      <c r="AM3244">
        <v>0</v>
      </c>
      <c r="AN3244">
        <v>0</v>
      </c>
      <c r="AO3244">
        <v>0</v>
      </c>
      <c r="AP3244">
        <v>0</v>
      </c>
      <c r="AQ3244">
        <v>0</v>
      </c>
      <c r="AS3244">
        <v>0</v>
      </c>
      <c r="AT3244">
        <v>0</v>
      </c>
      <c r="AV3244">
        <v>0</v>
      </c>
      <c r="AW3244">
        <v>0</v>
      </c>
      <c r="AY3244">
        <v>0</v>
      </c>
      <c r="AZ3244">
        <v>0</v>
      </c>
      <c r="BA3244">
        <v>0</v>
      </c>
      <c r="BE3244" t="str">
        <f>T("9791137013100")</f>
        <v>9791137013100</v>
      </c>
      <c r="BF3244" t="str">
        <f>T("N187338")</f>
        <v>N187338</v>
      </c>
      <c r="BG3244" t="str">
        <f>T("판타지 웹소설 &gt; 현대 판타지")</f>
        <v>판타지 웹소설 &gt; 현대 판타지</v>
      </c>
    </row>
    <row r="3245" spans="1:59">
      <c r="A3245" t="s">
        <v>60</v>
      </c>
      <c r="B3245" s="1">
        <v>46129</v>
      </c>
      <c r="C3245">
        <v>2378042343</v>
      </c>
      <c r="D3245">
        <v>2378042347</v>
      </c>
      <c r="E3245" t="str">
        <f>T("미국 로또로 역대급 재벌! 5화")</f>
        <v>미국 로또로 역대급 재벌! 5화</v>
      </c>
      <c r="F3245">
        <v>5</v>
      </c>
      <c r="G3245" t="str">
        <f>T("강바기")</f>
        <v>강바기</v>
      </c>
      <c r="J3245" t="str">
        <f>T("매드햇")</f>
        <v>매드햇</v>
      </c>
      <c r="K3245" t="str">
        <f>T("미국 로또로 역대급 재벌!")</f>
        <v>미국 로또로 역대급 재벌!</v>
      </c>
      <c r="L3245">
        <v>0</v>
      </c>
      <c r="M3245">
        <v>0</v>
      </c>
      <c r="N3245">
        <v>0</v>
      </c>
      <c r="O3245">
        <v>1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0</v>
      </c>
      <c r="AE3245">
        <v>0</v>
      </c>
      <c r="AF3245">
        <v>0</v>
      </c>
      <c r="AG3245">
        <v>0</v>
      </c>
      <c r="AH3245">
        <v>0</v>
      </c>
      <c r="AI3245">
        <v>0</v>
      </c>
      <c r="AJ3245">
        <v>1</v>
      </c>
      <c r="AK3245">
        <v>0</v>
      </c>
      <c r="AL3245">
        <v>0</v>
      </c>
      <c r="AM3245">
        <v>0</v>
      </c>
      <c r="AN3245">
        <v>0</v>
      </c>
      <c r="AO3245">
        <v>0</v>
      </c>
      <c r="AP3245">
        <v>0</v>
      </c>
      <c r="AQ3245">
        <v>0</v>
      </c>
      <c r="AS3245">
        <v>0</v>
      </c>
      <c r="AT3245">
        <v>0</v>
      </c>
      <c r="AV3245">
        <v>0</v>
      </c>
      <c r="AW3245">
        <v>0</v>
      </c>
      <c r="AY3245">
        <v>0</v>
      </c>
      <c r="AZ3245">
        <v>0</v>
      </c>
      <c r="BA3245">
        <v>0</v>
      </c>
      <c r="BE3245" t="str">
        <f>T("9791137013100")</f>
        <v>9791137013100</v>
      </c>
      <c r="BF3245" t="str">
        <f>T("N187339")</f>
        <v>N187339</v>
      </c>
      <c r="BG3245" t="str">
        <f>T("판타지 웹소설 &gt; 현대 판타지")</f>
        <v>판타지 웹소설 &gt; 현대 판타지</v>
      </c>
    </row>
    <row r="3246" spans="1:59">
      <c r="A3246" t="s">
        <v>60</v>
      </c>
      <c r="B3246" s="1">
        <v>46129</v>
      </c>
      <c r="C3246">
        <v>2378042343</v>
      </c>
      <c r="D3246">
        <v>2378042348</v>
      </c>
      <c r="E3246" t="str">
        <f>T("미국 로또로 역대급 재벌! 6화")</f>
        <v>미국 로또로 역대급 재벌! 6화</v>
      </c>
      <c r="F3246">
        <v>6</v>
      </c>
      <c r="G3246" t="str">
        <f>T("강바기")</f>
        <v>강바기</v>
      </c>
      <c r="J3246" t="str">
        <f>T("매드햇")</f>
        <v>매드햇</v>
      </c>
      <c r="K3246" t="str">
        <f>T("미국 로또로 역대급 재벌!")</f>
        <v>미국 로또로 역대급 재벌!</v>
      </c>
      <c r="L3246">
        <v>0</v>
      </c>
      <c r="M3246">
        <v>0</v>
      </c>
      <c r="N3246">
        <v>0</v>
      </c>
      <c r="O3246">
        <v>1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0</v>
      </c>
      <c r="AE3246">
        <v>0</v>
      </c>
      <c r="AF3246">
        <v>0</v>
      </c>
      <c r="AG3246">
        <v>0</v>
      </c>
      <c r="AH3246">
        <v>0</v>
      </c>
      <c r="AI3246">
        <v>0</v>
      </c>
      <c r="AJ3246">
        <v>1</v>
      </c>
      <c r="AK3246">
        <v>0</v>
      </c>
      <c r="AL3246">
        <v>0</v>
      </c>
      <c r="AM3246">
        <v>0</v>
      </c>
      <c r="AN3246">
        <v>0</v>
      </c>
      <c r="AO3246">
        <v>0</v>
      </c>
      <c r="AP3246">
        <v>0</v>
      </c>
      <c r="AQ3246">
        <v>0</v>
      </c>
      <c r="AS3246">
        <v>0</v>
      </c>
      <c r="AT3246">
        <v>0</v>
      </c>
      <c r="AV3246">
        <v>0</v>
      </c>
      <c r="AW3246">
        <v>0</v>
      </c>
      <c r="AY3246">
        <v>0</v>
      </c>
      <c r="AZ3246">
        <v>0</v>
      </c>
      <c r="BA3246">
        <v>0</v>
      </c>
      <c r="BE3246" t="str">
        <f>T("9791137013100")</f>
        <v>9791137013100</v>
      </c>
      <c r="BF3246" t="str">
        <f>T("N187340")</f>
        <v>N187340</v>
      </c>
      <c r="BG3246" t="str">
        <f>T("판타지 웹소설 &gt; 현대 판타지")</f>
        <v>판타지 웹소설 &gt; 현대 판타지</v>
      </c>
    </row>
    <row r="3247" spans="1:59">
      <c r="A3247" t="s">
        <v>60</v>
      </c>
      <c r="B3247" s="1">
        <v>46129</v>
      </c>
      <c r="C3247">
        <v>2378042343</v>
      </c>
      <c r="D3247">
        <v>2378042349</v>
      </c>
      <c r="E3247" t="str">
        <f>T("미국 로또로 역대급 재벌! 7화")</f>
        <v>미국 로또로 역대급 재벌! 7화</v>
      </c>
      <c r="F3247">
        <v>7</v>
      </c>
      <c r="G3247" t="str">
        <f>T("강바기")</f>
        <v>강바기</v>
      </c>
      <c r="J3247" t="str">
        <f>T("매드햇")</f>
        <v>매드햇</v>
      </c>
      <c r="K3247" t="str">
        <f>T("미국 로또로 역대급 재벌!")</f>
        <v>미국 로또로 역대급 재벌!</v>
      </c>
      <c r="L3247">
        <v>0</v>
      </c>
      <c r="M3247">
        <v>0</v>
      </c>
      <c r="N3247">
        <v>0</v>
      </c>
      <c r="O3247">
        <v>1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0</v>
      </c>
      <c r="AE3247">
        <v>0</v>
      </c>
      <c r="AF3247">
        <v>0</v>
      </c>
      <c r="AG3247">
        <v>0</v>
      </c>
      <c r="AH3247">
        <v>0</v>
      </c>
      <c r="AI3247">
        <v>0</v>
      </c>
      <c r="AJ3247">
        <v>1</v>
      </c>
      <c r="AK3247">
        <v>0</v>
      </c>
      <c r="AL3247">
        <v>0</v>
      </c>
      <c r="AM3247">
        <v>0</v>
      </c>
      <c r="AN3247">
        <v>0</v>
      </c>
      <c r="AO3247">
        <v>0</v>
      </c>
      <c r="AP3247">
        <v>0</v>
      </c>
      <c r="AQ3247">
        <v>0</v>
      </c>
      <c r="AS3247">
        <v>0</v>
      </c>
      <c r="AT3247">
        <v>0</v>
      </c>
      <c r="AV3247">
        <v>0</v>
      </c>
      <c r="AW3247">
        <v>0</v>
      </c>
      <c r="AY3247">
        <v>0</v>
      </c>
      <c r="AZ3247">
        <v>0</v>
      </c>
      <c r="BA3247">
        <v>0</v>
      </c>
      <c r="BE3247" t="str">
        <f>T("9791137013100")</f>
        <v>9791137013100</v>
      </c>
      <c r="BF3247" t="str">
        <f>T("N187341")</f>
        <v>N187341</v>
      </c>
      <c r="BG3247" t="str">
        <f>T("판타지 웹소설 &gt; 현대 판타지")</f>
        <v>판타지 웹소설 &gt; 현대 판타지</v>
      </c>
    </row>
    <row r="3248" spans="1:59">
      <c r="A3248" t="s">
        <v>60</v>
      </c>
      <c r="B3248" s="1">
        <v>46129</v>
      </c>
      <c r="C3248">
        <v>2378042343</v>
      </c>
      <c r="D3248">
        <v>2378042350</v>
      </c>
      <c r="E3248" t="str">
        <f>T("미국 로또로 역대급 재벌! 8화")</f>
        <v>미국 로또로 역대급 재벌! 8화</v>
      </c>
      <c r="F3248">
        <v>8</v>
      </c>
      <c r="G3248" t="str">
        <f>T("강바기")</f>
        <v>강바기</v>
      </c>
      <c r="J3248" t="str">
        <f>T("매드햇")</f>
        <v>매드햇</v>
      </c>
      <c r="K3248" t="str">
        <f>T("미국 로또로 역대급 재벌!")</f>
        <v>미국 로또로 역대급 재벌!</v>
      </c>
      <c r="L3248">
        <v>0</v>
      </c>
      <c r="M3248">
        <v>0</v>
      </c>
      <c r="N3248">
        <v>0</v>
      </c>
      <c r="O3248">
        <v>1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0</v>
      </c>
      <c r="AE3248">
        <v>0</v>
      </c>
      <c r="AF3248">
        <v>0</v>
      </c>
      <c r="AG3248">
        <v>0</v>
      </c>
      <c r="AH3248">
        <v>0</v>
      </c>
      <c r="AI3248">
        <v>0</v>
      </c>
      <c r="AJ3248">
        <v>1</v>
      </c>
      <c r="AK3248">
        <v>0</v>
      </c>
      <c r="AL3248">
        <v>0</v>
      </c>
      <c r="AM3248">
        <v>0</v>
      </c>
      <c r="AN3248">
        <v>0</v>
      </c>
      <c r="AO3248">
        <v>0</v>
      </c>
      <c r="AP3248">
        <v>0</v>
      </c>
      <c r="AQ3248">
        <v>0</v>
      </c>
      <c r="AS3248">
        <v>0</v>
      </c>
      <c r="AT3248">
        <v>0</v>
      </c>
      <c r="AV3248">
        <v>0</v>
      </c>
      <c r="AW3248">
        <v>0</v>
      </c>
      <c r="AY3248">
        <v>0</v>
      </c>
      <c r="AZ3248">
        <v>0</v>
      </c>
      <c r="BA3248">
        <v>0</v>
      </c>
      <c r="BE3248" t="str">
        <f>T("9791137013100")</f>
        <v>9791137013100</v>
      </c>
      <c r="BF3248" t="str">
        <f>T("N187342")</f>
        <v>N187342</v>
      </c>
      <c r="BG3248" t="str">
        <f>T("판타지 웹소설 &gt; 현대 판타지")</f>
        <v>판타지 웹소설 &gt; 현대 판타지</v>
      </c>
    </row>
    <row r="3249" spans="1:59">
      <c r="A3249" t="s">
        <v>60</v>
      </c>
      <c r="B3249" s="1">
        <v>46129</v>
      </c>
      <c r="C3249">
        <v>2378042343</v>
      </c>
      <c r="D3249">
        <v>2378042351</v>
      </c>
      <c r="E3249" t="str">
        <f>T("미국 로또로 역대급 재벌! 9화")</f>
        <v>미국 로또로 역대급 재벌! 9화</v>
      </c>
      <c r="F3249">
        <v>9</v>
      </c>
      <c r="G3249" t="str">
        <f>T("강바기")</f>
        <v>강바기</v>
      </c>
      <c r="J3249" t="str">
        <f>T("매드햇")</f>
        <v>매드햇</v>
      </c>
      <c r="K3249" t="str">
        <f>T("미국 로또로 역대급 재벌!")</f>
        <v>미국 로또로 역대급 재벌!</v>
      </c>
      <c r="L3249">
        <v>0</v>
      </c>
      <c r="M3249">
        <v>0</v>
      </c>
      <c r="N3249">
        <v>0</v>
      </c>
      <c r="O3249">
        <v>1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0</v>
      </c>
      <c r="AE3249">
        <v>0</v>
      </c>
      <c r="AF3249">
        <v>0</v>
      </c>
      <c r="AG3249">
        <v>0</v>
      </c>
      <c r="AH3249">
        <v>0</v>
      </c>
      <c r="AI3249">
        <v>0</v>
      </c>
      <c r="AJ3249">
        <v>1</v>
      </c>
      <c r="AK3249">
        <v>0</v>
      </c>
      <c r="AL3249">
        <v>0</v>
      </c>
      <c r="AM3249">
        <v>0</v>
      </c>
      <c r="AN3249">
        <v>0</v>
      </c>
      <c r="AO3249">
        <v>0</v>
      </c>
      <c r="AP3249">
        <v>0</v>
      </c>
      <c r="AQ3249">
        <v>0</v>
      </c>
      <c r="AS3249">
        <v>0</v>
      </c>
      <c r="AT3249">
        <v>0</v>
      </c>
      <c r="AV3249">
        <v>0</v>
      </c>
      <c r="AW3249">
        <v>0</v>
      </c>
      <c r="AY3249">
        <v>0</v>
      </c>
      <c r="AZ3249">
        <v>0</v>
      </c>
      <c r="BA3249">
        <v>0</v>
      </c>
      <c r="BE3249" t="str">
        <f>T("9791137013100")</f>
        <v>9791137013100</v>
      </c>
      <c r="BF3249" t="str">
        <f>T("N187343")</f>
        <v>N187343</v>
      </c>
      <c r="BG3249" t="str">
        <f>T("판타지 웹소설 &gt; 현대 판타지")</f>
        <v>판타지 웹소설 &gt; 현대 판타지</v>
      </c>
    </row>
    <row r="3250" spans="1:59">
      <c r="A3250" t="s">
        <v>60</v>
      </c>
      <c r="B3250" s="1">
        <v>46129</v>
      </c>
      <c r="C3250">
        <v>2378042343</v>
      </c>
      <c r="D3250">
        <v>2378042352</v>
      </c>
      <c r="E3250" t="str">
        <f>T("미국 로또로 역대급 재벌! 10화")</f>
        <v>미국 로또로 역대급 재벌! 10화</v>
      </c>
      <c r="F3250">
        <v>10</v>
      </c>
      <c r="G3250" t="str">
        <f>T("강바기")</f>
        <v>강바기</v>
      </c>
      <c r="J3250" t="str">
        <f>T("매드햇")</f>
        <v>매드햇</v>
      </c>
      <c r="K3250" t="str">
        <f>T("미국 로또로 역대급 재벌!")</f>
        <v>미국 로또로 역대급 재벌!</v>
      </c>
      <c r="L3250">
        <v>0</v>
      </c>
      <c r="M3250">
        <v>0</v>
      </c>
      <c r="N3250">
        <v>0</v>
      </c>
      <c r="O3250">
        <v>1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0</v>
      </c>
      <c r="AE3250">
        <v>0</v>
      </c>
      <c r="AF3250">
        <v>0</v>
      </c>
      <c r="AG3250">
        <v>0</v>
      </c>
      <c r="AH3250">
        <v>0</v>
      </c>
      <c r="AI3250">
        <v>0</v>
      </c>
      <c r="AJ3250">
        <v>1</v>
      </c>
      <c r="AK3250">
        <v>0</v>
      </c>
      <c r="AL3250">
        <v>0</v>
      </c>
      <c r="AM3250">
        <v>0</v>
      </c>
      <c r="AN3250">
        <v>0</v>
      </c>
      <c r="AO3250">
        <v>0</v>
      </c>
      <c r="AP3250">
        <v>0</v>
      </c>
      <c r="AQ3250">
        <v>0</v>
      </c>
      <c r="AS3250">
        <v>0</v>
      </c>
      <c r="AT3250">
        <v>0</v>
      </c>
      <c r="AV3250">
        <v>0</v>
      </c>
      <c r="AW3250">
        <v>0</v>
      </c>
      <c r="AY3250">
        <v>0</v>
      </c>
      <c r="AZ3250">
        <v>0</v>
      </c>
      <c r="BA3250">
        <v>0</v>
      </c>
      <c r="BE3250" t="str">
        <f>T("9791137013100")</f>
        <v>9791137013100</v>
      </c>
      <c r="BF3250" t="str">
        <f>T("N187344")</f>
        <v>N187344</v>
      </c>
      <c r="BG3250" t="str">
        <f>T("판타지 웹소설 &gt; 현대 판타지")</f>
        <v>판타지 웹소설 &gt; 현대 판타지</v>
      </c>
    </row>
    <row r="3251" spans="1:59">
      <c r="A3251" t="s">
        <v>60</v>
      </c>
      <c r="B3251" s="1">
        <v>46129</v>
      </c>
      <c r="C3251">
        <v>2378042343</v>
      </c>
      <c r="D3251">
        <v>2378042353</v>
      </c>
      <c r="E3251" t="str">
        <f>T("미국 로또로 역대급 재벌! 11화")</f>
        <v>미국 로또로 역대급 재벌! 11화</v>
      </c>
      <c r="F3251">
        <v>11</v>
      </c>
      <c r="G3251" t="str">
        <f>T("강바기")</f>
        <v>강바기</v>
      </c>
      <c r="J3251" t="str">
        <f>T("매드햇")</f>
        <v>매드햇</v>
      </c>
      <c r="K3251" t="str">
        <f>T("미국 로또로 역대급 재벌!")</f>
        <v>미국 로또로 역대급 재벌!</v>
      </c>
      <c r="L3251">
        <v>0</v>
      </c>
      <c r="M3251">
        <v>0</v>
      </c>
      <c r="N3251">
        <v>0</v>
      </c>
      <c r="O3251">
        <v>1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0</v>
      </c>
      <c r="AE3251">
        <v>0</v>
      </c>
      <c r="AF3251">
        <v>0</v>
      </c>
      <c r="AG3251">
        <v>0</v>
      </c>
      <c r="AH3251">
        <v>0</v>
      </c>
      <c r="AI3251">
        <v>0</v>
      </c>
      <c r="AJ3251">
        <v>1</v>
      </c>
      <c r="AK3251">
        <v>0</v>
      </c>
      <c r="AL3251">
        <v>0</v>
      </c>
      <c r="AM3251">
        <v>0</v>
      </c>
      <c r="AN3251">
        <v>0</v>
      </c>
      <c r="AO3251">
        <v>0</v>
      </c>
      <c r="AP3251">
        <v>0</v>
      </c>
      <c r="AQ3251">
        <v>0</v>
      </c>
      <c r="AS3251">
        <v>0</v>
      </c>
      <c r="AT3251">
        <v>0</v>
      </c>
      <c r="AV3251">
        <v>0</v>
      </c>
      <c r="AW3251">
        <v>0</v>
      </c>
      <c r="AY3251">
        <v>0</v>
      </c>
      <c r="AZ3251">
        <v>0</v>
      </c>
      <c r="BA3251">
        <v>0</v>
      </c>
      <c r="BE3251" t="str">
        <f>T("9791137013100")</f>
        <v>9791137013100</v>
      </c>
      <c r="BF3251" t="str">
        <f>T("N187345")</f>
        <v>N187345</v>
      </c>
      <c r="BG3251" t="str">
        <f>T("판타지 웹소설 &gt; 현대 판타지")</f>
        <v>판타지 웹소설 &gt; 현대 판타지</v>
      </c>
    </row>
    <row r="3252" spans="1:59">
      <c r="A3252" t="s">
        <v>60</v>
      </c>
      <c r="B3252" s="1">
        <v>46129</v>
      </c>
      <c r="C3252">
        <v>2378042343</v>
      </c>
      <c r="D3252">
        <v>2378042354</v>
      </c>
      <c r="E3252" t="str">
        <f>T("미국 로또로 역대급 재벌! 12화")</f>
        <v>미국 로또로 역대급 재벌! 12화</v>
      </c>
      <c r="F3252">
        <v>12</v>
      </c>
      <c r="G3252" t="str">
        <f>T("강바기")</f>
        <v>강바기</v>
      </c>
      <c r="J3252" t="str">
        <f>T("매드햇")</f>
        <v>매드햇</v>
      </c>
      <c r="K3252" t="str">
        <f>T("미국 로또로 역대급 재벌!")</f>
        <v>미국 로또로 역대급 재벌!</v>
      </c>
      <c r="L3252">
        <v>0</v>
      </c>
      <c r="M3252">
        <v>0</v>
      </c>
      <c r="N3252">
        <v>0</v>
      </c>
      <c r="O3252">
        <v>1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0</v>
      </c>
      <c r="AE3252">
        <v>0</v>
      </c>
      <c r="AF3252">
        <v>0</v>
      </c>
      <c r="AG3252">
        <v>0</v>
      </c>
      <c r="AH3252">
        <v>0</v>
      </c>
      <c r="AI3252">
        <v>0</v>
      </c>
      <c r="AJ3252">
        <v>1</v>
      </c>
      <c r="AK3252">
        <v>0</v>
      </c>
      <c r="AL3252">
        <v>0</v>
      </c>
      <c r="AM3252">
        <v>0</v>
      </c>
      <c r="AN3252">
        <v>0</v>
      </c>
      <c r="AO3252">
        <v>0</v>
      </c>
      <c r="AP3252">
        <v>0</v>
      </c>
      <c r="AQ3252">
        <v>0</v>
      </c>
      <c r="AS3252">
        <v>0</v>
      </c>
      <c r="AT3252">
        <v>0</v>
      </c>
      <c r="AV3252">
        <v>0</v>
      </c>
      <c r="AW3252">
        <v>0</v>
      </c>
      <c r="AY3252">
        <v>0</v>
      </c>
      <c r="AZ3252">
        <v>0</v>
      </c>
      <c r="BA3252">
        <v>0</v>
      </c>
      <c r="BE3252" t="str">
        <f>T("9791137013100")</f>
        <v>9791137013100</v>
      </c>
      <c r="BF3252" t="str">
        <f>T("N187346")</f>
        <v>N187346</v>
      </c>
      <c r="BG3252" t="str">
        <f>T("판타지 웹소설 &gt; 현대 판타지")</f>
        <v>판타지 웹소설 &gt; 현대 판타지</v>
      </c>
    </row>
    <row r="3253" spans="1:59">
      <c r="A3253" t="s">
        <v>60</v>
      </c>
      <c r="B3253" s="1">
        <v>46129</v>
      </c>
      <c r="C3253">
        <v>2378042343</v>
      </c>
      <c r="D3253">
        <v>2378042355</v>
      </c>
      <c r="E3253" t="str">
        <f>T("미국 로또로 역대급 재벌! 13화")</f>
        <v>미국 로또로 역대급 재벌! 13화</v>
      </c>
      <c r="F3253">
        <v>13</v>
      </c>
      <c r="G3253" t="str">
        <f>T("강바기")</f>
        <v>강바기</v>
      </c>
      <c r="J3253" t="str">
        <f>T("매드햇")</f>
        <v>매드햇</v>
      </c>
      <c r="K3253" t="str">
        <f>T("미국 로또로 역대급 재벌!")</f>
        <v>미국 로또로 역대급 재벌!</v>
      </c>
      <c r="L3253">
        <v>0</v>
      </c>
      <c r="M3253">
        <v>0</v>
      </c>
      <c r="N3253">
        <v>0</v>
      </c>
      <c r="O3253">
        <v>1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0</v>
      </c>
      <c r="AH3253">
        <v>0</v>
      </c>
      <c r="AI3253">
        <v>0</v>
      </c>
      <c r="AJ3253">
        <v>1</v>
      </c>
      <c r="AK3253">
        <v>0</v>
      </c>
      <c r="AL3253">
        <v>0</v>
      </c>
      <c r="AM3253">
        <v>0</v>
      </c>
      <c r="AN3253">
        <v>0</v>
      </c>
      <c r="AO3253">
        <v>0</v>
      </c>
      <c r="AP3253">
        <v>0</v>
      </c>
      <c r="AQ3253">
        <v>0</v>
      </c>
      <c r="AS3253">
        <v>0</v>
      </c>
      <c r="AT3253">
        <v>0</v>
      </c>
      <c r="AV3253">
        <v>0</v>
      </c>
      <c r="AW3253">
        <v>0</v>
      </c>
      <c r="AY3253">
        <v>0</v>
      </c>
      <c r="AZ3253">
        <v>0</v>
      </c>
      <c r="BA3253">
        <v>0</v>
      </c>
      <c r="BE3253" t="str">
        <f>T("9791137013100")</f>
        <v>9791137013100</v>
      </c>
      <c r="BF3253" t="str">
        <f>T("N187347")</f>
        <v>N187347</v>
      </c>
      <c r="BG3253" t="str">
        <f>T("판타지 웹소설 &gt; 현대 판타지")</f>
        <v>판타지 웹소설 &gt; 현대 판타지</v>
      </c>
    </row>
    <row r="3254" spans="1:59">
      <c r="A3254" t="s">
        <v>60</v>
      </c>
      <c r="B3254" s="1">
        <v>46129</v>
      </c>
      <c r="C3254">
        <v>2378042343</v>
      </c>
      <c r="D3254">
        <v>2378042356</v>
      </c>
      <c r="E3254" t="str">
        <f>T("미국 로또로 역대급 재벌! 14화")</f>
        <v>미국 로또로 역대급 재벌! 14화</v>
      </c>
      <c r="F3254">
        <v>14</v>
      </c>
      <c r="G3254" t="str">
        <f>T("강바기")</f>
        <v>강바기</v>
      </c>
      <c r="J3254" t="str">
        <f>T("매드햇")</f>
        <v>매드햇</v>
      </c>
      <c r="K3254" t="str">
        <f>T("미국 로또로 역대급 재벌!")</f>
        <v>미국 로또로 역대급 재벌!</v>
      </c>
      <c r="L3254">
        <v>0</v>
      </c>
      <c r="M3254">
        <v>0</v>
      </c>
      <c r="N3254">
        <v>0</v>
      </c>
      <c r="O3254">
        <v>1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0</v>
      </c>
      <c r="AH3254">
        <v>0</v>
      </c>
      <c r="AI3254">
        <v>0</v>
      </c>
      <c r="AJ3254">
        <v>1</v>
      </c>
      <c r="AK3254">
        <v>0</v>
      </c>
      <c r="AL3254">
        <v>0</v>
      </c>
      <c r="AM3254">
        <v>0</v>
      </c>
      <c r="AN3254">
        <v>0</v>
      </c>
      <c r="AO3254">
        <v>0</v>
      </c>
      <c r="AP3254">
        <v>0</v>
      </c>
      <c r="AQ3254">
        <v>0</v>
      </c>
      <c r="AS3254">
        <v>0</v>
      </c>
      <c r="AT3254">
        <v>0</v>
      </c>
      <c r="AV3254">
        <v>0</v>
      </c>
      <c r="AW3254">
        <v>0</v>
      </c>
      <c r="AY3254">
        <v>0</v>
      </c>
      <c r="AZ3254">
        <v>0</v>
      </c>
      <c r="BA3254">
        <v>0</v>
      </c>
      <c r="BE3254" t="str">
        <f>T("9791137013100")</f>
        <v>9791137013100</v>
      </c>
      <c r="BF3254" t="str">
        <f>T("N187348")</f>
        <v>N187348</v>
      </c>
      <c r="BG3254" t="str">
        <f>T("판타지 웹소설 &gt; 현대 판타지")</f>
        <v>판타지 웹소설 &gt; 현대 판타지</v>
      </c>
    </row>
    <row r="3255" spans="1:59">
      <c r="A3255" t="s">
        <v>60</v>
      </c>
      <c r="B3255" s="1">
        <v>46129</v>
      </c>
      <c r="C3255">
        <v>2378042343</v>
      </c>
      <c r="D3255">
        <v>2378042357</v>
      </c>
      <c r="E3255" t="str">
        <f>T("미국 로또로 역대급 재벌! 15화")</f>
        <v>미국 로또로 역대급 재벌! 15화</v>
      </c>
      <c r="F3255">
        <v>15</v>
      </c>
      <c r="G3255" t="str">
        <f>T("강바기")</f>
        <v>강바기</v>
      </c>
      <c r="J3255" t="str">
        <f>T("매드햇")</f>
        <v>매드햇</v>
      </c>
      <c r="K3255" t="str">
        <f>T("미국 로또로 역대급 재벌!")</f>
        <v>미국 로또로 역대급 재벌!</v>
      </c>
      <c r="L3255">
        <v>0</v>
      </c>
      <c r="M3255">
        <v>0</v>
      </c>
      <c r="N3255">
        <v>0</v>
      </c>
      <c r="O3255">
        <v>1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0</v>
      </c>
      <c r="AH3255">
        <v>0</v>
      </c>
      <c r="AI3255">
        <v>0</v>
      </c>
      <c r="AJ3255">
        <v>1</v>
      </c>
      <c r="AK3255">
        <v>0</v>
      </c>
      <c r="AL3255">
        <v>0</v>
      </c>
      <c r="AM3255">
        <v>0</v>
      </c>
      <c r="AN3255">
        <v>0</v>
      </c>
      <c r="AO3255">
        <v>0</v>
      </c>
      <c r="AP3255">
        <v>0</v>
      </c>
      <c r="AQ3255">
        <v>0</v>
      </c>
      <c r="AS3255">
        <v>0</v>
      </c>
      <c r="AT3255">
        <v>0</v>
      </c>
      <c r="AV3255">
        <v>0</v>
      </c>
      <c r="AW3255">
        <v>0</v>
      </c>
      <c r="AY3255">
        <v>0</v>
      </c>
      <c r="AZ3255">
        <v>0</v>
      </c>
      <c r="BA3255">
        <v>0</v>
      </c>
      <c r="BE3255" t="str">
        <f>T("9791137013100")</f>
        <v>9791137013100</v>
      </c>
      <c r="BF3255" t="str">
        <f>T("N187349")</f>
        <v>N187349</v>
      </c>
      <c r="BG3255" t="str">
        <f>T("판타지 웹소설 &gt; 현대 판타지")</f>
        <v>판타지 웹소설 &gt; 현대 판타지</v>
      </c>
    </row>
    <row r="3256" spans="1:59">
      <c r="A3256" t="s">
        <v>60</v>
      </c>
      <c r="B3256" s="1">
        <v>46129</v>
      </c>
      <c r="C3256">
        <v>2378042343</v>
      </c>
      <c r="D3256">
        <v>2378042358</v>
      </c>
      <c r="E3256" t="str">
        <f>T("미국 로또로 역대급 재벌! 16화")</f>
        <v>미국 로또로 역대급 재벌! 16화</v>
      </c>
      <c r="F3256">
        <v>16</v>
      </c>
      <c r="G3256" t="str">
        <f>T("강바기")</f>
        <v>강바기</v>
      </c>
      <c r="J3256" t="str">
        <f>T("매드햇")</f>
        <v>매드햇</v>
      </c>
      <c r="K3256" t="str">
        <f>T("미국 로또로 역대급 재벌!")</f>
        <v>미국 로또로 역대급 재벌!</v>
      </c>
      <c r="L3256">
        <v>0</v>
      </c>
      <c r="M3256">
        <v>0</v>
      </c>
      <c r="N3256">
        <v>0</v>
      </c>
      <c r="O3256">
        <v>1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0</v>
      </c>
      <c r="AH3256">
        <v>0</v>
      </c>
      <c r="AI3256">
        <v>0</v>
      </c>
      <c r="AJ3256">
        <v>1</v>
      </c>
      <c r="AK3256">
        <v>0</v>
      </c>
      <c r="AL3256">
        <v>0</v>
      </c>
      <c r="AM3256">
        <v>0</v>
      </c>
      <c r="AN3256">
        <v>0</v>
      </c>
      <c r="AO3256">
        <v>0</v>
      </c>
      <c r="AP3256">
        <v>0</v>
      </c>
      <c r="AQ3256">
        <v>0</v>
      </c>
      <c r="AS3256">
        <v>0</v>
      </c>
      <c r="AT3256">
        <v>0</v>
      </c>
      <c r="AV3256">
        <v>0</v>
      </c>
      <c r="AW3256">
        <v>0</v>
      </c>
      <c r="AY3256">
        <v>0</v>
      </c>
      <c r="AZ3256">
        <v>0</v>
      </c>
      <c r="BA3256">
        <v>0</v>
      </c>
      <c r="BE3256" t="str">
        <f>T("9791137013100")</f>
        <v>9791137013100</v>
      </c>
      <c r="BF3256" t="str">
        <f>T("N187350")</f>
        <v>N187350</v>
      </c>
      <c r="BG3256" t="str">
        <f>T("판타지 웹소설 &gt; 현대 판타지")</f>
        <v>판타지 웹소설 &gt; 현대 판타지</v>
      </c>
    </row>
    <row r="3257" spans="1:59">
      <c r="A3257" t="s">
        <v>60</v>
      </c>
      <c r="B3257" s="1">
        <v>46129</v>
      </c>
      <c r="C3257">
        <v>2378042343</v>
      </c>
      <c r="D3257">
        <v>2378042359</v>
      </c>
      <c r="E3257" t="str">
        <f>T("미국 로또로 역대급 재벌! 17화")</f>
        <v>미국 로또로 역대급 재벌! 17화</v>
      </c>
      <c r="F3257">
        <v>17</v>
      </c>
      <c r="G3257" t="str">
        <f>T("강바기")</f>
        <v>강바기</v>
      </c>
      <c r="J3257" t="str">
        <f>T("매드햇")</f>
        <v>매드햇</v>
      </c>
      <c r="K3257" t="str">
        <f>T("미국 로또로 역대급 재벌!")</f>
        <v>미국 로또로 역대급 재벌!</v>
      </c>
      <c r="L3257">
        <v>0</v>
      </c>
      <c r="M3257">
        <v>0</v>
      </c>
      <c r="N3257">
        <v>0</v>
      </c>
      <c r="O3257">
        <v>1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0</v>
      </c>
      <c r="AH3257">
        <v>0</v>
      </c>
      <c r="AI3257">
        <v>0</v>
      </c>
      <c r="AJ3257">
        <v>1</v>
      </c>
      <c r="AK3257">
        <v>0</v>
      </c>
      <c r="AL3257">
        <v>0</v>
      </c>
      <c r="AM3257">
        <v>0</v>
      </c>
      <c r="AN3257">
        <v>0</v>
      </c>
      <c r="AO3257">
        <v>0</v>
      </c>
      <c r="AP3257">
        <v>0</v>
      </c>
      <c r="AQ3257">
        <v>0</v>
      </c>
      <c r="AS3257">
        <v>0</v>
      </c>
      <c r="AT3257">
        <v>0</v>
      </c>
      <c r="AV3257">
        <v>0</v>
      </c>
      <c r="AW3257">
        <v>0</v>
      </c>
      <c r="AY3257">
        <v>0</v>
      </c>
      <c r="AZ3257">
        <v>0</v>
      </c>
      <c r="BA3257">
        <v>0</v>
      </c>
      <c r="BE3257" t="str">
        <f>T("9791137013100")</f>
        <v>9791137013100</v>
      </c>
      <c r="BF3257" t="str">
        <f>T("N187351")</f>
        <v>N187351</v>
      </c>
      <c r="BG3257" t="str">
        <f>T("판타지 웹소설 &gt; 현대 판타지")</f>
        <v>판타지 웹소설 &gt; 현대 판타지</v>
      </c>
    </row>
    <row r="3258" spans="1:59">
      <c r="A3258" t="s">
        <v>60</v>
      </c>
      <c r="B3258" s="1">
        <v>46129</v>
      </c>
      <c r="C3258">
        <v>2378042343</v>
      </c>
      <c r="D3258">
        <v>2378042360</v>
      </c>
      <c r="E3258" t="str">
        <f>T("미국 로또로 역대급 재벌! 18화")</f>
        <v>미국 로또로 역대급 재벌! 18화</v>
      </c>
      <c r="F3258">
        <v>18</v>
      </c>
      <c r="G3258" t="str">
        <f>T("강바기")</f>
        <v>강바기</v>
      </c>
      <c r="J3258" t="str">
        <f>T("매드햇")</f>
        <v>매드햇</v>
      </c>
      <c r="K3258" t="str">
        <f>T("미국 로또로 역대급 재벌!")</f>
        <v>미국 로또로 역대급 재벌!</v>
      </c>
      <c r="L3258">
        <v>0</v>
      </c>
      <c r="M3258">
        <v>0</v>
      </c>
      <c r="N3258">
        <v>0</v>
      </c>
      <c r="O3258">
        <v>1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0</v>
      </c>
      <c r="AH3258">
        <v>0</v>
      </c>
      <c r="AI3258">
        <v>0</v>
      </c>
      <c r="AJ3258">
        <v>1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S3258">
        <v>0</v>
      </c>
      <c r="AT3258">
        <v>0</v>
      </c>
      <c r="AV3258">
        <v>0</v>
      </c>
      <c r="AW3258">
        <v>0</v>
      </c>
      <c r="AY3258">
        <v>0</v>
      </c>
      <c r="AZ3258">
        <v>0</v>
      </c>
      <c r="BA3258">
        <v>0</v>
      </c>
      <c r="BE3258" t="str">
        <f>T("9791137013100")</f>
        <v>9791137013100</v>
      </c>
      <c r="BF3258" t="str">
        <f>T("N187352")</f>
        <v>N187352</v>
      </c>
      <c r="BG3258" t="str">
        <f>T("판타지 웹소설 &gt; 현대 판타지")</f>
        <v>판타지 웹소설 &gt; 현대 판타지</v>
      </c>
    </row>
    <row r="3259" spans="1:59">
      <c r="A3259" t="s">
        <v>60</v>
      </c>
      <c r="B3259" s="1">
        <v>46129</v>
      </c>
      <c r="C3259">
        <v>2378042343</v>
      </c>
      <c r="D3259">
        <v>2378042361</v>
      </c>
      <c r="E3259" t="str">
        <f>T("미국 로또로 역대급 재벌! 19화")</f>
        <v>미국 로또로 역대급 재벌! 19화</v>
      </c>
      <c r="F3259">
        <v>19</v>
      </c>
      <c r="G3259" t="str">
        <f>T("강바기")</f>
        <v>강바기</v>
      </c>
      <c r="J3259" t="str">
        <f>T("매드햇")</f>
        <v>매드햇</v>
      </c>
      <c r="K3259" t="str">
        <f>T("미국 로또로 역대급 재벌!")</f>
        <v>미국 로또로 역대급 재벌!</v>
      </c>
      <c r="L3259">
        <v>0</v>
      </c>
      <c r="M3259">
        <v>0</v>
      </c>
      <c r="N3259">
        <v>0</v>
      </c>
      <c r="O3259">
        <v>1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0</v>
      </c>
      <c r="AH3259">
        <v>0</v>
      </c>
      <c r="AI3259">
        <v>0</v>
      </c>
      <c r="AJ3259">
        <v>1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S3259">
        <v>0</v>
      </c>
      <c r="AT3259">
        <v>0</v>
      </c>
      <c r="AV3259">
        <v>0</v>
      </c>
      <c r="AW3259">
        <v>0</v>
      </c>
      <c r="AY3259">
        <v>0</v>
      </c>
      <c r="AZ3259">
        <v>0</v>
      </c>
      <c r="BA3259">
        <v>0</v>
      </c>
      <c r="BE3259" t="str">
        <f>T("9791137013100")</f>
        <v>9791137013100</v>
      </c>
      <c r="BF3259" t="str">
        <f>T("N187353")</f>
        <v>N187353</v>
      </c>
      <c r="BG3259" t="str">
        <f>T("판타지 웹소설 &gt; 현대 판타지")</f>
        <v>판타지 웹소설 &gt; 현대 판타지</v>
      </c>
    </row>
    <row r="3260" spans="1:59">
      <c r="A3260" t="s">
        <v>60</v>
      </c>
      <c r="B3260" s="1">
        <v>46129</v>
      </c>
      <c r="C3260">
        <v>2378042343</v>
      </c>
      <c r="D3260">
        <v>2378042362</v>
      </c>
      <c r="E3260" t="str">
        <f>T("미국 로또로 역대급 재벌! 20화")</f>
        <v>미국 로또로 역대급 재벌! 20화</v>
      </c>
      <c r="F3260">
        <v>20</v>
      </c>
      <c r="G3260" t="str">
        <f>T("강바기")</f>
        <v>강바기</v>
      </c>
      <c r="J3260" t="str">
        <f>T("매드햇")</f>
        <v>매드햇</v>
      </c>
      <c r="K3260" t="str">
        <f>T("미국 로또로 역대급 재벌!")</f>
        <v>미국 로또로 역대급 재벌!</v>
      </c>
      <c r="L3260">
        <v>0</v>
      </c>
      <c r="M3260">
        <v>0</v>
      </c>
      <c r="N3260">
        <v>0</v>
      </c>
      <c r="O3260">
        <v>1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0</v>
      </c>
      <c r="AH3260">
        <v>0</v>
      </c>
      <c r="AI3260">
        <v>0</v>
      </c>
      <c r="AJ3260">
        <v>1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S3260">
        <v>0</v>
      </c>
      <c r="AT3260">
        <v>0</v>
      </c>
      <c r="AV3260">
        <v>0</v>
      </c>
      <c r="AW3260">
        <v>0</v>
      </c>
      <c r="AY3260">
        <v>0</v>
      </c>
      <c r="AZ3260">
        <v>0</v>
      </c>
      <c r="BA3260">
        <v>0</v>
      </c>
      <c r="BE3260" t="str">
        <f>T("9791137013100")</f>
        <v>9791137013100</v>
      </c>
      <c r="BF3260" t="str">
        <f>T("N187354")</f>
        <v>N187354</v>
      </c>
      <c r="BG3260" t="str">
        <f>T("판타지 웹소설 &gt; 현대 판타지")</f>
        <v>판타지 웹소설 &gt; 현대 판타지</v>
      </c>
    </row>
    <row r="3261" spans="1:59">
      <c r="A3261" t="s">
        <v>60</v>
      </c>
      <c r="B3261" s="1">
        <v>46129</v>
      </c>
      <c r="C3261">
        <v>2378042343</v>
      </c>
      <c r="D3261">
        <v>2378042363</v>
      </c>
      <c r="E3261" t="str">
        <f>T("미국 로또로 역대급 재벌! 21화")</f>
        <v>미국 로또로 역대급 재벌! 21화</v>
      </c>
      <c r="F3261">
        <v>21</v>
      </c>
      <c r="G3261" t="str">
        <f>T("강바기")</f>
        <v>강바기</v>
      </c>
      <c r="J3261" t="str">
        <f>T("매드햇")</f>
        <v>매드햇</v>
      </c>
      <c r="K3261" t="str">
        <f>T("미국 로또로 역대급 재벌!")</f>
        <v>미국 로또로 역대급 재벌!</v>
      </c>
      <c r="L3261">
        <v>0</v>
      </c>
      <c r="M3261">
        <v>0</v>
      </c>
      <c r="N3261">
        <v>0</v>
      </c>
      <c r="O3261">
        <v>1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0</v>
      </c>
      <c r="AH3261">
        <v>0</v>
      </c>
      <c r="AI3261">
        <v>0</v>
      </c>
      <c r="AJ3261">
        <v>1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S3261">
        <v>0</v>
      </c>
      <c r="AT3261">
        <v>0</v>
      </c>
      <c r="AV3261">
        <v>0</v>
      </c>
      <c r="AW3261">
        <v>0</v>
      </c>
      <c r="AY3261">
        <v>0</v>
      </c>
      <c r="AZ3261">
        <v>0</v>
      </c>
      <c r="BA3261">
        <v>0</v>
      </c>
      <c r="BE3261" t="str">
        <f>T("9791137013100")</f>
        <v>9791137013100</v>
      </c>
      <c r="BF3261" t="str">
        <f>T("N187355")</f>
        <v>N187355</v>
      </c>
      <c r="BG3261" t="str">
        <f>T("판타지 웹소설 &gt; 현대 판타지")</f>
        <v>판타지 웹소설 &gt; 현대 판타지</v>
      </c>
    </row>
    <row r="3262" spans="1:59">
      <c r="A3262" t="s">
        <v>60</v>
      </c>
      <c r="B3262" s="1">
        <v>46129</v>
      </c>
      <c r="C3262">
        <v>2378042343</v>
      </c>
      <c r="D3262">
        <v>2378042364</v>
      </c>
      <c r="E3262" t="str">
        <f>T("미국 로또로 역대급 재벌! 22화")</f>
        <v>미국 로또로 역대급 재벌! 22화</v>
      </c>
      <c r="F3262">
        <v>22</v>
      </c>
      <c r="G3262" t="str">
        <f>T("강바기")</f>
        <v>강바기</v>
      </c>
      <c r="J3262" t="str">
        <f>T("매드햇")</f>
        <v>매드햇</v>
      </c>
      <c r="K3262" t="str">
        <f>T("미국 로또로 역대급 재벌!")</f>
        <v>미국 로또로 역대급 재벌!</v>
      </c>
      <c r="L3262">
        <v>0</v>
      </c>
      <c r="M3262">
        <v>0</v>
      </c>
      <c r="N3262">
        <v>0</v>
      </c>
      <c r="O3262">
        <v>1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0</v>
      </c>
      <c r="AH3262">
        <v>0</v>
      </c>
      <c r="AI3262">
        <v>0</v>
      </c>
      <c r="AJ3262">
        <v>1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S3262">
        <v>0</v>
      </c>
      <c r="AT3262">
        <v>0</v>
      </c>
      <c r="AV3262">
        <v>0</v>
      </c>
      <c r="AW3262">
        <v>0</v>
      </c>
      <c r="AY3262">
        <v>0</v>
      </c>
      <c r="AZ3262">
        <v>0</v>
      </c>
      <c r="BA3262">
        <v>0</v>
      </c>
      <c r="BE3262" t="str">
        <f>T("9791137013100")</f>
        <v>9791137013100</v>
      </c>
      <c r="BF3262" t="str">
        <f>T("N187356")</f>
        <v>N187356</v>
      </c>
      <c r="BG3262" t="str">
        <f>T("판타지 웹소설 &gt; 현대 판타지")</f>
        <v>판타지 웹소설 &gt; 현대 판타지</v>
      </c>
    </row>
    <row r="3263" spans="1:59">
      <c r="A3263" t="s">
        <v>60</v>
      </c>
      <c r="B3263" s="1">
        <v>46129</v>
      </c>
      <c r="C3263">
        <v>2378042343</v>
      </c>
      <c r="D3263">
        <v>2378042365</v>
      </c>
      <c r="E3263" t="str">
        <f>T("미국 로또로 역대급 재벌! 23화")</f>
        <v>미국 로또로 역대급 재벌! 23화</v>
      </c>
      <c r="F3263">
        <v>23</v>
      </c>
      <c r="G3263" t="str">
        <f>T("강바기")</f>
        <v>강바기</v>
      </c>
      <c r="J3263" t="str">
        <f>T("매드햇")</f>
        <v>매드햇</v>
      </c>
      <c r="K3263" t="str">
        <f>T("미국 로또로 역대급 재벌!")</f>
        <v>미국 로또로 역대급 재벌!</v>
      </c>
      <c r="L3263">
        <v>0</v>
      </c>
      <c r="M3263">
        <v>0</v>
      </c>
      <c r="N3263">
        <v>0</v>
      </c>
      <c r="O3263">
        <v>1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0</v>
      </c>
      <c r="AH3263">
        <v>0</v>
      </c>
      <c r="AI3263">
        <v>0</v>
      </c>
      <c r="AJ3263">
        <v>1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S3263">
        <v>0</v>
      </c>
      <c r="AT3263">
        <v>0</v>
      </c>
      <c r="AV3263">
        <v>0</v>
      </c>
      <c r="AW3263">
        <v>0</v>
      </c>
      <c r="AY3263">
        <v>0</v>
      </c>
      <c r="AZ3263">
        <v>0</v>
      </c>
      <c r="BA3263">
        <v>0</v>
      </c>
      <c r="BE3263" t="str">
        <f>T("9791137013100")</f>
        <v>9791137013100</v>
      </c>
      <c r="BF3263" t="str">
        <f>T("N187357")</f>
        <v>N187357</v>
      </c>
      <c r="BG3263" t="str">
        <f>T("판타지 웹소설 &gt; 현대 판타지")</f>
        <v>판타지 웹소설 &gt; 현대 판타지</v>
      </c>
    </row>
    <row r="3264" spans="1:59">
      <c r="A3264" t="s">
        <v>60</v>
      </c>
      <c r="B3264" s="1">
        <v>46129</v>
      </c>
      <c r="C3264">
        <v>2378042343</v>
      </c>
      <c r="D3264">
        <v>2378042366</v>
      </c>
      <c r="E3264" t="str">
        <f>T("미국 로또로 역대급 재벌! 24화")</f>
        <v>미국 로또로 역대급 재벌! 24화</v>
      </c>
      <c r="F3264">
        <v>24</v>
      </c>
      <c r="G3264" t="str">
        <f>T("강바기")</f>
        <v>강바기</v>
      </c>
      <c r="J3264" t="str">
        <f>T("매드햇")</f>
        <v>매드햇</v>
      </c>
      <c r="K3264" t="str">
        <f>T("미국 로또로 역대급 재벌!")</f>
        <v>미국 로또로 역대급 재벌!</v>
      </c>
      <c r="L3264">
        <v>0</v>
      </c>
      <c r="M3264">
        <v>0</v>
      </c>
      <c r="N3264">
        <v>0</v>
      </c>
      <c r="O3264">
        <v>1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0</v>
      </c>
      <c r="AH3264">
        <v>0</v>
      </c>
      <c r="AI3264">
        <v>0</v>
      </c>
      <c r="AJ3264">
        <v>1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S3264">
        <v>0</v>
      </c>
      <c r="AT3264">
        <v>0</v>
      </c>
      <c r="AV3264">
        <v>0</v>
      </c>
      <c r="AW3264">
        <v>0</v>
      </c>
      <c r="AY3264">
        <v>0</v>
      </c>
      <c r="AZ3264">
        <v>0</v>
      </c>
      <c r="BA3264">
        <v>0</v>
      </c>
      <c r="BE3264" t="str">
        <f>T("9791137013100")</f>
        <v>9791137013100</v>
      </c>
      <c r="BF3264" t="str">
        <f>T("N187358")</f>
        <v>N187358</v>
      </c>
      <c r="BG3264" t="str">
        <f>T("판타지 웹소설 &gt; 현대 판타지")</f>
        <v>판타지 웹소설 &gt; 현대 판타지</v>
      </c>
    </row>
    <row r="3265" spans="1:59">
      <c r="A3265" t="s">
        <v>60</v>
      </c>
      <c r="B3265" s="1">
        <v>46129</v>
      </c>
      <c r="C3265">
        <v>2378042343</v>
      </c>
      <c r="D3265">
        <v>2378042367</v>
      </c>
      <c r="E3265" t="str">
        <f>T("미국 로또로 역대급 재벌! 25화")</f>
        <v>미국 로또로 역대급 재벌! 25화</v>
      </c>
      <c r="F3265">
        <v>25</v>
      </c>
      <c r="G3265" t="str">
        <f>T("강바기")</f>
        <v>강바기</v>
      </c>
      <c r="J3265" t="str">
        <f>T("매드햇")</f>
        <v>매드햇</v>
      </c>
      <c r="K3265" t="str">
        <f>T("미국 로또로 역대급 재벌!")</f>
        <v>미국 로또로 역대급 재벌!</v>
      </c>
      <c r="L3265">
        <v>0</v>
      </c>
      <c r="M3265">
        <v>0</v>
      </c>
      <c r="N3265">
        <v>0</v>
      </c>
      <c r="O3265">
        <v>1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0</v>
      </c>
      <c r="AH3265">
        <v>0</v>
      </c>
      <c r="AI3265">
        <v>0</v>
      </c>
      <c r="AJ3265">
        <v>1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S3265">
        <v>0</v>
      </c>
      <c r="AT3265">
        <v>0</v>
      </c>
      <c r="AV3265">
        <v>0</v>
      </c>
      <c r="AW3265">
        <v>0</v>
      </c>
      <c r="AY3265">
        <v>0</v>
      </c>
      <c r="AZ3265">
        <v>0</v>
      </c>
      <c r="BA3265">
        <v>0</v>
      </c>
      <c r="BE3265" t="str">
        <f>T("9791137013100")</f>
        <v>9791137013100</v>
      </c>
      <c r="BF3265" t="str">
        <f>T("N187359")</f>
        <v>N187359</v>
      </c>
      <c r="BG3265" t="str">
        <f>T("판타지 웹소설 &gt; 현대 판타지")</f>
        <v>판타지 웹소설 &gt; 현대 판타지</v>
      </c>
    </row>
    <row r="3266" spans="1:59">
      <c r="A3266" t="s">
        <v>60</v>
      </c>
      <c r="B3266" s="1">
        <v>46129</v>
      </c>
      <c r="C3266">
        <v>2378042343</v>
      </c>
      <c r="D3266">
        <v>2378042368</v>
      </c>
      <c r="E3266" t="str">
        <f>T("미국 로또로 역대급 재벌! 26화")</f>
        <v>미국 로또로 역대급 재벌! 26화</v>
      </c>
      <c r="F3266">
        <v>26</v>
      </c>
      <c r="G3266" t="str">
        <f>T("강바기")</f>
        <v>강바기</v>
      </c>
      <c r="J3266" t="str">
        <f>T("매드햇")</f>
        <v>매드햇</v>
      </c>
      <c r="K3266" t="str">
        <f>T("미국 로또로 역대급 재벌!")</f>
        <v>미국 로또로 역대급 재벌!</v>
      </c>
      <c r="L3266">
        <v>100</v>
      </c>
      <c r="M3266">
        <v>100</v>
      </c>
      <c r="N3266">
        <v>1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0</v>
      </c>
      <c r="AH3266">
        <v>0</v>
      </c>
      <c r="AI3266">
        <v>100</v>
      </c>
      <c r="AJ3266">
        <v>1</v>
      </c>
      <c r="AK3266">
        <v>0</v>
      </c>
      <c r="AL3266">
        <v>0</v>
      </c>
      <c r="AM3266">
        <v>0</v>
      </c>
      <c r="AN3266">
        <v>0</v>
      </c>
      <c r="AO3266">
        <v>120</v>
      </c>
      <c r="AP3266">
        <v>-12</v>
      </c>
      <c r="AQ3266">
        <v>0</v>
      </c>
      <c r="AS3266">
        <v>0</v>
      </c>
      <c r="AT3266">
        <v>0</v>
      </c>
      <c r="AU3266">
        <v>120</v>
      </c>
      <c r="AV3266">
        <v>-12</v>
      </c>
      <c r="AW3266">
        <v>0</v>
      </c>
      <c r="AY3266">
        <v>0</v>
      </c>
      <c r="AZ3266">
        <v>0</v>
      </c>
      <c r="BA3266">
        <v>75.599999999999994</v>
      </c>
      <c r="BE3266" t="str">
        <f>T("9791137013100")</f>
        <v>9791137013100</v>
      </c>
      <c r="BF3266" t="str">
        <f>T("N187360")</f>
        <v>N187360</v>
      </c>
      <c r="BG3266" t="str">
        <f>T("판타지 웹소설 &gt; 현대 판타지")</f>
        <v>판타지 웹소설 &gt; 현대 판타지</v>
      </c>
    </row>
    <row r="3267" spans="1:59">
      <c r="A3267" t="s">
        <v>60</v>
      </c>
      <c r="B3267" s="1">
        <v>46129</v>
      </c>
      <c r="C3267">
        <v>2378042343</v>
      </c>
      <c r="D3267">
        <v>2378042369</v>
      </c>
      <c r="E3267" t="str">
        <f>T("미국 로또로 역대급 재벌! 27화")</f>
        <v>미국 로또로 역대급 재벌! 27화</v>
      </c>
      <c r="F3267">
        <v>27</v>
      </c>
      <c r="G3267" t="str">
        <f>T("강바기")</f>
        <v>강바기</v>
      </c>
      <c r="J3267" t="str">
        <f>T("매드햇")</f>
        <v>매드햇</v>
      </c>
      <c r="K3267" t="str">
        <f>T("미국 로또로 역대급 재벌!")</f>
        <v>미국 로또로 역대급 재벌!</v>
      </c>
      <c r="L3267">
        <v>100</v>
      </c>
      <c r="M3267">
        <v>100</v>
      </c>
      <c r="N3267">
        <v>1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0</v>
      </c>
      <c r="AH3267">
        <v>0</v>
      </c>
      <c r="AI3267">
        <v>100</v>
      </c>
      <c r="AJ3267">
        <v>1</v>
      </c>
      <c r="AK3267">
        <v>0</v>
      </c>
      <c r="AL3267">
        <v>0</v>
      </c>
      <c r="AM3267">
        <v>0</v>
      </c>
      <c r="AN3267">
        <v>0</v>
      </c>
      <c r="AO3267">
        <v>120</v>
      </c>
      <c r="AP3267">
        <v>-12</v>
      </c>
      <c r="AQ3267">
        <v>0</v>
      </c>
      <c r="AS3267">
        <v>0</v>
      </c>
      <c r="AT3267">
        <v>0</v>
      </c>
      <c r="AU3267">
        <v>120</v>
      </c>
      <c r="AV3267">
        <v>-12</v>
      </c>
      <c r="AW3267">
        <v>0</v>
      </c>
      <c r="AY3267">
        <v>0</v>
      </c>
      <c r="AZ3267">
        <v>0</v>
      </c>
      <c r="BA3267">
        <v>75.599999999999994</v>
      </c>
      <c r="BE3267" t="str">
        <f>T("9791137013100")</f>
        <v>9791137013100</v>
      </c>
      <c r="BF3267" t="str">
        <f>T("N187361")</f>
        <v>N187361</v>
      </c>
      <c r="BG3267" t="str">
        <f>T("판타지 웹소설 &gt; 현대 판타지")</f>
        <v>판타지 웹소설 &gt; 현대 판타지</v>
      </c>
    </row>
    <row r="3268" spans="1:59">
      <c r="A3268" t="s">
        <v>60</v>
      </c>
      <c r="B3268" s="1">
        <v>46129</v>
      </c>
      <c r="C3268">
        <v>2378042343</v>
      </c>
      <c r="D3268">
        <v>2378042370</v>
      </c>
      <c r="E3268" t="str">
        <f>T("미국 로또로 역대급 재벌! 28화")</f>
        <v>미국 로또로 역대급 재벌! 28화</v>
      </c>
      <c r="F3268">
        <v>28</v>
      </c>
      <c r="G3268" t="str">
        <f>T("강바기")</f>
        <v>강바기</v>
      </c>
      <c r="J3268" t="str">
        <f>T("매드햇")</f>
        <v>매드햇</v>
      </c>
      <c r="K3268" t="str">
        <f>T("미국 로또로 역대급 재벌!")</f>
        <v>미국 로또로 역대급 재벌!</v>
      </c>
      <c r="L3268">
        <v>100</v>
      </c>
      <c r="M3268">
        <v>100</v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0</v>
      </c>
      <c r="AI3268">
        <v>100</v>
      </c>
      <c r="AJ3268">
        <v>1</v>
      </c>
      <c r="AK3268">
        <v>0</v>
      </c>
      <c r="AL3268">
        <v>0</v>
      </c>
      <c r="AM3268">
        <v>0</v>
      </c>
      <c r="AN3268">
        <v>0</v>
      </c>
      <c r="AO3268">
        <v>120</v>
      </c>
      <c r="AP3268">
        <v>-12</v>
      </c>
      <c r="AQ3268">
        <v>0</v>
      </c>
      <c r="AS3268">
        <v>0</v>
      </c>
      <c r="AT3268">
        <v>0</v>
      </c>
      <c r="AU3268">
        <v>120</v>
      </c>
      <c r="AV3268">
        <v>-12</v>
      </c>
      <c r="AW3268">
        <v>0</v>
      </c>
      <c r="AY3268">
        <v>0</v>
      </c>
      <c r="AZ3268">
        <v>0</v>
      </c>
      <c r="BA3268">
        <v>75.599999999999994</v>
      </c>
      <c r="BE3268" t="str">
        <f>T("9791137013100")</f>
        <v>9791137013100</v>
      </c>
      <c r="BF3268" t="str">
        <f>T("N187362")</f>
        <v>N187362</v>
      </c>
      <c r="BG3268" t="str">
        <f>T("판타지 웹소설 &gt; 현대 판타지")</f>
        <v>판타지 웹소설 &gt; 현대 판타지</v>
      </c>
    </row>
    <row r="3269" spans="1:59">
      <c r="A3269" t="s">
        <v>60</v>
      </c>
      <c r="B3269" s="1">
        <v>46129</v>
      </c>
      <c r="C3269">
        <v>2378042343</v>
      </c>
      <c r="D3269">
        <v>2378042371</v>
      </c>
      <c r="E3269" t="str">
        <f>T("미국 로또로 역대급 재벌! 29화")</f>
        <v>미국 로또로 역대급 재벌! 29화</v>
      </c>
      <c r="F3269">
        <v>29</v>
      </c>
      <c r="G3269" t="str">
        <f>T("강바기")</f>
        <v>강바기</v>
      </c>
      <c r="J3269" t="str">
        <f>T("매드햇")</f>
        <v>매드햇</v>
      </c>
      <c r="K3269" t="str">
        <f>T("미국 로또로 역대급 재벌!")</f>
        <v>미국 로또로 역대급 재벌!</v>
      </c>
      <c r="L3269">
        <v>100</v>
      </c>
      <c r="M3269">
        <v>100</v>
      </c>
      <c r="N3269">
        <v>1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0</v>
      </c>
      <c r="AI3269">
        <v>100</v>
      </c>
      <c r="AJ3269">
        <v>1</v>
      </c>
      <c r="AK3269">
        <v>0</v>
      </c>
      <c r="AL3269">
        <v>0</v>
      </c>
      <c r="AM3269">
        <v>0</v>
      </c>
      <c r="AN3269">
        <v>0</v>
      </c>
      <c r="AO3269">
        <v>120</v>
      </c>
      <c r="AP3269">
        <v>-12</v>
      </c>
      <c r="AQ3269">
        <v>0</v>
      </c>
      <c r="AS3269">
        <v>0</v>
      </c>
      <c r="AT3269">
        <v>0</v>
      </c>
      <c r="AU3269">
        <v>120</v>
      </c>
      <c r="AV3269">
        <v>-12</v>
      </c>
      <c r="AW3269">
        <v>0</v>
      </c>
      <c r="AY3269">
        <v>0</v>
      </c>
      <c r="AZ3269">
        <v>0</v>
      </c>
      <c r="BA3269">
        <v>75.599999999999994</v>
      </c>
      <c r="BE3269" t="str">
        <f>T("9791137013100")</f>
        <v>9791137013100</v>
      </c>
      <c r="BF3269" t="str">
        <f>T("N187363")</f>
        <v>N187363</v>
      </c>
      <c r="BG3269" t="str">
        <f>T("판타지 웹소설 &gt; 현대 판타지")</f>
        <v>판타지 웹소설 &gt; 현대 판타지</v>
      </c>
    </row>
    <row r="3270" spans="1:59">
      <c r="A3270" t="s">
        <v>60</v>
      </c>
      <c r="B3270" s="1">
        <v>46129</v>
      </c>
      <c r="C3270">
        <v>2378042343</v>
      </c>
      <c r="D3270">
        <v>2378042372</v>
      </c>
      <c r="E3270" t="str">
        <f>T("미국 로또로 역대급 재벌! 30화")</f>
        <v>미국 로또로 역대급 재벌! 30화</v>
      </c>
      <c r="F3270">
        <v>30</v>
      </c>
      <c r="G3270" t="str">
        <f>T("강바기")</f>
        <v>강바기</v>
      </c>
      <c r="J3270" t="str">
        <f>T("매드햇")</f>
        <v>매드햇</v>
      </c>
      <c r="K3270" t="str">
        <f>T("미국 로또로 역대급 재벌!")</f>
        <v>미국 로또로 역대급 재벌!</v>
      </c>
      <c r="L3270">
        <v>100</v>
      </c>
      <c r="M3270">
        <v>100</v>
      </c>
      <c r="N3270">
        <v>1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0</v>
      </c>
      <c r="AI3270">
        <v>100</v>
      </c>
      <c r="AJ3270">
        <v>1</v>
      </c>
      <c r="AK3270">
        <v>0</v>
      </c>
      <c r="AL3270">
        <v>0</v>
      </c>
      <c r="AM3270">
        <v>0</v>
      </c>
      <c r="AN3270">
        <v>0</v>
      </c>
      <c r="AO3270">
        <v>120</v>
      </c>
      <c r="AP3270">
        <v>-12</v>
      </c>
      <c r="AQ3270">
        <v>0</v>
      </c>
      <c r="AS3270">
        <v>0</v>
      </c>
      <c r="AT3270">
        <v>0</v>
      </c>
      <c r="AU3270">
        <v>120</v>
      </c>
      <c r="AV3270">
        <v>-12</v>
      </c>
      <c r="AW3270">
        <v>0</v>
      </c>
      <c r="AY3270">
        <v>0</v>
      </c>
      <c r="AZ3270">
        <v>0</v>
      </c>
      <c r="BA3270">
        <v>75.599999999999994</v>
      </c>
      <c r="BE3270" t="str">
        <f>T("9791137013100")</f>
        <v>9791137013100</v>
      </c>
      <c r="BF3270" t="str">
        <f>T("N187364")</f>
        <v>N187364</v>
      </c>
      <c r="BG3270" t="str">
        <f>T("판타지 웹소설 &gt; 현대 판타지")</f>
        <v>판타지 웹소설 &gt; 현대 판타지</v>
      </c>
    </row>
    <row r="3271" spans="1:59">
      <c r="A3271" t="s">
        <v>60</v>
      </c>
      <c r="B3271" s="1">
        <v>46129</v>
      </c>
      <c r="C3271">
        <v>2378042343</v>
      </c>
      <c r="D3271">
        <v>2378042373</v>
      </c>
      <c r="E3271" t="str">
        <f>T("미국 로또로 역대급 재벌! 31화")</f>
        <v>미국 로또로 역대급 재벌! 31화</v>
      </c>
      <c r="F3271">
        <v>31</v>
      </c>
      <c r="G3271" t="str">
        <f>T("강바기")</f>
        <v>강바기</v>
      </c>
      <c r="J3271" t="str">
        <f>T("매드햇")</f>
        <v>매드햇</v>
      </c>
      <c r="K3271" t="str">
        <f>T("미국 로또로 역대급 재벌!")</f>
        <v>미국 로또로 역대급 재벌!</v>
      </c>
      <c r="L3271">
        <v>100</v>
      </c>
      <c r="M3271">
        <v>100</v>
      </c>
      <c r="N3271">
        <v>1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0</v>
      </c>
      <c r="AI3271">
        <v>100</v>
      </c>
      <c r="AJ3271">
        <v>1</v>
      </c>
      <c r="AK3271">
        <v>0</v>
      </c>
      <c r="AL3271">
        <v>0</v>
      </c>
      <c r="AM3271">
        <v>0</v>
      </c>
      <c r="AN3271">
        <v>0</v>
      </c>
      <c r="AO3271">
        <v>120</v>
      </c>
      <c r="AP3271">
        <v>-12</v>
      </c>
      <c r="AQ3271">
        <v>0</v>
      </c>
      <c r="AS3271">
        <v>0</v>
      </c>
      <c r="AT3271">
        <v>0</v>
      </c>
      <c r="AU3271">
        <v>120</v>
      </c>
      <c r="AV3271">
        <v>-12</v>
      </c>
      <c r="AW3271">
        <v>0</v>
      </c>
      <c r="AY3271">
        <v>0</v>
      </c>
      <c r="AZ3271">
        <v>0</v>
      </c>
      <c r="BA3271">
        <v>75.599999999999994</v>
      </c>
      <c r="BE3271" t="str">
        <f>T("9791137013100")</f>
        <v>9791137013100</v>
      </c>
      <c r="BF3271" t="str">
        <f>T("N187365")</f>
        <v>N187365</v>
      </c>
      <c r="BG3271" t="str">
        <f>T("판타지 웹소설 &gt; 현대 판타지")</f>
        <v>판타지 웹소설 &gt; 현대 판타지</v>
      </c>
    </row>
    <row r="3272" spans="1:59">
      <c r="A3272" t="s">
        <v>60</v>
      </c>
      <c r="B3272" s="1">
        <v>46129</v>
      </c>
      <c r="C3272">
        <v>2378042343</v>
      </c>
      <c r="D3272">
        <v>2378042374</v>
      </c>
      <c r="E3272" t="str">
        <f>T("미국 로또로 역대급 재벌! 32화")</f>
        <v>미국 로또로 역대급 재벌! 32화</v>
      </c>
      <c r="F3272">
        <v>32</v>
      </c>
      <c r="G3272" t="str">
        <f>T("강바기")</f>
        <v>강바기</v>
      </c>
      <c r="J3272" t="str">
        <f>T("매드햇")</f>
        <v>매드햇</v>
      </c>
      <c r="K3272" t="str">
        <f>T("미국 로또로 역대급 재벌!")</f>
        <v>미국 로또로 역대급 재벌!</v>
      </c>
      <c r="L3272">
        <v>100</v>
      </c>
      <c r="M3272">
        <v>100</v>
      </c>
      <c r="N3272">
        <v>1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0</v>
      </c>
      <c r="AI3272">
        <v>100</v>
      </c>
      <c r="AJ3272">
        <v>1</v>
      </c>
      <c r="AK3272">
        <v>0</v>
      </c>
      <c r="AL3272">
        <v>0</v>
      </c>
      <c r="AM3272">
        <v>0</v>
      </c>
      <c r="AN3272">
        <v>0</v>
      </c>
      <c r="AO3272">
        <v>120</v>
      </c>
      <c r="AP3272">
        <v>-12</v>
      </c>
      <c r="AQ3272">
        <v>0</v>
      </c>
      <c r="AS3272">
        <v>0</v>
      </c>
      <c r="AT3272">
        <v>0</v>
      </c>
      <c r="AU3272">
        <v>120</v>
      </c>
      <c r="AV3272">
        <v>-12</v>
      </c>
      <c r="AW3272">
        <v>0</v>
      </c>
      <c r="AY3272">
        <v>0</v>
      </c>
      <c r="AZ3272">
        <v>0</v>
      </c>
      <c r="BA3272">
        <v>75.599999999999994</v>
      </c>
      <c r="BE3272" t="str">
        <f>T("9791137013100")</f>
        <v>9791137013100</v>
      </c>
      <c r="BF3272" t="str">
        <f>T("N187366")</f>
        <v>N187366</v>
      </c>
      <c r="BG3272" t="str">
        <f>T("판타지 웹소설 &gt; 현대 판타지")</f>
        <v>판타지 웹소설 &gt; 현대 판타지</v>
      </c>
    </row>
    <row r="3273" spans="1:59">
      <c r="A3273" t="s">
        <v>60</v>
      </c>
      <c r="B3273" s="1">
        <v>46129</v>
      </c>
      <c r="C3273">
        <v>2378042343</v>
      </c>
      <c r="D3273">
        <v>2378042375</v>
      </c>
      <c r="E3273" t="str">
        <f>T("미국 로또로 역대급 재벌! 33화")</f>
        <v>미국 로또로 역대급 재벌! 33화</v>
      </c>
      <c r="F3273">
        <v>33</v>
      </c>
      <c r="G3273" t="str">
        <f>T("강바기")</f>
        <v>강바기</v>
      </c>
      <c r="J3273" t="str">
        <f>T("매드햇")</f>
        <v>매드햇</v>
      </c>
      <c r="K3273" t="str">
        <f>T("미국 로또로 역대급 재벌!")</f>
        <v>미국 로또로 역대급 재벌!</v>
      </c>
      <c r="L3273">
        <v>100</v>
      </c>
      <c r="M3273">
        <v>100</v>
      </c>
      <c r="N3273">
        <v>1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0</v>
      </c>
      <c r="AI3273">
        <v>100</v>
      </c>
      <c r="AJ3273">
        <v>1</v>
      </c>
      <c r="AK3273">
        <v>0</v>
      </c>
      <c r="AL3273">
        <v>0</v>
      </c>
      <c r="AM3273">
        <v>0</v>
      </c>
      <c r="AN3273">
        <v>0</v>
      </c>
      <c r="AO3273">
        <v>120</v>
      </c>
      <c r="AP3273">
        <v>-12</v>
      </c>
      <c r="AQ3273">
        <v>0</v>
      </c>
      <c r="AS3273">
        <v>0</v>
      </c>
      <c r="AT3273">
        <v>0</v>
      </c>
      <c r="AU3273">
        <v>120</v>
      </c>
      <c r="AV3273">
        <v>-12</v>
      </c>
      <c r="AW3273">
        <v>0</v>
      </c>
      <c r="AY3273">
        <v>0</v>
      </c>
      <c r="AZ3273">
        <v>0</v>
      </c>
      <c r="BA3273">
        <v>75.599999999999994</v>
      </c>
      <c r="BE3273" t="str">
        <f>T("9791137013100")</f>
        <v>9791137013100</v>
      </c>
      <c r="BF3273" t="str">
        <f>T("N187367")</f>
        <v>N187367</v>
      </c>
      <c r="BG3273" t="str">
        <f>T("판타지 웹소설 &gt; 현대 판타지")</f>
        <v>판타지 웹소설 &gt; 현대 판타지</v>
      </c>
    </row>
    <row r="3274" spans="1:59">
      <c r="A3274" t="s">
        <v>60</v>
      </c>
      <c r="B3274" s="1">
        <v>46129</v>
      </c>
      <c r="C3274">
        <v>2378042343</v>
      </c>
      <c r="D3274">
        <v>2378042376</v>
      </c>
      <c r="E3274" t="str">
        <f>T("미국 로또로 역대급 재벌! 34화")</f>
        <v>미국 로또로 역대급 재벌! 34화</v>
      </c>
      <c r="F3274">
        <v>34</v>
      </c>
      <c r="G3274" t="str">
        <f>T("강바기")</f>
        <v>강바기</v>
      </c>
      <c r="J3274" t="str">
        <f>T("매드햇")</f>
        <v>매드햇</v>
      </c>
      <c r="K3274" t="str">
        <f>T("미국 로또로 역대급 재벌!")</f>
        <v>미국 로또로 역대급 재벌!</v>
      </c>
      <c r="L3274">
        <v>100</v>
      </c>
      <c r="M3274">
        <v>100</v>
      </c>
      <c r="N3274">
        <v>1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0</v>
      </c>
      <c r="AH3274">
        <v>0</v>
      </c>
      <c r="AI3274">
        <v>100</v>
      </c>
      <c r="AJ3274">
        <v>1</v>
      </c>
      <c r="AK3274">
        <v>0</v>
      </c>
      <c r="AL3274">
        <v>0</v>
      </c>
      <c r="AM3274">
        <v>0</v>
      </c>
      <c r="AN3274">
        <v>0</v>
      </c>
      <c r="AO3274">
        <v>120</v>
      </c>
      <c r="AP3274">
        <v>-12</v>
      </c>
      <c r="AQ3274">
        <v>0</v>
      </c>
      <c r="AS3274">
        <v>0</v>
      </c>
      <c r="AT3274">
        <v>0</v>
      </c>
      <c r="AU3274">
        <v>120</v>
      </c>
      <c r="AV3274">
        <v>-12</v>
      </c>
      <c r="AW3274">
        <v>0</v>
      </c>
      <c r="AY3274">
        <v>0</v>
      </c>
      <c r="AZ3274">
        <v>0</v>
      </c>
      <c r="BA3274">
        <v>75.599999999999994</v>
      </c>
      <c r="BE3274" t="str">
        <f>T("9791137013100")</f>
        <v>9791137013100</v>
      </c>
      <c r="BF3274" t="str">
        <f>T("N187368")</f>
        <v>N187368</v>
      </c>
      <c r="BG3274" t="str">
        <f>T("판타지 웹소설 &gt; 현대 판타지")</f>
        <v>판타지 웹소설 &gt; 현대 판타지</v>
      </c>
    </row>
    <row r="3275" spans="1:59">
      <c r="A3275" t="s">
        <v>60</v>
      </c>
      <c r="B3275" s="1">
        <v>46129</v>
      </c>
      <c r="C3275">
        <v>2378042343</v>
      </c>
      <c r="D3275">
        <v>2378042377</v>
      </c>
      <c r="E3275" t="str">
        <f>T("미국 로또로 역대급 재벌! 35화")</f>
        <v>미국 로또로 역대급 재벌! 35화</v>
      </c>
      <c r="F3275">
        <v>35</v>
      </c>
      <c r="G3275" t="str">
        <f>T("강바기")</f>
        <v>강바기</v>
      </c>
      <c r="J3275" t="str">
        <f>T("매드햇")</f>
        <v>매드햇</v>
      </c>
      <c r="K3275" t="str">
        <f>T("미국 로또로 역대급 재벌!")</f>
        <v>미국 로또로 역대급 재벌!</v>
      </c>
      <c r="L3275">
        <v>100</v>
      </c>
      <c r="M3275">
        <v>100</v>
      </c>
      <c r="N3275">
        <v>1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0</v>
      </c>
      <c r="AH3275">
        <v>0</v>
      </c>
      <c r="AI3275">
        <v>100</v>
      </c>
      <c r="AJ3275">
        <v>1</v>
      </c>
      <c r="AK3275">
        <v>0</v>
      </c>
      <c r="AL3275">
        <v>0</v>
      </c>
      <c r="AM3275">
        <v>0</v>
      </c>
      <c r="AN3275">
        <v>0</v>
      </c>
      <c r="AO3275">
        <v>120</v>
      </c>
      <c r="AP3275">
        <v>-12</v>
      </c>
      <c r="AQ3275">
        <v>0</v>
      </c>
      <c r="AS3275">
        <v>0</v>
      </c>
      <c r="AT3275">
        <v>0</v>
      </c>
      <c r="AU3275">
        <v>120</v>
      </c>
      <c r="AV3275">
        <v>-12</v>
      </c>
      <c r="AW3275">
        <v>0</v>
      </c>
      <c r="AY3275">
        <v>0</v>
      </c>
      <c r="AZ3275">
        <v>0</v>
      </c>
      <c r="BA3275">
        <v>75.599999999999994</v>
      </c>
      <c r="BE3275" t="str">
        <f>T("9791137013100")</f>
        <v>9791137013100</v>
      </c>
      <c r="BF3275" t="str">
        <f>T("N187369")</f>
        <v>N187369</v>
      </c>
      <c r="BG3275" t="str">
        <f>T("판타지 웹소설 &gt; 현대 판타지")</f>
        <v>판타지 웹소설 &gt; 현대 판타지</v>
      </c>
    </row>
    <row r="3276" spans="1:59">
      <c r="A3276" t="s">
        <v>60</v>
      </c>
      <c r="B3276" s="1">
        <v>46129</v>
      </c>
      <c r="C3276">
        <v>2378042343</v>
      </c>
      <c r="D3276">
        <v>2378042378</v>
      </c>
      <c r="E3276" t="str">
        <f>T("미국 로또로 역대급 재벌! 36화")</f>
        <v>미국 로또로 역대급 재벌! 36화</v>
      </c>
      <c r="F3276">
        <v>36</v>
      </c>
      <c r="G3276" t="str">
        <f>T("강바기")</f>
        <v>강바기</v>
      </c>
      <c r="J3276" t="str">
        <f>T("매드햇")</f>
        <v>매드햇</v>
      </c>
      <c r="K3276" t="str">
        <f>T("미국 로또로 역대급 재벌!")</f>
        <v>미국 로또로 역대급 재벌!</v>
      </c>
      <c r="L3276">
        <v>100</v>
      </c>
      <c r="M3276">
        <v>100</v>
      </c>
      <c r="N3276">
        <v>1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0</v>
      </c>
      <c r="AH3276">
        <v>0</v>
      </c>
      <c r="AI3276">
        <v>100</v>
      </c>
      <c r="AJ3276">
        <v>1</v>
      </c>
      <c r="AK3276">
        <v>0</v>
      </c>
      <c r="AL3276">
        <v>0</v>
      </c>
      <c r="AM3276">
        <v>0</v>
      </c>
      <c r="AN3276">
        <v>0</v>
      </c>
      <c r="AO3276">
        <v>120</v>
      </c>
      <c r="AP3276">
        <v>-12</v>
      </c>
      <c r="AQ3276">
        <v>0</v>
      </c>
      <c r="AS3276">
        <v>0</v>
      </c>
      <c r="AT3276">
        <v>0</v>
      </c>
      <c r="AU3276">
        <v>120</v>
      </c>
      <c r="AV3276">
        <v>-12</v>
      </c>
      <c r="AW3276">
        <v>0</v>
      </c>
      <c r="AY3276">
        <v>0</v>
      </c>
      <c r="AZ3276">
        <v>0</v>
      </c>
      <c r="BA3276">
        <v>75.599999999999994</v>
      </c>
      <c r="BE3276" t="str">
        <f>T("9791137013100")</f>
        <v>9791137013100</v>
      </c>
      <c r="BF3276" t="str">
        <f>T("N187370")</f>
        <v>N187370</v>
      </c>
      <c r="BG3276" t="str">
        <f>T("판타지 웹소설 &gt; 현대 판타지")</f>
        <v>판타지 웹소설 &gt; 현대 판타지</v>
      </c>
    </row>
    <row r="3277" spans="1:59">
      <c r="A3277" t="s">
        <v>60</v>
      </c>
      <c r="B3277" s="1">
        <v>46129</v>
      </c>
      <c r="C3277">
        <v>2378042343</v>
      </c>
      <c r="D3277">
        <v>2378042379</v>
      </c>
      <c r="E3277" t="str">
        <f>T("미국 로또로 역대급 재벌! 37화")</f>
        <v>미국 로또로 역대급 재벌! 37화</v>
      </c>
      <c r="F3277">
        <v>37</v>
      </c>
      <c r="G3277" t="str">
        <f>T("강바기")</f>
        <v>강바기</v>
      </c>
      <c r="J3277" t="str">
        <f>T("매드햇")</f>
        <v>매드햇</v>
      </c>
      <c r="K3277" t="str">
        <f>T("미국 로또로 역대급 재벌!")</f>
        <v>미국 로또로 역대급 재벌!</v>
      </c>
      <c r="L3277">
        <v>100</v>
      </c>
      <c r="M3277">
        <v>100</v>
      </c>
      <c r="N3277">
        <v>1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0</v>
      </c>
      <c r="AH3277">
        <v>0</v>
      </c>
      <c r="AI3277">
        <v>100</v>
      </c>
      <c r="AJ3277">
        <v>1</v>
      </c>
      <c r="AK3277">
        <v>0</v>
      </c>
      <c r="AL3277">
        <v>0</v>
      </c>
      <c r="AM3277">
        <v>0</v>
      </c>
      <c r="AN3277">
        <v>0</v>
      </c>
      <c r="AO3277">
        <v>120</v>
      </c>
      <c r="AP3277">
        <v>-12</v>
      </c>
      <c r="AQ3277">
        <v>0</v>
      </c>
      <c r="AS3277">
        <v>0</v>
      </c>
      <c r="AT3277">
        <v>0</v>
      </c>
      <c r="AU3277">
        <v>120</v>
      </c>
      <c r="AV3277">
        <v>-12</v>
      </c>
      <c r="AW3277">
        <v>0</v>
      </c>
      <c r="AY3277">
        <v>0</v>
      </c>
      <c r="AZ3277">
        <v>0</v>
      </c>
      <c r="BA3277">
        <v>75.599999999999994</v>
      </c>
      <c r="BE3277" t="str">
        <f>T("9791137013100")</f>
        <v>9791137013100</v>
      </c>
      <c r="BF3277" t="str">
        <f>T("N187371")</f>
        <v>N187371</v>
      </c>
      <c r="BG3277" t="str">
        <f>T("판타지 웹소설 &gt; 현대 판타지")</f>
        <v>판타지 웹소설 &gt; 현대 판타지</v>
      </c>
    </row>
    <row r="3278" spans="1:59">
      <c r="A3278" t="s">
        <v>60</v>
      </c>
      <c r="B3278" s="1">
        <v>46129</v>
      </c>
      <c r="C3278">
        <v>2378042343</v>
      </c>
      <c r="D3278">
        <v>2378042380</v>
      </c>
      <c r="E3278" t="str">
        <f>T("미국 로또로 역대급 재벌! 38화")</f>
        <v>미국 로또로 역대급 재벌! 38화</v>
      </c>
      <c r="F3278">
        <v>38</v>
      </c>
      <c r="G3278" t="str">
        <f>T("강바기")</f>
        <v>강바기</v>
      </c>
      <c r="J3278" t="str">
        <f>T("매드햇")</f>
        <v>매드햇</v>
      </c>
      <c r="K3278" t="str">
        <f>T("미국 로또로 역대급 재벌!")</f>
        <v>미국 로또로 역대급 재벌!</v>
      </c>
      <c r="L3278">
        <v>100</v>
      </c>
      <c r="M3278">
        <v>100</v>
      </c>
      <c r="N3278">
        <v>1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0</v>
      </c>
      <c r="AH3278">
        <v>0</v>
      </c>
      <c r="AI3278">
        <v>100</v>
      </c>
      <c r="AJ3278">
        <v>1</v>
      </c>
      <c r="AK3278">
        <v>0</v>
      </c>
      <c r="AL3278">
        <v>0</v>
      </c>
      <c r="AM3278">
        <v>0</v>
      </c>
      <c r="AN3278">
        <v>0</v>
      </c>
      <c r="AO3278">
        <v>120</v>
      </c>
      <c r="AP3278">
        <v>-12</v>
      </c>
      <c r="AQ3278">
        <v>0</v>
      </c>
      <c r="AS3278">
        <v>0</v>
      </c>
      <c r="AT3278">
        <v>0</v>
      </c>
      <c r="AU3278">
        <v>120</v>
      </c>
      <c r="AV3278">
        <v>-12</v>
      </c>
      <c r="AW3278">
        <v>0</v>
      </c>
      <c r="AY3278">
        <v>0</v>
      </c>
      <c r="AZ3278">
        <v>0</v>
      </c>
      <c r="BA3278">
        <v>75.599999999999994</v>
      </c>
      <c r="BE3278" t="str">
        <f>T("9791137013100")</f>
        <v>9791137013100</v>
      </c>
      <c r="BF3278" t="str">
        <f>T("N187372")</f>
        <v>N187372</v>
      </c>
      <c r="BG3278" t="str">
        <f>T("판타지 웹소설 &gt; 현대 판타지")</f>
        <v>판타지 웹소설 &gt; 현대 판타지</v>
      </c>
    </row>
    <row r="3279" spans="1:59">
      <c r="A3279" t="s">
        <v>60</v>
      </c>
      <c r="B3279" s="1">
        <v>46129</v>
      </c>
      <c r="C3279">
        <v>2378042343</v>
      </c>
      <c r="D3279">
        <v>2378042381</v>
      </c>
      <c r="E3279" t="str">
        <f>T("미국 로또로 역대급 재벌! 39화")</f>
        <v>미국 로또로 역대급 재벌! 39화</v>
      </c>
      <c r="F3279">
        <v>39</v>
      </c>
      <c r="G3279" t="str">
        <f>T("강바기")</f>
        <v>강바기</v>
      </c>
      <c r="J3279" t="str">
        <f>T("매드햇")</f>
        <v>매드햇</v>
      </c>
      <c r="K3279" t="str">
        <f>T("미국 로또로 역대급 재벌!")</f>
        <v>미국 로또로 역대급 재벌!</v>
      </c>
      <c r="L3279">
        <v>100</v>
      </c>
      <c r="M3279">
        <v>100</v>
      </c>
      <c r="N3279">
        <v>1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0</v>
      </c>
      <c r="AH3279">
        <v>0</v>
      </c>
      <c r="AI3279">
        <v>100</v>
      </c>
      <c r="AJ3279">
        <v>1</v>
      </c>
      <c r="AK3279">
        <v>0</v>
      </c>
      <c r="AL3279">
        <v>0</v>
      </c>
      <c r="AM3279">
        <v>0</v>
      </c>
      <c r="AN3279">
        <v>0</v>
      </c>
      <c r="AO3279">
        <v>120</v>
      </c>
      <c r="AP3279">
        <v>-12</v>
      </c>
      <c r="AQ3279">
        <v>0</v>
      </c>
      <c r="AS3279">
        <v>0</v>
      </c>
      <c r="AT3279">
        <v>0</v>
      </c>
      <c r="AU3279">
        <v>120</v>
      </c>
      <c r="AV3279">
        <v>-12</v>
      </c>
      <c r="AW3279">
        <v>0</v>
      </c>
      <c r="AY3279">
        <v>0</v>
      </c>
      <c r="AZ3279">
        <v>0</v>
      </c>
      <c r="BA3279">
        <v>75.599999999999994</v>
      </c>
      <c r="BE3279" t="str">
        <f>T("9791137013100")</f>
        <v>9791137013100</v>
      </c>
      <c r="BF3279" t="str">
        <f>T("N187373")</f>
        <v>N187373</v>
      </c>
      <c r="BG3279" t="str">
        <f>T("판타지 웹소설 &gt; 현대 판타지")</f>
        <v>판타지 웹소설 &gt; 현대 판타지</v>
      </c>
    </row>
    <row r="3280" spans="1:59">
      <c r="A3280" t="s">
        <v>60</v>
      </c>
      <c r="B3280" s="1">
        <v>46129</v>
      </c>
      <c r="C3280">
        <v>2378042343</v>
      </c>
      <c r="D3280">
        <v>2378042382</v>
      </c>
      <c r="E3280" t="str">
        <f>T("미국 로또로 역대급 재벌! 40화")</f>
        <v>미국 로또로 역대급 재벌! 40화</v>
      </c>
      <c r="F3280">
        <v>40</v>
      </c>
      <c r="G3280" t="str">
        <f>T("강바기")</f>
        <v>강바기</v>
      </c>
      <c r="J3280" t="str">
        <f>T("매드햇")</f>
        <v>매드햇</v>
      </c>
      <c r="K3280" t="str">
        <f>T("미국 로또로 역대급 재벌!")</f>
        <v>미국 로또로 역대급 재벌!</v>
      </c>
      <c r="L3280">
        <v>100</v>
      </c>
      <c r="M3280">
        <v>100</v>
      </c>
      <c r="N3280">
        <v>1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0</v>
      </c>
      <c r="AH3280">
        <v>0</v>
      </c>
      <c r="AI3280">
        <v>100</v>
      </c>
      <c r="AJ3280">
        <v>1</v>
      </c>
      <c r="AK3280">
        <v>0</v>
      </c>
      <c r="AL3280">
        <v>0</v>
      </c>
      <c r="AM3280">
        <v>0</v>
      </c>
      <c r="AN3280">
        <v>0</v>
      </c>
      <c r="AO3280">
        <v>120</v>
      </c>
      <c r="AP3280">
        <v>-12</v>
      </c>
      <c r="AQ3280">
        <v>0</v>
      </c>
      <c r="AS3280">
        <v>0</v>
      </c>
      <c r="AT3280">
        <v>0</v>
      </c>
      <c r="AU3280">
        <v>120</v>
      </c>
      <c r="AV3280">
        <v>-12</v>
      </c>
      <c r="AW3280">
        <v>0</v>
      </c>
      <c r="AY3280">
        <v>0</v>
      </c>
      <c r="AZ3280">
        <v>0</v>
      </c>
      <c r="BA3280">
        <v>75.599999999999994</v>
      </c>
      <c r="BE3280" t="str">
        <f>T("9791137013100")</f>
        <v>9791137013100</v>
      </c>
      <c r="BF3280" t="str">
        <f>T("N187374")</f>
        <v>N187374</v>
      </c>
      <c r="BG3280" t="str">
        <f>T("판타지 웹소설 &gt; 현대 판타지")</f>
        <v>판타지 웹소설 &gt; 현대 판타지</v>
      </c>
    </row>
    <row r="3281" spans="1:59">
      <c r="A3281" t="s">
        <v>60</v>
      </c>
      <c r="B3281" s="1">
        <v>46129</v>
      </c>
      <c r="C3281">
        <v>2378042343</v>
      </c>
      <c r="D3281">
        <v>2378042383</v>
      </c>
      <c r="E3281" t="str">
        <f>T("미국 로또로 역대급 재벌! 41화")</f>
        <v>미국 로또로 역대급 재벌! 41화</v>
      </c>
      <c r="F3281">
        <v>41</v>
      </c>
      <c r="G3281" t="str">
        <f>T("강바기")</f>
        <v>강바기</v>
      </c>
      <c r="J3281" t="str">
        <f>T("매드햇")</f>
        <v>매드햇</v>
      </c>
      <c r="K3281" t="str">
        <f>T("미국 로또로 역대급 재벌!")</f>
        <v>미국 로또로 역대급 재벌!</v>
      </c>
      <c r="L3281">
        <v>100</v>
      </c>
      <c r="M3281">
        <v>100</v>
      </c>
      <c r="N3281">
        <v>1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0</v>
      </c>
      <c r="AH3281">
        <v>0</v>
      </c>
      <c r="AI3281">
        <v>100</v>
      </c>
      <c r="AJ3281">
        <v>1</v>
      </c>
      <c r="AK3281">
        <v>0</v>
      </c>
      <c r="AL3281">
        <v>0</v>
      </c>
      <c r="AM3281">
        <v>0</v>
      </c>
      <c r="AN3281">
        <v>0</v>
      </c>
      <c r="AO3281">
        <v>120</v>
      </c>
      <c r="AP3281">
        <v>-12</v>
      </c>
      <c r="AQ3281">
        <v>0</v>
      </c>
      <c r="AS3281">
        <v>0</v>
      </c>
      <c r="AT3281">
        <v>0</v>
      </c>
      <c r="AU3281">
        <v>120</v>
      </c>
      <c r="AV3281">
        <v>-12</v>
      </c>
      <c r="AW3281">
        <v>0</v>
      </c>
      <c r="AY3281">
        <v>0</v>
      </c>
      <c r="AZ3281">
        <v>0</v>
      </c>
      <c r="BA3281">
        <v>75.599999999999994</v>
      </c>
      <c r="BE3281" t="str">
        <f>T("9791137013100")</f>
        <v>9791137013100</v>
      </c>
      <c r="BF3281" t="str">
        <f>T("N187375")</f>
        <v>N187375</v>
      </c>
      <c r="BG3281" t="str">
        <f>T("판타지 웹소설 &gt; 현대 판타지")</f>
        <v>판타지 웹소설 &gt; 현대 판타지</v>
      </c>
    </row>
    <row r="3282" spans="1:59">
      <c r="A3282" t="s">
        <v>60</v>
      </c>
      <c r="B3282" s="1">
        <v>46129</v>
      </c>
      <c r="C3282">
        <v>2378042343</v>
      </c>
      <c r="D3282">
        <v>2378042384</v>
      </c>
      <c r="E3282" t="str">
        <f>T("미국 로또로 역대급 재벌! 42화")</f>
        <v>미국 로또로 역대급 재벌! 42화</v>
      </c>
      <c r="F3282">
        <v>42</v>
      </c>
      <c r="G3282" t="str">
        <f>T("강바기")</f>
        <v>강바기</v>
      </c>
      <c r="J3282" t="str">
        <f>T("매드햇")</f>
        <v>매드햇</v>
      </c>
      <c r="K3282" t="str">
        <f>T("미국 로또로 역대급 재벌!")</f>
        <v>미국 로또로 역대급 재벌!</v>
      </c>
      <c r="L3282">
        <v>100</v>
      </c>
      <c r="M3282">
        <v>100</v>
      </c>
      <c r="N3282">
        <v>1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0</v>
      </c>
      <c r="AH3282">
        <v>0</v>
      </c>
      <c r="AI3282">
        <v>100</v>
      </c>
      <c r="AJ3282">
        <v>1</v>
      </c>
      <c r="AK3282">
        <v>0</v>
      </c>
      <c r="AL3282">
        <v>0</v>
      </c>
      <c r="AM3282">
        <v>0</v>
      </c>
      <c r="AN3282">
        <v>0</v>
      </c>
      <c r="AO3282">
        <v>120</v>
      </c>
      <c r="AP3282">
        <v>-12</v>
      </c>
      <c r="AQ3282">
        <v>0</v>
      </c>
      <c r="AS3282">
        <v>0</v>
      </c>
      <c r="AT3282">
        <v>0</v>
      </c>
      <c r="AU3282">
        <v>120</v>
      </c>
      <c r="AV3282">
        <v>-12</v>
      </c>
      <c r="AW3282">
        <v>0</v>
      </c>
      <c r="AY3282">
        <v>0</v>
      </c>
      <c r="AZ3282">
        <v>0</v>
      </c>
      <c r="BA3282">
        <v>75.599999999999994</v>
      </c>
      <c r="BE3282" t="str">
        <f>T("9791137013100")</f>
        <v>9791137013100</v>
      </c>
      <c r="BF3282" t="str">
        <f>T("N187376")</f>
        <v>N187376</v>
      </c>
      <c r="BG3282" t="str">
        <f>T("판타지 웹소설 &gt; 현대 판타지")</f>
        <v>판타지 웹소설 &gt; 현대 판타지</v>
      </c>
    </row>
    <row r="3283" spans="1:59">
      <c r="A3283" t="s">
        <v>60</v>
      </c>
      <c r="B3283" s="1">
        <v>46129</v>
      </c>
      <c r="C3283">
        <v>2378042343</v>
      </c>
      <c r="D3283">
        <v>2378042385</v>
      </c>
      <c r="E3283" t="str">
        <f>T("미국 로또로 역대급 재벌! 43화")</f>
        <v>미국 로또로 역대급 재벌! 43화</v>
      </c>
      <c r="F3283">
        <v>43</v>
      </c>
      <c r="G3283" t="str">
        <f>T("강바기")</f>
        <v>강바기</v>
      </c>
      <c r="J3283" t="str">
        <f>T("매드햇")</f>
        <v>매드햇</v>
      </c>
      <c r="K3283" t="str">
        <f>T("미국 로또로 역대급 재벌!")</f>
        <v>미국 로또로 역대급 재벌!</v>
      </c>
      <c r="L3283">
        <v>100</v>
      </c>
      <c r="M3283">
        <v>100</v>
      </c>
      <c r="N3283">
        <v>1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0</v>
      </c>
      <c r="AH3283">
        <v>0</v>
      </c>
      <c r="AI3283">
        <v>100</v>
      </c>
      <c r="AJ3283">
        <v>1</v>
      </c>
      <c r="AK3283">
        <v>0</v>
      </c>
      <c r="AL3283">
        <v>0</v>
      </c>
      <c r="AM3283">
        <v>0</v>
      </c>
      <c r="AN3283">
        <v>0</v>
      </c>
      <c r="AO3283">
        <v>120</v>
      </c>
      <c r="AP3283">
        <v>-12</v>
      </c>
      <c r="AQ3283">
        <v>0</v>
      </c>
      <c r="AS3283">
        <v>0</v>
      </c>
      <c r="AT3283">
        <v>0</v>
      </c>
      <c r="AU3283">
        <v>120</v>
      </c>
      <c r="AV3283">
        <v>-12</v>
      </c>
      <c r="AW3283">
        <v>0</v>
      </c>
      <c r="AY3283">
        <v>0</v>
      </c>
      <c r="AZ3283">
        <v>0</v>
      </c>
      <c r="BA3283">
        <v>75.599999999999994</v>
      </c>
      <c r="BE3283" t="str">
        <f>T("9791137013100")</f>
        <v>9791137013100</v>
      </c>
      <c r="BF3283" t="str">
        <f>T("N187377")</f>
        <v>N187377</v>
      </c>
      <c r="BG3283" t="str">
        <f>T("판타지 웹소설 &gt; 현대 판타지")</f>
        <v>판타지 웹소설 &gt; 현대 판타지</v>
      </c>
    </row>
    <row r="3284" spans="1:59">
      <c r="A3284" t="s">
        <v>60</v>
      </c>
      <c r="B3284" s="1">
        <v>46129</v>
      </c>
      <c r="C3284">
        <v>2378042343</v>
      </c>
      <c r="D3284">
        <v>2378042386</v>
      </c>
      <c r="E3284" t="str">
        <f>T("미국 로또로 역대급 재벌! 44화")</f>
        <v>미국 로또로 역대급 재벌! 44화</v>
      </c>
      <c r="F3284">
        <v>44</v>
      </c>
      <c r="G3284" t="str">
        <f>T("강바기")</f>
        <v>강바기</v>
      </c>
      <c r="J3284" t="str">
        <f>T("매드햇")</f>
        <v>매드햇</v>
      </c>
      <c r="K3284" t="str">
        <f>T("미국 로또로 역대급 재벌!")</f>
        <v>미국 로또로 역대급 재벌!</v>
      </c>
      <c r="L3284">
        <v>100</v>
      </c>
      <c r="M3284">
        <v>100</v>
      </c>
      <c r="N3284">
        <v>1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0</v>
      </c>
      <c r="AH3284">
        <v>0</v>
      </c>
      <c r="AI3284">
        <v>100</v>
      </c>
      <c r="AJ3284">
        <v>1</v>
      </c>
      <c r="AK3284">
        <v>0</v>
      </c>
      <c r="AL3284">
        <v>0</v>
      </c>
      <c r="AM3284">
        <v>0</v>
      </c>
      <c r="AN3284">
        <v>0</v>
      </c>
      <c r="AO3284">
        <v>120</v>
      </c>
      <c r="AP3284">
        <v>-12</v>
      </c>
      <c r="AQ3284">
        <v>0</v>
      </c>
      <c r="AS3284">
        <v>0</v>
      </c>
      <c r="AT3284">
        <v>0</v>
      </c>
      <c r="AU3284">
        <v>120</v>
      </c>
      <c r="AV3284">
        <v>-12</v>
      </c>
      <c r="AW3284">
        <v>0</v>
      </c>
      <c r="AY3284">
        <v>0</v>
      </c>
      <c r="AZ3284">
        <v>0</v>
      </c>
      <c r="BA3284">
        <v>75.599999999999994</v>
      </c>
      <c r="BE3284" t="str">
        <f>T("9791137013100")</f>
        <v>9791137013100</v>
      </c>
      <c r="BF3284" t="str">
        <f>T("N187378")</f>
        <v>N187378</v>
      </c>
      <c r="BG3284" t="str">
        <f>T("판타지 웹소설 &gt; 현대 판타지")</f>
        <v>판타지 웹소설 &gt; 현대 판타지</v>
      </c>
    </row>
    <row r="3285" spans="1:59">
      <c r="A3285" t="s">
        <v>60</v>
      </c>
      <c r="B3285" s="1">
        <v>46129</v>
      </c>
      <c r="C3285">
        <v>2378042343</v>
      </c>
      <c r="D3285">
        <v>2378042387</v>
      </c>
      <c r="E3285" t="str">
        <f>T("미국 로또로 역대급 재벌! 45화")</f>
        <v>미국 로또로 역대급 재벌! 45화</v>
      </c>
      <c r="F3285">
        <v>45</v>
      </c>
      <c r="G3285" t="str">
        <f>T("강바기")</f>
        <v>강바기</v>
      </c>
      <c r="J3285" t="str">
        <f>T("매드햇")</f>
        <v>매드햇</v>
      </c>
      <c r="K3285" t="str">
        <f>T("미국 로또로 역대급 재벌!")</f>
        <v>미국 로또로 역대급 재벌!</v>
      </c>
      <c r="L3285">
        <v>100</v>
      </c>
      <c r="M3285">
        <v>100</v>
      </c>
      <c r="N3285">
        <v>1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0</v>
      </c>
      <c r="AH3285">
        <v>0</v>
      </c>
      <c r="AI3285">
        <v>100</v>
      </c>
      <c r="AJ3285">
        <v>1</v>
      </c>
      <c r="AK3285">
        <v>0</v>
      </c>
      <c r="AL3285">
        <v>0</v>
      </c>
      <c r="AM3285">
        <v>0</v>
      </c>
      <c r="AN3285">
        <v>0</v>
      </c>
      <c r="AO3285">
        <v>120</v>
      </c>
      <c r="AP3285">
        <v>-12</v>
      </c>
      <c r="AQ3285">
        <v>0</v>
      </c>
      <c r="AS3285">
        <v>0</v>
      </c>
      <c r="AT3285">
        <v>0</v>
      </c>
      <c r="AU3285">
        <v>120</v>
      </c>
      <c r="AV3285">
        <v>-12</v>
      </c>
      <c r="AW3285">
        <v>0</v>
      </c>
      <c r="AY3285">
        <v>0</v>
      </c>
      <c r="AZ3285">
        <v>0</v>
      </c>
      <c r="BA3285">
        <v>75.599999999999994</v>
      </c>
      <c r="BE3285" t="str">
        <f>T("9791137013100")</f>
        <v>9791137013100</v>
      </c>
      <c r="BF3285" t="str">
        <f>T("N187379")</f>
        <v>N187379</v>
      </c>
      <c r="BG3285" t="str">
        <f>T("판타지 웹소설 &gt; 현대 판타지")</f>
        <v>판타지 웹소설 &gt; 현대 판타지</v>
      </c>
    </row>
    <row r="3286" spans="1:59">
      <c r="A3286" t="s">
        <v>60</v>
      </c>
      <c r="B3286" s="1">
        <v>46130</v>
      </c>
      <c r="C3286">
        <v>2378042343</v>
      </c>
      <c r="D3286">
        <v>2378042388</v>
      </c>
      <c r="E3286" t="str">
        <f>T("미국 로또로 역대급 재벌! 46화")</f>
        <v>미국 로또로 역대급 재벌! 46화</v>
      </c>
      <c r="F3286">
        <v>46</v>
      </c>
      <c r="G3286" t="str">
        <f>T("강바기")</f>
        <v>강바기</v>
      </c>
      <c r="J3286" t="str">
        <f>T("매드햇")</f>
        <v>매드햇</v>
      </c>
      <c r="K3286" t="str">
        <f>T("미국 로또로 역대급 재벌!")</f>
        <v>미국 로또로 역대급 재벌!</v>
      </c>
      <c r="L3286">
        <v>100</v>
      </c>
      <c r="M3286">
        <v>100</v>
      </c>
      <c r="N3286">
        <v>1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0</v>
      </c>
      <c r="AH3286">
        <v>0</v>
      </c>
      <c r="AI3286">
        <v>100</v>
      </c>
      <c r="AJ3286">
        <v>1</v>
      </c>
      <c r="AK3286">
        <v>0</v>
      </c>
      <c r="AL3286">
        <v>0</v>
      </c>
      <c r="AM3286">
        <v>0</v>
      </c>
      <c r="AN3286">
        <v>0</v>
      </c>
      <c r="AO3286">
        <v>120</v>
      </c>
      <c r="AP3286">
        <v>-12</v>
      </c>
      <c r="AQ3286">
        <v>0</v>
      </c>
      <c r="AS3286">
        <v>0</v>
      </c>
      <c r="AT3286">
        <v>0</v>
      </c>
      <c r="AU3286">
        <v>120</v>
      </c>
      <c r="AV3286">
        <v>-12</v>
      </c>
      <c r="AW3286">
        <v>0</v>
      </c>
      <c r="AY3286">
        <v>0</v>
      </c>
      <c r="AZ3286">
        <v>0</v>
      </c>
      <c r="BA3286">
        <v>75.599999999999994</v>
      </c>
      <c r="BE3286" t="str">
        <f>T("9791137013100")</f>
        <v>9791137013100</v>
      </c>
      <c r="BF3286" t="str">
        <f>T("N187380")</f>
        <v>N187380</v>
      </c>
      <c r="BG3286" t="str">
        <f>T("판타지 웹소설 &gt; 현대 판타지")</f>
        <v>판타지 웹소설 &gt; 현대 판타지</v>
      </c>
    </row>
    <row r="3287" spans="1:59">
      <c r="A3287" t="s">
        <v>60</v>
      </c>
      <c r="B3287" s="1">
        <v>46130</v>
      </c>
      <c r="C3287">
        <v>2378042343</v>
      </c>
      <c r="D3287">
        <v>2378042389</v>
      </c>
      <c r="E3287" t="str">
        <f>T("미국 로또로 역대급 재벌! 47화")</f>
        <v>미국 로또로 역대급 재벌! 47화</v>
      </c>
      <c r="F3287">
        <v>47</v>
      </c>
      <c r="G3287" t="str">
        <f>T("강바기")</f>
        <v>강바기</v>
      </c>
      <c r="J3287" t="str">
        <f>T("매드햇")</f>
        <v>매드햇</v>
      </c>
      <c r="K3287" t="str">
        <f>T("미국 로또로 역대급 재벌!")</f>
        <v>미국 로또로 역대급 재벌!</v>
      </c>
      <c r="L3287">
        <v>100</v>
      </c>
      <c r="M3287">
        <v>100</v>
      </c>
      <c r="N3287">
        <v>1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0</v>
      </c>
      <c r="AH3287">
        <v>0</v>
      </c>
      <c r="AI3287">
        <v>100</v>
      </c>
      <c r="AJ3287">
        <v>1</v>
      </c>
      <c r="AK3287">
        <v>0</v>
      </c>
      <c r="AL3287">
        <v>0</v>
      </c>
      <c r="AM3287">
        <v>0</v>
      </c>
      <c r="AN3287">
        <v>0</v>
      </c>
      <c r="AO3287">
        <v>120</v>
      </c>
      <c r="AP3287">
        <v>-12</v>
      </c>
      <c r="AQ3287">
        <v>0</v>
      </c>
      <c r="AS3287">
        <v>0</v>
      </c>
      <c r="AT3287">
        <v>0</v>
      </c>
      <c r="AU3287">
        <v>120</v>
      </c>
      <c r="AV3287">
        <v>-12</v>
      </c>
      <c r="AW3287">
        <v>0</v>
      </c>
      <c r="AY3287">
        <v>0</v>
      </c>
      <c r="AZ3287">
        <v>0</v>
      </c>
      <c r="BA3287">
        <v>75.599999999999994</v>
      </c>
      <c r="BE3287" t="str">
        <f>T("9791137013100")</f>
        <v>9791137013100</v>
      </c>
      <c r="BF3287" t="str">
        <f>T("N187381")</f>
        <v>N187381</v>
      </c>
      <c r="BG3287" t="str">
        <f>T("판타지 웹소설 &gt; 현대 판타지")</f>
        <v>판타지 웹소설 &gt; 현대 판타지</v>
      </c>
    </row>
    <row r="3288" spans="1:59">
      <c r="A3288" t="s">
        <v>60</v>
      </c>
      <c r="B3288" s="1">
        <v>46130</v>
      </c>
      <c r="C3288">
        <v>2378042343</v>
      </c>
      <c r="D3288">
        <v>2378042397</v>
      </c>
      <c r="E3288" t="str">
        <f>T("미국 로또로 역대급 재벌! 55화")</f>
        <v>미국 로또로 역대급 재벌! 55화</v>
      </c>
      <c r="F3288">
        <v>55</v>
      </c>
      <c r="G3288" t="str">
        <f>T("강바기")</f>
        <v>강바기</v>
      </c>
      <c r="J3288" t="str">
        <f>T("매드햇")</f>
        <v>매드햇</v>
      </c>
      <c r="K3288" t="str">
        <f>T("미국 로또로 역대급 재벌!")</f>
        <v>미국 로또로 역대급 재벌!</v>
      </c>
      <c r="L3288">
        <v>100</v>
      </c>
      <c r="M3288">
        <v>100</v>
      </c>
      <c r="N3288">
        <v>1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0</v>
      </c>
      <c r="AH3288">
        <v>0</v>
      </c>
      <c r="AI3288">
        <v>100</v>
      </c>
      <c r="AJ3288">
        <v>1</v>
      </c>
      <c r="AK3288">
        <v>0</v>
      </c>
      <c r="AL3288">
        <v>0</v>
      </c>
      <c r="AM3288">
        <v>0</v>
      </c>
      <c r="AN3288">
        <v>0</v>
      </c>
      <c r="AO3288">
        <v>120</v>
      </c>
      <c r="AP3288">
        <v>-12</v>
      </c>
      <c r="AQ3288">
        <v>0</v>
      </c>
      <c r="AS3288">
        <v>0</v>
      </c>
      <c r="AT3288">
        <v>0</v>
      </c>
      <c r="AU3288">
        <v>120</v>
      </c>
      <c r="AV3288">
        <v>-12</v>
      </c>
      <c r="AW3288">
        <v>0</v>
      </c>
      <c r="AY3288">
        <v>0</v>
      </c>
      <c r="AZ3288">
        <v>0</v>
      </c>
      <c r="BA3288">
        <v>75.599999999999994</v>
      </c>
      <c r="BE3288" t="str">
        <f>T("9791137013100")</f>
        <v>9791137013100</v>
      </c>
      <c r="BF3288" t="str">
        <f>T("N187389")</f>
        <v>N187389</v>
      </c>
      <c r="BG3288" t="str">
        <f>T("판타지 웹소설 &gt; 현대 판타지")</f>
        <v>판타지 웹소설 &gt; 현대 판타지</v>
      </c>
    </row>
    <row r="3289" spans="1:59">
      <c r="A3289" t="s">
        <v>60</v>
      </c>
      <c r="B3289" s="1">
        <v>46130</v>
      </c>
      <c r="C3289">
        <v>2378042343</v>
      </c>
      <c r="D3289">
        <v>2378042398</v>
      </c>
      <c r="E3289" t="str">
        <f>T("미국 로또로 역대급 재벌! 56화")</f>
        <v>미국 로또로 역대급 재벌! 56화</v>
      </c>
      <c r="F3289">
        <v>56</v>
      </c>
      <c r="G3289" t="str">
        <f>T("강바기")</f>
        <v>강바기</v>
      </c>
      <c r="J3289" t="str">
        <f>T("매드햇")</f>
        <v>매드햇</v>
      </c>
      <c r="K3289" t="str">
        <f>T("미국 로또로 역대급 재벌!")</f>
        <v>미국 로또로 역대급 재벌!</v>
      </c>
      <c r="L3289">
        <v>100</v>
      </c>
      <c r="M3289">
        <v>100</v>
      </c>
      <c r="N3289">
        <v>1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0</v>
      </c>
      <c r="AH3289">
        <v>0</v>
      </c>
      <c r="AI3289">
        <v>100</v>
      </c>
      <c r="AJ3289">
        <v>1</v>
      </c>
      <c r="AK3289">
        <v>0</v>
      </c>
      <c r="AL3289">
        <v>0</v>
      </c>
      <c r="AM3289">
        <v>0</v>
      </c>
      <c r="AN3289">
        <v>0</v>
      </c>
      <c r="AO3289">
        <v>120</v>
      </c>
      <c r="AP3289">
        <v>-12</v>
      </c>
      <c r="AQ3289">
        <v>0</v>
      </c>
      <c r="AS3289">
        <v>0</v>
      </c>
      <c r="AT3289">
        <v>0</v>
      </c>
      <c r="AU3289">
        <v>120</v>
      </c>
      <c r="AV3289">
        <v>-12</v>
      </c>
      <c r="AW3289">
        <v>0</v>
      </c>
      <c r="AY3289">
        <v>0</v>
      </c>
      <c r="AZ3289">
        <v>0</v>
      </c>
      <c r="BA3289">
        <v>75.599999999999994</v>
      </c>
      <c r="BE3289" t="str">
        <f>T("9791137013100")</f>
        <v>9791137013100</v>
      </c>
      <c r="BF3289" t="str">
        <f>T("N187390")</f>
        <v>N187390</v>
      </c>
      <c r="BG3289" t="str">
        <f>T("판타지 웹소설 &gt; 현대 판타지")</f>
        <v>판타지 웹소설 &gt; 현대 판타지</v>
      </c>
    </row>
    <row r="3290" spans="1:59">
      <c r="A3290" t="s">
        <v>60</v>
      </c>
      <c r="B3290" s="1">
        <v>46130</v>
      </c>
      <c r="C3290">
        <v>2378042343</v>
      </c>
      <c r="D3290">
        <v>2378042399</v>
      </c>
      <c r="E3290" t="str">
        <f>T("미국 로또로 역대급 재벌! 57화")</f>
        <v>미국 로또로 역대급 재벌! 57화</v>
      </c>
      <c r="F3290">
        <v>57</v>
      </c>
      <c r="G3290" t="str">
        <f>T("강바기")</f>
        <v>강바기</v>
      </c>
      <c r="J3290" t="str">
        <f>T("매드햇")</f>
        <v>매드햇</v>
      </c>
      <c r="K3290" t="str">
        <f>T("미국 로또로 역대급 재벌!")</f>
        <v>미국 로또로 역대급 재벌!</v>
      </c>
      <c r="L3290">
        <v>100</v>
      </c>
      <c r="M3290">
        <v>100</v>
      </c>
      <c r="N3290">
        <v>1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0</v>
      </c>
      <c r="AH3290">
        <v>0</v>
      </c>
      <c r="AI3290">
        <v>100</v>
      </c>
      <c r="AJ3290">
        <v>1</v>
      </c>
      <c r="AK3290">
        <v>0</v>
      </c>
      <c r="AL3290">
        <v>0</v>
      </c>
      <c r="AM3290">
        <v>0</v>
      </c>
      <c r="AN3290">
        <v>0</v>
      </c>
      <c r="AO3290">
        <v>120</v>
      </c>
      <c r="AP3290">
        <v>-12</v>
      </c>
      <c r="AQ3290">
        <v>0</v>
      </c>
      <c r="AS3290">
        <v>0</v>
      </c>
      <c r="AT3290">
        <v>0</v>
      </c>
      <c r="AU3290">
        <v>120</v>
      </c>
      <c r="AV3290">
        <v>-12</v>
      </c>
      <c r="AW3290">
        <v>0</v>
      </c>
      <c r="AY3290">
        <v>0</v>
      </c>
      <c r="AZ3290">
        <v>0</v>
      </c>
      <c r="BA3290">
        <v>75.599999999999994</v>
      </c>
      <c r="BE3290" t="str">
        <f>T("9791137013100")</f>
        <v>9791137013100</v>
      </c>
      <c r="BF3290" t="str">
        <f>T("N187391")</f>
        <v>N187391</v>
      </c>
      <c r="BG3290" t="str">
        <f>T("판타지 웹소설 &gt; 현대 판타지")</f>
        <v>판타지 웹소설 &gt; 현대 판타지</v>
      </c>
    </row>
    <row r="3291" spans="1:59">
      <c r="A3291" t="s">
        <v>60</v>
      </c>
      <c r="B3291" s="1">
        <v>46130</v>
      </c>
      <c r="C3291">
        <v>2378042343</v>
      </c>
      <c r="D3291">
        <v>2378042400</v>
      </c>
      <c r="E3291" t="str">
        <f>T("미국 로또로 역대급 재벌! 58화")</f>
        <v>미국 로또로 역대급 재벌! 58화</v>
      </c>
      <c r="F3291">
        <v>58</v>
      </c>
      <c r="G3291" t="str">
        <f>T("강바기")</f>
        <v>강바기</v>
      </c>
      <c r="J3291" t="str">
        <f>T("매드햇")</f>
        <v>매드햇</v>
      </c>
      <c r="K3291" t="str">
        <f>T("미국 로또로 역대급 재벌!")</f>
        <v>미국 로또로 역대급 재벌!</v>
      </c>
      <c r="L3291">
        <v>100</v>
      </c>
      <c r="M3291">
        <v>100</v>
      </c>
      <c r="N3291">
        <v>1</v>
      </c>
      <c r="O3291">
        <v>0</v>
      </c>
      <c r="P3291">
        <v>0</v>
      </c>
      <c r="Q3291">
        <v>0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0</v>
      </c>
      <c r="AH3291">
        <v>0</v>
      </c>
      <c r="AI3291">
        <v>100</v>
      </c>
      <c r="AJ3291">
        <v>1</v>
      </c>
      <c r="AK3291">
        <v>0</v>
      </c>
      <c r="AL3291">
        <v>0</v>
      </c>
      <c r="AM3291">
        <v>0</v>
      </c>
      <c r="AN3291">
        <v>0</v>
      </c>
      <c r="AO3291">
        <v>120</v>
      </c>
      <c r="AP3291">
        <v>-12</v>
      </c>
      <c r="AQ3291">
        <v>0</v>
      </c>
      <c r="AS3291">
        <v>0</v>
      </c>
      <c r="AT3291">
        <v>0</v>
      </c>
      <c r="AU3291">
        <v>120</v>
      </c>
      <c r="AV3291">
        <v>-12</v>
      </c>
      <c r="AW3291">
        <v>0</v>
      </c>
      <c r="AY3291">
        <v>0</v>
      </c>
      <c r="AZ3291">
        <v>0</v>
      </c>
      <c r="BA3291">
        <v>75.599999999999994</v>
      </c>
      <c r="BE3291" t="str">
        <f>T("9791137013100")</f>
        <v>9791137013100</v>
      </c>
      <c r="BF3291" t="str">
        <f>T("N187392")</f>
        <v>N187392</v>
      </c>
      <c r="BG3291" t="str">
        <f>T("판타지 웹소설 &gt; 현대 판타지")</f>
        <v>판타지 웹소설 &gt; 현대 판타지</v>
      </c>
    </row>
    <row r="3292" spans="1:59">
      <c r="A3292" t="s">
        <v>60</v>
      </c>
      <c r="B3292" s="1">
        <v>46130</v>
      </c>
      <c r="C3292">
        <v>2378042343</v>
      </c>
      <c r="D3292">
        <v>2378042401</v>
      </c>
      <c r="E3292" t="str">
        <f>T("미국 로또로 역대급 재벌! 59화")</f>
        <v>미국 로또로 역대급 재벌! 59화</v>
      </c>
      <c r="F3292">
        <v>59</v>
      </c>
      <c r="G3292" t="str">
        <f>T("강바기")</f>
        <v>강바기</v>
      </c>
      <c r="J3292" t="str">
        <f>T("매드햇")</f>
        <v>매드햇</v>
      </c>
      <c r="K3292" t="str">
        <f>T("미국 로또로 역대급 재벌!")</f>
        <v>미국 로또로 역대급 재벌!</v>
      </c>
      <c r="L3292">
        <v>100</v>
      </c>
      <c r="M3292">
        <v>100</v>
      </c>
      <c r="N3292">
        <v>1</v>
      </c>
      <c r="O3292">
        <v>0</v>
      </c>
      <c r="P3292">
        <v>0</v>
      </c>
      <c r="Q3292">
        <v>0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0</v>
      </c>
      <c r="AH3292">
        <v>0</v>
      </c>
      <c r="AI3292">
        <v>100</v>
      </c>
      <c r="AJ3292">
        <v>1</v>
      </c>
      <c r="AK3292">
        <v>0</v>
      </c>
      <c r="AL3292">
        <v>0</v>
      </c>
      <c r="AM3292">
        <v>0</v>
      </c>
      <c r="AN3292">
        <v>0</v>
      </c>
      <c r="AO3292">
        <v>120</v>
      </c>
      <c r="AP3292">
        <v>-12</v>
      </c>
      <c r="AQ3292">
        <v>0</v>
      </c>
      <c r="AS3292">
        <v>0</v>
      </c>
      <c r="AT3292">
        <v>0</v>
      </c>
      <c r="AU3292">
        <v>120</v>
      </c>
      <c r="AV3292">
        <v>-12</v>
      </c>
      <c r="AW3292">
        <v>0</v>
      </c>
      <c r="AY3292">
        <v>0</v>
      </c>
      <c r="AZ3292">
        <v>0</v>
      </c>
      <c r="BA3292">
        <v>75.599999999999994</v>
      </c>
      <c r="BE3292" t="str">
        <f>T("9791137013100")</f>
        <v>9791137013100</v>
      </c>
      <c r="BF3292" t="str">
        <f>T("N187393")</f>
        <v>N187393</v>
      </c>
      <c r="BG3292" t="str">
        <f>T("판타지 웹소설 &gt; 현대 판타지")</f>
        <v>판타지 웹소설 &gt; 현대 판타지</v>
      </c>
    </row>
    <row r="3293" spans="1:59">
      <c r="A3293" t="s">
        <v>60</v>
      </c>
      <c r="B3293" s="1">
        <v>46130</v>
      </c>
      <c r="C3293">
        <v>2378042343</v>
      </c>
      <c r="D3293">
        <v>2378042402</v>
      </c>
      <c r="E3293" t="str">
        <f>T("미국 로또로 역대급 재벌! 60화")</f>
        <v>미국 로또로 역대급 재벌! 60화</v>
      </c>
      <c r="F3293">
        <v>60</v>
      </c>
      <c r="G3293" t="str">
        <f>T("강바기")</f>
        <v>강바기</v>
      </c>
      <c r="J3293" t="str">
        <f>T("매드햇")</f>
        <v>매드햇</v>
      </c>
      <c r="K3293" t="str">
        <f>T("미국 로또로 역대급 재벌!")</f>
        <v>미국 로또로 역대급 재벌!</v>
      </c>
      <c r="L3293">
        <v>100</v>
      </c>
      <c r="M3293">
        <v>100</v>
      </c>
      <c r="N3293">
        <v>1</v>
      </c>
      <c r="O3293">
        <v>0</v>
      </c>
      <c r="P3293">
        <v>0</v>
      </c>
      <c r="Q3293">
        <v>0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0</v>
      </c>
      <c r="AH3293">
        <v>0</v>
      </c>
      <c r="AI3293">
        <v>100</v>
      </c>
      <c r="AJ3293">
        <v>1</v>
      </c>
      <c r="AK3293">
        <v>0</v>
      </c>
      <c r="AL3293">
        <v>0</v>
      </c>
      <c r="AM3293">
        <v>0</v>
      </c>
      <c r="AN3293">
        <v>0</v>
      </c>
      <c r="AO3293">
        <v>120</v>
      </c>
      <c r="AP3293">
        <v>-12</v>
      </c>
      <c r="AQ3293">
        <v>0</v>
      </c>
      <c r="AS3293">
        <v>0</v>
      </c>
      <c r="AT3293">
        <v>0</v>
      </c>
      <c r="AU3293">
        <v>120</v>
      </c>
      <c r="AV3293">
        <v>-12</v>
      </c>
      <c r="AW3293">
        <v>0</v>
      </c>
      <c r="AY3293">
        <v>0</v>
      </c>
      <c r="AZ3293">
        <v>0</v>
      </c>
      <c r="BA3293">
        <v>75.599999999999994</v>
      </c>
      <c r="BE3293" t="str">
        <f>T("9791137013100")</f>
        <v>9791137013100</v>
      </c>
      <c r="BF3293" t="str">
        <f>T("N187394")</f>
        <v>N187394</v>
      </c>
      <c r="BG3293" t="str">
        <f>T("판타지 웹소설 &gt; 현대 판타지")</f>
        <v>판타지 웹소설 &gt; 현대 판타지</v>
      </c>
    </row>
    <row r="3294" spans="1:59">
      <c r="A3294" t="s">
        <v>60</v>
      </c>
      <c r="B3294" s="1">
        <v>46130</v>
      </c>
      <c r="C3294">
        <v>2378042343</v>
      </c>
      <c r="D3294">
        <v>2378042403</v>
      </c>
      <c r="E3294" t="str">
        <f>T("미국 로또로 역대급 재벌! 61화")</f>
        <v>미국 로또로 역대급 재벌! 61화</v>
      </c>
      <c r="F3294">
        <v>61</v>
      </c>
      <c r="G3294" t="str">
        <f>T("강바기")</f>
        <v>강바기</v>
      </c>
      <c r="J3294" t="str">
        <f>T("매드햇")</f>
        <v>매드햇</v>
      </c>
      <c r="K3294" t="str">
        <f>T("미국 로또로 역대급 재벌!")</f>
        <v>미국 로또로 역대급 재벌!</v>
      </c>
      <c r="L3294">
        <v>100</v>
      </c>
      <c r="M3294">
        <v>100</v>
      </c>
      <c r="N3294">
        <v>1</v>
      </c>
      <c r="O3294">
        <v>0</v>
      </c>
      <c r="P3294">
        <v>0</v>
      </c>
      <c r="Q3294">
        <v>0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0</v>
      </c>
      <c r="AH3294">
        <v>0</v>
      </c>
      <c r="AI3294">
        <v>100</v>
      </c>
      <c r="AJ3294">
        <v>1</v>
      </c>
      <c r="AK3294">
        <v>0</v>
      </c>
      <c r="AL3294">
        <v>0</v>
      </c>
      <c r="AM3294">
        <v>0</v>
      </c>
      <c r="AN3294">
        <v>0</v>
      </c>
      <c r="AO3294">
        <v>120</v>
      </c>
      <c r="AP3294">
        <v>-12</v>
      </c>
      <c r="AQ3294">
        <v>0</v>
      </c>
      <c r="AS3294">
        <v>0</v>
      </c>
      <c r="AT3294">
        <v>0</v>
      </c>
      <c r="AU3294">
        <v>120</v>
      </c>
      <c r="AV3294">
        <v>-12</v>
      </c>
      <c r="AW3294">
        <v>0</v>
      </c>
      <c r="AY3294">
        <v>0</v>
      </c>
      <c r="AZ3294">
        <v>0</v>
      </c>
      <c r="BA3294">
        <v>75.599999999999994</v>
      </c>
      <c r="BE3294" t="str">
        <f>T("9791137013100")</f>
        <v>9791137013100</v>
      </c>
      <c r="BF3294" t="str">
        <f>T("N187395")</f>
        <v>N187395</v>
      </c>
      <c r="BG3294" t="str">
        <f>T("판타지 웹소설 &gt; 현대 판타지")</f>
        <v>판타지 웹소설 &gt; 현대 판타지</v>
      </c>
    </row>
    <row r="3295" spans="1:59">
      <c r="A3295" t="s">
        <v>60</v>
      </c>
      <c r="B3295" s="1">
        <v>46130</v>
      </c>
      <c r="C3295">
        <v>2378042343</v>
      </c>
      <c r="D3295">
        <v>2378042404</v>
      </c>
      <c r="E3295" t="str">
        <f>T("미국 로또로 역대급 재벌! 62화")</f>
        <v>미국 로또로 역대급 재벌! 62화</v>
      </c>
      <c r="F3295">
        <v>62</v>
      </c>
      <c r="G3295" t="str">
        <f>T("강바기")</f>
        <v>강바기</v>
      </c>
      <c r="J3295" t="str">
        <f>T("매드햇")</f>
        <v>매드햇</v>
      </c>
      <c r="K3295" t="str">
        <f>T("미국 로또로 역대급 재벌!")</f>
        <v>미국 로또로 역대급 재벌!</v>
      </c>
      <c r="L3295">
        <v>100</v>
      </c>
      <c r="M3295">
        <v>100</v>
      </c>
      <c r="N3295">
        <v>1</v>
      </c>
      <c r="O3295">
        <v>0</v>
      </c>
      <c r="P3295">
        <v>0</v>
      </c>
      <c r="Q3295">
        <v>0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0</v>
      </c>
      <c r="AH3295">
        <v>0</v>
      </c>
      <c r="AI3295">
        <v>100</v>
      </c>
      <c r="AJ3295">
        <v>1</v>
      </c>
      <c r="AK3295">
        <v>0</v>
      </c>
      <c r="AL3295">
        <v>0</v>
      </c>
      <c r="AM3295">
        <v>0</v>
      </c>
      <c r="AN3295">
        <v>0</v>
      </c>
      <c r="AO3295">
        <v>120</v>
      </c>
      <c r="AP3295">
        <v>-12</v>
      </c>
      <c r="AQ3295">
        <v>0</v>
      </c>
      <c r="AS3295">
        <v>0</v>
      </c>
      <c r="AT3295">
        <v>0</v>
      </c>
      <c r="AU3295">
        <v>120</v>
      </c>
      <c r="AV3295">
        <v>-12</v>
      </c>
      <c r="AW3295">
        <v>0</v>
      </c>
      <c r="AY3295">
        <v>0</v>
      </c>
      <c r="AZ3295">
        <v>0</v>
      </c>
      <c r="BA3295">
        <v>75.599999999999994</v>
      </c>
      <c r="BE3295" t="str">
        <f>T("9791137013100")</f>
        <v>9791137013100</v>
      </c>
      <c r="BF3295" t="str">
        <f>T("N187396")</f>
        <v>N187396</v>
      </c>
      <c r="BG3295" t="str">
        <f>T("판타지 웹소설 &gt; 현대 판타지")</f>
        <v>판타지 웹소설 &gt; 현대 판타지</v>
      </c>
    </row>
    <row r="3296" spans="1:59">
      <c r="A3296" t="s">
        <v>60</v>
      </c>
      <c r="B3296" s="1">
        <v>46130</v>
      </c>
      <c r="C3296">
        <v>2378042343</v>
      </c>
      <c r="D3296">
        <v>2378042405</v>
      </c>
      <c r="E3296" t="str">
        <f>T("미국 로또로 역대급 재벌! 63화")</f>
        <v>미국 로또로 역대급 재벌! 63화</v>
      </c>
      <c r="F3296">
        <v>63</v>
      </c>
      <c r="G3296" t="str">
        <f>T("강바기")</f>
        <v>강바기</v>
      </c>
      <c r="J3296" t="str">
        <f>T("매드햇")</f>
        <v>매드햇</v>
      </c>
      <c r="K3296" t="str">
        <f>T("미국 로또로 역대급 재벌!")</f>
        <v>미국 로또로 역대급 재벌!</v>
      </c>
      <c r="L3296">
        <v>100</v>
      </c>
      <c r="M3296">
        <v>100</v>
      </c>
      <c r="N3296">
        <v>1</v>
      </c>
      <c r="O3296">
        <v>0</v>
      </c>
      <c r="P3296">
        <v>0</v>
      </c>
      <c r="Q3296">
        <v>0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0</v>
      </c>
      <c r="AH3296">
        <v>0</v>
      </c>
      <c r="AI3296">
        <v>100</v>
      </c>
      <c r="AJ3296">
        <v>1</v>
      </c>
      <c r="AK3296">
        <v>0</v>
      </c>
      <c r="AL3296">
        <v>0</v>
      </c>
      <c r="AM3296">
        <v>0</v>
      </c>
      <c r="AN3296">
        <v>0</v>
      </c>
      <c r="AO3296">
        <v>120</v>
      </c>
      <c r="AP3296">
        <v>-12</v>
      </c>
      <c r="AQ3296">
        <v>0</v>
      </c>
      <c r="AS3296">
        <v>0</v>
      </c>
      <c r="AT3296">
        <v>0</v>
      </c>
      <c r="AU3296">
        <v>120</v>
      </c>
      <c r="AV3296">
        <v>-12</v>
      </c>
      <c r="AW3296">
        <v>0</v>
      </c>
      <c r="AY3296">
        <v>0</v>
      </c>
      <c r="AZ3296">
        <v>0</v>
      </c>
      <c r="BA3296">
        <v>75.599999999999994</v>
      </c>
      <c r="BE3296" t="str">
        <f>T("9791137013100")</f>
        <v>9791137013100</v>
      </c>
      <c r="BF3296" t="str">
        <f>T("N187397")</f>
        <v>N187397</v>
      </c>
      <c r="BG3296" t="str">
        <f>T("판타지 웹소설 &gt; 현대 판타지")</f>
        <v>판타지 웹소설 &gt; 현대 판타지</v>
      </c>
    </row>
    <row r="3297" spans="1:59">
      <c r="A3297" t="s">
        <v>60</v>
      </c>
      <c r="B3297" s="1">
        <v>46130</v>
      </c>
      <c r="C3297">
        <v>2378042343</v>
      </c>
      <c r="D3297">
        <v>2378042406</v>
      </c>
      <c r="E3297" t="str">
        <f>T("미국 로또로 역대급 재벌! 64화")</f>
        <v>미국 로또로 역대급 재벌! 64화</v>
      </c>
      <c r="F3297">
        <v>64</v>
      </c>
      <c r="G3297" t="str">
        <f>T("강바기")</f>
        <v>강바기</v>
      </c>
      <c r="J3297" t="str">
        <f>T("매드햇")</f>
        <v>매드햇</v>
      </c>
      <c r="K3297" t="str">
        <f>T("미국 로또로 역대급 재벌!")</f>
        <v>미국 로또로 역대급 재벌!</v>
      </c>
      <c r="L3297">
        <v>100</v>
      </c>
      <c r="M3297">
        <v>100</v>
      </c>
      <c r="N3297">
        <v>1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0</v>
      </c>
      <c r="AH3297">
        <v>0</v>
      </c>
      <c r="AI3297">
        <v>100</v>
      </c>
      <c r="AJ3297">
        <v>1</v>
      </c>
      <c r="AK3297">
        <v>0</v>
      </c>
      <c r="AL3297">
        <v>0</v>
      </c>
      <c r="AM3297">
        <v>0</v>
      </c>
      <c r="AN3297">
        <v>0</v>
      </c>
      <c r="AO3297">
        <v>120</v>
      </c>
      <c r="AP3297">
        <v>-12</v>
      </c>
      <c r="AQ3297">
        <v>0</v>
      </c>
      <c r="AS3297">
        <v>0</v>
      </c>
      <c r="AT3297">
        <v>0</v>
      </c>
      <c r="AU3297">
        <v>120</v>
      </c>
      <c r="AV3297">
        <v>-12</v>
      </c>
      <c r="AW3297">
        <v>0</v>
      </c>
      <c r="AY3297">
        <v>0</v>
      </c>
      <c r="AZ3297">
        <v>0</v>
      </c>
      <c r="BA3297">
        <v>75.599999999999994</v>
      </c>
      <c r="BE3297" t="str">
        <f>T("9791137013100")</f>
        <v>9791137013100</v>
      </c>
      <c r="BF3297" t="str">
        <f>T("N187398")</f>
        <v>N187398</v>
      </c>
      <c r="BG3297" t="str">
        <f>T("판타지 웹소설 &gt; 현대 판타지")</f>
        <v>판타지 웹소설 &gt; 현대 판타지</v>
      </c>
    </row>
    <row r="3298" spans="1:59">
      <c r="A3298" t="s">
        <v>60</v>
      </c>
      <c r="B3298" s="1">
        <v>46130</v>
      </c>
      <c r="C3298">
        <v>2378042343</v>
      </c>
      <c r="D3298">
        <v>2378042407</v>
      </c>
      <c r="E3298" t="str">
        <f>T("미국 로또로 역대급 재벌! 65화")</f>
        <v>미국 로또로 역대급 재벌! 65화</v>
      </c>
      <c r="F3298">
        <v>65</v>
      </c>
      <c r="G3298" t="str">
        <f>T("강바기")</f>
        <v>강바기</v>
      </c>
      <c r="J3298" t="str">
        <f>T("매드햇")</f>
        <v>매드햇</v>
      </c>
      <c r="K3298" t="str">
        <f>T("미국 로또로 역대급 재벌!")</f>
        <v>미국 로또로 역대급 재벌!</v>
      </c>
      <c r="L3298">
        <v>100</v>
      </c>
      <c r="M3298">
        <v>100</v>
      </c>
      <c r="N3298">
        <v>1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0</v>
      </c>
      <c r="AH3298">
        <v>0</v>
      </c>
      <c r="AI3298">
        <v>100</v>
      </c>
      <c r="AJ3298">
        <v>1</v>
      </c>
      <c r="AK3298">
        <v>0</v>
      </c>
      <c r="AL3298">
        <v>0</v>
      </c>
      <c r="AM3298">
        <v>0</v>
      </c>
      <c r="AN3298">
        <v>0</v>
      </c>
      <c r="AO3298">
        <v>120</v>
      </c>
      <c r="AP3298">
        <v>-12</v>
      </c>
      <c r="AQ3298">
        <v>0</v>
      </c>
      <c r="AS3298">
        <v>0</v>
      </c>
      <c r="AT3298">
        <v>0</v>
      </c>
      <c r="AU3298">
        <v>120</v>
      </c>
      <c r="AV3298">
        <v>-12</v>
      </c>
      <c r="AW3298">
        <v>0</v>
      </c>
      <c r="AY3298">
        <v>0</v>
      </c>
      <c r="AZ3298">
        <v>0</v>
      </c>
      <c r="BA3298">
        <v>75.599999999999994</v>
      </c>
      <c r="BE3298" t="str">
        <f>T("9791137013100")</f>
        <v>9791137013100</v>
      </c>
      <c r="BF3298" t="str">
        <f>T("N187399")</f>
        <v>N187399</v>
      </c>
      <c r="BG3298" t="str">
        <f>T("판타지 웹소설 &gt; 현대 판타지")</f>
        <v>판타지 웹소설 &gt; 현대 판타지</v>
      </c>
    </row>
    <row r="3299" spans="1:59">
      <c r="A3299" t="s">
        <v>60</v>
      </c>
      <c r="B3299" s="1">
        <v>46130</v>
      </c>
      <c r="C3299">
        <v>2378042343</v>
      </c>
      <c r="D3299">
        <v>2378042408</v>
      </c>
      <c r="E3299" t="str">
        <f>T("미국 로또로 역대급 재벌! 66화")</f>
        <v>미국 로또로 역대급 재벌! 66화</v>
      </c>
      <c r="F3299">
        <v>66</v>
      </c>
      <c r="G3299" t="str">
        <f>T("강바기")</f>
        <v>강바기</v>
      </c>
      <c r="J3299" t="str">
        <f>T("매드햇")</f>
        <v>매드햇</v>
      </c>
      <c r="K3299" t="str">
        <f>T("미국 로또로 역대급 재벌!")</f>
        <v>미국 로또로 역대급 재벌!</v>
      </c>
      <c r="L3299">
        <v>100</v>
      </c>
      <c r="M3299">
        <v>100</v>
      </c>
      <c r="N3299">
        <v>1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0</v>
      </c>
      <c r="AH3299">
        <v>0</v>
      </c>
      <c r="AI3299">
        <v>100</v>
      </c>
      <c r="AJ3299">
        <v>1</v>
      </c>
      <c r="AK3299">
        <v>0</v>
      </c>
      <c r="AL3299">
        <v>0</v>
      </c>
      <c r="AM3299">
        <v>0</v>
      </c>
      <c r="AN3299">
        <v>0</v>
      </c>
      <c r="AO3299">
        <v>120</v>
      </c>
      <c r="AP3299">
        <v>-12</v>
      </c>
      <c r="AQ3299">
        <v>0</v>
      </c>
      <c r="AS3299">
        <v>0</v>
      </c>
      <c r="AT3299">
        <v>0</v>
      </c>
      <c r="AU3299">
        <v>120</v>
      </c>
      <c r="AV3299">
        <v>-12</v>
      </c>
      <c r="AW3299">
        <v>0</v>
      </c>
      <c r="AY3299">
        <v>0</v>
      </c>
      <c r="AZ3299">
        <v>0</v>
      </c>
      <c r="BA3299">
        <v>75.599999999999994</v>
      </c>
      <c r="BE3299" t="str">
        <f>T("9791137013100")</f>
        <v>9791137013100</v>
      </c>
      <c r="BF3299" t="str">
        <f>T("N187400")</f>
        <v>N187400</v>
      </c>
      <c r="BG3299" t="str">
        <f>T("판타지 웹소설 &gt; 현대 판타지")</f>
        <v>판타지 웹소설 &gt; 현대 판타지</v>
      </c>
    </row>
    <row r="3300" spans="1:59">
      <c r="A3300" t="s">
        <v>60</v>
      </c>
      <c r="B3300" s="1">
        <v>46130</v>
      </c>
      <c r="C3300">
        <v>2378042343</v>
      </c>
      <c r="D3300">
        <v>2378042409</v>
      </c>
      <c r="E3300" t="str">
        <f>T("미국 로또로 역대급 재벌! 67화")</f>
        <v>미국 로또로 역대급 재벌! 67화</v>
      </c>
      <c r="F3300">
        <v>67</v>
      </c>
      <c r="G3300" t="str">
        <f>T("강바기")</f>
        <v>강바기</v>
      </c>
      <c r="J3300" t="str">
        <f>T("매드햇")</f>
        <v>매드햇</v>
      </c>
      <c r="K3300" t="str">
        <f>T("미국 로또로 역대급 재벌!")</f>
        <v>미국 로또로 역대급 재벌!</v>
      </c>
      <c r="L3300">
        <v>100</v>
      </c>
      <c r="M3300">
        <v>100</v>
      </c>
      <c r="N3300">
        <v>1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0</v>
      </c>
      <c r="AH3300">
        <v>0</v>
      </c>
      <c r="AI3300">
        <v>100</v>
      </c>
      <c r="AJ3300">
        <v>1</v>
      </c>
      <c r="AK3300">
        <v>0</v>
      </c>
      <c r="AL3300">
        <v>0</v>
      </c>
      <c r="AM3300">
        <v>0</v>
      </c>
      <c r="AN3300">
        <v>0</v>
      </c>
      <c r="AO3300">
        <v>120</v>
      </c>
      <c r="AP3300">
        <v>-12</v>
      </c>
      <c r="AQ3300">
        <v>0</v>
      </c>
      <c r="AS3300">
        <v>0</v>
      </c>
      <c r="AT3300">
        <v>0</v>
      </c>
      <c r="AU3300">
        <v>120</v>
      </c>
      <c r="AV3300">
        <v>-12</v>
      </c>
      <c r="AW3300">
        <v>0</v>
      </c>
      <c r="AY3300">
        <v>0</v>
      </c>
      <c r="AZ3300">
        <v>0</v>
      </c>
      <c r="BA3300">
        <v>75.599999999999994</v>
      </c>
      <c r="BE3300" t="str">
        <f>T("9791137013100")</f>
        <v>9791137013100</v>
      </c>
      <c r="BF3300" t="str">
        <f>T("N187401")</f>
        <v>N187401</v>
      </c>
      <c r="BG3300" t="str">
        <f>T("판타지 웹소설 &gt; 현대 판타지")</f>
        <v>판타지 웹소설 &gt; 현대 판타지</v>
      </c>
    </row>
    <row r="3301" spans="1:59">
      <c r="A3301" t="s">
        <v>60</v>
      </c>
      <c r="B3301" s="1">
        <v>46130</v>
      </c>
      <c r="C3301">
        <v>2378042343</v>
      </c>
      <c r="D3301">
        <v>2378042410</v>
      </c>
      <c r="E3301" t="str">
        <f>T("미국 로또로 역대급 재벌! 68화")</f>
        <v>미국 로또로 역대급 재벌! 68화</v>
      </c>
      <c r="F3301">
        <v>68</v>
      </c>
      <c r="G3301" t="str">
        <f>T("강바기")</f>
        <v>강바기</v>
      </c>
      <c r="J3301" t="str">
        <f>T("매드햇")</f>
        <v>매드햇</v>
      </c>
      <c r="K3301" t="str">
        <f>T("미국 로또로 역대급 재벌!")</f>
        <v>미국 로또로 역대급 재벌!</v>
      </c>
      <c r="L3301">
        <v>100</v>
      </c>
      <c r="M3301">
        <v>100</v>
      </c>
      <c r="N3301">
        <v>1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0</v>
      </c>
      <c r="AH3301">
        <v>0</v>
      </c>
      <c r="AI3301">
        <v>100</v>
      </c>
      <c r="AJ3301">
        <v>1</v>
      </c>
      <c r="AK3301">
        <v>0</v>
      </c>
      <c r="AL3301">
        <v>0</v>
      </c>
      <c r="AM3301">
        <v>0</v>
      </c>
      <c r="AN3301">
        <v>0</v>
      </c>
      <c r="AO3301">
        <v>120</v>
      </c>
      <c r="AP3301">
        <v>-12</v>
      </c>
      <c r="AQ3301">
        <v>0</v>
      </c>
      <c r="AS3301">
        <v>0</v>
      </c>
      <c r="AT3301">
        <v>0</v>
      </c>
      <c r="AU3301">
        <v>120</v>
      </c>
      <c r="AV3301">
        <v>-12</v>
      </c>
      <c r="AW3301">
        <v>0</v>
      </c>
      <c r="AY3301">
        <v>0</v>
      </c>
      <c r="AZ3301">
        <v>0</v>
      </c>
      <c r="BA3301">
        <v>75.599999999999994</v>
      </c>
      <c r="BE3301" t="str">
        <f>T("9791137013100")</f>
        <v>9791137013100</v>
      </c>
      <c r="BF3301" t="str">
        <f>T("N187402")</f>
        <v>N187402</v>
      </c>
      <c r="BG3301" t="str">
        <f>T("판타지 웹소설 &gt; 현대 판타지")</f>
        <v>판타지 웹소설 &gt; 현대 판타지</v>
      </c>
    </row>
    <row r="3302" spans="1:59">
      <c r="A3302" t="s">
        <v>60</v>
      </c>
      <c r="B3302" s="1">
        <v>46130</v>
      </c>
      <c r="C3302">
        <v>2378042343</v>
      </c>
      <c r="D3302">
        <v>2378042411</v>
      </c>
      <c r="E3302" t="str">
        <f>T("미국 로또로 역대급 재벌! 69화")</f>
        <v>미국 로또로 역대급 재벌! 69화</v>
      </c>
      <c r="F3302">
        <v>69</v>
      </c>
      <c r="G3302" t="str">
        <f>T("강바기")</f>
        <v>강바기</v>
      </c>
      <c r="J3302" t="str">
        <f>T("매드햇")</f>
        <v>매드햇</v>
      </c>
      <c r="K3302" t="str">
        <f>T("미국 로또로 역대급 재벌!")</f>
        <v>미국 로또로 역대급 재벌!</v>
      </c>
      <c r="L3302">
        <v>100</v>
      </c>
      <c r="M3302">
        <v>100</v>
      </c>
      <c r="N3302">
        <v>1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0</v>
      </c>
      <c r="AH3302">
        <v>0</v>
      </c>
      <c r="AI3302">
        <v>100</v>
      </c>
      <c r="AJ3302">
        <v>1</v>
      </c>
      <c r="AK3302">
        <v>0</v>
      </c>
      <c r="AL3302">
        <v>0</v>
      </c>
      <c r="AM3302">
        <v>0</v>
      </c>
      <c r="AN3302">
        <v>0</v>
      </c>
      <c r="AO3302">
        <v>120</v>
      </c>
      <c r="AP3302">
        <v>-12</v>
      </c>
      <c r="AQ3302">
        <v>0</v>
      </c>
      <c r="AS3302">
        <v>0</v>
      </c>
      <c r="AT3302">
        <v>0</v>
      </c>
      <c r="AU3302">
        <v>120</v>
      </c>
      <c r="AV3302">
        <v>-12</v>
      </c>
      <c r="AW3302">
        <v>0</v>
      </c>
      <c r="AY3302">
        <v>0</v>
      </c>
      <c r="AZ3302">
        <v>0</v>
      </c>
      <c r="BA3302">
        <v>75.599999999999994</v>
      </c>
      <c r="BE3302" t="str">
        <f>T("9791137013100")</f>
        <v>9791137013100</v>
      </c>
      <c r="BF3302" t="str">
        <f>T("N187403")</f>
        <v>N187403</v>
      </c>
      <c r="BG3302" t="str">
        <f>T("판타지 웹소설 &gt; 현대 판타지")</f>
        <v>판타지 웹소설 &gt; 현대 판타지</v>
      </c>
    </row>
    <row r="3303" spans="1:59">
      <c r="A3303" t="s">
        <v>60</v>
      </c>
      <c r="B3303" s="1">
        <v>46130</v>
      </c>
      <c r="C3303">
        <v>2378042343</v>
      </c>
      <c r="D3303">
        <v>2378042412</v>
      </c>
      <c r="E3303" t="str">
        <f>T("미국 로또로 역대급 재벌! 70화")</f>
        <v>미국 로또로 역대급 재벌! 70화</v>
      </c>
      <c r="F3303">
        <v>70</v>
      </c>
      <c r="G3303" t="str">
        <f>T("강바기")</f>
        <v>강바기</v>
      </c>
      <c r="J3303" t="str">
        <f>T("매드햇")</f>
        <v>매드햇</v>
      </c>
      <c r="K3303" t="str">
        <f>T("미국 로또로 역대급 재벌!")</f>
        <v>미국 로또로 역대급 재벌!</v>
      </c>
      <c r="L3303">
        <v>100</v>
      </c>
      <c r="M3303">
        <v>100</v>
      </c>
      <c r="N3303">
        <v>1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0</v>
      </c>
      <c r="AH3303">
        <v>0</v>
      </c>
      <c r="AI3303">
        <v>100</v>
      </c>
      <c r="AJ3303">
        <v>1</v>
      </c>
      <c r="AK3303">
        <v>0</v>
      </c>
      <c r="AL3303">
        <v>0</v>
      </c>
      <c r="AM3303">
        <v>0</v>
      </c>
      <c r="AN3303">
        <v>0</v>
      </c>
      <c r="AO3303">
        <v>120</v>
      </c>
      <c r="AP3303">
        <v>-12</v>
      </c>
      <c r="AQ3303">
        <v>0</v>
      </c>
      <c r="AS3303">
        <v>0</v>
      </c>
      <c r="AT3303">
        <v>0</v>
      </c>
      <c r="AU3303">
        <v>120</v>
      </c>
      <c r="AV3303">
        <v>-12</v>
      </c>
      <c r="AW3303">
        <v>0</v>
      </c>
      <c r="AY3303">
        <v>0</v>
      </c>
      <c r="AZ3303">
        <v>0</v>
      </c>
      <c r="BA3303">
        <v>75.599999999999994</v>
      </c>
      <c r="BE3303" t="str">
        <f>T("9791137013100")</f>
        <v>9791137013100</v>
      </c>
      <c r="BF3303" t="str">
        <f>T("N187404")</f>
        <v>N187404</v>
      </c>
      <c r="BG3303" t="str">
        <f>T("판타지 웹소설 &gt; 현대 판타지")</f>
        <v>판타지 웹소설 &gt; 현대 판타지</v>
      </c>
    </row>
    <row r="3304" spans="1:59">
      <c r="A3304" t="s">
        <v>60</v>
      </c>
      <c r="B3304" s="1">
        <v>46130</v>
      </c>
      <c r="C3304">
        <v>2378042343</v>
      </c>
      <c r="D3304">
        <v>2378042413</v>
      </c>
      <c r="E3304" t="str">
        <f>T("미국 로또로 역대급 재벌! 71화")</f>
        <v>미국 로또로 역대급 재벌! 71화</v>
      </c>
      <c r="F3304">
        <v>71</v>
      </c>
      <c r="G3304" t="str">
        <f>T("강바기")</f>
        <v>강바기</v>
      </c>
      <c r="J3304" t="str">
        <f>T("매드햇")</f>
        <v>매드햇</v>
      </c>
      <c r="K3304" t="str">
        <f>T("미국 로또로 역대급 재벌!")</f>
        <v>미국 로또로 역대급 재벌!</v>
      </c>
      <c r="L3304">
        <v>100</v>
      </c>
      <c r="M3304">
        <v>100</v>
      </c>
      <c r="N3304">
        <v>1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0</v>
      </c>
      <c r="AH3304">
        <v>0</v>
      </c>
      <c r="AI3304">
        <v>100</v>
      </c>
      <c r="AJ3304">
        <v>1</v>
      </c>
      <c r="AK3304">
        <v>0</v>
      </c>
      <c r="AL3304">
        <v>0</v>
      </c>
      <c r="AM3304">
        <v>0</v>
      </c>
      <c r="AN3304">
        <v>0</v>
      </c>
      <c r="AO3304">
        <v>120</v>
      </c>
      <c r="AP3304">
        <v>-12</v>
      </c>
      <c r="AQ3304">
        <v>0</v>
      </c>
      <c r="AS3304">
        <v>0</v>
      </c>
      <c r="AT3304">
        <v>0</v>
      </c>
      <c r="AU3304">
        <v>120</v>
      </c>
      <c r="AV3304">
        <v>-12</v>
      </c>
      <c r="AW3304">
        <v>0</v>
      </c>
      <c r="AY3304">
        <v>0</v>
      </c>
      <c r="AZ3304">
        <v>0</v>
      </c>
      <c r="BA3304">
        <v>75.599999999999994</v>
      </c>
      <c r="BE3304" t="str">
        <f>T("9791137013100")</f>
        <v>9791137013100</v>
      </c>
      <c r="BF3304" t="str">
        <f>T("N187405")</f>
        <v>N187405</v>
      </c>
      <c r="BG3304" t="str">
        <f>T("판타지 웹소설 &gt; 현대 판타지")</f>
        <v>판타지 웹소설 &gt; 현대 판타지</v>
      </c>
    </row>
    <row r="3305" spans="1:59">
      <c r="A3305" t="s">
        <v>60</v>
      </c>
      <c r="B3305" s="1">
        <v>46130</v>
      </c>
      <c r="C3305">
        <v>2378042343</v>
      </c>
      <c r="D3305">
        <v>2378042414</v>
      </c>
      <c r="E3305" t="str">
        <f>T("미국 로또로 역대급 재벌! 72화")</f>
        <v>미국 로또로 역대급 재벌! 72화</v>
      </c>
      <c r="F3305">
        <v>72</v>
      </c>
      <c r="G3305" t="str">
        <f>T("강바기")</f>
        <v>강바기</v>
      </c>
      <c r="J3305" t="str">
        <f>T("매드햇")</f>
        <v>매드햇</v>
      </c>
      <c r="K3305" t="str">
        <f>T("미국 로또로 역대급 재벌!")</f>
        <v>미국 로또로 역대급 재벌!</v>
      </c>
      <c r="L3305">
        <v>100</v>
      </c>
      <c r="M3305">
        <v>100</v>
      </c>
      <c r="N3305">
        <v>1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0</v>
      </c>
      <c r="AH3305">
        <v>0</v>
      </c>
      <c r="AI3305">
        <v>100</v>
      </c>
      <c r="AJ3305">
        <v>1</v>
      </c>
      <c r="AK3305">
        <v>0</v>
      </c>
      <c r="AL3305">
        <v>0</v>
      </c>
      <c r="AM3305">
        <v>0</v>
      </c>
      <c r="AN3305">
        <v>0</v>
      </c>
      <c r="AO3305">
        <v>120</v>
      </c>
      <c r="AP3305">
        <v>-12</v>
      </c>
      <c r="AQ3305">
        <v>0</v>
      </c>
      <c r="AS3305">
        <v>0</v>
      </c>
      <c r="AT3305">
        <v>0</v>
      </c>
      <c r="AU3305">
        <v>120</v>
      </c>
      <c r="AV3305">
        <v>-12</v>
      </c>
      <c r="AW3305">
        <v>0</v>
      </c>
      <c r="AY3305">
        <v>0</v>
      </c>
      <c r="AZ3305">
        <v>0</v>
      </c>
      <c r="BA3305">
        <v>75.599999999999994</v>
      </c>
      <c r="BE3305" t="str">
        <f>T("9791137013100")</f>
        <v>9791137013100</v>
      </c>
      <c r="BF3305" t="str">
        <f>T("N187406")</f>
        <v>N187406</v>
      </c>
      <c r="BG3305" t="str">
        <f>T("판타지 웹소설 &gt; 현대 판타지")</f>
        <v>판타지 웹소설 &gt; 현대 판타지</v>
      </c>
    </row>
    <row r="3306" spans="1:59">
      <c r="A3306" t="s">
        <v>60</v>
      </c>
      <c r="B3306" s="1">
        <v>46130</v>
      </c>
      <c r="C3306">
        <v>2378042343</v>
      </c>
      <c r="D3306">
        <v>2378042415</v>
      </c>
      <c r="E3306" t="str">
        <f>T("미국 로또로 역대급 재벌! 73화")</f>
        <v>미국 로또로 역대급 재벌! 73화</v>
      </c>
      <c r="F3306">
        <v>73</v>
      </c>
      <c r="G3306" t="str">
        <f>T("강바기")</f>
        <v>강바기</v>
      </c>
      <c r="J3306" t="str">
        <f>T("매드햇")</f>
        <v>매드햇</v>
      </c>
      <c r="K3306" t="str">
        <f>T("미국 로또로 역대급 재벌!")</f>
        <v>미국 로또로 역대급 재벌!</v>
      </c>
      <c r="L3306">
        <v>100</v>
      </c>
      <c r="M3306">
        <v>100</v>
      </c>
      <c r="N3306">
        <v>1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0</v>
      </c>
      <c r="AH3306">
        <v>0</v>
      </c>
      <c r="AI3306">
        <v>100</v>
      </c>
      <c r="AJ3306">
        <v>1</v>
      </c>
      <c r="AK3306">
        <v>0</v>
      </c>
      <c r="AL3306">
        <v>0</v>
      </c>
      <c r="AM3306">
        <v>0</v>
      </c>
      <c r="AN3306">
        <v>0</v>
      </c>
      <c r="AO3306">
        <v>120</v>
      </c>
      <c r="AP3306">
        <v>-12</v>
      </c>
      <c r="AQ3306">
        <v>0</v>
      </c>
      <c r="AS3306">
        <v>0</v>
      </c>
      <c r="AT3306">
        <v>0</v>
      </c>
      <c r="AU3306">
        <v>120</v>
      </c>
      <c r="AV3306">
        <v>-12</v>
      </c>
      <c r="AW3306">
        <v>0</v>
      </c>
      <c r="AY3306">
        <v>0</v>
      </c>
      <c r="AZ3306">
        <v>0</v>
      </c>
      <c r="BA3306">
        <v>75.599999999999994</v>
      </c>
      <c r="BE3306" t="str">
        <f>T("9791137013100")</f>
        <v>9791137013100</v>
      </c>
      <c r="BF3306" t="str">
        <f>T("N187407")</f>
        <v>N187407</v>
      </c>
      <c r="BG3306" t="str">
        <f>T("판타지 웹소설 &gt; 현대 판타지")</f>
        <v>판타지 웹소설 &gt; 현대 판타지</v>
      </c>
    </row>
    <row r="3307" spans="1:59">
      <c r="A3307" t="s">
        <v>60</v>
      </c>
      <c r="B3307" s="1">
        <v>46130</v>
      </c>
      <c r="C3307">
        <v>2378042343</v>
      </c>
      <c r="D3307">
        <v>2378042416</v>
      </c>
      <c r="E3307" t="str">
        <f>T("미국 로또로 역대급 재벌! 74화")</f>
        <v>미국 로또로 역대급 재벌! 74화</v>
      </c>
      <c r="F3307">
        <v>74</v>
      </c>
      <c r="G3307" t="str">
        <f>T("강바기")</f>
        <v>강바기</v>
      </c>
      <c r="J3307" t="str">
        <f>T("매드햇")</f>
        <v>매드햇</v>
      </c>
      <c r="K3307" t="str">
        <f>T("미국 로또로 역대급 재벌!")</f>
        <v>미국 로또로 역대급 재벌!</v>
      </c>
      <c r="L3307">
        <v>100</v>
      </c>
      <c r="M3307">
        <v>100</v>
      </c>
      <c r="N3307">
        <v>1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0</v>
      </c>
      <c r="AH3307">
        <v>0</v>
      </c>
      <c r="AI3307">
        <v>100</v>
      </c>
      <c r="AJ3307">
        <v>1</v>
      </c>
      <c r="AK3307">
        <v>0</v>
      </c>
      <c r="AL3307">
        <v>0</v>
      </c>
      <c r="AM3307">
        <v>0</v>
      </c>
      <c r="AN3307">
        <v>0</v>
      </c>
      <c r="AO3307">
        <v>120</v>
      </c>
      <c r="AP3307">
        <v>-12</v>
      </c>
      <c r="AQ3307">
        <v>0</v>
      </c>
      <c r="AS3307">
        <v>0</v>
      </c>
      <c r="AT3307">
        <v>0</v>
      </c>
      <c r="AU3307">
        <v>120</v>
      </c>
      <c r="AV3307">
        <v>-12</v>
      </c>
      <c r="AW3307">
        <v>0</v>
      </c>
      <c r="AY3307">
        <v>0</v>
      </c>
      <c r="AZ3307">
        <v>0</v>
      </c>
      <c r="BA3307">
        <v>75.599999999999994</v>
      </c>
      <c r="BE3307" t="str">
        <f>T("9791137013100")</f>
        <v>9791137013100</v>
      </c>
      <c r="BF3307" t="str">
        <f>T("N187408")</f>
        <v>N187408</v>
      </c>
      <c r="BG3307" t="str">
        <f>T("판타지 웹소설 &gt; 현대 판타지")</f>
        <v>판타지 웹소설 &gt; 현대 판타지</v>
      </c>
    </row>
    <row r="3308" spans="1:59">
      <c r="A3308" t="s">
        <v>60</v>
      </c>
      <c r="B3308" s="1">
        <v>46130</v>
      </c>
      <c r="C3308">
        <v>2378042343</v>
      </c>
      <c r="D3308">
        <v>2378042417</v>
      </c>
      <c r="E3308" t="str">
        <f>T("미국 로또로 역대급 재벌! 75화")</f>
        <v>미국 로또로 역대급 재벌! 75화</v>
      </c>
      <c r="F3308">
        <v>75</v>
      </c>
      <c r="G3308" t="str">
        <f>T("강바기")</f>
        <v>강바기</v>
      </c>
      <c r="J3308" t="str">
        <f>T("매드햇")</f>
        <v>매드햇</v>
      </c>
      <c r="K3308" t="str">
        <f>T("미국 로또로 역대급 재벌!")</f>
        <v>미국 로또로 역대급 재벌!</v>
      </c>
      <c r="L3308">
        <v>100</v>
      </c>
      <c r="M3308">
        <v>100</v>
      </c>
      <c r="N3308">
        <v>1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0</v>
      </c>
      <c r="AH3308">
        <v>0</v>
      </c>
      <c r="AI3308">
        <v>100</v>
      </c>
      <c r="AJ3308">
        <v>1</v>
      </c>
      <c r="AK3308">
        <v>0</v>
      </c>
      <c r="AL3308">
        <v>0</v>
      </c>
      <c r="AM3308">
        <v>0</v>
      </c>
      <c r="AN3308">
        <v>0</v>
      </c>
      <c r="AO3308">
        <v>120</v>
      </c>
      <c r="AP3308">
        <v>-12</v>
      </c>
      <c r="AQ3308">
        <v>0</v>
      </c>
      <c r="AS3308">
        <v>0</v>
      </c>
      <c r="AT3308">
        <v>0</v>
      </c>
      <c r="AU3308">
        <v>120</v>
      </c>
      <c r="AV3308">
        <v>-12</v>
      </c>
      <c r="AW3308">
        <v>0</v>
      </c>
      <c r="AY3308">
        <v>0</v>
      </c>
      <c r="AZ3308">
        <v>0</v>
      </c>
      <c r="BA3308">
        <v>75.599999999999994</v>
      </c>
      <c r="BE3308" t="str">
        <f>T("9791137013100")</f>
        <v>9791137013100</v>
      </c>
      <c r="BF3308" t="str">
        <f>T("N187409")</f>
        <v>N187409</v>
      </c>
      <c r="BG3308" t="str">
        <f>T("판타지 웹소설 &gt; 현대 판타지")</f>
        <v>판타지 웹소설 &gt; 현대 판타지</v>
      </c>
    </row>
    <row r="3309" spans="1:59">
      <c r="A3309" t="s">
        <v>60</v>
      </c>
      <c r="B3309" s="1">
        <v>46130</v>
      </c>
      <c r="C3309">
        <v>2378042343</v>
      </c>
      <c r="D3309">
        <v>2378042418</v>
      </c>
      <c r="E3309" t="str">
        <f>T("미국 로또로 역대급 재벌! 76화")</f>
        <v>미국 로또로 역대급 재벌! 76화</v>
      </c>
      <c r="F3309">
        <v>76</v>
      </c>
      <c r="G3309" t="str">
        <f>T("강바기")</f>
        <v>강바기</v>
      </c>
      <c r="J3309" t="str">
        <f>T("매드햇")</f>
        <v>매드햇</v>
      </c>
      <c r="K3309" t="str">
        <f>T("미국 로또로 역대급 재벌!")</f>
        <v>미국 로또로 역대급 재벌!</v>
      </c>
      <c r="L3309">
        <v>100</v>
      </c>
      <c r="M3309">
        <v>100</v>
      </c>
      <c r="N3309">
        <v>1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0</v>
      </c>
      <c r="AH3309">
        <v>0</v>
      </c>
      <c r="AI3309">
        <v>100</v>
      </c>
      <c r="AJ3309">
        <v>1</v>
      </c>
      <c r="AK3309">
        <v>0</v>
      </c>
      <c r="AL3309">
        <v>0</v>
      </c>
      <c r="AM3309">
        <v>0</v>
      </c>
      <c r="AN3309">
        <v>0</v>
      </c>
      <c r="AO3309">
        <v>120</v>
      </c>
      <c r="AP3309">
        <v>-12</v>
      </c>
      <c r="AQ3309">
        <v>0</v>
      </c>
      <c r="AS3309">
        <v>0</v>
      </c>
      <c r="AT3309">
        <v>0</v>
      </c>
      <c r="AU3309">
        <v>120</v>
      </c>
      <c r="AV3309">
        <v>-12</v>
      </c>
      <c r="AW3309">
        <v>0</v>
      </c>
      <c r="AY3309">
        <v>0</v>
      </c>
      <c r="AZ3309">
        <v>0</v>
      </c>
      <c r="BA3309">
        <v>75.599999999999994</v>
      </c>
      <c r="BE3309" t="str">
        <f>T("9791137013100")</f>
        <v>9791137013100</v>
      </c>
      <c r="BF3309" t="str">
        <f>T("N187410")</f>
        <v>N187410</v>
      </c>
      <c r="BG3309" t="str">
        <f>T("판타지 웹소설 &gt; 현대 판타지")</f>
        <v>판타지 웹소설 &gt; 현대 판타지</v>
      </c>
    </row>
    <row r="3310" spans="1:59">
      <c r="A3310" t="s">
        <v>60</v>
      </c>
      <c r="B3310" s="1">
        <v>46130</v>
      </c>
      <c r="C3310">
        <v>2378042343</v>
      </c>
      <c r="D3310">
        <v>2378042419</v>
      </c>
      <c r="E3310" t="str">
        <f>T("미국 로또로 역대급 재벌! 77화")</f>
        <v>미국 로또로 역대급 재벌! 77화</v>
      </c>
      <c r="F3310">
        <v>77</v>
      </c>
      <c r="G3310" t="str">
        <f>T("강바기")</f>
        <v>강바기</v>
      </c>
      <c r="J3310" t="str">
        <f>T("매드햇")</f>
        <v>매드햇</v>
      </c>
      <c r="K3310" t="str">
        <f>T("미국 로또로 역대급 재벌!")</f>
        <v>미국 로또로 역대급 재벌!</v>
      </c>
      <c r="L3310">
        <v>100</v>
      </c>
      <c r="M3310">
        <v>100</v>
      </c>
      <c r="N3310">
        <v>1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0</v>
      </c>
      <c r="AH3310">
        <v>0</v>
      </c>
      <c r="AI3310">
        <v>100</v>
      </c>
      <c r="AJ3310">
        <v>1</v>
      </c>
      <c r="AK3310">
        <v>0</v>
      </c>
      <c r="AL3310">
        <v>0</v>
      </c>
      <c r="AM3310">
        <v>0</v>
      </c>
      <c r="AN3310">
        <v>0</v>
      </c>
      <c r="AO3310">
        <v>120</v>
      </c>
      <c r="AP3310">
        <v>-12</v>
      </c>
      <c r="AQ3310">
        <v>0</v>
      </c>
      <c r="AS3310">
        <v>0</v>
      </c>
      <c r="AT3310">
        <v>0</v>
      </c>
      <c r="AU3310">
        <v>120</v>
      </c>
      <c r="AV3310">
        <v>-12</v>
      </c>
      <c r="AW3310">
        <v>0</v>
      </c>
      <c r="AY3310">
        <v>0</v>
      </c>
      <c r="AZ3310">
        <v>0</v>
      </c>
      <c r="BA3310">
        <v>75.599999999999994</v>
      </c>
      <c r="BE3310" t="str">
        <f>T("9791137013100")</f>
        <v>9791137013100</v>
      </c>
      <c r="BF3310" t="str">
        <f>T("N187411")</f>
        <v>N187411</v>
      </c>
      <c r="BG3310" t="str">
        <f>T("판타지 웹소설 &gt; 현대 판타지")</f>
        <v>판타지 웹소설 &gt; 현대 판타지</v>
      </c>
    </row>
    <row r="3311" spans="1:59">
      <c r="A3311" t="s">
        <v>60</v>
      </c>
      <c r="B3311" s="1">
        <v>46130</v>
      </c>
      <c r="C3311">
        <v>2378042343</v>
      </c>
      <c r="D3311">
        <v>2378042420</v>
      </c>
      <c r="E3311" t="str">
        <f>T("미국 로또로 역대급 재벌! 78화")</f>
        <v>미국 로또로 역대급 재벌! 78화</v>
      </c>
      <c r="F3311">
        <v>78</v>
      </c>
      <c r="G3311" t="str">
        <f>T("강바기")</f>
        <v>강바기</v>
      </c>
      <c r="J3311" t="str">
        <f>T("매드햇")</f>
        <v>매드햇</v>
      </c>
      <c r="K3311" t="str">
        <f>T("미국 로또로 역대급 재벌!")</f>
        <v>미국 로또로 역대급 재벌!</v>
      </c>
      <c r="L3311">
        <v>100</v>
      </c>
      <c r="M3311">
        <v>100</v>
      </c>
      <c r="N3311">
        <v>1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0</v>
      </c>
      <c r="AH3311">
        <v>0</v>
      </c>
      <c r="AI3311">
        <v>100</v>
      </c>
      <c r="AJ3311">
        <v>1</v>
      </c>
      <c r="AK3311">
        <v>0</v>
      </c>
      <c r="AL3311">
        <v>0</v>
      </c>
      <c r="AM3311">
        <v>0</v>
      </c>
      <c r="AN3311">
        <v>0</v>
      </c>
      <c r="AO3311">
        <v>120</v>
      </c>
      <c r="AP3311">
        <v>-12</v>
      </c>
      <c r="AQ3311">
        <v>0</v>
      </c>
      <c r="AS3311">
        <v>0</v>
      </c>
      <c r="AT3311">
        <v>0</v>
      </c>
      <c r="AU3311">
        <v>120</v>
      </c>
      <c r="AV3311">
        <v>-12</v>
      </c>
      <c r="AW3311">
        <v>0</v>
      </c>
      <c r="AY3311">
        <v>0</v>
      </c>
      <c r="AZ3311">
        <v>0</v>
      </c>
      <c r="BA3311">
        <v>75.599999999999994</v>
      </c>
      <c r="BE3311" t="str">
        <f>T("9791137013100")</f>
        <v>9791137013100</v>
      </c>
      <c r="BF3311" t="str">
        <f>T("N187412")</f>
        <v>N187412</v>
      </c>
      <c r="BG3311" t="str">
        <f>T("판타지 웹소설 &gt; 현대 판타지")</f>
        <v>판타지 웹소설 &gt; 현대 판타지</v>
      </c>
    </row>
    <row r="3312" spans="1:59">
      <c r="A3312" t="s">
        <v>60</v>
      </c>
      <c r="B3312" s="1">
        <v>46130</v>
      </c>
      <c r="C3312">
        <v>2378042343</v>
      </c>
      <c r="D3312">
        <v>2378042421</v>
      </c>
      <c r="E3312" t="str">
        <f>T("미국 로또로 역대급 재벌! 79화")</f>
        <v>미국 로또로 역대급 재벌! 79화</v>
      </c>
      <c r="F3312">
        <v>79</v>
      </c>
      <c r="G3312" t="str">
        <f>T("강바기")</f>
        <v>강바기</v>
      </c>
      <c r="J3312" t="str">
        <f>T("매드햇")</f>
        <v>매드햇</v>
      </c>
      <c r="K3312" t="str">
        <f>T("미국 로또로 역대급 재벌!")</f>
        <v>미국 로또로 역대급 재벌!</v>
      </c>
      <c r="L3312">
        <v>100</v>
      </c>
      <c r="M3312">
        <v>100</v>
      </c>
      <c r="N3312">
        <v>1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0</v>
      </c>
      <c r="AH3312">
        <v>0</v>
      </c>
      <c r="AI3312">
        <v>100</v>
      </c>
      <c r="AJ3312">
        <v>1</v>
      </c>
      <c r="AK3312">
        <v>0</v>
      </c>
      <c r="AL3312">
        <v>0</v>
      </c>
      <c r="AM3312">
        <v>0</v>
      </c>
      <c r="AN3312">
        <v>0</v>
      </c>
      <c r="AO3312">
        <v>120</v>
      </c>
      <c r="AP3312">
        <v>-12</v>
      </c>
      <c r="AQ3312">
        <v>0</v>
      </c>
      <c r="AS3312">
        <v>0</v>
      </c>
      <c r="AT3312">
        <v>0</v>
      </c>
      <c r="AU3312">
        <v>120</v>
      </c>
      <c r="AV3312">
        <v>-12</v>
      </c>
      <c r="AW3312">
        <v>0</v>
      </c>
      <c r="AY3312">
        <v>0</v>
      </c>
      <c r="AZ3312">
        <v>0</v>
      </c>
      <c r="BA3312">
        <v>75.599999999999994</v>
      </c>
      <c r="BE3312" t="str">
        <f>T("9791137013100")</f>
        <v>9791137013100</v>
      </c>
      <c r="BF3312" t="str">
        <f>T("N187413")</f>
        <v>N187413</v>
      </c>
      <c r="BG3312" t="str">
        <f>T("판타지 웹소설 &gt; 현대 판타지")</f>
        <v>판타지 웹소설 &gt; 현대 판타지</v>
      </c>
    </row>
    <row r="3313" spans="1:59">
      <c r="A3313" t="s">
        <v>60</v>
      </c>
      <c r="B3313" s="1">
        <v>46130</v>
      </c>
      <c r="C3313">
        <v>2378042343</v>
      </c>
      <c r="D3313">
        <v>2378042422</v>
      </c>
      <c r="E3313" t="str">
        <f>T("미국 로또로 역대급 재벌! 80화")</f>
        <v>미국 로또로 역대급 재벌! 80화</v>
      </c>
      <c r="F3313">
        <v>80</v>
      </c>
      <c r="G3313" t="str">
        <f>T("강바기")</f>
        <v>강바기</v>
      </c>
      <c r="J3313" t="str">
        <f>T("매드햇")</f>
        <v>매드햇</v>
      </c>
      <c r="K3313" t="str">
        <f>T("미국 로또로 역대급 재벌!")</f>
        <v>미국 로또로 역대급 재벌!</v>
      </c>
      <c r="L3313">
        <v>100</v>
      </c>
      <c r="M3313">
        <v>100</v>
      </c>
      <c r="N3313">
        <v>1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0</v>
      </c>
      <c r="AH3313">
        <v>0</v>
      </c>
      <c r="AI3313">
        <v>100</v>
      </c>
      <c r="AJ3313">
        <v>1</v>
      </c>
      <c r="AK3313">
        <v>0</v>
      </c>
      <c r="AL3313">
        <v>0</v>
      </c>
      <c r="AM3313">
        <v>0</v>
      </c>
      <c r="AN3313">
        <v>0</v>
      </c>
      <c r="AO3313">
        <v>120</v>
      </c>
      <c r="AP3313">
        <v>-12</v>
      </c>
      <c r="AQ3313">
        <v>0</v>
      </c>
      <c r="AS3313">
        <v>0</v>
      </c>
      <c r="AT3313">
        <v>0</v>
      </c>
      <c r="AU3313">
        <v>120</v>
      </c>
      <c r="AV3313">
        <v>-12</v>
      </c>
      <c r="AW3313">
        <v>0</v>
      </c>
      <c r="AY3313">
        <v>0</v>
      </c>
      <c r="AZ3313">
        <v>0</v>
      </c>
      <c r="BA3313">
        <v>75.599999999999994</v>
      </c>
      <c r="BE3313" t="str">
        <f>T("9791137013100")</f>
        <v>9791137013100</v>
      </c>
      <c r="BF3313" t="str">
        <f>T("N187414")</f>
        <v>N187414</v>
      </c>
      <c r="BG3313" t="str">
        <f>T("판타지 웹소설 &gt; 현대 판타지")</f>
        <v>판타지 웹소설 &gt; 현대 판타지</v>
      </c>
    </row>
    <row r="3314" spans="1:59">
      <c r="A3314" t="s">
        <v>60</v>
      </c>
      <c r="B3314" s="1">
        <v>46130</v>
      </c>
      <c r="C3314">
        <v>2378042343</v>
      </c>
      <c r="D3314">
        <v>2378042423</v>
      </c>
      <c r="E3314" t="str">
        <f>T("미국 로또로 역대급 재벌! 81화")</f>
        <v>미국 로또로 역대급 재벌! 81화</v>
      </c>
      <c r="F3314">
        <v>81</v>
      </c>
      <c r="G3314" t="str">
        <f>T("강바기")</f>
        <v>강바기</v>
      </c>
      <c r="J3314" t="str">
        <f>T("매드햇")</f>
        <v>매드햇</v>
      </c>
      <c r="K3314" t="str">
        <f>T("미국 로또로 역대급 재벌!")</f>
        <v>미국 로또로 역대급 재벌!</v>
      </c>
      <c r="L3314">
        <v>100</v>
      </c>
      <c r="M3314">
        <v>100</v>
      </c>
      <c r="N3314">
        <v>1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0</v>
      </c>
      <c r="AH3314">
        <v>0</v>
      </c>
      <c r="AI3314">
        <v>100</v>
      </c>
      <c r="AJ3314">
        <v>1</v>
      </c>
      <c r="AK3314">
        <v>0</v>
      </c>
      <c r="AL3314">
        <v>0</v>
      </c>
      <c r="AM3314">
        <v>0</v>
      </c>
      <c r="AN3314">
        <v>0</v>
      </c>
      <c r="AO3314">
        <v>120</v>
      </c>
      <c r="AP3314">
        <v>-12</v>
      </c>
      <c r="AQ3314">
        <v>0</v>
      </c>
      <c r="AS3314">
        <v>0</v>
      </c>
      <c r="AT3314">
        <v>0</v>
      </c>
      <c r="AU3314">
        <v>120</v>
      </c>
      <c r="AV3314">
        <v>-12</v>
      </c>
      <c r="AW3314">
        <v>0</v>
      </c>
      <c r="AY3314">
        <v>0</v>
      </c>
      <c r="AZ3314">
        <v>0</v>
      </c>
      <c r="BA3314">
        <v>75.599999999999994</v>
      </c>
      <c r="BE3314" t="str">
        <f>T("9791137013100")</f>
        <v>9791137013100</v>
      </c>
      <c r="BF3314" t="str">
        <f>T("N187415")</f>
        <v>N187415</v>
      </c>
      <c r="BG3314" t="str">
        <f>T("판타지 웹소설 &gt; 현대 판타지")</f>
        <v>판타지 웹소설 &gt; 현대 판타지</v>
      </c>
    </row>
    <row r="3315" spans="1:59">
      <c r="A3315" t="s">
        <v>60</v>
      </c>
      <c r="B3315" s="1">
        <v>46130</v>
      </c>
      <c r="C3315">
        <v>2378042343</v>
      </c>
      <c r="D3315">
        <v>2378042424</v>
      </c>
      <c r="E3315" t="str">
        <f>T("미국 로또로 역대급 재벌! 82화")</f>
        <v>미국 로또로 역대급 재벌! 82화</v>
      </c>
      <c r="F3315">
        <v>82</v>
      </c>
      <c r="G3315" t="str">
        <f>T("강바기")</f>
        <v>강바기</v>
      </c>
      <c r="J3315" t="str">
        <f>T("매드햇")</f>
        <v>매드햇</v>
      </c>
      <c r="K3315" t="str">
        <f>T("미국 로또로 역대급 재벌!")</f>
        <v>미국 로또로 역대급 재벌!</v>
      </c>
      <c r="L3315">
        <v>100</v>
      </c>
      <c r="M3315">
        <v>100</v>
      </c>
      <c r="N3315">
        <v>1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0</v>
      </c>
      <c r="AE3315">
        <v>0</v>
      </c>
      <c r="AF3315">
        <v>0</v>
      </c>
      <c r="AG3315">
        <v>0</v>
      </c>
      <c r="AH3315">
        <v>0</v>
      </c>
      <c r="AI3315">
        <v>100</v>
      </c>
      <c r="AJ3315">
        <v>1</v>
      </c>
      <c r="AK3315">
        <v>0</v>
      </c>
      <c r="AL3315">
        <v>0</v>
      </c>
      <c r="AM3315">
        <v>0</v>
      </c>
      <c r="AN3315">
        <v>0</v>
      </c>
      <c r="AO3315">
        <v>120</v>
      </c>
      <c r="AP3315">
        <v>-12</v>
      </c>
      <c r="AQ3315">
        <v>0</v>
      </c>
      <c r="AS3315">
        <v>0</v>
      </c>
      <c r="AT3315">
        <v>0</v>
      </c>
      <c r="AU3315">
        <v>120</v>
      </c>
      <c r="AV3315">
        <v>-12</v>
      </c>
      <c r="AW3315">
        <v>0</v>
      </c>
      <c r="AY3315">
        <v>0</v>
      </c>
      <c r="AZ3315">
        <v>0</v>
      </c>
      <c r="BA3315">
        <v>75.599999999999994</v>
      </c>
      <c r="BE3315" t="str">
        <f>T("9791137013100")</f>
        <v>9791137013100</v>
      </c>
      <c r="BF3315" t="str">
        <f>T("N187416")</f>
        <v>N187416</v>
      </c>
      <c r="BG3315" t="str">
        <f>T("판타지 웹소설 &gt; 현대 판타지")</f>
        <v>판타지 웹소설 &gt; 현대 판타지</v>
      </c>
    </row>
    <row r="3316" spans="1:59">
      <c r="A3316" t="s">
        <v>60</v>
      </c>
      <c r="B3316" s="1">
        <v>46130</v>
      </c>
      <c r="C3316">
        <v>2378042343</v>
      </c>
      <c r="D3316">
        <v>2378042425</v>
      </c>
      <c r="E3316" t="str">
        <f>T("미국 로또로 역대급 재벌! 83화")</f>
        <v>미국 로또로 역대급 재벌! 83화</v>
      </c>
      <c r="F3316">
        <v>83</v>
      </c>
      <c r="G3316" t="str">
        <f>T("강바기")</f>
        <v>강바기</v>
      </c>
      <c r="J3316" t="str">
        <f>T("매드햇")</f>
        <v>매드햇</v>
      </c>
      <c r="K3316" t="str">
        <f>T("미국 로또로 역대급 재벌!")</f>
        <v>미국 로또로 역대급 재벌!</v>
      </c>
      <c r="L3316">
        <v>100</v>
      </c>
      <c r="M3316">
        <v>100</v>
      </c>
      <c r="N3316">
        <v>1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0</v>
      </c>
      <c r="AE3316">
        <v>0</v>
      </c>
      <c r="AF3316">
        <v>0</v>
      </c>
      <c r="AG3316">
        <v>0</v>
      </c>
      <c r="AH3316">
        <v>0</v>
      </c>
      <c r="AI3316">
        <v>100</v>
      </c>
      <c r="AJ3316">
        <v>1</v>
      </c>
      <c r="AK3316">
        <v>0</v>
      </c>
      <c r="AL3316">
        <v>0</v>
      </c>
      <c r="AM3316">
        <v>0</v>
      </c>
      <c r="AN3316">
        <v>0</v>
      </c>
      <c r="AO3316">
        <v>120</v>
      </c>
      <c r="AP3316">
        <v>-12</v>
      </c>
      <c r="AQ3316">
        <v>0</v>
      </c>
      <c r="AS3316">
        <v>0</v>
      </c>
      <c r="AT3316">
        <v>0</v>
      </c>
      <c r="AU3316">
        <v>120</v>
      </c>
      <c r="AV3316">
        <v>-12</v>
      </c>
      <c r="AW3316">
        <v>0</v>
      </c>
      <c r="AY3316">
        <v>0</v>
      </c>
      <c r="AZ3316">
        <v>0</v>
      </c>
      <c r="BA3316">
        <v>75.599999999999994</v>
      </c>
      <c r="BE3316" t="str">
        <f>T("9791137013100")</f>
        <v>9791137013100</v>
      </c>
      <c r="BF3316" t="str">
        <f>T("N187417")</f>
        <v>N187417</v>
      </c>
      <c r="BG3316" t="str">
        <f>T("판타지 웹소설 &gt; 현대 판타지")</f>
        <v>판타지 웹소설 &gt; 현대 판타지</v>
      </c>
    </row>
    <row r="3317" spans="1:59">
      <c r="A3317" t="s">
        <v>60</v>
      </c>
      <c r="B3317" s="1">
        <v>46130</v>
      </c>
      <c r="C3317">
        <v>2378042343</v>
      </c>
      <c r="D3317">
        <v>2378042426</v>
      </c>
      <c r="E3317" t="str">
        <f>T("미국 로또로 역대급 재벌! 84화")</f>
        <v>미국 로또로 역대급 재벌! 84화</v>
      </c>
      <c r="F3317">
        <v>84</v>
      </c>
      <c r="G3317" t="str">
        <f>T("강바기")</f>
        <v>강바기</v>
      </c>
      <c r="J3317" t="str">
        <f>T("매드햇")</f>
        <v>매드햇</v>
      </c>
      <c r="K3317" t="str">
        <f>T("미국 로또로 역대급 재벌!")</f>
        <v>미국 로또로 역대급 재벌!</v>
      </c>
      <c r="L3317">
        <v>100</v>
      </c>
      <c r="M3317">
        <v>100</v>
      </c>
      <c r="N3317">
        <v>1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0</v>
      </c>
      <c r="AE3317">
        <v>0</v>
      </c>
      <c r="AF3317">
        <v>0</v>
      </c>
      <c r="AG3317">
        <v>0</v>
      </c>
      <c r="AH3317">
        <v>0</v>
      </c>
      <c r="AI3317">
        <v>100</v>
      </c>
      <c r="AJ3317">
        <v>1</v>
      </c>
      <c r="AK3317">
        <v>0</v>
      </c>
      <c r="AL3317">
        <v>0</v>
      </c>
      <c r="AM3317">
        <v>0</v>
      </c>
      <c r="AN3317">
        <v>0</v>
      </c>
      <c r="AO3317">
        <v>120</v>
      </c>
      <c r="AP3317">
        <v>-12</v>
      </c>
      <c r="AQ3317">
        <v>0</v>
      </c>
      <c r="AS3317">
        <v>0</v>
      </c>
      <c r="AT3317">
        <v>0</v>
      </c>
      <c r="AU3317">
        <v>120</v>
      </c>
      <c r="AV3317">
        <v>-12</v>
      </c>
      <c r="AW3317">
        <v>0</v>
      </c>
      <c r="AY3317">
        <v>0</v>
      </c>
      <c r="AZ3317">
        <v>0</v>
      </c>
      <c r="BA3317">
        <v>75.599999999999994</v>
      </c>
      <c r="BE3317" t="str">
        <f>T("9791137013100")</f>
        <v>9791137013100</v>
      </c>
      <c r="BF3317" t="str">
        <f>T("N187418")</f>
        <v>N187418</v>
      </c>
      <c r="BG3317" t="str">
        <f>T("판타지 웹소설 &gt; 현대 판타지")</f>
        <v>판타지 웹소설 &gt; 현대 판타지</v>
      </c>
    </row>
    <row r="3318" spans="1:59">
      <c r="A3318" t="s">
        <v>60</v>
      </c>
      <c r="B3318" s="1">
        <v>46130</v>
      </c>
      <c r="C3318">
        <v>2378042343</v>
      </c>
      <c r="D3318">
        <v>2378042427</v>
      </c>
      <c r="E3318" t="str">
        <f>T("미국 로또로 역대급 재벌! 85화")</f>
        <v>미국 로또로 역대급 재벌! 85화</v>
      </c>
      <c r="F3318">
        <v>85</v>
      </c>
      <c r="G3318" t="str">
        <f>T("강바기")</f>
        <v>강바기</v>
      </c>
      <c r="J3318" t="str">
        <f>T("매드햇")</f>
        <v>매드햇</v>
      </c>
      <c r="K3318" t="str">
        <f>T("미국 로또로 역대급 재벌!")</f>
        <v>미국 로또로 역대급 재벌!</v>
      </c>
      <c r="L3318">
        <v>100</v>
      </c>
      <c r="M3318">
        <v>100</v>
      </c>
      <c r="N3318">
        <v>1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0</v>
      </c>
      <c r="AE3318">
        <v>0</v>
      </c>
      <c r="AF3318">
        <v>0</v>
      </c>
      <c r="AG3318">
        <v>0</v>
      </c>
      <c r="AH3318">
        <v>0</v>
      </c>
      <c r="AI3318">
        <v>100</v>
      </c>
      <c r="AJ3318">
        <v>1</v>
      </c>
      <c r="AK3318">
        <v>0</v>
      </c>
      <c r="AL3318">
        <v>0</v>
      </c>
      <c r="AM3318">
        <v>0</v>
      </c>
      <c r="AN3318">
        <v>0</v>
      </c>
      <c r="AO3318">
        <v>120</v>
      </c>
      <c r="AP3318">
        <v>-12</v>
      </c>
      <c r="AQ3318">
        <v>0</v>
      </c>
      <c r="AS3318">
        <v>0</v>
      </c>
      <c r="AT3318">
        <v>0</v>
      </c>
      <c r="AU3318">
        <v>120</v>
      </c>
      <c r="AV3318">
        <v>-12</v>
      </c>
      <c r="AW3318">
        <v>0</v>
      </c>
      <c r="AY3318">
        <v>0</v>
      </c>
      <c r="AZ3318">
        <v>0</v>
      </c>
      <c r="BA3318">
        <v>75.599999999999994</v>
      </c>
      <c r="BE3318" t="str">
        <f>T("9791137013100")</f>
        <v>9791137013100</v>
      </c>
      <c r="BF3318" t="str">
        <f>T("N187419")</f>
        <v>N187419</v>
      </c>
      <c r="BG3318" t="str">
        <f>T("판타지 웹소설 &gt; 현대 판타지")</f>
        <v>판타지 웹소설 &gt; 현대 판타지</v>
      </c>
    </row>
    <row r="3319" spans="1:59">
      <c r="A3319" t="s">
        <v>60</v>
      </c>
      <c r="B3319" s="1">
        <v>46130</v>
      </c>
      <c r="C3319">
        <v>2378042343</v>
      </c>
      <c r="D3319">
        <v>2378042428</v>
      </c>
      <c r="E3319" t="str">
        <f>T("미국 로또로 역대급 재벌! 86화")</f>
        <v>미국 로또로 역대급 재벌! 86화</v>
      </c>
      <c r="F3319">
        <v>86</v>
      </c>
      <c r="G3319" t="str">
        <f>T("강바기")</f>
        <v>강바기</v>
      </c>
      <c r="J3319" t="str">
        <f>T("매드햇")</f>
        <v>매드햇</v>
      </c>
      <c r="K3319" t="str">
        <f>T("미국 로또로 역대급 재벌!")</f>
        <v>미국 로또로 역대급 재벌!</v>
      </c>
      <c r="L3319">
        <v>100</v>
      </c>
      <c r="M3319">
        <v>100</v>
      </c>
      <c r="N3319">
        <v>1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0</v>
      </c>
      <c r="AE3319">
        <v>0</v>
      </c>
      <c r="AF3319">
        <v>0</v>
      </c>
      <c r="AG3319">
        <v>0</v>
      </c>
      <c r="AH3319">
        <v>0</v>
      </c>
      <c r="AI3319">
        <v>100</v>
      </c>
      <c r="AJ3319">
        <v>1</v>
      </c>
      <c r="AK3319">
        <v>0</v>
      </c>
      <c r="AL3319">
        <v>0</v>
      </c>
      <c r="AM3319">
        <v>0</v>
      </c>
      <c r="AN3319">
        <v>0</v>
      </c>
      <c r="AO3319">
        <v>120</v>
      </c>
      <c r="AP3319">
        <v>-12</v>
      </c>
      <c r="AQ3319">
        <v>0</v>
      </c>
      <c r="AS3319">
        <v>0</v>
      </c>
      <c r="AT3319">
        <v>0</v>
      </c>
      <c r="AU3319">
        <v>120</v>
      </c>
      <c r="AV3319">
        <v>-12</v>
      </c>
      <c r="AW3319">
        <v>0</v>
      </c>
      <c r="AY3319">
        <v>0</v>
      </c>
      <c r="AZ3319">
        <v>0</v>
      </c>
      <c r="BA3319">
        <v>75.599999999999994</v>
      </c>
      <c r="BE3319" t="str">
        <f>T("9791137013100")</f>
        <v>9791137013100</v>
      </c>
      <c r="BF3319" t="str">
        <f>T("N187420")</f>
        <v>N187420</v>
      </c>
      <c r="BG3319" t="str">
        <f>T("판타지 웹소설 &gt; 현대 판타지")</f>
        <v>판타지 웹소설 &gt; 현대 판타지</v>
      </c>
    </row>
    <row r="3320" spans="1:59">
      <c r="A3320" t="s">
        <v>60</v>
      </c>
      <c r="B3320" s="1">
        <v>46130</v>
      </c>
      <c r="C3320">
        <v>2378042343</v>
      </c>
      <c r="D3320">
        <v>2378042429</v>
      </c>
      <c r="E3320" t="str">
        <f>T("미국 로또로 역대급 재벌! 87화")</f>
        <v>미국 로또로 역대급 재벌! 87화</v>
      </c>
      <c r="F3320">
        <v>87</v>
      </c>
      <c r="G3320" t="str">
        <f>T("강바기")</f>
        <v>강바기</v>
      </c>
      <c r="J3320" t="str">
        <f>T("매드햇")</f>
        <v>매드햇</v>
      </c>
      <c r="K3320" t="str">
        <f>T("미국 로또로 역대급 재벌!")</f>
        <v>미국 로또로 역대급 재벌!</v>
      </c>
      <c r="L3320">
        <v>100</v>
      </c>
      <c r="M3320">
        <v>100</v>
      </c>
      <c r="N3320">
        <v>1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0</v>
      </c>
      <c r="AE3320">
        <v>0</v>
      </c>
      <c r="AF3320">
        <v>0</v>
      </c>
      <c r="AG3320">
        <v>0</v>
      </c>
      <c r="AH3320">
        <v>0</v>
      </c>
      <c r="AI3320">
        <v>100</v>
      </c>
      <c r="AJ3320">
        <v>1</v>
      </c>
      <c r="AK3320">
        <v>0</v>
      </c>
      <c r="AL3320">
        <v>0</v>
      </c>
      <c r="AM3320">
        <v>0</v>
      </c>
      <c r="AN3320">
        <v>0</v>
      </c>
      <c r="AO3320">
        <v>120</v>
      </c>
      <c r="AP3320">
        <v>-12</v>
      </c>
      <c r="AQ3320">
        <v>0</v>
      </c>
      <c r="AS3320">
        <v>0</v>
      </c>
      <c r="AT3320">
        <v>0</v>
      </c>
      <c r="AU3320">
        <v>120</v>
      </c>
      <c r="AV3320">
        <v>-12</v>
      </c>
      <c r="AW3320">
        <v>0</v>
      </c>
      <c r="AY3320">
        <v>0</v>
      </c>
      <c r="AZ3320">
        <v>0</v>
      </c>
      <c r="BA3320">
        <v>75.599999999999994</v>
      </c>
      <c r="BE3320" t="str">
        <f>T("9791137013100")</f>
        <v>9791137013100</v>
      </c>
      <c r="BF3320" t="str">
        <f>T("N187421")</f>
        <v>N187421</v>
      </c>
      <c r="BG3320" t="str">
        <f>T("판타지 웹소설 &gt; 현대 판타지")</f>
        <v>판타지 웹소설 &gt; 현대 판타지</v>
      </c>
    </row>
    <row r="3321" spans="1:59">
      <c r="A3321" t="s">
        <v>60</v>
      </c>
      <c r="B3321" s="1">
        <v>46130</v>
      </c>
      <c r="C3321">
        <v>2378042343</v>
      </c>
      <c r="D3321">
        <v>2378042430</v>
      </c>
      <c r="E3321" t="str">
        <f>T("미국 로또로 역대급 재벌! 88화")</f>
        <v>미국 로또로 역대급 재벌! 88화</v>
      </c>
      <c r="F3321">
        <v>88</v>
      </c>
      <c r="G3321" t="str">
        <f>T("강바기")</f>
        <v>강바기</v>
      </c>
      <c r="J3321" t="str">
        <f>T("매드햇")</f>
        <v>매드햇</v>
      </c>
      <c r="K3321" t="str">
        <f>T("미국 로또로 역대급 재벌!")</f>
        <v>미국 로또로 역대급 재벌!</v>
      </c>
      <c r="L3321">
        <v>100</v>
      </c>
      <c r="M3321">
        <v>100</v>
      </c>
      <c r="N3321">
        <v>1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0</v>
      </c>
      <c r="AE3321">
        <v>0</v>
      </c>
      <c r="AF3321">
        <v>0</v>
      </c>
      <c r="AG3321">
        <v>0</v>
      </c>
      <c r="AH3321">
        <v>0</v>
      </c>
      <c r="AI3321">
        <v>100</v>
      </c>
      <c r="AJ3321">
        <v>1</v>
      </c>
      <c r="AK3321">
        <v>0</v>
      </c>
      <c r="AL3321">
        <v>0</v>
      </c>
      <c r="AM3321">
        <v>0</v>
      </c>
      <c r="AN3321">
        <v>0</v>
      </c>
      <c r="AO3321">
        <v>120</v>
      </c>
      <c r="AP3321">
        <v>-12</v>
      </c>
      <c r="AQ3321">
        <v>0</v>
      </c>
      <c r="AS3321">
        <v>0</v>
      </c>
      <c r="AT3321">
        <v>0</v>
      </c>
      <c r="AU3321">
        <v>120</v>
      </c>
      <c r="AV3321">
        <v>-12</v>
      </c>
      <c r="AW3321">
        <v>0</v>
      </c>
      <c r="AY3321">
        <v>0</v>
      </c>
      <c r="AZ3321">
        <v>0</v>
      </c>
      <c r="BA3321">
        <v>75.599999999999994</v>
      </c>
      <c r="BE3321" t="str">
        <f>T("9791137013100")</f>
        <v>9791137013100</v>
      </c>
      <c r="BF3321" t="str">
        <f>T("N187422")</f>
        <v>N187422</v>
      </c>
      <c r="BG3321" t="str">
        <f>T("판타지 웹소설 &gt; 현대 판타지")</f>
        <v>판타지 웹소설 &gt; 현대 판타지</v>
      </c>
    </row>
    <row r="3322" spans="1:59">
      <c r="A3322" t="s">
        <v>60</v>
      </c>
      <c r="B3322" s="1">
        <v>46130</v>
      </c>
      <c r="C3322">
        <v>2378042343</v>
      </c>
      <c r="D3322">
        <v>2378042431</v>
      </c>
      <c r="E3322" t="str">
        <f>T("미국 로또로 역대급 재벌! 89화")</f>
        <v>미국 로또로 역대급 재벌! 89화</v>
      </c>
      <c r="F3322">
        <v>89</v>
      </c>
      <c r="G3322" t="str">
        <f>T("강바기")</f>
        <v>강바기</v>
      </c>
      <c r="J3322" t="str">
        <f>T("매드햇")</f>
        <v>매드햇</v>
      </c>
      <c r="K3322" t="str">
        <f>T("미국 로또로 역대급 재벌!")</f>
        <v>미국 로또로 역대급 재벌!</v>
      </c>
      <c r="L3322">
        <v>100</v>
      </c>
      <c r="M3322">
        <v>100</v>
      </c>
      <c r="N3322">
        <v>1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0</v>
      </c>
      <c r="AC3322">
        <v>0</v>
      </c>
      <c r="AD3322">
        <v>0</v>
      </c>
      <c r="AE3322">
        <v>0</v>
      </c>
      <c r="AF3322">
        <v>0</v>
      </c>
      <c r="AG3322">
        <v>0</v>
      </c>
      <c r="AH3322">
        <v>0</v>
      </c>
      <c r="AI3322">
        <v>100</v>
      </c>
      <c r="AJ3322">
        <v>1</v>
      </c>
      <c r="AK3322">
        <v>0</v>
      </c>
      <c r="AL3322">
        <v>0</v>
      </c>
      <c r="AM3322">
        <v>0</v>
      </c>
      <c r="AN3322">
        <v>0</v>
      </c>
      <c r="AO3322">
        <v>120</v>
      </c>
      <c r="AP3322">
        <v>-12</v>
      </c>
      <c r="AQ3322">
        <v>0</v>
      </c>
      <c r="AS3322">
        <v>0</v>
      </c>
      <c r="AT3322">
        <v>0</v>
      </c>
      <c r="AU3322">
        <v>120</v>
      </c>
      <c r="AV3322">
        <v>-12</v>
      </c>
      <c r="AW3322">
        <v>0</v>
      </c>
      <c r="AY3322">
        <v>0</v>
      </c>
      <c r="AZ3322">
        <v>0</v>
      </c>
      <c r="BA3322">
        <v>75.599999999999994</v>
      </c>
      <c r="BE3322" t="str">
        <f>T("9791137013100")</f>
        <v>9791137013100</v>
      </c>
      <c r="BF3322" t="str">
        <f>T("N187423")</f>
        <v>N187423</v>
      </c>
      <c r="BG3322" t="str">
        <f>T("판타지 웹소설 &gt; 현대 판타지")</f>
        <v>판타지 웹소설 &gt; 현대 판타지</v>
      </c>
    </row>
    <row r="3323" spans="1:59">
      <c r="A3323" t="s">
        <v>60</v>
      </c>
      <c r="B3323" s="1">
        <v>46130</v>
      </c>
      <c r="C3323">
        <v>2378042343</v>
      </c>
      <c r="D3323">
        <v>2378042390</v>
      </c>
      <c r="E3323" t="str">
        <f>T("미국 로또로 역대급 재벌! 48화")</f>
        <v>미국 로또로 역대급 재벌! 48화</v>
      </c>
      <c r="F3323">
        <v>48</v>
      </c>
      <c r="G3323" t="str">
        <f>T("강바기")</f>
        <v>강바기</v>
      </c>
      <c r="J3323" t="str">
        <f>T("매드햇")</f>
        <v>매드햇</v>
      </c>
      <c r="K3323" t="str">
        <f>T("미국 로또로 역대급 재벌!")</f>
        <v>미국 로또로 역대급 재벌!</v>
      </c>
      <c r="L3323">
        <v>100</v>
      </c>
      <c r="M3323">
        <v>100</v>
      </c>
      <c r="N3323">
        <v>1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0</v>
      </c>
      <c r="AH3323">
        <v>0</v>
      </c>
      <c r="AI3323">
        <v>100</v>
      </c>
      <c r="AJ3323">
        <v>1</v>
      </c>
      <c r="AK3323">
        <v>0</v>
      </c>
      <c r="AL3323">
        <v>0</v>
      </c>
      <c r="AM3323">
        <v>0</v>
      </c>
      <c r="AN3323">
        <v>0</v>
      </c>
      <c r="AO3323">
        <v>120</v>
      </c>
      <c r="AP3323">
        <v>-12</v>
      </c>
      <c r="AQ3323">
        <v>0</v>
      </c>
      <c r="AS3323">
        <v>0</v>
      </c>
      <c r="AT3323">
        <v>0</v>
      </c>
      <c r="AU3323">
        <v>120</v>
      </c>
      <c r="AV3323">
        <v>-12</v>
      </c>
      <c r="AW3323">
        <v>0</v>
      </c>
      <c r="AY3323">
        <v>0</v>
      </c>
      <c r="AZ3323">
        <v>0</v>
      </c>
      <c r="BA3323">
        <v>75.599999999999994</v>
      </c>
      <c r="BE3323" t="str">
        <f>T("9791137013100")</f>
        <v>9791137013100</v>
      </c>
      <c r="BF3323" t="str">
        <f>T("N187382")</f>
        <v>N187382</v>
      </c>
      <c r="BG3323" t="str">
        <f>T("판타지 웹소설 &gt; 현대 판타지")</f>
        <v>판타지 웹소설 &gt; 현대 판타지</v>
      </c>
    </row>
    <row r="3324" spans="1:59">
      <c r="A3324" t="s">
        <v>60</v>
      </c>
      <c r="B3324" s="1">
        <v>46130</v>
      </c>
      <c r="C3324">
        <v>2378042343</v>
      </c>
      <c r="D3324">
        <v>2378042391</v>
      </c>
      <c r="E3324" t="str">
        <f>T("미국 로또로 역대급 재벌! 49화")</f>
        <v>미국 로또로 역대급 재벌! 49화</v>
      </c>
      <c r="F3324">
        <v>49</v>
      </c>
      <c r="G3324" t="str">
        <f>T("강바기")</f>
        <v>강바기</v>
      </c>
      <c r="J3324" t="str">
        <f>T("매드햇")</f>
        <v>매드햇</v>
      </c>
      <c r="K3324" t="str">
        <f>T("미국 로또로 역대급 재벌!")</f>
        <v>미국 로또로 역대급 재벌!</v>
      </c>
      <c r="L3324">
        <v>100</v>
      </c>
      <c r="M3324">
        <v>100</v>
      </c>
      <c r="N3324">
        <v>1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0</v>
      </c>
      <c r="AH3324">
        <v>0</v>
      </c>
      <c r="AI3324">
        <v>100</v>
      </c>
      <c r="AJ3324">
        <v>1</v>
      </c>
      <c r="AK3324">
        <v>0</v>
      </c>
      <c r="AL3324">
        <v>0</v>
      </c>
      <c r="AM3324">
        <v>0</v>
      </c>
      <c r="AN3324">
        <v>0</v>
      </c>
      <c r="AO3324">
        <v>120</v>
      </c>
      <c r="AP3324">
        <v>-12</v>
      </c>
      <c r="AQ3324">
        <v>0</v>
      </c>
      <c r="AS3324">
        <v>0</v>
      </c>
      <c r="AT3324">
        <v>0</v>
      </c>
      <c r="AU3324">
        <v>120</v>
      </c>
      <c r="AV3324">
        <v>-12</v>
      </c>
      <c r="AW3324">
        <v>0</v>
      </c>
      <c r="AY3324">
        <v>0</v>
      </c>
      <c r="AZ3324">
        <v>0</v>
      </c>
      <c r="BA3324">
        <v>75.599999999999994</v>
      </c>
      <c r="BE3324" t="str">
        <f>T("9791137013100")</f>
        <v>9791137013100</v>
      </c>
      <c r="BF3324" t="str">
        <f>T("N187383")</f>
        <v>N187383</v>
      </c>
      <c r="BG3324" t="str">
        <f>T("판타지 웹소설 &gt; 현대 판타지")</f>
        <v>판타지 웹소설 &gt; 현대 판타지</v>
      </c>
    </row>
    <row r="3325" spans="1:59">
      <c r="A3325" t="s">
        <v>60</v>
      </c>
      <c r="B3325" s="1">
        <v>46130</v>
      </c>
      <c r="C3325">
        <v>2378042343</v>
      </c>
      <c r="D3325">
        <v>2378042392</v>
      </c>
      <c r="E3325" t="str">
        <f>T("미국 로또로 역대급 재벌! 50화")</f>
        <v>미국 로또로 역대급 재벌! 50화</v>
      </c>
      <c r="F3325">
        <v>50</v>
      </c>
      <c r="G3325" t="str">
        <f>T("강바기")</f>
        <v>강바기</v>
      </c>
      <c r="J3325" t="str">
        <f>T("매드햇")</f>
        <v>매드햇</v>
      </c>
      <c r="K3325" t="str">
        <f>T("미국 로또로 역대급 재벌!")</f>
        <v>미국 로또로 역대급 재벌!</v>
      </c>
      <c r="L3325">
        <v>100</v>
      </c>
      <c r="M3325">
        <v>100</v>
      </c>
      <c r="N3325">
        <v>1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0</v>
      </c>
      <c r="AH3325">
        <v>0</v>
      </c>
      <c r="AI3325">
        <v>100</v>
      </c>
      <c r="AJ3325">
        <v>1</v>
      </c>
      <c r="AK3325">
        <v>0</v>
      </c>
      <c r="AL3325">
        <v>0</v>
      </c>
      <c r="AM3325">
        <v>0</v>
      </c>
      <c r="AN3325">
        <v>0</v>
      </c>
      <c r="AO3325">
        <v>120</v>
      </c>
      <c r="AP3325">
        <v>-12</v>
      </c>
      <c r="AQ3325">
        <v>0</v>
      </c>
      <c r="AS3325">
        <v>0</v>
      </c>
      <c r="AT3325">
        <v>0</v>
      </c>
      <c r="AU3325">
        <v>120</v>
      </c>
      <c r="AV3325">
        <v>-12</v>
      </c>
      <c r="AW3325">
        <v>0</v>
      </c>
      <c r="AY3325">
        <v>0</v>
      </c>
      <c r="AZ3325">
        <v>0</v>
      </c>
      <c r="BA3325">
        <v>75.599999999999994</v>
      </c>
      <c r="BE3325" t="str">
        <f>T("9791137013100")</f>
        <v>9791137013100</v>
      </c>
      <c r="BF3325" t="str">
        <f>T("N187384")</f>
        <v>N187384</v>
      </c>
      <c r="BG3325" t="str">
        <f>T("판타지 웹소설 &gt; 현대 판타지")</f>
        <v>판타지 웹소설 &gt; 현대 판타지</v>
      </c>
    </row>
    <row r="3326" spans="1:59">
      <c r="A3326" t="s">
        <v>60</v>
      </c>
      <c r="B3326" s="1">
        <v>46130</v>
      </c>
      <c r="C3326">
        <v>2378042343</v>
      </c>
      <c r="D3326">
        <v>2378042393</v>
      </c>
      <c r="E3326" t="str">
        <f>T("미국 로또로 역대급 재벌! 51화")</f>
        <v>미국 로또로 역대급 재벌! 51화</v>
      </c>
      <c r="F3326">
        <v>51</v>
      </c>
      <c r="G3326" t="str">
        <f>T("강바기")</f>
        <v>강바기</v>
      </c>
      <c r="J3326" t="str">
        <f>T("매드햇")</f>
        <v>매드햇</v>
      </c>
      <c r="K3326" t="str">
        <f>T("미국 로또로 역대급 재벌!")</f>
        <v>미국 로또로 역대급 재벌!</v>
      </c>
      <c r="L3326">
        <v>100</v>
      </c>
      <c r="M3326">
        <v>100</v>
      </c>
      <c r="N3326">
        <v>1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0</v>
      </c>
      <c r="AH3326">
        <v>0</v>
      </c>
      <c r="AI3326">
        <v>100</v>
      </c>
      <c r="AJ3326">
        <v>1</v>
      </c>
      <c r="AK3326">
        <v>0</v>
      </c>
      <c r="AL3326">
        <v>0</v>
      </c>
      <c r="AM3326">
        <v>0</v>
      </c>
      <c r="AN3326">
        <v>0</v>
      </c>
      <c r="AO3326">
        <v>120</v>
      </c>
      <c r="AP3326">
        <v>-12</v>
      </c>
      <c r="AQ3326">
        <v>0</v>
      </c>
      <c r="AS3326">
        <v>0</v>
      </c>
      <c r="AT3326">
        <v>0</v>
      </c>
      <c r="AU3326">
        <v>120</v>
      </c>
      <c r="AV3326">
        <v>-12</v>
      </c>
      <c r="AW3326">
        <v>0</v>
      </c>
      <c r="AY3326">
        <v>0</v>
      </c>
      <c r="AZ3326">
        <v>0</v>
      </c>
      <c r="BA3326">
        <v>75.599999999999994</v>
      </c>
      <c r="BE3326" t="str">
        <f>T("9791137013100")</f>
        <v>9791137013100</v>
      </c>
      <c r="BF3326" t="str">
        <f>T("N187385")</f>
        <v>N187385</v>
      </c>
      <c r="BG3326" t="str">
        <f>T("판타지 웹소설 &gt; 현대 판타지")</f>
        <v>판타지 웹소설 &gt; 현대 판타지</v>
      </c>
    </row>
    <row r="3327" spans="1:59">
      <c r="A3327" t="s">
        <v>60</v>
      </c>
      <c r="B3327" s="1">
        <v>46130</v>
      </c>
      <c r="C3327">
        <v>2378042343</v>
      </c>
      <c r="D3327">
        <v>2378042394</v>
      </c>
      <c r="E3327" t="str">
        <f>T("미국 로또로 역대급 재벌! 52화")</f>
        <v>미국 로또로 역대급 재벌! 52화</v>
      </c>
      <c r="F3327">
        <v>52</v>
      </c>
      <c r="G3327" t="str">
        <f>T("강바기")</f>
        <v>강바기</v>
      </c>
      <c r="J3327" t="str">
        <f>T("매드햇")</f>
        <v>매드햇</v>
      </c>
      <c r="K3327" t="str">
        <f>T("미국 로또로 역대급 재벌!")</f>
        <v>미국 로또로 역대급 재벌!</v>
      </c>
      <c r="L3327">
        <v>100</v>
      </c>
      <c r="M3327">
        <v>100</v>
      </c>
      <c r="N3327">
        <v>1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0</v>
      </c>
      <c r="AH3327">
        <v>0</v>
      </c>
      <c r="AI3327">
        <v>100</v>
      </c>
      <c r="AJ3327">
        <v>1</v>
      </c>
      <c r="AK3327">
        <v>0</v>
      </c>
      <c r="AL3327">
        <v>0</v>
      </c>
      <c r="AM3327">
        <v>0</v>
      </c>
      <c r="AN3327">
        <v>0</v>
      </c>
      <c r="AO3327">
        <v>120</v>
      </c>
      <c r="AP3327">
        <v>-12</v>
      </c>
      <c r="AQ3327">
        <v>0</v>
      </c>
      <c r="AS3327">
        <v>0</v>
      </c>
      <c r="AT3327">
        <v>0</v>
      </c>
      <c r="AU3327">
        <v>120</v>
      </c>
      <c r="AV3327">
        <v>-12</v>
      </c>
      <c r="AW3327">
        <v>0</v>
      </c>
      <c r="AY3327">
        <v>0</v>
      </c>
      <c r="AZ3327">
        <v>0</v>
      </c>
      <c r="BA3327">
        <v>75.599999999999994</v>
      </c>
      <c r="BE3327" t="str">
        <f>T("9791137013100")</f>
        <v>9791137013100</v>
      </c>
      <c r="BF3327" t="str">
        <f>T("N187386")</f>
        <v>N187386</v>
      </c>
      <c r="BG3327" t="str">
        <f>T("판타지 웹소설 &gt; 현대 판타지")</f>
        <v>판타지 웹소설 &gt; 현대 판타지</v>
      </c>
    </row>
    <row r="3328" spans="1:59">
      <c r="A3328" t="s">
        <v>60</v>
      </c>
      <c r="B3328" s="1">
        <v>46130</v>
      </c>
      <c r="C3328">
        <v>2378042343</v>
      </c>
      <c r="D3328">
        <v>2378042395</v>
      </c>
      <c r="E3328" t="str">
        <f>T("미국 로또로 역대급 재벌! 53화")</f>
        <v>미국 로또로 역대급 재벌! 53화</v>
      </c>
      <c r="F3328">
        <v>53</v>
      </c>
      <c r="G3328" t="str">
        <f>T("강바기")</f>
        <v>강바기</v>
      </c>
      <c r="J3328" t="str">
        <f>T("매드햇")</f>
        <v>매드햇</v>
      </c>
      <c r="K3328" t="str">
        <f>T("미국 로또로 역대급 재벌!")</f>
        <v>미국 로또로 역대급 재벌!</v>
      </c>
      <c r="L3328">
        <v>100</v>
      </c>
      <c r="M3328">
        <v>100</v>
      </c>
      <c r="N3328">
        <v>1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0</v>
      </c>
      <c r="AH3328">
        <v>0</v>
      </c>
      <c r="AI3328">
        <v>100</v>
      </c>
      <c r="AJ3328">
        <v>1</v>
      </c>
      <c r="AK3328">
        <v>0</v>
      </c>
      <c r="AL3328">
        <v>0</v>
      </c>
      <c r="AM3328">
        <v>0</v>
      </c>
      <c r="AN3328">
        <v>0</v>
      </c>
      <c r="AO3328">
        <v>120</v>
      </c>
      <c r="AP3328">
        <v>-12</v>
      </c>
      <c r="AQ3328">
        <v>0</v>
      </c>
      <c r="AS3328">
        <v>0</v>
      </c>
      <c r="AT3328">
        <v>0</v>
      </c>
      <c r="AU3328">
        <v>120</v>
      </c>
      <c r="AV3328">
        <v>-12</v>
      </c>
      <c r="AW3328">
        <v>0</v>
      </c>
      <c r="AY3328">
        <v>0</v>
      </c>
      <c r="AZ3328">
        <v>0</v>
      </c>
      <c r="BA3328">
        <v>75.599999999999994</v>
      </c>
      <c r="BE3328" t="str">
        <f>T("9791137013100")</f>
        <v>9791137013100</v>
      </c>
      <c r="BF3328" t="str">
        <f>T("N187387")</f>
        <v>N187387</v>
      </c>
      <c r="BG3328" t="str">
        <f>T("판타지 웹소설 &gt; 현대 판타지")</f>
        <v>판타지 웹소설 &gt; 현대 판타지</v>
      </c>
    </row>
    <row r="3329" spans="1:59">
      <c r="A3329" t="s">
        <v>60</v>
      </c>
      <c r="B3329" s="1">
        <v>46130</v>
      </c>
      <c r="C3329">
        <v>2378042343</v>
      </c>
      <c r="D3329">
        <v>2378042396</v>
      </c>
      <c r="E3329" t="str">
        <f>T("미국 로또로 역대급 재벌! 54화")</f>
        <v>미국 로또로 역대급 재벌! 54화</v>
      </c>
      <c r="F3329">
        <v>54</v>
      </c>
      <c r="G3329" t="str">
        <f>T("강바기")</f>
        <v>강바기</v>
      </c>
      <c r="J3329" t="str">
        <f>T("매드햇")</f>
        <v>매드햇</v>
      </c>
      <c r="K3329" t="str">
        <f>T("미국 로또로 역대급 재벌!")</f>
        <v>미국 로또로 역대급 재벌!</v>
      </c>
      <c r="L3329">
        <v>100</v>
      </c>
      <c r="M3329">
        <v>100</v>
      </c>
      <c r="N3329">
        <v>1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0</v>
      </c>
      <c r="AH3329">
        <v>0</v>
      </c>
      <c r="AI3329">
        <v>100</v>
      </c>
      <c r="AJ3329">
        <v>1</v>
      </c>
      <c r="AK3329">
        <v>0</v>
      </c>
      <c r="AL3329">
        <v>0</v>
      </c>
      <c r="AM3329">
        <v>0</v>
      </c>
      <c r="AN3329">
        <v>0</v>
      </c>
      <c r="AO3329">
        <v>120</v>
      </c>
      <c r="AP3329">
        <v>-12</v>
      </c>
      <c r="AQ3329">
        <v>0</v>
      </c>
      <c r="AS3329">
        <v>0</v>
      </c>
      <c r="AT3329">
        <v>0</v>
      </c>
      <c r="AU3329">
        <v>120</v>
      </c>
      <c r="AV3329">
        <v>-12</v>
      </c>
      <c r="AW3329">
        <v>0</v>
      </c>
      <c r="AY3329">
        <v>0</v>
      </c>
      <c r="AZ3329">
        <v>0</v>
      </c>
      <c r="BA3329">
        <v>75.599999999999994</v>
      </c>
      <c r="BE3329" t="str">
        <f>T("9791137013100")</f>
        <v>9791137013100</v>
      </c>
      <c r="BF3329" t="str">
        <f>T("N187388")</f>
        <v>N187388</v>
      </c>
      <c r="BG3329" t="str">
        <f>T("판타지 웹소설 &gt; 현대 판타지")</f>
        <v>판타지 웹소설 &gt; 현대 판타지</v>
      </c>
    </row>
    <row r="3330" spans="1:59">
      <c r="A3330" t="s">
        <v>60</v>
      </c>
      <c r="B3330" s="1">
        <v>46130</v>
      </c>
      <c r="C3330">
        <v>2378042343</v>
      </c>
      <c r="D3330">
        <v>2378042432</v>
      </c>
      <c r="E3330" t="str">
        <f>T("미국 로또로 역대급 재벌! 90화")</f>
        <v>미국 로또로 역대급 재벌! 90화</v>
      </c>
      <c r="F3330">
        <v>90</v>
      </c>
      <c r="G3330" t="str">
        <f>T("강바기")</f>
        <v>강바기</v>
      </c>
      <c r="J3330" t="str">
        <f>T("매드햇")</f>
        <v>매드햇</v>
      </c>
      <c r="K3330" t="str">
        <f>T("미국 로또로 역대급 재벌!")</f>
        <v>미국 로또로 역대급 재벌!</v>
      </c>
      <c r="L3330">
        <v>100</v>
      </c>
      <c r="M3330">
        <v>100</v>
      </c>
      <c r="N3330">
        <v>1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0</v>
      </c>
      <c r="AH3330">
        <v>0</v>
      </c>
      <c r="AI3330">
        <v>100</v>
      </c>
      <c r="AJ3330">
        <v>1</v>
      </c>
      <c r="AK3330">
        <v>0</v>
      </c>
      <c r="AL3330">
        <v>0</v>
      </c>
      <c r="AM3330">
        <v>0</v>
      </c>
      <c r="AN3330">
        <v>0</v>
      </c>
      <c r="AO3330">
        <v>120</v>
      </c>
      <c r="AP3330">
        <v>-12</v>
      </c>
      <c r="AQ3330">
        <v>0</v>
      </c>
      <c r="AS3330">
        <v>0</v>
      </c>
      <c r="AT3330">
        <v>0</v>
      </c>
      <c r="AU3330">
        <v>120</v>
      </c>
      <c r="AV3330">
        <v>-12</v>
      </c>
      <c r="AW3330">
        <v>0</v>
      </c>
      <c r="AY3330">
        <v>0</v>
      </c>
      <c r="AZ3330">
        <v>0</v>
      </c>
      <c r="BA3330">
        <v>75.599999999999994</v>
      </c>
      <c r="BE3330" t="str">
        <f>T("9791137013100")</f>
        <v>9791137013100</v>
      </c>
      <c r="BF3330" t="str">
        <f>T("N187424")</f>
        <v>N187424</v>
      </c>
      <c r="BG3330" t="str">
        <f>T("판타지 웹소설 &gt; 현대 판타지")</f>
        <v>판타지 웹소설 &gt; 현대 판타지</v>
      </c>
    </row>
    <row r="3331" spans="1:59">
      <c r="A3331" t="s">
        <v>60</v>
      </c>
      <c r="B3331" s="1">
        <v>46130</v>
      </c>
      <c r="C3331">
        <v>2378042343</v>
      </c>
      <c r="D3331">
        <v>2378042433</v>
      </c>
      <c r="E3331" t="str">
        <f>T("미국 로또로 역대급 재벌! 91화")</f>
        <v>미국 로또로 역대급 재벌! 91화</v>
      </c>
      <c r="F3331">
        <v>91</v>
      </c>
      <c r="G3331" t="str">
        <f>T("강바기")</f>
        <v>강바기</v>
      </c>
      <c r="J3331" t="str">
        <f>T("매드햇")</f>
        <v>매드햇</v>
      </c>
      <c r="K3331" t="str">
        <f>T("미국 로또로 역대급 재벌!")</f>
        <v>미국 로또로 역대급 재벌!</v>
      </c>
      <c r="L3331">
        <v>100</v>
      </c>
      <c r="M3331">
        <v>100</v>
      </c>
      <c r="N3331">
        <v>1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0</v>
      </c>
      <c r="AH3331">
        <v>0</v>
      </c>
      <c r="AI3331">
        <v>100</v>
      </c>
      <c r="AJ3331">
        <v>1</v>
      </c>
      <c r="AK3331">
        <v>0</v>
      </c>
      <c r="AL3331">
        <v>0</v>
      </c>
      <c r="AM3331">
        <v>0</v>
      </c>
      <c r="AN3331">
        <v>0</v>
      </c>
      <c r="AO3331">
        <v>120</v>
      </c>
      <c r="AP3331">
        <v>-12</v>
      </c>
      <c r="AQ3331">
        <v>0</v>
      </c>
      <c r="AS3331">
        <v>0</v>
      </c>
      <c r="AT3331">
        <v>0</v>
      </c>
      <c r="AU3331">
        <v>120</v>
      </c>
      <c r="AV3331">
        <v>-12</v>
      </c>
      <c r="AW3331">
        <v>0</v>
      </c>
      <c r="AY3331">
        <v>0</v>
      </c>
      <c r="AZ3331">
        <v>0</v>
      </c>
      <c r="BA3331">
        <v>75.599999999999994</v>
      </c>
      <c r="BE3331" t="str">
        <f>T("9791137013100")</f>
        <v>9791137013100</v>
      </c>
      <c r="BF3331" t="str">
        <f>T("N187425")</f>
        <v>N187425</v>
      </c>
      <c r="BG3331" t="str">
        <f>T("판타지 웹소설 &gt; 현대 판타지")</f>
        <v>판타지 웹소설 &gt; 현대 판타지</v>
      </c>
    </row>
    <row r="3332" spans="1:59">
      <c r="A3332" t="s">
        <v>60</v>
      </c>
      <c r="B3332" s="1">
        <v>46130</v>
      </c>
      <c r="C3332">
        <v>2378042343</v>
      </c>
      <c r="D3332">
        <v>2378042434</v>
      </c>
      <c r="E3332" t="str">
        <f>T("미국 로또로 역대급 재벌! 92화")</f>
        <v>미국 로또로 역대급 재벌! 92화</v>
      </c>
      <c r="F3332">
        <v>92</v>
      </c>
      <c r="G3332" t="str">
        <f>T("강바기")</f>
        <v>강바기</v>
      </c>
      <c r="J3332" t="str">
        <f>T("매드햇")</f>
        <v>매드햇</v>
      </c>
      <c r="K3332" t="str">
        <f>T("미국 로또로 역대급 재벌!")</f>
        <v>미국 로또로 역대급 재벌!</v>
      </c>
      <c r="L3332">
        <v>100</v>
      </c>
      <c r="M3332">
        <v>100</v>
      </c>
      <c r="N3332">
        <v>1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0</v>
      </c>
      <c r="AH3332">
        <v>0</v>
      </c>
      <c r="AI3332">
        <v>100</v>
      </c>
      <c r="AJ3332">
        <v>1</v>
      </c>
      <c r="AK3332">
        <v>0</v>
      </c>
      <c r="AL3332">
        <v>0</v>
      </c>
      <c r="AM3332">
        <v>0</v>
      </c>
      <c r="AN3332">
        <v>0</v>
      </c>
      <c r="AO3332">
        <v>120</v>
      </c>
      <c r="AP3332">
        <v>-12</v>
      </c>
      <c r="AQ3332">
        <v>0</v>
      </c>
      <c r="AS3332">
        <v>0</v>
      </c>
      <c r="AT3332">
        <v>0</v>
      </c>
      <c r="AU3332">
        <v>120</v>
      </c>
      <c r="AV3332">
        <v>-12</v>
      </c>
      <c r="AW3332">
        <v>0</v>
      </c>
      <c r="AY3332">
        <v>0</v>
      </c>
      <c r="AZ3332">
        <v>0</v>
      </c>
      <c r="BA3332">
        <v>75.599999999999994</v>
      </c>
      <c r="BE3332" t="str">
        <f>T("9791137013100")</f>
        <v>9791137013100</v>
      </c>
      <c r="BF3332" t="str">
        <f>T("N187426")</f>
        <v>N187426</v>
      </c>
      <c r="BG3332" t="str">
        <f>T("판타지 웹소설 &gt; 현대 판타지")</f>
        <v>판타지 웹소설 &gt; 현대 판타지</v>
      </c>
    </row>
    <row r="3333" spans="1:59">
      <c r="A3333" t="s">
        <v>60</v>
      </c>
      <c r="B3333" s="1">
        <v>46131</v>
      </c>
      <c r="C3333">
        <v>2378042343</v>
      </c>
      <c r="D3333">
        <v>2378042619</v>
      </c>
      <c r="E3333" t="str">
        <f>T("미국 로또로 역대급 재벌! 117화")</f>
        <v>미국 로또로 역대급 재벌! 117화</v>
      </c>
      <c r="F3333">
        <v>117</v>
      </c>
      <c r="G3333" t="str">
        <f>T("강바기")</f>
        <v>강바기</v>
      </c>
      <c r="J3333" t="str">
        <f>T("매드햇")</f>
        <v>매드햇</v>
      </c>
      <c r="K3333" t="str">
        <f>T("미국 로또로 역대급 재벌!")</f>
        <v>미국 로또로 역대급 재벌!</v>
      </c>
      <c r="L3333">
        <v>100</v>
      </c>
      <c r="M3333">
        <v>100</v>
      </c>
      <c r="N3333">
        <v>1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0</v>
      </c>
      <c r="AH3333">
        <v>0</v>
      </c>
      <c r="AI3333">
        <v>100</v>
      </c>
      <c r="AJ3333">
        <v>1</v>
      </c>
      <c r="AK3333">
        <v>0</v>
      </c>
      <c r="AL3333">
        <v>0</v>
      </c>
      <c r="AM3333">
        <v>0</v>
      </c>
      <c r="AN3333">
        <v>0</v>
      </c>
      <c r="AO3333">
        <v>120</v>
      </c>
      <c r="AP3333">
        <v>-12</v>
      </c>
      <c r="AQ3333">
        <v>0</v>
      </c>
      <c r="AS3333">
        <v>0</v>
      </c>
      <c r="AT3333">
        <v>0</v>
      </c>
      <c r="AU3333">
        <v>120</v>
      </c>
      <c r="AV3333">
        <v>-12</v>
      </c>
      <c r="AW3333">
        <v>0</v>
      </c>
      <c r="AY3333">
        <v>0</v>
      </c>
      <c r="AZ3333">
        <v>0</v>
      </c>
      <c r="BA3333">
        <v>75.599999999999994</v>
      </c>
      <c r="BE3333" t="str">
        <f>T("9791137013100")</f>
        <v>9791137013100</v>
      </c>
      <c r="BF3333" t="str">
        <f>T("N197575")</f>
        <v>N197575</v>
      </c>
      <c r="BG3333" t="str">
        <f>T("판타지 웹소설 &gt; 현대 판타지")</f>
        <v>판타지 웹소설 &gt; 현대 판타지</v>
      </c>
    </row>
    <row r="3334" spans="1:59">
      <c r="A3334" t="s">
        <v>60</v>
      </c>
      <c r="B3334" s="1">
        <v>46131</v>
      </c>
      <c r="C3334">
        <v>2378042343</v>
      </c>
      <c r="D3334">
        <v>2378042632</v>
      </c>
      <c r="E3334" t="str">
        <f>T("미국 로또로 역대급 재벌! 118화")</f>
        <v>미국 로또로 역대급 재벌! 118화</v>
      </c>
      <c r="F3334">
        <v>118</v>
      </c>
      <c r="G3334" t="str">
        <f>T("강바기")</f>
        <v>강바기</v>
      </c>
      <c r="J3334" t="str">
        <f>T("매드햇")</f>
        <v>매드햇</v>
      </c>
      <c r="K3334" t="str">
        <f>T("미국 로또로 역대급 재벌!")</f>
        <v>미국 로또로 역대급 재벌!</v>
      </c>
      <c r="L3334">
        <v>100</v>
      </c>
      <c r="M3334">
        <v>100</v>
      </c>
      <c r="N3334">
        <v>1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0</v>
      </c>
      <c r="AH3334">
        <v>0</v>
      </c>
      <c r="AI3334">
        <v>100</v>
      </c>
      <c r="AJ3334">
        <v>1</v>
      </c>
      <c r="AK3334">
        <v>0</v>
      </c>
      <c r="AL3334">
        <v>0</v>
      </c>
      <c r="AM3334">
        <v>0</v>
      </c>
      <c r="AN3334">
        <v>0</v>
      </c>
      <c r="AO3334">
        <v>120</v>
      </c>
      <c r="AP3334">
        <v>-12</v>
      </c>
      <c r="AQ3334">
        <v>0</v>
      </c>
      <c r="AS3334">
        <v>0</v>
      </c>
      <c r="AT3334">
        <v>0</v>
      </c>
      <c r="AU3334">
        <v>120</v>
      </c>
      <c r="AV3334">
        <v>-12</v>
      </c>
      <c r="AW3334">
        <v>0</v>
      </c>
      <c r="AY3334">
        <v>0</v>
      </c>
      <c r="AZ3334">
        <v>0</v>
      </c>
      <c r="BA3334">
        <v>75.599999999999994</v>
      </c>
      <c r="BE3334" t="str">
        <f>T("9791137013100")</f>
        <v>9791137013100</v>
      </c>
      <c r="BF3334" t="str">
        <f>T("N197576")</f>
        <v>N197576</v>
      </c>
      <c r="BG3334" t="str">
        <f>T("판타지 웹소설 &gt; 현대 판타지")</f>
        <v>판타지 웹소설 &gt; 현대 판타지</v>
      </c>
    </row>
    <row r="3335" spans="1:59">
      <c r="A3335" t="s">
        <v>60</v>
      </c>
      <c r="B3335" s="1">
        <v>46131</v>
      </c>
      <c r="C3335">
        <v>2378042343</v>
      </c>
      <c r="D3335">
        <v>2378042657</v>
      </c>
      <c r="E3335" t="str">
        <f>T("미국 로또로 역대급 재벌! 119화")</f>
        <v>미국 로또로 역대급 재벌! 119화</v>
      </c>
      <c r="F3335">
        <v>119</v>
      </c>
      <c r="G3335" t="str">
        <f>T("강바기")</f>
        <v>강바기</v>
      </c>
      <c r="J3335" t="str">
        <f>T("매드햇")</f>
        <v>매드햇</v>
      </c>
      <c r="K3335" t="str">
        <f>T("미국 로또로 역대급 재벌!")</f>
        <v>미국 로또로 역대급 재벌!</v>
      </c>
      <c r="L3335">
        <v>100</v>
      </c>
      <c r="M3335">
        <v>100</v>
      </c>
      <c r="N3335">
        <v>1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0</v>
      </c>
      <c r="AH3335">
        <v>0</v>
      </c>
      <c r="AI3335">
        <v>100</v>
      </c>
      <c r="AJ3335">
        <v>1</v>
      </c>
      <c r="AK3335">
        <v>0</v>
      </c>
      <c r="AL3335">
        <v>0</v>
      </c>
      <c r="AM3335">
        <v>0</v>
      </c>
      <c r="AN3335">
        <v>0</v>
      </c>
      <c r="AO3335">
        <v>120</v>
      </c>
      <c r="AP3335">
        <v>-12</v>
      </c>
      <c r="AQ3335">
        <v>0</v>
      </c>
      <c r="AS3335">
        <v>0</v>
      </c>
      <c r="AT3335">
        <v>0</v>
      </c>
      <c r="AU3335">
        <v>120</v>
      </c>
      <c r="AV3335">
        <v>-12</v>
      </c>
      <c r="AW3335">
        <v>0</v>
      </c>
      <c r="AY3335">
        <v>0</v>
      </c>
      <c r="AZ3335">
        <v>0</v>
      </c>
      <c r="BA3335">
        <v>75.599999999999994</v>
      </c>
      <c r="BE3335" t="str">
        <f>T("9791137013100")</f>
        <v>9791137013100</v>
      </c>
      <c r="BF3335" t="str">
        <f>T("N197577")</f>
        <v>N197577</v>
      </c>
      <c r="BG3335" t="str">
        <f>T("판타지 웹소설 &gt; 현대 판타지")</f>
        <v>판타지 웹소설 &gt; 현대 판타지</v>
      </c>
    </row>
    <row r="3336" spans="1:59">
      <c r="A3336" t="s">
        <v>60</v>
      </c>
      <c r="B3336" s="1">
        <v>46131</v>
      </c>
      <c r="C3336">
        <v>2378042343</v>
      </c>
      <c r="D3336">
        <v>2378042669</v>
      </c>
      <c r="E3336" t="str">
        <f>T("미국 로또로 역대급 재벌! 120화")</f>
        <v>미국 로또로 역대급 재벌! 120화</v>
      </c>
      <c r="F3336">
        <v>120</v>
      </c>
      <c r="G3336" t="str">
        <f>T("강바기")</f>
        <v>강바기</v>
      </c>
      <c r="J3336" t="str">
        <f>T("매드햇")</f>
        <v>매드햇</v>
      </c>
      <c r="K3336" t="str">
        <f>T("미국 로또로 역대급 재벌!")</f>
        <v>미국 로또로 역대급 재벌!</v>
      </c>
      <c r="L3336">
        <v>100</v>
      </c>
      <c r="M3336">
        <v>100</v>
      </c>
      <c r="N3336">
        <v>1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0</v>
      </c>
      <c r="AH3336">
        <v>0</v>
      </c>
      <c r="AI3336">
        <v>100</v>
      </c>
      <c r="AJ3336">
        <v>1</v>
      </c>
      <c r="AK3336">
        <v>0</v>
      </c>
      <c r="AL3336">
        <v>0</v>
      </c>
      <c r="AM3336">
        <v>0</v>
      </c>
      <c r="AN3336">
        <v>0</v>
      </c>
      <c r="AO3336">
        <v>120</v>
      </c>
      <c r="AP3336">
        <v>-12</v>
      </c>
      <c r="AQ3336">
        <v>0</v>
      </c>
      <c r="AS3336">
        <v>0</v>
      </c>
      <c r="AT3336">
        <v>0</v>
      </c>
      <c r="AU3336">
        <v>120</v>
      </c>
      <c r="AV3336">
        <v>-12</v>
      </c>
      <c r="AW3336">
        <v>0</v>
      </c>
      <c r="AY3336">
        <v>0</v>
      </c>
      <c r="AZ3336">
        <v>0</v>
      </c>
      <c r="BA3336">
        <v>75.599999999999994</v>
      </c>
      <c r="BE3336" t="str">
        <f>T("9791137013100")</f>
        <v>9791137013100</v>
      </c>
      <c r="BF3336" t="str">
        <f>T("N197578")</f>
        <v>N197578</v>
      </c>
      <c r="BG3336" t="str">
        <f>T("판타지 웹소설 &gt; 현대 판타지")</f>
        <v>판타지 웹소설 &gt; 현대 판타지</v>
      </c>
    </row>
    <row r="3337" spans="1:59">
      <c r="A3337" t="s">
        <v>60</v>
      </c>
      <c r="B3337" s="1">
        <v>46131</v>
      </c>
      <c r="C3337">
        <v>2378042343</v>
      </c>
      <c r="D3337">
        <v>2378042684</v>
      </c>
      <c r="E3337" t="str">
        <f>T("미국 로또로 역대급 재벌! 121화")</f>
        <v>미국 로또로 역대급 재벌! 121화</v>
      </c>
      <c r="F3337">
        <v>121</v>
      </c>
      <c r="G3337" t="str">
        <f>T("강바기")</f>
        <v>강바기</v>
      </c>
      <c r="J3337" t="str">
        <f>T("매드햇")</f>
        <v>매드햇</v>
      </c>
      <c r="K3337" t="str">
        <f>T("미국 로또로 역대급 재벌!")</f>
        <v>미국 로또로 역대급 재벌!</v>
      </c>
      <c r="L3337">
        <v>100</v>
      </c>
      <c r="M3337">
        <v>100</v>
      </c>
      <c r="N3337">
        <v>1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0</v>
      </c>
      <c r="AH3337">
        <v>0</v>
      </c>
      <c r="AI3337">
        <v>100</v>
      </c>
      <c r="AJ3337">
        <v>1</v>
      </c>
      <c r="AK3337">
        <v>0</v>
      </c>
      <c r="AL3337">
        <v>0</v>
      </c>
      <c r="AM3337">
        <v>0</v>
      </c>
      <c r="AN3337">
        <v>0</v>
      </c>
      <c r="AO3337">
        <v>120</v>
      </c>
      <c r="AP3337">
        <v>-12</v>
      </c>
      <c r="AQ3337">
        <v>0</v>
      </c>
      <c r="AS3337">
        <v>0</v>
      </c>
      <c r="AT3337">
        <v>0</v>
      </c>
      <c r="AU3337">
        <v>120</v>
      </c>
      <c r="AV3337">
        <v>-12</v>
      </c>
      <c r="AW3337">
        <v>0</v>
      </c>
      <c r="AY3337">
        <v>0</v>
      </c>
      <c r="AZ3337">
        <v>0</v>
      </c>
      <c r="BA3337">
        <v>75.599999999999994</v>
      </c>
      <c r="BE3337" t="str">
        <f>T("9791137013100")</f>
        <v>9791137013100</v>
      </c>
      <c r="BF3337" t="str">
        <f>T("N202663")</f>
        <v>N202663</v>
      </c>
      <c r="BG3337" t="str">
        <f>T("판타지 웹소설 &gt; 현대 판타지")</f>
        <v>판타지 웹소설 &gt; 현대 판타지</v>
      </c>
    </row>
    <row r="3338" spans="1:59">
      <c r="A3338" t="s">
        <v>60</v>
      </c>
      <c r="B3338" s="1">
        <v>46131</v>
      </c>
      <c r="C3338">
        <v>2378042343</v>
      </c>
      <c r="D3338">
        <v>2378042702</v>
      </c>
      <c r="E3338" t="str">
        <f>T("미국 로또로 역대급 재벌! 122화")</f>
        <v>미국 로또로 역대급 재벌! 122화</v>
      </c>
      <c r="F3338">
        <v>122</v>
      </c>
      <c r="G3338" t="str">
        <f>T("강바기")</f>
        <v>강바기</v>
      </c>
      <c r="J3338" t="str">
        <f>T("매드햇")</f>
        <v>매드햇</v>
      </c>
      <c r="K3338" t="str">
        <f>T("미국 로또로 역대급 재벌!")</f>
        <v>미국 로또로 역대급 재벌!</v>
      </c>
      <c r="L3338">
        <v>100</v>
      </c>
      <c r="M3338">
        <v>100</v>
      </c>
      <c r="N3338">
        <v>1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0</v>
      </c>
      <c r="AH3338">
        <v>0</v>
      </c>
      <c r="AI3338">
        <v>100</v>
      </c>
      <c r="AJ3338">
        <v>1</v>
      </c>
      <c r="AK3338">
        <v>0</v>
      </c>
      <c r="AL3338">
        <v>0</v>
      </c>
      <c r="AM3338">
        <v>0</v>
      </c>
      <c r="AN3338">
        <v>0</v>
      </c>
      <c r="AO3338">
        <v>120</v>
      </c>
      <c r="AP3338">
        <v>-12</v>
      </c>
      <c r="AQ3338">
        <v>0</v>
      </c>
      <c r="AS3338">
        <v>0</v>
      </c>
      <c r="AT3338">
        <v>0</v>
      </c>
      <c r="AU3338">
        <v>120</v>
      </c>
      <c r="AV3338">
        <v>-12</v>
      </c>
      <c r="AW3338">
        <v>0</v>
      </c>
      <c r="AY3338">
        <v>0</v>
      </c>
      <c r="AZ3338">
        <v>0</v>
      </c>
      <c r="BA3338">
        <v>75.599999999999994</v>
      </c>
      <c r="BE3338" t="str">
        <f>T("9791137013100")</f>
        <v>9791137013100</v>
      </c>
      <c r="BF3338" t="str">
        <f>T("N202664")</f>
        <v>N202664</v>
      </c>
      <c r="BG3338" t="str">
        <f>T("판타지 웹소설 &gt; 현대 판타지")</f>
        <v>판타지 웹소설 &gt; 현대 판타지</v>
      </c>
    </row>
    <row r="3339" spans="1:59">
      <c r="A3339" t="s">
        <v>60</v>
      </c>
      <c r="B3339" s="1">
        <v>46131</v>
      </c>
      <c r="C3339">
        <v>2378042343</v>
      </c>
      <c r="D3339">
        <v>2378042905</v>
      </c>
      <c r="E3339" t="str">
        <f>T("미국 로또로 역대급 재벌! 123화")</f>
        <v>미국 로또로 역대급 재벌! 123화</v>
      </c>
      <c r="F3339">
        <v>123</v>
      </c>
      <c r="G3339" t="str">
        <f>T("강바기")</f>
        <v>강바기</v>
      </c>
      <c r="J3339" t="str">
        <f>T("매드햇")</f>
        <v>매드햇</v>
      </c>
      <c r="K3339" t="str">
        <f>T("미국 로또로 역대급 재벌!")</f>
        <v>미국 로또로 역대급 재벌!</v>
      </c>
      <c r="L3339">
        <v>100</v>
      </c>
      <c r="M3339">
        <v>100</v>
      </c>
      <c r="N3339">
        <v>1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0</v>
      </c>
      <c r="AH3339">
        <v>0</v>
      </c>
      <c r="AI3339">
        <v>100</v>
      </c>
      <c r="AJ3339">
        <v>1</v>
      </c>
      <c r="AK3339">
        <v>0</v>
      </c>
      <c r="AL3339">
        <v>0</v>
      </c>
      <c r="AM3339">
        <v>0</v>
      </c>
      <c r="AN3339">
        <v>0</v>
      </c>
      <c r="AO3339">
        <v>120</v>
      </c>
      <c r="AP3339">
        <v>-12</v>
      </c>
      <c r="AQ3339">
        <v>0</v>
      </c>
      <c r="AS3339">
        <v>0</v>
      </c>
      <c r="AT3339">
        <v>0</v>
      </c>
      <c r="AU3339">
        <v>120</v>
      </c>
      <c r="AV3339">
        <v>-12</v>
      </c>
      <c r="AW3339">
        <v>0</v>
      </c>
      <c r="AY3339">
        <v>0</v>
      </c>
      <c r="AZ3339">
        <v>0</v>
      </c>
      <c r="BA3339">
        <v>75.599999999999994</v>
      </c>
      <c r="BE3339" t="str">
        <f>T("9791137013100")</f>
        <v>9791137013100</v>
      </c>
      <c r="BF3339" t="str">
        <f>T("N202665")</f>
        <v>N202665</v>
      </c>
      <c r="BG3339" t="str">
        <f>T("판타지 웹소설 &gt; 현대 판타지")</f>
        <v>판타지 웹소설 &gt; 현대 판타지</v>
      </c>
    </row>
    <row r="3340" spans="1:59">
      <c r="A3340" t="s">
        <v>60</v>
      </c>
      <c r="B3340" s="1">
        <v>46131</v>
      </c>
      <c r="C3340">
        <v>2378042343</v>
      </c>
      <c r="D3340">
        <v>2378042924</v>
      </c>
      <c r="E3340" t="str">
        <f>T("미국 로또로 역대급 재벌! 124화")</f>
        <v>미국 로또로 역대급 재벌! 124화</v>
      </c>
      <c r="F3340">
        <v>124</v>
      </c>
      <c r="G3340" t="str">
        <f>T("강바기")</f>
        <v>강바기</v>
      </c>
      <c r="J3340" t="str">
        <f>T("매드햇")</f>
        <v>매드햇</v>
      </c>
      <c r="K3340" t="str">
        <f>T("미국 로또로 역대급 재벌!")</f>
        <v>미국 로또로 역대급 재벌!</v>
      </c>
      <c r="L3340">
        <v>100</v>
      </c>
      <c r="M3340">
        <v>100</v>
      </c>
      <c r="N3340">
        <v>1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0</v>
      </c>
      <c r="AH3340">
        <v>0</v>
      </c>
      <c r="AI3340">
        <v>100</v>
      </c>
      <c r="AJ3340">
        <v>1</v>
      </c>
      <c r="AK3340">
        <v>0</v>
      </c>
      <c r="AL3340">
        <v>0</v>
      </c>
      <c r="AM3340">
        <v>0</v>
      </c>
      <c r="AN3340">
        <v>0</v>
      </c>
      <c r="AO3340">
        <v>120</v>
      </c>
      <c r="AP3340">
        <v>-12</v>
      </c>
      <c r="AQ3340">
        <v>0</v>
      </c>
      <c r="AS3340">
        <v>0</v>
      </c>
      <c r="AT3340">
        <v>0</v>
      </c>
      <c r="AU3340">
        <v>120</v>
      </c>
      <c r="AV3340">
        <v>-12</v>
      </c>
      <c r="AW3340">
        <v>0</v>
      </c>
      <c r="AY3340">
        <v>0</v>
      </c>
      <c r="AZ3340">
        <v>0</v>
      </c>
      <c r="BA3340">
        <v>75.599999999999994</v>
      </c>
      <c r="BE3340" t="str">
        <f>T("9791137013100")</f>
        <v>9791137013100</v>
      </c>
      <c r="BF3340" t="str">
        <f>T("N202666")</f>
        <v>N202666</v>
      </c>
      <c r="BG3340" t="str">
        <f>T("판타지 웹소설 &gt; 현대 판타지")</f>
        <v>판타지 웹소설 &gt; 현대 판타지</v>
      </c>
    </row>
    <row r="3341" spans="1:59">
      <c r="A3341" t="s">
        <v>60</v>
      </c>
      <c r="B3341" s="1">
        <v>46131</v>
      </c>
      <c r="C3341">
        <v>2378042343</v>
      </c>
      <c r="D3341">
        <v>2378042934</v>
      </c>
      <c r="E3341" t="str">
        <f>T("미국 로또로 역대급 재벌! 125화")</f>
        <v>미국 로또로 역대급 재벌! 125화</v>
      </c>
      <c r="F3341">
        <v>125</v>
      </c>
      <c r="G3341" t="str">
        <f>T("강바기")</f>
        <v>강바기</v>
      </c>
      <c r="J3341" t="str">
        <f>T("매드햇")</f>
        <v>매드햇</v>
      </c>
      <c r="K3341" t="str">
        <f>T("미국 로또로 역대급 재벌!")</f>
        <v>미국 로또로 역대급 재벌!</v>
      </c>
      <c r="L3341">
        <v>100</v>
      </c>
      <c r="M3341">
        <v>100</v>
      </c>
      <c r="N3341">
        <v>1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0</v>
      </c>
      <c r="AH3341">
        <v>0</v>
      </c>
      <c r="AI3341">
        <v>100</v>
      </c>
      <c r="AJ3341">
        <v>1</v>
      </c>
      <c r="AK3341">
        <v>0</v>
      </c>
      <c r="AL3341">
        <v>0</v>
      </c>
      <c r="AM3341">
        <v>0</v>
      </c>
      <c r="AN3341">
        <v>0</v>
      </c>
      <c r="AO3341">
        <v>120</v>
      </c>
      <c r="AP3341">
        <v>-12</v>
      </c>
      <c r="AQ3341">
        <v>0</v>
      </c>
      <c r="AS3341">
        <v>0</v>
      </c>
      <c r="AT3341">
        <v>0</v>
      </c>
      <c r="AU3341">
        <v>120</v>
      </c>
      <c r="AV3341">
        <v>-12</v>
      </c>
      <c r="AW3341">
        <v>0</v>
      </c>
      <c r="AY3341">
        <v>0</v>
      </c>
      <c r="AZ3341">
        <v>0</v>
      </c>
      <c r="BA3341">
        <v>75.599999999999994</v>
      </c>
      <c r="BE3341" t="str">
        <f>T("9791137013100")</f>
        <v>9791137013100</v>
      </c>
      <c r="BF3341" t="str">
        <f>T("N206898")</f>
        <v>N206898</v>
      </c>
      <c r="BG3341" t="str">
        <f>T("판타지 웹소설 &gt; 현대 판타지")</f>
        <v>판타지 웹소설 &gt; 현대 판타지</v>
      </c>
    </row>
    <row r="3342" spans="1:59">
      <c r="A3342" t="s">
        <v>60</v>
      </c>
      <c r="B3342" s="1">
        <v>46131</v>
      </c>
      <c r="C3342">
        <v>2378042343</v>
      </c>
      <c r="D3342">
        <v>2378042951</v>
      </c>
      <c r="E3342" t="str">
        <f>T("미국 로또로 역대급 재벌! 126화")</f>
        <v>미국 로또로 역대급 재벌! 126화</v>
      </c>
      <c r="F3342">
        <v>126</v>
      </c>
      <c r="G3342" t="str">
        <f>T("강바기")</f>
        <v>강바기</v>
      </c>
      <c r="J3342" t="str">
        <f>T("매드햇")</f>
        <v>매드햇</v>
      </c>
      <c r="K3342" t="str">
        <f>T("미국 로또로 역대급 재벌!")</f>
        <v>미국 로또로 역대급 재벌!</v>
      </c>
      <c r="L3342">
        <v>100</v>
      </c>
      <c r="M3342">
        <v>100</v>
      </c>
      <c r="N3342">
        <v>1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0</v>
      </c>
      <c r="AH3342">
        <v>0</v>
      </c>
      <c r="AI3342">
        <v>100</v>
      </c>
      <c r="AJ3342">
        <v>1</v>
      </c>
      <c r="AK3342">
        <v>0</v>
      </c>
      <c r="AL3342">
        <v>0</v>
      </c>
      <c r="AM3342">
        <v>0</v>
      </c>
      <c r="AN3342">
        <v>0</v>
      </c>
      <c r="AO3342">
        <v>120</v>
      </c>
      <c r="AP3342">
        <v>-12</v>
      </c>
      <c r="AQ3342">
        <v>0</v>
      </c>
      <c r="AS3342">
        <v>0</v>
      </c>
      <c r="AT3342">
        <v>0</v>
      </c>
      <c r="AU3342">
        <v>120</v>
      </c>
      <c r="AV3342">
        <v>-12</v>
      </c>
      <c r="AW3342">
        <v>0</v>
      </c>
      <c r="AY3342">
        <v>0</v>
      </c>
      <c r="AZ3342">
        <v>0</v>
      </c>
      <c r="BA3342">
        <v>75.599999999999994</v>
      </c>
      <c r="BE3342" t="str">
        <f>T("9791137013100")</f>
        <v>9791137013100</v>
      </c>
      <c r="BF3342" t="str">
        <f>T("N206899")</f>
        <v>N206899</v>
      </c>
      <c r="BG3342" t="str">
        <f>T("판타지 웹소설 &gt; 현대 판타지")</f>
        <v>판타지 웹소설 &gt; 현대 판타지</v>
      </c>
    </row>
    <row r="3343" spans="1:59">
      <c r="A3343" t="s">
        <v>60</v>
      </c>
      <c r="B3343" s="1">
        <v>46131</v>
      </c>
      <c r="C3343">
        <v>2378042343</v>
      </c>
      <c r="D3343">
        <v>2378042980</v>
      </c>
      <c r="E3343" t="str">
        <f>T("미국 로또로 역대급 재벌! 127화")</f>
        <v>미국 로또로 역대급 재벌! 127화</v>
      </c>
      <c r="F3343">
        <v>127</v>
      </c>
      <c r="G3343" t="str">
        <f>T("강바기")</f>
        <v>강바기</v>
      </c>
      <c r="J3343" t="str">
        <f>T("매드햇")</f>
        <v>매드햇</v>
      </c>
      <c r="K3343" t="str">
        <f>T("미국 로또로 역대급 재벌!")</f>
        <v>미국 로또로 역대급 재벌!</v>
      </c>
      <c r="L3343">
        <v>100</v>
      </c>
      <c r="M3343">
        <v>100</v>
      </c>
      <c r="N3343">
        <v>1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0</v>
      </c>
      <c r="AH3343">
        <v>0</v>
      </c>
      <c r="AI3343">
        <v>100</v>
      </c>
      <c r="AJ3343">
        <v>1</v>
      </c>
      <c r="AK3343">
        <v>0</v>
      </c>
      <c r="AL3343">
        <v>0</v>
      </c>
      <c r="AM3343">
        <v>0</v>
      </c>
      <c r="AN3343">
        <v>0</v>
      </c>
      <c r="AO3343">
        <v>120</v>
      </c>
      <c r="AP3343">
        <v>-12</v>
      </c>
      <c r="AQ3343">
        <v>0</v>
      </c>
      <c r="AS3343">
        <v>0</v>
      </c>
      <c r="AT3343">
        <v>0</v>
      </c>
      <c r="AU3343">
        <v>120</v>
      </c>
      <c r="AV3343">
        <v>-12</v>
      </c>
      <c r="AW3343">
        <v>0</v>
      </c>
      <c r="AY3343">
        <v>0</v>
      </c>
      <c r="AZ3343">
        <v>0</v>
      </c>
      <c r="BA3343">
        <v>75.599999999999994</v>
      </c>
      <c r="BE3343" t="str">
        <f>T("9791137013100")</f>
        <v>9791137013100</v>
      </c>
      <c r="BF3343" t="str">
        <f>T("N206900")</f>
        <v>N206900</v>
      </c>
      <c r="BG3343" t="str">
        <f>T("판타지 웹소설 &gt; 현대 판타지")</f>
        <v>판타지 웹소설 &gt; 현대 판타지</v>
      </c>
    </row>
    <row r="3344" spans="1:59">
      <c r="A3344" t="s">
        <v>60</v>
      </c>
      <c r="B3344" s="1">
        <v>46131</v>
      </c>
      <c r="C3344">
        <v>2378042343</v>
      </c>
      <c r="D3344">
        <v>2378042994</v>
      </c>
      <c r="E3344" t="str">
        <f>T("미국 로또로 역대급 재벌! 128화")</f>
        <v>미국 로또로 역대급 재벌! 128화</v>
      </c>
      <c r="F3344">
        <v>128</v>
      </c>
      <c r="G3344" t="str">
        <f>T("강바기")</f>
        <v>강바기</v>
      </c>
      <c r="J3344" t="str">
        <f>T("매드햇")</f>
        <v>매드햇</v>
      </c>
      <c r="K3344" t="str">
        <f>T("미국 로또로 역대급 재벌!")</f>
        <v>미국 로또로 역대급 재벌!</v>
      </c>
      <c r="L3344">
        <v>100</v>
      </c>
      <c r="M3344">
        <v>100</v>
      </c>
      <c r="N3344">
        <v>1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0</v>
      </c>
      <c r="AH3344">
        <v>0</v>
      </c>
      <c r="AI3344">
        <v>100</v>
      </c>
      <c r="AJ3344">
        <v>1</v>
      </c>
      <c r="AK3344">
        <v>0</v>
      </c>
      <c r="AL3344">
        <v>0</v>
      </c>
      <c r="AM3344">
        <v>0</v>
      </c>
      <c r="AN3344">
        <v>0</v>
      </c>
      <c r="AO3344">
        <v>120</v>
      </c>
      <c r="AP3344">
        <v>-12</v>
      </c>
      <c r="AQ3344">
        <v>0</v>
      </c>
      <c r="AS3344">
        <v>0</v>
      </c>
      <c r="AT3344">
        <v>0</v>
      </c>
      <c r="AU3344">
        <v>120</v>
      </c>
      <c r="AV3344">
        <v>-12</v>
      </c>
      <c r="AW3344">
        <v>0</v>
      </c>
      <c r="AY3344">
        <v>0</v>
      </c>
      <c r="AZ3344">
        <v>0</v>
      </c>
      <c r="BA3344">
        <v>75.599999999999994</v>
      </c>
      <c r="BE3344" t="str">
        <f>T("9791137013100")</f>
        <v>9791137013100</v>
      </c>
      <c r="BF3344" t="str">
        <f>T("N206901")</f>
        <v>N206901</v>
      </c>
      <c r="BG3344" t="str">
        <f>T("판타지 웹소설 &gt; 현대 판타지")</f>
        <v>판타지 웹소설 &gt; 현대 판타지</v>
      </c>
    </row>
    <row r="3345" spans="1:59">
      <c r="A3345" t="s">
        <v>60</v>
      </c>
      <c r="B3345" s="1">
        <v>46131</v>
      </c>
      <c r="C3345">
        <v>2378042343</v>
      </c>
      <c r="D3345">
        <v>2378043003</v>
      </c>
      <c r="E3345" t="str">
        <f>T("미국 로또로 역대급 재벌! 129화")</f>
        <v>미국 로또로 역대급 재벌! 129화</v>
      </c>
      <c r="F3345">
        <v>129</v>
      </c>
      <c r="G3345" t="str">
        <f>T("강바기")</f>
        <v>강바기</v>
      </c>
      <c r="J3345" t="str">
        <f>T("매드햇")</f>
        <v>매드햇</v>
      </c>
      <c r="K3345" t="str">
        <f>T("미국 로또로 역대급 재벌!")</f>
        <v>미국 로또로 역대급 재벌!</v>
      </c>
      <c r="L3345">
        <v>100</v>
      </c>
      <c r="M3345">
        <v>100</v>
      </c>
      <c r="N3345">
        <v>1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0</v>
      </c>
      <c r="AH3345">
        <v>0</v>
      </c>
      <c r="AI3345">
        <v>100</v>
      </c>
      <c r="AJ3345">
        <v>1</v>
      </c>
      <c r="AK3345">
        <v>0</v>
      </c>
      <c r="AL3345">
        <v>0</v>
      </c>
      <c r="AM3345">
        <v>0</v>
      </c>
      <c r="AN3345">
        <v>0</v>
      </c>
      <c r="AO3345">
        <v>120</v>
      </c>
      <c r="AP3345">
        <v>-12</v>
      </c>
      <c r="AQ3345">
        <v>0</v>
      </c>
      <c r="AS3345">
        <v>0</v>
      </c>
      <c r="AT3345">
        <v>0</v>
      </c>
      <c r="AU3345">
        <v>120</v>
      </c>
      <c r="AV3345">
        <v>-12</v>
      </c>
      <c r="AW3345">
        <v>0</v>
      </c>
      <c r="AY3345">
        <v>0</v>
      </c>
      <c r="AZ3345">
        <v>0</v>
      </c>
      <c r="BA3345">
        <v>75.599999999999994</v>
      </c>
      <c r="BE3345" t="str">
        <f>T("9791137013100")</f>
        <v>9791137013100</v>
      </c>
      <c r="BF3345" t="str">
        <f>T("N206902")</f>
        <v>N206902</v>
      </c>
      <c r="BG3345" t="str">
        <f>T("판타지 웹소설 &gt; 현대 판타지")</f>
        <v>판타지 웹소설 &gt; 현대 판타지</v>
      </c>
    </row>
    <row r="3346" spans="1:59">
      <c r="A3346" t="s">
        <v>60</v>
      </c>
      <c r="B3346" s="1">
        <v>46131</v>
      </c>
      <c r="C3346">
        <v>2378042343</v>
      </c>
      <c r="D3346">
        <v>2378043017</v>
      </c>
      <c r="E3346" t="str">
        <f>T("미국 로또로 역대급 재벌! 130화")</f>
        <v>미국 로또로 역대급 재벌! 130화</v>
      </c>
      <c r="F3346">
        <v>130</v>
      </c>
      <c r="G3346" t="str">
        <f>T("강바기")</f>
        <v>강바기</v>
      </c>
      <c r="J3346" t="str">
        <f>T("매드햇")</f>
        <v>매드햇</v>
      </c>
      <c r="K3346" t="str">
        <f>T("미국 로또로 역대급 재벌!")</f>
        <v>미국 로또로 역대급 재벌!</v>
      </c>
      <c r="L3346">
        <v>100</v>
      </c>
      <c r="M3346">
        <v>100</v>
      </c>
      <c r="N3346">
        <v>1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0</v>
      </c>
      <c r="AH3346">
        <v>0</v>
      </c>
      <c r="AI3346">
        <v>100</v>
      </c>
      <c r="AJ3346">
        <v>1</v>
      </c>
      <c r="AK3346">
        <v>0</v>
      </c>
      <c r="AL3346">
        <v>0</v>
      </c>
      <c r="AM3346">
        <v>0</v>
      </c>
      <c r="AN3346">
        <v>0</v>
      </c>
      <c r="AO3346">
        <v>120</v>
      </c>
      <c r="AP3346">
        <v>-12</v>
      </c>
      <c r="AQ3346">
        <v>0</v>
      </c>
      <c r="AS3346">
        <v>0</v>
      </c>
      <c r="AT3346">
        <v>0</v>
      </c>
      <c r="AU3346">
        <v>120</v>
      </c>
      <c r="AV3346">
        <v>-12</v>
      </c>
      <c r="AW3346">
        <v>0</v>
      </c>
      <c r="AY3346">
        <v>0</v>
      </c>
      <c r="AZ3346">
        <v>0</v>
      </c>
      <c r="BA3346">
        <v>75.599999999999994</v>
      </c>
      <c r="BE3346" t="str">
        <f>T("9791137013100")</f>
        <v>9791137013100</v>
      </c>
      <c r="BF3346" t="str">
        <f>T("N207747")</f>
        <v>N207747</v>
      </c>
      <c r="BG3346" t="str">
        <f>T("판타지 웹소설 &gt; 현대 판타지")</f>
        <v>판타지 웹소설 &gt; 현대 판타지</v>
      </c>
    </row>
    <row r="3347" spans="1:59">
      <c r="A3347" t="s">
        <v>60</v>
      </c>
      <c r="B3347" s="1">
        <v>46131</v>
      </c>
      <c r="C3347">
        <v>2378042343</v>
      </c>
      <c r="D3347">
        <v>2378043061</v>
      </c>
      <c r="E3347" t="str">
        <f>T("미국 로또로 역대급 재벌! 131화")</f>
        <v>미국 로또로 역대급 재벌! 131화</v>
      </c>
      <c r="F3347">
        <v>131</v>
      </c>
      <c r="G3347" t="str">
        <f>T("강바기")</f>
        <v>강바기</v>
      </c>
      <c r="J3347" t="str">
        <f>T("매드햇")</f>
        <v>매드햇</v>
      </c>
      <c r="K3347" t="str">
        <f>T("미국 로또로 역대급 재벌!")</f>
        <v>미국 로또로 역대급 재벌!</v>
      </c>
      <c r="L3347">
        <v>100</v>
      </c>
      <c r="M3347">
        <v>100</v>
      </c>
      <c r="N3347">
        <v>1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0</v>
      </c>
      <c r="AH3347">
        <v>0</v>
      </c>
      <c r="AI3347">
        <v>100</v>
      </c>
      <c r="AJ3347">
        <v>1</v>
      </c>
      <c r="AK3347">
        <v>0</v>
      </c>
      <c r="AL3347">
        <v>0</v>
      </c>
      <c r="AM3347">
        <v>0</v>
      </c>
      <c r="AN3347">
        <v>0</v>
      </c>
      <c r="AO3347">
        <v>120</v>
      </c>
      <c r="AP3347">
        <v>-12</v>
      </c>
      <c r="AQ3347">
        <v>0</v>
      </c>
      <c r="AS3347">
        <v>0</v>
      </c>
      <c r="AT3347">
        <v>0</v>
      </c>
      <c r="AU3347">
        <v>120</v>
      </c>
      <c r="AV3347">
        <v>-12</v>
      </c>
      <c r="AW3347">
        <v>0</v>
      </c>
      <c r="AY3347">
        <v>0</v>
      </c>
      <c r="AZ3347">
        <v>0</v>
      </c>
      <c r="BA3347">
        <v>75.599999999999994</v>
      </c>
      <c r="BE3347" t="str">
        <f>T("9791137013100")</f>
        <v>9791137013100</v>
      </c>
      <c r="BF3347" t="str">
        <f>T("N207748")</f>
        <v>N207748</v>
      </c>
      <c r="BG3347" t="str">
        <f>T("판타지 웹소설 &gt; 현대 판타지")</f>
        <v>판타지 웹소설 &gt; 현대 판타지</v>
      </c>
    </row>
    <row r="3348" spans="1:59">
      <c r="A3348" t="s">
        <v>60</v>
      </c>
      <c r="B3348" s="1">
        <v>46131</v>
      </c>
      <c r="C3348">
        <v>2378042343</v>
      </c>
      <c r="D3348">
        <v>2378043082</v>
      </c>
      <c r="E3348" t="str">
        <f>T("미국 로또로 역대급 재벌! 132화")</f>
        <v>미국 로또로 역대급 재벌! 132화</v>
      </c>
      <c r="F3348">
        <v>132</v>
      </c>
      <c r="G3348" t="str">
        <f>T("강바기")</f>
        <v>강바기</v>
      </c>
      <c r="J3348" t="str">
        <f>T("매드햇")</f>
        <v>매드햇</v>
      </c>
      <c r="K3348" t="str">
        <f>T("미국 로또로 역대급 재벌!")</f>
        <v>미국 로또로 역대급 재벌!</v>
      </c>
      <c r="L3348">
        <v>100</v>
      </c>
      <c r="M3348">
        <v>100</v>
      </c>
      <c r="N3348">
        <v>1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0</v>
      </c>
      <c r="AH3348">
        <v>0</v>
      </c>
      <c r="AI3348">
        <v>100</v>
      </c>
      <c r="AJ3348">
        <v>1</v>
      </c>
      <c r="AK3348">
        <v>0</v>
      </c>
      <c r="AL3348">
        <v>0</v>
      </c>
      <c r="AM3348">
        <v>0</v>
      </c>
      <c r="AN3348">
        <v>0</v>
      </c>
      <c r="AO3348">
        <v>120</v>
      </c>
      <c r="AP3348">
        <v>-12</v>
      </c>
      <c r="AQ3348">
        <v>0</v>
      </c>
      <c r="AS3348">
        <v>0</v>
      </c>
      <c r="AT3348">
        <v>0</v>
      </c>
      <c r="AU3348">
        <v>120</v>
      </c>
      <c r="AV3348">
        <v>-12</v>
      </c>
      <c r="AW3348">
        <v>0</v>
      </c>
      <c r="AY3348">
        <v>0</v>
      </c>
      <c r="AZ3348">
        <v>0</v>
      </c>
      <c r="BA3348">
        <v>75.599999999999994</v>
      </c>
      <c r="BE3348" t="str">
        <f>T("9791137013100")</f>
        <v>9791137013100</v>
      </c>
      <c r="BF3348" t="str">
        <f>T("N207749")</f>
        <v>N207749</v>
      </c>
      <c r="BG3348" t="str">
        <f>T("판타지 웹소설 &gt; 현대 판타지")</f>
        <v>판타지 웹소설 &gt; 현대 판타지</v>
      </c>
    </row>
    <row r="3349" spans="1:59">
      <c r="A3349" t="s">
        <v>60</v>
      </c>
      <c r="B3349" s="1">
        <v>46131</v>
      </c>
      <c r="C3349">
        <v>2378042343</v>
      </c>
      <c r="D3349">
        <v>2378043093</v>
      </c>
      <c r="E3349" t="str">
        <f>T("미국 로또로 역대급 재벌! 133화")</f>
        <v>미국 로또로 역대급 재벌! 133화</v>
      </c>
      <c r="F3349">
        <v>133</v>
      </c>
      <c r="G3349" t="str">
        <f>T("강바기")</f>
        <v>강바기</v>
      </c>
      <c r="J3349" t="str">
        <f>T("매드햇")</f>
        <v>매드햇</v>
      </c>
      <c r="K3349" t="str">
        <f>T("미국 로또로 역대급 재벌!")</f>
        <v>미국 로또로 역대급 재벌!</v>
      </c>
      <c r="L3349">
        <v>100</v>
      </c>
      <c r="M3349">
        <v>100</v>
      </c>
      <c r="N3349">
        <v>1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0</v>
      </c>
      <c r="AH3349">
        <v>0</v>
      </c>
      <c r="AI3349">
        <v>100</v>
      </c>
      <c r="AJ3349">
        <v>1</v>
      </c>
      <c r="AK3349">
        <v>0</v>
      </c>
      <c r="AL3349">
        <v>0</v>
      </c>
      <c r="AM3349">
        <v>0</v>
      </c>
      <c r="AN3349">
        <v>0</v>
      </c>
      <c r="AO3349">
        <v>120</v>
      </c>
      <c r="AP3349">
        <v>-12</v>
      </c>
      <c r="AQ3349">
        <v>0</v>
      </c>
      <c r="AS3349">
        <v>0</v>
      </c>
      <c r="AT3349">
        <v>0</v>
      </c>
      <c r="AU3349">
        <v>120</v>
      </c>
      <c r="AV3349">
        <v>-12</v>
      </c>
      <c r="AW3349">
        <v>0</v>
      </c>
      <c r="AY3349">
        <v>0</v>
      </c>
      <c r="AZ3349">
        <v>0</v>
      </c>
      <c r="BA3349">
        <v>75.599999999999994</v>
      </c>
      <c r="BE3349" t="str">
        <f>T("9791137013100")</f>
        <v>9791137013100</v>
      </c>
      <c r="BF3349" t="str">
        <f>T("N207750")</f>
        <v>N207750</v>
      </c>
      <c r="BG3349" t="str">
        <f>T("판타지 웹소설 &gt; 현대 판타지")</f>
        <v>판타지 웹소설 &gt; 현대 판타지</v>
      </c>
    </row>
    <row r="3350" spans="1:59">
      <c r="A3350" t="s">
        <v>60</v>
      </c>
      <c r="B3350" s="1">
        <v>46131</v>
      </c>
      <c r="C3350">
        <v>2378042343</v>
      </c>
      <c r="D3350">
        <v>2378043103</v>
      </c>
      <c r="E3350" t="str">
        <f>T("미국 로또로 역대급 재벌! 134화")</f>
        <v>미국 로또로 역대급 재벌! 134화</v>
      </c>
      <c r="F3350">
        <v>134</v>
      </c>
      <c r="G3350" t="str">
        <f>T("강바기")</f>
        <v>강바기</v>
      </c>
      <c r="J3350" t="str">
        <f>T("매드햇")</f>
        <v>매드햇</v>
      </c>
      <c r="K3350" t="str">
        <f>T("미국 로또로 역대급 재벌!")</f>
        <v>미국 로또로 역대급 재벌!</v>
      </c>
      <c r="L3350">
        <v>100</v>
      </c>
      <c r="M3350">
        <v>100</v>
      </c>
      <c r="N3350">
        <v>1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0</v>
      </c>
      <c r="AH3350">
        <v>0</v>
      </c>
      <c r="AI3350">
        <v>100</v>
      </c>
      <c r="AJ3350">
        <v>1</v>
      </c>
      <c r="AK3350">
        <v>0</v>
      </c>
      <c r="AL3350">
        <v>0</v>
      </c>
      <c r="AM3350">
        <v>0</v>
      </c>
      <c r="AN3350">
        <v>0</v>
      </c>
      <c r="AO3350">
        <v>120</v>
      </c>
      <c r="AP3350">
        <v>-12</v>
      </c>
      <c r="AQ3350">
        <v>0</v>
      </c>
      <c r="AS3350">
        <v>0</v>
      </c>
      <c r="AT3350">
        <v>0</v>
      </c>
      <c r="AU3350">
        <v>120</v>
      </c>
      <c r="AV3350">
        <v>-12</v>
      </c>
      <c r="AW3350">
        <v>0</v>
      </c>
      <c r="AY3350">
        <v>0</v>
      </c>
      <c r="AZ3350">
        <v>0</v>
      </c>
      <c r="BA3350">
        <v>75.599999999999994</v>
      </c>
      <c r="BE3350" t="str">
        <f>T("9791137013100")</f>
        <v>9791137013100</v>
      </c>
      <c r="BF3350" t="str">
        <f>T("N207751")</f>
        <v>N207751</v>
      </c>
      <c r="BG3350" t="str">
        <f>T("판타지 웹소설 &gt; 현대 판타지")</f>
        <v>판타지 웹소설 &gt; 현대 판타지</v>
      </c>
    </row>
    <row r="3351" spans="1:59">
      <c r="A3351" t="s">
        <v>60</v>
      </c>
      <c r="B3351" s="1">
        <v>46131</v>
      </c>
      <c r="C3351">
        <v>2378042343</v>
      </c>
      <c r="D3351">
        <v>2378043106</v>
      </c>
      <c r="E3351" t="str">
        <f>T("미국 로또로 역대급 재벌! 135화")</f>
        <v>미국 로또로 역대급 재벌! 135화</v>
      </c>
      <c r="F3351">
        <v>135</v>
      </c>
      <c r="G3351" t="str">
        <f>T("강바기")</f>
        <v>강바기</v>
      </c>
      <c r="J3351" t="str">
        <f>T("매드햇")</f>
        <v>매드햇</v>
      </c>
      <c r="K3351" t="str">
        <f>T("미국 로또로 역대급 재벌!")</f>
        <v>미국 로또로 역대급 재벌!</v>
      </c>
      <c r="L3351">
        <v>100</v>
      </c>
      <c r="M3351">
        <v>100</v>
      </c>
      <c r="N3351">
        <v>1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0</v>
      </c>
      <c r="AH3351">
        <v>0</v>
      </c>
      <c r="AI3351">
        <v>100</v>
      </c>
      <c r="AJ3351">
        <v>1</v>
      </c>
      <c r="AK3351">
        <v>0</v>
      </c>
      <c r="AL3351">
        <v>0</v>
      </c>
      <c r="AM3351">
        <v>0</v>
      </c>
      <c r="AN3351">
        <v>0</v>
      </c>
      <c r="AO3351">
        <v>120</v>
      </c>
      <c r="AP3351">
        <v>-12</v>
      </c>
      <c r="AQ3351">
        <v>0</v>
      </c>
      <c r="AS3351">
        <v>0</v>
      </c>
      <c r="AT3351">
        <v>0</v>
      </c>
      <c r="AU3351">
        <v>120</v>
      </c>
      <c r="AV3351">
        <v>-12</v>
      </c>
      <c r="AW3351">
        <v>0</v>
      </c>
      <c r="AY3351">
        <v>0</v>
      </c>
      <c r="AZ3351">
        <v>0</v>
      </c>
      <c r="BA3351">
        <v>75.599999999999994</v>
      </c>
      <c r="BE3351" t="str">
        <f>T("9791137013100")</f>
        <v>9791137013100</v>
      </c>
      <c r="BF3351" t="str">
        <f>T("N210919")</f>
        <v>N210919</v>
      </c>
      <c r="BG3351" t="str">
        <f>T("판타지 웹소설 &gt; 현대 판타지")</f>
        <v>판타지 웹소설 &gt; 현대 판타지</v>
      </c>
    </row>
    <row r="3352" spans="1:59">
      <c r="A3352" t="s">
        <v>60</v>
      </c>
      <c r="B3352" s="1">
        <v>46131</v>
      </c>
      <c r="C3352">
        <v>2378042343</v>
      </c>
      <c r="D3352">
        <v>2378043125</v>
      </c>
      <c r="E3352" t="str">
        <f>T("미국 로또로 역대급 재벌! 136화")</f>
        <v>미국 로또로 역대급 재벌! 136화</v>
      </c>
      <c r="F3352">
        <v>136</v>
      </c>
      <c r="G3352" t="str">
        <f>T("강바기")</f>
        <v>강바기</v>
      </c>
      <c r="J3352" t="str">
        <f>T("매드햇")</f>
        <v>매드햇</v>
      </c>
      <c r="K3352" t="str">
        <f>T("미국 로또로 역대급 재벌!")</f>
        <v>미국 로또로 역대급 재벌!</v>
      </c>
      <c r="L3352">
        <v>100</v>
      </c>
      <c r="M3352">
        <v>100</v>
      </c>
      <c r="N3352">
        <v>1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0</v>
      </c>
      <c r="AH3352">
        <v>0</v>
      </c>
      <c r="AI3352">
        <v>100</v>
      </c>
      <c r="AJ3352">
        <v>1</v>
      </c>
      <c r="AK3352">
        <v>0</v>
      </c>
      <c r="AL3352">
        <v>0</v>
      </c>
      <c r="AM3352">
        <v>0</v>
      </c>
      <c r="AN3352">
        <v>0</v>
      </c>
      <c r="AO3352">
        <v>120</v>
      </c>
      <c r="AP3352">
        <v>-12</v>
      </c>
      <c r="AQ3352">
        <v>0</v>
      </c>
      <c r="AS3352">
        <v>0</v>
      </c>
      <c r="AT3352">
        <v>0</v>
      </c>
      <c r="AU3352">
        <v>120</v>
      </c>
      <c r="AV3352">
        <v>-12</v>
      </c>
      <c r="AW3352">
        <v>0</v>
      </c>
      <c r="AY3352">
        <v>0</v>
      </c>
      <c r="AZ3352">
        <v>0</v>
      </c>
      <c r="BA3352">
        <v>75.599999999999994</v>
      </c>
      <c r="BE3352" t="str">
        <f>T("9791137013100")</f>
        <v>9791137013100</v>
      </c>
      <c r="BF3352" t="str">
        <f>T("N210920")</f>
        <v>N210920</v>
      </c>
      <c r="BG3352" t="str">
        <f>T("판타지 웹소설 &gt; 현대 판타지")</f>
        <v>판타지 웹소설 &gt; 현대 판타지</v>
      </c>
    </row>
    <row r="3353" spans="1:59">
      <c r="A3353" t="s">
        <v>60</v>
      </c>
      <c r="B3353" s="1">
        <v>46131</v>
      </c>
      <c r="C3353">
        <v>2378042343</v>
      </c>
      <c r="D3353">
        <v>2378043128</v>
      </c>
      <c r="E3353" t="str">
        <f>T("미국 로또로 역대급 재벌! 137화")</f>
        <v>미국 로또로 역대급 재벌! 137화</v>
      </c>
      <c r="F3353">
        <v>137</v>
      </c>
      <c r="G3353" t="str">
        <f>T("강바기")</f>
        <v>강바기</v>
      </c>
      <c r="J3353" t="str">
        <f>T("매드햇")</f>
        <v>매드햇</v>
      </c>
      <c r="K3353" t="str">
        <f>T("미국 로또로 역대급 재벌!")</f>
        <v>미국 로또로 역대급 재벌!</v>
      </c>
      <c r="L3353">
        <v>100</v>
      </c>
      <c r="M3353">
        <v>100</v>
      </c>
      <c r="N3353">
        <v>1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0</v>
      </c>
      <c r="AH3353">
        <v>0</v>
      </c>
      <c r="AI3353">
        <v>100</v>
      </c>
      <c r="AJ3353">
        <v>1</v>
      </c>
      <c r="AK3353">
        <v>0</v>
      </c>
      <c r="AL3353">
        <v>0</v>
      </c>
      <c r="AM3353">
        <v>0</v>
      </c>
      <c r="AN3353">
        <v>0</v>
      </c>
      <c r="AO3353">
        <v>120</v>
      </c>
      <c r="AP3353">
        <v>-12</v>
      </c>
      <c r="AQ3353">
        <v>0</v>
      </c>
      <c r="AS3353">
        <v>0</v>
      </c>
      <c r="AT3353">
        <v>0</v>
      </c>
      <c r="AU3353">
        <v>120</v>
      </c>
      <c r="AV3353">
        <v>-12</v>
      </c>
      <c r="AW3353">
        <v>0</v>
      </c>
      <c r="AY3353">
        <v>0</v>
      </c>
      <c r="AZ3353">
        <v>0</v>
      </c>
      <c r="BA3353">
        <v>75.599999999999994</v>
      </c>
      <c r="BE3353" t="str">
        <f>T("9791137013100")</f>
        <v>9791137013100</v>
      </c>
      <c r="BF3353" t="str">
        <f>T("N210921")</f>
        <v>N210921</v>
      </c>
      <c r="BG3353" t="str">
        <f>T("판타지 웹소설 &gt; 현대 판타지")</f>
        <v>판타지 웹소설 &gt; 현대 판타지</v>
      </c>
    </row>
    <row r="3354" spans="1:59">
      <c r="A3354" t="s">
        <v>60</v>
      </c>
      <c r="B3354" s="1">
        <v>46131</v>
      </c>
      <c r="C3354">
        <v>2378042343</v>
      </c>
      <c r="D3354">
        <v>2378043238</v>
      </c>
      <c r="E3354" t="str">
        <f>T("미국 로또로 역대급 재벌! 138화")</f>
        <v>미국 로또로 역대급 재벌! 138화</v>
      </c>
      <c r="F3354">
        <v>138</v>
      </c>
      <c r="G3354" t="str">
        <f>T("강바기")</f>
        <v>강바기</v>
      </c>
      <c r="J3354" t="str">
        <f>T("매드햇")</f>
        <v>매드햇</v>
      </c>
      <c r="K3354" t="str">
        <f>T("미국 로또로 역대급 재벌!")</f>
        <v>미국 로또로 역대급 재벌!</v>
      </c>
      <c r="L3354">
        <v>100</v>
      </c>
      <c r="M3354">
        <v>100</v>
      </c>
      <c r="N3354">
        <v>1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0</v>
      </c>
      <c r="AH3354">
        <v>0</v>
      </c>
      <c r="AI3354">
        <v>100</v>
      </c>
      <c r="AJ3354">
        <v>1</v>
      </c>
      <c r="AK3354">
        <v>0</v>
      </c>
      <c r="AL3354">
        <v>0</v>
      </c>
      <c r="AM3354">
        <v>0</v>
      </c>
      <c r="AN3354">
        <v>0</v>
      </c>
      <c r="AO3354">
        <v>120</v>
      </c>
      <c r="AP3354">
        <v>-12</v>
      </c>
      <c r="AQ3354">
        <v>0</v>
      </c>
      <c r="AS3354">
        <v>0</v>
      </c>
      <c r="AT3354">
        <v>0</v>
      </c>
      <c r="AU3354">
        <v>120</v>
      </c>
      <c r="AV3354">
        <v>-12</v>
      </c>
      <c r="AW3354">
        <v>0</v>
      </c>
      <c r="AY3354">
        <v>0</v>
      </c>
      <c r="AZ3354">
        <v>0</v>
      </c>
      <c r="BA3354">
        <v>75.599999999999994</v>
      </c>
      <c r="BE3354" t="str">
        <f>T("9791137013100")</f>
        <v>9791137013100</v>
      </c>
      <c r="BF3354" t="str">
        <f>T("N210922")</f>
        <v>N210922</v>
      </c>
      <c r="BG3354" t="str">
        <f>T("판타지 웹소설 &gt; 현대 판타지")</f>
        <v>판타지 웹소설 &gt; 현대 판타지</v>
      </c>
    </row>
    <row r="3355" spans="1:59">
      <c r="A3355" t="s">
        <v>60</v>
      </c>
      <c r="B3355" s="1">
        <v>46131</v>
      </c>
      <c r="C3355">
        <v>2378042343</v>
      </c>
      <c r="D3355">
        <v>2378043260</v>
      </c>
      <c r="E3355" t="str">
        <f>T("미국 로또로 역대급 재벌! 139화")</f>
        <v>미국 로또로 역대급 재벌! 139화</v>
      </c>
      <c r="F3355">
        <v>139</v>
      </c>
      <c r="G3355" t="str">
        <f>T("강바기")</f>
        <v>강바기</v>
      </c>
      <c r="J3355" t="str">
        <f>T("매드햇")</f>
        <v>매드햇</v>
      </c>
      <c r="K3355" t="str">
        <f>T("미국 로또로 역대급 재벌!")</f>
        <v>미국 로또로 역대급 재벌!</v>
      </c>
      <c r="L3355">
        <v>100</v>
      </c>
      <c r="M3355">
        <v>100</v>
      </c>
      <c r="N3355">
        <v>1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0</v>
      </c>
      <c r="AH3355">
        <v>0</v>
      </c>
      <c r="AI3355">
        <v>100</v>
      </c>
      <c r="AJ3355">
        <v>1</v>
      </c>
      <c r="AK3355">
        <v>0</v>
      </c>
      <c r="AL3355">
        <v>0</v>
      </c>
      <c r="AM3355">
        <v>0</v>
      </c>
      <c r="AN3355">
        <v>0</v>
      </c>
      <c r="AO3355">
        <v>120</v>
      </c>
      <c r="AP3355">
        <v>-12</v>
      </c>
      <c r="AQ3355">
        <v>0</v>
      </c>
      <c r="AS3355">
        <v>0</v>
      </c>
      <c r="AT3355">
        <v>0</v>
      </c>
      <c r="AU3355">
        <v>120</v>
      </c>
      <c r="AV3355">
        <v>-12</v>
      </c>
      <c r="AW3355">
        <v>0</v>
      </c>
      <c r="AY3355">
        <v>0</v>
      </c>
      <c r="AZ3355">
        <v>0</v>
      </c>
      <c r="BA3355">
        <v>75.599999999999994</v>
      </c>
      <c r="BE3355" t="str">
        <f>T("9791137013100")</f>
        <v>9791137013100</v>
      </c>
      <c r="BF3355" t="str">
        <f>T("N214959")</f>
        <v>N214959</v>
      </c>
      <c r="BG3355" t="str">
        <f>T("판타지 웹소설 &gt; 현대 판타지")</f>
        <v>판타지 웹소설 &gt; 현대 판타지</v>
      </c>
    </row>
    <row r="3356" spans="1:59">
      <c r="A3356" t="s">
        <v>60</v>
      </c>
      <c r="B3356" s="1">
        <v>46131</v>
      </c>
      <c r="C3356">
        <v>2378042343</v>
      </c>
      <c r="D3356">
        <v>2378043271</v>
      </c>
      <c r="E3356" t="str">
        <f>T("미국 로또로 역대급 재벌! 140화")</f>
        <v>미국 로또로 역대급 재벌! 140화</v>
      </c>
      <c r="F3356">
        <v>140</v>
      </c>
      <c r="G3356" t="str">
        <f>T("강바기")</f>
        <v>강바기</v>
      </c>
      <c r="J3356" t="str">
        <f>T("매드햇")</f>
        <v>매드햇</v>
      </c>
      <c r="K3356" t="str">
        <f>T("미국 로또로 역대급 재벌!")</f>
        <v>미국 로또로 역대급 재벌!</v>
      </c>
      <c r="L3356">
        <v>100</v>
      </c>
      <c r="M3356">
        <v>100</v>
      </c>
      <c r="N3356">
        <v>1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0</v>
      </c>
      <c r="AH3356">
        <v>0</v>
      </c>
      <c r="AI3356">
        <v>100</v>
      </c>
      <c r="AJ3356">
        <v>1</v>
      </c>
      <c r="AK3356">
        <v>0</v>
      </c>
      <c r="AL3356">
        <v>0</v>
      </c>
      <c r="AM3356">
        <v>0</v>
      </c>
      <c r="AN3356">
        <v>0</v>
      </c>
      <c r="AO3356">
        <v>120</v>
      </c>
      <c r="AP3356">
        <v>-12</v>
      </c>
      <c r="AQ3356">
        <v>0</v>
      </c>
      <c r="AS3356">
        <v>0</v>
      </c>
      <c r="AT3356">
        <v>0</v>
      </c>
      <c r="AU3356">
        <v>120</v>
      </c>
      <c r="AV3356">
        <v>-12</v>
      </c>
      <c r="AW3356">
        <v>0</v>
      </c>
      <c r="AY3356">
        <v>0</v>
      </c>
      <c r="AZ3356">
        <v>0</v>
      </c>
      <c r="BA3356">
        <v>75.599999999999994</v>
      </c>
      <c r="BE3356" t="str">
        <f>T("9791137013100")</f>
        <v>9791137013100</v>
      </c>
      <c r="BF3356" t="str">
        <f>T("N214960")</f>
        <v>N214960</v>
      </c>
      <c r="BG3356" t="str">
        <f>T("판타지 웹소설 &gt; 현대 판타지")</f>
        <v>판타지 웹소설 &gt; 현대 판타지</v>
      </c>
    </row>
    <row r="3357" spans="1:59">
      <c r="A3357" t="s">
        <v>60</v>
      </c>
      <c r="B3357" s="1">
        <v>46131</v>
      </c>
      <c r="C3357">
        <v>2378042343</v>
      </c>
      <c r="D3357">
        <v>2378043292</v>
      </c>
      <c r="E3357" t="str">
        <f>T("미국 로또로 역대급 재벌! 141화")</f>
        <v>미국 로또로 역대급 재벌! 141화</v>
      </c>
      <c r="F3357">
        <v>141</v>
      </c>
      <c r="G3357" t="str">
        <f>T("강바기")</f>
        <v>강바기</v>
      </c>
      <c r="J3357" t="str">
        <f>T("매드햇")</f>
        <v>매드햇</v>
      </c>
      <c r="K3357" t="str">
        <f>T("미국 로또로 역대급 재벌!")</f>
        <v>미국 로또로 역대급 재벌!</v>
      </c>
      <c r="L3357">
        <v>100</v>
      </c>
      <c r="M3357">
        <v>100</v>
      </c>
      <c r="N3357">
        <v>1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0</v>
      </c>
      <c r="AH3357">
        <v>0</v>
      </c>
      <c r="AI3357">
        <v>100</v>
      </c>
      <c r="AJ3357">
        <v>1</v>
      </c>
      <c r="AK3357">
        <v>0</v>
      </c>
      <c r="AL3357">
        <v>0</v>
      </c>
      <c r="AM3357">
        <v>0</v>
      </c>
      <c r="AN3357">
        <v>0</v>
      </c>
      <c r="AO3357">
        <v>120</v>
      </c>
      <c r="AP3357">
        <v>-12</v>
      </c>
      <c r="AQ3357">
        <v>0</v>
      </c>
      <c r="AS3357">
        <v>0</v>
      </c>
      <c r="AT3357">
        <v>0</v>
      </c>
      <c r="AU3357">
        <v>120</v>
      </c>
      <c r="AV3357">
        <v>-12</v>
      </c>
      <c r="AW3357">
        <v>0</v>
      </c>
      <c r="AY3357">
        <v>0</v>
      </c>
      <c r="AZ3357">
        <v>0</v>
      </c>
      <c r="BA3357">
        <v>75.599999999999994</v>
      </c>
      <c r="BE3357" t="str">
        <f>T("9791137013100")</f>
        <v>9791137013100</v>
      </c>
      <c r="BF3357" t="str">
        <f>T("N214961")</f>
        <v>N214961</v>
      </c>
      <c r="BG3357" t="str">
        <f>T("판타지 웹소설 &gt; 현대 판타지")</f>
        <v>판타지 웹소설 &gt; 현대 판타지</v>
      </c>
    </row>
    <row r="3358" spans="1:59">
      <c r="A3358" t="s">
        <v>60</v>
      </c>
      <c r="B3358" s="1">
        <v>46131</v>
      </c>
      <c r="C3358">
        <v>2378042343</v>
      </c>
      <c r="D3358">
        <v>2378043301</v>
      </c>
      <c r="E3358" t="str">
        <f>T("미국 로또로 역대급 재벌! 142화")</f>
        <v>미국 로또로 역대급 재벌! 142화</v>
      </c>
      <c r="F3358">
        <v>142</v>
      </c>
      <c r="G3358" t="str">
        <f>T("강바기")</f>
        <v>강바기</v>
      </c>
      <c r="J3358" t="str">
        <f>T("매드햇")</f>
        <v>매드햇</v>
      </c>
      <c r="K3358" t="str">
        <f>T("미국 로또로 역대급 재벌!")</f>
        <v>미국 로또로 역대급 재벌!</v>
      </c>
      <c r="L3358">
        <v>100</v>
      </c>
      <c r="M3358">
        <v>100</v>
      </c>
      <c r="N3358">
        <v>1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0</v>
      </c>
      <c r="AH3358">
        <v>0</v>
      </c>
      <c r="AI3358">
        <v>100</v>
      </c>
      <c r="AJ3358">
        <v>1</v>
      </c>
      <c r="AK3358">
        <v>0</v>
      </c>
      <c r="AL3358">
        <v>0</v>
      </c>
      <c r="AM3358">
        <v>0</v>
      </c>
      <c r="AN3358">
        <v>0</v>
      </c>
      <c r="AO3358">
        <v>120</v>
      </c>
      <c r="AP3358">
        <v>-12</v>
      </c>
      <c r="AQ3358">
        <v>0</v>
      </c>
      <c r="AS3358">
        <v>0</v>
      </c>
      <c r="AT3358">
        <v>0</v>
      </c>
      <c r="AU3358">
        <v>120</v>
      </c>
      <c r="AV3358">
        <v>-12</v>
      </c>
      <c r="AW3358">
        <v>0</v>
      </c>
      <c r="AY3358">
        <v>0</v>
      </c>
      <c r="AZ3358">
        <v>0</v>
      </c>
      <c r="BA3358">
        <v>75.599999999999994</v>
      </c>
      <c r="BE3358" t="str">
        <f>T("9791137013100")</f>
        <v>9791137013100</v>
      </c>
      <c r="BF3358" t="str">
        <f>T("N214962")</f>
        <v>N214962</v>
      </c>
      <c r="BG3358" t="str">
        <f>T("판타지 웹소설 &gt; 현대 판타지")</f>
        <v>판타지 웹소설 &gt; 현대 판타지</v>
      </c>
    </row>
    <row r="3359" spans="1:59">
      <c r="A3359" t="s">
        <v>60</v>
      </c>
      <c r="B3359" s="1">
        <v>46131</v>
      </c>
      <c r="C3359">
        <v>2378042343</v>
      </c>
      <c r="D3359">
        <v>2378042435</v>
      </c>
      <c r="E3359" t="str">
        <f>T("미국 로또로 역대급 재벌! 93화")</f>
        <v>미국 로또로 역대급 재벌! 93화</v>
      </c>
      <c r="F3359">
        <v>93</v>
      </c>
      <c r="G3359" t="str">
        <f>T("강바기")</f>
        <v>강바기</v>
      </c>
      <c r="J3359" t="str">
        <f>T("매드햇")</f>
        <v>매드햇</v>
      </c>
      <c r="K3359" t="str">
        <f>T("미국 로또로 역대급 재벌!")</f>
        <v>미국 로또로 역대급 재벌!</v>
      </c>
      <c r="L3359">
        <v>100</v>
      </c>
      <c r="M3359">
        <v>100</v>
      </c>
      <c r="N3359">
        <v>1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0</v>
      </c>
      <c r="AH3359">
        <v>0</v>
      </c>
      <c r="AI3359">
        <v>100</v>
      </c>
      <c r="AJ3359">
        <v>1</v>
      </c>
      <c r="AK3359">
        <v>0</v>
      </c>
      <c r="AL3359">
        <v>0</v>
      </c>
      <c r="AM3359">
        <v>0</v>
      </c>
      <c r="AN3359">
        <v>0</v>
      </c>
      <c r="AO3359">
        <v>120</v>
      </c>
      <c r="AP3359">
        <v>-12</v>
      </c>
      <c r="AQ3359">
        <v>0</v>
      </c>
      <c r="AS3359">
        <v>0</v>
      </c>
      <c r="AT3359">
        <v>0</v>
      </c>
      <c r="AU3359">
        <v>120</v>
      </c>
      <c r="AV3359">
        <v>-12</v>
      </c>
      <c r="AW3359">
        <v>0</v>
      </c>
      <c r="AY3359">
        <v>0</v>
      </c>
      <c r="AZ3359">
        <v>0</v>
      </c>
      <c r="BA3359">
        <v>75.599999999999994</v>
      </c>
      <c r="BE3359" t="str">
        <f>T("9791137013100")</f>
        <v>9791137013100</v>
      </c>
      <c r="BF3359" t="str">
        <f>T("N187427")</f>
        <v>N187427</v>
      </c>
      <c r="BG3359" t="str">
        <f>T("판타지 웹소설 &gt; 현대 판타지")</f>
        <v>판타지 웹소설 &gt; 현대 판타지</v>
      </c>
    </row>
    <row r="3360" spans="1:59">
      <c r="A3360" t="s">
        <v>60</v>
      </c>
      <c r="B3360" s="1">
        <v>46131</v>
      </c>
      <c r="C3360">
        <v>2378042343</v>
      </c>
      <c r="D3360">
        <v>2378042436</v>
      </c>
      <c r="E3360" t="str">
        <f>T("미국 로또로 역대급 재벌! 94화")</f>
        <v>미국 로또로 역대급 재벌! 94화</v>
      </c>
      <c r="F3360">
        <v>94</v>
      </c>
      <c r="G3360" t="str">
        <f>T("강바기")</f>
        <v>강바기</v>
      </c>
      <c r="J3360" t="str">
        <f>T("매드햇")</f>
        <v>매드햇</v>
      </c>
      <c r="K3360" t="str">
        <f>T("미국 로또로 역대급 재벌!")</f>
        <v>미국 로또로 역대급 재벌!</v>
      </c>
      <c r="L3360">
        <v>100</v>
      </c>
      <c r="M3360">
        <v>100</v>
      </c>
      <c r="N3360">
        <v>1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0</v>
      </c>
      <c r="AH3360">
        <v>0</v>
      </c>
      <c r="AI3360">
        <v>100</v>
      </c>
      <c r="AJ3360">
        <v>1</v>
      </c>
      <c r="AK3360">
        <v>0</v>
      </c>
      <c r="AL3360">
        <v>0</v>
      </c>
      <c r="AM3360">
        <v>0</v>
      </c>
      <c r="AN3360">
        <v>0</v>
      </c>
      <c r="AO3360">
        <v>120</v>
      </c>
      <c r="AP3360">
        <v>-12</v>
      </c>
      <c r="AQ3360">
        <v>0</v>
      </c>
      <c r="AS3360">
        <v>0</v>
      </c>
      <c r="AT3360">
        <v>0</v>
      </c>
      <c r="AU3360">
        <v>120</v>
      </c>
      <c r="AV3360">
        <v>-12</v>
      </c>
      <c r="AW3360">
        <v>0</v>
      </c>
      <c r="AY3360">
        <v>0</v>
      </c>
      <c r="AZ3360">
        <v>0</v>
      </c>
      <c r="BA3360">
        <v>75.599999999999994</v>
      </c>
      <c r="BE3360" t="str">
        <f>T("9791137013100")</f>
        <v>9791137013100</v>
      </c>
      <c r="BF3360" t="str">
        <f>T("N187428")</f>
        <v>N187428</v>
      </c>
      <c r="BG3360" t="str">
        <f>T("판타지 웹소설 &gt; 현대 판타지")</f>
        <v>판타지 웹소설 &gt; 현대 판타지</v>
      </c>
    </row>
    <row r="3361" spans="1:59">
      <c r="A3361" t="s">
        <v>60</v>
      </c>
      <c r="B3361" s="1">
        <v>46131</v>
      </c>
      <c r="C3361">
        <v>2378042343</v>
      </c>
      <c r="D3361">
        <v>2378042437</v>
      </c>
      <c r="E3361" t="str">
        <f>T("미국 로또로 역대급 재벌! 95화")</f>
        <v>미국 로또로 역대급 재벌! 95화</v>
      </c>
      <c r="F3361">
        <v>95</v>
      </c>
      <c r="G3361" t="str">
        <f>T("강바기")</f>
        <v>강바기</v>
      </c>
      <c r="J3361" t="str">
        <f>T("매드햇")</f>
        <v>매드햇</v>
      </c>
      <c r="K3361" t="str">
        <f>T("미국 로또로 역대급 재벌!")</f>
        <v>미국 로또로 역대급 재벌!</v>
      </c>
      <c r="L3361">
        <v>100</v>
      </c>
      <c r="M3361">
        <v>100</v>
      </c>
      <c r="N3361">
        <v>1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0</v>
      </c>
      <c r="AH3361">
        <v>0</v>
      </c>
      <c r="AI3361">
        <v>100</v>
      </c>
      <c r="AJ3361">
        <v>1</v>
      </c>
      <c r="AK3361">
        <v>0</v>
      </c>
      <c r="AL3361">
        <v>0</v>
      </c>
      <c r="AM3361">
        <v>0</v>
      </c>
      <c r="AN3361">
        <v>0</v>
      </c>
      <c r="AO3361">
        <v>120</v>
      </c>
      <c r="AP3361">
        <v>-12</v>
      </c>
      <c r="AQ3361">
        <v>0</v>
      </c>
      <c r="AS3361">
        <v>0</v>
      </c>
      <c r="AT3361">
        <v>0</v>
      </c>
      <c r="AU3361">
        <v>120</v>
      </c>
      <c r="AV3361">
        <v>-12</v>
      </c>
      <c r="AW3361">
        <v>0</v>
      </c>
      <c r="AY3361">
        <v>0</v>
      </c>
      <c r="AZ3361">
        <v>0</v>
      </c>
      <c r="BA3361">
        <v>75.599999999999994</v>
      </c>
      <c r="BE3361" t="str">
        <f>T("9791137013100")</f>
        <v>9791137013100</v>
      </c>
      <c r="BF3361" t="str">
        <f>T("N187429")</f>
        <v>N187429</v>
      </c>
      <c r="BG3361" t="str">
        <f>T("판타지 웹소설 &gt; 현대 판타지")</f>
        <v>판타지 웹소설 &gt; 현대 판타지</v>
      </c>
    </row>
    <row r="3362" spans="1:59">
      <c r="A3362" t="s">
        <v>60</v>
      </c>
      <c r="B3362" s="1">
        <v>46131</v>
      </c>
      <c r="C3362">
        <v>2378042343</v>
      </c>
      <c r="D3362">
        <v>2378042438</v>
      </c>
      <c r="E3362" t="str">
        <f>T("미국 로또로 역대급 재벌! 96화")</f>
        <v>미국 로또로 역대급 재벌! 96화</v>
      </c>
      <c r="F3362">
        <v>96</v>
      </c>
      <c r="G3362" t="str">
        <f>T("강바기")</f>
        <v>강바기</v>
      </c>
      <c r="J3362" t="str">
        <f>T("매드햇")</f>
        <v>매드햇</v>
      </c>
      <c r="K3362" t="str">
        <f>T("미국 로또로 역대급 재벌!")</f>
        <v>미국 로또로 역대급 재벌!</v>
      </c>
      <c r="L3362">
        <v>100</v>
      </c>
      <c r="M3362">
        <v>100</v>
      </c>
      <c r="N3362">
        <v>1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0</v>
      </c>
      <c r="AH3362">
        <v>0</v>
      </c>
      <c r="AI3362">
        <v>100</v>
      </c>
      <c r="AJ3362">
        <v>1</v>
      </c>
      <c r="AK3362">
        <v>0</v>
      </c>
      <c r="AL3362">
        <v>0</v>
      </c>
      <c r="AM3362">
        <v>0</v>
      </c>
      <c r="AN3362">
        <v>0</v>
      </c>
      <c r="AO3362">
        <v>120</v>
      </c>
      <c r="AP3362">
        <v>-12</v>
      </c>
      <c r="AQ3362">
        <v>0</v>
      </c>
      <c r="AS3362">
        <v>0</v>
      </c>
      <c r="AT3362">
        <v>0</v>
      </c>
      <c r="AU3362">
        <v>120</v>
      </c>
      <c r="AV3362">
        <v>-12</v>
      </c>
      <c r="AW3362">
        <v>0</v>
      </c>
      <c r="AY3362">
        <v>0</v>
      </c>
      <c r="AZ3362">
        <v>0</v>
      </c>
      <c r="BA3362">
        <v>75.599999999999994</v>
      </c>
      <c r="BE3362" t="str">
        <f>T("9791137013100")</f>
        <v>9791137013100</v>
      </c>
      <c r="BF3362" t="str">
        <f>T("N187430")</f>
        <v>N187430</v>
      </c>
      <c r="BG3362" t="str">
        <f>T("판타지 웹소설 &gt; 현대 판타지")</f>
        <v>판타지 웹소설 &gt; 현대 판타지</v>
      </c>
    </row>
    <row r="3363" spans="1:59">
      <c r="A3363" t="s">
        <v>60</v>
      </c>
      <c r="B3363" s="1">
        <v>46131</v>
      </c>
      <c r="C3363">
        <v>2378042343</v>
      </c>
      <c r="D3363">
        <v>2378042439</v>
      </c>
      <c r="E3363" t="str">
        <f>T("미국 로또로 역대급 재벌! 97화")</f>
        <v>미국 로또로 역대급 재벌! 97화</v>
      </c>
      <c r="F3363">
        <v>97</v>
      </c>
      <c r="G3363" t="str">
        <f>T("강바기")</f>
        <v>강바기</v>
      </c>
      <c r="J3363" t="str">
        <f>T("매드햇")</f>
        <v>매드햇</v>
      </c>
      <c r="K3363" t="str">
        <f>T("미국 로또로 역대급 재벌!")</f>
        <v>미국 로또로 역대급 재벌!</v>
      </c>
      <c r="L3363">
        <v>100</v>
      </c>
      <c r="M3363">
        <v>100</v>
      </c>
      <c r="N3363">
        <v>1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0</v>
      </c>
      <c r="AH3363">
        <v>0</v>
      </c>
      <c r="AI3363">
        <v>100</v>
      </c>
      <c r="AJ3363">
        <v>1</v>
      </c>
      <c r="AK3363">
        <v>0</v>
      </c>
      <c r="AL3363">
        <v>0</v>
      </c>
      <c r="AM3363">
        <v>0</v>
      </c>
      <c r="AN3363">
        <v>0</v>
      </c>
      <c r="AO3363">
        <v>120</v>
      </c>
      <c r="AP3363">
        <v>-12</v>
      </c>
      <c r="AQ3363">
        <v>0</v>
      </c>
      <c r="AS3363">
        <v>0</v>
      </c>
      <c r="AT3363">
        <v>0</v>
      </c>
      <c r="AU3363">
        <v>120</v>
      </c>
      <c r="AV3363">
        <v>-12</v>
      </c>
      <c r="AW3363">
        <v>0</v>
      </c>
      <c r="AY3363">
        <v>0</v>
      </c>
      <c r="AZ3363">
        <v>0</v>
      </c>
      <c r="BA3363">
        <v>75.599999999999994</v>
      </c>
      <c r="BE3363" t="str">
        <f>T("9791137013100")</f>
        <v>9791137013100</v>
      </c>
      <c r="BF3363" t="str">
        <f>T("N187431")</f>
        <v>N187431</v>
      </c>
      <c r="BG3363" t="str">
        <f>T("판타지 웹소설 &gt; 현대 판타지")</f>
        <v>판타지 웹소설 &gt; 현대 판타지</v>
      </c>
    </row>
    <row r="3364" spans="1:59">
      <c r="A3364" t="s">
        <v>60</v>
      </c>
      <c r="B3364" s="1">
        <v>46131</v>
      </c>
      <c r="C3364">
        <v>2378042343</v>
      </c>
      <c r="D3364">
        <v>2378042440</v>
      </c>
      <c r="E3364" t="str">
        <f>T("미국 로또로 역대급 재벌! 98화")</f>
        <v>미국 로또로 역대급 재벌! 98화</v>
      </c>
      <c r="F3364">
        <v>98</v>
      </c>
      <c r="G3364" t="str">
        <f>T("강바기")</f>
        <v>강바기</v>
      </c>
      <c r="J3364" t="str">
        <f>T("매드햇")</f>
        <v>매드햇</v>
      </c>
      <c r="K3364" t="str">
        <f>T("미국 로또로 역대급 재벌!")</f>
        <v>미국 로또로 역대급 재벌!</v>
      </c>
      <c r="L3364">
        <v>100</v>
      </c>
      <c r="M3364">
        <v>100</v>
      </c>
      <c r="N3364">
        <v>1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0</v>
      </c>
      <c r="AH3364">
        <v>0</v>
      </c>
      <c r="AI3364">
        <v>100</v>
      </c>
      <c r="AJ3364">
        <v>1</v>
      </c>
      <c r="AK3364">
        <v>0</v>
      </c>
      <c r="AL3364">
        <v>0</v>
      </c>
      <c r="AM3364">
        <v>0</v>
      </c>
      <c r="AN3364">
        <v>0</v>
      </c>
      <c r="AO3364">
        <v>120</v>
      </c>
      <c r="AP3364">
        <v>-12</v>
      </c>
      <c r="AQ3364">
        <v>0</v>
      </c>
      <c r="AS3364">
        <v>0</v>
      </c>
      <c r="AT3364">
        <v>0</v>
      </c>
      <c r="AU3364">
        <v>120</v>
      </c>
      <c r="AV3364">
        <v>-12</v>
      </c>
      <c r="AW3364">
        <v>0</v>
      </c>
      <c r="AY3364">
        <v>0</v>
      </c>
      <c r="AZ3364">
        <v>0</v>
      </c>
      <c r="BA3364">
        <v>75.599999999999994</v>
      </c>
      <c r="BE3364" t="str">
        <f>T("9791137013100")</f>
        <v>9791137013100</v>
      </c>
      <c r="BF3364" t="str">
        <f>T("N187432")</f>
        <v>N187432</v>
      </c>
      <c r="BG3364" t="str">
        <f>T("판타지 웹소설 &gt; 현대 판타지")</f>
        <v>판타지 웹소설 &gt; 현대 판타지</v>
      </c>
    </row>
    <row r="3365" spans="1:59">
      <c r="A3365" t="s">
        <v>60</v>
      </c>
      <c r="B3365" s="1">
        <v>46131</v>
      </c>
      <c r="C3365">
        <v>2378042343</v>
      </c>
      <c r="D3365">
        <v>2378042441</v>
      </c>
      <c r="E3365" t="str">
        <f>T("미국 로또로 역대급 재벌! 99화")</f>
        <v>미국 로또로 역대급 재벌! 99화</v>
      </c>
      <c r="F3365">
        <v>99</v>
      </c>
      <c r="G3365" t="str">
        <f>T("강바기")</f>
        <v>강바기</v>
      </c>
      <c r="J3365" t="str">
        <f>T("매드햇")</f>
        <v>매드햇</v>
      </c>
      <c r="K3365" t="str">
        <f>T("미국 로또로 역대급 재벌!")</f>
        <v>미국 로또로 역대급 재벌!</v>
      </c>
      <c r="L3365">
        <v>100</v>
      </c>
      <c r="M3365">
        <v>100</v>
      </c>
      <c r="N3365">
        <v>1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0</v>
      </c>
      <c r="AH3365">
        <v>0</v>
      </c>
      <c r="AI3365">
        <v>100</v>
      </c>
      <c r="AJ3365">
        <v>1</v>
      </c>
      <c r="AK3365">
        <v>0</v>
      </c>
      <c r="AL3365">
        <v>0</v>
      </c>
      <c r="AM3365">
        <v>0</v>
      </c>
      <c r="AN3365">
        <v>0</v>
      </c>
      <c r="AO3365">
        <v>120</v>
      </c>
      <c r="AP3365">
        <v>-12</v>
      </c>
      <c r="AQ3365">
        <v>0</v>
      </c>
      <c r="AS3365">
        <v>0</v>
      </c>
      <c r="AT3365">
        <v>0</v>
      </c>
      <c r="AU3365">
        <v>120</v>
      </c>
      <c r="AV3365">
        <v>-12</v>
      </c>
      <c r="AW3365">
        <v>0</v>
      </c>
      <c r="AY3365">
        <v>0</v>
      </c>
      <c r="AZ3365">
        <v>0</v>
      </c>
      <c r="BA3365">
        <v>75.599999999999994</v>
      </c>
      <c r="BE3365" t="str">
        <f>T("9791137013100")</f>
        <v>9791137013100</v>
      </c>
      <c r="BF3365" t="str">
        <f>T("N187433")</f>
        <v>N187433</v>
      </c>
      <c r="BG3365" t="str">
        <f>T("판타지 웹소설 &gt; 현대 판타지")</f>
        <v>판타지 웹소설 &gt; 현대 판타지</v>
      </c>
    </row>
    <row r="3366" spans="1:59">
      <c r="A3366" t="s">
        <v>60</v>
      </c>
      <c r="B3366" s="1">
        <v>46131</v>
      </c>
      <c r="C3366">
        <v>2378042343</v>
      </c>
      <c r="D3366">
        <v>2378042442</v>
      </c>
      <c r="E3366" t="str">
        <f>T("미국 로또로 역대급 재벌! 100화")</f>
        <v>미국 로또로 역대급 재벌! 100화</v>
      </c>
      <c r="F3366">
        <v>100</v>
      </c>
      <c r="G3366" t="str">
        <f>T("강바기")</f>
        <v>강바기</v>
      </c>
      <c r="J3366" t="str">
        <f>T("매드햇")</f>
        <v>매드햇</v>
      </c>
      <c r="K3366" t="str">
        <f>T("미국 로또로 역대급 재벌!")</f>
        <v>미국 로또로 역대급 재벌!</v>
      </c>
      <c r="L3366">
        <v>100</v>
      </c>
      <c r="M3366">
        <v>100</v>
      </c>
      <c r="N3366">
        <v>1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0</v>
      </c>
      <c r="AH3366">
        <v>0</v>
      </c>
      <c r="AI3366">
        <v>100</v>
      </c>
      <c r="AJ3366">
        <v>1</v>
      </c>
      <c r="AK3366">
        <v>0</v>
      </c>
      <c r="AL3366">
        <v>0</v>
      </c>
      <c r="AM3366">
        <v>0</v>
      </c>
      <c r="AN3366">
        <v>0</v>
      </c>
      <c r="AO3366">
        <v>120</v>
      </c>
      <c r="AP3366">
        <v>-12</v>
      </c>
      <c r="AQ3366">
        <v>0</v>
      </c>
      <c r="AS3366">
        <v>0</v>
      </c>
      <c r="AT3366">
        <v>0</v>
      </c>
      <c r="AU3366">
        <v>120</v>
      </c>
      <c r="AV3366">
        <v>-12</v>
      </c>
      <c r="AW3366">
        <v>0</v>
      </c>
      <c r="AY3366">
        <v>0</v>
      </c>
      <c r="AZ3366">
        <v>0</v>
      </c>
      <c r="BA3366">
        <v>75.599999999999994</v>
      </c>
      <c r="BE3366" t="str">
        <f>T("9791137013100")</f>
        <v>9791137013100</v>
      </c>
      <c r="BF3366" t="str">
        <f>T("N187434")</f>
        <v>N187434</v>
      </c>
      <c r="BG3366" t="str">
        <f>T("판타지 웹소설 &gt; 현대 판타지")</f>
        <v>판타지 웹소설 &gt; 현대 판타지</v>
      </c>
    </row>
    <row r="3367" spans="1:59">
      <c r="A3367" t="s">
        <v>60</v>
      </c>
      <c r="B3367" s="1">
        <v>46131</v>
      </c>
      <c r="C3367">
        <v>2378042343</v>
      </c>
      <c r="D3367">
        <v>2378042443</v>
      </c>
      <c r="E3367" t="str">
        <f>T("미국 로또로 역대급 재벌! 101화")</f>
        <v>미국 로또로 역대급 재벌! 101화</v>
      </c>
      <c r="F3367">
        <v>101</v>
      </c>
      <c r="G3367" t="str">
        <f>T("강바기")</f>
        <v>강바기</v>
      </c>
      <c r="J3367" t="str">
        <f>T("매드햇")</f>
        <v>매드햇</v>
      </c>
      <c r="K3367" t="str">
        <f>T("미국 로또로 역대급 재벌!")</f>
        <v>미국 로또로 역대급 재벌!</v>
      </c>
      <c r="L3367">
        <v>100</v>
      </c>
      <c r="M3367">
        <v>100</v>
      </c>
      <c r="N3367">
        <v>1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0</v>
      </c>
      <c r="AH3367">
        <v>0</v>
      </c>
      <c r="AI3367">
        <v>100</v>
      </c>
      <c r="AJ3367">
        <v>1</v>
      </c>
      <c r="AK3367">
        <v>0</v>
      </c>
      <c r="AL3367">
        <v>0</v>
      </c>
      <c r="AM3367">
        <v>0</v>
      </c>
      <c r="AN3367">
        <v>0</v>
      </c>
      <c r="AO3367">
        <v>120</v>
      </c>
      <c r="AP3367">
        <v>-12</v>
      </c>
      <c r="AQ3367">
        <v>0</v>
      </c>
      <c r="AS3367">
        <v>0</v>
      </c>
      <c r="AT3367">
        <v>0</v>
      </c>
      <c r="AU3367">
        <v>120</v>
      </c>
      <c r="AV3367">
        <v>-12</v>
      </c>
      <c r="AW3367">
        <v>0</v>
      </c>
      <c r="AY3367">
        <v>0</v>
      </c>
      <c r="AZ3367">
        <v>0</v>
      </c>
      <c r="BA3367">
        <v>75.599999999999994</v>
      </c>
      <c r="BE3367" t="str">
        <f>T("9791137013100")</f>
        <v>9791137013100</v>
      </c>
      <c r="BF3367" t="str">
        <f>T("N187435")</f>
        <v>N187435</v>
      </c>
      <c r="BG3367" t="str">
        <f>T("판타지 웹소설 &gt; 현대 판타지")</f>
        <v>판타지 웹소설 &gt; 현대 판타지</v>
      </c>
    </row>
    <row r="3368" spans="1:59">
      <c r="A3368" t="s">
        <v>60</v>
      </c>
      <c r="B3368" s="1">
        <v>46131</v>
      </c>
      <c r="C3368">
        <v>2378042343</v>
      </c>
      <c r="D3368">
        <v>2378042444</v>
      </c>
      <c r="E3368" t="str">
        <f>T("미국 로또로 역대급 재벌! 102화")</f>
        <v>미국 로또로 역대급 재벌! 102화</v>
      </c>
      <c r="F3368">
        <v>102</v>
      </c>
      <c r="G3368" t="str">
        <f>T("강바기")</f>
        <v>강바기</v>
      </c>
      <c r="J3368" t="str">
        <f>T("매드햇")</f>
        <v>매드햇</v>
      </c>
      <c r="K3368" t="str">
        <f>T("미국 로또로 역대급 재벌!")</f>
        <v>미국 로또로 역대급 재벌!</v>
      </c>
      <c r="L3368">
        <v>100</v>
      </c>
      <c r="M3368">
        <v>100</v>
      </c>
      <c r="N3368">
        <v>1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0</v>
      </c>
      <c r="AH3368">
        <v>0</v>
      </c>
      <c r="AI3368">
        <v>100</v>
      </c>
      <c r="AJ3368">
        <v>1</v>
      </c>
      <c r="AK3368">
        <v>0</v>
      </c>
      <c r="AL3368">
        <v>0</v>
      </c>
      <c r="AM3368">
        <v>0</v>
      </c>
      <c r="AN3368">
        <v>0</v>
      </c>
      <c r="AO3368">
        <v>120</v>
      </c>
      <c r="AP3368">
        <v>-12</v>
      </c>
      <c r="AQ3368">
        <v>0</v>
      </c>
      <c r="AS3368">
        <v>0</v>
      </c>
      <c r="AT3368">
        <v>0</v>
      </c>
      <c r="AU3368">
        <v>120</v>
      </c>
      <c r="AV3368">
        <v>-12</v>
      </c>
      <c r="AW3368">
        <v>0</v>
      </c>
      <c r="AY3368">
        <v>0</v>
      </c>
      <c r="AZ3368">
        <v>0</v>
      </c>
      <c r="BA3368">
        <v>75.599999999999994</v>
      </c>
      <c r="BE3368" t="str">
        <f>T("9791137013100")</f>
        <v>9791137013100</v>
      </c>
      <c r="BF3368" t="str">
        <f>T("N187436")</f>
        <v>N187436</v>
      </c>
      <c r="BG3368" t="str">
        <f>T("판타지 웹소설 &gt; 현대 판타지")</f>
        <v>판타지 웹소설 &gt; 현대 판타지</v>
      </c>
    </row>
    <row r="3369" spans="1:59">
      <c r="A3369" t="s">
        <v>60</v>
      </c>
      <c r="B3369" s="1">
        <v>46131</v>
      </c>
      <c r="C3369">
        <v>2378042343</v>
      </c>
      <c r="D3369">
        <v>2378042445</v>
      </c>
      <c r="E3369" t="str">
        <f>T("미국 로또로 역대급 재벌! 103화")</f>
        <v>미국 로또로 역대급 재벌! 103화</v>
      </c>
      <c r="F3369">
        <v>103</v>
      </c>
      <c r="G3369" t="str">
        <f>T("강바기")</f>
        <v>강바기</v>
      </c>
      <c r="J3369" t="str">
        <f>T("매드햇")</f>
        <v>매드햇</v>
      </c>
      <c r="K3369" t="str">
        <f>T("미국 로또로 역대급 재벌!")</f>
        <v>미국 로또로 역대급 재벌!</v>
      </c>
      <c r="L3369">
        <v>100</v>
      </c>
      <c r="M3369">
        <v>100</v>
      </c>
      <c r="N3369">
        <v>1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0</v>
      </c>
      <c r="AH3369">
        <v>0</v>
      </c>
      <c r="AI3369">
        <v>100</v>
      </c>
      <c r="AJ3369">
        <v>1</v>
      </c>
      <c r="AK3369">
        <v>0</v>
      </c>
      <c r="AL3369">
        <v>0</v>
      </c>
      <c r="AM3369">
        <v>0</v>
      </c>
      <c r="AN3369">
        <v>0</v>
      </c>
      <c r="AO3369">
        <v>120</v>
      </c>
      <c r="AP3369">
        <v>-12</v>
      </c>
      <c r="AQ3369">
        <v>0</v>
      </c>
      <c r="AS3369">
        <v>0</v>
      </c>
      <c r="AT3369">
        <v>0</v>
      </c>
      <c r="AU3369">
        <v>120</v>
      </c>
      <c r="AV3369">
        <v>-12</v>
      </c>
      <c r="AW3369">
        <v>0</v>
      </c>
      <c r="AY3369">
        <v>0</v>
      </c>
      <c r="AZ3369">
        <v>0</v>
      </c>
      <c r="BA3369">
        <v>75.599999999999994</v>
      </c>
      <c r="BE3369" t="str">
        <f>T("9791137013100")</f>
        <v>9791137013100</v>
      </c>
      <c r="BF3369" t="str">
        <f>T("N187437")</f>
        <v>N187437</v>
      </c>
      <c r="BG3369" t="str">
        <f>T("판타지 웹소설 &gt; 현대 판타지")</f>
        <v>판타지 웹소설 &gt; 현대 판타지</v>
      </c>
    </row>
    <row r="3370" spans="1:59">
      <c r="A3370" t="s">
        <v>60</v>
      </c>
      <c r="B3370" s="1">
        <v>46131</v>
      </c>
      <c r="C3370">
        <v>2378042343</v>
      </c>
      <c r="D3370">
        <v>2378042446</v>
      </c>
      <c r="E3370" t="str">
        <f>T("미국 로또로 역대급 재벌! 104화")</f>
        <v>미국 로또로 역대급 재벌! 104화</v>
      </c>
      <c r="F3370">
        <v>104</v>
      </c>
      <c r="G3370" t="str">
        <f>T("강바기")</f>
        <v>강바기</v>
      </c>
      <c r="J3370" t="str">
        <f>T("매드햇")</f>
        <v>매드햇</v>
      </c>
      <c r="K3370" t="str">
        <f>T("미국 로또로 역대급 재벌!")</f>
        <v>미국 로또로 역대급 재벌!</v>
      </c>
      <c r="L3370">
        <v>100</v>
      </c>
      <c r="M3370">
        <v>100</v>
      </c>
      <c r="N3370">
        <v>1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0</v>
      </c>
      <c r="AH3370">
        <v>0</v>
      </c>
      <c r="AI3370">
        <v>100</v>
      </c>
      <c r="AJ3370">
        <v>1</v>
      </c>
      <c r="AK3370">
        <v>0</v>
      </c>
      <c r="AL3370">
        <v>0</v>
      </c>
      <c r="AM3370">
        <v>0</v>
      </c>
      <c r="AN3370">
        <v>0</v>
      </c>
      <c r="AO3370">
        <v>120</v>
      </c>
      <c r="AP3370">
        <v>-12</v>
      </c>
      <c r="AQ3370">
        <v>0</v>
      </c>
      <c r="AS3370">
        <v>0</v>
      </c>
      <c r="AT3370">
        <v>0</v>
      </c>
      <c r="AU3370">
        <v>120</v>
      </c>
      <c r="AV3370">
        <v>-12</v>
      </c>
      <c r="AW3370">
        <v>0</v>
      </c>
      <c r="AY3370">
        <v>0</v>
      </c>
      <c r="AZ3370">
        <v>0</v>
      </c>
      <c r="BA3370">
        <v>75.599999999999994</v>
      </c>
      <c r="BE3370" t="str">
        <f>T("9791137013100")</f>
        <v>9791137013100</v>
      </c>
      <c r="BF3370" t="str">
        <f>T("N187438")</f>
        <v>N187438</v>
      </c>
      <c r="BG3370" t="str">
        <f>T("판타지 웹소설 &gt; 현대 판타지")</f>
        <v>판타지 웹소설 &gt; 현대 판타지</v>
      </c>
    </row>
    <row r="3371" spans="1:59">
      <c r="A3371" t="s">
        <v>60</v>
      </c>
      <c r="B3371" s="1">
        <v>46131</v>
      </c>
      <c r="C3371">
        <v>2378042343</v>
      </c>
      <c r="D3371">
        <v>2378042447</v>
      </c>
      <c r="E3371" t="str">
        <f>T("미국 로또로 역대급 재벌! 105화")</f>
        <v>미국 로또로 역대급 재벌! 105화</v>
      </c>
      <c r="F3371">
        <v>105</v>
      </c>
      <c r="G3371" t="str">
        <f>T("강바기")</f>
        <v>강바기</v>
      </c>
      <c r="J3371" t="str">
        <f>T("매드햇")</f>
        <v>매드햇</v>
      </c>
      <c r="K3371" t="str">
        <f>T("미국 로또로 역대급 재벌!")</f>
        <v>미국 로또로 역대급 재벌!</v>
      </c>
      <c r="L3371">
        <v>100</v>
      </c>
      <c r="M3371">
        <v>100</v>
      </c>
      <c r="N3371">
        <v>1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0</v>
      </c>
      <c r="AH3371">
        <v>0</v>
      </c>
      <c r="AI3371">
        <v>100</v>
      </c>
      <c r="AJ3371">
        <v>1</v>
      </c>
      <c r="AK3371">
        <v>0</v>
      </c>
      <c r="AL3371">
        <v>0</v>
      </c>
      <c r="AM3371">
        <v>0</v>
      </c>
      <c r="AN3371">
        <v>0</v>
      </c>
      <c r="AO3371">
        <v>120</v>
      </c>
      <c r="AP3371">
        <v>-12</v>
      </c>
      <c r="AQ3371">
        <v>0</v>
      </c>
      <c r="AS3371">
        <v>0</v>
      </c>
      <c r="AT3371">
        <v>0</v>
      </c>
      <c r="AU3371">
        <v>120</v>
      </c>
      <c r="AV3371">
        <v>-12</v>
      </c>
      <c r="AW3371">
        <v>0</v>
      </c>
      <c r="AY3371">
        <v>0</v>
      </c>
      <c r="AZ3371">
        <v>0</v>
      </c>
      <c r="BA3371">
        <v>75.599999999999994</v>
      </c>
      <c r="BE3371" t="str">
        <f>T("9791137013100")</f>
        <v>9791137013100</v>
      </c>
      <c r="BF3371" t="str">
        <f>T("N187439")</f>
        <v>N187439</v>
      </c>
      <c r="BG3371" t="str">
        <f>T("판타지 웹소설 &gt; 현대 판타지")</f>
        <v>판타지 웹소설 &gt; 현대 판타지</v>
      </c>
    </row>
    <row r="3372" spans="1:59">
      <c r="A3372" t="s">
        <v>60</v>
      </c>
      <c r="B3372" s="1">
        <v>46131</v>
      </c>
      <c r="C3372">
        <v>2378042343</v>
      </c>
      <c r="D3372">
        <v>2378042448</v>
      </c>
      <c r="E3372" t="str">
        <f>T("미국 로또로 역대급 재벌! 106화")</f>
        <v>미국 로또로 역대급 재벌! 106화</v>
      </c>
      <c r="F3372">
        <v>106</v>
      </c>
      <c r="G3372" t="str">
        <f>T("강바기")</f>
        <v>강바기</v>
      </c>
      <c r="J3372" t="str">
        <f>T("매드햇")</f>
        <v>매드햇</v>
      </c>
      <c r="K3372" t="str">
        <f>T("미국 로또로 역대급 재벌!")</f>
        <v>미국 로또로 역대급 재벌!</v>
      </c>
      <c r="L3372">
        <v>100</v>
      </c>
      <c r="M3372">
        <v>100</v>
      </c>
      <c r="N3372">
        <v>1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0</v>
      </c>
      <c r="AH3372">
        <v>0</v>
      </c>
      <c r="AI3372">
        <v>100</v>
      </c>
      <c r="AJ3372">
        <v>1</v>
      </c>
      <c r="AK3372">
        <v>0</v>
      </c>
      <c r="AL3372">
        <v>0</v>
      </c>
      <c r="AM3372">
        <v>0</v>
      </c>
      <c r="AN3372">
        <v>0</v>
      </c>
      <c r="AO3372">
        <v>120</v>
      </c>
      <c r="AP3372">
        <v>-12</v>
      </c>
      <c r="AQ3372">
        <v>0</v>
      </c>
      <c r="AS3372">
        <v>0</v>
      </c>
      <c r="AT3372">
        <v>0</v>
      </c>
      <c r="AU3372">
        <v>120</v>
      </c>
      <c r="AV3372">
        <v>-12</v>
      </c>
      <c r="AW3372">
        <v>0</v>
      </c>
      <c r="AY3372">
        <v>0</v>
      </c>
      <c r="AZ3372">
        <v>0</v>
      </c>
      <c r="BA3372">
        <v>75.599999999999994</v>
      </c>
      <c r="BE3372" t="str">
        <f>T("9791137013100")</f>
        <v>9791137013100</v>
      </c>
      <c r="BF3372" t="str">
        <f>T("N187440")</f>
        <v>N187440</v>
      </c>
      <c r="BG3372" t="str">
        <f>T("판타지 웹소설 &gt; 현대 판타지")</f>
        <v>판타지 웹소설 &gt; 현대 판타지</v>
      </c>
    </row>
    <row r="3373" spans="1:59">
      <c r="A3373" t="s">
        <v>60</v>
      </c>
      <c r="B3373" s="1">
        <v>46131</v>
      </c>
      <c r="C3373">
        <v>2378042343</v>
      </c>
      <c r="D3373">
        <v>2378042449</v>
      </c>
      <c r="E3373" t="str">
        <f>T("미국 로또로 역대급 재벌! 107화")</f>
        <v>미국 로또로 역대급 재벌! 107화</v>
      </c>
      <c r="F3373">
        <v>107</v>
      </c>
      <c r="G3373" t="str">
        <f>T("강바기")</f>
        <v>강바기</v>
      </c>
      <c r="J3373" t="str">
        <f>T("매드햇")</f>
        <v>매드햇</v>
      </c>
      <c r="K3373" t="str">
        <f>T("미국 로또로 역대급 재벌!")</f>
        <v>미국 로또로 역대급 재벌!</v>
      </c>
      <c r="L3373">
        <v>100</v>
      </c>
      <c r="M3373">
        <v>100</v>
      </c>
      <c r="N3373">
        <v>1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0</v>
      </c>
      <c r="AH3373">
        <v>0</v>
      </c>
      <c r="AI3373">
        <v>100</v>
      </c>
      <c r="AJ3373">
        <v>1</v>
      </c>
      <c r="AK3373">
        <v>0</v>
      </c>
      <c r="AL3373">
        <v>0</v>
      </c>
      <c r="AM3373">
        <v>0</v>
      </c>
      <c r="AN3373">
        <v>0</v>
      </c>
      <c r="AO3373">
        <v>120</v>
      </c>
      <c r="AP3373">
        <v>-12</v>
      </c>
      <c r="AQ3373">
        <v>0</v>
      </c>
      <c r="AS3373">
        <v>0</v>
      </c>
      <c r="AT3373">
        <v>0</v>
      </c>
      <c r="AU3373">
        <v>120</v>
      </c>
      <c r="AV3373">
        <v>-12</v>
      </c>
      <c r="AW3373">
        <v>0</v>
      </c>
      <c r="AY3373">
        <v>0</v>
      </c>
      <c r="AZ3373">
        <v>0</v>
      </c>
      <c r="BA3373">
        <v>75.599999999999994</v>
      </c>
      <c r="BE3373" t="str">
        <f>T("9791137013100")</f>
        <v>9791137013100</v>
      </c>
      <c r="BF3373" t="str">
        <f>T("N187441")</f>
        <v>N187441</v>
      </c>
      <c r="BG3373" t="str">
        <f>T("판타지 웹소설 &gt; 현대 판타지")</f>
        <v>판타지 웹소설 &gt; 현대 판타지</v>
      </c>
    </row>
    <row r="3374" spans="1:59">
      <c r="A3374" t="s">
        <v>60</v>
      </c>
      <c r="B3374" s="1">
        <v>46131</v>
      </c>
      <c r="C3374">
        <v>2378042343</v>
      </c>
      <c r="D3374">
        <v>2378042450</v>
      </c>
      <c r="E3374" t="str">
        <f>T("미국 로또로 역대급 재벌! 108화")</f>
        <v>미국 로또로 역대급 재벌! 108화</v>
      </c>
      <c r="F3374">
        <v>108</v>
      </c>
      <c r="G3374" t="str">
        <f>T("강바기")</f>
        <v>강바기</v>
      </c>
      <c r="J3374" t="str">
        <f>T("매드햇")</f>
        <v>매드햇</v>
      </c>
      <c r="K3374" t="str">
        <f>T("미국 로또로 역대급 재벌!")</f>
        <v>미국 로또로 역대급 재벌!</v>
      </c>
      <c r="L3374">
        <v>100</v>
      </c>
      <c r="M3374">
        <v>100</v>
      </c>
      <c r="N3374">
        <v>1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0</v>
      </c>
      <c r="AH3374">
        <v>0</v>
      </c>
      <c r="AI3374">
        <v>100</v>
      </c>
      <c r="AJ3374">
        <v>1</v>
      </c>
      <c r="AK3374">
        <v>0</v>
      </c>
      <c r="AL3374">
        <v>0</v>
      </c>
      <c r="AM3374">
        <v>0</v>
      </c>
      <c r="AN3374">
        <v>0</v>
      </c>
      <c r="AO3374">
        <v>120</v>
      </c>
      <c r="AP3374">
        <v>-12</v>
      </c>
      <c r="AQ3374">
        <v>0</v>
      </c>
      <c r="AS3374">
        <v>0</v>
      </c>
      <c r="AT3374">
        <v>0</v>
      </c>
      <c r="AU3374">
        <v>120</v>
      </c>
      <c r="AV3374">
        <v>-12</v>
      </c>
      <c r="AW3374">
        <v>0</v>
      </c>
      <c r="AY3374">
        <v>0</v>
      </c>
      <c r="AZ3374">
        <v>0</v>
      </c>
      <c r="BA3374">
        <v>75.599999999999994</v>
      </c>
      <c r="BE3374" t="str">
        <f>T("9791137013100")</f>
        <v>9791137013100</v>
      </c>
      <c r="BF3374" t="str">
        <f>T("N187442")</f>
        <v>N187442</v>
      </c>
      <c r="BG3374" t="str">
        <f>T("판타지 웹소설 &gt; 현대 판타지")</f>
        <v>판타지 웹소설 &gt; 현대 판타지</v>
      </c>
    </row>
    <row r="3375" spans="1:59">
      <c r="A3375" t="s">
        <v>60</v>
      </c>
      <c r="B3375" s="1">
        <v>46131</v>
      </c>
      <c r="C3375">
        <v>2378042343</v>
      </c>
      <c r="D3375">
        <v>2378042451</v>
      </c>
      <c r="E3375" t="str">
        <f>T("미국 로또로 역대급 재벌! 109화")</f>
        <v>미국 로또로 역대급 재벌! 109화</v>
      </c>
      <c r="F3375">
        <v>109</v>
      </c>
      <c r="G3375" t="str">
        <f>T("강바기")</f>
        <v>강바기</v>
      </c>
      <c r="J3375" t="str">
        <f>T("매드햇")</f>
        <v>매드햇</v>
      </c>
      <c r="K3375" t="str">
        <f>T("미국 로또로 역대급 재벌!")</f>
        <v>미국 로또로 역대급 재벌!</v>
      </c>
      <c r="L3375">
        <v>100</v>
      </c>
      <c r="M3375">
        <v>100</v>
      </c>
      <c r="N3375">
        <v>1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0</v>
      </c>
      <c r="AH3375">
        <v>0</v>
      </c>
      <c r="AI3375">
        <v>100</v>
      </c>
      <c r="AJ3375">
        <v>1</v>
      </c>
      <c r="AK3375">
        <v>0</v>
      </c>
      <c r="AL3375">
        <v>0</v>
      </c>
      <c r="AM3375">
        <v>0</v>
      </c>
      <c r="AN3375">
        <v>0</v>
      </c>
      <c r="AO3375">
        <v>120</v>
      </c>
      <c r="AP3375">
        <v>-12</v>
      </c>
      <c r="AQ3375">
        <v>0</v>
      </c>
      <c r="AS3375">
        <v>0</v>
      </c>
      <c r="AT3375">
        <v>0</v>
      </c>
      <c r="AU3375">
        <v>120</v>
      </c>
      <c r="AV3375">
        <v>-12</v>
      </c>
      <c r="AW3375">
        <v>0</v>
      </c>
      <c r="AY3375">
        <v>0</v>
      </c>
      <c r="AZ3375">
        <v>0</v>
      </c>
      <c r="BA3375">
        <v>75.599999999999994</v>
      </c>
      <c r="BE3375" t="str">
        <f>T("9791137013100")</f>
        <v>9791137013100</v>
      </c>
      <c r="BF3375" t="str">
        <f>T("N187443")</f>
        <v>N187443</v>
      </c>
      <c r="BG3375" t="str">
        <f>T("판타지 웹소설 &gt; 현대 판타지")</f>
        <v>판타지 웹소설 &gt; 현대 판타지</v>
      </c>
    </row>
    <row r="3376" spans="1:59">
      <c r="A3376" t="s">
        <v>60</v>
      </c>
      <c r="B3376" s="1">
        <v>46131</v>
      </c>
      <c r="C3376">
        <v>2378042343</v>
      </c>
      <c r="D3376">
        <v>2378042452</v>
      </c>
      <c r="E3376" t="str">
        <f>T("미국 로또로 역대급 재벌! 110화")</f>
        <v>미국 로또로 역대급 재벌! 110화</v>
      </c>
      <c r="F3376">
        <v>110</v>
      </c>
      <c r="G3376" t="str">
        <f>T("강바기")</f>
        <v>강바기</v>
      </c>
      <c r="J3376" t="str">
        <f>T("매드햇")</f>
        <v>매드햇</v>
      </c>
      <c r="K3376" t="str">
        <f>T("미국 로또로 역대급 재벌!")</f>
        <v>미국 로또로 역대급 재벌!</v>
      </c>
      <c r="L3376">
        <v>100</v>
      </c>
      <c r="M3376">
        <v>100</v>
      </c>
      <c r="N3376">
        <v>1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0</v>
      </c>
      <c r="AF3376">
        <v>0</v>
      </c>
      <c r="AG3376">
        <v>0</v>
      </c>
      <c r="AH3376">
        <v>0</v>
      </c>
      <c r="AI3376">
        <v>100</v>
      </c>
      <c r="AJ3376">
        <v>1</v>
      </c>
      <c r="AK3376">
        <v>0</v>
      </c>
      <c r="AL3376">
        <v>0</v>
      </c>
      <c r="AM3376">
        <v>0</v>
      </c>
      <c r="AN3376">
        <v>0</v>
      </c>
      <c r="AO3376">
        <v>120</v>
      </c>
      <c r="AP3376">
        <v>-12</v>
      </c>
      <c r="AQ3376">
        <v>0</v>
      </c>
      <c r="AS3376">
        <v>0</v>
      </c>
      <c r="AT3376">
        <v>0</v>
      </c>
      <c r="AU3376">
        <v>120</v>
      </c>
      <c r="AV3376">
        <v>-12</v>
      </c>
      <c r="AW3376">
        <v>0</v>
      </c>
      <c r="AY3376">
        <v>0</v>
      </c>
      <c r="AZ3376">
        <v>0</v>
      </c>
      <c r="BA3376">
        <v>75.599999999999994</v>
      </c>
      <c r="BE3376" t="str">
        <f>T("9791137013100")</f>
        <v>9791137013100</v>
      </c>
      <c r="BF3376" t="str">
        <f>T("N187444")</f>
        <v>N187444</v>
      </c>
      <c r="BG3376" t="str">
        <f>T("판타지 웹소설 &gt; 현대 판타지")</f>
        <v>판타지 웹소설 &gt; 현대 판타지</v>
      </c>
    </row>
    <row r="3377" spans="1:59">
      <c r="A3377" t="s">
        <v>60</v>
      </c>
      <c r="B3377" s="1">
        <v>46131</v>
      </c>
      <c r="C3377">
        <v>2378042343</v>
      </c>
      <c r="D3377">
        <v>2378042453</v>
      </c>
      <c r="E3377" t="str">
        <f>T("미국 로또로 역대급 재벌! 111화")</f>
        <v>미국 로또로 역대급 재벌! 111화</v>
      </c>
      <c r="F3377">
        <v>111</v>
      </c>
      <c r="G3377" t="str">
        <f>T("강바기")</f>
        <v>강바기</v>
      </c>
      <c r="J3377" t="str">
        <f>T("매드햇")</f>
        <v>매드햇</v>
      </c>
      <c r="K3377" t="str">
        <f>T("미국 로또로 역대급 재벌!")</f>
        <v>미국 로또로 역대급 재벌!</v>
      </c>
      <c r="L3377">
        <v>100</v>
      </c>
      <c r="M3377">
        <v>100</v>
      </c>
      <c r="N3377">
        <v>1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0</v>
      </c>
      <c r="AH3377">
        <v>0</v>
      </c>
      <c r="AI3377">
        <v>100</v>
      </c>
      <c r="AJ3377">
        <v>1</v>
      </c>
      <c r="AK3377">
        <v>0</v>
      </c>
      <c r="AL3377">
        <v>0</v>
      </c>
      <c r="AM3377">
        <v>0</v>
      </c>
      <c r="AN3377">
        <v>0</v>
      </c>
      <c r="AO3377">
        <v>120</v>
      </c>
      <c r="AP3377">
        <v>-12</v>
      </c>
      <c r="AQ3377">
        <v>0</v>
      </c>
      <c r="AS3377">
        <v>0</v>
      </c>
      <c r="AT3377">
        <v>0</v>
      </c>
      <c r="AU3377">
        <v>120</v>
      </c>
      <c r="AV3377">
        <v>-12</v>
      </c>
      <c r="AW3377">
        <v>0</v>
      </c>
      <c r="AY3377">
        <v>0</v>
      </c>
      <c r="AZ3377">
        <v>0</v>
      </c>
      <c r="BA3377">
        <v>75.599999999999994</v>
      </c>
      <c r="BE3377" t="str">
        <f>T("9791137013100")</f>
        <v>9791137013100</v>
      </c>
      <c r="BF3377" t="str">
        <f>T("N192539")</f>
        <v>N192539</v>
      </c>
      <c r="BG3377" t="str">
        <f>T("판타지 웹소설 &gt; 현대 판타지")</f>
        <v>판타지 웹소설 &gt; 현대 판타지</v>
      </c>
    </row>
    <row r="3378" spans="1:59">
      <c r="A3378" t="s">
        <v>60</v>
      </c>
      <c r="B3378" s="1">
        <v>46131</v>
      </c>
      <c r="C3378">
        <v>2378042343</v>
      </c>
      <c r="D3378">
        <v>2378042484</v>
      </c>
      <c r="E3378" t="str">
        <f>T("미국 로또로 역대급 재벌! 112화")</f>
        <v>미국 로또로 역대급 재벌! 112화</v>
      </c>
      <c r="F3378">
        <v>112</v>
      </c>
      <c r="G3378" t="str">
        <f>T("강바기")</f>
        <v>강바기</v>
      </c>
      <c r="J3378" t="str">
        <f>T("매드햇")</f>
        <v>매드햇</v>
      </c>
      <c r="K3378" t="str">
        <f>T("미국 로또로 역대급 재벌!")</f>
        <v>미국 로또로 역대급 재벌!</v>
      </c>
      <c r="L3378">
        <v>100</v>
      </c>
      <c r="M3378">
        <v>100</v>
      </c>
      <c r="N3378">
        <v>1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0</v>
      </c>
      <c r="AF3378">
        <v>0</v>
      </c>
      <c r="AG3378">
        <v>0</v>
      </c>
      <c r="AH3378">
        <v>0</v>
      </c>
      <c r="AI3378">
        <v>100</v>
      </c>
      <c r="AJ3378">
        <v>1</v>
      </c>
      <c r="AK3378">
        <v>0</v>
      </c>
      <c r="AL3378">
        <v>0</v>
      </c>
      <c r="AM3378">
        <v>0</v>
      </c>
      <c r="AN3378">
        <v>0</v>
      </c>
      <c r="AO3378">
        <v>120</v>
      </c>
      <c r="AP3378">
        <v>-12</v>
      </c>
      <c r="AQ3378">
        <v>0</v>
      </c>
      <c r="AS3378">
        <v>0</v>
      </c>
      <c r="AT3378">
        <v>0</v>
      </c>
      <c r="AU3378">
        <v>120</v>
      </c>
      <c r="AV3378">
        <v>-12</v>
      </c>
      <c r="AW3378">
        <v>0</v>
      </c>
      <c r="AY3378">
        <v>0</v>
      </c>
      <c r="AZ3378">
        <v>0</v>
      </c>
      <c r="BA3378">
        <v>75.599999999999994</v>
      </c>
      <c r="BE3378" t="str">
        <f>T("9791137013100")</f>
        <v>9791137013100</v>
      </c>
      <c r="BF3378" t="str">
        <f>T("N195846")</f>
        <v>N195846</v>
      </c>
      <c r="BG3378" t="str">
        <f>T("판타지 웹소설 &gt; 현대 판타지")</f>
        <v>판타지 웹소설 &gt; 현대 판타지</v>
      </c>
    </row>
    <row r="3379" spans="1:59">
      <c r="A3379" t="s">
        <v>60</v>
      </c>
      <c r="B3379" s="1">
        <v>46131</v>
      </c>
      <c r="C3379">
        <v>2378042343</v>
      </c>
      <c r="D3379">
        <v>2378042541</v>
      </c>
      <c r="E3379" t="str">
        <f>T("미국 로또로 역대급 재벌! 113화")</f>
        <v>미국 로또로 역대급 재벌! 113화</v>
      </c>
      <c r="F3379">
        <v>113</v>
      </c>
      <c r="G3379" t="str">
        <f>T("강바기")</f>
        <v>강바기</v>
      </c>
      <c r="J3379" t="str">
        <f>T("매드햇")</f>
        <v>매드햇</v>
      </c>
      <c r="K3379" t="str">
        <f>T("미국 로또로 역대급 재벌!")</f>
        <v>미국 로또로 역대급 재벌!</v>
      </c>
      <c r="L3379">
        <v>100</v>
      </c>
      <c r="M3379">
        <v>100</v>
      </c>
      <c r="N3379">
        <v>1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0</v>
      </c>
      <c r="AH3379">
        <v>0</v>
      </c>
      <c r="AI3379">
        <v>100</v>
      </c>
      <c r="AJ3379">
        <v>1</v>
      </c>
      <c r="AK3379">
        <v>0</v>
      </c>
      <c r="AL3379">
        <v>0</v>
      </c>
      <c r="AM3379">
        <v>0</v>
      </c>
      <c r="AN3379">
        <v>0</v>
      </c>
      <c r="AO3379">
        <v>120</v>
      </c>
      <c r="AP3379">
        <v>-12</v>
      </c>
      <c r="AQ3379">
        <v>0</v>
      </c>
      <c r="AS3379">
        <v>0</v>
      </c>
      <c r="AT3379">
        <v>0</v>
      </c>
      <c r="AU3379">
        <v>120</v>
      </c>
      <c r="AV3379">
        <v>-12</v>
      </c>
      <c r="AW3379">
        <v>0</v>
      </c>
      <c r="AY3379">
        <v>0</v>
      </c>
      <c r="AZ3379">
        <v>0</v>
      </c>
      <c r="BA3379">
        <v>75.599999999999994</v>
      </c>
      <c r="BE3379" t="str">
        <f>T("9791137013100")</f>
        <v>9791137013100</v>
      </c>
      <c r="BF3379" t="str">
        <f>T("N195847")</f>
        <v>N195847</v>
      </c>
      <c r="BG3379" t="str">
        <f>T("판타지 웹소설 &gt; 현대 판타지")</f>
        <v>판타지 웹소설 &gt; 현대 판타지</v>
      </c>
    </row>
    <row r="3380" spans="1:59">
      <c r="A3380" t="s">
        <v>60</v>
      </c>
      <c r="B3380" s="1">
        <v>46131</v>
      </c>
      <c r="C3380">
        <v>2378042343</v>
      </c>
      <c r="D3380">
        <v>2378042566</v>
      </c>
      <c r="E3380" t="str">
        <f>T("미국 로또로 역대급 재벌! 114화")</f>
        <v>미국 로또로 역대급 재벌! 114화</v>
      </c>
      <c r="F3380">
        <v>114</v>
      </c>
      <c r="G3380" t="str">
        <f>T("강바기")</f>
        <v>강바기</v>
      </c>
      <c r="J3380" t="str">
        <f>T("매드햇")</f>
        <v>매드햇</v>
      </c>
      <c r="K3380" t="str">
        <f>T("미국 로또로 역대급 재벌!")</f>
        <v>미국 로또로 역대급 재벌!</v>
      </c>
      <c r="L3380">
        <v>100</v>
      </c>
      <c r="M3380">
        <v>100</v>
      </c>
      <c r="N3380">
        <v>1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0</v>
      </c>
      <c r="AH3380">
        <v>0</v>
      </c>
      <c r="AI3380">
        <v>100</v>
      </c>
      <c r="AJ3380">
        <v>1</v>
      </c>
      <c r="AK3380">
        <v>0</v>
      </c>
      <c r="AL3380">
        <v>0</v>
      </c>
      <c r="AM3380">
        <v>0</v>
      </c>
      <c r="AN3380">
        <v>0</v>
      </c>
      <c r="AO3380">
        <v>120</v>
      </c>
      <c r="AP3380">
        <v>-12</v>
      </c>
      <c r="AQ3380">
        <v>0</v>
      </c>
      <c r="AS3380">
        <v>0</v>
      </c>
      <c r="AT3380">
        <v>0</v>
      </c>
      <c r="AU3380">
        <v>120</v>
      </c>
      <c r="AV3380">
        <v>-12</v>
      </c>
      <c r="AW3380">
        <v>0</v>
      </c>
      <c r="AY3380">
        <v>0</v>
      </c>
      <c r="AZ3380">
        <v>0</v>
      </c>
      <c r="BA3380">
        <v>75.599999999999994</v>
      </c>
      <c r="BE3380" t="str">
        <f>T("9791137013100")</f>
        <v>9791137013100</v>
      </c>
      <c r="BF3380" t="str">
        <f>T("N195848")</f>
        <v>N195848</v>
      </c>
      <c r="BG3380" t="str">
        <f>T("판타지 웹소설 &gt; 현대 판타지")</f>
        <v>판타지 웹소설 &gt; 현대 판타지</v>
      </c>
    </row>
    <row r="3381" spans="1:59">
      <c r="A3381" t="s">
        <v>60</v>
      </c>
      <c r="B3381" s="1">
        <v>46131</v>
      </c>
      <c r="C3381">
        <v>2378042343</v>
      </c>
      <c r="D3381">
        <v>2378042578</v>
      </c>
      <c r="E3381" t="str">
        <f>T("미국 로또로 역대급 재벌! 115화")</f>
        <v>미국 로또로 역대급 재벌! 115화</v>
      </c>
      <c r="F3381">
        <v>115</v>
      </c>
      <c r="G3381" t="str">
        <f>T("강바기")</f>
        <v>강바기</v>
      </c>
      <c r="J3381" t="str">
        <f>T("매드햇")</f>
        <v>매드햇</v>
      </c>
      <c r="K3381" t="str">
        <f>T("미국 로또로 역대급 재벌!")</f>
        <v>미국 로또로 역대급 재벌!</v>
      </c>
      <c r="L3381">
        <v>100</v>
      </c>
      <c r="M3381">
        <v>100</v>
      </c>
      <c r="N3381">
        <v>1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0</v>
      </c>
      <c r="AF3381">
        <v>0</v>
      </c>
      <c r="AG3381">
        <v>0</v>
      </c>
      <c r="AH3381">
        <v>0</v>
      </c>
      <c r="AI3381">
        <v>100</v>
      </c>
      <c r="AJ3381">
        <v>1</v>
      </c>
      <c r="AK3381">
        <v>0</v>
      </c>
      <c r="AL3381">
        <v>0</v>
      </c>
      <c r="AM3381">
        <v>0</v>
      </c>
      <c r="AN3381">
        <v>0</v>
      </c>
      <c r="AO3381">
        <v>120</v>
      </c>
      <c r="AP3381">
        <v>-12</v>
      </c>
      <c r="AQ3381">
        <v>0</v>
      </c>
      <c r="AS3381">
        <v>0</v>
      </c>
      <c r="AT3381">
        <v>0</v>
      </c>
      <c r="AU3381">
        <v>120</v>
      </c>
      <c r="AV3381">
        <v>-12</v>
      </c>
      <c r="AW3381">
        <v>0</v>
      </c>
      <c r="AY3381">
        <v>0</v>
      </c>
      <c r="AZ3381">
        <v>0</v>
      </c>
      <c r="BA3381">
        <v>75.599999999999994</v>
      </c>
      <c r="BE3381" t="str">
        <f>T("9791137013100")</f>
        <v>9791137013100</v>
      </c>
      <c r="BF3381" t="str">
        <f>T("N195849")</f>
        <v>N195849</v>
      </c>
      <c r="BG3381" t="str">
        <f>T("판타지 웹소설 &gt; 현대 판타지")</f>
        <v>판타지 웹소설 &gt; 현대 판타지</v>
      </c>
    </row>
    <row r="3382" spans="1:59">
      <c r="A3382" t="s">
        <v>60</v>
      </c>
      <c r="B3382" s="1">
        <v>46131</v>
      </c>
      <c r="C3382">
        <v>2378042343</v>
      </c>
      <c r="D3382">
        <v>2378042591</v>
      </c>
      <c r="E3382" t="str">
        <f>T("미국 로또로 역대급 재벌! 116화")</f>
        <v>미국 로또로 역대급 재벌! 116화</v>
      </c>
      <c r="F3382">
        <v>116</v>
      </c>
      <c r="G3382" t="str">
        <f>T("강바기")</f>
        <v>강바기</v>
      </c>
      <c r="J3382" t="str">
        <f>T("매드햇")</f>
        <v>매드햇</v>
      </c>
      <c r="K3382" t="str">
        <f>T("미국 로또로 역대급 재벌!")</f>
        <v>미국 로또로 역대급 재벌!</v>
      </c>
      <c r="L3382">
        <v>100</v>
      </c>
      <c r="M3382">
        <v>100</v>
      </c>
      <c r="N3382">
        <v>1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0</v>
      </c>
      <c r="AH3382">
        <v>0</v>
      </c>
      <c r="AI3382">
        <v>100</v>
      </c>
      <c r="AJ3382">
        <v>1</v>
      </c>
      <c r="AK3382">
        <v>0</v>
      </c>
      <c r="AL3382">
        <v>0</v>
      </c>
      <c r="AM3382">
        <v>0</v>
      </c>
      <c r="AN3382">
        <v>0</v>
      </c>
      <c r="AO3382">
        <v>120</v>
      </c>
      <c r="AP3382">
        <v>-12</v>
      </c>
      <c r="AQ3382">
        <v>0</v>
      </c>
      <c r="AS3382">
        <v>0</v>
      </c>
      <c r="AT3382">
        <v>0</v>
      </c>
      <c r="AU3382">
        <v>120</v>
      </c>
      <c r="AV3382">
        <v>-12</v>
      </c>
      <c r="AW3382">
        <v>0</v>
      </c>
      <c r="AY3382">
        <v>0</v>
      </c>
      <c r="AZ3382">
        <v>0</v>
      </c>
      <c r="BA3382">
        <v>75.599999999999994</v>
      </c>
      <c r="BE3382" t="str">
        <f>T("9791137013100")</f>
        <v>9791137013100</v>
      </c>
      <c r="BF3382" t="str">
        <f>T("N197574")</f>
        <v>N197574</v>
      </c>
      <c r="BG3382" t="str">
        <f>T("판타지 웹소설 &gt; 현대 판타지")</f>
        <v>판타지 웹소설 &gt; 현대 판타지</v>
      </c>
    </row>
    <row r="3383" spans="1:59">
      <c r="A3383" t="s">
        <v>60</v>
      </c>
      <c r="B3383" s="1">
        <v>46131</v>
      </c>
      <c r="C3383">
        <v>2378042343</v>
      </c>
      <c r="D3383">
        <v>2378043313</v>
      </c>
      <c r="E3383" t="str">
        <f>T("미국 로또로 역대급 재벌! 143화")</f>
        <v>미국 로또로 역대급 재벌! 143화</v>
      </c>
      <c r="F3383">
        <v>143</v>
      </c>
      <c r="G3383" t="str">
        <f>T("강바기")</f>
        <v>강바기</v>
      </c>
      <c r="J3383" t="str">
        <f>T("매드햇")</f>
        <v>매드햇</v>
      </c>
      <c r="K3383" t="str">
        <f>T("미국 로또로 역대급 재벌!")</f>
        <v>미국 로또로 역대급 재벌!</v>
      </c>
      <c r="L3383">
        <v>100</v>
      </c>
      <c r="M3383">
        <v>100</v>
      </c>
      <c r="N3383">
        <v>1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0</v>
      </c>
      <c r="AH3383">
        <v>0</v>
      </c>
      <c r="AI3383">
        <v>100</v>
      </c>
      <c r="AJ3383">
        <v>1</v>
      </c>
      <c r="AK3383">
        <v>0</v>
      </c>
      <c r="AL3383">
        <v>0</v>
      </c>
      <c r="AM3383">
        <v>0</v>
      </c>
      <c r="AN3383">
        <v>0</v>
      </c>
      <c r="AO3383">
        <v>120</v>
      </c>
      <c r="AP3383">
        <v>-12</v>
      </c>
      <c r="AQ3383">
        <v>0</v>
      </c>
      <c r="AS3383">
        <v>0</v>
      </c>
      <c r="AT3383">
        <v>0</v>
      </c>
      <c r="AU3383">
        <v>120</v>
      </c>
      <c r="AV3383">
        <v>-12</v>
      </c>
      <c r="AW3383">
        <v>0</v>
      </c>
      <c r="AY3383">
        <v>0</v>
      </c>
      <c r="AZ3383">
        <v>0</v>
      </c>
      <c r="BA3383">
        <v>75.599999999999994</v>
      </c>
      <c r="BE3383" t="str">
        <f>T("9791137013100")</f>
        <v>9791137013100</v>
      </c>
      <c r="BF3383" t="str">
        <f>T("N214963")</f>
        <v>N214963</v>
      </c>
      <c r="BG3383" t="str">
        <f>T("판타지 웹소설 &gt; 현대 판타지")</f>
        <v>판타지 웹소설 &gt; 현대 판타지</v>
      </c>
    </row>
    <row r="3384" spans="1:59">
      <c r="A3384" t="s">
        <v>60</v>
      </c>
      <c r="B3384" s="1">
        <v>46131</v>
      </c>
      <c r="C3384">
        <v>2378042343</v>
      </c>
      <c r="D3384">
        <v>2378043350</v>
      </c>
      <c r="E3384" t="str">
        <f>T("미국 로또로 역대급 재벌! 144화")</f>
        <v>미국 로또로 역대급 재벌! 144화</v>
      </c>
      <c r="F3384">
        <v>144</v>
      </c>
      <c r="G3384" t="str">
        <f>T("강바기")</f>
        <v>강바기</v>
      </c>
      <c r="J3384" t="str">
        <f>T("매드햇")</f>
        <v>매드햇</v>
      </c>
      <c r="K3384" t="str">
        <f>T("미국 로또로 역대급 재벌!")</f>
        <v>미국 로또로 역대급 재벌!</v>
      </c>
      <c r="L3384">
        <v>100</v>
      </c>
      <c r="M3384">
        <v>100</v>
      </c>
      <c r="N3384">
        <v>1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0</v>
      </c>
      <c r="AF3384">
        <v>0</v>
      </c>
      <c r="AG3384">
        <v>0</v>
      </c>
      <c r="AH3384">
        <v>0</v>
      </c>
      <c r="AI3384">
        <v>100</v>
      </c>
      <c r="AJ3384">
        <v>1</v>
      </c>
      <c r="AK3384">
        <v>0</v>
      </c>
      <c r="AL3384">
        <v>0</v>
      </c>
      <c r="AM3384">
        <v>0</v>
      </c>
      <c r="AN3384">
        <v>0</v>
      </c>
      <c r="AO3384">
        <v>120</v>
      </c>
      <c r="AP3384">
        <v>-12</v>
      </c>
      <c r="AQ3384">
        <v>0</v>
      </c>
      <c r="AS3384">
        <v>0</v>
      </c>
      <c r="AT3384">
        <v>0</v>
      </c>
      <c r="AU3384">
        <v>120</v>
      </c>
      <c r="AV3384">
        <v>-12</v>
      </c>
      <c r="AW3384">
        <v>0</v>
      </c>
      <c r="AY3384">
        <v>0</v>
      </c>
      <c r="AZ3384">
        <v>0</v>
      </c>
      <c r="BA3384">
        <v>75.599999999999994</v>
      </c>
      <c r="BE3384" t="str">
        <f>T("9791137013100")</f>
        <v>9791137013100</v>
      </c>
      <c r="BF3384" t="str">
        <f>T("N216756")</f>
        <v>N216756</v>
      </c>
      <c r="BG3384" t="str">
        <f>T("판타지 웹소설 &gt; 현대 판타지")</f>
        <v>판타지 웹소설 &gt; 현대 판타지</v>
      </c>
    </row>
    <row r="3385" spans="1:59">
      <c r="A3385" t="s">
        <v>60</v>
      </c>
      <c r="B3385" s="1">
        <v>46131</v>
      </c>
      <c r="C3385">
        <v>2378042343</v>
      </c>
      <c r="D3385">
        <v>2378043357</v>
      </c>
      <c r="E3385" t="str">
        <f>T("미국 로또로 역대급 재벌! 145화")</f>
        <v>미국 로또로 역대급 재벌! 145화</v>
      </c>
      <c r="F3385">
        <v>145</v>
      </c>
      <c r="G3385" t="str">
        <f>T("강바기")</f>
        <v>강바기</v>
      </c>
      <c r="J3385" t="str">
        <f>T("매드햇")</f>
        <v>매드햇</v>
      </c>
      <c r="K3385" t="str">
        <f>T("미국 로또로 역대급 재벌!")</f>
        <v>미국 로또로 역대급 재벌!</v>
      </c>
      <c r="L3385">
        <v>100</v>
      </c>
      <c r="M3385">
        <v>100</v>
      </c>
      <c r="N3385">
        <v>1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0</v>
      </c>
      <c r="AH3385">
        <v>0</v>
      </c>
      <c r="AI3385">
        <v>100</v>
      </c>
      <c r="AJ3385">
        <v>1</v>
      </c>
      <c r="AK3385">
        <v>0</v>
      </c>
      <c r="AL3385">
        <v>0</v>
      </c>
      <c r="AM3385">
        <v>0</v>
      </c>
      <c r="AN3385">
        <v>0</v>
      </c>
      <c r="AO3385">
        <v>120</v>
      </c>
      <c r="AP3385">
        <v>-12</v>
      </c>
      <c r="AQ3385">
        <v>0</v>
      </c>
      <c r="AS3385">
        <v>0</v>
      </c>
      <c r="AT3385">
        <v>0</v>
      </c>
      <c r="AU3385">
        <v>120</v>
      </c>
      <c r="AV3385">
        <v>-12</v>
      </c>
      <c r="AW3385">
        <v>0</v>
      </c>
      <c r="AY3385">
        <v>0</v>
      </c>
      <c r="AZ3385">
        <v>0</v>
      </c>
      <c r="BA3385">
        <v>75.599999999999994</v>
      </c>
      <c r="BE3385" t="str">
        <f>T("9791137013100")</f>
        <v>9791137013100</v>
      </c>
      <c r="BF3385" t="str">
        <f>T("N216757")</f>
        <v>N216757</v>
      </c>
      <c r="BG3385" t="str">
        <f>T("판타지 웹소설 &gt; 현대 판타지")</f>
        <v>판타지 웹소설 &gt; 현대 판타지</v>
      </c>
    </row>
    <row r="3386" spans="1:59">
      <c r="A3386" t="s">
        <v>60</v>
      </c>
      <c r="B3386" s="1">
        <v>46131</v>
      </c>
      <c r="C3386">
        <v>2378042343</v>
      </c>
      <c r="D3386">
        <v>2378043364</v>
      </c>
      <c r="E3386" t="str">
        <f>T("미국 로또로 역대급 재벌! 146화")</f>
        <v>미국 로또로 역대급 재벌! 146화</v>
      </c>
      <c r="F3386">
        <v>146</v>
      </c>
      <c r="G3386" t="str">
        <f>T("강바기")</f>
        <v>강바기</v>
      </c>
      <c r="J3386" t="str">
        <f>T("매드햇")</f>
        <v>매드햇</v>
      </c>
      <c r="K3386" t="str">
        <f>T("미국 로또로 역대급 재벌!")</f>
        <v>미국 로또로 역대급 재벌!</v>
      </c>
      <c r="L3386">
        <v>100</v>
      </c>
      <c r="M3386">
        <v>100</v>
      </c>
      <c r="N3386">
        <v>1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0</v>
      </c>
      <c r="AH3386">
        <v>0</v>
      </c>
      <c r="AI3386">
        <v>100</v>
      </c>
      <c r="AJ3386">
        <v>1</v>
      </c>
      <c r="AK3386">
        <v>0</v>
      </c>
      <c r="AL3386">
        <v>0</v>
      </c>
      <c r="AM3386">
        <v>0</v>
      </c>
      <c r="AN3386">
        <v>0</v>
      </c>
      <c r="AO3386">
        <v>120</v>
      </c>
      <c r="AP3386">
        <v>-12</v>
      </c>
      <c r="AQ3386">
        <v>0</v>
      </c>
      <c r="AS3386">
        <v>0</v>
      </c>
      <c r="AT3386">
        <v>0</v>
      </c>
      <c r="AU3386">
        <v>120</v>
      </c>
      <c r="AV3386">
        <v>-12</v>
      </c>
      <c r="AW3386">
        <v>0</v>
      </c>
      <c r="AY3386">
        <v>0</v>
      </c>
      <c r="AZ3386">
        <v>0</v>
      </c>
      <c r="BA3386">
        <v>75.599999999999994</v>
      </c>
      <c r="BE3386" t="str">
        <f>T("9791137013100")</f>
        <v>9791137013100</v>
      </c>
      <c r="BF3386" t="str">
        <f>T("N216758")</f>
        <v>N216758</v>
      </c>
      <c r="BG3386" t="str">
        <f>T("판타지 웹소설 &gt; 현대 판타지")</f>
        <v>판타지 웹소설 &gt; 현대 판타지</v>
      </c>
    </row>
    <row r="3387" spans="1:59">
      <c r="A3387" t="s">
        <v>60</v>
      </c>
      <c r="B3387" s="1">
        <v>46131</v>
      </c>
      <c r="C3387">
        <v>2378042343</v>
      </c>
      <c r="D3387">
        <v>2378043380</v>
      </c>
      <c r="E3387" t="str">
        <f>T("미국 로또로 역대급 재벌! 147화")</f>
        <v>미국 로또로 역대급 재벌! 147화</v>
      </c>
      <c r="F3387">
        <v>147</v>
      </c>
      <c r="G3387" t="str">
        <f>T("강바기")</f>
        <v>강바기</v>
      </c>
      <c r="J3387" t="str">
        <f>T("매드햇")</f>
        <v>매드햇</v>
      </c>
      <c r="K3387" t="str">
        <f>T("미국 로또로 역대급 재벌!")</f>
        <v>미국 로또로 역대급 재벌!</v>
      </c>
      <c r="L3387">
        <v>100</v>
      </c>
      <c r="M3387">
        <v>100</v>
      </c>
      <c r="N3387">
        <v>1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0</v>
      </c>
      <c r="AF3387">
        <v>0</v>
      </c>
      <c r="AG3387">
        <v>0</v>
      </c>
      <c r="AH3387">
        <v>0</v>
      </c>
      <c r="AI3387">
        <v>100</v>
      </c>
      <c r="AJ3387">
        <v>1</v>
      </c>
      <c r="AK3387">
        <v>0</v>
      </c>
      <c r="AL3387">
        <v>0</v>
      </c>
      <c r="AM3387">
        <v>0</v>
      </c>
      <c r="AN3387">
        <v>0</v>
      </c>
      <c r="AO3387">
        <v>120</v>
      </c>
      <c r="AP3387">
        <v>-12</v>
      </c>
      <c r="AQ3387">
        <v>0</v>
      </c>
      <c r="AS3387">
        <v>0</v>
      </c>
      <c r="AT3387">
        <v>0</v>
      </c>
      <c r="AU3387">
        <v>120</v>
      </c>
      <c r="AV3387">
        <v>-12</v>
      </c>
      <c r="AW3387">
        <v>0</v>
      </c>
      <c r="AY3387">
        <v>0</v>
      </c>
      <c r="AZ3387">
        <v>0</v>
      </c>
      <c r="BA3387">
        <v>75.599999999999994</v>
      </c>
      <c r="BE3387" t="str">
        <f>T("9791137013100")</f>
        <v>9791137013100</v>
      </c>
      <c r="BF3387" t="str">
        <f>T("N216759")</f>
        <v>N216759</v>
      </c>
      <c r="BG3387" t="str">
        <f>T("판타지 웹소설 &gt; 현대 판타지")</f>
        <v>판타지 웹소설 &gt; 현대 판타지</v>
      </c>
    </row>
    <row r="3388" spans="1:59">
      <c r="A3388" t="s">
        <v>60</v>
      </c>
      <c r="B3388" s="1">
        <v>46131</v>
      </c>
      <c r="C3388">
        <v>2378042343</v>
      </c>
      <c r="D3388">
        <v>2378044049</v>
      </c>
      <c r="E3388" t="str">
        <f>T("미국 로또로 역대급 재벌! 148화")</f>
        <v>미국 로또로 역대급 재벌! 148화</v>
      </c>
      <c r="F3388">
        <v>148</v>
      </c>
      <c r="G3388" t="str">
        <f>T("강바기")</f>
        <v>강바기</v>
      </c>
      <c r="J3388" t="str">
        <f>T("매드햇")</f>
        <v>매드햇</v>
      </c>
      <c r="K3388" t="str">
        <f>T("미국 로또로 역대급 재벌!")</f>
        <v>미국 로또로 역대급 재벌!</v>
      </c>
      <c r="L3388">
        <v>100</v>
      </c>
      <c r="M3388">
        <v>100</v>
      </c>
      <c r="N3388">
        <v>1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0</v>
      </c>
      <c r="AH3388">
        <v>0</v>
      </c>
      <c r="AI3388">
        <v>100</v>
      </c>
      <c r="AJ3388">
        <v>1</v>
      </c>
      <c r="AK3388">
        <v>0</v>
      </c>
      <c r="AL3388">
        <v>0</v>
      </c>
      <c r="AM3388">
        <v>0</v>
      </c>
      <c r="AN3388">
        <v>0</v>
      </c>
      <c r="AO3388">
        <v>120</v>
      </c>
      <c r="AP3388">
        <v>-12</v>
      </c>
      <c r="AQ3388">
        <v>0</v>
      </c>
      <c r="AS3388">
        <v>0</v>
      </c>
      <c r="AT3388">
        <v>0</v>
      </c>
      <c r="AU3388">
        <v>120</v>
      </c>
      <c r="AV3388">
        <v>-12</v>
      </c>
      <c r="AW3388">
        <v>0</v>
      </c>
      <c r="AY3388">
        <v>0</v>
      </c>
      <c r="AZ3388">
        <v>0</v>
      </c>
      <c r="BA3388">
        <v>75.599999999999994</v>
      </c>
      <c r="BE3388" t="str">
        <f>T("9791137013100")</f>
        <v>9791137013100</v>
      </c>
      <c r="BF3388" t="str">
        <f>T("N216760")</f>
        <v>N216760</v>
      </c>
      <c r="BG3388" t="str">
        <f>T("판타지 웹소설 &gt; 현대 판타지")</f>
        <v>판타지 웹소설 &gt; 현대 판타지</v>
      </c>
    </row>
    <row r="3389" spans="1:59">
      <c r="A3389" t="s">
        <v>60</v>
      </c>
      <c r="B3389" s="1">
        <v>46131</v>
      </c>
      <c r="C3389">
        <v>2378042343</v>
      </c>
      <c r="D3389">
        <v>2378044056</v>
      </c>
      <c r="E3389" t="str">
        <f>T("미국 로또로 역대급 재벌! 149화")</f>
        <v>미국 로또로 역대급 재벌! 149화</v>
      </c>
      <c r="F3389">
        <v>149</v>
      </c>
      <c r="G3389" t="str">
        <f>T("강바기")</f>
        <v>강바기</v>
      </c>
      <c r="J3389" t="str">
        <f>T("매드햇")</f>
        <v>매드햇</v>
      </c>
      <c r="K3389" t="str">
        <f>T("미국 로또로 역대급 재벌!")</f>
        <v>미국 로또로 역대급 재벌!</v>
      </c>
      <c r="L3389">
        <v>100</v>
      </c>
      <c r="M3389">
        <v>100</v>
      </c>
      <c r="N3389">
        <v>1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0</v>
      </c>
      <c r="AH3389">
        <v>0</v>
      </c>
      <c r="AI3389">
        <v>100</v>
      </c>
      <c r="AJ3389">
        <v>1</v>
      </c>
      <c r="AK3389">
        <v>0</v>
      </c>
      <c r="AL3389">
        <v>0</v>
      </c>
      <c r="AM3389">
        <v>0</v>
      </c>
      <c r="AN3389">
        <v>0</v>
      </c>
      <c r="AO3389">
        <v>120</v>
      </c>
      <c r="AP3389">
        <v>-12</v>
      </c>
      <c r="AQ3389">
        <v>0</v>
      </c>
      <c r="AS3389">
        <v>0</v>
      </c>
      <c r="AT3389">
        <v>0</v>
      </c>
      <c r="AU3389">
        <v>120</v>
      </c>
      <c r="AV3389">
        <v>-12</v>
      </c>
      <c r="AW3389">
        <v>0</v>
      </c>
      <c r="AY3389">
        <v>0</v>
      </c>
      <c r="AZ3389">
        <v>0</v>
      </c>
      <c r="BA3389">
        <v>75.599999999999994</v>
      </c>
      <c r="BE3389" t="str">
        <f>T("9791137013100")</f>
        <v>9791137013100</v>
      </c>
      <c r="BF3389" t="str">
        <f>T("N218653")</f>
        <v>N218653</v>
      </c>
      <c r="BG3389" t="str">
        <f>T("판타지 웹소설 &gt; 현대 판타지")</f>
        <v>판타지 웹소설 &gt; 현대 판타지</v>
      </c>
    </row>
    <row r="3390" spans="1:59">
      <c r="A3390" t="s">
        <v>60</v>
      </c>
      <c r="B3390" s="1">
        <v>46131</v>
      </c>
      <c r="C3390">
        <v>2378042343</v>
      </c>
      <c r="D3390">
        <v>2378044064</v>
      </c>
      <c r="E3390" t="str">
        <f>T("미국 로또로 역대급 재벌! 150화")</f>
        <v>미국 로또로 역대급 재벌! 150화</v>
      </c>
      <c r="F3390">
        <v>150</v>
      </c>
      <c r="G3390" t="str">
        <f>T("강바기")</f>
        <v>강바기</v>
      </c>
      <c r="J3390" t="str">
        <f>T("매드햇")</f>
        <v>매드햇</v>
      </c>
      <c r="K3390" t="str">
        <f>T("미국 로또로 역대급 재벌!")</f>
        <v>미국 로또로 역대급 재벌!</v>
      </c>
      <c r="L3390">
        <v>100</v>
      </c>
      <c r="M3390">
        <v>100</v>
      </c>
      <c r="N3390">
        <v>1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0</v>
      </c>
      <c r="AF3390">
        <v>0</v>
      </c>
      <c r="AG3390">
        <v>0</v>
      </c>
      <c r="AH3390">
        <v>0</v>
      </c>
      <c r="AI3390">
        <v>100</v>
      </c>
      <c r="AJ3390">
        <v>1</v>
      </c>
      <c r="AK3390">
        <v>0</v>
      </c>
      <c r="AL3390">
        <v>0</v>
      </c>
      <c r="AM3390">
        <v>0</v>
      </c>
      <c r="AN3390">
        <v>0</v>
      </c>
      <c r="AO3390">
        <v>120</v>
      </c>
      <c r="AP3390">
        <v>-12</v>
      </c>
      <c r="AQ3390">
        <v>0</v>
      </c>
      <c r="AS3390">
        <v>0</v>
      </c>
      <c r="AT3390">
        <v>0</v>
      </c>
      <c r="AU3390">
        <v>120</v>
      </c>
      <c r="AV3390">
        <v>-12</v>
      </c>
      <c r="AW3390">
        <v>0</v>
      </c>
      <c r="AY3390">
        <v>0</v>
      </c>
      <c r="AZ3390">
        <v>0</v>
      </c>
      <c r="BA3390">
        <v>75.599999999999994</v>
      </c>
      <c r="BE3390" t="str">
        <f>T("9791137013100")</f>
        <v>9791137013100</v>
      </c>
      <c r="BF3390" t="str">
        <f>T("N218654")</f>
        <v>N218654</v>
      </c>
      <c r="BG3390" t="str">
        <f>T("판타지 웹소설 &gt; 현대 판타지")</f>
        <v>판타지 웹소설 &gt; 현대 판타지</v>
      </c>
    </row>
    <row r="3391" spans="1:59">
      <c r="A3391" t="s">
        <v>60</v>
      </c>
      <c r="B3391" s="1">
        <v>46131</v>
      </c>
      <c r="C3391">
        <v>2378042343</v>
      </c>
      <c r="D3391">
        <v>2378044173</v>
      </c>
      <c r="E3391" t="str">
        <f>T("미국 로또로 역대급 재벌! 151화")</f>
        <v>미국 로또로 역대급 재벌! 151화</v>
      </c>
      <c r="F3391">
        <v>151</v>
      </c>
      <c r="G3391" t="str">
        <f>T("강바기")</f>
        <v>강바기</v>
      </c>
      <c r="J3391" t="str">
        <f>T("매드햇")</f>
        <v>매드햇</v>
      </c>
      <c r="K3391" t="str">
        <f>T("미국 로또로 역대급 재벌!")</f>
        <v>미국 로또로 역대급 재벌!</v>
      </c>
      <c r="L3391">
        <v>100</v>
      </c>
      <c r="M3391">
        <v>100</v>
      </c>
      <c r="N3391">
        <v>1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0</v>
      </c>
      <c r="AH3391">
        <v>0</v>
      </c>
      <c r="AI3391">
        <v>100</v>
      </c>
      <c r="AJ3391">
        <v>1</v>
      </c>
      <c r="AK3391">
        <v>0</v>
      </c>
      <c r="AL3391">
        <v>0</v>
      </c>
      <c r="AM3391">
        <v>0</v>
      </c>
      <c r="AN3391">
        <v>0</v>
      </c>
      <c r="AO3391">
        <v>120</v>
      </c>
      <c r="AP3391">
        <v>-12</v>
      </c>
      <c r="AQ3391">
        <v>0</v>
      </c>
      <c r="AS3391">
        <v>0</v>
      </c>
      <c r="AT3391">
        <v>0</v>
      </c>
      <c r="AU3391">
        <v>120</v>
      </c>
      <c r="AV3391">
        <v>-12</v>
      </c>
      <c r="AW3391">
        <v>0</v>
      </c>
      <c r="AY3391">
        <v>0</v>
      </c>
      <c r="AZ3391">
        <v>0</v>
      </c>
      <c r="BA3391">
        <v>75.599999999999994</v>
      </c>
      <c r="BE3391" t="str">
        <f>T("9791137013100")</f>
        <v>9791137013100</v>
      </c>
      <c r="BF3391" t="str">
        <f>T("N218655")</f>
        <v>N218655</v>
      </c>
      <c r="BG3391" t="str">
        <f>T("판타지 웹소설 &gt; 현대 판타지")</f>
        <v>판타지 웹소설 &gt; 현대 판타지</v>
      </c>
    </row>
    <row r="3392" spans="1:59">
      <c r="A3392" t="s">
        <v>60</v>
      </c>
      <c r="B3392" s="1">
        <v>46131</v>
      </c>
      <c r="C3392">
        <v>2378042343</v>
      </c>
      <c r="D3392">
        <v>2378044182</v>
      </c>
      <c r="E3392" t="str">
        <f>T("미국 로또로 역대급 재벌! 152화")</f>
        <v>미국 로또로 역대급 재벌! 152화</v>
      </c>
      <c r="F3392">
        <v>152</v>
      </c>
      <c r="G3392" t="str">
        <f>T("강바기")</f>
        <v>강바기</v>
      </c>
      <c r="J3392" t="str">
        <f>T("매드햇")</f>
        <v>매드햇</v>
      </c>
      <c r="K3392" t="str">
        <f>T("미국 로또로 역대급 재벌!")</f>
        <v>미국 로또로 역대급 재벌!</v>
      </c>
      <c r="L3392">
        <v>100</v>
      </c>
      <c r="M3392">
        <v>100</v>
      </c>
      <c r="N3392">
        <v>1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0</v>
      </c>
      <c r="AH3392">
        <v>0</v>
      </c>
      <c r="AI3392">
        <v>100</v>
      </c>
      <c r="AJ3392">
        <v>1</v>
      </c>
      <c r="AK3392">
        <v>0</v>
      </c>
      <c r="AL3392">
        <v>0</v>
      </c>
      <c r="AM3392">
        <v>0</v>
      </c>
      <c r="AN3392">
        <v>0</v>
      </c>
      <c r="AO3392">
        <v>120</v>
      </c>
      <c r="AP3392">
        <v>-12</v>
      </c>
      <c r="AQ3392">
        <v>0</v>
      </c>
      <c r="AS3392">
        <v>0</v>
      </c>
      <c r="AT3392">
        <v>0</v>
      </c>
      <c r="AU3392">
        <v>120</v>
      </c>
      <c r="AV3392">
        <v>-12</v>
      </c>
      <c r="AW3392">
        <v>0</v>
      </c>
      <c r="AY3392">
        <v>0</v>
      </c>
      <c r="AZ3392">
        <v>0</v>
      </c>
      <c r="BA3392">
        <v>75.599999999999994</v>
      </c>
      <c r="BE3392" t="str">
        <f>T("9791137013100")</f>
        <v>9791137013100</v>
      </c>
      <c r="BF3392" t="str">
        <f>T("N218656")</f>
        <v>N218656</v>
      </c>
      <c r="BG3392" t="str">
        <f>T("판타지 웹소설 &gt; 현대 판타지")</f>
        <v>판타지 웹소설 &gt; 현대 판타지</v>
      </c>
    </row>
    <row r="3393" spans="1:59">
      <c r="A3393" t="s">
        <v>60</v>
      </c>
      <c r="B3393" s="1">
        <v>46131</v>
      </c>
      <c r="C3393">
        <v>2378042343</v>
      </c>
      <c r="D3393">
        <v>2378044195</v>
      </c>
      <c r="E3393" t="str">
        <f>T("미국 로또로 역대급 재벌! 153화")</f>
        <v>미국 로또로 역대급 재벌! 153화</v>
      </c>
      <c r="F3393">
        <v>153</v>
      </c>
      <c r="G3393" t="str">
        <f>T("강바기")</f>
        <v>강바기</v>
      </c>
      <c r="J3393" t="str">
        <f>T("매드햇")</f>
        <v>매드햇</v>
      </c>
      <c r="K3393" t="str">
        <f>T("미국 로또로 역대급 재벌!")</f>
        <v>미국 로또로 역대급 재벌!</v>
      </c>
      <c r="L3393">
        <v>100</v>
      </c>
      <c r="M3393">
        <v>100</v>
      </c>
      <c r="N3393">
        <v>1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0</v>
      </c>
      <c r="AF3393">
        <v>0</v>
      </c>
      <c r="AG3393">
        <v>0</v>
      </c>
      <c r="AH3393">
        <v>0</v>
      </c>
      <c r="AI3393">
        <v>100</v>
      </c>
      <c r="AJ3393">
        <v>1</v>
      </c>
      <c r="AK3393">
        <v>0</v>
      </c>
      <c r="AL3393">
        <v>0</v>
      </c>
      <c r="AM3393">
        <v>0</v>
      </c>
      <c r="AN3393">
        <v>0</v>
      </c>
      <c r="AO3393">
        <v>120</v>
      </c>
      <c r="AP3393">
        <v>-12</v>
      </c>
      <c r="AQ3393">
        <v>0</v>
      </c>
      <c r="AS3393">
        <v>0</v>
      </c>
      <c r="AT3393">
        <v>0</v>
      </c>
      <c r="AU3393">
        <v>120</v>
      </c>
      <c r="AV3393">
        <v>-12</v>
      </c>
      <c r="AW3393">
        <v>0</v>
      </c>
      <c r="AY3393">
        <v>0</v>
      </c>
      <c r="AZ3393">
        <v>0</v>
      </c>
      <c r="BA3393">
        <v>75.599999999999994</v>
      </c>
      <c r="BE3393" t="str">
        <f>T("9791137013100")</f>
        <v>9791137013100</v>
      </c>
      <c r="BF3393" t="str">
        <f>T("N222441")</f>
        <v>N222441</v>
      </c>
      <c r="BG3393" t="str">
        <f>T("판타지 웹소설 &gt; 현대 판타지")</f>
        <v>판타지 웹소설 &gt; 현대 판타지</v>
      </c>
    </row>
    <row r="3394" spans="1:59">
      <c r="A3394" t="s">
        <v>60</v>
      </c>
      <c r="B3394" s="1">
        <v>46129</v>
      </c>
      <c r="C3394">
        <v>2378055628</v>
      </c>
      <c r="D3394">
        <v>2378055628</v>
      </c>
      <c r="E3394" t="str">
        <f>T("방구석 천재작가 1화")</f>
        <v>방구석 천재작가 1화</v>
      </c>
      <c r="F3394">
        <v>1</v>
      </c>
      <c r="G3394" t="str">
        <f>T("노란안경")</f>
        <v>노란안경</v>
      </c>
      <c r="J3394" t="str">
        <f>T("매드햇")</f>
        <v>매드햇</v>
      </c>
      <c r="K3394" t="str">
        <f>T("방구석 천재작가")</f>
        <v>방구석 천재작가</v>
      </c>
      <c r="L3394">
        <v>0</v>
      </c>
      <c r="M3394">
        <v>0</v>
      </c>
      <c r="N3394">
        <v>0</v>
      </c>
      <c r="O3394">
        <v>1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0</v>
      </c>
      <c r="AH3394">
        <v>0</v>
      </c>
      <c r="AI3394">
        <v>0</v>
      </c>
      <c r="AJ3394">
        <v>1</v>
      </c>
      <c r="AK3394">
        <v>0</v>
      </c>
      <c r="AL3394">
        <v>0</v>
      </c>
      <c r="AM3394">
        <v>0</v>
      </c>
      <c r="AN3394">
        <v>0</v>
      </c>
      <c r="AO3394">
        <v>0</v>
      </c>
      <c r="AP3394">
        <v>0</v>
      </c>
      <c r="AQ3394">
        <v>0</v>
      </c>
      <c r="AS3394">
        <v>0</v>
      </c>
      <c r="AT3394">
        <v>0</v>
      </c>
      <c r="AV3394">
        <v>0</v>
      </c>
      <c r="AW3394">
        <v>0</v>
      </c>
      <c r="AY3394">
        <v>0</v>
      </c>
      <c r="AZ3394">
        <v>0</v>
      </c>
      <c r="BA3394">
        <v>0</v>
      </c>
      <c r="BE3394" t="str">
        <f>T("9791137016606")</f>
        <v>9791137016606</v>
      </c>
      <c r="BF3394" t="str">
        <f>T("k125876")</f>
        <v>k125876</v>
      </c>
      <c r="BG3394" t="str">
        <f>T("판타지 웹소설 &gt; 현대 판타지")</f>
        <v>판타지 웹소설 &gt; 현대 판타지</v>
      </c>
    </row>
    <row r="3395" spans="1:59">
      <c r="A3395" t="s">
        <v>60</v>
      </c>
      <c r="B3395" s="1">
        <v>46129</v>
      </c>
      <c r="C3395">
        <v>2378055628</v>
      </c>
      <c r="D3395">
        <v>2378055629</v>
      </c>
      <c r="E3395" t="str">
        <f>T("방구석 천재작가 2화")</f>
        <v>방구석 천재작가 2화</v>
      </c>
      <c r="F3395">
        <v>2</v>
      </c>
      <c r="G3395" t="str">
        <f>T("노란안경")</f>
        <v>노란안경</v>
      </c>
      <c r="J3395" t="str">
        <f>T("매드햇")</f>
        <v>매드햇</v>
      </c>
      <c r="K3395" t="str">
        <f>T("방구석 천재작가")</f>
        <v>방구석 천재작가</v>
      </c>
      <c r="L3395">
        <v>0</v>
      </c>
      <c r="M3395">
        <v>0</v>
      </c>
      <c r="N3395">
        <v>0</v>
      </c>
      <c r="O3395">
        <v>1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0</v>
      </c>
      <c r="AH3395">
        <v>0</v>
      </c>
      <c r="AI3395">
        <v>0</v>
      </c>
      <c r="AJ3395">
        <v>1</v>
      </c>
      <c r="AK3395">
        <v>0</v>
      </c>
      <c r="AL3395">
        <v>0</v>
      </c>
      <c r="AM3395">
        <v>0</v>
      </c>
      <c r="AN3395">
        <v>0</v>
      </c>
      <c r="AO3395">
        <v>0</v>
      </c>
      <c r="AP3395">
        <v>0</v>
      </c>
      <c r="AQ3395">
        <v>0</v>
      </c>
      <c r="AS3395">
        <v>0</v>
      </c>
      <c r="AT3395">
        <v>0</v>
      </c>
      <c r="AV3395">
        <v>0</v>
      </c>
      <c r="AW3395">
        <v>0</v>
      </c>
      <c r="AY3395">
        <v>0</v>
      </c>
      <c r="AZ3395">
        <v>0</v>
      </c>
      <c r="BA3395">
        <v>0</v>
      </c>
      <c r="BE3395" t="str">
        <f>T("9791137016606")</f>
        <v>9791137016606</v>
      </c>
      <c r="BF3395" t="str">
        <f>T("k125877")</f>
        <v>k125877</v>
      </c>
      <c r="BG3395" t="str">
        <f>T("판타지 웹소설 &gt; 현대 판타지")</f>
        <v>판타지 웹소설 &gt; 현대 판타지</v>
      </c>
    </row>
    <row r="3396" spans="1:59">
      <c r="A3396" t="s">
        <v>60</v>
      </c>
      <c r="B3396" s="1">
        <v>46129</v>
      </c>
      <c r="C3396">
        <v>2378055628</v>
      </c>
      <c r="D3396">
        <v>2378055630</v>
      </c>
      <c r="E3396" t="str">
        <f>T("방구석 천재작가 3화")</f>
        <v>방구석 천재작가 3화</v>
      </c>
      <c r="F3396">
        <v>3</v>
      </c>
      <c r="G3396" t="str">
        <f>T("노란안경")</f>
        <v>노란안경</v>
      </c>
      <c r="J3396" t="str">
        <f>T("매드햇")</f>
        <v>매드햇</v>
      </c>
      <c r="K3396" t="str">
        <f>T("방구석 천재작가")</f>
        <v>방구석 천재작가</v>
      </c>
      <c r="L3396">
        <v>0</v>
      </c>
      <c r="M3396">
        <v>0</v>
      </c>
      <c r="N3396">
        <v>0</v>
      </c>
      <c r="O3396">
        <v>1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0</v>
      </c>
      <c r="AH3396">
        <v>0</v>
      </c>
      <c r="AI3396">
        <v>0</v>
      </c>
      <c r="AJ3396">
        <v>1</v>
      </c>
      <c r="AK3396">
        <v>0</v>
      </c>
      <c r="AL3396">
        <v>0</v>
      </c>
      <c r="AM3396">
        <v>0</v>
      </c>
      <c r="AN3396">
        <v>0</v>
      </c>
      <c r="AO3396">
        <v>0</v>
      </c>
      <c r="AP3396">
        <v>0</v>
      </c>
      <c r="AQ3396">
        <v>0</v>
      </c>
      <c r="AS3396">
        <v>0</v>
      </c>
      <c r="AT3396">
        <v>0</v>
      </c>
      <c r="AV3396">
        <v>0</v>
      </c>
      <c r="AW3396">
        <v>0</v>
      </c>
      <c r="AY3396">
        <v>0</v>
      </c>
      <c r="AZ3396">
        <v>0</v>
      </c>
      <c r="BA3396">
        <v>0</v>
      </c>
      <c r="BE3396" t="str">
        <f>T("9791137016606")</f>
        <v>9791137016606</v>
      </c>
      <c r="BF3396" t="str">
        <f>T("k125878")</f>
        <v>k125878</v>
      </c>
      <c r="BG3396" t="str">
        <f>T("판타지 웹소설 &gt; 현대 판타지")</f>
        <v>판타지 웹소설 &gt; 현대 판타지</v>
      </c>
    </row>
    <row r="3397" spans="1:59">
      <c r="A3397" t="s">
        <v>60</v>
      </c>
      <c r="B3397" s="1">
        <v>46129</v>
      </c>
      <c r="C3397">
        <v>2378055628</v>
      </c>
      <c r="D3397">
        <v>2378055631</v>
      </c>
      <c r="E3397" t="str">
        <f>T("방구석 천재작가 4화")</f>
        <v>방구석 천재작가 4화</v>
      </c>
      <c r="F3397">
        <v>4</v>
      </c>
      <c r="G3397" t="str">
        <f>T("노란안경")</f>
        <v>노란안경</v>
      </c>
      <c r="J3397" t="str">
        <f>T("매드햇")</f>
        <v>매드햇</v>
      </c>
      <c r="K3397" t="str">
        <f>T("방구석 천재작가")</f>
        <v>방구석 천재작가</v>
      </c>
      <c r="L3397">
        <v>0</v>
      </c>
      <c r="M3397">
        <v>0</v>
      </c>
      <c r="N3397">
        <v>0</v>
      </c>
      <c r="O3397">
        <v>1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0</v>
      </c>
      <c r="AH3397">
        <v>0</v>
      </c>
      <c r="AI3397">
        <v>0</v>
      </c>
      <c r="AJ3397">
        <v>1</v>
      </c>
      <c r="AK3397">
        <v>0</v>
      </c>
      <c r="AL3397">
        <v>0</v>
      </c>
      <c r="AM3397">
        <v>0</v>
      </c>
      <c r="AN3397">
        <v>0</v>
      </c>
      <c r="AO3397">
        <v>0</v>
      </c>
      <c r="AP3397">
        <v>0</v>
      </c>
      <c r="AQ3397">
        <v>0</v>
      </c>
      <c r="AS3397">
        <v>0</v>
      </c>
      <c r="AT3397">
        <v>0</v>
      </c>
      <c r="AV3397">
        <v>0</v>
      </c>
      <c r="AW3397">
        <v>0</v>
      </c>
      <c r="AY3397">
        <v>0</v>
      </c>
      <c r="AZ3397">
        <v>0</v>
      </c>
      <c r="BA3397">
        <v>0</v>
      </c>
      <c r="BE3397" t="str">
        <f>T("9791137016606")</f>
        <v>9791137016606</v>
      </c>
      <c r="BF3397" t="str">
        <f>T("k125879")</f>
        <v>k125879</v>
      </c>
      <c r="BG3397" t="str">
        <f>T("판타지 웹소설 &gt; 현대 판타지")</f>
        <v>판타지 웹소설 &gt; 현대 판타지</v>
      </c>
    </row>
    <row r="3398" spans="1:59">
      <c r="A3398" t="s">
        <v>60</v>
      </c>
      <c r="B3398" s="1">
        <v>46131</v>
      </c>
      <c r="C3398">
        <v>2378055628</v>
      </c>
      <c r="D3398">
        <v>2378055628</v>
      </c>
      <c r="E3398" t="str">
        <f>T("방구석 천재작가 1화")</f>
        <v>방구석 천재작가 1화</v>
      </c>
      <c r="F3398">
        <v>1</v>
      </c>
      <c r="G3398" t="str">
        <f>T("노란안경")</f>
        <v>노란안경</v>
      </c>
      <c r="J3398" t="str">
        <f>T("매드햇")</f>
        <v>매드햇</v>
      </c>
      <c r="K3398" t="str">
        <f>T("방구석 천재작가")</f>
        <v>방구석 천재작가</v>
      </c>
      <c r="L3398">
        <v>0</v>
      </c>
      <c r="M3398">
        <v>0</v>
      </c>
      <c r="N3398">
        <v>0</v>
      </c>
      <c r="O3398">
        <v>1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0</v>
      </c>
      <c r="AF3398">
        <v>0</v>
      </c>
      <c r="AG3398">
        <v>0</v>
      </c>
      <c r="AH3398">
        <v>0</v>
      </c>
      <c r="AI3398">
        <v>0</v>
      </c>
      <c r="AJ3398">
        <v>1</v>
      </c>
      <c r="AK3398">
        <v>0</v>
      </c>
      <c r="AL3398">
        <v>0</v>
      </c>
      <c r="AM3398">
        <v>0</v>
      </c>
      <c r="AN3398">
        <v>0</v>
      </c>
      <c r="AO3398">
        <v>0</v>
      </c>
      <c r="AP3398">
        <v>0</v>
      </c>
      <c r="AQ3398">
        <v>0</v>
      </c>
      <c r="AS3398">
        <v>0</v>
      </c>
      <c r="AT3398">
        <v>0</v>
      </c>
      <c r="AV3398">
        <v>0</v>
      </c>
      <c r="AW3398">
        <v>0</v>
      </c>
      <c r="AY3398">
        <v>0</v>
      </c>
      <c r="AZ3398">
        <v>0</v>
      </c>
      <c r="BA3398">
        <v>0</v>
      </c>
      <c r="BE3398" t="str">
        <f>T("9791137016606")</f>
        <v>9791137016606</v>
      </c>
      <c r="BF3398" t="str">
        <f>T("k125876")</f>
        <v>k125876</v>
      </c>
      <c r="BG3398" t="str">
        <f>T("판타지 웹소설 &gt; 현대 판타지")</f>
        <v>판타지 웹소설 &gt; 현대 판타지</v>
      </c>
    </row>
    <row r="3399" spans="1:59">
      <c r="A3399" t="s">
        <v>60</v>
      </c>
      <c r="B3399" s="1">
        <v>46131</v>
      </c>
      <c r="C3399">
        <v>2378055628</v>
      </c>
      <c r="D3399">
        <v>2378055629</v>
      </c>
      <c r="E3399" t="str">
        <f>T("방구석 천재작가 2화")</f>
        <v>방구석 천재작가 2화</v>
      </c>
      <c r="F3399">
        <v>2</v>
      </c>
      <c r="G3399" t="str">
        <f>T("노란안경")</f>
        <v>노란안경</v>
      </c>
      <c r="J3399" t="str">
        <f>T("매드햇")</f>
        <v>매드햇</v>
      </c>
      <c r="K3399" t="str">
        <f>T("방구석 천재작가")</f>
        <v>방구석 천재작가</v>
      </c>
      <c r="L3399">
        <v>0</v>
      </c>
      <c r="M3399">
        <v>0</v>
      </c>
      <c r="N3399">
        <v>0</v>
      </c>
      <c r="O3399">
        <v>1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0</v>
      </c>
      <c r="AH3399">
        <v>0</v>
      </c>
      <c r="AI3399">
        <v>0</v>
      </c>
      <c r="AJ3399">
        <v>1</v>
      </c>
      <c r="AK3399">
        <v>0</v>
      </c>
      <c r="AL3399">
        <v>0</v>
      </c>
      <c r="AM3399">
        <v>0</v>
      </c>
      <c r="AN3399">
        <v>0</v>
      </c>
      <c r="AO3399">
        <v>0</v>
      </c>
      <c r="AP3399">
        <v>0</v>
      </c>
      <c r="AQ3399">
        <v>0</v>
      </c>
      <c r="AS3399">
        <v>0</v>
      </c>
      <c r="AT3399">
        <v>0</v>
      </c>
      <c r="AV3399">
        <v>0</v>
      </c>
      <c r="AW3399">
        <v>0</v>
      </c>
      <c r="AY3399">
        <v>0</v>
      </c>
      <c r="AZ3399">
        <v>0</v>
      </c>
      <c r="BA3399">
        <v>0</v>
      </c>
      <c r="BE3399" t="str">
        <f>T("9791137016606")</f>
        <v>9791137016606</v>
      </c>
      <c r="BF3399" t="str">
        <f>T("k125877")</f>
        <v>k125877</v>
      </c>
      <c r="BG3399" t="str">
        <f>T("판타지 웹소설 &gt; 현대 판타지")</f>
        <v>판타지 웹소설 &gt; 현대 판타지</v>
      </c>
    </row>
    <row r="3400" spans="1:59">
      <c r="A3400" t="s">
        <v>60</v>
      </c>
      <c r="B3400" s="1">
        <v>46131</v>
      </c>
      <c r="C3400">
        <v>2378055628</v>
      </c>
      <c r="D3400">
        <v>2378055630</v>
      </c>
      <c r="E3400" t="str">
        <f>T("방구석 천재작가 3화")</f>
        <v>방구석 천재작가 3화</v>
      </c>
      <c r="F3400">
        <v>3</v>
      </c>
      <c r="G3400" t="str">
        <f>T("노란안경")</f>
        <v>노란안경</v>
      </c>
      <c r="J3400" t="str">
        <f>T("매드햇")</f>
        <v>매드햇</v>
      </c>
      <c r="K3400" t="str">
        <f>T("방구석 천재작가")</f>
        <v>방구석 천재작가</v>
      </c>
      <c r="L3400">
        <v>0</v>
      </c>
      <c r="M3400">
        <v>0</v>
      </c>
      <c r="N3400">
        <v>0</v>
      </c>
      <c r="O3400">
        <v>1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0</v>
      </c>
      <c r="AH3400">
        <v>0</v>
      </c>
      <c r="AI3400">
        <v>0</v>
      </c>
      <c r="AJ3400">
        <v>1</v>
      </c>
      <c r="AK3400">
        <v>0</v>
      </c>
      <c r="AL3400">
        <v>0</v>
      </c>
      <c r="AM3400">
        <v>0</v>
      </c>
      <c r="AN3400">
        <v>0</v>
      </c>
      <c r="AO3400">
        <v>0</v>
      </c>
      <c r="AP3400">
        <v>0</v>
      </c>
      <c r="AQ3400">
        <v>0</v>
      </c>
      <c r="AS3400">
        <v>0</v>
      </c>
      <c r="AT3400">
        <v>0</v>
      </c>
      <c r="AV3400">
        <v>0</v>
      </c>
      <c r="AW3400">
        <v>0</v>
      </c>
      <c r="AY3400">
        <v>0</v>
      </c>
      <c r="AZ3400">
        <v>0</v>
      </c>
      <c r="BA3400">
        <v>0</v>
      </c>
      <c r="BE3400" t="str">
        <f>T("9791137016606")</f>
        <v>9791137016606</v>
      </c>
      <c r="BF3400" t="str">
        <f>T("k125878")</f>
        <v>k125878</v>
      </c>
      <c r="BG3400" t="str">
        <f>T("판타지 웹소설 &gt; 현대 판타지")</f>
        <v>판타지 웹소설 &gt; 현대 판타지</v>
      </c>
    </row>
    <row r="3401" spans="1:59">
      <c r="A3401" t="s">
        <v>60</v>
      </c>
      <c r="B3401" s="1">
        <v>46131</v>
      </c>
      <c r="C3401">
        <v>2378055628</v>
      </c>
      <c r="D3401">
        <v>2378055631</v>
      </c>
      <c r="E3401" t="str">
        <f>T("방구석 천재작가 4화")</f>
        <v>방구석 천재작가 4화</v>
      </c>
      <c r="F3401">
        <v>4</v>
      </c>
      <c r="G3401" t="str">
        <f>T("노란안경")</f>
        <v>노란안경</v>
      </c>
      <c r="J3401" t="str">
        <f>T("매드햇")</f>
        <v>매드햇</v>
      </c>
      <c r="K3401" t="str">
        <f>T("방구석 천재작가")</f>
        <v>방구석 천재작가</v>
      </c>
      <c r="L3401">
        <v>0</v>
      </c>
      <c r="M3401">
        <v>0</v>
      </c>
      <c r="N3401">
        <v>0</v>
      </c>
      <c r="O3401">
        <v>1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0</v>
      </c>
      <c r="AF3401">
        <v>0</v>
      </c>
      <c r="AG3401">
        <v>0</v>
      </c>
      <c r="AH3401">
        <v>0</v>
      </c>
      <c r="AI3401">
        <v>0</v>
      </c>
      <c r="AJ3401">
        <v>1</v>
      </c>
      <c r="AK3401">
        <v>0</v>
      </c>
      <c r="AL3401">
        <v>0</v>
      </c>
      <c r="AM3401">
        <v>0</v>
      </c>
      <c r="AN3401">
        <v>0</v>
      </c>
      <c r="AO3401">
        <v>0</v>
      </c>
      <c r="AP3401">
        <v>0</v>
      </c>
      <c r="AQ3401">
        <v>0</v>
      </c>
      <c r="AS3401">
        <v>0</v>
      </c>
      <c r="AT3401">
        <v>0</v>
      </c>
      <c r="AV3401">
        <v>0</v>
      </c>
      <c r="AW3401">
        <v>0</v>
      </c>
      <c r="AY3401">
        <v>0</v>
      </c>
      <c r="AZ3401">
        <v>0</v>
      </c>
      <c r="BA3401">
        <v>0</v>
      </c>
      <c r="BE3401" t="str">
        <f>T("9791137016606")</f>
        <v>9791137016606</v>
      </c>
      <c r="BF3401" t="str">
        <f>T("k125879")</f>
        <v>k125879</v>
      </c>
      <c r="BG3401" t="str">
        <f>T("판타지 웹소설 &gt; 현대 판타지")</f>
        <v>판타지 웹소설 &gt; 현대 판타지</v>
      </c>
    </row>
    <row r="3402" spans="1:59">
      <c r="A3402" t="s">
        <v>60</v>
      </c>
      <c r="B3402" s="1">
        <v>46131</v>
      </c>
      <c r="C3402">
        <v>2378055628</v>
      </c>
      <c r="D3402">
        <v>2378055632</v>
      </c>
      <c r="E3402" t="str">
        <f>T("방구석 천재작가 5화")</f>
        <v>방구석 천재작가 5화</v>
      </c>
      <c r="F3402">
        <v>5</v>
      </c>
      <c r="G3402" t="str">
        <f>T("노란안경")</f>
        <v>노란안경</v>
      </c>
      <c r="J3402" t="str">
        <f>T("매드햇")</f>
        <v>매드햇</v>
      </c>
      <c r="K3402" t="str">
        <f>T("방구석 천재작가")</f>
        <v>방구석 천재작가</v>
      </c>
      <c r="L3402">
        <v>0</v>
      </c>
      <c r="M3402">
        <v>0</v>
      </c>
      <c r="N3402">
        <v>0</v>
      </c>
      <c r="O3402">
        <v>1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0</v>
      </c>
      <c r="AH3402">
        <v>0</v>
      </c>
      <c r="AI3402">
        <v>0</v>
      </c>
      <c r="AJ3402">
        <v>1</v>
      </c>
      <c r="AK3402">
        <v>0</v>
      </c>
      <c r="AL3402">
        <v>0</v>
      </c>
      <c r="AM3402">
        <v>0</v>
      </c>
      <c r="AN3402">
        <v>0</v>
      </c>
      <c r="AO3402">
        <v>0</v>
      </c>
      <c r="AP3402">
        <v>0</v>
      </c>
      <c r="AQ3402">
        <v>0</v>
      </c>
      <c r="AS3402">
        <v>0</v>
      </c>
      <c r="AT3402">
        <v>0</v>
      </c>
      <c r="AV3402">
        <v>0</v>
      </c>
      <c r="AW3402">
        <v>0</v>
      </c>
      <c r="AY3402">
        <v>0</v>
      </c>
      <c r="AZ3402">
        <v>0</v>
      </c>
      <c r="BA3402">
        <v>0</v>
      </c>
      <c r="BE3402" t="str">
        <f>T("9791137016606")</f>
        <v>9791137016606</v>
      </c>
      <c r="BF3402" t="str">
        <f>T("k125880")</f>
        <v>k125880</v>
      </c>
      <c r="BG3402" t="str">
        <f>T("판타지 웹소설 &gt; 현대 판타지")</f>
        <v>판타지 웹소설 &gt; 현대 판타지</v>
      </c>
    </row>
    <row r="3403" spans="1:59">
      <c r="A3403" t="s">
        <v>60</v>
      </c>
      <c r="B3403" s="1">
        <v>46131</v>
      </c>
      <c r="C3403">
        <v>2378055628</v>
      </c>
      <c r="D3403">
        <v>2378055633</v>
      </c>
      <c r="E3403" t="str">
        <f>T("방구석 천재작가 6화")</f>
        <v>방구석 천재작가 6화</v>
      </c>
      <c r="F3403">
        <v>6</v>
      </c>
      <c r="G3403" t="str">
        <f>T("노란안경")</f>
        <v>노란안경</v>
      </c>
      <c r="J3403" t="str">
        <f>T("매드햇")</f>
        <v>매드햇</v>
      </c>
      <c r="K3403" t="str">
        <f>T("방구석 천재작가")</f>
        <v>방구석 천재작가</v>
      </c>
      <c r="L3403">
        <v>0</v>
      </c>
      <c r="M3403">
        <v>0</v>
      </c>
      <c r="N3403">
        <v>0</v>
      </c>
      <c r="O3403">
        <v>1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0</v>
      </c>
      <c r="AF3403">
        <v>0</v>
      </c>
      <c r="AG3403">
        <v>0</v>
      </c>
      <c r="AH3403">
        <v>0</v>
      </c>
      <c r="AI3403">
        <v>0</v>
      </c>
      <c r="AJ3403">
        <v>1</v>
      </c>
      <c r="AK3403">
        <v>0</v>
      </c>
      <c r="AL3403">
        <v>0</v>
      </c>
      <c r="AM3403">
        <v>0</v>
      </c>
      <c r="AN3403">
        <v>0</v>
      </c>
      <c r="AO3403">
        <v>0</v>
      </c>
      <c r="AP3403">
        <v>0</v>
      </c>
      <c r="AQ3403">
        <v>0</v>
      </c>
      <c r="AS3403">
        <v>0</v>
      </c>
      <c r="AT3403">
        <v>0</v>
      </c>
      <c r="AV3403">
        <v>0</v>
      </c>
      <c r="AW3403">
        <v>0</v>
      </c>
      <c r="AY3403">
        <v>0</v>
      </c>
      <c r="AZ3403">
        <v>0</v>
      </c>
      <c r="BA3403">
        <v>0</v>
      </c>
      <c r="BE3403" t="str">
        <f>T("9791137016606")</f>
        <v>9791137016606</v>
      </c>
      <c r="BF3403" t="str">
        <f>T("k125881")</f>
        <v>k125881</v>
      </c>
      <c r="BG3403" t="str">
        <f>T("판타지 웹소설 &gt; 현대 판타지")</f>
        <v>판타지 웹소설 &gt; 현대 판타지</v>
      </c>
    </row>
    <row r="3404" spans="1:59">
      <c r="A3404" t="s">
        <v>60</v>
      </c>
      <c r="B3404" s="1">
        <v>46131</v>
      </c>
      <c r="C3404">
        <v>2378055628</v>
      </c>
      <c r="D3404">
        <v>2378055634</v>
      </c>
      <c r="E3404" t="str">
        <f>T("방구석 천재작가 7화")</f>
        <v>방구석 천재작가 7화</v>
      </c>
      <c r="F3404">
        <v>7</v>
      </c>
      <c r="G3404" t="str">
        <f>T("노란안경")</f>
        <v>노란안경</v>
      </c>
      <c r="J3404" t="str">
        <f>T("매드햇")</f>
        <v>매드햇</v>
      </c>
      <c r="K3404" t="str">
        <f>T("방구석 천재작가")</f>
        <v>방구석 천재작가</v>
      </c>
      <c r="L3404">
        <v>0</v>
      </c>
      <c r="M3404">
        <v>0</v>
      </c>
      <c r="N3404">
        <v>0</v>
      </c>
      <c r="O3404">
        <v>1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0</v>
      </c>
      <c r="AH3404">
        <v>0</v>
      </c>
      <c r="AI3404">
        <v>0</v>
      </c>
      <c r="AJ3404">
        <v>1</v>
      </c>
      <c r="AK3404">
        <v>0</v>
      </c>
      <c r="AL3404">
        <v>0</v>
      </c>
      <c r="AM3404">
        <v>0</v>
      </c>
      <c r="AN3404">
        <v>0</v>
      </c>
      <c r="AO3404">
        <v>0</v>
      </c>
      <c r="AP3404">
        <v>0</v>
      </c>
      <c r="AQ3404">
        <v>0</v>
      </c>
      <c r="AS3404">
        <v>0</v>
      </c>
      <c r="AT3404">
        <v>0</v>
      </c>
      <c r="AV3404">
        <v>0</v>
      </c>
      <c r="AW3404">
        <v>0</v>
      </c>
      <c r="AY3404">
        <v>0</v>
      </c>
      <c r="AZ3404">
        <v>0</v>
      </c>
      <c r="BA3404">
        <v>0</v>
      </c>
      <c r="BE3404" t="str">
        <f>T("9791137016606")</f>
        <v>9791137016606</v>
      </c>
      <c r="BF3404" t="str">
        <f>T("k125882")</f>
        <v>k125882</v>
      </c>
      <c r="BG3404" t="str">
        <f>T("판타지 웹소설 &gt; 현대 판타지")</f>
        <v>판타지 웹소설 &gt; 현대 판타지</v>
      </c>
    </row>
    <row r="3405" spans="1:59">
      <c r="A3405" t="s">
        <v>60</v>
      </c>
      <c r="B3405" s="1">
        <v>46131</v>
      </c>
      <c r="C3405">
        <v>2378055628</v>
      </c>
      <c r="D3405">
        <v>2378055635</v>
      </c>
      <c r="E3405" t="str">
        <f>T("방구석 천재작가 8화")</f>
        <v>방구석 천재작가 8화</v>
      </c>
      <c r="F3405">
        <v>8</v>
      </c>
      <c r="G3405" t="str">
        <f>T("노란안경")</f>
        <v>노란안경</v>
      </c>
      <c r="J3405" t="str">
        <f>T("매드햇")</f>
        <v>매드햇</v>
      </c>
      <c r="K3405" t="str">
        <f>T("방구석 천재작가")</f>
        <v>방구석 천재작가</v>
      </c>
      <c r="L3405">
        <v>0</v>
      </c>
      <c r="M3405">
        <v>0</v>
      </c>
      <c r="N3405">
        <v>0</v>
      </c>
      <c r="O3405">
        <v>1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0</v>
      </c>
      <c r="AH3405">
        <v>0</v>
      </c>
      <c r="AI3405">
        <v>0</v>
      </c>
      <c r="AJ3405">
        <v>1</v>
      </c>
      <c r="AK3405">
        <v>0</v>
      </c>
      <c r="AL3405">
        <v>0</v>
      </c>
      <c r="AM3405">
        <v>0</v>
      </c>
      <c r="AN3405">
        <v>0</v>
      </c>
      <c r="AO3405">
        <v>0</v>
      </c>
      <c r="AP3405">
        <v>0</v>
      </c>
      <c r="AQ3405">
        <v>0</v>
      </c>
      <c r="AS3405">
        <v>0</v>
      </c>
      <c r="AT3405">
        <v>0</v>
      </c>
      <c r="AV3405">
        <v>0</v>
      </c>
      <c r="AW3405">
        <v>0</v>
      </c>
      <c r="AY3405">
        <v>0</v>
      </c>
      <c r="AZ3405">
        <v>0</v>
      </c>
      <c r="BA3405">
        <v>0</v>
      </c>
      <c r="BE3405" t="str">
        <f>T("9791137016606")</f>
        <v>9791137016606</v>
      </c>
      <c r="BF3405" t="str">
        <f>T("k125883")</f>
        <v>k125883</v>
      </c>
      <c r="BG3405" t="str">
        <f>T("판타지 웹소설 &gt; 현대 판타지")</f>
        <v>판타지 웹소설 &gt; 현대 판타지</v>
      </c>
    </row>
    <row r="3406" spans="1:59">
      <c r="A3406" t="s">
        <v>60</v>
      </c>
      <c r="B3406" s="1">
        <v>46131</v>
      </c>
      <c r="C3406">
        <v>2378055628</v>
      </c>
      <c r="D3406">
        <v>2378055636</v>
      </c>
      <c r="E3406" t="str">
        <f>T("방구석 천재작가 9화")</f>
        <v>방구석 천재작가 9화</v>
      </c>
      <c r="F3406">
        <v>9</v>
      </c>
      <c r="G3406" t="str">
        <f>T("노란안경")</f>
        <v>노란안경</v>
      </c>
      <c r="J3406" t="str">
        <f>T("매드햇")</f>
        <v>매드햇</v>
      </c>
      <c r="K3406" t="str">
        <f>T("방구석 천재작가")</f>
        <v>방구석 천재작가</v>
      </c>
      <c r="L3406">
        <v>0</v>
      </c>
      <c r="M3406">
        <v>0</v>
      </c>
      <c r="N3406">
        <v>0</v>
      </c>
      <c r="O3406">
        <v>1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0</v>
      </c>
      <c r="AF3406">
        <v>0</v>
      </c>
      <c r="AG3406">
        <v>0</v>
      </c>
      <c r="AH3406">
        <v>0</v>
      </c>
      <c r="AI3406">
        <v>0</v>
      </c>
      <c r="AJ3406">
        <v>1</v>
      </c>
      <c r="AK3406">
        <v>0</v>
      </c>
      <c r="AL3406">
        <v>0</v>
      </c>
      <c r="AM3406">
        <v>0</v>
      </c>
      <c r="AN3406">
        <v>0</v>
      </c>
      <c r="AO3406">
        <v>0</v>
      </c>
      <c r="AP3406">
        <v>0</v>
      </c>
      <c r="AQ3406">
        <v>0</v>
      </c>
      <c r="AS3406">
        <v>0</v>
      </c>
      <c r="AT3406">
        <v>0</v>
      </c>
      <c r="AV3406">
        <v>0</v>
      </c>
      <c r="AW3406">
        <v>0</v>
      </c>
      <c r="AY3406">
        <v>0</v>
      </c>
      <c r="AZ3406">
        <v>0</v>
      </c>
      <c r="BA3406">
        <v>0</v>
      </c>
      <c r="BE3406" t="str">
        <f>T("9791137016606")</f>
        <v>9791137016606</v>
      </c>
      <c r="BF3406" t="str">
        <f>T("k125884")</f>
        <v>k125884</v>
      </c>
      <c r="BG3406" t="str">
        <f>T("판타지 웹소설 &gt; 현대 판타지")</f>
        <v>판타지 웹소설 &gt; 현대 판타지</v>
      </c>
    </row>
    <row r="3407" spans="1:59">
      <c r="A3407" t="s">
        <v>60</v>
      </c>
      <c r="B3407" s="1">
        <v>46131</v>
      </c>
      <c r="C3407">
        <v>2378055628</v>
      </c>
      <c r="D3407">
        <v>2378055637</v>
      </c>
      <c r="E3407" t="str">
        <f>T("방구석 천재작가 10화")</f>
        <v>방구석 천재작가 10화</v>
      </c>
      <c r="F3407">
        <v>10</v>
      </c>
      <c r="G3407" t="str">
        <f>T("노란안경")</f>
        <v>노란안경</v>
      </c>
      <c r="J3407" t="str">
        <f>T("매드햇")</f>
        <v>매드햇</v>
      </c>
      <c r="K3407" t="str">
        <f>T("방구석 천재작가")</f>
        <v>방구석 천재작가</v>
      </c>
      <c r="L3407">
        <v>0</v>
      </c>
      <c r="M3407">
        <v>0</v>
      </c>
      <c r="N3407">
        <v>0</v>
      </c>
      <c r="O3407">
        <v>1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0</v>
      </c>
      <c r="AH3407">
        <v>0</v>
      </c>
      <c r="AI3407">
        <v>0</v>
      </c>
      <c r="AJ3407">
        <v>1</v>
      </c>
      <c r="AK3407">
        <v>0</v>
      </c>
      <c r="AL3407">
        <v>0</v>
      </c>
      <c r="AM3407">
        <v>0</v>
      </c>
      <c r="AN3407">
        <v>0</v>
      </c>
      <c r="AO3407">
        <v>0</v>
      </c>
      <c r="AP3407">
        <v>0</v>
      </c>
      <c r="AQ3407">
        <v>0</v>
      </c>
      <c r="AS3407">
        <v>0</v>
      </c>
      <c r="AT3407">
        <v>0</v>
      </c>
      <c r="AV3407">
        <v>0</v>
      </c>
      <c r="AW3407">
        <v>0</v>
      </c>
      <c r="AY3407">
        <v>0</v>
      </c>
      <c r="AZ3407">
        <v>0</v>
      </c>
      <c r="BA3407">
        <v>0</v>
      </c>
      <c r="BE3407" t="str">
        <f>T("9791137016606")</f>
        <v>9791137016606</v>
      </c>
      <c r="BF3407" t="str">
        <f>T("k125885")</f>
        <v>k125885</v>
      </c>
      <c r="BG3407" t="str">
        <f>T("판타지 웹소설 &gt; 현대 판타지")</f>
        <v>판타지 웹소설 &gt; 현대 판타지</v>
      </c>
    </row>
    <row r="3408" spans="1:59">
      <c r="A3408" t="s">
        <v>60</v>
      </c>
      <c r="B3408" s="1">
        <v>46131</v>
      </c>
      <c r="C3408">
        <v>2378055628</v>
      </c>
      <c r="D3408">
        <v>2378055638</v>
      </c>
      <c r="E3408" t="str">
        <f>T("방구석 천재작가 11화")</f>
        <v>방구석 천재작가 11화</v>
      </c>
      <c r="F3408">
        <v>11</v>
      </c>
      <c r="G3408" t="str">
        <f>T("노란안경")</f>
        <v>노란안경</v>
      </c>
      <c r="J3408" t="str">
        <f>T("매드햇")</f>
        <v>매드햇</v>
      </c>
      <c r="K3408" t="str">
        <f>T("방구석 천재작가")</f>
        <v>방구석 천재작가</v>
      </c>
      <c r="L3408">
        <v>0</v>
      </c>
      <c r="M3408">
        <v>0</v>
      </c>
      <c r="N3408">
        <v>0</v>
      </c>
      <c r="O3408">
        <v>1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0</v>
      </c>
      <c r="AH3408">
        <v>0</v>
      </c>
      <c r="AI3408">
        <v>0</v>
      </c>
      <c r="AJ3408">
        <v>1</v>
      </c>
      <c r="AK3408">
        <v>0</v>
      </c>
      <c r="AL3408">
        <v>0</v>
      </c>
      <c r="AM3408">
        <v>0</v>
      </c>
      <c r="AN3408">
        <v>0</v>
      </c>
      <c r="AO3408">
        <v>0</v>
      </c>
      <c r="AP3408">
        <v>0</v>
      </c>
      <c r="AQ3408">
        <v>0</v>
      </c>
      <c r="AS3408">
        <v>0</v>
      </c>
      <c r="AT3408">
        <v>0</v>
      </c>
      <c r="AV3408">
        <v>0</v>
      </c>
      <c r="AW3408">
        <v>0</v>
      </c>
      <c r="AY3408">
        <v>0</v>
      </c>
      <c r="AZ3408">
        <v>0</v>
      </c>
      <c r="BA3408">
        <v>0</v>
      </c>
      <c r="BE3408" t="str">
        <f>T("9791137016606")</f>
        <v>9791137016606</v>
      </c>
      <c r="BF3408" t="str">
        <f>T("k125886")</f>
        <v>k125886</v>
      </c>
      <c r="BG3408" t="str">
        <f>T("판타지 웹소설 &gt; 현대 판타지")</f>
        <v>판타지 웹소설 &gt; 현대 판타지</v>
      </c>
    </row>
    <row r="3409" spans="1:59">
      <c r="A3409" t="s">
        <v>60</v>
      </c>
      <c r="B3409" s="1">
        <v>46131</v>
      </c>
      <c r="C3409">
        <v>2378055628</v>
      </c>
      <c r="D3409">
        <v>2378055639</v>
      </c>
      <c r="E3409" t="str">
        <f>T("방구석 천재작가 12화")</f>
        <v>방구석 천재작가 12화</v>
      </c>
      <c r="F3409">
        <v>12</v>
      </c>
      <c r="G3409" t="str">
        <f>T("노란안경")</f>
        <v>노란안경</v>
      </c>
      <c r="J3409" t="str">
        <f>T("매드햇")</f>
        <v>매드햇</v>
      </c>
      <c r="K3409" t="str">
        <f>T("방구석 천재작가")</f>
        <v>방구석 천재작가</v>
      </c>
      <c r="L3409">
        <v>0</v>
      </c>
      <c r="M3409">
        <v>0</v>
      </c>
      <c r="N3409">
        <v>0</v>
      </c>
      <c r="O3409">
        <v>1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0</v>
      </c>
      <c r="AF3409">
        <v>0</v>
      </c>
      <c r="AG3409">
        <v>0</v>
      </c>
      <c r="AH3409">
        <v>0</v>
      </c>
      <c r="AI3409">
        <v>0</v>
      </c>
      <c r="AJ3409">
        <v>1</v>
      </c>
      <c r="AK3409">
        <v>0</v>
      </c>
      <c r="AL3409">
        <v>0</v>
      </c>
      <c r="AM3409">
        <v>0</v>
      </c>
      <c r="AN3409">
        <v>0</v>
      </c>
      <c r="AO3409">
        <v>0</v>
      </c>
      <c r="AP3409">
        <v>0</v>
      </c>
      <c r="AQ3409">
        <v>0</v>
      </c>
      <c r="AS3409">
        <v>0</v>
      </c>
      <c r="AT3409">
        <v>0</v>
      </c>
      <c r="AV3409">
        <v>0</v>
      </c>
      <c r="AW3409">
        <v>0</v>
      </c>
      <c r="AY3409">
        <v>0</v>
      </c>
      <c r="AZ3409">
        <v>0</v>
      </c>
      <c r="BA3409">
        <v>0</v>
      </c>
      <c r="BE3409" t="str">
        <f>T("9791137016606")</f>
        <v>9791137016606</v>
      </c>
      <c r="BF3409" t="str">
        <f>T("k125887")</f>
        <v>k125887</v>
      </c>
      <c r="BG3409" t="str">
        <f>T("판타지 웹소설 &gt; 현대 판타지")</f>
        <v>판타지 웹소설 &gt; 현대 판타지</v>
      </c>
    </row>
    <row r="3410" spans="1:59">
      <c r="A3410" t="s">
        <v>60</v>
      </c>
      <c r="B3410" s="1">
        <v>46131</v>
      </c>
      <c r="C3410">
        <v>2378055628</v>
      </c>
      <c r="D3410">
        <v>2378055640</v>
      </c>
      <c r="E3410" t="str">
        <f>T("방구석 천재작가 13화")</f>
        <v>방구석 천재작가 13화</v>
      </c>
      <c r="F3410">
        <v>13</v>
      </c>
      <c r="G3410" t="str">
        <f>T("노란안경")</f>
        <v>노란안경</v>
      </c>
      <c r="J3410" t="str">
        <f>T("매드햇")</f>
        <v>매드햇</v>
      </c>
      <c r="K3410" t="str">
        <f>T("방구석 천재작가")</f>
        <v>방구석 천재작가</v>
      </c>
      <c r="L3410">
        <v>0</v>
      </c>
      <c r="M3410">
        <v>0</v>
      </c>
      <c r="N3410">
        <v>0</v>
      </c>
      <c r="O3410">
        <v>1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0</v>
      </c>
      <c r="AH3410">
        <v>0</v>
      </c>
      <c r="AI3410">
        <v>0</v>
      </c>
      <c r="AJ3410">
        <v>1</v>
      </c>
      <c r="AK3410">
        <v>0</v>
      </c>
      <c r="AL3410">
        <v>0</v>
      </c>
      <c r="AM3410">
        <v>0</v>
      </c>
      <c r="AN3410">
        <v>0</v>
      </c>
      <c r="AO3410">
        <v>0</v>
      </c>
      <c r="AP3410">
        <v>0</v>
      </c>
      <c r="AQ3410">
        <v>0</v>
      </c>
      <c r="AS3410">
        <v>0</v>
      </c>
      <c r="AT3410">
        <v>0</v>
      </c>
      <c r="AV3410">
        <v>0</v>
      </c>
      <c r="AW3410">
        <v>0</v>
      </c>
      <c r="AY3410">
        <v>0</v>
      </c>
      <c r="AZ3410">
        <v>0</v>
      </c>
      <c r="BA3410">
        <v>0</v>
      </c>
      <c r="BE3410" t="str">
        <f>T("9791137016606")</f>
        <v>9791137016606</v>
      </c>
      <c r="BF3410" t="str">
        <f>T("k125888")</f>
        <v>k125888</v>
      </c>
      <c r="BG3410" t="str">
        <f>T("판타지 웹소설 &gt; 현대 판타지")</f>
        <v>판타지 웹소설 &gt; 현대 판타지</v>
      </c>
    </row>
    <row r="3411" spans="1:59">
      <c r="A3411" t="s">
        <v>60</v>
      </c>
      <c r="B3411" s="1">
        <v>46131</v>
      </c>
      <c r="C3411">
        <v>2378055628</v>
      </c>
      <c r="D3411">
        <v>2378055641</v>
      </c>
      <c r="E3411" t="str">
        <f>T("방구석 천재작가 14화")</f>
        <v>방구석 천재작가 14화</v>
      </c>
      <c r="F3411">
        <v>14</v>
      </c>
      <c r="G3411" t="str">
        <f>T("노란안경")</f>
        <v>노란안경</v>
      </c>
      <c r="J3411" t="str">
        <f>T("매드햇")</f>
        <v>매드햇</v>
      </c>
      <c r="K3411" t="str">
        <f>T("방구석 천재작가")</f>
        <v>방구석 천재작가</v>
      </c>
      <c r="L3411">
        <v>0</v>
      </c>
      <c r="M3411">
        <v>0</v>
      </c>
      <c r="N3411">
        <v>0</v>
      </c>
      <c r="O3411">
        <v>1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0</v>
      </c>
      <c r="AF3411">
        <v>0</v>
      </c>
      <c r="AG3411">
        <v>0</v>
      </c>
      <c r="AH3411">
        <v>0</v>
      </c>
      <c r="AI3411">
        <v>0</v>
      </c>
      <c r="AJ3411">
        <v>1</v>
      </c>
      <c r="AK3411">
        <v>0</v>
      </c>
      <c r="AL3411">
        <v>0</v>
      </c>
      <c r="AM3411">
        <v>0</v>
      </c>
      <c r="AN3411">
        <v>0</v>
      </c>
      <c r="AO3411">
        <v>0</v>
      </c>
      <c r="AP3411">
        <v>0</v>
      </c>
      <c r="AQ3411">
        <v>0</v>
      </c>
      <c r="AS3411">
        <v>0</v>
      </c>
      <c r="AT3411">
        <v>0</v>
      </c>
      <c r="AV3411">
        <v>0</v>
      </c>
      <c r="AW3411">
        <v>0</v>
      </c>
      <c r="AY3411">
        <v>0</v>
      </c>
      <c r="AZ3411">
        <v>0</v>
      </c>
      <c r="BA3411">
        <v>0</v>
      </c>
      <c r="BE3411" t="str">
        <f>T("9791137016606")</f>
        <v>9791137016606</v>
      </c>
      <c r="BF3411" t="str">
        <f>T("k125889")</f>
        <v>k125889</v>
      </c>
      <c r="BG3411" t="str">
        <f>T("판타지 웹소설 &gt; 현대 판타지")</f>
        <v>판타지 웹소설 &gt; 현대 판타지</v>
      </c>
    </row>
    <row r="3412" spans="1:59">
      <c r="A3412" t="s">
        <v>60</v>
      </c>
      <c r="B3412" s="1">
        <v>46131</v>
      </c>
      <c r="C3412">
        <v>2378055628</v>
      </c>
      <c r="D3412">
        <v>2378055642</v>
      </c>
      <c r="E3412" t="str">
        <f>T("방구석 천재작가 15화")</f>
        <v>방구석 천재작가 15화</v>
      </c>
      <c r="F3412">
        <v>15</v>
      </c>
      <c r="G3412" t="str">
        <f>T("노란안경")</f>
        <v>노란안경</v>
      </c>
      <c r="J3412" t="str">
        <f>T("매드햇")</f>
        <v>매드햇</v>
      </c>
      <c r="K3412" t="str">
        <f>T("방구석 천재작가")</f>
        <v>방구석 천재작가</v>
      </c>
      <c r="L3412">
        <v>0</v>
      </c>
      <c r="M3412">
        <v>0</v>
      </c>
      <c r="N3412">
        <v>0</v>
      </c>
      <c r="O3412">
        <v>1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0</v>
      </c>
      <c r="AF3412">
        <v>0</v>
      </c>
      <c r="AG3412">
        <v>0</v>
      </c>
      <c r="AH3412">
        <v>0</v>
      </c>
      <c r="AI3412">
        <v>0</v>
      </c>
      <c r="AJ3412">
        <v>1</v>
      </c>
      <c r="AK3412">
        <v>0</v>
      </c>
      <c r="AL3412">
        <v>0</v>
      </c>
      <c r="AM3412">
        <v>0</v>
      </c>
      <c r="AN3412">
        <v>0</v>
      </c>
      <c r="AO3412">
        <v>0</v>
      </c>
      <c r="AP3412">
        <v>0</v>
      </c>
      <c r="AQ3412">
        <v>0</v>
      </c>
      <c r="AS3412">
        <v>0</v>
      </c>
      <c r="AT3412">
        <v>0</v>
      </c>
      <c r="AV3412">
        <v>0</v>
      </c>
      <c r="AW3412">
        <v>0</v>
      </c>
      <c r="AY3412">
        <v>0</v>
      </c>
      <c r="AZ3412">
        <v>0</v>
      </c>
      <c r="BA3412">
        <v>0</v>
      </c>
      <c r="BE3412" t="str">
        <f>T("9791137016606")</f>
        <v>9791137016606</v>
      </c>
      <c r="BF3412" t="str">
        <f>T("k125890")</f>
        <v>k125890</v>
      </c>
      <c r="BG3412" t="str">
        <f>T("판타지 웹소설 &gt; 현대 판타지")</f>
        <v>판타지 웹소설 &gt; 현대 판타지</v>
      </c>
    </row>
    <row r="3413" spans="1:59">
      <c r="A3413" t="s">
        <v>60</v>
      </c>
      <c r="B3413" s="1">
        <v>46131</v>
      </c>
      <c r="C3413">
        <v>2378055628</v>
      </c>
      <c r="D3413">
        <v>2378055643</v>
      </c>
      <c r="E3413" t="str">
        <f>T("방구석 천재작가 16화")</f>
        <v>방구석 천재작가 16화</v>
      </c>
      <c r="F3413">
        <v>16</v>
      </c>
      <c r="G3413" t="str">
        <f>T("노란안경")</f>
        <v>노란안경</v>
      </c>
      <c r="J3413" t="str">
        <f>T("매드햇")</f>
        <v>매드햇</v>
      </c>
      <c r="K3413" t="str">
        <f>T("방구석 천재작가")</f>
        <v>방구석 천재작가</v>
      </c>
      <c r="L3413">
        <v>0</v>
      </c>
      <c r="M3413">
        <v>0</v>
      </c>
      <c r="N3413">
        <v>0</v>
      </c>
      <c r="O3413">
        <v>1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0</v>
      </c>
      <c r="AH3413">
        <v>0</v>
      </c>
      <c r="AI3413">
        <v>0</v>
      </c>
      <c r="AJ3413">
        <v>1</v>
      </c>
      <c r="AK3413">
        <v>0</v>
      </c>
      <c r="AL3413">
        <v>0</v>
      </c>
      <c r="AM3413">
        <v>0</v>
      </c>
      <c r="AN3413">
        <v>0</v>
      </c>
      <c r="AO3413">
        <v>0</v>
      </c>
      <c r="AP3413">
        <v>0</v>
      </c>
      <c r="AQ3413">
        <v>0</v>
      </c>
      <c r="AS3413">
        <v>0</v>
      </c>
      <c r="AT3413">
        <v>0</v>
      </c>
      <c r="AV3413">
        <v>0</v>
      </c>
      <c r="AW3413">
        <v>0</v>
      </c>
      <c r="AY3413">
        <v>0</v>
      </c>
      <c r="AZ3413">
        <v>0</v>
      </c>
      <c r="BA3413">
        <v>0</v>
      </c>
      <c r="BE3413" t="str">
        <f>T("9791137016606")</f>
        <v>9791137016606</v>
      </c>
      <c r="BF3413" t="str">
        <f>T("k125891")</f>
        <v>k125891</v>
      </c>
      <c r="BG3413" t="str">
        <f>T("판타지 웹소설 &gt; 현대 판타지")</f>
        <v>판타지 웹소설 &gt; 현대 판타지</v>
      </c>
    </row>
    <row r="3414" spans="1:59">
      <c r="A3414" t="s">
        <v>60</v>
      </c>
      <c r="B3414" s="1">
        <v>46131</v>
      </c>
      <c r="C3414">
        <v>2378055628</v>
      </c>
      <c r="D3414">
        <v>2378055644</v>
      </c>
      <c r="E3414" t="str">
        <f>T("방구석 천재작가 17화")</f>
        <v>방구석 천재작가 17화</v>
      </c>
      <c r="F3414">
        <v>17</v>
      </c>
      <c r="G3414" t="str">
        <f>T("노란안경")</f>
        <v>노란안경</v>
      </c>
      <c r="J3414" t="str">
        <f>T("매드햇")</f>
        <v>매드햇</v>
      </c>
      <c r="K3414" t="str">
        <f>T("방구석 천재작가")</f>
        <v>방구석 천재작가</v>
      </c>
      <c r="L3414">
        <v>0</v>
      </c>
      <c r="M3414">
        <v>0</v>
      </c>
      <c r="N3414">
        <v>0</v>
      </c>
      <c r="O3414">
        <v>1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0</v>
      </c>
      <c r="AH3414">
        <v>0</v>
      </c>
      <c r="AI3414">
        <v>0</v>
      </c>
      <c r="AJ3414">
        <v>1</v>
      </c>
      <c r="AK3414">
        <v>0</v>
      </c>
      <c r="AL3414">
        <v>0</v>
      </c>
      <c r="AM3414">
        <v>0</v>
      </c>
      <c r="AN3414">
        <v>0</v>
      </c>
      <c r="AO3414">
        <v>0</v>
      </c>
      <c r="AP3414">
        <v>0</v>
      </c>
      <c r="AQ3414">
        <v>0</v>
      </c>
      <c r="AS3414">
        <v>0</v>
      </c>
      <c r="AT3414">
        <v>0</v>
      </c>
      <c r="AV3414">
        <v>0</v>
      </c>
      <c r="AW3414">
        <v>0</v>
      </c>
      <c r="AY3414">
        <v>0</v>
      </c>
      <c r="AZ3414">
        <v>0</v>
      </c>
      <c r="BA3414">
        <v>0</v>
      </c>
      <c r="BE3414" t="str">
        <f>T("9791137016606")</f>
        <v>9791137016606</v>
      </c>
      <c r="BF3414" t="str">
        <f>T("k125892")</f>
        <v>k125892</v>
      </c>
      <c r="BG3414" t="str">
        <f>T("판타지 웹소설 &gt; 현대 판타지")</f>
        <v>판타지 웹소설 &gt; 현대 판타지</v>
      </c>
    </row>
    <row r="3415" spans="1:59">
      <c r="A3415" t="s">
        <v>60</v>
      </c>
      <c r="B3415" s="1">
        <v>46131</v>
      </c>
      <c r="C3415">
        <v>2378055628</v>
      </c>
      <c r="D3415">
        <v>2378055645</v>
      </c>
      <c r="E3415" t="str">
        <f>T("방구석 천재작가 18화")</f>
        <v>방구석 천재작가 18화</v>
      </c>
      <c r="F3415">
        <v>18</v>
      </c>
      <c r="G3415" t="str">
        <f>T("노란안경")</f>
        <v>노란안경</v>
      </c>
      <c r="J3415" t="str">
        <f>T("매드햇")</f>
        <v>매드햇</v>
      </c>
      <c r="K3415" t="str">
        <f>T("방구석 천재작가")</f>
        <v>방구석 천재작가</v>
      </c>
      <c r="L3415">
        <v>0</v>
      </c>
      <c r="M3415">
        <v>0</v>
      </c>
      <c r="N3415">
        <v>0</v>
      </c>
      <c r="O3415">
        <v>1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0</v>
      </c>
      <c r="AF3415">
        <v>0</v>
      </c>
      <c r="AG3415">
        <v>0</v>
      </c>
      <c r="AH3415">
        <v>0</v>
      </c>
      <c r="AI3415">
        <v>0</v>
      </c>
      <c r="AJ3415">
        <v>1</v>
      </c>
      <c r="AK3415">
        <v>0</v>
      </c>
      <c r="AL3415">
        <v>0</v>
      </c>
      <c r="AM3415">
        <v>0</v>
      </c>
      <c r="AN3415">
        <v>0</v>
      </c>
      <c r="AO3415">
        <v>0</v>
      </c>
      <c r="AP3415">
        <v>0</v>
      </c>
      <c r="AQ3415">
        <v>0</v>
      </c>
      <c r="AS3415">
        <v>0</v>
      </c>
      <c r="AT3415">
        <v>0</v>
      </c>
      <c r="AV3415">
        <v>0</v>
      </c>
      <c r="AW3415">
        <v>0</v>
      </c>
      <c r="AY3415">
        <v>0</v>
      </c>
      <c r="AZ3415">
        <v>0</v>
      </c>
      <c r="BA3415">
        <v>0</v>
      </c>
      <c r="BE3415" t="str">
        <f>T("9791137016606")</f>
        <v>9791137016606</v>
      </c>
      <c r="BF3415" t="str">
        <f>T("k125893")</f>
        <v>k125893</v>
      </c>
      <c r="BG3415" t="str">
        <f>T("판타지 웹소설 &gt; 현대 판타지")</f>
        <v>판타지 웹소설 &gt; 현대 판타지</v>
      </c>
    </row>
    <row r="3416" spans="1:59">
      <c r="A3416" t="s">
        <v>60</v>
      </c>
      <c r="B3416" s="1">
        <v>46131</v>
      </c>
      <c r="C3416">
        <v>2378055628</v>
      </c>
      <c r="D3416">
        <v>2378055646</v>
      </c>
      <c r="E3416" t="str">
        <f>T("방구석 천재작가 19화")</f>
        <v>방구석 천재작가 19화</v>
      </c>
      <c r="F3416">
        <v>19</v>
      </c>
      <c r="G3416" t="str">
        <f>T("노란안경")</f>
        <v>노란안경</v>
      </c>
      <c r="J3416" t="str">
        <f>T("매드햇")</f>
        <v>매드햇</v>
      </c>
      <c r="K3416" t="str">
        <f>T("방구석 천재작가")</f>
        <v>방구석 천재작가</v>
      </c>
      <c r="L3416">
        <v>0</v>
      </c>
      <c r="M3416">
        <v>0</v>
      </c>
      <c r="N3416">
        <v>0</v>
      </c>
      <c r="O3416">
        <v>1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0</v>
      </c>
      <c r="AH3416">
        <v>0</v>
      </c>
      <c r="AI3416">
        <v>0</v>
      </c>
      <c r="AJ3416">
        <v>1</v>
      </c>
      <c r="AK3416">
        <v>0</v>
      </c>
      <c r="AL3416">
        <v>0</v>
      </c>
      <c r="AM3416">
        <v>0</v>
      </c>
      <c r="AN3416">
        <v>0</v>
      </c>
      <c r="AO3416">
        <v>0</v>
      </c>
      <c r="AP3416">
        <v>0</v>
      </c>
      <c r="AQ3416">
        <v>0</v>
      </c>
      <c r="AS3416">
        <v>0</v>
      </c>
      <c r="AT3416">
        <v>0</v>
      </c>
      <c r="AV3416">
        <v>0</v>
      </c>
      <c r="AW3416">
        <v>0</v>
      </c>
      <c r="AY3416">
        <v>0</v>
      </c>
      <c r="AZ3416">
        <v>0</v>
      </c>
      <c r="BA3416">
        <v>0</v>
      </c>
      <c r="BE3416" t="str">
        <f>T("9791137016606")</f>
        <v>9791137016606</v>
      </c>
      <c r="BF3416" t="str">
        <f>T("k125894")</f>
        <v>k125894</v>
      </c>
      <c r="BG3416" t="str">
        <f>T("판타지 웹소설 &gt; 현대 판타지")</f>
        <v>판타지 웹소설 &gt; 현대 판타지</v>
      </c>
    </row>
    <row r="3417" spans="1:59">
      <c r="A3417" t="s">
        <v>60</v>
      </c>
      <c r="B3417" s="1">
        <v>46131</v>
      </c>
      <c r="C3417">
        <v>2378055628</v>
      </c>
      <c r="D3417">
        <v>2378055647</v>
      </c>
      <c r="E3417" t="str">
        <f>T("방구석 천재작가 20화")</f>
        <v>방구석 천재작가 20화</v>
      </c>
      <c r="F3417">
        <v>20</v>
      </c>
      <c r="G3417" t="str">
        <f>T("노란안경")</f>
        <v>노란안경</v>
      </c>
      <c r="J3417" t="str">
        <f>T("매드햇")</f>
        <v>매드햇</v>
      </c>
      <c r="K3417" t="str">
        <f>T("방구석 천재작가")</f>
        <v>방구석 천재작가</v>
      </c>
      <c r="L3417">
        <v>0</v>
      </c>
      <c r="M3417">
        <v>0</v>
      </c>
      <c r="N3417">
        <v>0</v>
      </c>
      <c r="O3417">
        <v>1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0</v>
      </c>
      <c r="AH3417">
        <v>0</v>
      </c>
      <c r="AI3417">
        <v>0</v>
      </c>
      <c r="AJ3417">
        <v>1</v>
      </c>
      <c r="AK3417">
        <v>0</v>
      </c>
      <c r="AL3417">
        <v>0</v>
      </c>
      <c r="AM3417">
        <v>0</v>
      </c>
      <c r="AN3417">
        <v>0</v>
      </c>
      <c r="AO3417">
        <v>0</v>
      </c>
      <c r="AP3417">
        <v>0</v>
      </c>
      <c r="AQ3417">
        <v>0</v>
      </c>
      <c r="AS3417">
        <v>0</v>
      </c>
      <c r="AT3417">
        <v>0</v>
      </c>
      <c r="AV3417">
        <v>0</v>
      </c>
      <c r="AW3417">
        <v>0</v>
      </c>
      <c r="AY3417">
        <v>0</v>
      </c>
      <c r="AZ3417">
        <v>0</v>
      </c>
      <c r="BA3417">
        <v>0</v>
      </c>
      <c r="BE3417" t="str">
        <f>T("9791137016606")</f>
        <v>9791137016606</v>
      </c>
      <c r="BF3417" t="str">
        <f>T("k125895")</f>
        <v>k125895</v>
      </c>
      <c r="BG3417" t="str">
        <f>T("판타지 웹소설 &gt; 현대 판타지")</f>
        <v>판타지 웹소설 &gt; 현대 판타지</v>
      </c>
    </row>
    <row r="3418" spans="1:59">
      <c r="A3418" t="s">
        <v>60</v>
      </c>
      <c r="B3418" s="1">
        <v>46131</v>
      </c>
      <c r="C3418">
        <v>2378055628</v>
      </c>
      <c r="D3418">
        <v>2378055648</v>
      </c>
      <c r="E3418" t="str">
        <f>T("방구석 천재작가 21화")</f>
        <v>방구석 천재작가 21화</v>
      </c>
      <c r="F3418">
        <v>21</v>
      </c>
      <c r="G3418" t="str">
        <f>T("노란안경")</f>
        <v>노란안경</v>
      </c>
      <c r="J3418" t="str">
        <f>T("매드햇")</f>
        <v>매드햇</v>
      </c>
      <c r="K3418" t="str">
        <f>T("방구석 천재작가")</f>
        <v>방구석 천재작가</v>
      </c>
      <c r="L3418">
        <v>0</v>
      </c>
      <c r="M3418">
        <v>0</v>
      </c>
      <c r="N3418">
        <v>0</v>
      </c>
      <c r="O3418">
        <v>1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0</v>
      </c>
      <c r="AH3418">
        <v>0</v>
      </c>
      <c r="AI3418">
        <v>0</v>
      </c>
      <c r="AJ3418">
        <v>1</v>
      </c>
      <c r="AK3418">
        <v>0</v>
      </c>
      <c r="AL3418">
        <v>0</v>
      </c>
      <c r="AM3418">
        <v>0</v>
      </c>
      <c r="AN3418">
        <v>0</v>
      </c>
      <c r="AO3418">
        <v>0</v>
      </c>
      <c r="AP3418">
        <v>0</v>
      </c>
      <c r="AQ3418">
        <v>0</v>
      </c>
      <c r="AS3418">
        <v>0</v>
      </c>
      <c r="AT3418">
        <v>0</v>
      </c>
      <c r="AV3418">
        <v>0</v>
      </c>
      <c r="AW3418">
        <v>0</v>
      </c>
      <c r="AY3418">
        <v>0</v>
      </c>
      <c r="AZ3418">
        <v>0</v>
      </c>
      <c r="BA3418">
        <v>0</v>
      </c>
      <c r="BE3418" t="str">
        <f>T("9791137016606")</f>
        <v>9791137016606</v>
      </c>
      <c r="BF3418" t="str">
        <f>T("k125896")</f>
        <v>k125896</v>
      </c>
      <c r="BG3418" t="str">
        <f>T("판타지 웹소설 &gt; 현대 판타지")</f>
        <v>판타지 웹소설 &gt; 현대 판타지</v>
      </c>
    </row>
    <row r="3419" spans="1:59">
      <c r="A3419" t="s">
        <v>60</v>
      </c>
      <c r="B3419" s="1">
        <v>46131</v>
      </c>
      <c r="C3419">
        <v>2378055628</v>
      </c>
      <c r="D3419">
        <v>2378055649</v>
      </c>
      <c r="E3419" t="str">
        <f>T("방구석 천재작가 22화")</f>
        <v>방구석 천재작가 22화</v>
      </c>
      <c r="F3419">
        <v>22</v>
      </c>
      <c r="G3419" t="str">
        <f>T("노란안경")</f>
        <v>노란안경</v>
      </c>
      <c r="J3419" t="str">
        <f>T("매드햇")</f>
        <v>매드햇</v>
      </c>
      <c r="K3419" t="str">
        <f>T("방구석 천재작가")</f>
        <v>방구석 천재작가</v>
      </c>
      <c r="L3419">
        <v>0</v>
      </c>
      <c r="M3419">
        <v>0</v>
      </c>
      <c r="N3419">
        <v>0</v>
      </c>
      <c r="O3419">
        <v>1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0</v>
      </c>
      <c r="AH3419">
        <v>0</v>
      </c>
      <c r="AI3419">
        <v>0</v>
      </c>
      <c r="AJ3419">
        <v>1</v>
      </c>
      <c r="AK3419">
        <v>0</v>
      </c>
      <c r="AL3419">
        <v>0</v>
      </c>
      <c r="AM3419">
        <v>0</v>
      </c>
      <c r="AN3419">
        <v>0</v>
      </c>
      <c r="AO3419">
        <v>0</v>
      </c>
      <c r="AP3419">
        <v>0</v>
      </c>
      <c r="AQ3419">
        <v>0</v>
      </c>
      <c r="AS3419">
        <v>0</v>
      </c>
      <c r="AT3419">
        <v>0</v>
      </c>
      <c r="AV3419">
        <v>0</v>
      </c>
      <c r="AW3419">
        <v>0</v>
      </c>
      <c r="AY3419">
        <v>0</v>
      </c>
      <c r="AZ3419">
        <v>0</v>
      </c>
      <c r="BA3419">
        <v>0</v>
      </c>
      <c r="BE3419" t="str">
        <f>T("9791137016606")</f>
        <v>9791137016606</v>
      </c>
      <c r="BF3419" t="str">
        <f>T("k125897")</f>
        <v>k125897</v>
      </c>
      <c r="BG3419" t="str">
        <f>T("판타지 웹소설 &gt; 현대 판타지")</f>
        <v>판타지 웹소설 &gt; 현대 판타지</v>
      </c>
    </row>
    <row r="3420" spans="1:59">
      <c r="A3420" t="s">
        <v>60</v>
      </c>
      <c r="B3420" s="1">
        <v>46131</v>
      </c>
      <c r="C3420">
        <v>2378055628</v>
      </c>
      <c r="D3420">
        <v>2378055650</v>
      </c>
      <c r="E3420" t="str">
        <f>T("방구석 천재작가 23화")</f>
        <v>방구석 천재작가 23화</v>
      </c>
      <c r="F3420">
        <v>23</v>
      </c>
      <c r="G3420" t="str">
        <f>T("노란안경")</f>
        <v>노란안경</v>
      </c>
      <c r="J3420" t="str">
        <f>T("매드햇")</f>
        <v>매드햇</v>
      </c>
      <c r="K3420" t="str">
        <f>T("방구석 천재작가")</f>
        <v>방구석 천재작가</v>
      </c>
      <c r="L3420">
        <v>0</v>
      </c>
      <c r="M3420">
        <v>0</v>
      </c>
      <c r="N3420">
        <v>0</v>
      </c>
      <c r="O3420">
        <v>1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0</v>
      </c>
      <c r="AF3420">
        <v>0</v>
      </c>
      <c r="AG3420">
        <v>0</v>
      </c>
      <c r="AH3420">
        <v>0</v>
      </c>
      <c r="AI3420">
        <v>0</v>
      </c>
      <c r="AJ3420">
        <v>1</v>
      </c>
      <c r="AK3420">
        <v>0</v>
      </c>
      <c r="AL3420">
        <v>0</v>
      </c>
      <c r="AM3420">
        <v>0</v>
      </c>
      <c r="AN3420">
        <v>0</v>
      </c>
      <c r="AO3420">
        <v>0</v>
      </c>
      <c r="AP3420">
        <v>0</v>
      </c>
      <c r="AQ3420">
        <v>0</v>
      </c>
      <c r="AS3420">
        <v>0</v>
      </c>
      <c r="AT3420">
        <v>0</v>
      </c>
      <c r="AV3420">
        <v>0</v>
      </c>
      <c r="AW3420">
        <v>0</v>
      </c>
      <c r="AY3420">
        <v>0</v>
      </c>
      <c r="AZ3420">
        <v>0</v>
      </c>
      <c r="BA3420">
        <v>0</v>
      </c>
      <c r="BE3420" t="str">
        <f>T("9791137016606")</f>
        <v>9791137016606</v>
      </c>
      <c r="BF3420" t="str">
        <f>T("k125898")</f>
        <v>k125898</v>
      </c>
      <c r="BG3420" t="str">
        <f>T("판타지 웹소설 &gt; 현대 판타지")</f>
        <v>판타지 웹소설 &gt; 현대 판타지</v>
      </c>
    </row>
    <row r="3421" spans="1:59">
      <c r="A3421" t="s">
        <v>60</v>
      </c>
      <c r="B3421" s="1">
        <v>46131</v>
      </c>
      <c r="C3421">
        <v>2378055628</v>
      </c>
      <c r="D3421">
        <v>2378055651</v>
      </c>
      <c r="E3421" t="str">
        <f>T("방구석 천재작가 24화")</f>
        <v>방구석 천재작가 24화</v>
      </c>
      <c r="F3421">
        <v>24</v>
      </c>
      <c r="G3421" t="str">
        <f>T("노란안경")</f>
        <v>노란안경</v>
      </c>
      <c r="J3421" t="str">
        <f>T("매드햇")</f>
        <v>매드햇</v>
      </c>
      <c r="K3421" t="str">
        <f>T("방구석 천재작가")</f>
        <v>방구석 천재작가</v>
      </c>
      <c r="L3421">
        <v>0</v>
      </c>
      <c r="M3421">
        <v>0</v>
      </c>
      <c r="N3421">
        <v>0</v>
      </c>
      <c r="O3421">
        <v>1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0</v>
      </c>
      <c r="AH3421">
        <v>0</v>
      </c>
      <c r="AI3421">
        <v>0</v>
      </c>
      <c r="AJ3421">
        <v>1</v>
      </c>
      <c r="AK3421">
        <v>0</v>
      </c>
      <c r="AL3421">
        <v>0</v>
      </c>
      <c r="AM3421">
        <v>0</v>
      </c>
      <c r="AN3421">
        <v>0</v>
      </c>
      <c r="AO3421">
        <v>0</v>
      </c>
      <c r="AP3421">
        <v>0</v>
      </c>
      <c r="AQ3421">
        <v>0</v>
      </c>
      <c r="AS3421">
        <v>0</v>
      </c>
      <c r="AT3421">
        <v>0</v>
      </c>
      <c r="AV3421">
        <v>0</v>
      </c>
      <c r="AW3421">
        <v>0</v>
      </c>
      <c r="AY3421">
        <v>0</v>
      </c>
      <c r="AZ3421">
        <v>0</v>
      </c>
      <c r="BA3421">
        <v>0</v>
      </c>
      <c r="BE3421" t="str">
        <f>T("9791137016606")</f>
        <v>9791137016606</v>
      </c>
      <c r="BF3421" t="str">
        <f>T("k125899")</f>
        <v>k125899</v>
      </c>
      <c r="BG3421" t="str">
        <f>T("판타지 웹소설 &gt; 현대 판타지")</f>
        <v>판타지 웹소설 &gt; 현대 판타지</v>
      </c>
    </row>
    <row r="3422" spans="1:59">
      <c r="A3422" t="s">
        <v>60</v>
      </c>
      <c r="B3422" s="1">
        <v>46131</v>
      </c>
      <c r="C3422">
        <v>2378055628</v>
      </c>
      <c r="D3422">
        <v>2378055652</v>
      </c>
      <c r="E3422" t="str">
        <f>T("방구석 천재작가 25화")</f>
        <v>방구석 천재작가 25화</v>
      </c>
      <c r="F3422">
        <v>25</v>
      </c>
      <c r="G3422" t="str">
        <f>T("노란안경")</f>
        <v>노란안경</v>
      </c>
      <c r="J3422" t="str">
        <f>T("매드햇")</f>
        <v>매드햇</v>
      </c>
      <c r="K3422" t="str">
        <f>T("방구석 천재작가")</f>
        <v>방구석 천재작가</v>
      </c>
      <c r="L3422">
        <v>0</v>
      </c>
      <c r="M3422">
        <v>0</v>
      </c>
      <c r="N3422">
        <v>0</v>
      </c>
      <c r="O3422">
        <v>1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0</v>
      </c>
      <c r="AF3422">
        <v>0</v>
      </c>
      <c r="AG3422">
        <v>0</v>
      </c>
      <c r="AH3422">
        <v>0</v>
      </c>
      <c r="AI3422">
        <v>0</v>
      </c>
      <c r="AJ3422">
        <v>1</v>
      </c>
      <c r="AK3422">
        <v>0</v>
      </c>
      <c r="AL3422">
        <v>0</v>
      </c>
      <c r="AM3422">
        <v>0</v>
      </c>
      <c r="AN3422">
        <v>0</v>
      </c>
      <c r="AO3422">
        <v>0</v>
      </c>
      <c r="AP3422">
        <v>0</v>
      </c>
      <c r="AQ3422">
        <v>0</v>
      </c>
      <c r="AS3422">
        <v>0</v>
      </c>
      <c r="AT3422">
        <v>0</v>
      </c>
      <c r="AV3422">
        <v>0</v>
      </c>
      <c r="AW3422">
        <v>0</v>
      </c>
      <c r="AY3422">
        <v>0</v>
      </c>
      <c r="AZ3422">
        <v>0</v>
      </c>
      <c r="BA3422">
        <v>0</v>
      </c>
      <c r="BE3422" t="str">
        <f>T("9791137016606")</f>
        <v>9791137016606</v>
      </c>
      <c r="BF3422" t="str">
        <f>T("k125900")</f>
        <v>k125900</v>
      </c>
      <c r="BG3422" t="str">
        <f>T("판타지 웹소설 &gt; 현대 판타지")</f>
        <v>판타지 웹소설 &gt; 현대 판타지</v>
      </c>
    </row>
    <row r="3423" spans="1:59">
      <c r="A3423" t="s">
        <v>60</v>
      </c>
      <c r="B3423" s="1">
        <v>46131</v>
      </c>
      <c r="C3423">
        <v>2378055628</v>
      </c>
      <c r="D3423">
        <v>2378055653</v>
      </c>
      <c r="E3423" t="str">
        <f>T("방구석 천재작가 26화")</f>
        <v>방구석 천재작가 26화</v>
      </c>
      <c r="F3423">
        <v>26</v>
      </c>
      <c r="G3423" t="str">
        <f>T("노란안경")</f>
        <v>노란안경</v>
      </c>
      <c r="J3423" t="str">
        <f>T("매드햇")</f>
        <v>매드햇</v>
      </c>
      <c r="K3423" t="str">
        <f>T("방구석 천재작가")</f>
        <v>방구석 천재작가</v>
      </c>
      <c r="L3423">
        <v>100</v>
      </c>
      <c r="M3423">
        <v>100</v>
      </c>
      <c r="N3423">
        <v>1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0</v>
      </c>
      <c r="AH3423">
        <v>0</v>
      </c>
      <c r="AI3423">
        <v>100</v>
      </c>
      <c r="AJ3423">
        <v>1</v>
      </c>
      <c r="AK3423">
        <v>0</v>
      </c>
      <c r="AL3423">
        <v>0</v>
      </c>
      <c r="AM3423">
        <v>100</v>
      </c>
      <c r="AN3423">
        <v>0</v>
      </c>
      <c r="AO3423">
        <v>0</v>
      </c>
      <c r="AP3423">
        <v>0</v>
      </c>
      <c r="AQ3423">
        <v>0</v>
      </c>
      <c r="AS3423">
        <v>0</v>
      </c>
      <c r="AT3423">
        <v>0</v>
      </c>
      <c r="AV3423">
        <v>0</v>
      </c>
      <c r="AW3423">
        <v>0</v>
      </c>
      <c r="AY3423">
        <v>0</v>
      </c>
      <c r="AZ3423">
        <v>0</v>
      </c>
      <c r="BA3423">
        <v>70</v>
      </c>
      <c r="BE3423" t="str">
        <f>T("9791137016606")</f>
        <v>9791137016606</v>
      </c>
      <c r="BF3423" t="str">
        <f>T("k125901")</f>
        <v>k125901</v>
      </c>
      <c r="BG3423" t="str">
        <f>T("판타지 웹소설 &gt; 현대 판타지")</f>
        <v>판타지 웹소설 &gt; 현대 판타지</v>
      </c>
    </row>
    <row r="3424" spans="1:59">
      <c r="A3424" t="s">
        <v>60</v>
      </c>
      <c r="B3424" s="1">
        <v>46131</v>
      </c>
      <c r="C3424">
        <v>2378055628</v>
      </c>
      <c r="D3424">
        <v>2378055654</v>
      </c>
      <c r="E3424" t="str">
        <f>T("방구석 천재작가 27화")</f>
        <v>방구석 천재작가 27화</v>
      </c>
      <c r="F3424">
        <v>27</v>
      </c>
      <c r="G3424" t="str">
        <f>T("노란안경")</f>
        <v>노란안경</v>
      </c>
      <c r="J3424" t="str">
        <f>T("매드햇")</f>
        <v>매드햇</v>
      </c>
      <c r="K3424" t="str">
        <f>T("방구석 천재작가")</f>
        <v>방구석 천재작가</v>
      </c>
      <c r="L3424">
        <v>100</v>
      </c>
      <c r="M3424">
        <v>100</v>
      </c>
      <c r="N3424">
        <v>1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0</v>
      </c>
      <c r="AH3424">
        <v>0</v>
      </c>
      <c r="AI3424">
        <v>100</v>
      </c>
      <c r="AJ3424">
        <v>1</v>
      </c>
      <c r="AK3424">
        <v>0</v>
      </c>
      <c r="AL3424">
        <v>0</v>
      </c>
      <c r="AM3424">
        <v>100</v>
      </c>
      <c r="AN3424">
        <v>0</v>
      </c>
      <c r="AO3424">
        <v>0</v>
      </c>
      <c r="AP3424">
        <v>0</v>
      </c>
      <c r="AQ3424">
        <v>0</v>
      </c>
      <c r="AS3424">
        <v>0</v>
      </c>
      <c r="AT3424">
        <v>0</v>
      </c>
      <c r="AV3424">
        <v>0</v>
      </c>
      <c r="AW3424">
        <v>0</v>
      </c>
      <c r="AY3424">
        <v>0</v>
      </c>
      <c r="AZ3424">
        <v>0</v>
      </c>
      <c r="BA3424">
        <v>70</v>
      </c>
      <c r="BE3424" t="str">
        <f>T("9791137016606")</f>
        <v>9791137016606</v>
      </c>
      <c r="BF3424" t="str">
        <f>T("k125902")</f>
        <v>k125902</v>
      </c>
      <c r="BG3424" t="str">
        <f>T("판타지 웹소설 &gt; 현대 판타지")</f>
        <v>판타지 웹소설 &gt; 현대 판타지</v>
      </c>
    </row>
    <row r="3425" spans="1:59">
      <c r="A3425" t="s">
        <v>60</v>
      </c>
      <c r="B3425" s="1">
        <v>46131</v>
      </c>
      <c r="C3425">
        <v>2378055628</v>
      </c>
      <c r="D3425">
        <v>2378055655</v>
      </c>
      <c r="E3425" t="str">
        <f>T("방구석 천재작가 28화")</f>
        <v>방구석 천재작가 28화</v>
      </c>
      <c r="F3425">
        <v>28</v>
      </c>
      <c r="G3425" t="str">
        <f>T("노란안경")</f>
        <v>노란안경</v>
      </c>
      <c r="J3425" t="str">
        <f>T("매드햇")</f>
        <v>매드햇</v>
      </c>
      <c r="K3425" t="str">
        <f>T("방구석 천재작가")</f>
        <v>방구석 천재작가</v>
      </c>
      <c r="L3425">
        <v>100</v>
      </c>
      <c r="M3425">
        <v>100</v>
      </c>
      <c r="N3425">
        <v>1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0</v>
      </c>
      <c r="AF3425">
        <v>0</v>
      </c>
      <c r="AG3425">
        <v>0</v>
      </c>
      <c r="AH3425">
        <v>0</v>
      </c>
      <c r="AI3425">
        <v>100</v>
      </c>
      <c r="AJ3425">
        <v>1</v>
      </c>
      <c r="AK3425">
        <v>0</v>
      </c>
      <c r="AL3425">
        <v>0</v>
      </c>
      <c r="AM3425">
        <v>100</v>
      </c>
      <c r="AN3425">
        <v>0</v>
      </c>
      <c r="AO3425">
        <v>0</v>
      </c>
      <c r="AP3425">
        <v>0</v>
      </c>
      <c r="AQ3425">
        <v>0</v>
      </c>
      <c r="AS3425">
        <v>0</v>
      </c>
      <c r="AT3425">
        <v>0</v>
      </c>
      <c r="AV3425">
        <v>0</v>
      </c>
      <c r="AW3425">
        <v>0</v>
      </c>
      <c r="AY3425">
        <v>0</v>
      </c>
      <c r="AZ3425">
        <v>0</v>
      </c>
      <c r="BA3425">
        <v>70</v>
      </c>
      <c r="BE3425" t="str">
        <f>T("9791137016606")</f>
        <v>9791137016606</v>
      </c>
      <c r="BF3425" t="str">
        <f>T("k125903")</f>
        <v>k125903</v>
      </c>
      <c r="BG3425" t="str">
        <f>T("판타지 웹소설 &gt; 현대 판타지")</f>
        <v>판타지 웹소설 &gt; 현대 판타지</v>
      </c>
    </row>
    <row r="3426" spans="1:59">
      <c r="A3426" t="s">
        <v>60</v>
      </c>
      <c r="B3426" s="1">
        <v>46131</v>
      </c>
      <c r="C3426">
        <v>2378055628</v>
      </c>
      <c r="D3426">
        <v>2378055656</v>
      </c>
      <c r="E3426" t="str">
        <f>T("방구석 천재작가 29화")</f>
        <v>방구석 천재작가 29화</v>
      </c>
      <c r="F3426">
        <v>29</v>
      </c>
      <c r="G3426" t="str">
        <f>T("노란안경")</f>
        <v>노란안경</v>
      </c>
      <c r="J3426" t="str">
        <f>T("매드햇")</f>
        <v>매드햇</v>
      </c>
      <c r="K3426" t="str">
        <f>T("방구석 천재작가")</f>
        <v>방구석 천재작가</v>
      </c>
      <c r="L3426">
        <v>100</v>
      </c>
      <c r="M3426">
        <v>100</v>
      </c>
      <c r="N3426">
        <v>1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0</v>
      </c>
      <c r="AH3426">
        <v>0</v>
      </c>
      <c r="AI3426">
        <v>100</v>
      </c>
      <c r="AJ3426">
        <v>1</v>
      </c>
      <c r="AK3426">
        <v>0</v>
      </c>
      <c r="AL3426">
        <v>0</v>
      </c>
      <c r="AM3426">
        <v>100</v>
      </c>
      <c r="AN3426">
        <v>0</v>
      </c>
      <c r="AO3426">
        <v>0</v>
      </c>
      <c r="AP3426">
        <v>0</v>
      </c>
      <c r="AQ3426">
        <v>0</v>
      </c>
      <c r="AS3426">
        <v>0</v>
      </c>
      <c r="AT3426">
        <v>0</v>
      </c>
      <c r="AV3426">
        <v>0</v>
      </c>
      <c r="AW3426">
        <v>0</v>
      </c>
      <c r="AY3426">
        <v>0</v>
      </c>
      <c r="AZ3426">
        <v>0</v>
      </c>
      <c r="BA3426">
        <v>70</v>
      </c>
      <c r="BE3426" t="str">
        <f>T("9791137016606")</f>
        <v>9791137016606</v>
      </c>
      <c r="BF3426" t="str">
        <f>T("k125904")</f>
        <v>k125904</v>
      </c>
      <c r="BG3426" t="str">
        <f>T("판타지 웹소설 &gt; 현대 판타지")</f>
        <v>판타지 웹소설 &gt; 현대 판타지</v>
      </c>
    </row>
    <row r="3427" spans="1:59">
      <c r="A3427" t="s">
        <v>60</v>
      </c>
      <c r="B3427" s="1">
        <v>46131</v>
      </c>
      <c r="C3427">
        <v>2378055628</v>
      </c>
      <c r="D3427">
        <v>2378055657</v>
      </c>
      <c r="E3427" t="str">
        <f>T("방구석 천재작가 30화")</f>
        <v>방구석 천재작가 30화</v>
      </c>
      <c r="F3427">
        <v>30</v>
      </c>
      <c r="G3427" t="str">
        <f>T("노란안경")</f>
        <v>노란안경</v>
      </c>
      <c r="J3427" t="str">
        <f>T("매드햇")</f>
        <v>매드햇</v>
      </c>
      <c r="K3427" t="str">
        <f>T("방구석 천재작가")</f>
        <v>방구석 천재작가</v>
      </c>
      <c r="L3427">
        <v>100</v>
      </c>
      <c r="M3427">
        <v>100</v>
      </c>
      <c r="N3427">
        <v>1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0</v>
      </c>
      <c r="AH3427">
        <v>0</v>
      </c>
      <c r="AI3427">
        <v>100</v>
      </c>
      <c r="AJ3427">
        <v>1</v>
      </c>
      <c r="AK3427">
        <v>0</v>
      </c>
      <c r="AL3427">
        <v>0</v>
      </c>
      <c r="AM3427">
        <v>100</v>
      </c>
      <c r="AN3427">
        <v>0</v>
      </c>
      <c r="AO3427">
        <v>0</v>
      </c>
      <c r="AP3427">
        <v>0</v>
      </c>
      <c r="AQ3427">
        <v>0</v>
      </c>
      <c r="AS3427">
        <v>0</v>
      </c>
      <c r="AT3427">
        <v>0</v>
      </c>
      <c r="AV3427">
        <v>0</v>
      </c>
      <c r="AW3427">
        <v>0</v>
      </c>
      <c r="AY3427">
        <v>0</v>
      </c>
      <c r="AZ3427">
        <v>0</v>
      </c>
      <c r="BA3427">
        <v>70</v>
      </c>
      <c r="BE3427" t="str">
        <f>T("9791137016606")</f>
        <v>9791137016606</v>
      </c>
      <c r="BF3427" t="str">
        <f>T("k125905")</f>
        <v>k125905</v>
      </c>
      <c r="BG3427" t="str">
        <f>T("판타지 웹소설 &gt; 현대 판타지")</f>
        <v>판타지 웹소설 &gt; 현대 판타지</v>
      </c>
    </row>
    <row r="3428" spans="1:59">
      <c r="A3428" t="s">
        <v>60</v>
      </c>
      <c r="B3428" s="1">
        <v>46131</v>
      </c>
      <c r="C3428">
        <v>2378055628</v>
      </c>
      <c r="D3428">
        <v>2378055658</v>
      </c>
      <c r="E3428" t="str">
        <f>T("방구석 천재작가 31화")</f>
        <v>방구석 천재작가 31화</v>
      </c>
      <c r="F3428">
        <v>31</v>
      </c>
      <c r="G3428" t="str">
        <f>T("노란안경")</f>
        <v>노란안경</v>
      </c>
      <c r="J3428" t="str">
        <f>T("매드햇")</f>
        <v>매드햇</v>
      </c>
      <c r="K3428" t="str">
        <f>T("방구석 천재작가")</f>
        <v>방구석 천재작가</v>
      </c>
      <c r="L3428">
        <v>100</v>
      </c>
      <c r="M3428">
        <v>100</v>
      </c>
      <c r="N3428">
        <v>1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0</v>
      </c>
      <c r="AF3428">
        <v>0</v>
      </c>
      <c r="AG3428">
        <v>0</v>
      </c>
      <c r="AH3428">
        <v>0</v>
      </c>
      <c r="AI3428">
        <v>100</v>
      </c>
      <c r="AJ3428">
        <v>1</v>
      </c>
      <c r="AK3428">
        <v>0</v>
      </c>
      <c r="AL3428">
        <v>0</v>
      </c>
      <c r="AM3428">
        <v>100</v>
      </c>
      <c r="AN3428">
        <v>0</v>
      </c>
      <c r="AO3428">
        <v>0</v>
      </c>
      <c r="AP3428">
        <v>0</v>
      </c>
      <c r="AQ3428">
        <v>0</v>
      </c>
      <c r="AS3428">
        <v>0</v>
      </c>
      <c r="AT3428">
        <v>0</v>
      </c>
      <c r="AV3428">
        <v>0</v>
      </c>
      <c r="AW3428">
        <v>0</v>
      </c>
      <c r="AY3428">
        <v>0</v>
      </c>
      <c r="AZ3428">
        <v>0</v>
      </c>
      <c r="BA3428">
        <v>70</v>
      </c>
      <c r="BE3428" t="str">
        <f>T("9791137016606")</f>
        <v>9791137016606</v>
      </c>
      <c r="BF3428" t="str">
        <f>T("k125906")</f>
        <v>k125906</v>
      </c>
      <c r="BG3428" t="str">
        <f>T("판타지 웹소설 &gt; 현대 판타지")</f>
        <v>판타지 웹소설 &gt; 현대 판타지</v>
      </c>
    </row>
    <row r="3429" spans="1:59">
      <c r="A3429" t="s">
        <v>60</v>
      </c>
      <c r="B3429" s="1">
        <v>46131</v>
      </c>
      <c r="C3429">
        <v>2378055628</v>
      </c>
      <c r="D3429">
        <v>2378055659</v>
      </c>
      <c r="E3429" t="str">
        <f>T("방구석 천재작가 32화")</f>
        <v>방구석 천재작가 32화</v>
      </c>
      <c r="F3429">
        <v>32</v>
      </c>
      <c r="G3429" t="str">
        <f>T("노란안경")</f>
        <v>노란안경</v>
      </c>
      <c r="J3429" t="str">
        <f>T("매드햇")</f>
        <v>매드햇</v>
      </c>
      <c r="K3429" t="str">
        <f>T("방구석 천재작가")</f>
        <v>방구석 천재작가</v>
      </c>
      <c r="L3429">
        <v>100</v>
      </c>
      <c r="M3429">
        <v>100</v>
      </c>
      <c r="N3429">
        <v>1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0</v>
      </c>
      <c r="AH3429">
        <v>0</v>
      </c>
      <c r="AI3429">
        <v>100</v>
      </c>
      <c r="AJ3429">
        <v>1</v>
      </c>
      <c r="AK3429">
        <v>0</v>
      </c>
      <c r="AL3429">
        <v>0</v>
      </c>
      <c r="AM3429">
        <v>100</v>
      </c>
      <c r="AN3429">
        <v>0</v>
      </c>
      <c r="AO3429">
        <v>0</v>
      </c>
      <c r="AP3429">
        <v>0</v>
      </c>
      <c r="AQ3429">
        <v>0</v>
      </c>
      <c r="AS3429">
        <v>0</v>
      </c>
      <c r="AT3429">
        <v>0</v>
      </c>
      <c r="AV3429">
        <v>0</v>
      </c>
      <c r="AW3429">
        <v>0</v>
      </c>
      <c r="AY3429">
        <v>0</v>
      </c>
      <c r="AZ3429">
        <v>0</v>
      </c>
      <c r="BA3429">
        <v>70</v>
      </c>
      <c r="BE3429" t="str">
        <f>T("9791137016606")</f>
        <v>9791137016606</v>
      </c>
      <c r="BF3429" t="str">
        <f>T("k125907")</f>
        <v>k125907</v>
      </c>
      <c r="BG3429" t="str">
        <f>T("판타지 웹소설 &gt; 현대 판타지")</f>
        <v>판타지 웹소설 &gt; 현대 판타지</v>
      </c>
    </row>
    <row r="3430" spans="1:59">
      <c r="A3430" t="s">
        <v>60</v>
      </c>
      <c r="B3430" s="1">
        <v>46131</v>
      </c>
      <c r="C3430">
        <v>2378055628</v>
      </c>
      <c r="D3430">
        <v>2378055660</v>
      </c>
      <c r="E3430" t="str">
        <f>T("방구석 천재작가 33화")</f>
        <v>방구석 천재작가 33화</v>
      </c>
      <c r="F3430">
        <v>33</v>
      </c>
      <c r="G3430" t="str">
        <f>T("노란안경")</f>
        <v>노란안경</v>
      </c>
      <c r="J3430" t="str">
        <f>T("매드햇")</f>
        <v>매드햇</v>
      </c>
      <c r="K3430" t="str">
        <f>T("방구석 천재작가")</f>
        <v>방구석 천재작가</v>
      </c>
      <c r="L3430">
        <v>100</v>
      </c>
      <c r="M3430">
        <v>100</v>
      </c>
      <c r="N3430">
        <v>1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0</v>
      </c>
      <c r="AH3430">
        <v>0</v>
      </c>
      <c r="AI3430">
        <v>100</v>
      </c>
      <c r="AJ3430">
        <v>1</v>
      </c>
      <c r="AK3430">
        <v>0</v>
      </c>
      <c r="AL3430">
        <v>0</v>
      </c>
      <c r="AM3430">
        <v>100</v>
      </c>
      <c r="AN3430">
        <v>0</v>
      </c>
      <c r="AO3430">
        <v>0</v>
      </c>
      <c r="AP3430">
        <v>0</v>
      </c>
      <c r="AQ3430">
        <v>0</v>
      </c>
      <c r="AS3430">
        <v>0</v>
      </c>
      <c r="AT3430">
        <v>0</v>
      </c>
      <c r="AV3430">
        <v>0</v>
      </c>
      <c r="AW3430">
        <v>0</v>
      </c>
      <c r="AY3430">
        <v>0</v>
      </c>
      <c r="AZ3430">
        <v>0</v>
      </c>
      <c r="BA3430">
        <v>70</v>
      </c>
      <c r="BE3430" t="str">
        <f>T("9791137016606")</f>
        <v>9791137016606</v>
      </c>
      <c r="BF3430" t="str">
        <f>T("k125908")</f>
        <v>k125908</v>
      </c>
      <c r="BG3430" t="str">
        <f>T("판타지 웹소설 &gt; 현대 판타지")</f>
        <v>판타지 웹소설 &gt; 현대 판타지</v>
      </c>
    </row>
    <row r="3431" spans="1:59">
      <c r="A3431" t="s">
        <v>60</v>
      </c>
      <c r="B3431" s="1">
        <v>46131</v>
      </c>
      <c r="C3431">
        <v>2378055628</v>
      </c>
      <c r="D3431">
        <v>2378055661</v>
      </c>
      <c r="E3431" t="str">
        <f>T("방구석 천재작가 34화")</f>
        <v>방구석 천재작가 34화</v>
      </c>
      <c r="F3431">
        <v>34</v>
      </c>
      <c r="G3431" t="str">
        <f>T("노란안경")</f>
        <v>노란안경</v>
      </c>
      <c r="J3431" t="str">
        <f>T("매드햇")</f>
        <v>매드햇</v>
      </c>
      <c r="K3431" t="str">
        <f>T("방구석 천재작가")</f>
        <v>방구석 천재작가</v>
      </c>
      <c r="L3431">
        <v>100</v>
      </c>
      <c r="M3431">
        <v>100</v>
      </c>
      <c r="N3431">
        <v>1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0</v>
      </c>
      <c r="AH3431">
        <v>0</v>
      </c>
      <c r="AI3431">
        <v>100</v>
      </c>
      <c r="AJ3431">
        <v>1</v>
      </c>
      <c r="AK3431">
        <v>0</v>
      </c>
      <c r="AL3431">
        <v>0</v>
      </c>
      <c r="AM3431">
        <v>100</v>
      </c>
      <c r="AN3431">
        <v>0</v>
      </c>
      <c r="AO3431">
        <v>0</v>
      </c>
      <c r="AP3431">
        <v>0</v>
      </c>
      <c r="AQ3431">
        <v>0</v>
      </c>
      <c r="AS3431">
        <v>0</v>
      </c>
      <c r="AT3431">
        <v>0</v>
      </c>
      <c r="AV3431">
        <v>0</v>
      </c>
      <c r="AW3431">
        <v>0</v>
      </c>
      <c r="AY3431">
        <v>0</v>
      </c>
      <c r="AZ3431">
        <v>0</v>
      </c>
      <c r="BA3431">
        <v>70</v>
      </c>
      <c r="BE3431" t="str">
        <f>T("9791137016606")</f>
        <v>9791137016606</v>
      </c>
      <c r="BF3431" t="str">
        <f>T("k125909")</f>
        <v>k125909</v>
      </c>
      <c r="BG3431" t="str">
        <f>T("판타지 웹소설 &gt; 현대 판타지")</f>
        <v>판타지 웹소설 &gt; 현대 판타지</v>
      </c>
    </row>
    <row r="3432" spans="1:59">
      <c r="A3432" t="s">
        <v>60</v>
      </c>
      <c r="B3432" s="1">
        <v>46131</v>
      </c>
      <c r="C3432">
        <v>2378055628</v>
      </c>
      <c r="D3432">
        <v>2378055662</v>
      </c>
      <c r="E3432" t="str">
        <f>T("방구석 천재작가 35화")</f>
        <v>방구석 천재작가 35화</v>
      </c>
      <c r="F3432">
        <v>35</v>
      </c>
      <c r="G3432" t="str">
        <f>T("노란안경")</f>
        <v>노란안경</v>
      </c>
      <c r="J3432" t="str">
        <f>T("매드햇")</f>
        <v>매드햇</v>
      </c>
      <c r="K3432" t="str">
        <f>T("방구석 천재작가")</f>
        <v>방구석 천재작가</v>
      </c>
      <c r="L3432">
        <v>100</v>
      </c>
      <c r="M3432">
        <v>100</v>
      </c>
      <c r="N3432">
        <v>1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0</v>
      </c>
      <c r="AF3432">
        <v>0</v>
      </c>
      <c r="AG3432">
        <v>0</v>
      </c>
      <c r="AH3432">
        <v>0</v>
      </c>
      <c r="AI3432">
        <v>100</v>
      </c>
      <c r="AJ3432">
        <v>1</v>
      </c>
      <c r="AK3432">
        <v>0</v>
      </c>
      <c r="AL3432">
        <v>0</v>
      </c>
      <c r="AM3432">
        <v>100</v>
      </c>
      <c r="AN3432">
        <v>0</v>
      </c>
      <c r="AO3432">
        <v>0</v>
      </c>
      <c r="AP3432">
        <v>0</v>
      </c>
      <c r="AQ3432">
        <v>0</v>
      </c>
      <c r="AS3432">
        <v>0</v>
      </c>
      <c r="AT3432">
        <v>0</v>
      </c>
      <c r="AV3432">
        <v>0</v>
      </c>
      <c r="AW3432">
        <v>0</v>
      </c>
      <c r="AY3432">
        <v>0</v>
      </c>
      <c r="AZ3432">
        <v>0</v>
      </c>
      <c r="BA3432">
        <v>70</v>
      </c>
      <c r="BE3432" t="str">
        <f>T("9791137016606")</f>
        <v>9791137016606</v>
      </c>
      <c r="BF3432" t="str">
        <f>T("k125910")</f>
        <v>k125910</v>
      </c>
      <c r="BG3432" t="str">
        <f>T("판타지 웹소설 &gt; 현대 판타지")</f>
        <v>판타지 웹소설 &gt; 현대 판타지</v>
      </c>
    </row>
    <row r="3433" spans="1:59">
      <c r="A3433" t="s">
        <v>60</v>
      </c>
      <c r="B3433" s="1">
        <v>46131</v>
      </c>
      <c r="C3433">
        <v>2378055628</v>
      </c>
      <c r="D3433">
        <v>2378055663</v>
      </c>
      <c r="E3433" t="str">
        <f>T("방구석 천재작가 36화")</f>
        <v>방구석 천재작가 36화</v>
      </c>
      <c r="F3433">
        <v>36</v>
      </c>
      <c r="G3433" t="str">
        <f>T("노란안경")</f>
        <v>노란안경</v>
      </c>
      <c r="J3433" t="str">
        <f>T("매드햇")</f>
        <v>매드햇</v>
      </c>
      <c r="K3433" t="str">
        <f>T("방구석 천재작가")</f>
        <v>방구석 천재작가</v>
      </c>
      <c r="L3433">
        <v>100</v>
      </c>
      <c r="M3433">
        <v>100</v>
      </c>
      <c r="N3433">
        <v>1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0</v>
      </c>
      <c r="AH3433">
        <v>0</v>
      </c>
      <c r="AI3433">
        <v>100</v>
      </c>
      <c r="AJ3433">
        <v>1</v>
      </c>
      <c r="AK3433">
        <v>0</v>
      </c>
      <c r="AL3433">
        <v>0</v>
      </c>
      <c r="AM3433">
        <v>100</v>
      </c>
      <c r="AN3433">
        <v>0</v>
      </c>
      <c r="AO3433">
        <v>0</v>
      </c>
      <c r="AP3433">
        <v>0</v>
      </c>
      <c r="AQ3433">
        <v>0</v>
      </c>
      <c r="AS3433">
        <v>0</v>
      </c>
      <c r="AT3433">
        <v>0</v>
      </c>
      <c r="AV3433">
        <v>0</v>
      </c>
      <c r="AW3433">
        <v>0</v>
      </c>
      <c r="AY3433">
        <v>0</v>
      </c>
      <c r="AZ3433">
        <v>0</v>
      </c>
      <c r="BA3433">
        <v>70</v>
      </c>
      <c r="BE3433" t="str">
        <f>T("9791137016606")</f>
        <v>9791137016606</v>
      </c>
      <c r="BF3433" t="str">
        <f>T("k125911")</f>
        <v>k125911</v>
      </c>
      <c r="BG3433" t="str">
        <f>T("판타지 웹소설 &gt; 현대 판타지")</f>
        <v>판타지 웹소설 &gt; 현대 판타지</v>
      </c>
    </row>
    <row r="3434" spans="1:59">
      <c r="A3434" t="s">
        <v>60</v>
      </c>
      <c r="B3434" s="1">
        <v>46131</v>
      </c>
      <c r="C3434">
        <v>2378055628</v>
      </c>
      <c r="D3434">
        <v>2378055664</v>
      </c>
      <c r="E3434" t="str">
        <f>T("방구석 천재작가 37화")</f>
        <v>방구석 천재작가 37화</v>
      </c>
      <c r="F3434">
        <v>37</v>
      </c>
      <c r="G3434" t="str">
        <f>T("노란안경")</f>
        <v>노란안경</v>
      </c>
      <c r="J3434" t="str">
        <f>T("매드햇")</f>
        <v>매드햇</v>
      </c>
      <c r="K3434" t="str">
        <f>T("방구석 천재작가")</f>
        <v>방구석 천재작가</v>
      </c>
      <c r="L3434">
        <v>100</v>
      </c>
      <c r="M3434">
        <v>100</v>
      </c>
      <c r="N3434">
        <v>1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0</v>
      </c>
      <c r="AH3434">
        <v>0</v>
      </c>
      <c r="AI3434">
        <v>100</v>
      </c>
      <c r="AJ3434">
        <v>1</v>
      </c>
      <c r="AK3434">
        <v>0</v>
      </c>
      <c r="AL3434">
        <v>0</v>
      </c>
      <c r="AM3434">
        <v>100</v>
      </c>
      <c r="AN3434">
        <v>0</v>
      </c>
      <c r="AO3434">
        <v>0</v>
      </c>
      <c r="AP3434">
        <v>0</v>
      </c>
      <c r="AQ3434">
        <v>0</v>
      </c>
      <c r="AS3434">
        <v>0</v>
      </c>
      <c r="AT3434">
        <v>0</v>
      </c>
      <c r="AV3434">
        <v>0</v>
      </c>
      <c r="AW3434">
        <v>0</v>
      </c>
      <c r="AY3434">
        <v>0</v>
      </c>
      <c r="AZ3434">
        <v>0</v>
      </c>
      <c r="BA3434">
        <v>70</v>
      </c>
      <c r="BE3434" t="str">
        <f>T("9791137016606")</f>
        <v>9791137016606</v>
      </c>
      <c r="BF3434" t="str">
        <f>T("k125912")</f>
        <v>k125912</v>
      </c>
      <c r="BG3434" t="str">
        <f>T("판타지 웹소설 &gt; 현대 판타지")</f>
        <v>판타지 웹소설 &gt; 현대 판타지</v>
      </c>
    </row>
    <row r="3435" spans="1:59">
      <c r="A3435" t="s">
        <v>60</v>
      </c>
      <c r="B3435" s="1">
        <v>46131</v>
      </c>
      <c r="C3435">
        <v>2378055628</v>
      </c>
      <c r="D3435">
        <v>2378055665</v>
      </c>
      <c r="E3435" t="str">
        <f>T("방구석 천재작가 38화")</f>
        <v>방구석 천재작가 38화</v>
      </c>
      <c r="F3435">
        <v>38</v>
      </c>
      <c r="G3435" t="str">
        <f>T("노란안경")</f>
        <v>노란안경</v>
      </c>
      <c r="J3435" t="str">
        <f>T("매드햇")</f>
        <v>매드햇</v>
      </c>
      <c r="K3435" t="str">
        <f>T("방구석 천재작가")</f>
        <v>방구석 천재작가</v>
      </c>
      <c r="L3435">
        <v>100</v>
      </c>
      <c r="M3435">
        <v>100</v>
      </c>
      <c r="N3435">
        <v>1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0</v>
      </c>
      <c r="AF3435">
        <v>0</v>
      </c>
      <c r="AG3435">
        <v>0</v>
      </c>
      <c r="AH3435">
        <v>0</v>
      </c>
      <c r="AI3435">
        <v>100</v>
      </c>
      <c r="AJ3435">
        <v>1</v>
      </c>
      <c r="AK3435">
        <v>0</v>
      </c>
      <c r="AL3435">
        <v>0</v>
      </c>
      <c r="AM3435">
        <v>100</v>
      </c>
      <c r="AN3435">
        <v>0</v>
      </c>
      <c r="AO3435">
        <v>0</v>
      </c>
      <c r="AP3435">
        <v>0</v>
      </c>
      <c r="AQ3435">
        <v>0</v>
      </c>
      <c r="AS3435">
        <v>0</v>
      </c>
      <c r="AT3435">
        <v>0</v>
      </c>
      <c r="AV3435">
        <v>0</v>
      </c>
      <c r="AW3435">
        <v>0</v>
      </c>
      <c r="AY3435">
        <v>0</v>
      </c>
      <c r="AZ3435">
        <v>0</v>
      </c>
      <c r="BA3435">
        <v>70</v>
      </c>
      <c r="BE3435" t="str">
        <f>T("9791137016606")</f>
        <v>9791137016606</v>
      </c>
      <c r="BF3435" t="str">
        <f>T("k125913")</f>
        <v>k125913</v>
      </c>
      <c r="BG3435" t="str">
        <f>T("판타지 웹소설 &gt; 현대 판타지")</f>
        <v>판타지 웹소설 &gt; 현대 판타지</v>
      </c>
    </row>
    <row r="3436" spans="1:59">
      <c r="A3436" t="s">
        <v>60</v>
      </c>
      <c r="B3436" s="1">
        <v>46131</v>
      </c>
      <c r="C3436">
        <v>2378055628</v>
      </c>
      <c r="D3436">
        <v>2378055666</v>
      </c>
      <c r="E3436" t="str">
        <f>T("방구석 천재작가 39화")</f>
        <v>방구석 천재작가 39화</v>
      </c>
      <c r="F3436">
        <v>39</v>
      </c>
      <c r="G3436" t="str">
        <f>T("노란안경")</f>
        <v>노란안경</v>
      </c>
      <c r="J3436" t="str">
        <f>T("매드햇")</f>
        <v>매드햇</v>
      </c>
      <c r="K3436" t="str">
        <f>T("방구석 천재작가")</f>
        <v>방구석 천재작가</v>
      </c>
      <c r="L3436">
        <v>100</v>
      </c>
      <c r="M3436">
        <v>100</v>
      </c>
      <c r="N3436">
        <v>1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0</v>
      </c>
      <c r="AH3436">
        <v>0</v>
      </c>
      <c r="AI3436">
        <v>100</v>
      </c>
      <c r="AJ3436">
        <v>1</v>
      </c>
      <c r="AK3436">
        <v>0</v>
      </c>
      <c r="AL3436">
        <v>0</v>
      </c>
      <c r="AM3436">
        <v>100</v>
      </c>
      <c r="AN3436">
        <v>0</v>
      </c>
      <c r="AO3436">
        <v>0</v>
      </c>
      <c r="AP3436">
        <v>0</v>
      </c>
      <c r="AQ3436">
        <v>0</v>
      </c>
      <c r="AS3436">
        <v>0</v>
      </c>
      <c r="AT3436">
        <v>0</v>
      </c>
      <c r="AV3436">
        <v>0</v>
      </c>
      <c r="AW3436">
        <v>0</v>
      </c>
      <c r="AY3436">
        <v>0</v>
      </c>
      <c r="AZ3436">
        <v>0</v>
      </c>
      <c r="BA3436">
        <v>70</v>
      </c>
      <c r="BE3436" t="str">
        <f>T("9791137016606")</f>
        <v>9791137016606</v>
      </c>
      <c r="BF3436" t="str">
        <f>T("k125914")</f>
        <v>k125914</v>
      </c>
      <c r="BG3436" t="str">
        <f>T("판타지 웹소설 &gt; 현대 판타지")</f>
        <v>판타지 웹소설 &gt; 현대 판타지</v>
      </c>
    </row>
    <row r="3437" spans="1:59">
      <c r="A3437" t="s">
        <v>60</v>
      </c>
      <c r="B3437" s="1">
        <v>46131</v>
      </c>
      <c r="C3437">
        <v>2378055628</v>
      </c>
      <c r="D3437">
        <v>2378055667</v>
      </c>
      <c r="E3437" t="str">
        <f>T("방구석 천재작가 40화")</f>
        <v>방구석 천재작가 40화</v>
      </c>
      <c r="F3437">
        <v>40</v>
      </c>
      <c r="G3437" t="str">
        <f>T("노란안경")</f>
        <v>노란안경</v>
      </c>
      <c r="J3437" t="str">
        <f>T("매드햇")</f>
        <v>매드햇</v>
      </c>
      <c r="K3437" t="str">
        <f>T("방구석 천재작가")</f>
        <v>방구석 천재작가</v>
      </c>
      <c r="L3437">
        <v>100</v>
      </c>
      <c r="M3437">
        <v>100</v>
      </c>
      <c r="N3437">
        <v>1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0</v>
      </c>
      <c r="AH3437">
        <v>0</v>
      </c>
      <c r="AI3437">
        <v>100</v>
      </c>
      <c r="AJ3437">
        <v>1</v>
      </c>
      <c r="AK3437">
        <v>0</v>
      </c>
      <c r="AL3437">
        <v>0</v>
      </c>
      <c r="AM3437">
        <v>100</v>
      </c>
      <c r="AN3437">
        <v>0</v>
      </c>
      <c r="AO3437">
        <v>0</v>
      </c>
      <c r="AP3437">
        <v>0</v>
      </c>
      <c r="AQ3437">
        <v>0</v>
      </c>
      <c r="AS3437">
        <v>0</v>
      </c>
      <c r="AT3437">
        <v>0</v>
      </c>
      <c r="AV3437">
        <v>0</v>
      </c>
      <c r="AW3437">
        <v>0</v>
      </c>
      <c r="AY3437">
        <v>0</v>
      </c>
      <c r="AZ3437">
        <v>0</v>
      </c>
      <c r="BA3437">
        <v>70</v>
      </c>
      <c r="BE3437" t="str">
        <f>T("9791137016606")</f>
        <v>9791137016606</v>
      </c>
      <c r="BF3437" t="str">
        <f>T("k125915")</f>
        <v>k125915</v>
      </c>
      <c r="BG3437" t="str">
        <f>T("판타지 웹소설 &gt; 현대 판타지")</f>
        <v>판타지 웹소설 &gt; 현대 판타지</v>
      </c>
    </row>
    <row r="3438" spans="1:59">
      <c r="A3438" t="s">
        <v>60</v>
      </c>
      <c r="B3438" s="1">
        <v>46131</v>
      </c>
      <c r="C3438">
        <v>2378055628</v>
      </c>
      <c r="D3438">
        <v>2378055668</v>
      </c>
      <c r="E3438" t="str">
        <f>T("방구석 천재작가 41화")</f>
        <v>방구석 천재작가 41화</v>
      </c>
      <c r="F3438">
        <v>41</v>
      </c>
      <c r="G3438" t="str">
        <f>T("노란안경")</f>
        <v>노란안경</v>
      </c>
      <c r="J3438" t="str">
        <f>T("매드햇")</f>
        <v>매드햇</v>
      </c>
      <c r="K3438" t="str">
        <f>T("방구석 천재작가")</f>
        <v>방구석 천재작가</v>
      </c>
      <c r="L3438">
        <v>100</v>
      </c>
      <c r="M3438">
        <v>100</v>
      </c>
      <c r="N3438">
        <v>1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0</v>
      </c>
      <c r="AH3438">
        <v>0</v>
      </c>
      <c r="AI3438">
        <v>100</v>
      </c>
      <c r="AJ3438">
        <v>1</v>
      </c>
      <c r="AK3438">
        <v>0</v>
      </c>
      <c r="AL3438">
        <v>0</v>
      </c>
      <c r="AM3438">
        <v>100</v>
      </c>
      <c r="AN3438">
        <v>0</v>
      </c>
      <c r="AO3438">
        <v>0</v>
      </c>
      <c r="AP3438">
        <v>0</v>
      </c>
      <c r="AQ3438">
        <v>0</v>
      </c>
      <c r="AS3438">
        <v>0</v>
      </c>
      <c r="AT3438">
        <v>0</v>
      </c>
      <c r="AV3438">
        <v>0</v>
      </c>
      <c r="AW3438">
        <v>0</v>
      </c>
      <c r="AY3438">
        <v>0</v>
      </c>
      <c r="AZ3438">
        <v>0</v>
      </c>
      <c r="BA3438">
        <v>70</v>
      </c>
      <c r="BE3438" t="str">
        <f>T("9791137016606")</f>
        <v>9791137016606</v>
      </c>
      <c r="BF3438" t="str">
        <f>T("k125916")</f>
        <v>k125916</v>
      </c>
      <c r="BG3438" t="str">
        <f>T("판타지 웹소설 &gt; 현대 판타지")</f>
        <v>판타지 웹소설 &gt; 현대 판타지</v>
      </c>
    </row>
    <row r="3439" spans="1:59">
      <c r="A3439" t="s">
        <v>60</v>
      </c>
      <c r="B3439" s="1">
        <v>46131</v>
      </c>
      <c r="C3439">
        <v>2378055628</v>
      </c>
      <c r="D3439">
        <v>2378055669</v>
      </c>
      <c r="E3439" t="str">
        <f>T("방구석 천재작가 42화")</f>
        <v>방구석 천재작가 42화</v>
      </c>
      <c r="F3439">
        <v>42</v>
      </c>
      <c r="G3439" t="str">
        <f>T("노란안경")</f>
        <v>노란안경</v>
      </c>
      <c r="J3439" t="str">
        <f>T("매드햇")</f>
        <v>매드햇</v>
      </c>
      <c r="K3439" t="str">
        <f>T("방구석 천재작가")</f>
        <v>방구석 천재작가</v>
      </c>
      <c r="L3439">
        <v>100</v>
      </c>
      <c r="M3439">
        <v>100</v>
      </c>
      <c r="N3439">
        <v>1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0</v>
      </c>
      <c r="AH3439">
        <v>0</v>
      </c>
      <c r="AI3439">
        <v>100</v>
      </c>
      <c r="AJ3439">
        <v>1</v>
      </c>
      <c r="AK3439">
        <v>0</v>
      </c>
      <c r="AL3439">
        <v>0</v>
      </c>
      <c r="AM3439">
        <v>100</v>
      </c>
      <c r="AN3439">
        <v>0</v>
      </c>
      <c r="AO3439">
        <v>0</v>
      </c>
      <c r="AP3439">
        <v>0</v>
      </c>
      <c r="AQ3439">
        <v>0</v>
      </c>
      <c r="AS3439">
        <v>0</v>
      </c>
      <c r="AT3439">
        <v>0</v>
      </c>
      <c r="AV3439">
        <v>0</v>
      </c>
      <c r="AW3439">
        <v>0</v>
      </c>
      <c r="AY3439">
        <v>0</v>
      </c>
      <c r="AZ3439">
        <v>0</v>
      </c>
      <c r="BA3439">
        <v>70</v>
      </c>
      <c r="BE3439" t="str">
        <f>T("9791137016606")</f>
        <v>9791137016606</v>
      </c>
      <c r="BF3439" t="str">
        <f>T("k125917")</f>
        <v>k125917</v>
      </c>
      <c r="BG3439" t="str">
        <f>T("판타지 웹소설 &gt; 현대 판타지")</f>
        <v>판타지 웹소설 &gt; 현대 판타지</v>
      </c>
    </row>
    <row r="3440" spans="1:59">
      <c r="A3440" t="s">
        <v>60</v>
      </c>
      <c r="B3440" s="1">
        <v>46131</v>
      </c>
      <c r="C3440">
        <v>2378055628</v>
      </c>
      <c r="D3440">
        <v>2378055670</v>
      </c>
      <c r="E3440" t="str">
        <f>T("방구석 천재작가 43화")</f>
        <v>방구석 천재작가 43화</v>
      </c>
      <c r="F3440">
        <v>43</v>
      </c>
      <c r="G3440" t="str">
        <f>T("노란안경")</f>
        <v>노란안경</v>
      </c>
      <c r="J3440" t="str">
        <f>T("매드햇")</f>
        <v>매드햇</v>
      </c>
      <c r="K3440" t="str">
        <f>T("방구석 천재작가")</f>
        <v>방구석 천재작가</v>
      </c>
      <c r="L3440">
        <v>100</v>
      </c>
      <c r="M3440">
        <v>100</v>
      </c>
      <c r="N3440">
        <v>1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0</v>
      </c>
      <c r="AH3440">
        <v>0</v>
      </c>
      <c r="AI3440">
        <v>100</v>
      </c>
      <c r="AJ3440">
        <v>1</v>
      </c>
      <c r="AK3440">
        <v>0</v>
      </c>
      <c r="AL3440">
        <v>0</v>
      </c>
      <c r="AM3440">
        <v>100</v>
      </c>
      <c r="AN3440">
        <v>0</v>
      </c>
      <c r="AO3440">
        <v>0</v>
      </c>
      <c r="AP3440">
        <v>0</v>
      </c>
      <c r="AQ3440">
        <v>0</v>
      </c>
      <c r="AS3440">
        <v>0</v>
      </c>
      <c r="AT3440">
        <v>0</v>
      </c>
      <c r="AV3440">
        <v>0</v>
      </c>
      <c r="AW3440">
        <v>0</v>
      </c>
      <c r="AY3440">
        <v>0</v>
      </c>
      <c r="AZ3440">
        <v>0</v>
      </c>
      <c r="BA3440">
        <v>70</v>
      </c>
      <c r="BE3440" t="str">
        <f>T("9791137016606")</f>
        <v>9791137016606</v>
      </c>
      <c r="BF3440" t="str">
        <f>T("k125918")</f>
        <v>k125918</v>
      </c>
      <c r="BG3440" t="str">
        <f>T("판타지 웹소설 &gt; 현대 판타지")</f>
        <v>판타지 웹소설 &gt; 현대 판타지</v>
      </c>
    </row>
    <row r="3441" spans="1:59">
      <c r="A3441" t="s">
        <v>60</v>
      </c>
      <c r="B3441" s="1">
        <v>46131</v>
      </c>
      <c r="C3441">
        <v>2378055628</v>
      </c>
      <c r="D3441">
        <v>2378055671</v>
      </c>
      <c r="E3441" t="str">
        <f>T("방구석 천재작가 44화")</f>
        <v>방구석 천재작가 44화</v>
      </c>
      <c r="F3441">
        <v>44</v>
      </c>
      <c r="G3441" t="str">
        <f>T("노란안경")</f>
        <v>노란안경</v>
      </c>
      <c r="J3441" t="str">
        <f>T("매드햇")</f>
        <v>매드햇</v>
      </c>
      <c r="K3441" t="str">
        <f>T("방구석 천재작가")</f>
        <v>방구석 천재작가</v>
      </c>
      <c r="L3441">
        <v>100</v>
      </c>
      <c r="M3441">
        <v>100</v>
      </c>
      <c r="N3441">
        <v>1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0</v>
      </c>
      <c r="AH3441">
        <v>0</v>
      </c>
      <c r="AI3441">
        <v>100</v>
      </c>
      <c r="AJ3441">
        <v>1</v>
      </c>
      <c r="AK3441">
        <v>0</v>
      </c>
      <c r="AL3441">
        <v>0</v>
      </c>
      <c r="AM3441">
        <v>100</v>
      </c>
      <c r="AN3441">
        <v>0</v>
      </c>
      <c r="AO3441">
        <v>0</v>
      </c>
      <c r="AP3441">
        <v>0</v>
      </c>
      <c r="AQ3441">
        <v>0</v>
      </c>
      <c r="AS3441">
        <v>0</v>
      </c>
      <c r="AT3441">
        <v>0</v>
      </c>
      <c r="AV3441">
        <v>0</v>
      </c>
      <c r="AW3441">
        <v>0</v>
      </c>
      <c r="AY3441">
        <v>0</v>
      </c>
      <c r="AZ3441">
        <v>0</v>
      </c>
      <c r="BA3441">
        <v>70</v>
      </c>
      <c r="BE3441" t="str">
        <f>T("9791137016606")</f>
        <v>9791137016606</v>
      </c>
      <c r="BF3441" t="str">
        <f>T("k125919")</f>
        <v>k125919</v>
      </c>
      <c r="BG3441" t="str">
        <f>T("판타지 웹소설 &gt; 현대 판타지")</f>
        <v>판타지 웹소설 &gt; 현대 판타지</v>
      </c>
    </row>
    <row r="3442" spans="1:59">
      <c r="A3442" t="s">
        <v>60</v>
      </c>
      <c r="B3442" s="1">
        <v>46131</v>
      </c>
      <c r="C3442">
        <v>2378055628</v>
      </c>
      <c r="D3442">
        <v>2378055672</v>
      </c>
      <c r="E3442" t="str">
        <f>T("방구석 천재작가 45화")</f>
        <v>방구석 천재작가 45화</v>
      </c>
      <c r="F3442">
        <v>45</v>
      </c>
      <c r="G3442" t="str">
        <f>T("노란안경")</f>
        <v>노란안경</v>
      </c>
      <c r="J3442" t="str">
        <f>T("매드햇")</f>
        <v>매드햇</v>
      </c>
      <c r="K3442" t="str">
        <f>T("방구석 천재작가")</f>
        <v>방구석 천재작가</v>
      </c>
      <c r="L3442">
        <v>100</v>
      </c>
      <c r="M3442">
        <v>100</v>
      </c>
      <c r="N3442">
        <v>1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0</v>
      </c>
      <c r="AH3442">
        <v>0</v>
      </c>
      <c r="AI3442">
        <v>100</v>
      </c>
      <c r="AJ3442">
        <v>1</v>
      </c>
      <c r="AK3442">
        <v>0</v>
      </c>
      <c r="AL3442">
        <v>0</v>
      </c>
      <c r="AM3442">
        <v>100</v>
      </c>
      <c r="AN3442">
        <v>0</v>
      </c>
      <c r="AO3442">
        <v>0</v>
      </c>
      <c r="AP3442">
        <v>0</v>
      </c>
      <c r="AQ3442">
        <v>0</v>
      </c>
      <c r="AS3442">
        <v>0</v>
      </c>
      <c r="AT3442">
        <v>0</v>
      </c>
      <c r="AV3442">
        <v>0</v>
      </c>
      <c r="AW3442">
        <v>0</v>
      </c>
      <c r="AY3442">
        <v>0</v>
      </c>
      <c r="AZ3442">
        <v>0</v>
      </c>
      <c r="BA3442">
        <v>70</v>
      </c>
      <c r="BE3442" t="str">
        <f>T("9791137016606")</f>
        <v>9791137016606</v>
      </c>
      <c r="BF3442" t="str">
        <f>T("k125920")</f>
        <v>k125920</v>
      </c>
      <c r="BG3442" t="str">
        <f>T("판타지 웹소설 &gt; 현대 판타지")</f>
        <v>판타지 웹소설 &gt; 현대 판타지</v>
      </c>
    </row>
    <row r="3443" spans="1:59">
      <c r="A3443" t="s">
        <v>60</v>
      </c>
      <c r="B3443" s="1">
        <v>46131</v>
      </c>
      <c r="C3443">
        <v>2378055628</v>
      </c>
      <c r="D3443">
        <v>2378055673</v>
      </c>
      <c r="E3443" t="str">
        <f>T("방구석 천재작가 46화")</f>
        <v>방구석 천재작가 46화</v>
      </c>
      <c r="F3443">
        <v>46</v>
      </c>
      <c r="G3443" t="str">
        <f>T("노란안경")</f>
        <v>노란안경</v>
      </c>
      <c r="J3443" t="str">
        <f>T("매드햇")</f>
        <v>매드햇</v>
      </c>
      <c r="K3443" t="str">
        <f>T("방구석 천재작가")</f>
        <v>방구석 천재작가</v>
      </c>
      <c r="L3443">
        <v>100</v>
      </c>
      <c r="M3443">
        <v>100</v>
      </c>
      <c r="N3443">
        <v>1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0</v>
      </c>
      <c r="AH3443">
        <v>0</v>
      </c>
      <c r="AI3443">
        <v>100</v>
      </c>
      <c r="AJ3443">
        <v>1</v>
      </c>
      <c r="AK3443">
        <v>0</v>
      </c>
      <c r="AL3443">
        <v>0</v>
      </c>
      <c r="AM3443">
        <v>100</v>
      </c>
      <c r="AN3443">
        <v>0</v>
      </c>
      <c r="AO3443">
        <v>0</v>
      </c>
      <c r="AP3443">
        <v>0</v>
      </c>
      <c r="AQ3443">
        <v>0</v>
      </c>
      <c r="AS3443">
        <v>0</v>
      </c>
      <c r="AT3443">
        <v>0</v>
      </c>
      <c r="AV3443">
        <v>0</v>
      </c>
      <c r="AW3443">
        <v>0</v>
      </c>
      <c r="AY3443">
        <v>0</v>
      </c>
      <c r="AZ3443">
        <v>0</v>
      </c>
      <c r="BA3443">
        <v>70</v>
      </c>
      <c r="BE3443" t="str">
        <f>T("9791137016606")</f>
        <v>9791137016606</v>
      </c>
      <c r="BF3443" t="str">
        <f>T("k125921")</f>
        <v>k125921</v>
      </c>
      <c r="BG3443" t="str">
        <f>T("판타지 웹소설 &gt; 현대 판타지")</f>
        <v>판타지 웹소설 &gt; 현대 판타지</v>
      </c>
    </row>
    <row r="3444" spans="1:59">
      <c r="A3444" t="s">
        <v>60</v>
      </c>
      <c r="B3444" s="1">
        <v>46131</v>
      </c>
      <c r="C3444">
        <v>2378055628</v>
      </c>
      <c r="D3444">
        <v>2378055674</v>
      </c>
      <c r="E3444" t="str">
        <f>T("방구석 천재작가 47화")</f>
        <v>방구석 천재작가 47화</v>
      </c>
      <c r="F3444">
        <v>47</v>
      </c>
      <c r="G3444" t="str">
        <f>T("노란안경")</f>
        <v>노란안경</v>
      </c>
      <c r="J3444" t="str">
        <f>T("매드햇")</f>
        <v>매드햇</v>
      </c>
      <c r="K3444" t="str">
        <f>T("방구석 천재작가")</f>
        <v>방구석 천재작가</v>
      </c>
      <c r="L3444">
        <v>100</v>
      </c>
      <c r="M3444">
        <v>100</v>
      </c>
      <c r="N3444">
        <v>1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0</v>
      </c>
      <c r="AH3444">
        <v>0</v>
      </c>
      <c r="AI3444">
        <v>100</v>
      </c>
      <c r="AJ3444">
        <v>1</v>
      </c>
      <c r="AK3444">
        <v>0</v>
      </c>
      <c r="AL3444">
        <v>0</v>
      </c>
      <c r="AM3444">
        <v>100</v>
      </c>
      <c r="AN3444">
        <v>0</v>
      </c>
      <c r="AO3444">
        <v>0</v>
      </c>
      <c r="AP3444">
        <v>0</v>
      </c>
      <c r="AQ3444">
        <v>0</v>
      </c>
      <c r="AS3444">
        <v>0</v>
      </c>
      <c r="AT3444">
        <v>0</v>
      </c>
      <c r="AV3444">
        <v>0</v>
      </c>
      <c r="AW3444">
        <v>0</v>
      </c>
      <c r="AY3444">
        <v>0</v>
      </c>
      <c r="AZ3444">
        <v>0</v>
      </c>
      <c r="BA3444">
        <v>70</v>
      </c>
      <c r="BE3444" t="str">
        <f>T("9791137016606")</f>
        <v>9791137016606</v>
      </c>
      <c r="BF3444" t="str">
        <f>T("k125922")</f>
        <v>k125922</v>
      </c>
      <c r="BG3444" t="str">
        <f>T("판타지 웹소설 &gt; 현대 판타지")</f>
        <v>판타지 웹소설 &gt; 현대 판타지</v>
      </c>
    </row>
    <row r="3445" spans="1:59">
      <c r="A3445" t="s">
        <v>60</v>
      </c>
      <c r="B3445" s="1">
        <v>46131</v>
      </c>
      <c r="C3445">
        <v>2378055628</v>
      </c>
      <c r="D3445">
        <v>2378055675</v>
      </c>
      <c r="E3445" t="str">
        <f>T("방구석 천재작가 48화")</f>
        <v>방구석 천재작가 48화</v>
      </c>
      <c r="F3445">
        <v>48</v>
      </c>
      <c r="G3445" t="str">
        <f>T("노란안경")</f>
        <v>노란안경</v>
      </c>
      <c r="J3445" t="str">
        <f>T("매드햇")</f>
        <v>매드햇</v>
      </c>
      <c r="K3445" t="str">
        <f>T("방구석 천재작가")</f>
        <v>방구석 천재작가</v>
      </c>
      <c r="L3445">
        <v>100</v>
      </c>
      <c r="M3445">
        <v>100</v>
      </c>
      <c r="N3445">
        <v>1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0</v>
      </c>
      <c r="AH3445">
        <v>0</v>
      </c>
      <c r="AI3445">
        <v>100</v>
      </c>
      <c r="AJ3445">
        <v>1</v>
      </c>
      <c r="AK3445">
        <v>0</v>
      </c>
      <c r="AL3445">
        <v>0</v>
      </c>
      <c r="AM3445">
        <v>100</v>
      </c>
      <c r="AN3445">
        <v>0</v>
      </c>
      <c r="AO3445">
        <v>0</v>
      </c>
      <c r="AP3445">
        <v>0</v>
      </c>
      <c r="AQ3445">
        <v>0</v>
      </c>
      <c r="AS3445">
        <v>0</v>
      </c>
      <c r="AT3445">
        <v>0</v>
      </c>
      <c r="AV3445">
        <v>0</v>
      </c>
      <c r="AW3445">
        <v>0</v>
      </c>
      <c r="AY3445">
        <v>0</v>
      </c>
      <c r="AZ3445">
        <v>0</v>
      </c>
      <c r="BA3445">
        <v>70</v>
      </c>
      <c r="BE3445" t="str">
        <f>T("9791137016606")</f>
        <v>9791137016606</v>
      </c>
      <c r="BF3445" t="str">
        <f>T("k125923")</f>
        <v>k125923</v>
      </c>
      <c r="BG3445" t="str">
        <f>T("판타지 웹소설 &gt; 현대 판타지")</f>
        <v>판타지 웹소설 &gt; 현대 판타지</v>
      </c>
    </row>
    <row r="3446" spans="1:59">
      <c r="A3446" t="s">
        <v>60</v>
      </c>
      <c r="B3446" s="1">
        <v>46131</v>
      </c>
      <c r="C3446">
        <v>2378055628</v>
      </c>
      <c r="D3446">
        <v>2378055676</v>
      </c>
      <c r="E3446" t="str">
        <f>T("방구석 천재작가 49화")</f>
        <v>방구석 천재작가 49화</v>
      </c>
      <c r="F3446">
        <v>49</v>
      </c>
      <c r="G3446" t="str">
        <f>T("노란안경")</f>
        <v>노란안경</v>
      </c>
      <c r="J3446" t="str">
        <f>T("매드햇")</f>
        <v>매드햇</v>
      </c>
      <c r="K3446" t="str">
        <f>T("방구석 천재작가")</f>
        <v>방구석 천재작가</v>
      </c>
      <c r="L3446">
        <v>100</v>
      </c>
      <c r="M3446">
        <v>100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0</v>
      </c>
      <c r="AH3446">
        <v>0</v>
      </c>
      <c r="AI3446">
        <v>100</v>
      </c>
      <c r="AJ3446">
        <v>1</v>
      </c>
      <c r="AK3446">
        <v>0</v>
      </c>
      <c r="AL3446">
        <v>0</v>
      </c>
      <c r="AM3446">
        <v>100</v>
      </c>
      <c r="AN3446">
        <v>0</v>
      </c>
      <c r="AO3446">
        <v>0</v>
      </c>
      <c r="AP3446">
        <v>0</v>
      </c>
      <c r="AQ3446">
        <v>0</v>
      </c>
      <c r="AS3446">
        <v>0</v>
      </c>
      <c r="AT3446">
        <v>0</v>
      </c>
      <c r="AV3446">
        <v>0</v>
      </c>
      <c r="AW3446">
        <v>0</v>
      </c>
      <c r="AY3446">
        <v>0</v>
      </c>
      <c r="AZ3446">
        <v>0</v>
      </c>
      <c r="BA3446">
        <v>70</v>
      </c>
      <c r="BE3446" t="str">
        <f>T("9791137016606")</f>
        <v>9791137016606</v>
      </c>
      <c r="BF3446" t="str">
        <f>T("k125924")</f>
        <v>k125924</v>
      </c>
      <c r="BG3446" t="str">
        <f>T("판타지 웹소설 &gt; 현대 판타지")</f>
        <v>판타지 웹소설 &gt; 현대 판타지</v>
      </c>
    </row>
    <row r="3447" spans="1:59">
      <c r="A3447" t="s">
        <v>60</v>
      </c>
      <c r="B3447" s="1">
        <v>46131</v>
      </c>
      <c r="C3447">
        <v>2378055628</v>
      </c>
      <c r="D3447">
        <v>2378055677</v>
      </c>
      <c r="E3447" t="str">
        <f>T("방구석 천재작가 50화")</f>
        <v>방구석 천재작가 50화</v>
      </c>
      <c r="F3447">
        <v>50</v>
      </c>
      <c r="G3447" t="str">
        <f>T("노란안경")</f>
        <v>노란안경</v>
      </c>
      <c r="J3447" t="str">
        <f>T("매드햇")</f>
        <v>매드햇</v>
      </c>
      <c r="K3447" t="str">
        <f>T("방구석 천재작가")</f>
        <v>방구석 천재작가</v>
      </c>
      <c r="L3447">
        <v>100</v>
      </c>
      <c r="M3447">
        <v>100</v>
      </c>
      <c r="N3447">
        <v>1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0</v>
      </c>
      <c r="AH3447">
        <v>0</v>
      </c>
      <c r="AI3447">
        <v>100</v>
      </c>
      <c r="AJ3447">
        <v>1</v>
      </c>
      <c r="AK3447">
        <v>0</v>
      </c>
      <c r="AL3447">
        <v>0</v>
      </c>
      <c r="AM3447">
        <v>100</v>
      </c>
      <c r="AN3447">
        <v>0</v>
      </c>
      <c r="AO3447">
        <v>0</v>
      </c>
      <c r="AP3447">
        <v>0</v>
      </c>
      <c r="AQ3447">
        <v>0</v>
      </c>
      <c r="AS3447">
        <v>0</v>
      </c>
      <c r="AT3447">
        <v>0</v>
      </c>
      <c r="AV3447">
        <v>0</v>
      </c>
      <c r="AW3447">
        <v>0</v>
      </c>
      <c r="AY3447">
        <v>0</v>
      </c>
      <c r="AZ3447">
        <v>0</v>
      </c>
      <c r="BA3447">
        <v>70</v>
      </c>
      <c r="BE3447" t="str">
        <f>T("9791137016606")</f>
        <v>9791137016606</v>
      </c>
      <c r="BF3447" t="str">
        <f>T("k125925")</f>
        <v>k125925</v>
      </c>
      <c r="BG3447" t="str">
        <f>T("판타지 웹소설 &gt; 현대 판타지")</f>
        <v>판타지 웹소설 &gt; 현대 판타지</v>
      </c>
    </row>
    <row r="3448" spans="1:59">
      <c r="A3448" t="s">
        <v>60</v>
      </c>
      <c r="B3448" s="1">
        <v>46131</v>
      </c>
      <c r="C3448">
        <v>2378055628</v>
      </c>
      <c r="D3448">
        <v>2378055678</v>
      </c>
      <c r="E3448" t="str">
        <f>T("방구석 천재작가 51화")</f>
        <v>방구석 천재작가 51화</v>
      </c>
      <c r="F3448">
        <v>51</v>
      </c>
      <c r="G3448" t="str">
        <f>T("노란안경")</f>
        <v>노란안경</v>
      </c>
      <c r="J3448" t="str">
        <f>T("매드햇")</f>
        <v>매드햇</v>
      </c>
      <c r="K3448" t="str">
        <f>T("방구석 천재작가")</f>
        <v>방구석 천재작가</v>
      </c>
      <c r="L3448">
        <v>100</v>
      </c>
      <c r="M3448">
        <v>100</v>
      </c>
      <c r="N3448">
        <v>1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0</v>
      </c>
      <c r="AH3448">
        <v>0</v>
      </c>
      <c r="AI3448">
        <v>100</v>
      </c>
      <c r="AJ3448">
        <v>1</v>
      </c>
      <c r="AK3448">
        <v>0</v>
      </c>
      <c r="AL3448">
        <v>0</v>
      </c>
      <c r="AM3448">
        <v>100</v>
      </c>
      <c r="AN3448">
        <v>0</v>
      </c>
      <c r="AO3448">
        <v>0</v>
      </c>
      <c r="AP3448">
        <v>0</v>
      </c>
      <c r="AQ3448">
        <v>0</v>
      </c>
      <c r="AS3448">
        <v>0</v>
      </c>
      <c r="AT3448">
        <v>0</v>
      </c>
      <c r="AV3448">
        <v>0</v>
      </c>
      <c r="AW3448">
        <v>0</v>
      </c>
      <c r="AY3448">
        <v>0</v>
      </c>
      <c r="AZ3448">
        <v>0</v>
      </c>
      <c r="BA3448">
        <v>70</v>
      </c>
      <c r="BE3448" t="str">
        <f>T("9791137016606")</f>
        <v>9791137016606</v>
      </c>
      <c r="BF3448" t="str">
        <f>T("k125926")</f>
        <v>k125926</v>
      </c>
      <c r="BG3448" t="str">
        <f>T("판타지 웹소설 &gt; 현대 판타지")</f>
        <v>판타지 웹소설 &gt; 현대 판타지</v>
      </c>
    </row>
    <row r="3449" spans="1:59">
      <c r="A3449" t="s">
        <v>60</v>
      </c>
      <c r="B3449" s="1">
        <v>46131</v>
      </c>
      <c r="C3449">
        <v>2378055628</v>
      </c>
      <c r="D3449">
        <v>2378055679</v>
      </c>
      <c r="E3449" t="str">
        <f>T("방구석 천재작가 52화")</f>
        <v>방구석 천재작가 52화</v>
      </c>
      <c r="F3449">
        <v>52</v>
      </c>
      <c r="G3449" t="str">
        <f>T("노란안경")</f>
        <v>노란안경</v>
      </c>
      <c r="J3449" t="str">
        <f>T("매드햇")</f>
        <v>매드햇</v>
      </c>
      <c r="K3449" t="str">
        <f>T("방구석 천재작가")</f>
        <v>방구석 천재작가</v>
      </c>
      <c r="L3449">
        <v>100</v>
      </c>
      <c r="M3449">
        <v>100</v>
      </c>
      <c r="N3449">
        <v>1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0</v>
      </c>
      <c r="AH3449">
        <v>0</v>
      </c>
      <c r="AI3449">
        <v>100</v>
      </c>
      <c r="AJ3449">
        <v>1</v>
      </c>
      <c r="AK3449">
        <v>0</v>
      </c>
      <c r="AL3449">
        <v>0</v>
      </c>
      <c r="AM3449">
        <v>100</v>
      </c>
      <c r="AN3449">
        <v>0</v>
      </c>
      <c r="AO3449">
        <v>0</v>
      </c>
      <c r="AP3449">
        <v>0</v>
      </c>
      <c r="AQ3449">
        <v>0</v>
      </c>
      <c r="AS3449">
        <v>0</v>
      </c>
      <c r="AT3449">
        <v>0</v>
      </c>
      <c r="AV3449">
        <v>0</v>
      </c>
      <c r="AW3449">
        <v>0</v>
      </c>
      <c r="AY3449">
        <v>0</v>
      </c>
      <c r="AZ3449">
        <v>0</v>
      </c>
      <c r="BA3449">
        <v>70</v>
      </c>
      <c r="BE3449" t="str">
        <f>T("9791137016606")</f>
        <v>9791137016606</v>
      </c>
      <c r="BF3449" t="str">
        <f>T("k125927")</f>
        <v>k125927</v>
      </c>
      <c r="BG3449" t="str">
        <f>T("판타지 웹소설 &gt; 현대 판타지")</f>
        <v>판타지 웹소설 &gt; 현대 판타지</v>
      </c>
    </row>
    <row r="3450" spans="1:59">
      <c r="A3450" t="s">
        <v>60</v>
      </c>
      <c r="B3450" s="1">
        <v>46131</v>
      </c>
      <c r="C3450">
        <v>2378055628</v>
      </c>
      <c r="D3450">
        <v>2378055680</v>
      </c>
      <c r="E3450" t="str">
        <f>T("방구석 천재작가 53화")</f>
        <v>방구석 천재작가 53화</v>
      </c>
      <c r="F3450">
        <v>53</v>
      </c>
      <c r="G3450" t="str">
        <f>T("노란안경")</f>
        <v>노란안경</v>
      </c>
      <c r="J3450" t="str">
        <f>T("매드햇")</f>
        <v>매드햇</v>
      </c>
      <c r="K3450" t="str">
        <f>T("방구석 천재작가")</f>
        <v>방구석 천재작가</v>
      </c>
      <c r="L3450">
        <v>100</v>
      </c>
      <c r="M3450">
        <v>100</v>
      </c>
      <c r="N3450">
        <v>1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0</v>
      </c>
      <c r="AH3450">
        <v>0</v>
      </c>
      <c r="AI3450">
        <v>100</v>
      </c>
      <c r="AJ3450">
        <v>1</v>
      </c>
      <c r="AK3450">
        <v>0</v>
      </c>
      <c r="AL3450">
        <v>0</v>
      </c>
      <c r="AM3450">
        <v>100</v>
      </c>
      <c r="AN3450">
        <v>0</v>
      </c>
      <c r="AO3450">
        <v>0</v>
      </c>
      <c r="AP3450">
        <v>0</v>
      </c>
      <c r="AQ3450">
        <v>0</v>
      </c>
      <c r="AS3450">
        <v>0</v>
      </c>
      <c r="AT3450">
        <v>0</v>
      </c>
      <c r="AV3450">
        <v>0</v>
      </c>
      <c r="AW3450">
        <v>0</v>
      </c>
      <c r="AY3450">
        <v>0</v>
      </c>
      <c r="AZ3450">
        <v>0</v>
      </c>
      <c r="BA3450">
        <v>70</v>
      </c>
      <c r="BE3450" t="str">
        <f>T("9791137016606")</f>
        <v>9791137016606</v>
      </c>
      <c r="BF3450" t="str">
        <f>T("k125928")</f>
        <v>k125928</v>
      </c>
      <c r="BG3450" t="str">
        <f>T("판타지 웹소설 &gt; 현대 판타지")</f>
        <v>판타지 웹소설 &gt; 현대 판타지</v>
      </c>
    </row>
    <row r="3451" spans="1:59">
      <c r="A3451" t="s">
        <v>60</v>
      </c>
      <c r="B3451" s="1">
        <v>46131</v>
      </c>
      <c r="C3451">
        <v>2378055628</v>
      </c>
      <c r="D3451">
        <v>2378055681</v>
      </c>
      <c r="E3451" t="str">
        <f>T("방구석 천재작가 54화")</f>
        <v>방구석 천재작가 54화</v>
      </c>
      <c r="F3451">
        <v>54</v>
      </c>
      <c r="G3451" t="str">
        <f>T("노란안경")</f>
        <v>노란안경</v>
      </c>
      <c r="J3451" t="str">
        <f>T("매드햇")</f>
        <v>매드햇</v>
      </c>
      <c r="K3451" t="str">
        <f>T("방구석 천재작가")</f>
        <v>방구석 천재작가</v>
      </c>
      <c r="L3451">
        <v>100</v>
      </c>
      <c r="M3451">
        <v>100</v>
      </c>
      <c r="N3451">
        <v>1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0</v>
      </c>
      <c r="AH3451">
        <v>0</v>
      </c>
      <c r="AI3451">
        <v>100</v>
      </c>
      <c r="AJ3451">
        <v>1</v>
      </c>
      <c r="AK3451">
        <v>0</v>
      </c>
      <c r="AL3451">
        <v>0</v>
      </c>
      <c r="AM3451">
        <v>100</v>
      </c>
      <c r="AN3451">
        <v>0</v>
      </c>
      <c r="AO3451">
        <v>0</v>
      </c>
      <c r="AP3451">
        <v>0</v>
      </c>
      <c r="AQ3451">
        <v>0</v>
      </c>
      <c r="AS3451">
        <v>0</v>
      </c>
      <c r="AT3451">
        <v>0</v>
      </c>
      <c r="AV3451">
        <v>0</v>
      </c>
      <c r="AW3451">
        <v>0</v>
      </c>
      <c r="AY3451">
        <v>0</v>
      </c>
      <c r="AZ3451">
        <v>0</v>
      </c>
      <c r="BA3451">
        <v>70</v>
      </c>
      <c r="BE3451" t="str">
        <f>T("9791137016606")</f>
        <v>9791137016606</v>
      </c>
      <c r="BF3451" t="str">
        <f>T("k125929")</f>
        <v>k125929</v>
      </c>
      <c r="BG3451" t="str">
        <f>T("판타지 웹소설 &gt; 현대 판타지")</f>
        <v>판타지 웹소설 &gt; 현대 판타지</v>
      </c>
    </row>
    <row r="3452" spans="1:59">
      <c r="A3452" t="s">
        <v>60</v>
      </c>
      <c r="B3452" s="1">
        <v>46131</v>
      </c>
      <c r="C3452">
        <v>2378055628</v>
      </c>
      <c r="D3452">
        <v>2378055682</v>
      </c>
      <c r="E3452" t="str">
        <f>T("방구석 천재작가 55화")</f>
        <v>방구석 천재작가 55화</v>
      </c>
      <c r="F3452">
        <v>55</v>
      </c>
      <c r="G3452" t="str">
        <f>T("노란안경")</f>
        <v>노란안경</v>
      </c>
      <c r="J3452" t="str">
        <f>T("매드햇")</f>
        <v>매드햇</v>
      </c>
      <c r="K3452" t="str">
        <f>T("방구석 천재작가")</f>
        <v>방구석 천재작가</v>
      </c>
      <c r="L3452">
        <v>100</v>
      </c>
      <c r="M3452">
        <v>100</v>
      </c>
      <c r="N3452">
        <v>1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0</v>
      </c>
      <c r="AH3452">
        <v>0</v>
      </c>
      <c r="AI3452">
        <v>100</v>
      </c>
      <c r="AJ3452">
        <v>1</v>
      </c>
      <c r="AK3452">
        <v>0</v>
      </c>
      <c r="AL3452">
        <v>0</v>
      </c>
      <c r="AM3452">
        <v>100</v>
      </c>
      <c r="AN3452">
        <v>0</v>
      </c>
      <c r="AO3452">
        <v>0</v>
      </c>
      <c r="AP3452">
        <v>0</v>
      </c>
      <c r="AQ3452">
        <v>0</v>
      </c>
      <c r="AS3452">
        <v>0</v>
      </c>
      <c r="AT3452">
        <v>0</v>
      </c>
      <c r="AV3452">
        <v>0</v>
      </c>
      <c r="AW3452">
        <v>0</v>
      </c>
      <c r="AY3452">
        <v>0</v>
      </c>
      <c r="AZ3452">
        <v>0</v>
      </c>
      <c r="BA3452">
        <v>70</v>
      </c>
      <c r="BE3452" t="str">
        <f>T("9791137016606")</f>
        <v>9791137016606</v>
      </c>
      <c r="BF3452" t="str">
        <f>T("k125930")</f>
        <v>k125930</v>
      </c>
      <c r="BG3452" t="str">
        <f>T("판타지 웹소설 &gt; 현대 판타지")</f>
        <v>판타지 웹소설 &gt; 현대 판타지</v>
      </c>
    </row>
    <row r="3453" spans="1:59">
      <c r="A3453" t="s">
        <v>60</v>
      </c>
      <c r="B3453" s="1">
        <v>46129</v>
      </c>
      <c r="C3453">
        <v>2378055250</v>
      </c>
      <c r="D3453">
        <v>2378055250</v>
      </c>
      <c r="E3453" t="str">
        <f>T("백수 재벌의 환생 라이프 1화")</f>
        <v>백수 재벌의 환생 라이프 1화</v>
      </c>
      <c r="F3453">
        <v>1</v>
      </c>
      <c r="G3453" t="str">
        <f>T("사키만자루")</f>
        <v>사키만자루</v>
      </c>
      <c r="J3453" t="str">
        <f>T("매드햇")</f>
        <v>매드햇</v>
      </c>
      <c r="K3453" t="str">
        <f>T("백수 재벌의 환생 라이프")</f>
        <v>백수 재벌의 환생 라이프</v>
      </c>
      <c r="L3453">
        <v>0</v>
      </c>
      <c r="M3453">
        <v>0</v>
      </c>
      <c r="N3453">
        <v>0</v>
      </c>
      <c r="O3453">
        <v>1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0</v>
      </c>
      <c r="AH3453">
        <v>0</v>
      </c>
      <c r="AI3453">
        <v>0</v>
      </c>
      <c r="AJ3453">
        <v>1</v>
      </c>
      <c r="AK3453">
        <v>0</v>
      </c>
      <c r="AL3453">
        <v>0</v>
      </c>
      <c r="AM3453">
        <v>0</v>
      </c>
      <c r="AN3453">
        <v>0</v>
      </c>
      <c r="AO3453">
        <v>0</v>
      </c>
      <c r="AP3453">
        <v>0</v>
      </c>
      <c r="AQ3453">
        <v>0</v>
      </c>
      <c r="AS3453">
        <v>0</v>
      </c>
      <c r="AT3453">
        <v>0</v>
      </c>
      <c r="AV3453">
        <v>0</v>
      </c>
      <c r="AW3453">
        <v>0</v>
      </c>
      <c r="AY3453">
        <v>0</v>
      </c>
      <c r="AZ3453">
        <v>0</v>
      </c>
      <c r="BA3453">
        <v>0</v>
      </c>
      <c r="BE3453" t="str">
        <f>T("9791137016347")</f>
        <v>9791137016347</v>
      </c>
      <c r="BF3453" t="str">
        <f>T("k121462")</f>
        <v>k121462</v>
      </c>
      <c r="BG3453" t="str">
        <f>T("판타지 웹소설 &gt; 현대 판타지")</f>
        <v>판타지 웹소설 &gt; 현대 판타지</v>
      </c>
    </row>
    <row r="3454" spans="1:59">
      <c r="A3454" t="s">
        <v>60</v>
      </c>
      <c r="B3454" s="1">
        <v>46129</v>
      </c>
      <c r="C3454">
        <v>2378055250</v>
      </c>
      <c r="D3454">
        <v>2378055251</v>
      </c>
      <c r="E3454" t="str">
        <f>T("백수 재벌의 환생 라이프 2화")</f>
        <v>백수 재벌의 환생 라이프 2화</v>
      </c>
      <c r="F3454">
        <v>2</v>
      </c>
      <c r="G3454" t="str">
        <f>T("사키만자루")</f>
        <v>사키만자루</v>
      </c>
      <c r="J3454" t="str">
        <f>T("매드햇")</f>
        <v>매드햇</v>
      </c>
      <c r="K3454" t="str">
        <f>T("백수 재벌의 환생 라이프")</f>
        <v>백수 재벌의 환생 라이프</v>
      </c>
      <c r="L3454">
        <v>0</v>
      </c>
      <c r="M3454">
        <v>0</v>
      </c>
      <c r="N3454">
        <v>0</v>
      </c>
      <c r="O3454">
        <v>1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0</v>
      </c>
      <c r="AH3454">
        <v>0</v>
      </c>
      <c r="AI3454">
        <v>0</v>
      </c>
      <c r="AJ3454">
        <v>1</v>
      </c>
      <c r="AK3454">
        <v>0</v>
      </c>
      <c r="AL3454">
        <v>0</v>
      </c>
      <c r="AM3454">
        <v>0</v>
      </c>
      <c r="AN3454">
        <v>0</v>
      </c>
      <c r="AO3454">
        <v>0</v>
      </c>
      <c r="AP3454">
        <v>0</v>
      </c>
      <c r="AQ3454">
        <v>0</v>
      </c>
      <c r="AS3454">
        <v>0</v>
      </c>
      <c r="AT3454">
        <v>0</v>
      </c>
      <c r="AV3454">
        <v>0</v>
      </c>
      <c r="AW3454">
        <v>0</v>
      </c>
      <c r="AY3454">
        <v>0</v>
      </c>
      <c r="AZ3454">
        <v>0</v>
      </c>
      <c r="BA3454">
        <v>0</v>
      </c>
      <c r="BE3454" t="str">
        <f>T("9791137016347")</f>
        <v>9791137016347</v>
      </c>
      <c r="BF3454" t="str">
        <f>T("k121463")</f>
        <v>k121463</v>
      </c>
      <c r="BG3454" t="str">
        <f>T("판타지 웹소설 &gt; 현대 판타지")</f>
        <v>판타지 웹소설 &gt; 현대 판타지</v>
      </c>
    </row>
    <row r="3455" spans="1:59">
      <c r="A3455" t="s">
        <v>60</v>
      </c>
      <c r="B3455" s="1">
        <v>46129</v>
      </c>
      <c r="C3455">
        <v>2378055250</v>
      </c>
      <c r="D3455">
        <v>2378055252</v>
      </c>
      <c r="E3455" t="str">
        <f>T("백수 재벌의 환생 라이프 3화")</f>
        <v>백수 재벌의 환생 라이프 3화</v>
      </c>
      <c r="F3455">
        <v>3</v>
      </c>
      <c r="G3455" t="str">
        <f>T("사키만자루")</f>
        <v>사키만자루</v>
      </c>
      <c r="J3455" t="str">
        <f>T("매드햇")</f>
        <v>매드햇</v>
      </c>
      <c r="K3455" t="str">
        <f>T("백수 재벌의 환생 라이프")</f>
        <v>백수 재벌의 환생 라이프</v>
      </c>
      <c r="L3455">
        <v>0</v>
      </c>
      <c r="M3455">
        <v>0</v>
      </c>
      <c r="N3455">
        <v>0</v>
      </c>
      <c r="O3455">
        <v>1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0</v>
      </c>
      <c r="AH3455">
        <v>0</v>
      </c>
      <c r="AI3455">
        <v>0</v>
      </c>
      <c r="AJ3455">
        <v>1</v>
      </c>
      <c r="AK3455">
        <v>0</v>
      </c>
      <c r="AL3455">
        <v>0</v>
      </c>
      <c r="AM3455">
        <v>0</v>
      </c>
      <c r="AN3455">
        <v>0</v>
      </c>
      <c r="AO3455">
        <v>0</v>
      </c>
      <c r="AP3455">
        <v>0</v>
      </c>
      <c r="AQ3455">
        <v>0</v>
      </c>
      <c r="AS3455">
        <v>0</v>
      </c>
      <c r="AT3455">
        <v>0</v>
      </c>
      <c r="AV3455">
        <v>0</v>
      </c>
      <c r="AW3455">
        <v>0</v>
      </c>
      <c r="AY3455">
        <v>0</v>
      </c>
      <c r="AZ3455">
        <v>0</v>
      </c>
      <c r="BA3455">
        <v>0</v>
      </c>
      <c r="BE3455" t="str">
        <f>T("9791137016347")</f>
        <v>9791137016347</v>
      </c>
      <c r="BF3455" t="str">
        <f>T("k121464")</f>
        <v>k121464</v>
      </c>
      <c r="BG3455" t="str">
        <f>T("판타지 웹소설 &gt; 현대 판타지")</f>
        <v>판타지 웹소설 &gt; 현대 판타지</v>
      </c>
    </row>
    <row r="3456" spans="1:59">
      <c r="A3456" t="s">
        <v>60</v>
      </c>
      <c r="B3456" s="1">
        <v>46129</v>
      </c>
      <c r="C3456">
        <v>2378055250</v>
      </c>
      <c r="D3456">
        <v>2378055253</v>
      </c>
      <c r="E3456" t="str">
        <f>T("백수 재벌의 환생 라이프 4화")</f>
        <v>백수 재벌의 환생 라이프 4화</v>
      </c>
      <c r="F3456">
        <v>4</v>
      </c>
      <c r="G3456" t="str">
        <f>T("사키만자루")</f>
        <v>사키만자루</v>
      </c>
      <c r="J3456" t="str">
        <f>T("매드햇")</f>
        <v>매드햇</v>
      </c>
      <c r="K3456" t="str">
        <f>T("백수 재벌의 환생 라이프")</f>
        <v>백수 재벌의 환생 라이프</v>
      </c>
      <c r="L3456">
        <v>0</v>
      </c>
      <c r="M3456">
        <v>0</v>
      </c>
      <c r="N3456">
        <v>0</v>
      </c>
      <c r="O3456">
        <v>1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0</v>
      </c>
      <c r="AH3456">
        <v>0</v>
      </c>
      <c r="AI3456">
        <v>0</v>
      </c>
      <c r="AJ3456">
        <v>1</v>
      </c>
      <c r="AK3456">
        <v>0</v>
      </c>
      <c r="AL3456">
        <v>0</v>
      </c>
      <c r="AM3456">
        <v>0</v>
      </c>
      <c r="AN3456">
        <v>0</v>
      </c>
      <c r="AO3456">
        <v>0</v>
      </c>
      <c r="AP3456">
        <v>0</v>
      </c>
      <c r="AQ3456">
        <v>0</v>
      </c>
      <c r="AS3456">
        <v>0</v>
      </c>
      <c r="AT3456">
        <v>0</v>
      </c>
      <c r="AV3456">
        <v>0</v>
      </c>
      <c r="AW3456">
        <v>0</v>
      </c>
      <c r="AY3456">
        <v>0</v>
      </c>
      <c r="AZ3456">
        <v>0</v>
      </c>
      <c r="BA3456">
        <v>0</v>
      </c>
      <c r="BE3456" t="str">
        <f>T("9791137016347")</f>
        <v>9791137016347</v>
      </c>
      <c r="BF3456" t="str">
        <f>T("k121465")</f>
        <v>k121465</v>
      </c>
      <c r="BG3456" t="str">
        <f>T("판타지 웹소설 &gt; 현대 판타지")</f>
        <v>판타지 웹소설 &gt; 현대 판타지</v>
      </c>
    </row>
    <row r="3457" spans="1:59">
      <c r="A3457" t="s">
        <v>60</v>
      </c>
      <c r="B3457" s="1">
        <v>46129</v>
      </c>
      <c r="C3457">
        <v>2378055250</v>
      </c>
      <c r="D3457">
        <v>2378055254</v>
      </c>
      <c r="E3457" t="str">
        <f>T("백수 재벌의 환생 라이프 5화")</f>
        <v>백수 재벌의 환생 라이프 5화</v>
      </c>
      <c r="F3457">
        <v>5</v>
      </c>
      <c r="G3457" t="str">
        <f>T("사키만자루")</f>
        <v>사키만자루</v>
      </c>
      <c r="J3457" t="str">
        <f>T("매드햇")</f>
        <v>매드햇</v>
      </c>
      <c r="K3457" t="str">
        <f>T("백수 재벌의 환생 라이프")</f>
        <v>백수 재벌의 환생 라이프</v>
      </c>
      <c r="L3457">
        <v>0</v>
      </c>
      <c r="M3457">
        <v>0</v>
      </c>
      <c r="N3457">
        <v>0</v>
      </c>
      <c r="O3457">
        <v>1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0</v>
      </c>
      <c r="AH3457">
        <v>0</v>
      </c>
      <c r="AI3457">
        <v>0</v>
      </c>
      <c r="AJ3457">
        <v>1</v>
      </c>
      <c r="AK3457">
        <v>0</v>
      </c>
      <c r="AL3457">
        <v>0</v>
      </c>
      <c r="AM3457">
        <v>0</v>
      </c>
      <c r="AN3457">
        <v>0</v>
      </c>
      <c r="AO3457">
        <v>0</v>
      </c>
      <c r="AP3457">
        <v>0</v>
      </c>
      <c r="AQ3457">
        <v>0</v>
      </c>
      <c r="AS3457">
        <v>0</v>
      </c>
      <c r="AT3457">
        <v>0</v>
      </c>
      <c r="AV3457">
        <v>0</v>
      </c>
      <c r="AW3457">
        <v>0</v>
      </c>
      <c r="AY3457">
        <v>0</v>
      </c>
      <c r="AZ3457">
        <v>0</v>
      </c>
      <c r="BA3457">
        <v>0</v>
      </c>
      <c r="BE3457" t="str">
        <f>T("9791137016347")</f>
        <v>9791137016347</v>
      </c>
      <c r="BF3457" t="str">
        <f>T("k121466")</f>
        <v>k121466</v>
      </c>
      <c r="BG3457" t="str">
        <f>T("판타지 웹소설 &gt; 현대 판타지")</f>
        <v>판타지 웹소설 &gt; 현대 판타지</v>
      </c>
    </row>
    <row r="3458" spans="1:59">
      <c r="A3458" t="s">
        <v>60</v>
      </c>
      <c r="B3458" s="1">
        <v>46129</v>
      </c>
      <c r="C3458">
        <v>2378055250</v>
      </c>
      <c r="D3458">
        <v>2378055255</v>
      </c>
      <c r="E3458" t="str">
        <f>T("백수 재벌의 환생 라이프 6화")</f>
        <v>백수 재벌의 환생 라이프 6화</v>
      </c>
      <c r="F3458">
        <v>6</v>
      </c>
      <c r="G3458" t="str">
        <f>T("사키만자루")</f>
        <v>사키만자루</v>
      </c>
      <c r="J3458" t="str">
        <f>T("매드햇")</f>
        <v>매드햇</v>
      </c>
      <c r="K3458" t="str">
        <f>T("백수 재벌의 환생 라이프")</f>
        <v>백수 재벌의 환생 라이프</v>
      </c>
      <c r="L3458">
        <v>0</v>
      </c>
      <c r="M3458">
        <v>0</v>
      </c>
      <c r="N3458">
        <v>0</v>
      </c>
      <c r="O3458">
        <v>1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0</v>
      </c>
      <c r="AH3458">
        <v>0</v>
      </c>
      <c r="AI3458">
        <v>0</v>
      </c>
      <c r="AJ3458">
        <v>1</v>
      </c>
      <c r="AK3458">
        <v>0</v>
      </c>
      <c r="AL3458">
        <v>0</v>
      </c>
      <c r="AM3458">
        <v>0</v>
      </c>
      <c r="AN3458">
        <v>0</v>
      </c>
      <c r="AO3458">
        <v>0</v>
      </c>
      <c r="AP3458">
        <v>0</v>
      </c>
      <c r="AQ3458">
        <v>0</v>
      </c>
      <c r="AS3458">
        <v>0</v>
      </c>
      <c r="AT3458">
        <v>0</v>
      </c>
      <c r="AV3458">
        <v>0</v>
      </c>
      <c r="AW3458">
        <v>0</v>
      </c>
      <c r="AY3458">
        <v>0</v>
      </c>
      <c r="AZ3458">
        <v>0</v>
      </c>
      <c r="BA3458">
        <v>0</v>
      </c>
      <c r="BE3458" t="str">
        <f>T("9791137016347")</f>
        <v>9791137016347</v>
      </c>
      <c r="BF3458" t="str">
        <f>T("k121467")</f>
        <v>k121467</v>
      </c>
      <c r="BG3458" t="str">
        <f>T("판타지 웹소설 &gt; 현대 판타지")</f>
        <v>판타지 웹소설 &gt; 현대 판타지</v>
      </c>
    </row>
    <row r="3459" spans="1:59">
      <c r="A3459" t="s">
        <v>60</v>
      </c>
      <c r="B3459" s="1">
        <v>46129</v>
      </c>
      <c r="C3459">
        <v>2378055250</v>
      </c>
      <c r="D3459">
        <v>2378055256</v>
      </c>
      <c r="E3459" t="str">
        <f>T("백수 재벌의 환생 라이프 7화")</f>
        <v>백수 재벌의 환생 라이프 7화</v>
      </c>
      <c r="F3459">
        <v>7</v>
      </c>
      <c r="G3459" t="str">
        <f>T("사키만자루")</f>
        <v>사키만자루</v>
      </c>
      <c r="J3459" t="str">
        <f>T("매드햇")</f>
        <v>매드햇</v>
      </c>
      <c r="K3459" t="str">
        <f>T("백수 재벌의 환생 라이프")</f>
        <v>백수 재벌의 환생 라이프</v>
      </c>
      <c r="L3459">
        <v>0</v>
      </c>
      <c r="M3459">
        <v>0</v>
      </c>
      <c r="N3459">
        <v>0</v>
      </c>
      <c r="O3459">
        <v>1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0</v>
      </c>
      <c r="AH3459">
        <v>0</v>
      </c>
      <c r="AI3459">
        <v>0</v>
      </c>
      <c r="AJ3459">
        <v>1</v>
      </c>
      <c r="AK3459">
        <v>0</v>
      </c>
      <c r="AL3459">
        <v>0</v>
      </c>
      <c r="AM3459">
        <v>0</v>
      </c>
      <c r="AN3459">
        <v>0</v>
      </c>
      <c r="AO3459">
        <v>0</v>
      </c>
      <c r="AP3459">
        <v>0</v>
      </c>
      <c r="AQ3459">
        <v>0</v>
      </c>
      <c r="AS3459">
        <v>0</v>
      </c>
      <c r="AT3459">
        <v>0</v>
      </c>
      <c r="AV3459">
        <v>0</v>
      </c>
      <c r="AW3459">
        <v>0</v>
      </c>
      <c r="AY3459">
        <v>0</v>
      </c>
      <c r="AZ3459">
        <v>0</v>
      </c>
      <c r="BA3459">
        <v>0</v>
      </c>
      <c r="BE3459" t="str">
        <f>T("9791137016347")</f>
        <v>9791137016347</v>
      </c>
      <c r="BF3459" t="str">
        <f>T("k121468")</f>
        <v>k121468</v>
      </c>
      <c r="BG3459" t="str">
        <f>T("판타지 웹소설 &gt; 현대 판타지")</f>
        <v>판타지 웹소설 &gt; 현대 판타지</v>
      </c>
    </row>
    <row r="3460" spans="1:59">
      <c r="A3460" t="s">
        <v>60</v>
      </c>
      <c r="B3460" s="1">
        <v>46129</v>
      </c>
      <c r="C3460">
        <v>2378016019</v>
      </c>
      <c r="D3460">
        <v>2378038363</v>
      </c>
      <c r="E3460" t="str">
        <f>T("부서진 세계의 구원자 416화")</f>
        <v>부서진 세계의 구원자 416화</v>
      </c>
      <c r="F3460">
        <v>429</v>
      </c>
      <c r="G3460" t="str">
        <f>T("권도윤")</f>
        <v>권도윤</v>
      </c>
      <c r="J3460" t="str">
        <f>T("시계토끼")</f>
        <v>시계토끼</v>
      </c>
      <c r="K3460" t="str">
        <f>T("부서진 세계의 구원자")</f>
        <v>부서진 세계의 구원자</v>
      </c>
      <c r="L3460">
        <v>100</v>
      </c>
      <c r="M3460">
        <v>100</v>
      </c>
      <c r="N3460">
        <v>1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0</v>
      </c>
      <c r="AH3460">
        <v>0</v>
      </c>
      <c r="AI3460">
        <v>100</v>
      </c>
      <c r="AJ3460">
        <v>1</v>
      </c>
      <c r="AK3460">
        <v>0</v>
      </c>
      <c r="AL3460">
        <v>0</v>
      </c>
      <c r="AM3460">
        <v>100</v>
      </c>
      <c r="AN3460">
        <v>0</v>
      </c>
      <c r="AO3460">
        <v>0</v>
      </c>
      <c r="AP3460">
        <v>0</v>
      </c>
      <c r="AQ3460">
        <v>0</v>
      </c>
      <c r="AS3460">
        <v>0</v>
      </c>
      <c r="AT3460">
        <v>0</v>
      </c>
      <c r="AV3460">
        <v>0</v>
      </c>
      <c r="AW3460">
        <v>0</v>
      </c>
      <c r="AY3460">
        <v>0</v>
      </c>
      <c r="AZ3460">
        <v>0</v>
      </c>
      <c r="BA3460">
        <v>70</v>
      </c>
      <c r="BE3460" t="str">
        <f>T("9791164094080")</f>
        <v>9791164094080</v>
      </c>
      <c r="BF3460" t="str">
        <f>T("N146608")</f>
        <v>N146608</v>
      </c>
      <c r="BG3460" t="str">
        <f>T("로판 웹소설 &gt; 서양풍 로판")</f>
        <v>로판 웹소설 &gt; 서양풍 로판</v>
      </c>
    </row>
    <row r="3461" spans="1:59">
      <c r="A3461" t="s">
        <v>60</v>
      </c>
      <c r="B3461" s="1">
        <v>46129</v>
      </c>
      <c r="C3461">
        <v>2378016019</v>
      </c>
      <c r="D3461">
        <v>2378052698</v>
      </c>
      <c r="E3461" t="str">
        <f>T("부서진 세계의 구원자 에피소드 여덟 9화")</f>
        <v>부서진 세계의 구원자 에피소드 여덟 9화</v>
      </c>
      <c r="F3461">
        <v>645</v>
      </c>
      <c r="G3461" t="str">
        <f>T("권도윤")</f>
        <v>권도윤</v>
      </c>
      <c r="J3461" t="str">
        <f>T("시계토끼")</f>
        <v>시계토끼</v>
      </c>
      <c r="K3461" t="str">
        <f>T("부서진 세계의 구원자")</f>
        <v>부서진 세계의 구원자</v>
      </c>
      <c r="L3461">
        <v>100</v>
      </c>
      <c r="M3461">
        <v>100</v>
      </c>
      <c r="N3461">
        <v>1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0</v>
      </c>
      <c r="AH3461">
        <v>0</v>
      </c>
      <c r="AI3461">
        <v>100</v>
      </c>
      <c r="AJ3461">
        <v>1</v>
      </c>
      <c r="AK3461">
        <v>0</v>
      </c>
      <c r="AL3461">
        <v>0</v>
      </c>
      <c r="AM3461">
        <v>100</v>
      </c>
      <c r="AN3461">
        <v>0</v>
      </c>
      <c r="AO3461">
        <v>0</v>
      </c>
      <c r="AP3461">
        <v>0</v>
      </c>
      <c r="AQ3461">
        <v>0</v>
      </c>
      <c r="AS3461">
        <v>0</v>
      </c>
      <c r="AT3461">
        <v>0</v>
      </c>
      <c r="AV3461">
        <v>0</v>
      </c>
      <c r="AW3461">
        <v>0</v>
      </c>
      <c r="AY3461">
        <v>0</v>
      </c>
      <c r="AZ3461">
        <v>0</v>
      </c>
      <c r="BA3461">
        <v>70</v>
      </c>
      <c r="BE3461" t="str">
        <f>T("9791164094080")</f>
        <v>9791164094080</v>
      </c>
      <c r="BF3461" t="str">
        <f>T("k105615")</f>
        <v>k105615</v>
      </c>
      <c r="BG3461" t="str">
        <f>T("로판 웹소설 &gt; 서양풍 로판")</f>
        <v>로판 웹소설 &gt; 서양풍 로판</v>
      </c>
    </row>
    <row r="3462" spans="1:59">
      <c r="A3462" t="s">
        <v>60</v>
      </c>
      <c r="B3462" s="1">
        <v>46130</v>
      </c>
      <c r="C3462">
        <v>2378016019</v>
      </c>
      <c r="D3462">
        <v>2378016025</v>
      </c>
      <c r="E3462" t="str">
        <f>T("부서진 세계의 구원자 7화")</f>
        <v>부서진 세계의 구원자 7화</v>
      </c>
      <c r="F3462">
        <v>7</v>
      </c>
      <c r="G3462" t="str">
        <f>T("권도윤")</f>
        <v>권도윤</v>
      </c>
      <c r="J3462" t="str">
        <f>T("시계토끼")</f>
        <v>시계토끼</v>
      </c>
      <c r="K3462" t="str">
        <f>T("부서진 세계의 구원자")</f>
        <v>부서진 세계의 구원자</v>
      </c>
      <c r="L3462">
        <v>100</v>
      </c>
      <c r="M3462">
        <v>100</v>
      </c>
      <c r="N3462">
        <v>1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0</v>
      </c>
      <c r="AH3462">
        <v>0</v>
      </c>
      <c r="AI3462">
        <v>100</v>
      </c>
      <c r="AJ3462">
        <v>1</v>
      </c>
      <c r="AK3462">
        <v>0</v>
      </c>
      <c r="AL3462">
        <v>0</v>
      </c>
      <c r="AM3462">
        <v>100</v>
      </c>
      <c r="AN3462">
        <v>0</v>
      </c>
      <c r="AO3462">
        <v>0</v>
      </c>
      <c r="AP3462">
        <v>0</v>
      </c>
      <c r="AQ3462">
        <v>0</v>
      </c>
      <c r="AS3462">
        <v>0</v>
      </c>
      <c r="AT3462">
        <v>0</v>
      </c>
      <c r="AV3462">
        <v>0</v>
      </c>
      <c r="AW3462">
        <v>0</v>
      </c>
      <c r="AY3462">
        <v>0</v>
      </c>
      <c r="AZ3462">
        <v>0</v>
      </c>
      <c r="BA3462">
        <v>70</v>
      </c>
      <c r="BE3462" t="str">
        <f>T("9791164094080")</f>
        <v>9791164094080</v>
      </c>
      <c r="BF3462" t="str">
        <f>T("E762741")</f>
        <v>E762741</v>
      </c>
      <c r="BG3462" t="str">
        <f>T("로판 웹소설 &gt; 서양풍 로판")</f>
        <v>로판 웹소설 &gt; 서양풍 로판</v>
      </c>
    </row>
    <row r="3463" spans="1:59">
      <c r="A3463" t="s">
        <v>60</v>
      </c>
      <c r="B3463" s="1">
        <v>46130</v>
      </c>
      <c r="C3463">
        <v>2378016019</v>
      </c>
      <c r="D3463">
        <v>2378016026</v>
      </c>
      <c r="E3463" t="str">
        <f>T("부서진 세계의 구원자 8화")</f>
        <v>부서진 세계의 구원자 8화</v>
      </c>
      <c r="F3463">
        <v>8</v>
      </c>
      <c r="G3463" t="str">
        <f>T("권도윤")</f>
        <v>권도윤</v>
      </c>
      <c r="J3463" t="str">
        <f>T("시계토끼")</f>
        <v>시계토끼</v>
      </c>
      <c r="K3463" t="str">
        <f>T("부서진 세계의 구원자")</f>
        <v>부서진 세계의 구원자</v>
      </c>
      <c r="L3463">
        <v>100</v>
      </c>
      <c r="M3463">
        <v>100</v>
      </c>
      <c r="N3463">
        <v>1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0</v>
      </c>
      <c r="AH3463">
        <v>0</v>
      </c>
      <c r="AI3463">
        <v>100</v>
      </c>
      <c r="AJ3463">
        <v>1</v>
      </c>
      <c r="AK3463">
        <v>0</v>
      </c>
      <c r="AL3463">
        <v>0</v>
      </c>
      <c r="AM3463">
        <v>100</v>
      </c>
      <c r="AN3463">
        <v>0</v>
      </c>
      <c r="AO3463">
        <v>0</v>
      </c>
      <c r="AP3463">
        <v>0</v>
      </c>
      <c r="AQ3463">
        <v>0</v>
      </c>
      <c r="AS3463">
        <v>0</v>
      </c>
      <c r="AT3463">
        <v>0</v>
      </c>
      <c r="AV3463">
        <v>0</v>
      </c>
      <c r="AW3463">
        <v>0</v>
      </c>
      <c r="AY3463">
        <v>0</v>
      </c>
      <c r="AZ3463">
        <v>0</v>
      </c>
      <c r="BA3463">
        <v>70</v>
      </c>
      <c r="BE3463" t="str">
        <f>T("9791164094080")</f>
        <v>9791164094080</v>
      </c>
      <c r="BF3463" t="str">
        <f>T("E762742")</f>
        <v>E762742</v>
      </c>
      <c r="BG3463" t="str">
        <f>T("로판 웹소설 &gt; 서양풍 로판")</f>
        <v>로판 웹소설 &gt; 서양풍 로판</v>
      </c>
    </row>
    <row r="3464" spans="1:59">
      <c r="A3464" t="s">
        <v>60</v>
      </c>
      <c r="B3464" s="1">
        <v>46130</v>
      </c>
      <c r="C3464">
        <v>2378016019</v>
      </c>
      <c r="D3464">
        <v>2378016027</v>
      </c>
      <c r="E3464" t="str">
        <f>T("부서진 세계의 구원자 9화")</f>
        <v>부서진 세계의 구원자 9화</v>
      </c>
      <c r="F3464">
        <v>9</v>
      </c>
      <c r="G3464" t="str">
        <f>T("권도윤")</f>
        <v>권도윤</v>
      </c>
      <c r="J3464" t="str">
        <f>T("시계토끼")</f>
        <v>시계토끼</v>
      </c>
      <c r="K3464" t="str">
        <f>T("부서진 세계의 구원자")</f>
        <v>부서진 세계의 구원자</v>
      </c>
      <c r="L3464">
        <v>100</v>
      </c>
      <c r="M3464">
        <v>100</v>
      </c>
      <c r="N3464">
        <v>1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0</v>
      </c>
      <c r="AH3464">
        <v>0</v>
      </c>
      <c r="AI3464">
        <v>100</v>
      </c>
      <c r="AJ3464">
        <v>1</v>
      </c>
      <c r="AK3464">
        <v>0</v>
      </c>
      <c r="AL3464">
        <v>0</v>
      </c>
      <c r="AM3464">
        <v>100</v>
      </c>
      <c r="AN3464">
        <v>0</v>
      </c>
      <c r="AO3464">
        <v>0</v>
      </c>
      <c r="AP3464">
        <v>0</v>
      </c>
      <c r="AQ3464">
        <v>0</v>
      </c>
      <c r="AS3464">
        <v>0</v>
      </c>
      <c r="AT3464">
        <v>0</v>
      </c>
      <c r="AV3464">
        <v>0</v>
      </c>
      <c r="AW3464">
        <v>0</v>
      </c>
      <c r="AY3464">
        <v>0</v>
      </c>
      <c r="AZ3464">
        <v>0</v>
      </c>
      <c r="BA3464">
        <v>70</v>
      </c>
      <c r="BE3464" t="str">
        <f>T("9791164094080")</f>
        <v>9791164094080</v>
      </c>
      <c r="BF3464" t="str">
        <f>T("E762743")</f>
        <v>E762743</v>
      </c>
      <c r="BG3464" t="str">
        <f>T("로판 웹소설 &gt; 서양풍 로판")</f>
        <v>로판 웹소설 &gt; 서양풍 로판</v>
      </c>
    </row>
    <row r="3465" spans="1:59">
      <c r="A3465" t="s">
        <v>60</v>
      </c>
      <c r="B3465" s="1">
        <v>46130</v>
      </c>
      <c r="C3465">
        <v>2378016019</v>
      </c>
      <c r="D3465">
        <v>2378038362</v>
      </c>
      <c r="E3465" t="str">
        <f>T("부서진 세계의 구원자 415화")</f>
        <v>부서진 세계의 구원자 415화</v>
      </c>
      <c r="F3465">
        <v>428</v>
      </c>
      <c r="G3465" t="str">
        <f>T("권도윤")</f>
        <v>권도윤</v>
      </c>
      <c r="J3465" t="str">
        <f>T("시계토끼")</f>
        <v>시계토끼</v>
      </c>
      <c r="K3465" t="str">
        <f>T("부서진 세계의 구원자")</f>
        <v>부서진 세계의 구원자</v>
      </c>
      <c r="L3465">
        <v>100</v>
      </c>
      <c r="M3465">
        <v>100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0</v>
      </c>
      <c r="AH3465">
        <v>0</v>
      </c>
      <c r="AI3465">
        <v>100</v>
      </c>
      <c r="AJ3465">
        <v>1</v>
      </c>
      <c r="AK3465">
        <v>0</v>
      </c>
      <c r="AL3465">
        <v>0</v>
      </c>
      <c r="AM3465">
        <v>100</v>
      </c>
      <c r="AN3465">
        <v>0</v>
      </c>
      <c r="AO3465">
        <v>0</v>
      </c>
      <c r="AP3465">
        <v>0</v>
      </c>
      <c r="AQ3465">
        <v>0</v>
      </c>
      <c r="AS3465">
        <v>0</v>
      </c>
      <c r="AT3465">
        <v>0</v>
      </c>
      <c r="AV3465">
        <v>0</v>
      </c>
      <c r="AW3465">
        <v>0</v>
      </c>
      <c r="AY3465">
        <v>0</v>
      </c>
      <c r="AZ3465">
        <v>0</v>
      </c>
      <c r="BA3465">
        <v>70</v>
      </c>
      <c r="BE3465" t="str">
        <f>T("9791164094080")</f>
        <v>9791164094080</v>
      </c>
      <c r="BF3465" t="str">
        <f>T("N144421")</f>
        <v>N144421</v>
      </c>
      <c r="BG3465" t="str">
        <f>T("로판 웹소설 &gt; 서양풍 로판")</f>
        <v>로판 웹소설 &gt; 서양풍 로판</v>
      </c>
    </row>
    <row r="3466" spans="1:59">
      <c r="A3466" t="s">
        <v>60</v>
      </c>
      <c r="B3466" s="1">
        <v>46130</v>
      </c>
      <c r="C3466">
        <v>2378016019</v>
      </c>
      <c r="D3466">
        <v>2378052699</v>
      </c>
      <c r="E3466" t="str">
        <f>T("부서진 세계의 구원자 에피소드 여덟 10화")</f>
        <v>부서진 세계의 구원자 에피소드 여덟 10화</v>
      </c>
      <c r="F3466">
        <v>646</v>
      </c>
      <c r="G3466" t="str">
        <f>T("권도윤")</f>
        <v>권도윤</v>
      </c>
      <c r="J3466" t="str">
        <f>T("시계토끼")</f>
        <v>시계토끼</v>
      </c>
      <c r="K3466" t="str">
        <f>T("부서진 세계의 구원자")</f>
        <v>부서진 세계의 구원자</v>
      </c>
      <c r="L3466">
        <v>100</v>
      </c>
      <c r="M3466">
        <v>100</v>
      </c>
      <c r="N3466">
        <v>1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0</v>
      </c>
      <c r="AH3466">
        <v>0</v>
      </c>
      <c r="AI3466">
        <v>100</v>
      </c>
      <c r="AJ3466">
        <v>1</v>
      </c>
      <c r="AK3466">
        <v>0</v>
      </c>
      <c r="AL3466">
        <v>0</v>
      </c>
      <c r="AM3466">
        <v>100</v>
      </c>
      <c r="AN3466">
        <v>0</v>
      </c>
      <c r="AO3466">
        <v>0</v>
      </c>
      <c r="AP3466">
        <v>0</v>
      </c>
      <c r="AQ3466">
        <v>0</v>
      </c>
      <c r="AS3466">
        <v>0</v>
      </c>
      <c r="AT3466">
        <v>0</v>
      </c>
      <c r="AV3466">
        <v>0</v>
      </c>
      <c r="AW3466">
        <v>0</v>
      </c>
      <c r="AY3466">
        <v>0</v>
      </c>
      <c r="AZ3466">
        <v>0</v>
      </c>
      <c r="BA3466">
        <v>70</v>
      </c>
      <c r="BE3466" t="str">
        <f>T("9791164094080")</f>
        <v>9791164094080</v>
      </c>
      <c r="BF3466" t="str">
        <f>T("k105616")</f>
        <v>k105616</v>
      </c>
      <c r="BG3466" t="str">
        <f>T("로판 웹소설 &gt; 서양풍 로판")</f>
        <v>로판 웹소설 &gt; 서양풍 로판</v>
      </c>
    </row>
    <row r="3467" spans="1:59">
      <c r="A3467" t="s">
        <v>60</v>
      </c>
      <c r="B3467" s="1">
        <v>46131</v>
      </c>
      <c r="C3467">
        <v>2378016019</v>
      </c>
      <c r="D3467">
        <v>2378038297</v>
      </c>
      <c r="E3467" t="str">
        <f>T("부서진 세계의 구원자 412화")</f>
        <v>부서진 세계의 구원자 412화</v>
      </c>
      <c r="F3467">
        <v>425</v>
      </c>
      <c r="G3467" t="str">
        <f>T("권도윤")</f>
        <v>권도윤</v>
      </c>
      <c r="J3467" t="str">
        <f>T("시계토끼")</f>
        <v>시계토끼</v>
      </c>
      <c r="K3467" t="str">
        <f>T("부서진 세계의 구원자")</f>
        <v>부서진 세계의 구원자</v>
      </c>
      <c r="L3467">
        <v>100</v>
      </c>
      <c r="M3467">
        <v>100</v>
      </c>
      <c r="N3467">
        <v>1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0</v>
      </c>
      <c r="AH3467">
        <v>0</v>
      </c>
      <c r="AI3467">
        <v>100</v>
      </c>
      <c r="AJ3467">
        <v>1</v>
      </c>
      <c r="AK3467">
        <v>0</v>
      </c>
      <c r="AL3467">
        <v>0</v>
      </c>
      <c r="AM3467">
        <v>100</v>
      </c>
      <c r="AN3467">
        <v>0</v>
      </c>
      <c r="AO3467">
        <v>0</v>
      </c>
      <c r="AP3467">
        <v>0</v>
      </c>
      <c r="AQ3467">
        <v>0</v>
      </c>
      <c r="AS3467">
        <v>0</v>
      </c>
      <c r="AT3467">
        <v>0</v>
      </c>
      <c r="AV3467">
        <v>0</v>
      </c>
      <c r="AW3467">
        <v>0</v>
      </c>
      <c r="AY3467">
        <v>0</v>
      </c>
      <c r="AZ3467">
        <v>0</v>
      </c>
      <c r="BA3467">
        <v>70</v>
      </c>
      <c r="BE3467" t="str">
        <f>T("9791164094080")</f>
        <v>9791164094080</v>
      </c>
      <c r="BF3467" t="str">
        <f>T("N144418")</f>
        <v>N144418</v>
      </c>
      <c r="BG3467" t="str">
        <f>T("로판 웹소설 &gt; 서양풍 로판")</f>
        <v>로판 웹소설 &gt; 서양풍 로판</v>
      </c>
    </row>
    <row r="3468" spans="1:59">
      <c r="A3468" t="s">
        <v>60</v>
      </c>
      <c r="B3468" s="1">
        <v>46131</v>
      </c>
      <c r="C3468">
        <v>2378016019</v>
      </c>
      <c r="D3468">
        <v>2378016024</v>
      </c>
      <c r="E3468" t="str">
        <f>T("부서진 세계의 구원자 6화")</f>
        <v>부서진 세계의 구원자 6화</v>
      </c>
      <c r="F3468">
        <v>6</v>
      </c>
      <c r="G3468" t="str">
        <f>T("권도윤")</f>
        <v>권도윤</v>
      </c>
      <c r="J3468" t="str">
        <f>T("시계토끼")</f>
        <v>시계토끼</v>
      </c>
      <c r="K3468" t="str">
        <f>T("부서진 세계의 구원자")</f>
        <v>부서진 세계의 구원자</v>
      </c>
      <c r="L3468">
        <v>100</v>
      </c>
      <c r="M3468">
        <v>100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0</v>
      </c>
      <c r="AH3468">
        <v>0</v>
      </c>
      <c r="AI3468">
        <v>100</v>
      </c>
      <c r="AJ3468">
        <v>1</v>
      </c>
      <c r="AK3468">
        <v>0</v>
      </c>
      <c r="AL3468">
        <v>0</v>
      </c>
      <c r="AM3468">
        <v>100</v>
      </c>
      <c r="AN3468">
        <v>0</v>
      </c>
      <c r="AO3468">
        <v>0</v>
      </c>
      <c r="AP3468">
        <v>0</v>
      </c>
      <c r="AQ3468">
        <v>0</v>
      </c>
      <c r="AS3468">
        <v>0</v>
      </c>
      <c r="AT3468">
        <v>0</v>
      </c>
      <c r="AV3468">
        <v>0</v>
      </c>
      <c r="AW3468">
        <v>0</v>
      </c>
      <c r="AY3468">
        <v>0</v>
      </c>
      <c r="AZ3468">
        <v>0</v>
      </c>
      <c r="BA3468">
        <v>70</v>
      </c>
      <c r="BE3468" t="str">
        <f>T("9791164094080")</f>
        <v>9791164094080</v>
      </c>
      <c r="BF3468" t="str">
        <f>T("E762740")</f>
        <v>E762740</v>
      </c>
      <c r="BG3468" t="str">
        <f>T("로판 웹소설 &gt; 서양풍 로판")</f>
        <v>로판 웹소설 &gt; 서양풍 로판</v>
      </c>
    </row>
    <row r="3469" spans="1:59">
      <c r="A3469" t="s">
        <v>60</v>
      </c>
      <c r="B3469" s="1">
        <v>46129</v>
      </c>
      <c r="C3469">
        <v>2378071524</v>
      </c>
      <c r="D3469">
        <v>2378071634</v>
      </c>
      <c r="E3469" t="str">
        <f>T("불사자에게는 수호령이 있었다 111화")</f>
        <v>불사자에게는 수호령이 있었다 111화</v>
      </c>
      <c r="F3469">
        <v>111</v>
      </c>
      <c r="G3469" t="str">
        <f>T("덴피")</f>
        <v>덴피</v>
      </c>
      <c r="J3469" t="str">
        <f>T("매드햇")</f>
        <v>매드햇</v>
      </c>
      <c r="K3469" t="str">
        <f>T("불사자에게는 수호령이 있었다")</f>
        <v>불사자에게는 수호령이 있었다</v>
      </c>
      <c r="L3469">
        <v>100</v>
      </c>
      <c r="M3469">
        <v>100</v>
      </c>
      <c r="N3469">
        <v>1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0</v>
      </c>
      <c r="AH3469">
        <v>0</v>
      </c>
      <c r="AI3469">
        <v>100</v>
      </c>
      <c r="AJ3469">
        <v>1</v>
      </c>
      <c r="AK3469">
        <v>0</v>
      </c>
      <c r="AL3469">
        <v>0</v>
      </c>
      <c r="AM3469">
        <v>100</v>
      </c>
      <c r="AN3469">
        <v>0</v>
      </c>
      <c r="AO3469">
        <v>0</v>
      </c>
      <c r="AP3469">
        <v>0</v>
      </c>
      <c r="AQ3469">
        <v>0</v>
      </c>
      <c r="AS3469">
        <v>0</v>
      </c>
      <c r="AT3469">
        <v>0</v>
      </c>
      <c r="AV3469">
        <v>0</v>
      </c>
      <c r="AW3469">
        <v>0</v>
      </c>
      <c r="AY3469">
        <v>0</v>
      </c>
      <c r="AZ3469">
        <v>0</v>
      </c>
      <c r="BA3469">
        <v>70</v>
      </c>
      <c r="BE3469" t="str">
        <f>T("9791137009370")</f>
        <v>9791137009370</v>
      </c>
      <c r="BF3469" t="str">
        <f>T("k194357")</f>
        <v>k194357</v>
      </c>
      <c r="BG3469" t="str">
        <f>T("판타지 웹소설 &gt; 퓨전 판타지")</f>
        <v>판타지 웹소설 &gt; 퓨전 판타지</v>
      </c>
    </row>
    <row r="3470" spans="1:59">
      <c r="A3470" t="s">
        <v>60</v>
      </c>
      <c r="B3470" s="1">
        <v>46129</v>
      </c>
      <c r="C3470">
        <v>2378071524</v>
      </c>
      <c r="D3470">
        <v>2378071635</v>
      </c>
      <c r="E3470" t="str">
        <f>T("불사자에게는 수호령이 있었다 112화")</f>
        <v>불사자에게는 수호령이 있었다 112화</v>
      </c>
      <c r="F3470">
        <v>112</v>
      </c>
      <c r="G3470" t="str">
        <f>T("덴피")</f>
        <v>덴피</v>
      </c>
      <c r="J3470" t="str">
        <f>T("매드햇")</f>
        <v>매드햇</v>
      </c>
      <c r="K3470" t="str">
        <f>T("불사자에게는 수호령이 있었다")</f>
        <v>불사자에게는 수호령이 있었다</v>
      </c>
      <c r="L3470">
        <v>100</v>
      </c>
      <c r="M3470">
        <v>100</v>
      </c>
      <c r="N3470">
        <v>1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0</v>
      </c>
      <c r="AH3470">
        <v>0</v>
      </c>
      <c r="AI3470">
        <v>100</v>
      </c>
      <c r="AJ3470">
        <v>1</v>
      </c>
      <c r="AK3470">
        <v>0</v>
      </c>
      <c r="AL3470">
        <v>0</v>
      </c>
      <c r="AM3470">
        <v>100</v>
      </c>
      <c r="AN3470">
        <v>0</v>
      </c>
      <c r="AO3470">
        <v>0</v>
      </c>
      <c r="AP3470">
        <v>0</v>
      </c>
      <c r="AQ3470">
        <v>0</v>
      </c>
      <c r="AS3470">
        <v>0</v>
      </c>
      <c r="AT3470">
        <v>0</v>
      </c>
      <c r="AV3470">
        <v>0</v>
      </c>
      <c r="AW3470">
        <v>0</v>
      </c>
      <c r="AY3470">
        <v>0</v>
      </c>
      <c r="AZ3470">
        <v>0</v>
      </c>
      <c r="BA3470">
        <v>70</v>
      </c>
      <c r="BE3470" t="str">
        <f>T("9791137009370")</f>
        <v>9791137009370</v>
      </c>
      <c r="BF3470" t="str">
        <f>T("k194358")</f>
        <v>k194358</v>
      </c>
      <c r="BG3470" t="str">
        <f>T("판타지 웹소설 &gt; 퓨전 판타지")</f>
        <v>판타지 웹소설 &gt; 퓨전 판타지</v>
      </c>
    </row>
    <row r="3471" spans="1:59">
      <c r="A3471" t="s">
        <v>60</v>
      </c>
      <c r="B3471" s="1">
        <v>46129</v>
      </c>
      <c r="C3471">
        <v>2378071524</v>
      </c>
      <c r="D3471">
        <v>2378071636</v>
      </c>
      <c r="E3471" t="str">
        <f>T("불사자에게는 수호령이 있었다 113화")</f>
        <v>불사자에게는 수호령이 있었다 113화</v>
      </c>
      <c r="F3471">
        <v>113</v>
      </c>
      <c r="G3471" t="str">
        <f>T("덴피")</f>
        <v>덴피</v>
      </c>
      <c r="J3471" t="str">
        <f>T("매드햇")</f>
        <v>매드햇</v>
      </c>
      <c r="K3471" t="str">
        <f>T("불사자에게는 수호령이 있었다")</f>
        <v>불사자에게는 수호령이 있었다</v>
      </c>
      <c r="L3471">
        <v>100</v>
      </c>
      <c r="M3471">
        <v>100</v>
      </c>
      <c r="N3471">
        <v>1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0</v>
      </c>
      <c r="AH3471">
        <v>0</v>
      </c>
      <c r="AI3471">
        <v>100</v>
      </c>
      <c r="AJ3471">
        <v>1</v>
      </c>
      <c r="AK3471">
        <v>0</v>
      </c>
      <c r="AL3471">
        <v>0</v>
      </c>
      <c r="AM3471">
        <v>100</v>
      </c>
      <c r="AN3471">
        <v>0</v>
      </c>
      <c r="AO3471">
        <v>0</v>
      </c>
      <c r="AP3471">
        <v>0</v>
      </c>
      <c r="AQ3471">
        <v>0</v>
      </c>
      <c r="AS3471">
        <v>0</v>
      </c>
      <c r="AT3471">
        <v>0</v>
      </c>
      <c r="AV3471">
        <v>0</v>
      </c>
      <c r="AW3471">
        <v>0</v>
      </c>
      <c r="AY3471">
        <v>0</v>
      </c>
      <c r="AZ3471">
        <v>0</v>
      </c>
      <c r="BA3471">
        <v>70</v>
      </c>
      <c r="BE3471" t="str">
        <f>T("9791137009370")</f>
        <v>9791137009370</v>
      </c>
      <c r="BF3471" t="str">
        <f>T("k194359")</f>
        <v>k194359</v>
      </c>
      <c r="BG3471" t="str">
        <f>T("판타지 웹소설 &gt; 퓨전 판타지")</f>
        <v>판타지 웹소설 &gt; 퓨전 판타지</v>
      </c>
    </row>
    <row r="3472" spans="1:59">
      <c r="A3472" t="s">
        <v>60</v>
      </c>
      <c r="B3472" s="1">
        <v>46129</v>
      </c>
      <c r="C3472">
        <v>2378071524</v>
      </c>
      <c r="D3472">
        <v>2378071721</v>
      </c>
      <c r="E3472" t="str">
        <f>T("불사자에게는 수호령이 있었다 198화")</f>
        <v>불사자에게는 수호령이 있었다 198화</v>
      </c>
      <c r="F3472">
        <v>198</v>
      </c>
      <c r="G3472" t="str">
        <f>T("덴피")</f>
        <v>덴피</v>
      </c>
      <c r="J3472" t="str">
        <f>T("매드햇")</f>
        <v>매드햇</v>
      </c>
      <c r="K3472" t="str">
        <f>T("불사자에게는 수호령이 있었다")</f>
        <v>불사자에게는 수호령이 있었다</v>
      </c>
      <c r="L3472">
        <v>100</v>
      </c>
      <c r="M3472">
        <v>100</v>
      </c>
      <c r="N3472">
        <v>1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0</v>
      </c>
      <c r="AH3472">
        <v>0</v>
      </c>
      <c r="AI3472">
        <v>100</v>
      </c>
      <c r="AJ3472">
        <v>1</v>
      </c>
      <c r="AK3472">
        <v>0</v>
      </c>
      <c r="AL3472">
        <v>0</v>
      </c>
      <c r="AM3472">
        <v>100</v>
      </c>
      <c r="AN3472">
        <v>0</v>
      </c>
      <c r="AO3472">
        <v>0</v>
      </c>
      <c r="AP3472">
        <v>0</v>
      </c>
      <c r="AQ3472">
        <v>0</v>
      </c>
      <c r="AS3472">
        <v>0</v>
      </c>
      <c r="AT3472">
        <v>0</v>
      </c>
      <c r="AV3472">
        <v>0</v>
      </c>
      <c r="AW3472">
        <v>0</v>
      </c>
      <c r="AY3472">
        <v>0</v>
      </c>
      <c r="AZ3472">
        <v>0</v>
      </c>
      <c r="BA3472">
        <v>70</v>
      </c>
      <c r="BE3472" t="str">
        <f>T("9791137009370")</f>
        <v>9791137009370</v>
      </c>
      <c r="BF3472" t="str">
        <f>T("k288550")</f>
        <v>k288550</v>
      </c>
      <c r="BG3472" t="str">
        <f>T("판타지 웹소설 &gt; 퓨전 판타지")</f>
        <v>판타지 웹소설 &gt; 퓨전 판타지</v>
      </c>
    </row>
    <row r="3473" spans="1:59">
      <c r="A3473" t="s">
        <v>60</v>
      </c>
      <c r="B3473" s="1">
        <v>46129</v>
      </c>
      <c r="C3473">
        <v>2378071524</v>
      </c>
      <c r="D3473">
        <v>2378071745</v>
      </c>
      <c r="E3473" t="str">
        <f>T("불사자에게는 수호령이 있었다 222화")</f>
        <v>불사자에게는 수호령이 있었다 222화</v>
      </c>
      <c r="F3473">
        <v>222</v>
      </c>
      <c r="G3473" t="str">
        <f>T("덴피")</f>
        <v>덴피</v>
      </c>
      <c r="J3473" t="str">
        <f>T("매드햇")</f>
        <v>매드햇</v>
      </c>
      <c r="K3473" t="str">
        <f>T("불사자에게는 수호령이 있었다")</f>
        <v>불사자에게는 수호령이 있었다</v>
      </c>
      <c r="L3473">
        <v>100</v>
      </c>
      <c r="M3473">
        <v>100</v>
      </c>
      <c r="N3473">
        <v>1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0</v>
      </c>
      <c r="AH3473">
        <v>0</v>
      </c>
      <c r="AI3473">
        <v>100</v>
      </c>
      <c r="AJ3473">
        <v>1</v>
      </c>
      <c r="AK3473">
        <v>0</v>
      </c>
      <c r="AL3473">
        <v>0</v>
      </c>
      <c r="AM3473">
        <v>100</v>
      </c>
      <c r="AN3473">
        <v>0</v>
      </c>
      <c r="AO3473">
        <v>0</v>
      </c>
      <c r="AP3473">
        <v>0</v>
      </c>
      <c r="AQ3473">
        <v>0</v>
      </c>
      <c r="AS3473">
        <v>0</v>
      </c>
      <c r="AT3473">
        <v>0</v>
      </c>
      <c r="AV3473">
        <v>0</v>
      </c>
      <c r="AW3473">
        <v>0</v>
      </c>
      <c r="AY3473">
        <v>0</v>
      </c>
      <c r="AZ3473">
        <v>0</v>
      </c>
      <c r="BA3473">
        <v>70</v>
      </c>
      <c r="BE3473" t="str">
        <f>T("9791137009370")</f>
        <v>9791137009370</v>
      </c>
      <c r="BF3473" t="str">
        <f>T("k313548")</f>
        <v>k313548</v>
      </c>
      <c r="BG3473" t="str">
        <f>T("판타지 웹소설 &gt; 퓨전 판타지")</f>
        <v>판타지 웹소설 &gt; 퓨전 판타지</v>
      </c>
    </row>
    <row r="3474" spans="1:59">
      <c r="A3474" t="s">
        <v>60</v>
      </c>
      <c r="B3474" s="1">
        <v>46129</v>
      </c>
      <c r="C3474">
        <v>2378071524</v>
      </c>
      <c r="D3474">
        <v>2378071746</v>
      </c>
      <c r="E3474" t="str">
        <f>T("불사자에게는 수호령이 있었다 223화")</f>
        <v>불사자에게는 수호령이 있었다 223화</v>
      </c>
      <c r="F3474">
        <v>223</v>
      </c>
      <c r="G3474" t="str">
        <f>T("덴피")</f>
        <v>덴피</v>
      </c>
      <c r="J3474" t="str">
        <f>T("매드햇")</f>
        <v>매드햇</v>
      </c>
      <c r="K3474" t="str">
        <f>T("불사자에게는 수호령이 있었다")</f>
        <v>불사자에게는 수호령이 있었다</v>
      </c>
      <c r="L3474">
        <v>100</v>
      </c>
      <c r="M3474">
        <v>100</v>
      </c>
      <c r="N3474">
        <v>1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0</v>
      </c>
      <c r="AH3474">
        <v>0</v>
      </c>
      <c r="AI3474">
        <v>100</v>
      </c>
      <c r="AJ3474">
        <v>1</v>
      </c>
      <c r="AK3474">
        <v>0</v>
      </c>
      <c r="AL3474">
        <v>0</v>
      </c>
      <c r="AM3474">
        <v>100</v>
      </c>
      <c r="AN3474">
        <v>0</v>
      </c>
      <c r="AO3474">
        <v>0</v>
      </c>
      <c r="AP3474">
        <v>0</v>
      </c>
      <c r="AQ3474">
        <v>0</v>
      </c>
      <c r="AS3474">
        <v>0</v>
      </c>
      <c r="AT3474">
        <v>0</v>
      </c>
      <c r="AV3474">
        <v>0</v>
      </c>
      <c r="AW3474">
        <v>0</v>
      </c>
      <c r="AY3474">
        <v>0</v>
      </c>
      <c r="AZ3474">
        <v>0</v>
      </c>
      <c r="BA3474">
        <v>70</v>
      </c>
      <c r="BE3474" t="str">
        <f>T("9791137009370")</f>
        <v>9791137009370</v>
      </c>
      <c r="BF3474" t="str">
        <f>T("k313549")</f>
        <v>k313549</v>
      </c>
      <c r="BG3474" t="str">
        <f>T("판타지 웹소설 &gt; 퓨전 판타지")</f>
        <v>판타지 웹소설 &gt; 퓨전 판타지</v>
      </c>
    </row>
    <row r="3475" spans="1:59">
      <c r="A3475" t="s">
        <v>60</v>
      </c>
      <c r="B3475" s="1">
        <v>46129</v>
      </c>
      <c r="C3475">
        <v>2378071524</v>
      </c>
      <c r="D3475">
        <v>2378071747</v>
      </c>
      <c r="E3475" t="str">
        <f>T("불사자에게는 수호령이 있었다 224화")</f>
        <v>불사자에게는 수호령이 있었다 224화</v>
      </c>
      <c r="F3475">
        <v>224</v>
      </c>
      <c r="G3475" t="str">
        <f>T("덴피")</f>
        <v>덴피</v>
      </c>
      <c r="J3475" t="str">
        <f>T("매드햇")</f>
        <v>매드햇</v>
      </c>
      <c r="K3475" t="str">
        <f>T("불사자에게는 수호령이 있었다")</f>
        <v>불사자에게는 수호령이 있었다</v>
      </c>
      <c r="L3475">
        <v>100</v>
      </c>
      <c r="M3475">
        <v>100</v>
      </c>
      <c r="N3475">
        <v>1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0</v>
      </c>
      <c r="AH3475">
        <v>0</v>
      </c>
      <c r="AI3475">
        <v>100</v>
      </c>
      <c r="AJ3475">
        <v>1</v>
      </c>
      <c r="AK3475">
        <v>0</v>
      </c>
      <c r="AL3475">
        <v>0</v>
      </c>
      <c r="AM3475">
        <v>100</v>
      </c>
      <c r="AN3475">
        <v>0</v>
      </c>
      <c r="AO3475">
        <v>0</v>
      </c>
      <c r="AP3475">
        <v>0</v>
      </c>
      <c r="AQ3475">
        <v>0</v>
      </c>
      <c r="AS3475">
        <v>0</v>
      </c>
      <c r="AT3475">
        <v>0</v>
      </c>
      <c r="AV3475">
        <v>0</v>
      </c>
      <c r="AW3475">
        <v>0</v>
      </c>
      <c r="AY3475">
        <v>0</v>
      </c>
      <c r="AZ3475">
        <v>0</v>
      </c>
      <c r="BA3475">
        <v>70</v>
      </c>
      <c r="BE3475" t="str">
        <f>T("9791137009370")</f>
        <v>9791137009370</v>
      </c>
      <c r="BF3475" t="str">
        <f>T("k313550")</f>
        <v>k313550</v>
      </c>
      <c r="BG3475" t="str">
        <f>T("판타지 웹소설 &gt; 퓨전 판타지")</f>
        <v>판타지 웹소설 &gt; 퓨전 판타지</v>
      </c>
    </row>
    <row r="3476" spans="1:59">
      <c r="A3476" t="s">
        <v>60</v>
      </c>
      <c r="B3476" s="1">
        <v>46129</v>
      </c>
      <c r="C3476">
        <v>2378071524</v>
      </c>
      <c r="D3476">
        <v>2378071748</v>
      </c>
      <c r="E3476" t="str">
        <f>T("불사자에게는 수호령이 있었다 225화")</f>
        <v>불사자에게는 수호령이 있었다 225화</v>
      </c>
      <c r="F3476">
        <v>225</v>
      </c>
      <c r="G3476" t="str">
        <f>T("덴피")</f>
        <v>덴피</v>
      </c>
      <c r="J3476" t="str">
        <f>T("매드햇")</f>
        <v>매드햇</v>
      </c>
      <c r="K3476" t="str">
        <f>T("불사자에게는 수호령이 있었다")</f>
        <v>불사자에게는 수호령이 있었다</v>
      </c>
      <c r="L3476">
        <v>100</v>
      </c>
      <c r="M3476">
        <v>100</v>
      </c>
      <c r="N3476">
        <v>1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0</v>
      </c>
      <c r="AH3476">
        <v>0</v>
      </c>
      <c r="AI3476">
        <v>100</v>
      </c>
      <c r="AJ3476">
        <v>1</v>
      </c>
      <c r="AK3476">
        <v>0</v>
      </c>
      <c r="AL3476">
        <v>0</v>
      </c>
      <c r="AM3476">
        <v>100</v>
      </c>
      <c r="AN3476">
        <v>0</v>
      </c>
      <c r="AO3476">
        <v>0</v>
      </c>
      <c r="AP3476">
        <v>0</v>
      </c>
      <c r="AQ3476">
        <v>0</v>
      </c>
      <c r="AS3476">
        <v>0</v>
      </c>
      <c r="AT3476">
        <v>0</v>
      </c>
      <c r="AV3476">
        <v>0</v>
      </c>
      <c r="AW3476">
        <v>0</v>
      </c>
      <c r="AY3476">
        <v>0</v>
      </c>
      <c r="AZ3476">
        <v>0</v>
      </c>
      <c r="BA3476">
        <v>70</v>
      </c>
      <c r="BE3476" t="str">
        <f>T("9791137009370")</f>
        <v>9791137009370</v>
      </c>
      <c r="BF3476" t="str">
        <f>T("k316636")</f>
        <v>k316636</v>
      </c>
      <c r="BG3476" t="str">
        <f>T("판타지 웹소설 &gt; 퓨전 판타지")</f>
        <v>판타지 웹소설 &gt; 퓨전 판타지</v>
      </c>
    </row>
    <row r="3477" spans="1:59">
      <c r="A3477" t="s">
        <v>60</v>
      </c>
      <c r="B3477" s="1">
        <v>46129</v>
      </c>
      <c r="C3477">
        <v>2378071524</v>
      </c>
      <c r="D3477">
        <v>2378071749</v>
      </c>
      <c r="E3477" t="str">
        <f>T("불사자에게는 수호령이 있었다 226화")</f>
        <v>불사자에게는 수호령이 있었다 226화</v>
      </c>
      <c r="F3477">
        <v>226</v>
      </c>
      <c r="G3477" t="str">
        <f>T("덴피")</f>
        <v>덴피</v>
      </c>
      <c r="J3477" t="str">
        <f>T("매드햇")</f>
        <v>매드햇</v>
      </c>
      <c r="K3477" t="str">
        <f>T("불사자에게는 수호령이 있었다")</f>
        <v>불사자에게는 수호령이 있었다</v>
      </c>
      <c r="L3477">
        <v>100</v>
      </c>
      <c r="M3477">
        <v>100</v>
      </c>
      <c r="N3477">
        <v>1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0</v>
      </c>
      <c r="AH3477">
        <v>0</v>
      </c>
      <c r="AI3477">
        <v>100</v>
      </c>
      <c r="AJ3477">
        <v>1</v>
      </c>
      <c r="AK3477">
        <v>0</v>
      </c>
      <c r="AL3477">
        <v>0</v>
      </c>
      <c r="AM3477">
        <v>100</v>
      </c>
      <c r="AN3477">
        <v>0</v>
      </c>
      <c r="AO3477">
        <v>0</v>
      </c>
      <c r="AP3477">
        <v>0</v>
      </c>
      <c r="AQ3477">
        <v>0</v>
      </c>
      <c r="AS3477">
        <v>0</v>
      </c>
      <c r="AT3477">
        <v>0</v>
      </c>
      <c r="AV3477">
        <v>0</v>
      </c>
      <c r="AW3477">
        <v>0</v>
      </c>
      <c r="AY3477">
        <v>0</v>
      </c>
      <c r="AZ3477">
        <v>0</v>
      </c>
      <c r="BA3477">
        <v>70</v>
      </c>
      <c r="BE3477" t="str">
        <f>T("9791137009370")</f>
        <v>9791137009370</v>
      </c>
      <c r="BF3477" t="str">
        <f>T("k316637")</f>
        <v>k316637</v>
      </c>
      <c r="BG3477" t="str">
        <f>T("판타지 웹소설 &gt; 퓨전 판타지")</f>
        <v>판타지 웹소설 &gt; 퓨전 판타지</v>
      </c>
    </row>
    <row r="3478" spans="1:59">
      <c r="A3478" t="s">
        <v>60</v>
      </c>
      <c r="B3478" s="1">
        <v>46129</v>
      </c>
      <c r="C3478">
        <v>2378071524</v>
      </c>
      <c r="D3478">
        <v>2378071750</v>
      </c>
      <c r="E3478" t="str">
        <f>T("불사자에게는 수호령이 있었다 227화")</f>
        <v>불사자에게는 수호령이 있었다 227화</v>
      </c>
      <c r="F3478">
        <v>227</v>
      </c>
      <c r="G3478" t="str">
        <f>T("덴피")</f>
        <v>덴피</v>
      </c>
      <c r="J3478" t="str">
        <f>T("매드햇")</f>
        <v>매드햇</v>
      </c>
      <c r="K3478" t="str">
        <f>T("불사자에게는 수호령이 있었다")</f>
        <v>불사자에게는 수호령이 있었다</v>
      </c>
      <c r="L3478">
        <v>100</v>
      </c>
      <c r="M3478">
        <v>100</v>
      </c>
      <c r="N3478">
        <v>1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0</v>
      </c>
      <c r="AH3478">
        <v>0</v>
      </c>
      <c r="AI3478">
        <v>100</v>
      </c>
      <c r="AJ3478">
        <v>1</v>
      </c>
      <c r="AK3478">
        <v>0</v>
      </c>
      <c r="AL3478">
        <v>0</v>
      </c>
      <c r="AM3478">
        <v>100</v>
      </c>
      <c r="AN3478">
        <v>0</v>
      </c>
      <c r="AO3478">
        <v>0</v>
      </c>
      <c r="AP3478">
        <v>0</v>
      </c>
      <c r="AQ3478">
        <v>0</v>
      </c>
      <c r="AS3478">
        <v>0</v>
      </c>
      <c r="AT3478">
        <v>0</v>
      </c>
      <c r="AV3478">
        <v>0</v>
      </c>
      <c r="AW3478">
        <v>0</v>
      </c>
      <c r="AY3478">
        <v>0</v>
      </c>
      <c r="AZ3478">
        <v>0</v>
      </c>
      <c r="BA3478">
        <v>70</v>
      </c>
      <c r="BE3478" t="str">
        <f>T("9791137009370")</f>
        <v>9791137009370</v>
      </c>
      <c r="BF3478" t="str">
        <f>T("k316638")</f>
        <v>k316638</v>
      </c>
      <c r="BG3478" t="str">
        <f>T("판타지 웹소설 &gt; 퓨전 판타지")</f>
        <v>판타지 웹소설 &gt; 퓨전 판타지</v>
      </c>
    </row>
    <row r="3479" spans="1:59">
      <c r="A3479" t="s">
        <v>60</v>
      </c>
      <c r="B3479" s="1">
        <v>46129</v>
      </c>
      <c r="C3479">
        <v>2378071524</v>
      </c>
      <c r="D3479">
        <v>2378071751</v>
      </c>
      <c r="E3479" t="str">
        <f>T("불사자에게는 수호령이 있었다 228화")</f>
        <v>불사자에게는 수호령이 있었다 228화</v>
      </c>
      <c r="F3479">
        <v>228</v>
      </c>
      <c r="G3479" t="str">
        <f>T("덴피")</f>
        <v>덴피</v>
      </c>
      <c r="J3479" t="str">
        <f>T("매드햇")</f>
        <v>매드햇</v>
      </c>
      <c r="K3479" t="str">
        <f>T("불사자에게는 수호령이 있었다")</f>
        <v>불사자에게는 수호령이 있었다</v>
      </c>
      <c r="L3479">
        <v>100</v>
      </c>
      <c r="M3479">
        <v>100</v>
      </c>
      <c r="N3479">
        <v>1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0</v>
      </c>
      <c r="AH3479">
        <v>0</v>
      </c>
      <c r="AI3479">
        <v>100</v>
      </c>
      <c r="AJ3479">
        <v>1</v>
      </c>
      <c r="AK3479">
        <v>0</v>
      </c>
      <c r="AL3479">
        <v>0</v>
      </c>
      <c r="AM3479">
        <v>100</v>
      </c>
      <c r="AN3479">
        <v>0</v>
      </c>
      <c r="AO3479">
        <v>0</v>
      </c>
      <c r="AP3479">
        <v>0</v>
      </c>
      <c r="AQ3479">
        <v>0</v>
      </c>
      <c r="AS3479">
        <v>0</v>
      </c>
      <c r="AT3479">
        <v>0</v>
      </c>
      <c r="AV3479">
        <v>0</v>
      </c>
      <c r="AW3479">
        <v>0</v>
      </c>
      <c r="AY3479">
        <v>0</v>
      </c>
      <c r="AZ3479">
        <v>0</v>
      </c>
      <c r="BA3479">
        <v>70</v>
      </c>
      <c r="BE3479" t="str">
        <f>T("9791137009370")</f>
        <v>9791137009370</v>
      </c>
      <c r="BF3479" t="str">
        <f>T("k316639")</f>
        <v>k316639</v>
      </c>
      <c r="BG3479" t="str">
        <f>T("판타지 웹소설 &gt; 퓨전 판타지")</f>
        <v>판타지 웹소설 &gt; 퓨전 판타지</v>
      </c>
    </row>
    <row r="3480" spans="1:59">
      <c r="A3480" t="s">
        <v>60</v>
      </c>
      <c r="B3480" s="1">
        <v>46129</v>
      </c>
      <c r="C3480">
        <v>2378071524</v>
      </c>
      <c r="D3480">
        <v>2378071752</v>
      </c>
      <c r="E3480" t="str">
        <f>T("불사자에게는 수호령이 있었다 229화")</f>
        <v>불사자에게는 수호령이 있었다 229화</v>
      </c>
      <c r="F3480">
        <v>229</v>
      </c>
      <c r="G3480" t="str">
        <f>T("덴피")</f>
        <v>덴피</v>
      </c>
      <c r="J3480" t="str">
        <f>T("매드햇")</f>
        <v>매드햇</v>
      </c>
      <c r="K3480" t="str">
        <f>T("불사자에게는 수호령이 있었다")</f>
        <v>불사자에게는 수호령이 있었다</v>
      </c>
      <c r="L3480">
        <v>100</v>
      </c>
      <c r="M3480">
        <v>100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0</v>
      </c>
      <c r="AH3480">
        <v>0</v>
      </c>
      <c r="AI3480">
        <v>100</v>
      </c>
      <c r="AJ3480">
        <v>1</v>
      </c>
      <c r="AK3480">
        <v>0</v>
      </c>
      <c r="AL3480">
        <v>0</v>
      </c>
      <c r="AM3480">
        <v>100</v>
      </c>
      <c r="AN3480">
        <v>0</v>
      </c>
      <c r="AO3480">
        <v>0</v>
      </c>
      <c r="AP3480">
        <v>0</v>
      </c>
      <c r="AQ3480">
        <v>0</v>
      </c>
      <c r="AS3480">
        <v>0</v>
      </c>
      <c r="AT3480">
        <v>0</v>
      </c>
      <c r="AV3480">
        <v>0</v>
      </c>
      <c r="AW3480">
        <v>0</v>
      </c>
      <c r="AY3480">
        <v>0</v>
      </c>
      <c r="AZ3480">
        <v>0</v>
      </c>
      <c r="BA3480">
        <v>70</v>
      </c>
      <c r="BE3480" t="str">
        <f>T("9791137009370")</f>
        <v>9791137009370</v>
      </c>
      <c r="BF3480" t="str">
        <f>T("k319390")</f>
        <v>k319390</v>
      </c>
      <c r="BG3480" t="str">
        <f>T("판타지 웹소설 &gt; 퓨전 판타지")</f>
        <v>판타지 웹소설 &gt; 퓨전 판타지</v>
      </c>
    </row>
    <row r="3481" spans="1:59">
      <c r="A3481" t="s">
        <v>60</v>
      </c>
      <c r="B3481" s="1">
        <v>46129</v>
      </c>
      <c r="C3481">
        <v>2378071524</v>
      </c>
      <c r="D3481">
        <v>2378071753</v>
      </c>
      <c r="E3481" t="str">
        <f>T("불사자에게는 수호령이 있었다 230화")</f>
        <v>불사자에게는 수호령이 있었다 230화</v>
      </c>
      <c r="F3481">
        <v>230</v>
      </c>
      <c r="G3481" t="str">
        <f>T("덴피")</f>
        <v>덴피</v>
      </c>
      <c r="J3481" t="str">
        <f>T("매드햇")</f>
        <v>매드햇</v>
      </c>
      <c r="K3481" t="str">
        <f>T("불사자에게는 수호령이 있었다")</f>
        <v>불사자에게는 수호령이 있었다</v>
      </c>
      <c r="L3481">
        <v>100</v>
      </c>
      <c r="M3481">
        <v>100</v>
      </c>
      <c r="N3481">
        <v>1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0</v>
      </c>
      <c r="AH3481">
        <v>0</v>
      </c>
      <c r="AI3481">
        <v>100</v>
      </c>
      <c r="AJ3481">
        <v>1</v>
      </c>
      <c r="AK3481">
        <v>0</v>
      </c>
      <c r="AL3481">
        <v>0</v>
      </c>
      <c r="AM3481">
        <v>100</v>
      </c>
      <c r="AN3481">
        <v>0</v>
      </c>
      <c r="AO3481">
        <v>0</v>
      </c>
      <c r="AP3481">
        <v>0</v>
      </c>
      <c r="AQ3481">
        <v>0</v>
      </c>
      <c r="AS3481">
        <v>0</v>
      </c>
      <c r="AT3481">
        <v>0</v>
      </c>
      <c r="AV3481">
        <v>0</v>
      </c>
      <c r="AW3481">
        <v>0</v>
      </c>
      <c r="AY3481">
        <v>0</v>
      </c>
      <c r="AZ3481">
        <v>0</v>
      </c>
      <c r="BA3481">
        <v>70</v>
      </c>
      <c r="BE3481" t="str">
        <f>T("9791137009370")</f>
        <v>9791137009370</v>
      </c>
      <c r="BF3481" t="str">
        <f>T("k319391")</f>
        <v>k319391</v>
      </c>
      <c r="BG3481" t="str">
        <f>T("판타지 웹소설 &gt; 퓨전 판타지")</f>
        <v>판타지 웹소설 &gt; 퓨전 판타지</v>
      </c>
    </row>
    <row r="3482" spans="1:59">
      <c r="A3482" t="s">
        <v>60</v>
      </c>
      <c r="B3482" s="1">
        <v>46129</v>
      </c>
      <c r="C3482">
        <v>2378071524</v>
      </c>
      <c r="D3482">
        <v>2378071754</v>
      </c>
      <c r="E3482" t="str">
        <f>T("불사자에게는 수호령이 있었다 231화")</f>
        <v>불사자에게는 수호령이 있었다 231화</v>
      </c>
      <c r="F3482">
        <v>231</v>
      </c>
      <c r="G3482" t="str">
        <f>T("덴피")</f>
        <v>덴피</v>
      </c>
      <c r="J3482" t="str">
        <f>T("매드햇")</f>
        <v>매드햇</v>
      </c>
      <c r="K3482" t="str">
        <f>T("불사자에게는 수호령이 있었다")</f>
        <v>불사자에게는 수호령이 있었다</v>
      </c>
      <c r="L3482">
        <v>100</v>
      </c>
      <c r="M3482">
        <v>100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0</v>
      </c>
      <c r="AH3482">
        <v>0</v>
      </c>
      <c r="AI3482">
        <v>100</v>
      </c>
      <c r="AJ3482">
        <v>1</v>
      </c>
      <c r="AK3482">
        <v>0</v>
      </c>
      <c r="AL3482">
        <v>0</v>
      </c>
      <c r="AM3482">
        <v>100</v>
      </c>
      <c r="AN3482">
        <v>0</v>
      </c>
      <c r="AO3482">
        <v>0</v>
      </c>
      <c r="AP3482">
        <v>0</v>
      </c>
      <c r="AQ3482">
        <v>0</v>
      </c>
      <c r="AS3482">
        <v>0</v>
      </c>
      <c r="AT3482">
        <v>0</v>
      </c>
      <c r="AV3482">
        <v>0</v>
      </c>
      <c r="AW3482">
        <v>0</v>
      </c>
      <c r="AY3482">
        <v>0</v>
      </c>
      <c r="AZ3482">
        <v>0</v>
      </c>
      <c r="BA3482">
        <v>70</v>
      </c>
      <c r="BE3482" t="str">
        <f>T("9791137009370")</f>
        <v>9791137009370</v>
      </c>
      <c r="BF3482" t="str">
        <f>T("k319392")</f>
        <v>k319392</v>
      </c>
      <c r="BG3482" t="str">
        <f>T("판타지 웹소설 &gt; 퓨전 판타지")</f>
        <v>판타지 웹소설 &gt; 퓨전 판타지</v>
      </c>
    </row>
    <row r="3483" spans="1:59">
      <c r="A3483" t="s">
        <v>60</v>
      </c>
      <c r="B3483" s="1">
        <v>46129</v>
      </c>
      <c r="C3483">
        <v>2378071524</v>
      </c>
      <c r="D3483">
        <v>2378071778</v>
      </c>
      <c r="E3483" t="str">
        <f>T("불사자에게는 수호령이 있었다 255화")</f>
        <v>불사자에게는 수호령이 있었다 255화</v>
      </c>
      <c r="F3483">
        <v>255</v>
      </c>
      <c r="G3483" t="str">
        <f>T("덴피")</f>
        <v>덴피</v>
      </c>
      <c r="J3483" t="str">
        <f>T("매드햇")</f>
        <v>매드햇</v>
      </c>
      <c r="K3483" t="str">
        <f>T("불사자에게는 수호령이 있었다")</f>
        <v>불사자에게는 수호령이 있었다</v>
      </c>
      <c r="L3483">
        <v>100</v>
      </c>
      <c r="M3483">
        <v>100</v>
      </c>
      <c r="N3483">
        <v>1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0</v>
      </c>
      <c r="AH3483">
        <v>0</v>
      </c>
      <c r="AI3483">
        <v>100</v>
      </c>
      <c r="AJ3483">
        <v>1</v>
      </c>
      <c r="AK3483">
        <v>0</v>
      </c>
      <c r="AL3483">
        <v>0</v>
      </c>
      <c r="AM3483">
        <v>100</v>
      </c>
      <c r="AN3483">
        <v>0</v>
      </c>
      <c r="AO3483">
        <v>0</v>
      </c>
      <c r="AP3483">
        <v>0</v>
      </c>
      <c r="AQ3483">
        <v>0</v>
      </c>
      <c r="AS3483">
        <v>0</v>
      </c>
      <c r="AT3483">
        <v>0</v>
      </c>
      <c r="AV3483">
        <v>0</v>
      </c>
      <c r="AW3483">
        <v>0</v>
      </c>
      <c r="AY3483">
        <v>0</v>
      </c>
      <c r="AZ3483">
        <v>0</v>
      </c>
      <c r="BA3483">
        <v>70</v>
      </c>
      <c r="BE3483" t="str">
        <f>T("9791137009370")</f>
        <v>9791137009370</v>
      </c>
      <c r="BF3483" t="str">
        <f>T("k345943")</f>
        <v>k345943</v>
      </c>
      <c r="BG3483" t="str">
        <f>T("판타지 웹소설 &gt; 퓨전 판타지")</f>
        <v>판타지 웹소설 &gt; 퓨전 판타지</v>
      </c>
    </row>
    <row r="3484" spans="1:59">
      <c r="A3484" t="s">
        <v>60</v>
      </c>
      <c r="B3484" s="1">
        <v>46130</v>
      </c>
      <c r="C3484">
        <v>2378071524</v>
      </c>
      <c r="D3484">
        <v>2378071637</v>
      </c>
      <c r="E3484" t="str">
        <f>T("불사자에게는 수호령이 있었다 114화")</f>
        <v>불사자에게는 수호령이 있었다 114화</v>
      </c>
      <c r="F3484">
        <v>114</v>
      </c>
      <c r="G3484" t="str">
        <f>T("덴피")</f>
        <v>덴피</v>
      </c>
      <c r="J3484" t="str">
        <f>T("매드햇")</f>
        <v>매드햇</v>
      </c>
      <c r="K3484" t="str">
        <f>T("불사자에게는 수호령이 있었다")</f>
        <v>불사자에게는 수호령이 있었다</v>
      </c>
      <c r="L3484">
        <v>100</v>
      </c>
      <c r="M3484">
        <v>100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0</v>
      </c>
      <c r="AH3484">
        <v>0</v>
      </c>
      <c r="AI3484">
        <v>100</v>
      </c>
      <c r="AJ3484">
        <v>1</v>
      </c>
      <c r="AK3484">
        <v>0</v>
      </c>
      <c r="AL3484">
        <v>0</v>
      </c>
      <c r="AM3484">
        <v>100</v>
      </c>
      <c r="AN3484">
        <v>0</v>
      </c>
      <c r="AO3484">
        <v>0</v>
      </c>
      <c r="AP3484">
        <v>0</v>
      </c>
      <c r="AQ3484">
        <v>0</v>
      </c>
      <c r="AS3484">
        <v>0</v>
      </c>
      <c r="AT3484">
        <v>0</v>
      </c>
      <c r="AV3484">
        <v>0</v>
      </c>
      <c r="AW3484">
        <v>0</v>
      </c>
      <c r="AY3484">
        <v>0</v>
      </c>
      <c r="AZ3484">
        <v>0</v>
      </c>
      <c r="BA3484">
        <v>70</v>
      </c>
      <c r="BE3484" t="str">
        <f>T("9791137009370")</f>
        <v>9791137009370</v>
      </c>
      <c r="BF3484" t="str">
        <f>T("k194360")</f>
        <v>k194360</v>
      </c>
      <c r="BG3484" t="str">
        <f>T("판타지 웹소설 &gt; 퓨전 판타지")</f>
        <v>판타지 웹소설 &gt; 퓨전 판타지</v>
      </c>
    </row>
    <row r="3485" spans="1:59">
      <c r="A3485" t="s">
        <v>60</v>
      </c>
      <c r="B3485" s="1">
        <v>46130</v>
      </c>
      <c r="C3485">
        <v>2378071524</v>
      </c>
      <c r="D3485">
        <v>2378071548</v>
      </c>
      <c r="E3485" t="str">
        <f>T("불사자에게는 수호령이 있었다 25화")</f>
        <v>불사자에게는 수호령이 있었다 25화</v>
      </c>
      <c r="F3485">
        <v>25</v>
      </c>
      <c r="G3485" t="str">
        <f>T("덴피")</f>
        <v>덴피</v>
      </c>
      <c r="J3485" t="str">
        <f>T("매드햇")</f>
        <v>매드햇</v>
      </c>
      <c r="K3485" t="str">
        <f>T("불사자에게는 수호령이 있었다")</f>
        <v>불사자에게는 수호령이 있었다</v>
      </c>
      <c r="L3485">
        <v>0</v>
      </c>
      <c r="M3485">
        <v>0</v>
      </c>
      <c r="N3485">
        <v>0</v>
      </c>
      <c r="O3485">
        <v>2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0</v>
      </c>
      <c r="AH3485">
        <v>0</v>
      </c>
      <c r="AI3485">
        <v>0</v>
      </c>
      <c r="AJ3485">
        <v>2</v>
      </c>
      <c r="AK3485">
        <v>0</v>
      </c>
      <c r="AL3485">
        <v>0</v>
      </c>
      <c r="AM3485">
        <v>0</v>
      </c>
      <c r="AN3485">
        <v>0</v>
      </c>
      <c r="AO3485">
        <v>0</v>
      </c>
      <c r="AP3485">
        <v>0</v>
      </c>
      <c r="AQ3485">
        <v>0</v>
      </c>
      <c r="AS3485">
        <v>0</v>
      </c>
      <c r="AT3485">
        <v>0</v>
      </c>
      <c r="AV3485">
        <v>0</v>
      </c>
      <c r="AW3485">
        <v>0</v>
      </c>
      <c r="AY3485">
        <v>0</v>
      </c>
      <c r="AZ3485">
        <v>0</v>
      </c>
      <c r="BA3485">
        <v>0</v>
      </c>
      <c r="BE3485" t="str">
        <f>T("9791137009370")</f>
        <v>9791137009370</v>
      </c>
      <c r="BF3485" t="str">
        <f>T("k131700")</f>
        <v>k131700</v>
      </c>
      <c r="BG3485" t="str">
        <f>T("판타지 웹소설 &gt; 퓨전 판타지")</f>
        <v>판타지 웹소설 &gt; 퓨전 판타지</v>
      </c>
    </row>
    <row r="3486" spans="1:59">
      <c r="A3486" t="s">
        <v>60</v>
      </c>
      <c r="B3486" s="1">
        <v>46130</v>
      </c>
      <c r="C3486">
        <v>2378071524</v>
      </c>
      <c r="D3486">
        <v>2378071536</v>
      </c>
      <c r="E3486" t="str">
        <f>T("불사자에게는 수호령이 있었다 13화")</f>
        <v>불사자에게는 수호령이 있었다 13화</v>
      </c>
      <c r="F3486">
        <v>13</v>
      </c>
      <c r="G3486" t="str">
        <f>T("덴피")</f>
        <v>덴피</v>
      </c>
      <c r="J3486" t="str">
        <f>T("매드햇")</f>
        <v>매드햇</v>
      </c>
      <c r="K3486" t="str">
        <f>T("불사자에게는 수호령이 있었다")</f>
        <v>불사자에게는 수호령이 있었다</v>
      </c>
      <c r="L3486">
        <v>0</v>
      </c>
      <c r="M3486">
        <v>0</v>
      </c>
      <c r="N3486">
        <v>0</v>
      </c>
      <c r="O3486">
        <v>1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0</v>
      </c>
      <c r="AH3486">
        <v>0</v>
      </c>
      <c r="AI3486">
        <v>0</v>
      </c>
      <c r="AJ3486">
        <v>1</v>
      </c>
      <c r="AK3486">
        <v>0</v>
      </c>
      <c r="AL3486">
        <v>0</v>
      </c>
      <c r="AM3486">
        <v>0</v>
      </c>
      <c r="AN3486">
        <v>0</v>
      </c>
      <c r="AO3486">
        <v>0</v>
      </c>
      <c r="AP3486">
        <v>0</v>
      </c>
      <c r="AQ3486">
        <v>0</v>
      </c>
      <c r="AS3486">
        <v>0</v>
      </c>
      <c r="AT3486">
        <v>0</v>
      </c>
      <c r="AV3486">
        <v>0</v>
      </c>
      <c r="AW3486">
        <v>0</v>
      </c>
      <c r="AY3486">
        <v>0</v>
      </c>
      <c r="AZ3486">
        <v>0</v>
      </c>
      <c r="BA3486">
        <v>0</v>
      </c>
      <c r="BE3486" t="str">
        <f>T("9791137009370")</f>
        <v>9791137009370</v>
      </c>
      <c r="BF3486" t="str">
        <f>T("k131688")</f>
        <v>k131688</v>
      </c>
      <c r="BG3486" t="str">
        <f>T("판타지 웹소설 &gt; 퓨전 판타지")</f>
        <v>판타지 웹소설 &gt; 퓨전 판타지</v>
      </c>
    </row>
    <row r="3487" spans="1:59">
      <c r="A3487" t="s">
        <v>60</v>
      </c>
      <c r="B3487" s="1">
        <v>46130</v>
      </c>
      <c r="C3487">
        <v>2378071524</v>
      </c>
      <c r="D3487">
        <v>2378071537</v>
      </c>
      <c r="E3487" t="str">
        <f>T("불사자에게는 수호령이 있었다 14화")</f>
        <v>불사자에게는 수호령이 있었다 14화</v>
      </c>
      <c r="F3487">
        <v>14</v>
      </c>
      <c r="G3487" t="str">
        <f>T("덴피")</f>
        <v>덴피</v>
      </c>
      <c r="J3487" t="str">
        <f>T("매드햇")</f>
        <v>매드햇</v>
      </c>
      <c r="K3487" t="str">
        <f>T("불사자에게는 수호령이 있었다")</f>
        <v>불사자에게는 수호령이 있었다</v>
      </c>
      <c r="L3487">
        <v>0</v>
      </c>
      <c r="M3487">
        <v>0</v>
      </c>
      <c r="N3487">
        <v>0</v>
      </c>
      <c r="O3487">
        <v>1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0</v>
      </c>
      <c r="AH3487">
        <v>0</v>
      </c>
      <c r="AI3487">
        <v>0</v>
      </c>
      <c r="AJ3487">
        <v>1</v>
      </c>
      <c r="AK3487">
        <v>0</v>
      </c>
      <c r="AL3487">
        <v>0</v>
      </c>
      <c r="AM3487">
        <v>0</v>
      </c>
      <c r="AN3487">
        <v>0</v>
      </c>
      <c r="AO3487">
        <v>0</v>
      </c>
      <c r="AP3487">
        <v>0</v>
      </c>
      <c r="AQ3487">
        <v>0</v>
      </c>
      <c r="AS3487">
        <v>0</v>
      </c>
      <c r="AT3487">
        <v>0</v>
      </c>
      <c r="AV3487">
        <v>0</v>
      </c>
      <c r="AW3487">
        <v>0</v>
      </c>
      <c r="AY3487">
        <v>0</v>
      </c>
      <c r="AZ3487">
        <v>0</v>
      </c>
      <c r="BA3487">
        <v>0</v>
      </c>
      <c r="BE3487" t="str">
        <f>T("9791137009370")</f>
        <v>9791137009370</v>
      </c>
      <c r="BF3487" t="str">
        <f>T("k131689")</f>
        <v>k131689</v>
      </c>
      <c r="BG3487" t="str">
        <f>T("판타지 웹소설 &gt; 퓨전 판타지")</f>
        <v>판타지 웹소설 &gt; 퓨전 판타지</v>
      </c>
    </row>
    <row r="3488" spans="1:59">
      <c r="A3488" t="s">
        <v>60</v>
      </c>
      <c r="B3488" s="1">
        <v>46130</v>
      </c>
      <c r="C3488">
        <v>2378071524</v>
      </c>
      <c r="D3488">
        <v>2378071538</v>
      </c>
      <c r="E3488" t="str">
        <f>T("불사자에게는 수호령이 있었다 15화")</f>
        <v>불사자에게는 수호령이 있었다 15화</v>
      </c>
      <c r="F3488">
        <v>15</v>
      </c>
      <c r="G3488" t="str">
        <f>T("덴피")</f>
        <v>덴피</v>
      </c>
      <c r="J3488" t="str">
        <f>T("매드햇")</f>
        <v>매드햇</v>
      </c>
      <c r="K3488" t="str">
        <f>T("불사자에게는 수호령이 있었다")</f>
        <v>불사자에게는 수호령이 있었다</v>
      </c>
      <c r="L3488">
        <v>0</v>
      </c>
      <c r="M3488">
        <v>0</v>
      </c>
      <c r="N3488">
        <v>0</v>
      </c>
      <c r="O3488">
        <v>1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0</v>
      </c>
      <c r="AH3488">
        <v>0</v>
      </c>
      <c r="AI3488">
        <v>0</v>
      </c>
      <c r="AJ3488">
        <v>1</v>
      </c>
      <c r="AK3488">
        <v>0</v>
      </c>
      <c r="AL3488">
        <v>0</v>
      </c>
      <c r="AM3488">
        <v>0</v>
      </c>
      <c r="AN3488">
        <v>0</v>
      </c>
      <c r="AO3488">
        <v>0</v>
      </c>
      <c r="AP3488">
        <v>0</v>
      </c>
      <c r="AQ3488">
        <v>0</v>
      </c>
      <c r="AS3488">
        <v>0</v>
      </c>
      <c r="AT3488">
        <v>0</v>
      </c>
      <c r="AV3488">
        <v>0</v>
      </c>
      <c r="AW3488">
        <v>0</v>
      </c>
      <c r="AY3488">
        <v>0</v>
      </c>
      <c r="AZ3488">
        <v>0</v>
      </c>
      <c r="BA3488">
        <v>0</v>
      </c>
      <c r="BE3488" t="str">
        <f>T("9791137009370")</f>
        <v>9791137009370</v>
      </c>
      <c r="BF3488" t="str">
        <f>T("k131690")</f>
        <v>k131690</v>
      </c>
      <c r="BG3488" t="str">
        <f>T("판타지 웹소설 &gt; 퓨전 판타지")</f>
        <v>판타지 웹소설 &gt; 퓨전 판타지</v>
      </c>
    </row>
    <row r="3489" spans="1:59">
      <c r="A3489" t="s">
        <v>60</v>
      </c>
      <c r="B3489" s="1">
        <v>46130</v>
      </c>
      <c r="C3489">
        <v>2378071524</v>
      </c>
      <c r="D3489">
        <v>2378071539</v>
      </c>
      <c r="E3489" t="str">
        <f>T("불사자에게는 수호령이 있었다 16화")</f>
        <v>불사자에게는 수호령이 있었다 16화</v>
      </c>
      <c r="F3489">
        <v>16</v>
      </c>
      <c r="G3489" t="str">
        <f>T("덴피")</f>
        <v>덴피</v>
      </c>
      <c r="J3489" t="str">
        <f>T("매드햇")</f>
        <v>매드햇</v>
      </c>
      <c r="K3489" t="str">
        <f>T("불사자에게는 수호령이 있었다")</f>
        <v>불사자에게는 수호령이 있었다</v>
      </c>
      <c r="L3489">
        <v>0</v>
      </c>
      <c r="M3489">
        <v>0</v>
      </c>
      <c r="N3489">
        <v>0</v>
      </c>
      <c r="O3489">
        <v>1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0</v>
      </c>
      <c r="AH3489">
        <v>0</v>
      </c>
      <c r="AI3489">
        <v>0</v>
      </c>
      <c r="AJ3489">
        <v>1</v>
      </c>
      <c r="AK3489">
        <v>0</v>
      </c>
      <c r="AL3489">
        <v>0</v>
      </c>
      <c r="AM3489">
        <v>0</v>
      </c>
      <c r="AN3489">
        <v>0</v>
      </c>
      <c r="AO3489">
        <v>0</v>
      </c>
      <c r="AP3489">
        <v>0</v>
      </c>
      <c r="AQ3489">
        <v>0</v>
      </c>
      <c r="AS3489">
        <v>0</v>
      </c>
      <c r="AT3489">
        <v>0</v>
      </c>
      <c r="AV3489">
        <v>0</v>
      </c>
      <c r="AW3489">
        <v>0</v>
      </c>
      <c r="AY3489">
        <v>0</v>
      </c>
      <c r="AZ3489">
        <v>0</v>
      </c>
      <c r="BA3489">
        <v>0</v>
      </c>
      <c r="BE3489" t="str">
        <f>T("9791137009370")</f>
        <v>9791137009370</v>
      </c>
      <c r="BF3489" t="str">
        <f>T("k131691")</f>
        <v>k131691</v>
      </c>
      <c r="BG3489" t="str">
        <f>T("판타지 웹소설 &gt; 퓨전 판타지")</f>
        <v>판타지 웹소설 &gt; 퓨전 판타지</v>
      </c>
    </row>
    <row r="3490" spans="1:59">
      <c r="A3490" t="s">
        <v>60</v>
      </c>
      <c r="B3490" s="1">
        <v>46130</v>
      </c>
      <c r="C3490">
        <v>2378071524</v>
      </c>
      <c r="D3490">
        <v>2378071540</v>
      </c>
      <c r="E3490" t="str">
        <f>T("불사자에게는 수호령이 있었다 17화")</f>
        <v>불사자에게는 수호령이 있었다 17화</v>
      </c>
      <c r="F3490">
        <v>17</v>
      </c>
      <c r="G3490" t="str">
        <f>T("덴피")</f>
        <v>덴피</v>
      </c>
      <c r="J3490" t="str">
        <f>T("매드햇")</f>
        <v>매드햇</v>
      </c>
      <c r="K3490" t="str">
        <f>T("불사자에게는 수호령이 있었다")</f>
        <v>불사자에게는 수호령이 있었다</v>
      </c>
      <c r="L3490">
        <v>0</v>
      </c>
      <c r="M3490">
        <v>0</v>
      </c>
      <c r="N3490">
        <v>0</v>
      </c>
      <c r="O3490">
        <v>1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0</v>
      </c>
      <c r="AH3490">
        <v>0</v>
      </c>
      <c r="AI3490">
        <v>0</v>
      </c>
      <c r="AJ3490">
        <v>1</v>
      </c>
      <c r="AK3490">
        <v>0</v>
      </c>
      <c r="AL3490">
        <v>0</v>
      </c>
      <c r="AM3490">
        <v>0</v>
      </c>
      <c r="AN3490">
        <v>0</v>
      </c>
      <c r="AO3490">
        <v>0</v>
      </c>
      <c r="AP3490">
        <v>0</v>
      </c>
      <c r="AQ3490">
        <v>0</v>
      </c>
      <c r="AS3490">
        <v>0</v>
      </c>
      <c r="AT3490">
        <v>0</v>
      </c>
      <c r="AV3490">
        <v>0</v>
      </c>
      <c r="AW3490">
        <v>0</v>
      </c>
      <c r="AY3490">
        <v>0</v>
      </c>
      <c r="AZ3490">
        <v>0</v>
      </c>
      <c r="BA3490">
        <v>0</v>
      </c>
      <c r="BE3490" t="str">
        <f>T("9791137009370")</f>
        <v>9791137009370</v>
      </c>
      <c r="BF3490" t="str">
        <f>T("k131692")</f>
        <v>k131692</v>
      </c>
      <c r="BG3490" t="str">
        <f>T("판타지 웹소설 &gt; 퓨전 판타지")</f>
        <v>판타지 웹소설 &gt; 퓨전 판타지</v>
      </c>
    </row>
    <row r="3491" spans="1:59">
      <c r="A3491" t="s">
        <v>60</v>
      </c>
      <c r="B3491" s="1">
        <v>46130</v>
      </c>
      <c r="C3491">
        <v>2378071524</v>
      </c>
      <c r="D3491">
        <v>2378071541</v>
      </c>
      <c r="E3491" t="str">
        <f>T("불사자에게는 수호령이 있었다 18화")</f>
        <v>불사자에게는 수호령이 있었다 18화</v>
      </c>
      <c r="F3491">
        <v>18</v>
      </c>
      <c r="G3491" t="str">
        <f>T("덴피")</f>
        <v>덴피</v>
      </c>
      <c r="J3491" t="str">
        <f>T("매드햇")</f>
        <v>매드햇</v>
      </c>
      <c r="K3491" t="str">
        <f>T("불사자에게는 수호령이 있었다")</f>
        <v>불사자에게는 수호령이 있었다</v>
      </c>
      <c r="L3491">
        <v>0</v>
      </c>
      <c r="M3491">
        <v>0</v>
      </c>
      <c r="N3491">
        <v>0</v>
      </c>
      <c r="O3491">
        <v>1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0</v>
      </c>
      <c r="AH3491">
        <v>0</v>
      </c>
      <c r="AI3491">
        <v>0</v>
      </c>
      <c r="AJ3491">
        <v>1</v>
      </c>
      <c r="AK3491">
        <v>0</v>
      </c>
      <c r="AL3491">
        <v>0</v>
      </c>
      <c r="AM3491">
        <v>0</v>
      </c>
      <c r="AN3491">
        <v>0</v>
      </c>
      <c r="AO3491">
        <v>0</v>
      </c>
      <c r="AP3491">
        <v>0</v>
      </c>
      <c r="AQ3491">
        <v>0</v>
      </c>
      <c r="AS3491">
        <v>0</v>
      </c>
      <c r="AT3491">
        <v>0</v>
      </c>
      <c r="AV3491">
        <v>0</v>
      </c>
      <c r="AW3491">
        <v>0</v>
      </c>
      <c r="AY3491">
        <v>0</v>
      </c>
      <c r="AZ3491">
        <v>0</v>
      </c>
      <c r="BA3491">
        <v>0</v>
      </c>
      <c r="BE3491" t="str">
        <f>T("9791137009370")</f>
        <v>9791137009370</v>
      </c>
      <c r="BF3491" t="str">
        <f>T("k131693")</f>
        <v>k131693</v>
      </c>
      <c r="BG3491" t="str">
        <f>T("판타지 웹소설 &gt; 퓨전 판타지")</f>
        <v>판타지 웹소설 &gt; 퓨전 판타지</v>
      </c>
    </row>
    <row r="3492" spans="1:59">
      <c r="A3492" t="s">
        <v>60</v>
      </c>
      <c r="B3492" s="1">
        <v>46130</v>
      </c>
      <c r="C3492">
        <v>2378071524</v>
      </c>
      <c r="D3492">
        <v>2378071542</v>
      </c>
      <c r="E3492" t="str">
        <f>T("불사자에게는 수호령이 있었다 19화")</f>
        <v>불사자에게는 수호령이 있었다 19화</v>
      </c>
      <c r="F3492">
        <v>19</v>
      </c>
      <c r="G3492" t="str">
        <f>T("덴피")</f>
        <v>덴피</v>
      </c>
      <c r="J3492" t="str">
        <f>T("매드햇")</f>
        <v>매드햇</v>
      </c>
      <c r="K3492" t="str">
        <f>T("불사자에게는 수호령이 있었다")</f>
        <v>불사자에게는 수호령이 있었다</v>
      </c>
      <c r="L3492">
        <v>0</v>
      </c>
      <c r="M3492">
        <v>0</v>
      </c>
      <c r="N3492">
        <v>0</v>
      </c>
      <c r="O3492">
        <v>1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0</v>
      </c>
      <c r="AH3492">
        <v>0</v>
      </c>
      <c r="AI3492">
        <v>0</v>
      </c>
      <c r="AJ3492">
        <v>1</v>
      </c>
      <c r="AK3492">
        <v>0</v>
      </c>
      <c r="AL3492">
        <v>0</v>
      </c>
      <c r="AM3492">
        <v>0</v>
      </c>
      <c r="AN3492">
        <v>0</v>
      </c>
      <c r="AO3492">
        <v>0</v>
      </c>
      <c r="AP3492">
        <v>0</v>
      </c>
      <c r="AQ3492">
        <v>0</v>
      </c>
      <c r="AS3492">
        <v>0</v>
      </c>
      <c r="AT3492">
        <v>0</v>
      </c>
      <c r="AV3492">
        <v>0</v>
      </c>
      <c r="AW3492">
        <v>0</v>
      </c>
      <c r="AY3492">
        <v>0</v>
      </c>
      <c r="AZ3492">
        <v>0</v>
      </c>
      <c r="BA3492">
        <v>0</v>
      </c>
      <c r="BE3492" t="str">
        <f>T("9791137009370")</f>
        <v>9791137009370</v>
      </c>
      <c r="BF3492" t="str">
        <f>T("k131694")</f>
        <v>k131694</v>
      </c>
      <c r="BG3492" t="str">
        <f>T("판타지 웹소설 &gt; 퓨전 판타지")</f>
        <v>판타지 웹소설 &gt; 퓨전 판타지</v>
      </c>
    </row>
    <row r="3493" spans="1:59">
      <c r="A3493" t="s">
        <v>60</v>
      </c>
      <c r="B3493" s="1">
        <v>46130</v>
      </c>
      <c r="C3493">
        <v>2378071524</v>
      </c>
      <c r="D3493">
        <v>2378071543</v>
      </c>
      <c r="E3493" t="str">
        <f>T("불사자에게는 수호령이 있었다 20화")</f>
        <v>불사자에게는 수호령이 있었다 20화</v>
      </c>
      <c r="F3493">
        <v>20</v>
      </c>
      <c r="G3493" t="str">
        <f>T("덴피")</f>
        <v>덴피</v>
      </c>
      <c r="J3493" t="str">
        <f>T("매드햇")</f>
        <v>매드햇</v>
      </c>
      <c r="K3493" t="str">
        <f>T("불사자에게는 수호령이 있었다")</f>
        <v>불사자에게는 수호령이 있었다</v>
      </c>
      <c r="L3493">
        <v>0</v>
      </c>
      <c r="M3493">
        <v>0</v>
      </c>
      <c r="N3493">
        <v>0</v>
      </c>
      <c r="O3493">
        <v>1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0</v>
      </c>
      <c r="AH3493">
        <v>0</v>
      </c>
      <c r="AI3493">
        <v>0</v>
      </c>
      <c r="AJ3493">
        <v>1</v>
      </c>
      <c r="AK3493">
        <v>0</v>
      </c>
      <c r="AL3493">
        <v>0</v>
      </c>
      <c r="AM3493">
        <v>0</v>
      </c>
      <c r="AN3493">
        <v>0</v>
      </c>
      <c r="AO3493">
        <v>0</v>
      </c>
      <c r="AP3493">
        <v>0</v>
      </c>
      <c r="AQ3493">
        <v>0</v>
      </c>
      <c r="AS3493">
        <v>0</v>
      </c>
      <c r="AT3493">
        <v>0</v>
      </c>
      <c r="AV3493">
        <v>0</v>
      </c>
      <c r="AW3493">
        <v>0</v>
      </c>
      <c r="AY3493">
        <v>0</v>
      </c>
      <c r="AZ3493">
        <v>0</v>
      </c>
      <c r="BA3493">
        <v>0</v>
      </c>
      <c r="BE3493" t="str">
        <f>T("9791137009370")</f>
        <v>9791137009370</v>
      </c>
      <c r="BF3493" t="str">
        <f>T("k131695")</f>
        <v>k131695</v>
      </c>
      <c r="BG3493" t="str">
        <f>T("판타지 웹소설 &gt; 퓨전 판타지")</f>
        <v>판타지 웹소설 &gt; 퓨전 판타지</v>
      </c>
    </row>
    <row r="3494" spans="1:59">
      <c r="A3494" t="s">
        <v>60</v>
      </c>
      <c r="B3494" s="1">
        <v>46130</v>
      </c>
      <c r="C3494">
        <v>2378071524</v>
      </c>
      <c r="D3494">
        <v>2378071544</v>
      </c>
      <c r="E3494" t="str">
        <f>T("불사자에게는 수호령이 있었다 21화")</f>
        <v>불사자에게는 수호령이 있었다 21화</v>
      </c>
      <c r="F3494">
        <v>21</v>
      </c>
      <c r="G3494" t="str">
        <f>T("덴피")</f>
        <v>덴피</v>
      </c>
      <c r="J3494" t="str">
        <f>T("매드햇")</f>
        <v>매드햇</v>
      </c>
      <c r="K3494" t="str">
        <f>T("불사자에게는 수호령이 있었다")</f>
        <v>불사자에게는 수호령이 있었다</v>
      </c>
      <c r="L3494">
        <v>0</v>
      </c>
      <c r="M3494">
        <v>0</v>
      </c>
      <c r="N3494">
        <v>0</v>
      </c>
      <c r="O3494">
        <v>1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0</v>
      </c>
      <c r="AH3494">
        <v>0</v>
      </c>
      <c r="AI3494">
        <v>0</v>
      </c>
      <c r="AJ3494">
        <v>1</v>
      </c>
      <c r="AK3494">
        <v>0</v>
      </c>
      <c r="AL3494">
        <v>0</v>
      </c>
      <c r="AM3494">
        <v>0</v>
      </c>
      <c r="AN3494">
        <v>0</v>
      </c>
      <c r="AO3494">
        <v>0</v>
      </c>
      <c r="AP3494">
        <v>0</v>
      </c>
      <c r="AQ3494">
        <v>0</v>
      </c>
      <c r="AS3494">
        <v>0</v>
      </c>
      <c r="AT3494">
        <v>0</v>
      </c>
      <c r="AV3494">
        <v>0</v>
      </c>
      <c r="AW3494">
        <v>0</v>
      </c>
      <c r="AY3494">
        <v>0</v>
      </c>
      <c r="AZ3494">
        <v>0</v>
      </c>
      <c r="BA3494">
        <v>0</v>
      </c>
      <c r="BE3494" t="str">
        <f>T("9791137009370")</f>
        <v>9791137009370</v>
      </c>
      <c r="BF3494" t="str">
        <f>T("k131696")</f>
        <v>k131696</v>
      </c>
      <c r="BG3494" t="str">
        <f>T("판타지 웹소설 &gt; 퓨전 판타지")</f>
        <v>판타지 웹소설 &gt; 퓨전 판타지</v>
      </c>
    </row>
    <row r="3495" spans="1:59">
      <c r="A3495" t="s">
        <v>60</v>
      </c>
      <c r="B3495" s="1">
        <v>46130</v>
      </c>
      <c r="C3495">
        <v>2378071524</v>
      </c>
      <c r="D3495">
        <v>2378071545</v>
      </c>
      <c r="E3495" t="str">
        <f>T("불사자에게는 수호령이 있었다 22화")</f>
        <v>불사자에게는 수호령이 있었다 22화</v>
      </c>
      <c r="F3495">
        <v>22</v>
      </c>
      <c r="G3495" t="str">
        <f>T("덴피")</f>
        <v>덴피</v>
      </c>
      <c r="J3495" t="str">
        <f>T("매드햇")</f>
        <v>매드햇</v>
      </c>
      <c r="K3495" t="str">
        <f>T("불사자에게는 수호령이 있었다")</f>
        <v>불사자에게는 수호령이 있었다</v>
      </c>
      <c r="L3495">
        <v>0</v>
      </c>
      <c r="M3495">
        <v>0</v>
      </c>
      <c r="N3495">
        <v>0</v>
      </c>
      <c r="O3495">
        <v>1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0</v>
      </c>
      <c r="AH3495">
        <v>0</v>
      </c>
      <c r="AI3495">
        <v>0</v>
      </c>
      <c r="AJ3495">
        <v>1</v>
      </c>
      <c r="AK3495">
        <v>0</v>
      </c>
      <c r="AL3495">
        <v>0</v>
      </c>
      <c r="AM3495">
        <v>0</v>
      </c>
      <c r="AN3495">
        <v>0</v>
      </c>
      <c r="AO3495">
        <v>0</v>
      </c>
      <c r="AP3495">
        <v>0</v>
      </c>
      <c r="AQ3495">
        <v>0</v>
      </c>
      <c r="AS3495">
        <v>0</v>
      </c>
      <c r="AT3495">
        <v>0</v>
      </c>
      <c r="AV3495">
        <v>0</v>
      </c>
      <c r="AW3495">
        <v>0</v>
      </c>
      <c r="AY3495">
        <v>0</v>
      </c>
      <c r="AZ3495">
        <v>0</v>
      </c>
      <c r="BA3495">
        <v>0</v>
      </c>
      <c r="BE3495" t="str">
        <f>T("9791137009370")</f>
        <v>9791137009370</v>
      </c>
      <c r="BF3495" t="str">
        <f>T("k131697")</f>
        <v>k131697</v>
      </c>
      <c r="BG3495" t="str">
        <f>T("판타지 웹소설 &gt; 퓨전 판타지")</f>
        <v>판타지 웹소설 &gt; 퓨전 판타지</v>
      </c>
    </row>
    <row r="3496" spans="1:59">
      <c r="A3496" t="s">
        <v>60</v>
      </c>
      <c r="B3496" s="1">
        <v>46130</v>
      </c>
      <c r="C3496">
        <v>2378071524</v>
      </c>
      <c r="D3496">
        <v>2378071779</v>
      </c>
      <c r="E3496" t="str">
        <f>T("불사자에게는 수호령이 있었다 256화")</f>
        <v>불사자에게는 수호령이 있었다 256화</v>
      </c>
      <c r="F3496">
        <v>256</v>
      </c>
      <c r="G3496" t="str">
        <f>T("덴피")</f>
        <v>덴피</v>
      </c>
      <c r="J3496" t="str">
        <f>T("매드햇")</f>
        <v>매드햇</v>
      </c>
      <c r="K3496" t="str">
        <f>T("불사자에게는 수호령이 있었다")</f>
        <v>불사자에게는 수호령이 있었다</v>
      </c>
      <c r="L3496">
        <v>100</v>
      </c>
      <c r="M3496">
        <v>100</v>
      </c>
      <c r="N3496">
        <v>1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0</v>
      </c>
      <c r="AF3496">
        <v>0</v>
      </c>
      <c r="AG3496">
        <v>0</v>
      </c>
      <c r="AH3496">
        <v>0</v>
      </c>
      <c r="AI3496">
        <v>100</v>
      </c>
      <c r="AJ3496">
        <v>1</v>
      </c>
      <c r="AK3496">
        <v>0</v>
      </c>
      <c r="AL3496">
        <v>0</v>
      </c>
      <c r="AM3496">
        <v>100</v>
      </c>
      <c r="AN3496">
        <v>0</v>
      </c>
      <c r="AO3496">
        <v>0</v>
      </c>
      <c r="AP3496">
        <v>0</v>
      </c>
      <c r="AQ3496">
        <v>0</v>
      </c>
      <c r="AS3496">
        <v>0</v>
      </c>
      <c r="AT3496">
        <v>0</v>
      </c>
      <c r="AV3496">
        <v>0</v>
      </c>
      <c r="AW3496">
        <v>0</v>
      </c>
      <c r="AY3496">
        <v>0</v>
      </c>
      <c r="AZ3496">
        <v>0</v>
      </c>
      <c r="BA3496">
        <v>70</v>
      </c>
      <c r="BE3496" t="str">
        <f>T("9791137009370")</f>
        <v>9791137009370</v>
      </c>
      <c r="BF3496" t="str">
        <f>T("k345944")</f>
        <v>k345944</v>
      </c>
      <c r="BG3496" t="str">
        <f>T("판타지 웹소설 &gt; 퓨전 판타지")</f>
        <v>판타지 웹소설 &gt; 퓨전 판타지</v>
      </c>
    </row>
    <row r="3497" spans="1:59">
      <c r="A3497" t="s">
        <v>60</v>
      </c>
      <c r="B3497" s="1">
        <v>46130</v>
      </c>
      <c r="C3497">
        <v>2378071524</v>
      </c>
      <c r="D3497">
        <v>2378071780</v>
      </c>
      <c r="E3497" t="str">
        <f>T("불사자에게는 수호령이 있었다 257화")</f>
        <v>불사자에게는 수호령이 있었다 257화</v>
      </c>
      <c r="F3497">
        <v>257</v>
      </c>
      <c r="G3497" t="str">
        <f>T("덴피")</f>
        <v>덴피</v>
      </c>
      <c r="J3497" t="str">
        <f>T("매드햇")</f>
        <v>매드햇</v>
      </c>
      <c r="K3497" t="str">
        <f>T("불사자에게는 수호령이 있었다")</f>
        <v>불사자에게는 수호령이 있었다</v>
      </c>
      <c r="L3497">
        <v>100</v>
      </c>
      <c r="M3497">
        <v>100</v>
      </c>
      <c r="N3497">
        <v>1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0</v>
      </c>
      <c r="AH3497">
        <v>0</v>
      </c>
      <c r="AI3497">
        <v>100</v>
      </c>
      <c r="AJ3497">
        <v>1</v>
      </c>
      <c r="AK3497">
        <v>0</v>
      </c>
      <c r="AL3497">
        <v>0</v>
      </c>
      <c r="AM3497">
        <v>100</v>
      </c>
      <c r="AN3497">
        <v>0</v>
      </c>
      <c r="AO3497">
        <v>0</v>
      </c>
      <c r="AP3497">
        <v>0</v>
      </c>
      <c r="AQ3497">
        <v>0</v>
      </c>
      <c r="AS3497">
        <v>0</v>
      </c>
      <c r="AT3497">
        <v>0</v>
      </c>
      <c r="AV3497">
        <v>0</v>
      </c>
      <c r="AW3497">
        <v>0</v>
      </c>
      <c r="AY3497">
        <v>0</v>
      </c>
      <c r="AZ3497">
        <v>0</v>
      </c>
      <c r="BA3497">
        <v>70</v>
      </c>
      <c r="BE3497" t="str">
        <f>T("9791137009370")</f>
        <v>9791137009370</v>
      </c>
      <c r="BF3497" t="str">
        <f>T("k345945")</f>
        <v>k345945</v>
      </c>
      <c r="BG3497" t="str">
        <f>T("판타지 웹소설 &gt; 퓨전 판타지")</f>
        <v>판타지 웹소설 &gt; 퓨전 판타지</v>
      </c>
    </row>
    <row r="3498" spans="1:59">
      <c r="A3498" t="s">
        <v>60</v>
      </c>
      <c r="B3498" s="1">
        <v>46130</v>
      </c>
      <c r="C3498">
        <v>2378071524</v>
      </c>
      <c r="D3498">
        <v>2378071781</v>
      </c>
      <c r="E3498" t="str">
        <f>T("불사자에게는 수호령이 있었다 258화")</f>
        <v>불사자에게는 수호령이 있었다 258화</v>
      </c>
      <c r="F3498">
        <v>258</v>
      </c>
      <c r="G3498" t="str">
        <f>T("덴피")</f>
        <v>덴피</v>
      </c>
      <c r="J3498" t="str">
        <f>T("매드햇")</f>
        <v>매드햇</v>
      </c>
      <c r="K3498" t="str">
        <f>T("불사자에게는 수호령이 있었다")</f>
        <v>불사자에게는 수호령이 있었다</v>
      </c>
      <c r="L3498">
        <v>100</v>
      </c>
      <c r="M3498">
        <v>100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0</v>
      </c>
      <c r="AF3498">
        <v>0</v>
      </c>
      <c r="AG3498">
        <v>0</v>
      </c>
      <c r="AH3498">
        <v>0</v>
      </c>
      <c r="AI3498">
        <v>100</v>
      </c>
      <c r="AJ3498">
        <v>1</v>
      </c>
      <c r="AK3498">
        <v>0</v>
      </c>
      <c r="AL3498">
        <v>0</v>
      </c>
      <c r="AM3498">
        <v>100</v>
      </c>
      <c r="AN3498">
        <v>0</v>
      </c>
      <c r="AO3498">
        <v>0</v>
      </c>
      <c r="AP3498">
        <v>0</v>
      </c>
      <c r="AQ3498">
        <v>0</v>
      </c>
      <c r="AS3498">
        <v>0</v>
      </c>
      <c r="AT3498">
        <v>0</v>
      </c>
      <c r="AV3498">
        <v>0</v>
      </c>
      <c r="AW3498">
        <v>0</v>
      </c>
      <c r="AY3498">
        <v>0</v>
      </c>
      <c r="AZ3498">
        <v>0</v>
      </c>
      <c r="BA3498">
        <v>70</v>
      </c>
      <c r="BE3498" t="str">
        <f>T("9791137009370")</f>
        <v>9791137009370</v>
      </c>
      <c r="BF3498" t="str">
        <f>T("k345946")</f>
        <v>k345946</v>
      </c>
      <c r="BG3498" t="str">
        <f>T("판타지 웹소설 &gt; 퓨전 판타지")</f>
        <v>판타지 웹소설 &gt; 퓨전 판타지</v>
      </c>
    </row>
    <row r="3499" spans="1:59">
      <c r="A3499" t="s">
        <v>60</v>
      </c>
      <c r="B3499" s="1">
        <v>46130</v>
      </c>
      <c r="C3499">
        <v>2378071524</v>
      </c>
      <c r="D3499">
        <v>2378071782</v>
      </c>
      <c r="E3499" t="str">
        <f>T("불사자에게는 수호령이 있었다 259화")</f>
        <v>불사자에게는 수호령이 있었다 259화</v>
      </c>
      <c r="F3499">
        <v>259</v>
      </c>
      <c r="G3499" t="str">
        <f>T("덴피")</f>
        <v>덴피</v>
      </c>
      <c r="J3499" t="str">
        <f>T("매드햇")</f>
        <v>매드햇</v>
      </c>
      <c r="K3499" t="str">
        <f>T("불사자에게는 수호령이 있었다")</f>
        <v>불사자에게는 수호령이 있었다</v>
      </c>
      <c r="L3499">
        <v>100</v>
      </c>
      <c r="M3499">
        <v>100</v>
      </c>
      <c r="N3499">
        <v>1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0</v>
      </c>
      <c r="AH3499">
        <v>0</v>
      </c>
      <c r="AI3499">
        <v>100</v>
      </c>
      <c r="AJ3499">
        <v>1</v>
      </c>
      <c r="AK3499">
        <v>0</v>
      </c>
      <c r="AL3499">
        <v>0</v>
      </c>
      <c r="AM3499">
        <v>100</v>
      </c>
      <c r="AN3499">
        <v>0</v>
      </c>
      <c r="AO3499">
        <v>0</v>
      </c>
      <c r="AP3499">
        <v>0</v>
      </c>
      <c r="AQ3499">
        <v>0</v>
      </c>
      <c r="AS3499">
        <v>0</v>
      </c>
      <c r="AT3499">
        <v>0</v>
      </c>
      <c r="AV3499">
        <v>0</v>
      </c>
      <c r="AW3499">
        <v>0</v>
      </c>
      <c r="AY3499">
        <v>0</v>
      </c>
      <c r="AZ3499">
        <v>0</v>
      </c>
      <c r="BA3499">
        <v>70</v>
      </c>
      <c r="BE3499" t="str">
        <f>T("9791137009370")</f>
        <v>9791137009370</v>
      </c>
      <c r="BF3499" t="str">
        <f>T("k372069")</f>
        <v>k372069</v>
      </c>
      <c r="BG3499" t="str">
        <f>T("판타지 웹소설 &gt; 퓨전 판타지")</f>
        <v>판타지 웹소설 &gt; 퓨전 판타지</v>
      </c>
    </row>
    <row r="3500" spans="1:59">
      <c r="A3500" t="s">
        <v>60</v>
      </c>
      <c r="B3500" s="1">
        <v>46130</v>
      </c>
      <c r="C3500">
        <v>2378071524</v>
      </c>
      <c r="D3500">
        <v>2378071783</v>
      </c>
      <c r="E3500" t="str">
        <f>T("불사자에게는 수호령이 있었다 260화")</f>
        <v>불사자에게는 수호령이 있었다 260화</v>
      </c>
      <c r="F3500">
        <v>260</v>
      </c>
      <c r="G3500" t="str">
        <f>T("덴피")</f>
        <v>덴피</v>
      </c>
      <c r="J3500" t="str">
        <f>T("매드햇")</f>
        <v>매드햇</v>
      </c>
      <c r="K3500" t="str">
        <f>T("불사자에게는 수호령이 있었다")</f>
        <v>불사자에게는 수호령이 있었다</v>
      </c>
      <c r="L3500">
        <v>100</v>
      </c>
      <c r="M3500">
        <v>100</v>
      </c>
      <c r="N3500">
        <v>1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0</v>
      </c>
      <c r="AH3500">
        <v>0</v>
      </c>
      <c r="AI3500">
        <v>100</v>
      </c>
      <c r="AJ3500">
        <v>1</v>
      </c>
      <c r="AK3500">
        <v>0</v>
      </c>
      <c r="AL3500">
        <v>0</v>
      </c>
      <c r="AM3500">
        <v>100</v>
      </c>
      <c r="AN3500">
        <v>0</v>
      </c>
      <c r="AO3500">
        <v>0</v>
      </c>
      <c r="AP3500">
        <v>0</v>
      </c>
      <c r="AQ3500">
        <v>0</v>
      </c>
      <c r="AS3500">
        <v>0</v>
      </c>
      <c r="AT3500">
        <v>0</v>
      </c>
      <c r="AV3500">
        <v>0</v>
      </c>
      <c r="AW3500">
        <v>0</v>
      </c>
      <c r="AY3500">
        <v>0</v>
      </c>
      <c r="AZ3500">
        <v>0</v>
      </c>
      <c r="BA3500">
        <v>70</v>
      </c>
      <c r="BE3500" t="str">
        <f>T("9791137009370")</f>
        <v>9791137009370</v>
      </c>
      <c r="BF3500" t="str">
        <f>T("k372070")</f>
        <v>k372070</v>
      </c>
      <c r="BG3500" t="str">
        <f>T("판타지 웹소설 &gt; 퓨전 판타지")</f>
        <v>판타지 웹소설 &gt; 퓨전 판타지</v>
      </c>
    </row>
    <row r="3501" spans="1:59">
      <c r="A3501" t="s">
        <v>60</v>
      </c>
      <c r="B3501" s="1">
        <v>46130</v>
      </c>
      <c r="C3501">
        <v>2378071524</v>
      </c>
      <c r="D3501">
        <v>2378071784</v>
      </c>
      <c r="E3501" t="str">
        <f>T("불사자에게는 수호령이 있었다 261화")</f>
        <v>불사자에게는 수호령이 있었다 261화</v>
      </c>
      <c r="F3501">
        <v>261</v>
      </c>
      <c r="G3501" t="str">
        <f>T("덴피")</f>
        <v>덴피</v>
      </c>
      <c r="J3501" t="str">
        <f>T("매드햇")</f>
        <v>매드햇</v>
      </c>
      <c r="K3501" t="str">
        <f>T("불사자에게는 수호령이 있었다")</f>
        <v>불사자에게는 수호령이 있었다</v>
      </c>
      <c r="L3501">
        <v>100</v>
      </c>
      <c r="M3501">
        <v>100</v>
      </c>
      <c r="N3501">
        <v>1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0</v>
      </c>
      <c r="AF3501">
        <v>0</v>
      </c>
      <c r="AG3501">
        <v>0</v>
      </c>
      <c r="AH3501">
        <v>0</v>
      </c>
      <c r="AI3501">
        <v>100</v>
      </c>
      <c r="AJ3501">
        <v>1</v>
      </c>
      <c r="AK3501">
        <v>0</v>
      </c>
      <c r="AL3501">
        <v>0</v>
      </c>
      <c r="AM3501">
        <v>100</v>
      </c>
      <c r="AN3501">
        <v>0</v>
      </c>
      <c r="AO3501">
        <v>0</v>
      </c>
      <c r="AP3501">
        <v>0</v>
      </c>
      <c r="AQ3501">
        <v>0</v>
      </c>
      <c r="AS3501">
        <v>0</v>
      </c>
      <c r="AT3501">
        <v>0</v>
      </c>
      <c r="AV3501">
        <v>0</v>
      </c>
      <c r="AW3501">
        <v>0</v>
      </c>
      <c r="AY3501">
        <v>0</v>
      </c>
      <c r="AZ3501">
        <v>0</v>
      </c>
      <c r="BA3501">
        <v>70</v>
      </c>
      <c r="BE3501" t="str">
        <f>T("9791137009370")</f>
        <v>9791137009370</v>
      </c>
      <c r="BF3501" t="str">
        <f>T("k372071")</f>
        <v>k372071</v>
      </c>
      <c r="BG3501" t="str">
        <f>T("판타지 웹소설 &gt; 퓨전 판타지")</f>
        <v>판타지 웹소설 &gt; 퓨전 판타지</v>
      </c>
    </row>
    <row r="3502" spans="1:59">
      <c r="A3502" t="s">
        <v>60</v>
      </c>
      <c r="B3502" s="1">
        <v>46130</v>
      </c>
      <c r="C3502">
        <v>2378071524</v>
      </c>
      <c r="D3502">
        <v>2378071785</v>
      </c>
      <c r="E3502" t="str">
        <f>T("불사자에게는 수호령이 있었다 262화")</f>
        <v>불사자에게는 수호령이 있었다 262화</v>
      </c>
      <c r="F3502">
        <v>262</v>
      </c>
      <c r="G3502" t="str">
        <f>T("덴피")</f>
        <v>덴피</v>
      </c>
      <c r="J3502" t="str">
        <f>T("매드햇")</f>
        <v>매드햇</v>
      </c>
      <c r="K3502" t="str">
        <f>T("불사자에게는 수호령이 있었다")</f>
        <v>불사자에게는 수호령이 있었다</v>
      </c>
      <c r="L3502">
        <v>100</v>
      </c>
      <c r="M3502">
        <v>100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0</v>
      </c>
      <c r="AH3502">
        <v>0</v>
      </c>
      <c r="AI3502">
        <v>100</v>
      </c>
      <c r="AJ3502">
        <v>1</v>
      </c>
      <c r="AK3502">
        <v>0</v>
      </c>
      <c r="AL3502">
        <v>0</v>
      </c>
      <c r="AM3502">
        <v>100</v>
      </c>
      <c r="AN3502">
        <v>0</v>
      </c>
      <c r="AO3502">
        <v>0</v>
      </c>
      <c r="AP3502">
        <v>0</v>
      </c>
      <c r="AQ3502">
        <v>0</v>
      </c>
      <c r="AS3502">
        <v>0</v>
      </c>
      <c r="AT3502">
        <v>0</v>
      </c>
      <c r="AV3502">
        <v>0</v>
      </c>
      <c r="AW3502">
        <v>0</v>
      </c>
      <c r="AY3502">
        <v>0</v>
      </c>
      <c r="AZ3502">
        <v>0</v>
      </c>
      <c r="BA3502">
        <v>70</v>
      </c>
      <c r="BE3502" t="str">
        <f>T("9791137009370")</f>
        <v>9791137009370</v>
      </c>
      <c r="BF3502" t="str">
        <f>T("k372072")</f>
        <v>k372072</v>
      </c>
      <c r="BG3502" t="str">
        <f>T("판타지 웹소설 &gt; 퓨전 판타지")</f>
        <v>판타지 웹소설 &gt; 퓨전 판타지</v>
      </c>
    </row>
    <row r="3503" spans="1:59">
      <c r="A3503" t="s">
        <v>60</v>
      </c>
      <c r="B3503" s="1">
        <v>46130</v>
      </c>
      <c r="C3503">
        <v>2378071524</v>
      </c>
      <c r="D3503">
        <v>2378071786</v>
      </c>
      <c r="E3503" t="str">
        <f>T("불사자에게는 수호령이 있었다 263화")</f>
        <v>불사자에게는 수호령이 있었다 263화</v>
      </c>
      <c r="F3503">
        <v>263</v>
      </c>
      <c r="G3503" t="str">
        <f>T("덴피")</f>
        <v>덴피</v>
      </c>
      <c r="J3503" t="str">
        <f>T("매드햇")</f>
        <v>매드햇</v>
      </c>
      <c r="K3503" t="str">
        <f>T("불사자에게는 수호령이 있었다")</f>
        <v>불사자에게는 수호령이 있었다</v>
      </c>
      <c r="L3503">
        <v>100</v>
      </c>
      <c r="M3503">
        <v>100</v>
      </c>
      <c r="N3503">
        <v>1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0</v>
      </c>
      <c r="AH3503">
        <v>0</v>
      </c>
      <c r="AI3503">
        <v>100</v>
      </c>
      <c r="AJ3503">
        <v>1</v>
      </c>
      <c r="AK3503">
        <v>0</v>
      </c>
      <c r="AL3503">
        <v>0</v>
      </c>
      <c r="AM3503">
        <v>100</v>
      </c>
      <c r="AN3503">
        <v>0</v>
      </c>
      <c r="AO3503">
        <v>0</v>
      </c>
      <c r="AP3503">
        <v>0</v>
      </c>
      <c r="AQ3503">
        <v>0</v>
      </c>
      <c r="AS3503">
        <v>0</v>
      </c>
      <c r="AT3503">
        <v>0</v>
      </c>
      <c r="AV3503">
        <v>0</v>
      </c>
      <c r="AW3503">
        <v>0</v>
      </c>
      <c r="AY3503">
        <v>0</v>
      </c>
      <c r="AZ3503">
        <v>0</v>
      </c>
      <c r="BA3503">
        <v>70</v>
      </c>
      <c r="BE3503" t="str">
        <f>T("9791137009370")</f>
        <v>9791137009370</v>
      </c>
      <c r="BF3503" t="str">
        <f>T("k378367")</f>
        <v>k378367</v>
      </c>
      <c r="BG3503" t="str">
        <f>T("판타지 웹소설 &gt; 퓨전 판타지")</f>
        <v>판타지 웹소설 &gt; 퓨전 판타지</v>
      </c>
    </row>
    <row r="3504" spans="1:59">
      <c r="A3504" t="s">
        <v>60</v>
      </c>
      <c r="B3504" s="1">
        <v>46130</v>
      </c>
      <c r="C3504">
        <v>2378071524</v>
      </c>
      <c r="D3504">
        <v>2378071787</v>
      </c>
      <c r="E3504" t="str">
        <f>T("불사자에게는 수호령이 있었다 264화")</f>
        <v>불사자에게는 수호령이 있었다 264화</v>
      </c>
      <c r="F3504">
        <v>264</v>
      </c>
      <c r="G3504" t="str">
        <f>T("덴피")</f>
        <v>덴피</v>
      </c>
      <c r="J3504" t="str">
        <f>T("매드햇")</f>
        <v>매드햇</v>
      </c>
      <c r="K3504" t="str">
        <f>T("불사자에게는 수호령이 있었다")</f>
        <v>불사자에게는 수호령이 있었다</v>
      </c>
      <c r="L3504">
        <v>100</v>
      </c>
      <c r="M3504">
        <v>100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0</v>
      </c>
      <c r="AF3504">
        <v>0</v>
      </c>
      <c r="AG3504">
        <v>0</v>
      </c>
      <c r="AH3504">
        <v>0</v>
      </c>
      <c r="AI3504">
        <v>100</v>
      </c>
      <c r="AJ3504">
        <v>1</v>
      </c>
      <c r="AK3504">
        <v>0</v>
      </c>
      <c r="AL3504">
        <v>0</v>
      </c>
      <c r="AM3504">
        <v>100</v>
      </c>
      <c r="AN3504">
        <v>0</v>
      </c>
      <c r="AO3504">
        <v>0</v>
      </c>
      <c r="AP3504">
        <v>0</v>
      </c>
      <c r="AQ3504">
        <v>0</v>
      </c>
      <c r="AS3504">
        <v>0</v>
      </c>
      <c r="AT3504">
        <v>0</v>
      </c>
      <c r="AV3504">
        <v>0</v>
      </c>
      <c r="AW3504">
        <v>0</v>
      </c>
      <c r="AY3504">
        <v>0</v>
      </c>
      <c r="AZ3504">
        <v>0</v>
      </c>
      <c r="BA3504">
        <v>70</v>
      </c>
      <c r="BE3504" t="str">
        <f>T("9791137009370")</f>
        <v>9791137009370</v>
      </c>
      <c r="BF3504" t="str">
        <f>T("k378368")</f>
        <v>k378368</v>
      </c>
      <c r="BG3504" t="str">
        <f>T("판타지 웹소설 &gt; 퓨전 판타지")</f>
        <v>판타지 웹소설 &gt; 퓨전 판타지</v>
      </c>
    </row>
    <row r="3505" spans="1:59">
      <c r="A3505" t="s">
        <v>60</v>
      </c>
      <c r="B3505" s="1">
        <v>46130</v>
      </c>
      <c r="C3505">
        <v>2378071524</v>
      </c>
      <c r="D3505">
        <v>2378071788</v>
      </c>
      <c r="E3505" t="str">
        <f>T("불사자에게는 수호령이 있었다 265화")</f>
        <v>불사자에게는 수호령이 있었다 265화</v>
      </c>
      <c r="F3505">
        <v>265</v>
      </c>
      <c r="G3505" t="str">
        <f>T("덴피")</f>
        <v>덴피</v>
      </c>
      <c r="J3505" t="str">
        <f>T("매드햇")</f>
        <v>매드햇</v>
      </c>
      <c r="K3505" t="str">
        <f>T("불사자에게는 수호령이 있었다")</f>
        <v>불사자에게는 수호령이 있었다</v>
      </c>
      <c r="L3505">
        <v>100</v>
      </c>
      <c r="M3505">
        <v>100</v>
      </c>
      <c r="N3505">
        <v>1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0</v>
      </c>
      <c r="AH3505">
        <v>0</v>
      </c>
      <c r="AI3505">
        <v>100</v>
      </c>
      <c r="AJ3505">
        <v>1</v>
      </c>
      <c r="AK3505">
        <v>0</v>
      </c>
      <c r="AL3505">
        <v>0</v>
      </c>
      <c r="AM3505">
        <v>100</v>
      </c>
      <c r="AN3505">
        <v>0</v>
      </c>
      <c r="AO3505">
        <v>0</v>
      </c>
      <c r="AP3505">
        <v>0</v>
      </c>
      <c r="AQ3505">
        <v>0</v>
      </c>
      <c r="AS3505">
        <v>0</v>
      </c>
      <c r="AT3505">
        <v>0</v>
      </c>
      <c r="AV3505">
        <v>0</v>
      </c>
      <c r="AW3505">
        <v>0</v>
      </c>
      <c r="AY3505">
        <v>0</v>
      </c>
      <c r="AZ3505">
        <v>0</v>
      </c>
      <c r="BA3505">
        <v>70</v>
      </c>
      <c r="BE3505" t="str">
        <f>T("9791137009370")</f>
        <v>9791137009370</v>
      </c>
      <c r="BF3505" t="str">
        <f>T("k378369")</f>
        <v>k378369</v>
      </c>
      <c r="BG3505" t="str">
        <f>T("판타지 웹소설 &gt; 퓨전 판타지")</f>
        <v>판타지 웹소설 &gt; 퓨전 판타지</v>
      </c>
    </row>
    <row r="3506" spans="1:59">
      <c r="A3506" t="s">
        <v>60</v>
      </c>
      <c r="B3506" s="1">
        <v>46130</v>
      </c>
      <c r="C3506">
        <v>2378071524</v>
      </c>
      <c r="D3506">
        <v>2378071789</v>
      </c>
      <c r="E3506" t="str">
        <f>T("불사자에게는 수호령이 있었다 266화")</f>
        <v>불사자에게는 수호령이 있었다 266화</v>
      </c>
      <c r="F3506">
        <v>266</v>
      </c>
      <c r="G3506" t="str">
        <f>T("덴피")</f>
        <v>덴피</v>
      </c>
      <c r="J3506" t="str">
        <f>T("매드햇")</f>
        <v>매드햇</v>
      </c>
      <c r="K3506" t="str">
        <f>T("불사자에게는 수호령이 있었다")</f>
        <v>불사자에게는 수호령이 있었다</v>
      </c>
      <c r="L3506">
        <v>100</v>
      </c>
      <c r="M3506">
        <v>100</v>
      </c>
      <c r="N3506">
        <v>1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0</v>
      </c>
      <c r="AH3506">
        <v>0</v>
      </c>
      <c r="AI3506">
        <v>100</v>
      </c>
      <c r="AJ3506">
        <v>1</v>
      </c>
      <c r="AK3506">
        <v>0</v>
      </c>
      <c r="AL3506">
        <v>0</v>
      </c>
      <c r="AM3506">
        <v>100</v>
      </c>
      <c r="AN3506">
        <v>0</v>
      </c>
      <c r="AO3506">
        <v>0</v>
      </c>
      <c r="AP3506">
        <v>0</v>
      </c>
      <c r="AQ3506">
        <v>0</v>
      </c>
      <c r="AS3506">
        <v>0</v>
      </c>
      <c r="AT3506">
        <v>0</v>
      </c>
      <c r="AV3506">
        <v>0</v>
      </c>
      <c r="AW3506">
        <v>0</v>
      </c>
      <c r="AY3506">
        <v>0</v>
      </c>
      <c r="AZ3506">
        <v>0</v>
      </c>
      <c r="BA3506">
        <v>70</v>
      </c>
      <c r="BE3506" t="str">
        <f>T("9791137009370")</f>
        <v>9791137009370</v>
      </c>
      <c r="BF3506" t="str">
        <f>T("k378370")</f>
        <v>k378370</v>
      </c>
      <c r="BG3506" t="str">
        <f>T("판타지 웹소설 &gt; 퓨전 판타지")</f>
        <v>판타지 웹소설 &gt; 퓨전 판타지</v>
      </c>
    </row>
    <row r="3507" spans="1:59">
      <c r="A3507" t="s">
        <v>60</v>
      </c>
      <c r="B3507" s="1">
        <v>46130</v>
      </c>
      <c r="C3507">
        <v>2378071524</v>
      </c>
      <c r="D3507">
        <v>2378071790</v>
      </c>
      <c r="E3507" t="str">
        <f>T("불사자에게는 수호령이 있었다 267화")</f>
        <v>불사자에게는 수호령이 있었다 267화</v>
      </c>
      <c r="F3507">
        <v>267</v>
      </c>
      <c r="G3507" t="str">
        <f>T("덴피")</f>
        <v>덴피</v>
      </c>
      <c r="J3507" t="str">
        <f>T("매드햇")</f>
        <v>매드햇</v>
      </c>
      <c r="K3507" t="str">
        <f>T("불사자에게는 수호령이 있었다")</f>
        <v>불사자에게는 수호령이 있었다</v>
      </c>
      <c r="L3507">
        <v>100</v>
      </c>
      <c r="M3507">
        <v>100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0</v>
      </c>
      <c r="AF3507">
        <v>0</v>
      </c>
      <c r="AG3507">
        <v>0</v>
      </c>
      <c r="AH3507">
        <v>0</v>
      </c>
      <c r="AI3507">
        <v>100</v>
      </c>
      <c r="AJ3507">
        <v>1</v>
      </c>
      <c r="AK3507">
        <v>0</v>
      </c>
      <c r="AL3507">
        <v>0</v>
      </c>
      <c r="AM3507">
        <v>100</v>
      </c>
      <c r="AN3507">
        <v>0</v>
      </c>
      <c r="AO3507">
        <v>0</v>
      </c>
      <c r="AP3507">
        <v>0</v>
      </c>
      <c r="AQ3507">
        <v>0</v>
      </c>
      <c r="AS3507">
        <v>0</v>
      </c>
      <c r="AT3507">
        <v>0</v>
      </c>
      <c r="AV3507">
        <v>0</v>
      </c>
      <c r="AW3507">
        <v>0</v>
      </c>
      <c r="AY3507">
        <v>0</v>
      </c>
      <c r="AZ3507">
        <v>0</v>
      </c>
      <c r="BA3507">
        <v>70</v>
      </c>
      <c r="BE3507" t="str">
        <f>T("9791137009370")</f>
        <v>9791137009370</v>
      </c>
      <c r="BF3507" t="str">
        <f>T("k381930")</f>
        <v>k381930</v>
      </c>
      <c r="BG3507" t="str">
        <f>T("판타지 웹소설 &gt; 퓨전 판타지")</f>
        <v>판타지 웹소설 &gt; 퓨전 판타지</v>
      </c>
    </row>
    <row r="3508" spans="1:59">
      <c r="A3508" t="s">
        <v>60</v>
      </c>
      <c r="B3508" s="1">
        <v>46130</v>
      </c>
      <c r="C3508">
        <v>2378071524</v>
      </c>
      <c r="D3508">
        <v>2378071791</v>
      </c>
      <c r="E3508" t="str">
        <f>T("불사자에게는 수호령이 있었다 268화")</f>
        <v>불사자에게는 수호령이 있었다 268화</v>
      </c>
      <c r="F3508">
        <v>268</v>
      </c>
      <c r="G3508" t="str">
        <f>T("덴피")</f>
        <v>덴피</v>
      </c>
      <c r="J3508" t="str">
        <f>T("매드햇")</f>
        <v>매드햇</v>
      </c>
      <c r="K3508" t="str">
        <f>T("불사자에게는 수호령이 있었다")</f>
        <v>불사자에게는 수호령이 있었다</v>
      </c>
      <c r="L3508">
        <v>100</v>
      </c>
      <c r="M3508">
        <v>100</v>
      </c>
      <c r="N3508">
        <v>1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0</v>
      </c>
      <c r="AH3508">
        <v>0</v>
      </c>
      <c r="AI3508">
        <v>100</v>
      </c>
      <c r="AJ3508">
        <v>1</v>
      </c>
      <c r="AK3508">
        <v>0</v>
      </c>
      <c r="AL3508">
        <v>0</v>
      </c>
      <c r="AM3508">
        <v>100</v>
      </c>
      <c r="AN3508">
        <v>0</v>
      </c>
      <c r="AO3508">
        <v>0</v>
      </c>
      <c r="AP3508">
        <v>0</v>
      </c>
      <c r="AQ3508">
        <v>0</v>
      </c>
      <c r="AS3508">
        <v>0</v>
      </c>
      <c r="AT3508">
        <v>0</v>
      </c>
      <c r="AV3508">
        <v>0</v>
      </c>
      <c r="AW3508">
        <v>0</v>
      </c>
      <c r="AY3508">
        <v>0</v>
      </c>
      <c r="AZ3508">
        <v>0</v>
      </c>
      <c r="BA3508">
        <v>70</v>
      </c>
      <c r="BE3508" t="str">
        <f>T("9791137009370")</f>
        <v>9791137009370</v>
      </c>
      <c r="BF3508" t="str">
        <f>T("k381931")</f>
        <v>k381931</v>
      </c>
      <c r="BG3508" t="str">
        <f>T("판타지 웹소설 &gt; 퓨전 판타지")</f>
        <v>판타지 웹소설 &gt; 퓨전 판타지</v>
      </c>
    </row>
    <row r="3509" spans="1:59">
      <c r="A3509" t="s">
        <v>60</v>
      </c>
      <c r="B3509" s="1">
        <v>46130</v>
      </c>
      <c r="C3509">
        <v>2378071524</v>
      </c>
      <c r="D3509">
        <v>2378071546</v>
      </c>
      <c r="E3509" t="str">
        <f>T("불사자에게는 수호령이 있었다 23화")</f>
        <v>불사자에게는 수호령이 있었다 23화</v>
      </c>
      <c r="F3509">
        <v>23</v>
      </c>
      <c r="G3509" t="str">
        <f>T("덴피")</f>
        <v>덴피</v>
      </c>
      <c r="J3509" t="str">
        <f>T("매드햇")</f>
        <v>매드햇</v>
      </c>
      <c r="K3509" t="str">
        <f>T("불사자에게는 수호령이 있었다")</f>
        <v>불사자에게는 수호령이 있었다</v>
      </c>
      <c r="L3509">
        <v>0</v>
      </c>
      <c r="M3509">
        <v>0</v>
      </c>
      <c r="N3509">
        <v>0</v>
      </c>
      <c r="O3509">
        <v>1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0</v>
      </c>
      <c r="AH3509">
        <v>0</v>
      </c>
      <c r="AI3509">
        <v>0</v>
      </c>
      <c r="AJ3509">
        <v>1</v>
      </c>
      <c r="AK3509">
        <v>0</v>
      </c>
      <c r="AL3509">
        <v>0</v>
      </c>
      <c r="AM3509">
        <v>0</v>
      </c>
      <c r="AN3509">
        <v>0</v>
      </c>
      <c r="AO3509">
        <v>0</v>
      </c>
      <c r="AP3509">
        <v>0</v>
      </c>
      <c r="AQ3509">
        <v>0</v>
      </c>
      <c r="AS3509">
        <v>0</v>
      </c>
      <c r="AT3509">
        <v>0</v>
      </c>
      <c r="AV3509">
        <v>0</v>
      </c>
      <c r="AW3509">
        <v>0</v>
      </c>
      <c r="AY3509">
        <v>0</v>
      </c>
      <c r="AZ3509">
        <v>0</v>
      </c>
      <c r="BA3509">
        <v>0</v>
      </c>
      <c r="BE3509" t="str">
        <f>T("9791137009370")</f>
        <v>9791137009370</v>
      </c>
      <c r="BF3509" t="str">
        <f>T("k131698")</f>
        <v>k131698</v>
      </c>
      <c r="BG3509" t="str">
        <f>T("판타지 웹소설 &gt; 퓨전 판타지")</f>
        <v>판타지 웹소설 &gt; 퓨전 판타지</v>
      </c>
    </row>
    <row r="3510" spans="1:59">
      <c r="A3510" t="s">
        <v>60</v>
      </c>
      <c r="B3510" s="1">
        <v>46130</v>
      </c>
      <c r="C3510">
        <v>2378071524</v>
      </c>
      <c r="D3510">
        <v>2378071547</v>
      </c>
      <c r="E3510" t="str">
        <f>T("불사자에게는 수호령이 있었다 24화")</f>
        <v>불사자에게는 수호령이 있었다 24화</v>
      </c>
      <c r="F3510">
        <v>24</v>
      </c>
      <c r="G3510" t="str">
        <f>T("덴피")</f>
        <v>덴피</v>
      </c>
      <c r="J3510" t="str">
        <f>T("매드햇")</f>
        <v>매드햇</v>
      </c>
      <c r="K3510" t="str">
        <f>T("불사자에게는 수호령이 있었다")</f>
        <v>불사자에게는 수호령이 있었다</v>
      </c>
      <c r="L3510">
        <v>0</v>
      </c>
      <c r="M3510">
        <v>0</v>
      </c>
      <c r="N3510">
        <v>0</v>
      </c>
      <c r="O3510">
        <v>1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0</v>
      </c>
      <c r="AF3510">
        <v>0</v>
      </c>
      <c r="AG3510">
        <v>0</v>
      </c>
      <c r="AH3510">
        <v>0</v>
      </c>
      <c r="AI3510">
        <v>0</v>
      </c>
      <c r="AJ3510">
        <v>1</v>
      </c>
      <c r="AK3510">
        <v>0</v>
      </c>
      <c r="AL3510">
        <v>0</v>
      </c>
      <c r="AM3510">
        <v>0</v>
      </c>
      <c r="AN3510">
        <v>0</v>
      </c>
      <c r="AO3510">
        <v>0</v>
      </c>
      <c r="AP3510">
        <v>0</v>
      </c>
      <c r="AQ3510">
        <v>0</v>
      </c>
      <c r="AS3510">
        <v>0</v>
      </c>
      <c r="AT3510">
        <v>0</v>
      </c>
      <c r="AV3510">
        <v>0</v>
      </c>
      <c r="AW3510">
        <v>0</v>
      </c>
      <c r="AY3510">
        <v>0</v>
      </c>
      <c r="AZ3510">
        <v>0</v>
      </c>
      <c r="BA3510">
        <v>0</v>
      </c>
      <c r="BE3510" t="str">
        <f>T("9791137009370")</f>
        <v>9791137009370</v>
      </c>
      <c r="BF3510" t="str">
        <f>T("k131699")</f>
        <v>k131699</v>
      </c>
      <c r="BG3510" t="str">
        <f>T("판타지 웹소설 &gt; 퓨전 판타지")</f>
        <v>판타지 웹소설 &gt; 퓨전 판타지</v>
      </c>
    </row>
    <row r="3511" spans="1:59">
      <c r="A3511" t="s">
        <v>60</v>
      </c>
      <c r="B3511" s="1">
        <v>46130</v>
      </c>
      <c r="C3511">
        <v>2378071524</v>
      </c>
      <c r="D3511">
        <v>2378071549</v>
      </c>
      <c r="E3511" t="str">
        <f>T("불사자에게는 수호령이 있었다 26화")</f>
        <v>불사자에게는 수호령이 있었다 26화</v>
      </c>
      <c r="F3511">
        <v>26</v>
      </c>
      <c r="G3511" t="str">
        <f>T("덴피")</f>
        <v>덴피</v>
      </c>
      <c r="J3511" t="str">
        <f>T("매드햇")</f>
        <v>매드햇</v>
      </c>
      <c r="K3511" t="str">
        <f>T("불사자에게는 수호령이 있었다")</f>
        <v>불사자에게는 수호령이 있었다</v>
      </c>
      <c r="L3511">
        <v>100</v>
      </c>
      <c r="M3511">
        <v>100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0</v>
      </c>
      <c r="AH3511">
        <v>0</v>
      </c>
      <c r="AI3511">
        <v>100</v>
      </c>
      <c r="AJ3511">
        <v>1</v>
      </c>
      <c r="AK3511">
        <v>0</v>
      </c>
      <c r="AL3511">
        <v>0</v>
      </c>
      <c r="AM3511">
        <v>100</v>
      </c>
      <c r="AN3511">
        <v>0</v>
      </c>
      <c r="AO3511">
        <v>0</v>
      </c>
      <c r="AP3511">
        <v>0</v>
      </c>
      <c r="AQ3511">
        <v>0</v>
      </c>
      <c r="AS3511">
        <v>0</v>
      </c>
      <c r="AT3511">
        <v>0</v>
      </c>
      <c r="AV3511">
        <v>0</v>
      </c>
      <c r="AW3511">
        <v>0</v>
      </c>
      <c r="AY3511">
        <v>0</v>
      </c>
      <c r="AZ3511">
        <v>0</v>
      </c>
      <c r="BA3511">
        <v>70</v>
      </c>
      <c r="BE3511" t="str">
        <f>T("9791137009370")</f>
        <v>9791137009370</v>
      </c>
      <c r="BF3511" t="str">
        <f>T("k131701")</f>
        <v>k131701</v>
      </c>
      <c r="BG3511" t="str">
        <f>T("판타지 웹소설 &gt; 퓨전 판타지")</f>
        <v>판타지 웹소설 &gt; 퓨전 판타지</v>
      </c>
    </row>
    <row r="3512" spans="1:59">
      <c r="A3512" t="s">
        <v>60</v>
      </c>
      <c r="B3512" s="1">
        <v>46130</v>
      </c>
      <c r="C3512">
        <v>2378071524</v>
      </c>
      <c r="D3512">
        <v>2378071550</v>
      </c>
      <c r="E3512" t="str">
        <f>T("불사자에게는 수호령이 있었다 27화")</f>
        <v>불사자에게는 수호령이 있었다 27화</v>
      </c>
      <c r="F3512">
        <v>27</v>
      </c>
      <c r="G3512" t="str">
        <f>T("덴피")</f>
        <v>덴피</v>
      </c>
      <c r="J3512" t="str">
        <f>T("매드햇")</f>
        <v>매드햇</v>
      </c>
      <c r="K3512" t="str">
        <f>T("불사자에게는 수호령이 있었다")</f>
        <v>불사자에게는 수호령이 있었다</v>
      </c>
      <c r="L3512">
        <v>100</v>
      </c>
      <c r="M3512">
        <v>100</v>
      </c>
      <c r="N3512">
        <v>1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0</v>
      </c>
      <c r="AF3512">
        <v>0</v>
      </c>
      <c r="AG3512">
        <v>0</v>
      </c>
      <c r="AH3512">
        <v>0</v>
      </c>
      <c r="AI3512">
        <v>100</v>
      </c>
      <c r="AJ3512">
        <v>1</v>
      </c>
      <c r="AK3512">
        <v>0</v>
      </c>
      <c r="AL3512">
        <v>0</v>
      </c>
      <c r="AM3512">
        <v>100</v>
      </c>
      <c r="AN3512">
        <v>0</v>
      </c>
      <c r="AO3512">
        <v>0</v>
      </c>
      <c r="AP3512">
        <v>0</v>
      </c>
      <c r="AQ3512">
        <v>0</v>
      </c>
      <c r="AS3512">
        <v>0</v>
      </c>
      <c r="AT3512">
        <v>0</v>
      </c>
      <c r="AV3512">
        <v>0</v>
      </c>
      <c r="AW3512">
        <v>0</v>
      </c>
      <c r="AY3512">
        <v>0</v>
      </c>
      <c r="AZ3512">
        <v>0</v>
      </c>
      <c r="BA3512">
        <v>70</v>
      </c>
      <c r="BE3512" t="str">
        <f>T("9791137009370")</f>
        <v>9791137009370</v>
      </c>
      <c r="BF3512" t="str">
        <f>T("k131702")</f>
        <v>k131702</v>
      </c>
      <c r="BG3512" t="str">
        <f>T("판타지 웹소설 &gt; 퓨전 판타지")</f>
        <v>판타지 웹소설 &gt; 퓨전 판타지</v>
      </c>
    </row>
    <row r="3513" spans="1:59">
      <c r="A3513" t="s">
        <v>60</v>
      </c>
      <c r="B3513" s="1">
        <v>46130</v>
      </c>
      <c r="C3513">
        <v>2378071524</v>
      </c>
      <c r="D3513">
        <v>2378071551</v>
      </c>
      <c r="E3513" t="str">
        <f>T("불사자에게는 수호령이 있었다 28화")</f>
        <v>불사자에게는 수호령이 있었다 28화</v>
      </c>
      <c r="F3513">
        <v>28</v>
      </c>
      <c r="G3513" t="str">
        <f>T("덴피")</f>
        <v>덴피</v>
      </c>
      <c r="J3513" t="str">
        <f>T("매드햇")</f>
        <v>매드햇</v>
      </c>
      <c r="K3513" t="str">
        <f>T("불사자에게는 수호령이 있었다")</f>
        <v>불사자에게는 수호령이 있었다</v>
      </c>
      <c r="L3513">
        <v>100</v>
      </c>
      <c r="M3513">
        <v>100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0</v>
      </c>
      <c r="AH3513">
        <v>0</v>
      </c>
      <c r="AI3513">
        <v>100</v>
      </c>
      <c r="AJ3513">
        <v>1</v>
      </c>
      <c r="AK3513">
        <v>0</v>
      </c>
      <c r="AL3513">
        <v>0</v>
      </c>
      <c r="AM3513">
        <v>100</v>
      </c>
      <c r="AN3513">
        <v>0</v>
      </c>
      <c r="AO3513">
        <v>0</v>
      </c>
      <c r="AP3513">
        <v>0</v>
      </c>
      <c r="AQ3513">
        <v>0</v>
      </c>
      <c r="AS3513">
        <v>0</v>
      </c>
      <c r="AT3513">
        <v>0</v>
      </c>
      <c r="AV3513">
        <v>0</v>
      </c>
      <c r="AW3513">
        <v>0</v>
      </c>
      <c r="AY3513">
        <v>0</v>
      </c>
      <c r="AZ3513">
        <v>0</v>
      </c>
      <c r="BA3513">
        <v>70</v>
      </c>
      <c r="BE3513" t="str">
        <f>T("9791137009370")</f>
        <v>9791137009370</v>
      </c>
      <c r="BF3513" t="str">
        <f>T("k131703")</f>
        <v>k131703</v>
      </c>
      <c r="BG3513" t="str">
        <f>T("판타지 웹소설 &gt; 퓨전 판타지")</f>
        <v>판타지 웹소설 &gt; 퓨전 판타지</v>
      </c>
    </row>
    <row r="3514" spans="1:59">
      <c r="A3514" t="s">
        <v>60</v>
      </c>
      <c r="B3514" s="1">
        <v>46130</v>
      </c>
      <c r="C3514">
        <v>2378071524</v>
      </c>
      <c r="D3514">
        <v>2378071552</v>
      </c>
      <c r="E3514" t="str">
        <f>T("불사자에게는 수호령이 있었다 29화")</f>
        <v>불사자에게는 수호령이 있었다 29화</v>
      </c>
      <c r="F3514">
        <v>29</v>
      </c>
      <c r="G3514" t="str">
        <f>T("덴피")</f>
        <v>덴피</v>
      </c>
      <c r="J3514" t="str">
        <f>T("매드햇")</f>
        <v>매드햇</v>
      </c>
      <c r="K3514" t="str">
        <f>T("불사자에게는 수호령이 있었다")</f>
        <v>불사자에게는 수호령이 있었다</v>
      </c>
      <c r="L3514">
        <v>100</v>
      </c>
      <c r="M3514">
        <v>100</v>
      </c>
      <c r="N3514">
        <v>1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0</v>
      </c>
      <c r="AH3514">
        <v>0</v>
      </c>
      <c r="AI3514">
        <v>100</v>
      </c>
      <c r="AJ3514">
        <v>1</v>
      </c>
      <c r="AK3514">
        <v>0</v>
      </c>
      <c r="AL3514">
        <v>0</v>
      </c>
      <c r="AM3514">
        <v>100</v>
      </c>
      <c r="AN3514">
        <v>0</v>
      </c>
      <c r="AO3514">
        <v>0</v>
      </c>
      <c r="AP3514">
        <v>0</v>
      </c>
      <c r="AQ3514">
        <v>0</v>
      </c>
      <c r="AS3514">
        <v>0</v>
      </c>
      <c r="AT3514">
        <v>0</v>
      </c>
      <c r="AV3514">
        <v>0</v>
      </c>
      <c r="AW3514">
        <v>0</v>
      </c>
      <c r="AY3514">
        <v>0</v>
      </c>
      <c r="AZ3514">
        <v>0</v>
      </c>
      <c r="BA3514">
        <v>70</v>
      </c>
      <c r="BE3514" t="str">
        <f>T("9791137009370")</f>
        <v>9791137009370</v>
      </c>
      <c r="BF3514" t="str">
        <f>T("k131704")</f>
        <v>k131704</v>
      </c>
      <c r="BG3514" t="str">
        <f>T("판타지 웹소설 &gt; 퓨전 판타지")</f>
        <v>판타지 웹소설 &gt; 퓨전 판타지</v>
      </c>
    </row>
    <row r="3515" spans="1:59">
      <c r="A3515" t="s">
        <v>60</v>
      </c>
      <c r="B3515" s="1">
        <v>46130</v>
      </c>
      <c r="C3515">
        <v>2378071524</v>
      </c>
      <c r="D3515">
        <v>2378071553</v>
      </c>
      <c r="E3515" t="str">
        <f>T("불사자에게는 수호령이 있었다 30화")</f>
        <v>불사자에게는 수호령이 있었다 30화</v>
      </c>
      <c r="F3515">
        <v>30</v>
      </c>
      <c r="G3515" t="str">
        <f>T("덴피")</f>
        <v>덴피</v>
      </c>
      <c r="J3515" t="str">
        <f>T("매드햇")</f>
        <v>매드햇</v>
      </c>
      <c r="K3515" t="str">
        <f>T("불사자에게는 수호령이 있었다")</f>
        <v>불사자에게는 수호령이 있었다</v>
      </c>
      <c r="L3515">
        <v>100</v>
      </c>
      <c r="M3515">
        <v>100</v>
      </c>
      <c r="N3515">
        <v>1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0</v>
      </c>
      <c r="AH3515">
        <v>0</v>
      </c>
      <c r="AI3515">
        <v>100</v>
      </c>
      <c r="AJ3515">
        <v>1</v>
      </c>
      <c r="AK3515">
        <v>0</v>
      </c>
      <c r="AL3515">
        <v>0</v>
      </c>
      <c r="AM3515">
        <v>100</v>
      </c>
      <c r="AN3515">
        <v>0</v>
      </c>
      <c r="AO3515">
        <v>0</v>
      </c>
      <c r="AP3515">
        <v>0</v>
      </c>
      <c r="AQ3515">
        <v>0</v>
      </c>
      <c r="AS3515">
        <v>0</v>
      </c>
      <c r="AT3515">
        <v>0</v>
      </c>
      <c r="AV3515">
        <v>0</v>
      </c>
      <c r="AW3515">
        <v>0</v>
      </c>
      <c r="AY3515">
        <v>0</v>
      </c>
      <c r="AZ3515">
        <v>0</v>
      </c>
      <c r="BA3515">
        <v>70</v>
      </c>
      <c r="BE3515" t="str">
        <f>T("9791137009370")</f>
        <v>9791137009370</v>
      </c>
      <c r="BF3515" t="str">
        <f>T("k131705")</f>
        <v>k131705</v>
      </c>
      <c r="BG3515" t="str">
        <f>T("판타지 웹소설 &gt; 퓨전 판타지")</f>
        <v>판타지 웹소설 &gt; 퓨전 판타지</v>
      </c>
    </row>
    <row r="3516" spans="1:59">
      <c r="A3516" t="s">
        <v>60</v>
      </c>
      <c r="B3516" s="1">
        <v>46130</v>
      </c>
      <c r="C3516">
        <v>2378071524</v>
      </c>
      <c r="D3516">
        <v>2378071554</v>
      </c>
      <c r="E3516" t="str">
        <f>T("불사자에게는 수호령이 있었다 31화")</f>
        <v>불사자에게는 수호령이 있었다 31화</v>
      </c>
      <c r="F3516">
        <v>31</v>
      </c>
      <c r="G3516" t="str">
        <f>T("덴피")</f>
        <v>덴피</v>
      </c>
      <c r="J3516" t="str">
        <f>T("매드햇")</f>
        <v>매드햇</v>
      </c>
      <c r="K3516" t="str">
        <f>T("불사자에게는 수호령이 있었다")</f>
        <v>불사자에게는 수호령이 있었다</v>
      </c>
      <c r="L3516">
        <v>100</v>
      </c>
      <c r="M3516">
        <v>100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0</v>
      </c>
      <c r="AH3516">
        <v>0</v>
      </c>
      <c r="AI3516">
        <v>100</v>
      </c>
      <c r="AJ3516">
        <v>1</v>
      </c>
      <c r="AK3516">
        <v>0</v>
      </c>
      <c r="AL3516">
        <v>0</v>
      </c>
      <c r="AM3516">
        <v>100</v>
      </c>
      <c r="AN3516">
        <v>0</v>
      </c>
      <c r="AO3516">
        <v>0</v>
      </c>
      <c r="AP3516">
        <v>0</v>
      </c>
      <c r="AQ3516">
        <v>0</v>
      </c>
      <c r="AS3516">
        <v>0</v>
      </c>
      <c r="AT3516">
        <v>0</v>
      </c>
      <c r="AV3516">
        <v>0</v>
      </c>
      <c r="AW3516">
        <v>0</v>
      </c>
      <c r="AY3516">
        <v>0</v>
      </c>
      <c r="AZ3516">
        <v>0</v>
      </c>
      <c r="BA3516">
        <v>70</v>
      </c>
      <c r="BE3516" t="str">
        <f>T("9791137009370")</f>
        <v>9791137009370</v>
      </c>
      <c r="BF3516" t="str">
        <f>T("k131706")</f>
        <v>k131706</v>
      </c>
      <c r="BG3516" t="str">
        <f>T("판타지 웹소설 &gt; 퓨전 판타지")</f>
        <v>판타지 웹소설 &gt; 퓨전 판타지</v>
      </c>
    </row>
    <row r="3517" spans="1:59">
      <c r="A3517" t="s">
        <v>60</v>
      </c>
      <c r="B3517" s="1">
        <v>46130</v>
      </c>
      <c r="C3517">
        <v>2378071524</v>
      </c>
      <c r="D3517">
        <v>2378071555</v>
      </c>
      <c r="E3517" t="str">
        <f>T("불사자에게는 수호령이 있었다 32화")</f>
        <v>불사자에게는 수호령이 있었다 32화</v>
      </c>
      <c r="F3517">
        <v>32</v>
      </c>
      <c r="G3517" t="str">
        <f>T("덴피")</f>
        <v>덴피</v>
      </c>
      <c r="J3517" t="str">
        <f>T("매드햇")</f>
        <v>매드햇</v>
      </c>
      <c r="K3517" t="str">
        <f>T("불사자에게는 수호령이 있었다")</f>
        <v>불사자에게는 수호령이 있었다</v>
      </c>
      <c r="L3517">
        <v>100</v>
      </c>
      <c r="M3517">
        <v>100</v>
      </c>
      <c r="N3517">
        <v>1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0</v>
      </c>
      <c r="AF3517">
        <v>0</v>
      </c>
      <c r="AG3517">
        <v>0</v>
      </c>
      <c r="AH3517">
        <v>0</v>
      </c>
      <c r="AI3517">
        <v>100</v>
      </c>
      <c r="AJ3517">
        <v>1</v>
      </c>
      <c r="AK3517">
        <v>0</v>
      </c>
      <c r="AL3517">
        <v>0</v>
      </c>
      <c r="AM3517">
        <v>100</v>
      </c>
      <c r="AN3517">
        <v>0</v>
      </c>
      <c r="AO3517">
        <v>0</v>
      </c>
      <c r="AP3517">
        <v>0</v>
      </c>
      <c r="AQ3517">
        <v>0</v>
      </c>
      <c r="AS3517">
        <v>0</v>
      </c>
      <c r="AT3517">
        <v>0</v>
      </c>
      <c r="AV3517">
        <v>0</v>
      </c>
      <c r="AW3517">
        <v>0</v>
      </c>
      <c r="AY3517">
        <v>0</v>
      </c>
      <c r="AZ3517">
        <v>0</v>
      </c>
      <c r="BA3517">
        <v>70</v>
      </c>
      <c r="BE3517" t="str">
        <f>T("9791137009370")</f>
        <v>9791137009370</v>
      </c>
      <c r="BF3517" t="str">
        <f>T("k131707")</f>
        <v>k131707</v>
      </c>
      <c r="BG3517" t="str">
        <f>T("판타지 웹소설 &gt; 퓨전 판타지")</f>
        <v>판타지 웹소설 &gt; 퓨전 판타지</v>
      </c>
    </row>
    <row r="3518" spans="1:59">
      <c r="A3518" t="s">
        <v>60</v>
      </c>
      <c r="B3518" s="1">
        <v>46130</v>
      </c>
      <c r="C3518">
        <v>2378071524</v>
      </c>
      <c r="D3518">
        <v>2378071556</v>
      </c>
      <c r="E3518" t="str">
        <f>T("불사자에게는 수호령이 있었다 33화")</f>
        <v>불사자에게는 수호령이 있었다 33화</v>
      </c>
      <c r="F3518">
        <v>33</v>
      </c>
      <c r="G3518" t="str">
        <f>T("덴피")</f>
        <v>덴피</v>
      </c>
      <c r="J3518" t="str">
        <f>T("매드햇")</f>
        <v>매드햇</v>
      </c>
      <c r="K3518" t="str">
        <f>T("불사자에게는 수호령이 있었다")</f>
        <v>불사자에게는 수호령이 있었다</v>
      </c>
      <c r="L3518">
        <v>100</v>
      </c>
      <c r="M3518">
        <v>100</v>
      </c>
      <c r="N3518">
        <v>1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0</v>
      </c>
      <c r="AH3518">
        <v>0</v>
      </c>
      <c r="AI3518">
        <v>100</v>
      </c>
      <c r="AJ3518">
        <v>1</v>
      </c>
      <c r="AK3518">
        <v>0</v>
      </c>
      <c r="AL3518">
        <v>0</v>
      </c>
      <c r="AM3518">
        <v>100</v>
      </c>
      <c r="AN3518">
        <v>0</v>
      </c>
      <c r="AO3518">
        <v>0</v>
      </c>
      <c r="AP3518">
        <v>0</v>
      </c>
      <c r="AQ3518">
        <v>0</v>
      </c>
      <c r="AS3518">
        <v>0</v>
      </c>
      <c r="AT3518">
        <v>0</v>
      </c>
      <c r="AV3518">
        <v>0</v>
      </c>
      <c r="AW3518">
        <v>0</v>
      </c>
      <c r="AY3518">
        <v>0</v>
      </c>
      <c r="AZ3518">
        <v>0</v>
      </c>
      <c r="BA3518">
        <v>70</v>
      </c>
      <c r="BE3518" t="str">
        <f>T("9791137009370")</f>
        <v>9791137009370</v>
      </c>
      <c r="BF3518" t="str">
        <f>T("k131708")</f>
        <v>k131708</v>
      </c>
      <c r="BG3518" t="str">
        <f>T("판타지 웹소설 &gt; 퓨전 판타지")</f>
        <v>판타지 웹소설 &gt; 퓨전 판타지</v>
      </c>
    </row>
    <row r="3519" spans="1:59">
      <c r="A3519" t="s">
        <v>60</v>
      </c>
      <c r="B3519" s="1">
        <v>46130</v>
      </c>
      <c r="C3519">
        <v>2378071524</v>
      </c>
      <c r="D3519">
        <v>2378071557</v>
      </c>
      <c r="E3519" t="str">
        <f>T("불사자에게는 수호령이 있었다 34화")</f>
        <v>불사자에게는 수호령이 있었다 34화</v>
      </c>
      <c r="F3519">
        <v>34</v>
      </c>
      <c r="G3519" t="str">
        <f>T("덴피")</f>
        <v>덴피</v>
      </c>
      <c r="J3519" t="str">
        <f>T("매드햇")</f>
        <v>매드햇</v>
      </c>
      <c r="K3519" t="str">
        <f>T("불사자에게는 수호령이 있었다")</f>
        <v>불사자에게는 수호령이 있었다</v>
      </c>
      <c r="L3519">
        <v>100</v>
      </c>
      <c r="M3519">
        <v>100</v>
      </c>
      <c r="N3519">
        <v>1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0</v>
      </c>
      <c r="AH3519">
        <v>0</v>
      </c>
      <c r="AI3519">
        <v>100</v>
      </c>
      <c r="AJ3519">
        <v>1</v>
      </c>
      <c r="AK3519">
        <v>0</v>
      </c>
      <c r="AL3519">
        <v>0</v>
      </c>
      <c r="AM3519">
        <v>100</v>
      </c>
      <c r="AN3519">
        <v>0</v>
      </c>
      <c r="AO3519">
        <v>0</v>
      </c>
      <c r="AP3519">
        <v>0</v>
      </c>
      <c r="AQ3519">
        <v>0</v>
      </c>
      <c r="AS3519">
        <v>0</v>
      </c>
      <c r="AT3519">
        <v>0</v>
      </c>
      <c r="AV3519">
        <v>0</v>
      </c>
      <c r="AW3519">
        <v>0</v>
      </c>
      <c r="AY3519">
        <v>0</v>
      </c>
      <c r="AZ3519">
        <v>0</v>
      </c>
      <c r="BA3519">
        <v>70</v>
      </c>
      <c r="BE3519" t="str">
        <f>T("9791137009370")</f>
        <v>9791137009370</v>
      </c>
      <c r="BF3519" t="str">
        <f>T("k131709")</f>
        <v>k131709</v>
      </c>
      <c r="BG3519" t="str">
        <f>T("판타지 웹소설 &gt; 퓨전 판타지")</f>
        <v>판타지 웹소설 &gt; 퓨전 판타지</v>
      </c>
    </row>
    <row r="3520" spans="1:59">
      <c r="A3520" t="s">
        <v>60</v>
      </c>
      <c r="B3520" s="1">
        <v>46130</v>
      </c>
      <c r="C3520">
        <v>2378071524</v>
      </c>
      <c r="D3520">
        <v>2378071558</v>
      </c>
      <c r="E3520" t="str">
        <f>T("불사자에게는 수호령이 있었다 35화")</f>
        <v>불사자에게는 수호령이 있었다 35화</v>
      </c>
      <c r="F3520">
        <v>35</v>
      </c>
      <c r="G3520" t="str">
        <f>T("덴피")</f>
        <v>덴피</v>
      </c>
      <c r="J3520" t="str">
        <f>T("매드햇")</f>
        <v>매드햇</v>
      </c>
      <c r="K3520" t="str">
        <f>T("불사자에게는 수호령이 있었다")</f>
        <v>불사자에게는 수호령이 있었다</v>
      </c>
      <c r="L3520">
        <v>100</v>
      </c>
      <c r="M3520">
        <v>100</v>
      </c>
      <c r="N3520">
        <v>1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0</v>
      </c>
      <c r="AH3520">
        <v>0</v>
      </c>
      <c r="AI3520">
        <v>100</v>
      </c>
      <c r="AJ3520">
        <v>1</v>
      </c>
      <c r="AK3520">
        <v>0</v>
      </c>
      <c r="AL3520">
        <v>0</v>
      </c>
      <c r="AM3520">
        <v>100</v>
      </c>
      <c r="AN3520">
        <v>0</v>
      </c>
      <c r="AO3520">
        <v>0</v>
      </c>
      <c r="AP3520">
        <v>0</v>
      </c>
      <c r="AQ3520">
        <v>0</v>
      </c>
      <c r="AS3520">
        <v>0</v>
      </c>
      <c r="AT3520">
        <v>0</v>
      </c>
      <c r="AV3520">
        <v>0</v>
      </c>
      <c r="AW3520">
        <v>0</v>
      </c>
      <c r="AY3520">
        <v>0</v>
      </c>
      <c r="AZ3520">
        <v>0</v>
      </c>
      <c r="BA3520">
        <v>70</v>
      </c>
      <c r="BE3520" t="str">
        <f>T("9791137009370")</f>
        <v>9791137009370</v>
      </c>
      <c r="BF3520" t="str">
        <f>T("k131710")</f>
        <v>k131710</v>
      </c>
      <c r="BG3520" t="str">
        <f>T("판타지 웹소설 &gt; 퓨전 판타지")</f>
        <v>판타지 웹소설 &gt; 퓨전 판타지</v>
      </c>
    </row>
    <row r="3521" spans="1:59">
      <c r="A3521" t="s">
        <v>60</v>
      </c>
      <c r="B3521" s="1">
        <v>46130</v>
      </c>
      <c r="C3521">
        <v>2378071524</v>
      </c>
      <c r="D3521">
        <v>2378071559</v>
      </c>
      <c r="E3521" t="str">
        <f>T("불사자에게는 수호령이 있었다 36화")</f>
        <v>불사자에게는 수호령이 있었다 36화</v>
      </c>
      <c r="F3521">
        <v>36</v>
      </c>
      <c r="G3521" t="str">
        <f>T("덴피")</f>
        <v>덴피</v>
      </c>
      <c r="J3521" t="str">
        <f>T("매드햇")</f>
        <v>매드햇</v>
      </c>
      <c r="K3521" t="str">
        <f>T("불사자에게는 수호령이 있었다")</f>
        <v>불사자에게는 수호령이 있었다</v>
      </c>
      <c r="L3521">
        <v>100</v>
      </c>
      <c r="M3521">
        <v>100</v>
      </c>
      <c r="N3521">
        <v>1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0</v>
      </c>
      <c r="AF3521">
        <v>0</v>
      </c>
      <c r="AG3521">
        <v>0</v>
      </c>
      <c r="AH3521">
        <v>0</v>
      </c>
      <c r="AI3521">
        <v>100</v>
      </c>
      <c r="AJ3521">
        <v>1</v>
      </c>
      <c r="AK3521">
        <v>0</v>
      </c>
      <c r="AL3521">
        <v>0</v>
      </c>
      <c r="AM3521">
        <v>100</v>
      </c>
      <c r="AN3521">
        <v>0</v>
      </c>
      <c r="AO3521">
        <v>0</v>
      </c>
      <c r="AP3521">
        <v>0</v>
      </c>
      <c r="AQ3521">
        <v>0</v>
      </c>
      <c r="AS3521">
        <v>0</v>
      </c>
      <c r="AT3521">
        <v>0</v>
      </c>
      <c r="AV3521">
        <v>0</v>
      </c>
      <c r="AW3521">
        <v>0</v>
      </c>
      <c r="AY3521">
        <v>0</v>
      </c>
      <c r="AZ3521">
        <v>0</v>
      </c>
      <c r="BA3521">
        <v>70</v>
      </c>
      <c r="BE3521" t="str">
        <f>T("9791137009370")</f>
        <v>9791137009370</v>
      </c>
      <c r="BF3521" t="str">
        <f>T("k131711")</f>
        <v>k131711</v>
      </c>
      <c r="BG3521" t="str">
        <f>T("판타지 웹소설 &gt; 퓨전 판타지")</f>
        <v>판타지 웹소설 &gt; 퓨전 판타지</v>
      </c>
    </row>
    <row r="3522" spans="1:59">
      <c r="A3522" t="s">
        <v>60</v>
      </c>
      <c r="B3522" s="1">
        <v>46130</v>
      </c>
      <c r="C3522">
        <v>2378071524</v>
      </c>
      <c r="D3522">
        <v>2378071560</v>
      </c>
      <c r="E3522" t="str">
        <f>T("불사자에게는 수호령이 있었다 37화")</f>
        <v>불사자에게는 수호령이 있었다 37화</v>
      </c>
      <c r="F3522">
        <v>37</v>
      </c>
      <c r="G3522" t="str">
        <f>T("덴피")</f>
        <v>덴피</v>
      </c>
      <c r="J3522" t="str">
        <f>T("매드햇")</f>
        <v>매드햇</v>
      </c>
      <c r="K3522" t="str">
        <f>T("불사자에게는 수호령이 있었다")</f>
        <v>불사자에게는 수호령이 있었다</v>
      </c>
      <c r="L3522">
        <v>100</v>
      </c>
      <c r="M3522">
        <v>100</v>
      </c>
      <c r="N3522">
        <v>1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0</v>
      </c>
      <c r="AH3522">
        <v>0</v>
      </c>
      <c r="AI3522">
        <v>100</v>
      </c>
      <c r="AJ3522">
        <v>1</v>
      </c>
      <c r="AK3522">
        <v>0</v>
      </c>
      <c r="AL3522">
        <v>0</v>
      </c>
      <c r="AM3522">
        <v>100</v>
      </c>
      <c r="AN3522">
        <v>0</v>
      </c>
      <c r="AO3522">
        <v>0</v>
      </c>
      <c r="AP3522">
        <v>0</v>
      </c>
      <c r="AQ3522">
        <v>0</v>
      </c>
      <c r="AS3522">
        <v>0</v>
      </c>
      <c r="AT3522">
        <v>0</v>
      </c>
      <c r="AV3522">
        <v>0</v>
      </c>
      <c r="AW3522">
        <v>0</v>
      </c>
      <c r="AY3522">
        <v>0</v>
      </c>
      <c r="AZ3522">
        <v>0</v>
      </c>
      <c r="BA3522">
        <v>70</v>
      </c>
      <c r="BE3522" t="str">
        <f>T("9791137009370")</f>
        <v>9791137009370</v>
      </c>
      <c r="BF3522" t="str">
        <f>T("k131712")</f>
        <v>k131712</v>
      </c>
      <c r="BG3522" t="str">
        <f>T("판타지 웹소설 &gt; 퓨전 판타지")</f>
        <v>판타지 웹소설 &gt; 퓨전 판타지</v>
      </c>
    </row>
    <row r="3523" spans="1:59">
      <c r="A3523" t="s">
        <v>60</v>
      </c>
      <c r="B3523" s="1">
        <v>46130</v>
      </c>
      <c r="C3523">
        <v>2378071524</v>
      </c>
      <c r="D3523">
        <v>2378071561</v>
      </c>
      <c r="E3523" t="str">
        <f>T("불사자에게는 수호령이 있었다 38화")</f>
        <v>불사자에게는 수호령이 있었다 38화</v>
      </c>
      <c r="F3523">
        <v>38</v>
      </c>
      <c r="G3523" t="str">
        <f>T("덴피")</f>
        <v>덴피</v>
      </c>
      <c r="J3523" t="str">
        <f>T("매드햇")</f>
        <v>매드햇</v>
      </c>
      <c r="K3523" t="str">
        <f>T("불사자에게는 수호령이 있었다")</f>
        <v>불사자에게는 수호령이 있었다</v>
      </c>
      <c r="L3523">
        <v>100</v>
      </c>
      <c r="M3523">
        <v>100</v>
      </c>
      <c r="N3523">
        <v>1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0</v>
      </c>
      <c r="AH3523">
        <v>0</v>
      </c>
      <c r="AI3523">
        <v>100</v>
      </c>
      <c r="AJ3523">
        <v>1</v>
      </c>
      <c r="AK3523">
        <v>0</v>
      </c>
      <c r="AL3523">
        <v>0</v>
      </c>
      <c r="AM3523">
        <v>100</v>
      </c>
      <c r="AN3523">
        <v>0</v>
      </c>
      <c r="AO3523">
        <v>0</v>
      </c>
      <c r="AP3523">
        <v>0</v>
      </c>
      <c r="AQ3523">
        <v>0</v>
      </c>
      <c r="AS3523">
        <v>0</v>
      </c>
      <c r="AT3523">
        <v>0</v>
      </c>
      <c r="AV3523">
        <v>0</v>
      </c>
      <c r="AW3523">
        <v>0</v>
      </c>
      <c r="AY3523">
        <v>0</v>
      </c>
      <c r="AZ3523">
        <v>0</v>
      </c>
      <c r="BA3523">
        <v>70</v>
      </c>
      <c r="BE3523" t="str">
        <f>T("9791137009370")</f>
        <v>9791137009370</v>
      </c>
      <c r="BF3523" t="str">
        <f>T("k131713")</f>
        <v>k131713</v>
      </c>
      <c r="BG3523" t="str">
        <f>T("판타지 웹소설 &gt; 퓨전 판타지")</f>
        <v>판타지 웹소설 &gt; 퓨전 판타지</v>
      </c>
    </row>
    <row r="3524" spans="1:59">
      <c r="A3524" t="s">
        <v>60</v>
      </c>
      <c r="B3524" s="1">
        <v>46130</v>
      </c>
      <c r="C3524">
        <v>2378071524</v>
      </c>
      <c r="D3524">
        <v>2378071562</v>
      </c>
      <c r="E3524" t="str">
        <f>T("불사자에게는 수호령이 있었다 39화")</f>
        <v>불사자에게는 수호령이 있었다 39화</v>
      </c>
      <c r="F3524">
        <v>39</v>
      </c>
      <c r="G3524" t="str">
        <f>T("덴피")</f>
        <v>덴피</v>
      </c>
      <c r="J3524" t="str">
        <f>T("매드햇")</f>
        <v>매드햇</v>
      </c>
      <c r="K3524" t="str">
        <f>T("불사자에게는 수호령이 있었다")</f>
        <v>불사자에게는 수호령이 있었다</v>
      </c>
      <c r="L3524">
        <v>100</v>
      </c>
      <c r="M3524">
        <v>100</v>
      </c>
      <c r="N3524">
        <v>1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0</v>
      </c>
      <c r="AF3524">
        <v>0</v>
      </c>
      <c r="AG3524">
        <v>0</v>
      </c>
      <c r="AH3524">
        <v>0</v>
      </c>
      <c r="AI3524">
        <v>100</v>
      </c>
      <c r="AJ3524">
        <v>1</v>
      </c>
      <c r="AK3524">
        <v>0</v>
      </c>
      <c r="AL3524">
        <v>0</v>
      </c>
      <c r="AM3524">
        <v>100</v>
      </c>
      <c r="AN3524">
        <v>0</v>
      </c>
      <c r="AO3524">
        <v>0</v>
      </c>
      <c r="AP3524">
        <v>0</v>
      </c>
      <c r="AQ3524">
        <v>0</v>
      </c>
      <c r="AS3524">
        <v>0</v>
      </c>
      <c r="AT3524">
        <v>0</v>
      </c>
      <c r="AV3524">
        <v>0</v>
      </c>
      <c r="AW3524">
        <v>0</v>
      </c>
      <c r="AY3524">
        <v>0</v>
      </c>
      <c r="AZ3524">
        <v>0</v>
      </c>
      <c r="BA3524">
        <v>70</v>
      </c>
      <c r="BE3524" t="str">
        <f>T("9791137009370")</f>
        <v>9791137009370</v>
      </c>
      <c r="BF3524" t="str">
        <f>T("k131714")</f>
        <v>k131714</v>
      </c>
      <c r="BG3524" t="str">
        <f>T("판타지 웹소설 &gt; 퓨전 판타지")</f>
        <v>판타지 웹소설 &gt; 퓨전 판타지</v>
      </c>
    </row>
    <row r="3525" spans="1:59">
      <c r="A3525" t="s">
        <v>60</v>
      </c>
      <c r="B3525" s="1">
        <v>46130</v>
      </c>
      <c r="C3525">
        <v>2378071524</v>
      </c>
      <c r="D3525">
        <v>2378071563</v>
      </c>
      <c r="E3525" t="str">
        <f>T("불사자에게는 수호령이 있었다 40화")</f>
        <v>불사자에게는 수호령이 있었다 40화</v>
      </c>
      <c r="F3525">
        <v>40</v>
      </c>
      <c r="G3525" t="str">
        <f>T("덴피")</f>
        <v>덴피</v>
      </c>
      <c r="J3525" t="str">
        <f>T("매드햇")</f>
        <v>매드햇</v>
      </c>
      <c r="K3525" t="str">
        <f>T("불사자에게는 수호령이 있었다")</f>
        <v>불사자에게는 수호령이 있었다</v>
      </c>
      <c r="L3525">
        <v>100</v>
      </c>
      <c r="M3525">
        <v>100</v>
      </c>
      <c r="N3525">
        <v>1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0</v>
      </c>
      <c r="AH3525">
        <v>0</v>
      </c>
      <c r="AI3525">
        <v>100</v>
      </c>
      <c r="AJ3525">
        <v>1</v>
      </c>
      <c r="AK3525">
        <v>0</v>
      </c>
      <c r="AL3525">
        <v>0</v>
      </c>
      <c r="AM3525">
        <v>100</v>
      </c>
      <c r="AN3525">
        <v>0</v>
      </c>
      <c r="AO3525">
        <v>0</v>
      </c>
      <c r="AP3525">
        <v>0</v>
      </c>
      <c r="AQ3525">
        <v>0</v>
      </c>
      <c r="AS3525">
        <v>0</v>
      </c>
      <c r="AT3525">
        <v>0</v>
      </c>
      <c r="AV3525">
        <v>0</v>
      </c>
      <c r="AW3525">
        <v>0</v>
      </c>
      <c r="AY3525">
        <v>0</v>
      </c>
      <c r="AZ3525">
        <v>0</v>
      </c>
      <c r="BA3525">
        <v>70</v>
      </c>
      <c r="BE3525" t="str">
        <f>T("9791137009370")</f>
        <v>9791137009370</v>
      </c>
      <c r="BF3525" t="str">
        <f>T("k131715")</f>
        <v>k131715</v>
      </c>
      <c r="BG3525" t="str">
        <f>T("판타지 웹소설 &gt; 퓨전 판타지")</f>
        <v>판타지 웹소설 &gt; 퓨전 판타지</v>
      </c>
    </row>
    <row r="3526" spans="1:59">
      <c r="A3526" t="s">
        <v>60</v>
      </c>
      <c r="B3526" s="1">
        <v>46130</v>
      </c>
      <c r="C3526">
        <v>2378071524</v>
      </c>
      <c r="D3526">
        <v>2378071564</v>
      </c>
      <c r="E3526" t="str">
        <f>T("불사자에게는 수호령이 있었다 41화")</f>
        <v>불사자에게는 수호령이 있었다 41화</v>
      </c>
      <c r="F3526">
        <v>41</v>
      </c>
      <c r="G3526" t="str">
        <f>T("덴피")</f>
        <v>덴피</v>
      </c>
      <c r="J3526" t="str">
        <f>T("매드햇")</f>
        <v>매드햇</v>
      </c>
      <c r="K3526" t="str">
        <f>T("불사자에게는 수호령이 있었다")</f>
        <v>불사자에게는 수호령이 있었다</v>
      </c>
      <c r="L3526">
        <v>100</v>
      </c>
      <c r="M3526">
        <v>100</v>
      </c>
      <c r="N3526">
        <v>1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0</v>
      </c>
      <c r="AH3526">
        <v>0</v>
      </c>
      <c r="AI3526">
        <v>100</v>
      </c>
      <c r="AJ3526">
        <v>1</v>
      </c>
      <c r="AK3526">
        <v>0</v>
      </c>
      <c r="AL3526">
        <v>0</v>
      </c>
      <c r="AM3526">
        <v>100</v>
      </c>
      <c r="AN3526">
        <v>0</v>
      </c>
      <c r="AO3526">
        <v>0</v>
      </c>
      <c r="AP3526">
        <v>0</v>
      </c>
      <c r="AQ3526">
        <v>0</v>
      </c>
      <c r="AS3526">
        <v>0</v>
      </c>
      <c r="AT3526">
        <v>0</v>
      </c>
      <c r="AV3526">
        <v>0</v>
      </c>
      <c r="AW3526">
        <v>0</v>
      </c>
      <c r="AY3526">
        <v>0</v>
      </c>
      <c r="AZ3526">
        <v>0</v>
      </c>
      <c r="BA3526">
        <v>70</v>
      </c>
      <c r="BE3526" t="str">
        <f>T("9791137009370")</f>
        <v>9791137009370</v>
      </c>
      <c r="BF3526" t="str">
        <f>T("k131716")</f>
        <v>k131716</v>
      </c>
      <c r="BG3526" t="str">
        <f>T("판타지 웹소설 &gt; 퓨전 판타지")</f>
        <v>판타지 웹소설 &gt; 퓨전 판타지</v>
      </c>
    </row>
    <row r="3527" spans="1:59">
      <c r="A3527" t="s">
        <v>60</v>
      </c>
      <c r="B3527" s="1">
        <v>46130</v>
      </c>
      <c r="C3527">
        <v>2378071524</v>
      </c>
      <c r="D3527">
        <v>2378071565</v>
      </c>
      <c r="E3527" t="str">
        <f>T("불사자에게는 수호령이 있었다 42화")</f>
        <v>불사자에게는 수호령이 있었다 42화</v>
      </c>
      <c r="F3527">
        <v>42</v>
      </c>
      <c r="G3527" t="str">
        <f>T("덴피")</f>
        <v>덴피</v>
      </c>
      <c r="J3527" t="str">
        <f>T("매드햇")</f>
        <v>매드햇</v>
      </c>
      <c r="K3527" t="str">
        <f>T("불사자에게는 수호령이 있었다")</f>
        <v>불사자에게는 수호령이 있었다</v>
      </c>
      <c r="L3527">
        <v>100</v>
      </c>
      <c r="M3527">
        <v>100</v>
      </c>
      <c r="N3527">
        <v>1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0</v>
      </c>
      <c r="AH3527">
        <v>0</v>
      </c>
      <c r="AI3527">
        <v>100</v>
      </c>
      <c r="AJ3527">
        <v>1</v>
      </c>
      <c r="AK3527">
        <v>0</v>
      </c>
      <c r="AL3527">
        <v>0</v>
      </c>
      <c r="AM3527">
        <v>100</v>
      </c>
      <c r="AN3527">
        <v>0</v>
      </c>
      <c r="AO3527">
        <v>0</v>
      </c>
      <c r="AP3527">
        <v>0</v>
      </c>
      <c r="AQ3527">
        <v>0</v>
      </c>
      <c r="AS3527">
        <v>0</v>
      </c>
      <c r="AT3527">
        <v>0</v>
      </c>
      <c r="AV3527">
        <v>0</v>
      </c>
      <c r="AW3527">
        <v>0</v>
      </c>
      <c r="AY3527">
        <v>0</v>
      </c>
      <c r="AZ3527">
        <v>0</v>
      </c>
      <c r="BA3527">
        <v>70</v>
      </c>
      <c r="BE3527" t="str">
        <f>T("9791137009370")</f>
        <v>9791137009370</v>
      </c>
      <c r="BF3527" t="str">
        <f>T("k131717")</f>
        <v>k131717</v>
      </c>
      <c r="BG3527" t="str">
        <f>T("판타지 웹소설 &gt; 퓨전 판타지")</f>
        <v>판타지 웹소설 &gt; 퓨전 판타지</v>
      </c>
    </row>
    <row r="3528" spans="1:59">
      <c r="A3528" t="s">
        <v>60</v>
      </c>
      <c r="B3528" s="1">
        <v>46130</v>
      </c>
      <c r="C3528">
        <v>2378071524</v>
      </c>
      <c r="D3528">
        <v>2378071566</v>
      </c>
      <c r="E3528" t="str">
        <f>T("불사자에게는 수호령이 있었다 43화")</f>
        <v>불사자에게는 수호령이 있었다 43화</v>
      </c>
      <c r="F3528">
        <v>43</v>
      </c>
      <c r="G3528" t="str">
        <f>T("덴피")</f>
        <v>덴피</v>
      </c>
      <c r="J3528" t="str">
        <f>T("매드햇")</f>
        <v>매드햇</v>
      </c>
      <c r="K3528" t="str">
        <f>T("불사자에게는 수호령이 있었다")</f>
        <v>불사자에게는 수호령이 있었다</v>
      </c>
      <c r="L3528">
        <v>100</v>
      </c>
      <c r="M3528">
        <v>100</v>
      </c>
      <c r="N3528">
        <v>1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0</v>
      </c>
      <c r="AH3528">
        <v>0</v>
      </c>
      <c r="AI3528">
        <v>100</v>
      </c>
      <c r="AJ3528">
        <v>1</v>
      </c>
      <c r="AK3528">
        <v>0</v>
      </c>
      <c r="AL3528">
        <v>0</v>
      </c>
      <c r="AM3528">
        <v>100</v>
      </c>
      <c r="AN3528">
        <v>0</v>
      </c>
      <c r="AO3528">
        <v>0</v>
      </c>
      <c r="AP3528">
        <v>0</v>
      </c>
      <c r="AQ3528">
        <v>0</v>
      </c>
      <c r="AS3528">
        <v>0</v>
      </c>
      <c r="AT3528">
        <v>0</v>
      </c>
      <c r="AV3528">
        <v>0</v>
      </c>
      <c r="AW3528">
        <v>0</v>
      </c>
      <c r="AY3528">
        <v>0</v>
      </c>
      <c r="AZ3528">
        <v>0</v>
      </c>
      <c r="BA3528">
        <v>70</v>
      </c>
      <c r="BE3528" t="str">
        <f>T("9791137009370")</f>
        <v>9791137009370</v>
      </c>
      <c r="BF3528" t="str">
        <f>T("k131718")</f>
        <v>k131718</v>
      </c>
      <c r="BG3528" t="str">
        <f>T("판타지 웹소설 &gt; 퓨전 판타지")</f>
        <v>판타지 웹소설 &gt; 퓨전 판타지</v>
      </c>
    </row>
    <row r="3529" spans="1:59">
      <c r="A3529" t="s">
        <v>60</v>
      </c>
      <c r="B3529" s="1">
        <v>46130</v>
      </c>
      <c r="C3529">
        <v>2378071524</v>
      </c>
      <c r="D3529">
        <v>2378071567</v>
      </c>
      <c r="E3529" t="str">
        <f>T("불사자에게는 수호령이 있었다 44화")</f>
        <v>불사자에게는 수호령이 있었다 44화</v>
      </c>
      <c r="F3529">
        <v>44</v>
      </c>
      <c r="G3529" t="str">
        <f>T("덴피")</f>
        <v>덴피</v>
      </c>
      <c r="J3529" t="str">
        <f>T("매드햇")</f>
        <v>매드햇</v>
      </c>
      <c r="K3529" t="str">
        <f>T("불사자에게는 수호령이 있었다")</f>
        <v>불사자에게는 수호령이 있었다</v>
      </c>
      <c r="L3529">
        <v>100</v>
      </c>
      <c r="M3529">
        <v>100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0</v>
      </c>
      <c r="AF3529">
        <v>0</v>
      </c>
      <c r="AG3529">
        <v>0</v>
      </c>
      <c r="AH3529">
        <v>0</v>
      </c>
      <c r="AI3529">
        <v>100</v>
      </c>
      <c r="AJ3529">
        <v>1</v>
      </c>
      <c r="AK3529">
        <v>0</v>
      </c>
      <c r="AL3529">
        <v>0</v>
      </c>
      <c r="AM3529">
        <v>100</v>
      </c>
      <c r="AN3529">
        <v>0</v>
      </c>
      <c r="AO3529">
        <v>0</v>
      </c>
      <c r="AP3529">
        <v>0</v>
      </c>
      <c r="AQ3529">
        <v>0</v>
      </c>
      <c r="AS3529">
        <v>0</v>
      </c>
      <c r="AT3529">
        <v>0</v>
      </c>
      <c r="AV3529">
        <v>0</v>
      </c>
      <c r="AW3529">
        <v>0</v>
      </c>
      <c r="AY3529">
        <v>0</v>
      </c>
      <c r="AZ3529">
        <v>0</v>
      </c>
      <c r="BA3529">
        <v>70</v>
      </c>
      <c r="BE3529" t="str">
        <f>T("9791137009370")</f>
        <v>9791137009370</v>
      </c>
      <c r="BF3529" t="str">
        <f>T("k131719")</f>
        <v>k131719</v>
      </c>
      <c r="BG3529" t="str">
        <f>T("판타지 웹소설 &gt; 퓨전 판타지")</f>
        <v>판타지 웹소설 &gt; 퓨전 판타지</v>
      </c>
    </row>
    <row r="3530" spans="1:59">
      <c r="A3530" t="s">
        <v>60</v>
      </c>
      <c r="B3530" s="1">
        <v>46130</v>
      </c>
      <c r="C3530">
        <v>2378071524</v>
      </c>
      <c r="D3530">
        <v>2378071793</v>
      </c>
      <c r="E3530" t="str">
        <f>T("불사자에게는 수호령이 있었다 270화")</f>
        <v>불사자에게는 수호령이 있었다 270화</v>
      </c>
      <c r="F3530">
        <v>270</v>
      </c>
      <c r="G3530" t="str">
        <f>T("덴피")</f>
        <v>덴피</v>
      </c>
      <c r="J3530" t="str">
        <f>T("매드햇")</f>
        <v>매드햇</v>
      </c>
      <c r="K3530" t="str">
        <f>T("불사자에게는 수호령이 있었다")</f>
        <v>불사자에게는 수호령이 있었다</v>
      </c>
      <c r="L3530">
        <v>100</v>
      </c>
      <c r="M3530">
        <v>100</v>
      </c>
      <c r="N3530">
        <v>1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0</v>
      </c>
      <c r="AH3530">
        <v>0</v>
      </c>
      <c r="AI3530">
        <v>100</v>
      </c>
      <c r="AJ3530">
        <v>1</v>
      </c>
      <c r="AK3530">
        <v>0</v>
      </c>
      <c r="AL3530">
        <v>0</v>
      </c>
      <c r="AM3530">
        <v>100</v>
      </c>
      <c r="AN3530">
        <v>0</v>
      </c>
      <c r="AO3530">
        <v>0</v>
      </c>
      <c r="AP3530">
        <v>0</v>
      </c>
      <c r="AQ3530">
        <v>0</v>
      </c>
      <c r="AS3530">
        <v>0</v>
      </c>
      <c r="AT3530">
        <v>0</v>
      </c>
      <c r="AV3530">
        <v>0</v>
      </c>
      <c r="AW3530">
        <v>0</v>
      </c>
      <c r="AY3530">
        <v>0</v>
      </c>
      <c r="AZ3530">
        <v>0</v>
      </c>
      <c r="BA3530">
        <v>70</v>
      </c>
      <c r="BE3530" t="str">
        <f>T("9791137009370")</f>
        <v>9791137009370</v>
      </c>
      <c r="BF3530" t="str">
        <f>T("k381933")</f>
        <v>k381933</v>
      </c>
      <c r="BG3530" t="str">
        <f>T("판타지 웹소설 &gt; 퓨전 판타지")</f>
        <v>판타지 웹소설 &gt; 퓨전 판타지</v>
      </c>
    </row>
    <row r="3531" spans="1:59">
      <c r="A3531" t="s">
        <v>60</v>
      </c>
      <c r="B3531" s="1">
        <v>46130</v>
      </c>
      <c r="C3531">
        <v>2378071524</v>
      </c>
      <c r="D3531">
        <v>2378071794</v>
      </c>
      <c r="E3531" t="str">
        <f>T("불사자에게는 수호령이 있었다 271화")</f>
        <v>불사자에게는 수호령이 있었다 271화</v>
      </c>
      <c r="F3531">
        <v>271</v>
      </c>
      <c r="G3531" t="str">
        <f>T("덴피")</f>
        <v>덴피</v>
      </c>
      <c r="J3531" t="str">
        <f>T("매드햇")</f>
        <v>매드햇</v>
      </c>
      <c r="K3531" t="str">
        <f>T("불사자에게는 수호령이 있었다")</f>
        <v>불사자에게는 수호령이 있었다</v>
      </c>
      <c r="L3531">
        <v>100</v>
      </c>
      <c r="M3531">
        <v>100</v>
      </c>
      <c r="N3531">
        <v>1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0</v>
      </c>
      <c r="AH3531">
        <v>0</v>
      </c>
      <c r="AI3531">
        <v>100</v>
      </c>
      <c r="AJ3531">
        <v>1</v>
      </c>
      <c r="AK3531">
        <v>0</v>
      </c>
      <c r="AL3531">
        <v>0</v>
      </c>
      <c r="AM3531">
        <v>100</v>
      </c>
      <c r="AN3531">
        <v>0</v>
      </c>
      <c r="AO3531">
        <v>0</v>
      </c>
      <c r="AP3531">
        <v>0</v>
      </c>
      <c r="AQ3531">
        <v>0</v>
      </c>
      <c r="AS3531">
        <v>0</v>
      </c>
      <c r="AT3531">
        <v>0</v>
      </c>
      <c r="AV3531">
        <v>0</v>
      </c>
      <c r="AW3531">
        <v>0</v>
      </c>
      <c r="AY3531">
        <v>0</v>
      </c>
      <c r="AZ3531">
        <v>0</v>
      </c>
      <c r="BA3531">
        <v>70</v>
      </c>
      <c r="BE3531" t="str">
        <f>T("9791137009370")</f>
        <v>9791137009370</v>
      </c>
      <c r="BF3531" t="str">
        <f>T("k383788")</f>
        <v>k383788</v>
      </c>
      <c r="BG3531" t="str">
        <f>T("판타지 웹소설 &gt; 퓨전 판타지")</f>
        <v>판타지 웹소설 &gt; 퓨전 판타지</v>
      </c>
    </row>
    <row r="3532" spans="1:59">
      <c r="A3532" t="s">
        <v>60</v>
      </c>
      <c r="B3532" s="1">
        <v>46130</v>
      </c>
      <c r="C3532">
        <v>2378071524</v>
      </c>
      <c r="D3532">
        <v>2378071795</v>
      </c>
      <c r="E3532" t="str">
        <f>T("불사자에게는 수호령이 있었다 272화")</f>
        <v>불사자에게는 수호령이 있었다 272화</v>
      </c>
      <c r="F3532">
        <v>272</v>
      </c>
      <c r="G3532" t="str">
        <f>T("덴피")</f>
        <v>덴피</v>
      </c>
      <c r="J3532" t="str">
        <f>T("매드햇")</f>
        <v>매드햇</v>
      </c>
      <c r="K3532" t="str">
        <f>T("불사자에게는 수호령이 있었다")</f>
        <v>불사자에게는 수호령이 있었다</v>
      </c>
      <c r="L3532">
        <v>100</v>
      </c>
      <c r="M3532">
        <v>100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0</v>
      </c>
      <c r="AH3532">
        <v>0</v>
      </c>
      <c r="AI3532">
        <v>100</v>
      </c>
      <c r="AJ3532">
        <v>1</v>
      </c>
      <c r="AK3532">
        <v>0</v>
      </c>
      <c r="AL3532">
        <v>0</v>
      </c>
      <c r="AM3532">
        <v>100</v>
      </c>
      <c r="AN3532">
        <v>0</v>
      </c>
      <c r="AO3532">
        <v>0</v>
      </c>
      <c r="AP3532">
        <v>0</v>
      </c>
      <c r="AQ3532">
        <v>0</v>
      </c>
      <c r="AS3532">
        <v>0</v>
      </c>
      <c r="AT3532">
        <v>0</v>
      </c>
      <c r="AV3532">
        <v>0</v>
      </c>
      <c r="AW3532">
        <v>0</v>
      </c>
      <c r="AY3532">
        <v>0</v>
      </c>
      <c r="AZ3532">
        <v>0</v>
      </c>
      <c r="BA3532">
        <v>70</v>
      </c>
      <c r="BE3532" t="str">
        <f>T("9791137009370")</f>
        <v>9791137009370</v>
      </c>
      <c r="BF3532" t="str">
        <f>T("k383789")</f>
        <v>k383789</v>
      </c>
      <c r="BG3532" t="str">
        <f>T("판타지 웹소설 &gt; 퓨전 판타지")</f>
        <v>판타지 웹소설 &gt; 퓨전 판타지</v>
      </c>
    </row>
    <row r="3533" spans="1:59">
      <c r="A3533" t="s">
        <v>60</v>
      </c>
      <c r="B3533" s="1">
        <v>46130</v>
      </c>
      <c r="C3533">
        <v>2378071524</v>
      </c>
      <c r="D3533">
        <v>2378071796</v>
      </c>
      <c r="E3533" t="str">
        <f>T("불사자에게는 수호령이 있었다 273화")</f>
        <v>불사자에게는 수호령이 있었다 273화</v>
      </c>
      <c r="F3533">
        <v>273</v>
      </c>
      <c r="G3533" t="str">
        <f>T("덴피")</f>
        <v>덴피</v>
      </c>
      <c r="J3533" t="str">
        <f>T("매드햇")</f>
        <v>매드햇</v>
      </c>
      <c r="K3533" t="str">
        <f>T("불사자에게는 수호령이 있었다")</f>
        <v>불사자에게는 수호령이 있었다</v>
      </c>
      <c r="L3533">
        <v>100</v>
      </c>
      <c r="M3533">
        <v>100</v>
      </c>
      <c r="N3533">
        <v>1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0</v>
      </c>
      <c r="AF3533">
        <v>0</v>
      </c>
      <c r="AG3533">
        <v>0</v>
      </c>
      <c r="AH3533">
        <v>0</v>
      </c>
      <c r="AI3533">
        <v>100</v>
      </c>
      <c r="AJ3533">
        <v>1</v>
      </c>
      <c r="AK3533">
        <v>0</v>
      </c>
      <c r="AL3533">
        <v>0</v>
      </c>
      <c r="AM3533">
        <v>100</v>
      </c>
      <c r="AN3533">
        <v>0</v>
      </c>
      <c r="AO3533">
        <v>0</v>
      </c>
      <c r="AP3533">
        <v>0</v>
      </c>
      <c r="AQ3533">
        <v>0</v>
      </c>
      <c r="AS3533">
        <v>0</v>
      </c>
      <c r="AT3533">
        <v>0</v>
      </c>
      <c r="AV3533">
        <v>0</v>
      </c>
      <c r="AW3533">
        <v>0</v>
      </c>
      <c r="AY3533">
        <v>0</v>
      </c>
      <c r="AZ3533">
        <v>0</v>
      </c>
      <c r="BA3533">
        <v>70</v>
      </c>
      <c r="BE3533" t="str">
        <f>T("9791137009370")</f>
        <v>9791137009370</v>
      </c>
      <c r="BF3533" t="str">
        <f>T("k383790")</f>
        <v>k383790</v>
      </c>
      <c r="BG3533" t="str">
        <f>T("판타지 웹소설 &gt; 퓨전 판타지")</f>
        <v>판타지 웹소설 &gt; 퓨전 판타지</v>
      </c>
    </row>
    <row r="3534" spans="1:59">
      <c r="A3534" t="s">
        <v>60</v>
      </c>
      <c r="B3534" s="1">
        <v>46130</v>
      </c>
      <c r="C3534">
        <v>2378071524</v>
      </c>
      <c r="D3534">
        <v>2378071797</v>
      </c>
      <c r="E3534" t="str">
        <f>T("불사자에게는 수호령이 있었다 274화")</f>
        <v>불사자에게는 수호령이 있었다 274화</v>
      </c>
      <c r="F3534">
        <v>274</v>
      </c>
      <c r="G3534" t="str">
        <f>T("덴피")</f>
        <v>덴피</v>
      </c>
      <c r="J3534" t="str">
        <f>T("매드햇")</f>
        <v>매드햇</v>
      </c>
      <c r="K3534" t="str">
        <f>T("불사자에게는 수호령이 있었다")</f>
        <v>불사자에게는 수호령이 있었다</v>
      </c>
      <c r="L3534">
        <v>100</v>
      </c>
      <c r="M3534">
        <v>100</v>
      </c>
      <c r="N3534">
        <v>1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0</v>
      </c>
      <c r="AH3534">
        <v>0</v>
      </c>
      <c r="AI3534">
        <v>100</v>
      </c>
      <c r="AJ3534">
        <v>1</v>
      </c>
      <c r="AK3534">
        <v>0</v>
      </c>
      <c r="AL3534">
        <v>0</v>
      </c>
      <c r="AM3534">
        <v>100</v>
      </c>
      <c r="AN3534">
        <v>0</v>
      </c>
      <c r="AO3534">
        <v>0</v>
      </c>
      <c r="AP3534">
        <v>0</v>
      </c>
      <c r="AQ3534">
        <v>0</v>
      </c>
      <c r="AS3534">
        <v>0</v>
      </c>
      <c r="AT3534">
        <v>0</v>
      </c>
      <c r="AV3534">
        <v>0</v>
      </c>
      <c r="AW3534">
        <v>0</v>
      </c>
      <c r="AY3534">
        <v>0</v>
      </c>
      <c r="AZ3534">
        <v>0</v>
      </c>
      <c r="BA3534">
        <v>70</v>
      </c>
      <c r="BE3534" t="str">
        <f>T("9791137009370")</f>
        <v>9791137009370</v>
      </c>
      <c r="BF3534" t="str">
        <f>T("k383791")</f>
        <v>k383791</v>
      </c>
      <c r="BG3534" t="str">
        <f>T("판타지 웹소설 &gt; 퓨전 판타지")</f>
        <v>판타지 웹소설 &gt; 퓨전 판타지</v>
      </c>
    </row>
    <row r="3535" spans="1:59">
      <c r="A3535" t="s">
        <v>60</v>
      </c>
      <c r="B3535" s="1">
        <v>46130</v>
      </c>
      <c r="C3535">
        <v>2378071524</v>
      </c>
      <c r="D3535">
        <v>2378071798</v>
      </c>
      <c r="E3535" t="str">
        <f>T("불사자에게는 수호령이 있었다 275화")</f>
        <v>불사자에게는 수호령이 있었다 275화</v>
      </c>
      <c r="F3535">
        <v>275</v>
      </c>
      <c r="G3535" t="str">
        <f>T("덴피")</f>
        <v>덴피</v>
      </c>
      <c r="J3535" t="str">
        <f>T("매드햇")</f>
        <v>매드햇</v>
      </c>
      <c r="K3535" t="str">
        <f>T("불사자에게는 수호령이 있었다")</f>
        <v>불사자에게는 수호령이 있었다</v>
      </c>
      <c r="L3535">
        <v>100</v>
      </c>
      <c r="M3535">
        <v>100</v>
      </c>
      <c r="N3535">
        <v>1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0</v>
      </c>
      <c r="AH3535">
        <v>0</v>
      </c>
      <c r="AI3535">
        <v>100</v>
      </c>
      <c r="AJ3535">
        <v>1</v>
      </c>
      <c r="AK3535">
        <v>0</v>
      </c>
      <c r="AL3535">
        <v>0</v>
      </c>
      <c r="AM3535">
        <v>100</v>
      </c>
      <c r="AN3535">
        <v>0</v>
      </c>
      <c r="AO3535">
        <v>0</v>
      </c>
      <c r="AP3535">
        <v>0</v>
      </c>
      <c r="AQ3535">
        <v>0</v>
      </c>
      <c r="AS3535">
        <v>0</v>
      </c>
      <c r="AT3535">
        <v>0</v>
      </c>
      <c r="AV3535">
        <v>0</v>
      </c>
      <c r="AW3535">
        <v>0</v>
      </c>
      <c r="AY3535">
        <v>0</v>
      </c>
      <c r="AZ3535">
        <v>0</v>
      </c>
      <c r="BA3535">
        <v>70</v>
      </c>
      <c r="BE3535" t="str">
        <f>T("9791137009370")</f>
        <v>9791137009370</v>
      </c>
      <c r="BF3535" t="str">
        <f>T("k387741")</f>
        <v>k387741</v>
      </c>
      <c r="BG3535" t="str">
        <f>T("판타지 웹소설 &gt; 퓨전 판타지")</f>
        <v>판타지 웹소설 &gt; 퓨전 판타지</v>
      </c>
    </row>
    <row r="3536" spans="1:59">
      <c r="A3536" t="s">
        <v>60</v>
      </c>
      <c r="B3536" s="1">
        <v>46130</v>
      </c>
      <c r="C3536">
        <v>2378071524</v>
      </c>
      <c r="D3536">
        <v>2378071799</v>
      </c>
      <c r="E3536" t="str">
        <f>T("불사자에게는 수호령이 있었다 276화")</f>
        <v>불사자에게는 수호령이 있었다 276화</v>
      </c>
      <c r="F3536">
        <v>276</v>
      </c>
      <c r="G3536" t="str">
        <f>T("덴피")</f>
        <v>덴피</v>
      </c>
      <c r="J3536" t="str">
        <f>T("매드햇")</f>
        <v>매드햇</v>
      </c>
      <c r="K3536" t="str">
        <f>T("불사자에게는 수호령이 있었다")</f>
        <v>불사자에게는 수호령이 있었다</v>
      </c>
      <c r="L3536">
        <v>100</v>
      </c>
      <c r="M3536">
        <v>100</v>
      </c>
      <c r="N3536">
        <v>1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0</v>
      </c>
      <c r="AF3536">
        <v>0</v>
      </c>
      <c r="AG3536">
        <v>0</v>
      </c>
      <c r="AH3536">
        <v>0</v>
      </c>
      <c r="AI3536">
        <v>100</v>
      </c>
      <c r="AJ3536">
        <v>1</v>
      </c>
      <c r="AK3536">
        <v>0</v>
      </c>
      <c r="AL3536">
        <v>0</v>
      </c>
      <c r="AM3536">
        <v>100</v>
      </c>
      <c r="AN3536">
        <v>0</v>
      </c>
      <c r="AO3536">
        <v>0</v>
      </c>
      <c r="AP3536">
        <v>0</v>
      </c>
      <c r="AQ3536">
        <v>0</v>
      </c>
      <c r="AS3536">
        <v>0</v>
      </c>
      <c r="AT3536">
        <v>0</v>
      </c>
      <c r="AV3536">
        <v>0</v>
      </c>
      <c r="AW3536">
        <v>0</v>
      </c>
      <c r="AY3536">
        <v>0</v>
      </c>
      <c r="AZ3536">
        <v>0</v>
      </c>
      <c r="BA3536">
        <v>70</v>
      </c>
      <c r="BE3536" t="str">
        <f>T("9791137009370")</f>
        <v>9791137009370</v>
      </c>
      <c r="BF3536" t="str">
        <f>T("k387742")</f>
        <v>k387742</v>
      </c>
      <c r="BG3536" t="str">
        <f>T("판타지 웹소설 &gt; 퓨전 판타지")</f>
        <v>판타지 웹소설 &gt; 퓨전 판타지</v>
      </c>
    </row>
    <row r="3537" spans="1:59">
      <c r="A3537" t="s">
        <v>60</v>
      </c>
      <c r="B3537" s="1">
        <v>46130</v>
      </c>
      <c r="C3537">
        <v>2378071524</v>
      </c>
      <c r="D3537">
        <v>2378071524</v>
      </c>
      <c r="E3537" t="str">
        <f>T("불사자에게는 수호령이 있었다 1화")</f>
        <v>불사자에게는 수호령이 있었다 1화</v>
      </c>
      <c r="F3537">
        <v>1</v>
      </c>
      <c r="G3537" t="str">
        <f>T("덴피")</f>
        <v>덴피</v>
      </c>
      <c r="J3537" t="str">
        <f>T("매드햇")</f>
        <v>매드햇</v>
      </c>
      <c r="K3537" t="str">
        <f>T("불사자에게는 수호령이 있었다")</f>
        <v>불사자에게는 수호령이 있었다</v>
      </c>
      <c r="L3537">
        <v>0</v>
      </c>
      <c r="M3537">
        <v>0</v>
      </c>
      <c r="N3537">
        <v>0</v>
      </c>
      <c r="O3537">
        <v>1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0</v>
      </c>
      <c r="AH3537">
        <v>0</v>
      </c>
      <c r="AI3537">
        <v>0</v>
      </c>
      <c r="AJ3537">
        <v>1</v>
      </c>
      <c r="AK3537">
        <v>0</v>
      </c>
      <c r="AL3537">
        <v>0</v>
      </c>
      <c r="AM3537">
        <v>0</v>
      </c>
      <c r="AN3537">
        <v>0</v>
      </c>
      <c r="AO3537">
        <v>0</v>
      </c>
      <c r="AP3537">
        <v>0</v>
      </c>
      <c r="AQ3537">
        <v>0</v>
      </c>
      <c r="AS3537">
        <v>0</v>
      </c>
      <c r="AT3537">
        <v>0</v>
      </c>
      <c r="AV3537">
        <v>0</v>
      </c>
      <c r="AW3537">
        <v>0</v>
      </c>
      <c r="AY3537">
        <v>0</v>
      </c>
      <c r="AZ3537">
        <v>0</v>
      </c>
      <c r="BA3537">
        <v>0</v>
      </c>
      <c r="BE3537" t="str">
        <f>T("9791137009370")</f>
        <v>9791137009370</v>
      </c>
      <c r="BF3537" t="str">
        <f>T("k131676")</f>
        <v>k131676</v>
      </c>
      <c r="BG3537" t="str">
        <f>T("판타지 웹소설 &gt; 퓨전 판타지")</f>
        <v>판타지 웹소설 &gt; 퓨전 판타지</v>
      </c>
    </row>
    <row r="3538" spans="1:59">
      <c r="A3538" t="s">
        <v>60</v>
      </c>
      <c r="B3538" s="1">
        <v>46130</v>
      </c>
      <c r="C3538">
        <v>2378071524</v>
      </c>
      <c r="D3538">
        <v>2378071525</v>
      </c>
      <c r="E3538" t="str">
        <f>T("불사자에게는 수호령이 있었다 2화")</f>
        <v>불사자에게는 수호령이 있었다 2화</v>
      </c>
      <c r="F3538">
        <v>2</v>
      </c>
      <c r="G3538" t="str">
        <f>T("덴피")</f>
        <v>덴피</v>
      </c>
      <c r="J3538" t="str">
        <f>T("매드햇")</f>
        <v>매드햇</v>
      </c>
      <c r="K3538" t="str">
        <f>T("불사자에게는 수호령이 있었다")</f>
        <v>불사자에게는 수호령이 있었다</v>
      </c>
      <c r="L3538">
        <v>0</v>
      </c>
      <c r="M3538">
        <v>0</v>
      </c>
      <c r="N3538">
        <v>0</v>
      </c>
      <c r="O3538">
        <v>1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0</v>
      </c>
      <c r="AH3538">
        <v>0</v>
      </c>
      <c r="AI3538">
        <v>0</v>
      </c>
      <c r="AJ3538">
        <v>1</v>
      </c>
      <c r="AK3538">
        <v>0</v>
      </c>
      <c r="AL3538">
        <v>0</v>
      </c>
      <c r="AM3538">
        <v>0</v>
      </c>
      <c r="AN3538">
        <v>0</v>
      </c>
      <c r="AO3538">
        <v>0</v>
      </c>
      <c r="AP3538">
        <v>0</v>
      </c>
      <c r="AQ3538">
        <v>0</v>
      </c>
      <c r="AS3538">
        <v>0</v>
      </c>
      <c r="AT3538">
        <v>0</v>
      </c>
      <c r="AV3538">
        <v>0</v>
      </c>
      <c r="AW3538">
        <v>0</v>
      </c>
      <c r="AY3538">
        <v>0</v>
      </c>
      <c r="AZ3538">
        <v>0</v>
      </c>
      <c r="BA3538">
        <v>0</v>
      </c>
      <c r="BE3538" t="str">
        <f>T("9791137009370")</f>
        <v>9791137009370</v>
      </c>
      <c r="BF3538" t="str">
        <f>T("k131677")</f>
        <v>k131677</v>
      </c>
      <c r="BG3538" t="str">
        <f>T("판타지 웹소설 &gt; 퓨전 판타지")</f>
        <v>판타지 웹소설 &gt; 퓨전 판타지</v>
      </c>
    </row>
    <row r="3539" spans="1:59">
      <c r="A3539" t="s">
        <v>60</v>
      </c>
      <c r="B3539" s="1">
        <v>46130</v>
      </c>
      <c r="C3539">
        <v>2378071524</v>
      </c>
      <c r="D3539">
        <v>2378071526</v>
      </c>
      <c r="E3539" t="str">
        <f>T("불사자에게는 수호령이 있었다 3화")</f>
        <v>불사자에게는 수호령이 있었다 3화</v>
      </c>
      <c r="F3539">
        <v>3</v>
      </c>
      <c r="G3539" t="str">
        <f>T("덴피")</f>
        <v>덴피</v>
      </c>
      <c r="J3539" t="str">
        <f>T("매드햇")</f>
        <v>매드햇</v>
      </c>
      <c r="K3539" t="str">
        <f>T("불사자에게는 수호령이 있었다")</f>
        <v>불사자에게는 수호령이 있었다</v>
      </c>
      <c r="L3539">
        <v>0</v>
      </c>
      <c r="M3539">
        <v>0</v>
      </c>
      <c r="N3539">
        <v>0</v>
      </c>
      <c r="O3539">
        <v>1</v>
      </c>
      <c r="P3539">
        <v>0</v>
      </c>
      <c r="Q3539">
        <v>0</v>
      </c>
      <c r="R3539">
        <v>0</v>
      </c>
      <c r="S3539">
        <v>0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0</v>
      </c>
      <c r="AF3539">
        <v>0</v>
      </c>
      <c r="AG3539">
        <v>0</v>
      </c>
      <c r="AH3539">
        <v>0</v>
      </c>
      <c r="AI3539">
        <v>0</v>
      </c>
      <c r="AJ3539">
        <v>1</v>
      </c>
      <c r="AK3539">
        <v>0</v>
      </c>
      <c r="AL3539">
        <v>0</v>
      </c>
      <c r="AM3539">
        <v>0</v>
      </c>
      <c r="AN3539">
        <v>0</v>
      </c>
      <c r="AO3539">
        <v>0</v>
      </c>
      <c r="AP3539">
        <v>0</v>
      </c>
      <c r="AQ3539">
        <v>0</v>
      </c>
      <c r="AS3539">
        <v>0</v>
      </c>
      <c r="AT3539">
        <v>0</v>
      </c>
      <c r="AV3539">
        <v>0</v>
      </c>
      <c r="AW3539">
        <v>0</v>
      </c>
      <c r="AY3539">
        <v>0</v>
      </c>
      <c r="AZ3539">
        <v>0</v>
      </c>
      <c r="BA3539">
        <v>0</v>
      </c>
      <c r="BE3539" t="str">
        <f>T("9791137009370")</f>
        <v>9791137009370</v>
      </c>
      <c r="BF3539" t="str">
        <f>T("k131678")</f>
        <v>k131678</v>
      </c>
      <c r="BG3539" t="str">
        <f>T("판타지 웹소설 &gt; 퓨전 판타지")</f>
        <v>판타지 웹소설 &gt; 퓨전 판타지</v>
      </c>
    </row>
    <row r="3540" spans="1:59">
      <c r="A3540" t="s">
        <v>60</v>
      </c>
      <c r="B3540" s="1">
        <v>46130</v>
      </c>
      <c r="C3540">
        <v>2378071524</v>
      </c>
      <c r="D3540">
        <v>2378071527</v>
      </c>
      <c r="E3540" t="str">
        <f>T("불사자에게는 수호령이 있었다 4화")</f>
        <v>불사자에게는 수호령이 있었다 4화</v>
      </c>
      <c r="F3540">
        <v>4</v>
      </c>
      <c r="G3540" t="str">
        <f>T("덴피")</f>
        <v>덴피</v>
      </c>
      <c r="J3540" t="str">
        <f>T("매드햇")</f>
        <v>매드햇</v>
      </c>
      <c r="K3540" t="str">
        <f>T("불사자에게는 수호령이 있었다")</f>
        <v>불사자에게는 수호령이 있었다</v>
      </c>
      <c r="L3540">
        <v>0</v>
      </c>
      <c r="M3540">
        <v>0</v>
      </c>
      <c r="N3540">
        <v>0</v>
      </c>
      <c r="O3540">
        <v>1</v>
      </c>
      <c r="P3540">
        <v>0</v>
      </c>
      <c r="Q3540">
        <v>0</v>
      </c>
      <c r="R3540">
        <v>0</v>
      </c>
      <c r="S3540">
        <v>0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0</v>
      </c>
      <c r="AH3540">
        <v>0</v>
      </c>
      <c r="AI3540">
        <v>0</v>
      </c>
      <c r="AJ3540">
        <v>1</v>
      </c>
      <c r="AK3540">
        <v>0</v>
      </c>
      <c r="AL3540">
        <v>0</v>
      </c>
      <c r="AM3540">
        <v>0</v>
      </c>
      <c r="AN3540">
        <v>0</v>
      </c>
      <c r="AO3540">
        <v>0</v>
      </c>
      <c r="AP3540">
        <v>0</v>
      </c>
      <c r="AQ3540">
        <v>0</v>
      </c>
      <c r="AS3540">
        <v>0</v>
      </c>
      <c r="AT3540">
        <v>0</v>
      </c>
      <c r="AV3540">
        <v>0</v>
      </c>
      <c r="AW3540">
        <v>0</v>
      </c>
      <c r="AY3540">
        <v>0</v>
      </c>
      <c r="AZ3540">
        <v>0</v>
      </c>
      <c r="BA3540">
        <v>0</v>
      </c>
      <c r="BE3540" t="str">
        <f>T("9791137009370")</f>
        <v>9791137009370</v>
      </c>
      <c r="BF3540" t="str">
        <f>T("k131679")</f>
        <v>k131679</v>
      </c>
      <c r="BG3540" t="str">
        <f>T("판타지 웹소설 &gt; 퓨전 판타지")</f>
        <v>판타지 웹소설 &gt; 퓨전 판타지</v>
      </c>
    </row>
    <row r="3541" spans="1:59">
      <c r="A3541" t="s">
        <v>60</v>
      </c>
      <c r="B3541" s="1">
        <v>46130</v>
      </c>
      <c r="C3541">
        <v>2378071524</v>
      </c>
      <c r="D3541">
        <v>2378071528</v>
      </c>
      <c r="E3541" t="str">
        <f>T("불사자에게는 수호령이 있었다 5화")</f>
        <v>불사자에게는 수호령이 있었다 5화</v>
      </c>
      <c r="F3541">
        <v>5</v>
      </c>
      <c r="G3541" t="str">
        <f>T("덴피")</f>
        <v>덴피</v>
      </c>
      <c r="J3541" t="str">
        <f>T("매드햇")</f>
        <v>매드햇</v>
      </c>
      <c r="K3541" t="str">
        <f>T("불사자에게는 수호령이 있었다")</f>
        <v>불사자에게는 수호령이 있었다</v>
      </c>
      <c r="L3541">
        <v>0</v>
      </c>
      <c r="M3541">
        <v>0</v>
      </c>
      <c r="N3541">
        <v>0</v>
      </c>
      <c r="O3541">
        <v>1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0</v>
      </c>
      <c r="AH3541">
        <v>0</v>
      </c>
      <c r="AI3541">
        <v>0</v>
      </c>
      <c r="AJ3541">
        <v>1</v>
      </c>
      <c r="AK3541">
        <v>0</v>
      </c>
      <c r="AL3541">
        <v>0</v>
      </c>
      <c r="AM3541">
        <v>0</v>
      </c>
      <c r="AN3541">
        <v>0</v>
      </c>
      <c r="AO3541">
        <v>0</v>
      </c>
      <c r="AP3541">
        <v>0</v>
      </c>
      <c r="AQ3541">
        <v>0</v>
      </c>
      <c r="AS3541">
        <v>0</v>
      </c>
      <c r="AT3541">
        <v>0</v>
      </c>
      <c r="AV3541">
        <v>0</v>
      </c>
      <c r="AW3541">
        <v>0</v>
      </c>
      <c r="AY3541">
        <v>0</v>
      </c>
      <c r="AZ3541">
        <v>0</v>
      </c>
      <c r="BA3541">
        <v>0</v>
      </c>
      <c r="BE3541" t="str">
        <f>T("9791137009370")</f>
        <v>9791137009370</v>
      </c>
      <c r="BF3541" t="str">
        <f>T("k131680")</f>
        <v>k131680</v>
      </c>
      <c r="BG3541" t="str">
        <f>T("판타지 웹소설 &gt; 퓨전 판타지")</f>
        <v>판타지 웹소설 &gt; 퓨전 판타지</v>
      </c>
    </row>
    <row r="3542" spans="1:59">
      <c r="A3542" t="s">
        <v>60</v>
      </c>
      <c r="B3542" s="1">
        <v>46130</v>
      </c>
      <c r="C3542">
        <v>2378071524</v>
      </c>
      <c r="D3542">
        <v>2378071529</v>
      </c>
      <c r="E3542" t="str">
        <f>T("불사자에게는 수호령이 있었다 6화")</f>
        <v>불사자에게는 수호령이 있었다 6화</v>
      </c>
      <c r="F3542">
        <v>6</v>
      </c>
      <c r="G3542" t="str">
        <f>T("덴피")</f>
        <v>덴피</v>
      </c>
      <c r="J3542" t="str">
        <f>T("매드햇")</f>
        <v>매드햇</v>
      </c>
      <c r="K3542" t="str">
        <f>T("불사자에게는 수호령이 있었다")</f>
        <v>불사자에게는 수호령이 있었다</v>
      </c>
      <c r="L3542">
        <v>0</v>
      </c>
      <c r="M3542">
        <v>0</v>
      </c>
      <c r="N3542">
        <v>0</v>
      </c>
      <c r="O3542">
        <v>1</v>
      </c>
      <c r="P3542">
        <v>0</v>
      </c>
      <c r="Q3542">
        <v>0</v>
      </c>
      <c r="R3542">
        <v>0</v>
      </c>
      <c r="S3542">
        <v>0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0</v>
      </c>
      <c r="AF3542">
        <v>0</v>
      </c>
      <c r="AG3542">
        <v>0</v>
      </c>
      <c r="AH3542">
        <v>0</v>
      </c>
      <c r="AI3542">
        <v>0</v>
      </c>
      <c r="AJ3542">
        <v>1</v>
      </c>
      <c r="AK3542">
        <v>0</v>
      </c>
      <c r="AL3542">
        <v>0</v>
      </c>
      <c r="AM3542">
        <v>0</v>
      </c>
      <c r="AN3542">
        <v>0</v>
      </c>
      <c r="AO3542">
        <v>0</v>
      </c>
      <c r="AP3542">
        <v>0</v>
      </c>
      <c r="AQ3542">
        <v>0</v>
      </c>
      <c r="AS3542">
        <v>0</v>
      </c>
      <c r="AT3542">
        <v>0</v>
      </c>
      <c r="AV3542">
        <v>0</v>
      </c>
      <c r="AW3542">
        <v>0</v>
      </c>
      <c r="AY3542">
        <v>0</v>
      </c>
      <c r="AZ3542">
        <v>0</v>
      </c>
      <c r="BA3542">
        <v>0</v>
      </c>
      <c r="BE3542" t="str">
        <f>T("9791137009370")</f>
        <v>9791137009370</v>
      </c>
      <c r="BF3542" t="str">
        <f>T("k131681")</f>
        <v>k131681</v>
      </c>
      <c r="BG3542" t="str">
        <f>T("판타지 웹소설 &gt; 퓨전 판타지")</f>
        <v>판타지 웹소설 &gt; 퓨전 판타지</v>
      </c>
    </row>
    <row r="3543" spans="1:59">
      <c r="A3543" t="s">
        <v>60</v>
      </c>
      <c r="B3543" s="1">
        <v>46130</v>
      </c>
      <c r="C3543">
        <v>2378071524</v>
      </c>
      <c r="D3543">
        <v>2378071530</v>
      </c>
      <c r="E3543" t="str">
        <f>T("불사자에게는 수호령이 있었다 7화")</f>
        <v>불사자에게는 수호령이 있었다 7화</v>
      </c>
      <c r="F3543">
        <v>7</v>
      </c>
      <c r="G3543" t="str">
        <f>T("덴피")</f>
        <v>덴피</v>
      </c>
      <c r="J3543" t="str">
        <f>T("매드햇")</f>
        <v>매드햇</v>
      </c>
      <c r="K3543" t="str">
        <f>T("불사자에게는 수호령이 있었다")</f>
        <v>불사자에게는 수호령이 있었다</v>
      </c>
      <c r="L3543">
        <v>0</v>
      </c>
      <c r="M3543">
        <v>0</v>
      </c>
      <c r="N3543">
        <v>0</v>
      </c>
      <c r="O3543">
        <v>1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0</v>
      </c>
      <c r="AH3543">
        <v>0</v>
      </c>
      <c r="AI3543">
        <v>0</v>
      </c>
      <c r="AJ3543">
        <v>1</v>
      </c>
      <c r="AK3543">
        <v>0</v>
      </c>
      <c r="AL3543">
        <v>0</v>
      </c>
      <c r="AM3543">
        <v>0</v>
      </c>
      <c r="AN3543">
        <v>0</v>
      </c>
      <c r="AO3543">
        <v>0</v>
      </c>
      <c r="AP3543">
        <v>0</v>
      </c>
      <c r="AQ3543">
        <v>0</v>
      </c>
      <c r="AS3543">
        <v>0</v>
      </c>
      <c r="AT3543">
        <v>0</v>
      </c>
      <c r="AV3543">
        <v>0</v>
      </c>
      <c r="AW3543">
        <v>0</v>
      </c>
      <c r="AY3543">
        <v>0</v>
      </c>
      <c r="AZ3543">
        <v>0</v>
      </c>
      <c r="BA3543">
        <v>0</v>
      </c>
      <c r="BE3543" t="str">
        <f>T("9791137009370")</f>
        <v>9791137009370</v>
      </c>
      <c r="BF3543" t="str">
        <f>T("k131682")</f>
        <v>k131682</v>
      </c>
      <c r="BG3543" t="str">
        <f>T("판타지 웹소설 &gt; 퓨전 판타지")</f>
        <v>판타지 웹소설 &gt; 퓨전 판타지</v>
      </c>
    </row>
    <row r="3544" spans="1:59">
      <c r="A3544" t="s">
        <v>60</v>
      </c>
      <c r="B3544" s="1">
        <v>46130</v>
      </c>
      <c r="C3544">
        <v>2378071524</v>
      </c>
      <c r="D3544">
        <v>2378071531</v>
      </c>
      <c r="E3544" t="str">
        <f>T("불사자에게는 수호령이 있었다 8화")</f>
        <v>불사자에게는 수호령이 있었다 8화</v>
      </c>
      <c r="F3544">
        <v>8</v>
      </c>
      <c r="G3544" t="str">
        <f>T("덴피")</f>
        <v>덴피</v>
      </c>
      <c r="J3544" t="str">
        <f>T("매드햇")</f>
        <v>매드햇</v>
      </c>
      <c r="K3544" t="str">
        <f>T("불사자에게는 수호령이 있었다")</f>
        <v>불사자에게는 수호령이 있었다</v>
      </c>
      <c r="L3544">
        <v>0</v>
      </c>
      <c r="M3544">
        <v>0</v>
      </c>
      <c r="N3544">
        <v>0</v>
      </c>
      <c r="O3544">
        <v>1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0</v>
      </c>
      <c r="AH3544">
        <v>0</v>
      </c>
      <c r="AI3544">
        <v>0</v>
      </c>
      <c r="AJ3544">
        <v>1</v>
      </c>
      <c r="AK3544">
        <v>0</v>
      </c>
      <c r="AL3544">
        <v>0</v>
      </c>
      <c r="AM3544">
        <v>0</v>
      </c>
      <c r="AN3544">
        <v>0</v>
      </c>
      <c r="AO3544">
        <v>0</v>
      </c>
      <c r="AP3544">
        <v>0</v>
      </c>
      <c r="AQ3544">
        <v>0</v>
      </c>
      <c r="AS3544">
        <v>0</v>
      </c>
      <c r="AT3544">
        <v>0</v>
      </c>
      <c r="AV3544">
        <v>0</v>
      </c>
      <c r="AW3544">
        <v>0</v>
      </c>
      <c r="AY3544">
        <v>0</v>
      </c>
      <c r="AZ3544">
        <v>0</v>
      </c>
      <c r="BA3544">
        <v>0</v>
      </c>
      <c r="BE3544" t="str">
        <f>T("9791137009370")</f>
        <v>9791137009370</v>
      </c>
      <c r="BF3544" t="str">
        <f>T("k131683")</f>
        <v>k131683</v>
      </c>
      <c r="BG3544" t="str">
        <f>T("판타지 웹소설 &gt; 퓨전 판타지")</f>
        <v>판타지 웹소설 &gt; 퓨전 판타지</v>
      </c>
    </row>
    <row r="3545" spans="1:59">
      <c r="A3545" t="s">
        <v>60</v>
      </c>
      <c r="B3545" s="1">
        <v>46130</v>
      </c>
      <c r="C3545">
        <v>2378071524</v>
      </c>
      <c r="D3545">
        <v>2378071532</v>
      </c>
      <c r="E3545" t="str">
        <f>T("불사자에게는 수호령이 있었다 9화")</f>
        <v>불사자에게는 수호령이 있었다 9화</v>
      </c>
      <c r="F3545">
        <v>9</v>
      </c>
      <c r="G3545" t="str">
        <f>T("덴피")</f>
        <v>덴피</v>
      </c>
      <c r="J3545" t="str">
        <f>T("매드햇")</f>
        <v>매드햇</v>
      </c>
      <c r="K3545" t="str">
        <f>T("불사자에게는 수호령이 있었다")</f>
        <v>불사자에게는 수호령이 있었다</v>
      </c>
      <c r="L3545">
        <v>0</v>
      </c>
      <c r="M3545">
        <v>0</v>
      </c>
      <c r="N3545">
        <v>0</v>
      </c>
      <c r="O3545">
        <v>1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0</v>
      </c>
      <c r="AH3545">
        <v>0</v>
      </c>
      <c r="AI3545">
        <v>0</v>
      </c>
      <c r="AJ3545">
        <v>1</v>
      </c>
      <c r="AK3545">
        <v>0</v>
      </c>
      <c r="AL3545">
        <v>0</v>
      </c>
      <c r="AM3545">
        <v>0</v>
      </c>
      <c r="AN3545">
        <v>0</v>
      </c>
      <c r="AO3545">
        <v>0</v>
      </c>
      <c r="AP3545">
        <v>0</v>
      </c>
      <c r="AQ3545">
        <v>0</v>
      </c>
      <c r="AS3545">
        <v>0</v>
      </c>
      <c r="AT3545">
        <v>0</v>
      </c>
      <c r="AV3545">
        <v>0</v>
      </c>
      <c r="AW3545">
        <v>0</v>
      </c>
      <c r="AY3545">
        <v>0</v>
      </c>
      <c r="AZ3545">
        <v>0</v>
      </c>
      <c r="BA3545">
        <v>0</v>
      </c>
      <c r="BE3545" t="str">
        <f>T("9791137009370")</f>
        <v>9791137009370</v>
      </c>
      <c r="BF3545" t="str">
        <f>T("k131684")</f>
        <v>k131684</v>
      </c>
      <c r="BG3545" t="str">
        <f>T("판타지 웹소설 &gt; 퓨전 판타지")</f>
        <v>판타지 웹소설 &gt; 퓨전 판타지</v>
      </c>
    </row>
    <row r="3546" spans="1:59">
      <c r="A3546" t="s">
        <v>60</v>
      </c>
      <c r="B3546" s="1">
        <v>46130</v>
      </c>
      <c r="C3546">
        <v>2378071524</v>
      </c>
      <c r="D3546">
        <v>2378071533</v>
      </c>
      <c r="E3546" t="str">
        <f>T("불사자에게는 수호령이 있었다 10화")</f>
        <v>불사자에게는 수호령이 있었다 10화</v>
      </c>
      <c r="F3546">
        <v>10</v>
      </c>
      <c r="G3546" t="str">
        <f>T("덴피")</f>
        <v>덴피</v>
      </c>
      <c r="J3546" t="str">
        <f>T("매드햇")</f>
        <v>매드햇</v>
      </c>
      <c r="K3546" t="str">
        <f>T("불사자에게는 수호령이 있었다")</f>
        <v>불사자에게는 수호령이 있었다</v>
      </c>
      <c r="L3546">
        <v>0</v>
      </c>
      <c r="M3546">
        <v>0</v>
      </c>
      <c r="N3546">
        <v>0</v>
      </c>
      <c r="O3546">
        <v>1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0</v>
      </c>
      <c r="AH3546">
        <v>0</v>
      </c>
      <c r="AI3546">
        <v>0</v>
      </c>
      <c r="AJ3546">
        <v>1</v>
      </c>
      <c r="AK3546">
        <v>0</v>
      </c>
      <c r="AL3546">
        <v>0</v>
      </c>
      <c r="AM3546">
        <v>0</v>
      </c>
      <c r="AN3546">
        <v>0</v>
      </c>
      <c r="AO3546">
        <v>0</v>
      </c>
      <c r="AP3546">
        <v>0</v>
      </c>
      <c r="AQ3546">
        <v>0</v>
      </c>
      <c r="AS3546">
        <v>0</v>
      </c>
      <c r="AT3546">
        <v>0</v>
      </c>
      <c r="AV3546">
        <v>0</v>
      </c>
      <c r="AW3546">
        <v>0</v>
      </c>
      <c r="AY3546">
        <v>0</v>
      </c>
      <c r="AZ3546">
        <v>0</v>
      </c>
      <c r="BA3546">
        <v>0</v>
      </c>
      <c r="BE3546" t="str">
        <f>T("9791137009370")</f>
        <v>9791137009370</v>
      </c>
      <c r="BF3546" t="str">
        <f>T("k131685")</f>
        <v>k131685</v>
      </c>
      <c r="BG3546" t="str">
        <f>T("판타지 웹소설 &gt; 퓨전 판타지")</f>
        <v>판타지 웹소설 &gt; 퓨전 판타지</v>
      </c>
    </row>
    <row r="3547" spans="1:59">
      <c r="A3547" t="s">
        <v>60</v>
      </c>
      <c r="B3547" s="1">
        <v>46130</v>
      </c>
      <c r="C3547">
        <v>2378071524</v>
      </c>
      <c r="D3547">
        <v>2378071534</v>
      </c>
      <c r="E3547" t="str">
        <f>T("불사자에게는 수호령이 있었다 11화")</f>
        <v>불사자에게는 수호령이 있었다 11화</v>
      </c>
      <c r="F3547">
        <v>11</v>
      </c>
      <c r="G3547" t="str">
        <f>T("덴피")</f>
        <v>덴피</v>
      </c>
      <c r="J3547" t="str">
        <f>T("매드햇")</f>
        <v>매드햇</v>
      </c>
      <c r="K3547" t="str">
        <f>T("불사자에게는 수호령이 있었다")</f>
        <v>불사자에게는 수호령이 있었다</v>
      </c>
      <c r="L3547">
        <v>0</v>
      </c>
      <c r="M3547">
        <v>0</v>
      </c>
      <c r="N3547">
        <v>0</v>
      </c>
      <c r="O3547">
        <v>1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0</v>
      </c>
      <c r="AF3547">
        <v>0</v>
      </c>
      <c r="AG3547">
        <v>0</v>
      </c>
      <c r="AH3547">
        <v>0</v>
      </c>
      <c r="AI3547">
        <v>0</v>
      </c>
      <c r="AJ3547">
        <v>1</v>
      </c>
      <c r="AK3547">
        <v>0</v>
      </c>
      <c r="AL3547">
        <v>0</v>
      </c>
      <c r="AM3547">
        <v>0</v>
      </c>
      <c r="AN3547">
        <v>0</v>
      </c>
      <c r="AO3547">
        <v>0</v>
      </c>
      <c r="AP3547">
        <v>0</v>
      </c>
      <c r="AQ3547">
        <v>0</v>
      </c>
      <c r="AS3547">
        <v>0</v>
      </c>
      <c r="AT3547">
        <v>0</v>
      </c>
      <c r="AV3547">
        <v>0</v>
      </c>
      <c r="AW3547">
        <v>0</v>
      </c>
      <c r="AY3547">
        <v>0</v>
      </c>
      <c r="AZ3547">
        <v>0</v>
      </c>
      <c r="BA3547">
        <v>0</v>
      </c>
      <c r="BE3547" t="str">
        <f>T("9791137009370")</f>
        <v>9791137009370</v>
      </c>
      <c r="BF3547" t="str">
        <f>T("k131686")</f>
        <v>k131686</v>
      </c>
      <c r="BG3547" t="str">
        <f>T("판타지 웹소설 &gt; 퓨전 판타지")</f>
        <v>판타지 웹소설 &gt; 퓨전 판타지</v>
      </c>
    </row>
    <row r="3548" spans="1:59">
      <c r="A3548" t="s">
        <v>60</v>
      </c>
      <c r="B3548" s="1">
        <v>46130</v>
      </c>
      <c r="C3548">
        <v>2378071524</v>
      </c>
      <c r="D3548">
        <v>2378071535</v>
      </c>
      <c r="E3548" t="str">
        <f>T("불사자에게는 수호령이 있었다 12화")</f>
        <v>불사자에게는 수호령이 있었다 12화</v>
      </c>
      <c r="F3548">
        <v>12</v>
      </c>
      <c r="G3548" t="str">
        <f>T("덴피")</f>
        <v>덴피</v>
      </c>
      <c r="J3548" t="str">
        <f>T("매드햇")</f>
        <v>매드햇</v>
      </c>
      <c r="K3548" t="str">
        <f>T("불사자에게는 수호령이 있었다")</f>
        <v>불사자에게는 수호령이 있었다</v>
      </c>
      <c r="L3548">
        <v>0</v>
      </c>
      <c r="M3548">
        <v>0</v>
      </c>
      <c r="N3548">
        <v>0</v>
      </c>
      <c r="O3548">
        <v>1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0</v>
      </c>
      <c r="AH3548">
        <v>0</v>
      </c>
      <c r="AI3548">
        <v>0</v>
      </c>
      <c r="AJ3548">
        <v>1</v>
      </c>
      <c r="AK3548">
        <v>0</v>
      </c>
      <c r="AL3548">
        <v>0</v>
      </c>
      <c r="AM3548">
        <v>0</v>
      </c>
      <c r="AN3548">
        <v>0</v>
      </c>
      <c r="AO3548">
        <v>0</v>
      </c>
      <c r="AP3548">
        <v>0</v>
      </c>
      <c r="AQ3548">
        <v>0</v>
      </c>
      <c r="AS3548">
        <v>0</v>
      </c>
      <c r="AT3548">
        <v>0</v>
      </c>
      <c r="AV3548">
        <v>0</v>
      </c>
      <c r="AW3548">
        <v>0</v>
      </c>
      <c r="AY3548">
        <v>0</v>
      </c>
      <c r="AZ3548">
        <v>0</v>
      </c>
      <c r="BA3548">
        <v>0</v>
      </c>
      <c r="BE3548" t="str">
        <f>T("9791137009370")</f>
        <v>9791137009370</v>
      </c>
      <c r="BF3548" t="str">
        <f>T("k131687")</f>
        <v>k131687</v>
      </c>
      <c r="BG3548" t="str">
        <f>T("판타지 웹소설 &gt; 퓨전 판타지")</f>
        <v>판타지 웹소설 &gt; 퓨전 판타지</v>
      </c>
    </row>
    <row r="3549" spans="1:59">
      <c r="A3549" t="s">
        <v>60</v>
      </c>
      <c r="B3549" s="1">
        <v>46130</v>
      </c>
      <c r="C3549">
        <v>2378071524</v>
      </c>
      <c r="D3549">
        <v>2378071842</v>
      </c>
      <c r="E3549" t="str">
        <f>T("불사자에게는 수호령이 있었다 319화 (완결)")</f>
        <v>불사자에게는 수호령이 있었다 319화 (완결)</v>
      </c>
      <c r="F3549">
        <v>319</v>
      </c>
      <c r="G3549" t="str">
        <f>T("덴피")</f>
        <v>덴피</v>
      </c>
      <c r="J3549" t="str">
        <f>T("매드햇")</f>
        <v>매드햇</v>
      </c>
      <c r="K3549" t="str">
        <f>T("불사자에게는 수호령이 있었다")</f>
        <v>불사자에게는 수호령이 있었다</v>
      </c>
      <c r="L3549">
        <v>100</v>
      </c>
      <c r="M3549">
        <v>100</v>
      </c>
      <c r="N3549">
        <v>1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0</v>
      </c>
      <c r="AH3549">
        <v>0</v>
      </c>
      <c r="AI3549">
        <v>100</v>
      </c>
      <c r="AJ3549">
        <v>1</v>
      </c>
      <c r="AK3549">
        <v>0</v>
      </c>
      <c r="AL3549">
        <v>0</v>
      </c>
      <c r="AM3549">
        <v>100</v>
      </c>
      <c r="AN3549">
        <v>0</v>
      </c>
      <c r="AO3549">
        <v>0</v>
      </c>
      <c r="AP3549">
        <v>0</v>
      </c>
      <c r="AQ3549">
        <v>0</v>
      </c>
      <c r="AS3549">
        <v>0</v>
      </c>
      <c r="AT3549">
        <v>0</v>
      </c>
      <c r="AV3549">
        <v>0</v>
      </c>
      <c r="AW3549">
        <v>0</v>
      </c>
      <c r="AY3549">
        <v>0</v>
      </c>
      <c r="AZ3549">
        <v>0</v>
      </c>
      <c r="BA3549">
        <v>70</v>
      </c>
      <c r="BE3549" t="str">
        <f>T("9791137009370")</f>
        <v>9791137009370</v>
      </c>
      <c r="BF3549" t="str">
        <f>T("k434403")</f>
        <v>k434403</v>
      </c>
      <c r="BG3549" t="str">
        <f>T("판타지 웹소설 &gt; 퓨전 판타지")</f>
        <v>판타지 웹소설 &gt; 퓨전 판타지</v>
      </c>
    </row>
    <row r="3550" spans="1:59">
      <c r="A3550" t="s">
        <v>60</v>
      </c>
      <c r="B3550" s="1">
        <v>46130</v>
      </c>
      <c r="C3550">
        <v>2378071524</v>
      </c>
      <c r="D3550">
        <v>2378071812</v>
      </c>
      <c r="E3550" t="str">
        <f>T("불사자에게는 수호령이 있었다 289화")</f>
        <v>불사자에게는 수호령이 있었다 289화</v>
      </c>
      <c r="F3550">
        <v>289</v>
      </c>
      <c r="G3550" t="str">
        <f>T("덴피")</f>
        <v>덴피</v>
      </c>
      <c r="J3550" t="str">
        <f>T("매드햇")</f>
        <v>매드햇</v>
      </c>
      <c r="K3550" t="str">
        <f>T("불사자에게는 수호령이 있었다")</f>
        <v>불사자에게는 수호령이 있었다</v>
      </c>
      <c r="L3550">
        <v>100</v>
      </c>
      <c r="M3550">
        <v>100</v>
      </c>
      <c r="N3550">
        <v>1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0</v>
      </c>
      <c r="AF3550">
        <v>0</v>
      </c>
      <c r="AG3550">
        <v>0</v>
      </c>
      <c r="AH3550">
        <v>0</v>
      </c>
      <c r="AI3550">
        <v>100</v>
      </c>
      <c r="AJ3550">
        <v>1</v>
      </c>
      <c r="AK3550">
        <v>0</v>
      </c>
      <c r="AL3550">
        <v>0</v>
      </c>
      <c r="AM3550">
        <v>100</v>
      </c>
      <c r="AN3550">
        <v>0</v>
      </c>
      <c r="AO3550">
        <v>0</v>
      </c>
      <c r="AP3550">
        <v>0</v>
      </c>
      <c r="AQ3550">
        <v>0</v>
      </c>
      <c r="AS3550">
        <v>0</v>
      </c>
      <c r="AT3550">
        <v>0</v>
      </c>
      <c r="AV3550">
        <v>0</v>
      </c>
      <c r="AW3550">
        <v>0</v>
      </c>
      <c r="AY3550">
        <v>0</v>
      </c>
      <c r="AZ3550">
        <v>0</v>
      </c>
      <c r="BA3550">
        <v>70</v>
      </c>
      <c r="BE3550" t="str">
        <f>T("9791137009370")</f>
        <v>9791137009370</v>
      </c>
      <c r="BF3550" t="str">
        <f>T("k402248")</f>
        <v>k402248</v>
      </c>
      <c r="BG3550" t="str">
        <f>T("판타지 웹소설 &gt; 퓨전 판타지")</f>
        <v>판타지 웹소설 &gt; 퓨전 판타지</v>
      </c>
    </row>
    <row r="3551" spans="1:59">
      <c r="A3551" t="s">
        <v>60</v>
      </c>
      <c r="B3551" s="1">
        <v>46130</v>
      </c>
      <c r="C3551">
        <v>2378071524</v>
      </c>
      <c r="D3551">
        <v>2378071813</v>
      </c>
      <c r="E3551" t="str">
        <f>T("불사자에게는 수호령이 있었다 290화")</f>
        <v>불사자에게는 수호령이 있었다 290화</v>
      </c>
      <c r="F3551">
        <v>290</v>
      </c>
      <c r="G3551" t="str">
        <f>T("덴피")</f>
        <v>덴피</v>
      </c>
      <c r="J3551" t="str">
        <f>T("매드햇")</f>
        <v>매드햇</v>
      </c>
      <c r="K3551" t="str">
        <f>T("불사자에게는 수호령이 있었다")</f>
        <v>불사자에게는 수호령이 있었다</v>
      </c>
      <c r="L3551">
        <v>100</v>
      </c>
      <c r="M3551">
        <v>100</v>
      </c>
      <c r="N3551">
        <v>1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0</v>
      </c>
      <c r="AH3551">
        <v>0</v>
      </c>
      <c r="AI3551">
        <v>100</v>
      </c>
      <c r="AJ3551">
        <v>1</v>
      </c>
      <c r="AK3551">
        <v>0</v>
      </c>
      <c r="AL3551">
        <v>0</v>
      </c>
      <c r="AM3551">
        <v>100</v>
      </c>
      <c r="AN3551">
        <v>0</v>
      </c>
      <c r="AO3551">
        <v>0</v>
      </c>
      <c r="AP3551">
        <v>0</v>
      </c>
      <c r="AQ3551">
        <v>0</v>
      </c>
      <c r="AS3551">
        <v>0</v>
      </c>
      <c r="AT3551">
        <v>0</v>
      </c>
      <c r="AV3551">
        <v>0</v>
      </c>
      <c r="AW3551">
        <v>0</v>
      </c>
      <c r="AY3551">
        <v>0</v>
      </c>
      <c r="AZ3551">
        <v>0</v>
      </c>
      <c r="BA3551">
        <v>70</v>
      </c>
      <c r="BE3551" t="str">
        <f>T("9791137009370")</f>
        <v>9791137009370</v>
      </c>
      <c r="BF3551" t="str">
        <f>T("k402249")</f>
        <v>k402249</v>
      </c>
      <c r="BG3551" t="str">
        <f>T("판타지 웹소설 &gt; 퓨전 판타지")</f>
        <v>판타지 웹소설 &gt; 퓨전 판타지</v>
      </c>
    </row>
    <row r="3552" spans="1:59">
      <c r="A3552" t="s">
        <v>60</v>
      </c>
      <c r="B3552" s="1">
        <v>46130</v>
      </c>
      <c r="C3552">
        <v>2378071524</v>
      </c>
      <c r="D3552">
        <v>2378071814</v>
      </c>
      <c r="E3552" t="str">
        <f>T("불사자에게는 수호령이 있었다 291화")</f>
        <v>불사자에게는 수호령이 있었다 291화</v>
      </c>
      <c r="F3552">
        <v>291</v>
      </c>
      <c r="G3552" t="str">
        <f>T("덴피")</f>
        <v>덴피</v>
      </c>
      <c r="J3552" t="str">
        <f>T("매드햇")</f>
        <v>매드햇</v>
      </c>
      <c r="K3552" t="str">
        <f>T("불사자에게는 수호령이 있었다")</f>
        <v>불사자에게는 수호령이 있었다</v>
      </c>
      <c r="L3552">
        <v>100</v>
      </c>
      <c r="M3552">
        <v>100</v>
      </c>
      <c r="N3552">
        <v>1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0</v>
      </c>
      <c r="AH3552">
        <v>0</v>
      </c>
      <c r="AI3552">
        <v>100</v>
      </c>
      <c r="AJ3552">
        <v>1</v>
      </c>
      <c r="AK3552">
        <v>0</v>
      </c>
      <c r="AL3552">
        <v>0</v>
      </c>
      <c r="AM3552">
        <v>100</v>
      </c>
      <c r="AN3552">
        <v>0</v>
      </c>
      <c r="AO3552">
        <v>0</v>
      </c>
      <c r="AP3552">
        <v>0</v>
      </c>
      <c r="AQ3552">
        <v>0</v>
      </c>
      <c r="AS3552">
        <v>0</v>
      </c>
      <c r="AT3552">
        <v>0</v>
      </c>
      <c r="AV3552">
        <v>0</v>
      </c>
      <c r="AW3552">
        <v>0</v>
      </c>
      <c r="AY3552">
        <v>0</v>
      </c>
      <c r="AZ3552">
        <v>0</v>
      </c>
      <c r="BA3552">
        <v>70</v>
      </c>
      <c r="BE3552" t="str">
        <f>T("9791137009370")</f>
        <v>9791137009370</v>
      </c>
      <c r="BF3552" t="str">
        <f>T("k407416")</f>
        <v>k407416</v>
      </c>
      <c r="BG3552" t="str">
        <f>T("판타지 웹소설 &gt; 퓨전 판타지")</f>
        <v>판타지 웹소설 &gt; 퓨전 판타지</v>
      </c>
    </row>
    <row r="3553" spans="1:59">
      <c r="A3553" t="s">
        <v>60</v>
      </c>
      <c r="B3553" s="1">
        <v>46130</v>
      </c>
      <c r="C3553">
        <v>2378071524</v>
      </c>
      <c r="D3553">
        <v>2378071815</v>
      </c>
      <c r="E3553" t="str">
        <f>T("불사자에게는 수호령이 있었다 292화")</f>
        <v>불사자에게는 수호령이 있었다 292화</v>
      </c>
      <c r="F3553">
        <v>292</v>
      </c>
      <c r="G3553" t="str">
        <f>T("덴피")</f>
        <v>덴피</v>
      </c>
      <c r="J3553" t="str">
        <f>T("매드햇")</f>
        <v>매드햇</v>
      </c>
      <c r="K3553" t="str">
        <f>T("불사자에게는 수호령이 있었다")</f>
        <v>불사자에게는 수호령이 있었다</v>
      </c>
      <c r="L3553">
        <v>100</v>
      </c>
      <c r="M3553">
        <v>100</v>
      </c>
      <c r="N3553">
        <v>1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0</v>
      </c>
      <c r="AF3553">
        <v>0</v>
      </c>
      <c r="AG3553">
        <v>0</v>
      </c>
      <c r="AH3553">
        <v>0</v>
      </c>
      <c r="AI3553">
        <v>100</v>
      </c>
      <c r="AJ3553">
        <v>1</v>
      </c>
      <c r="AK3553">
        <v>0</v>
      </c>
      <c r="AL3553">
        <v>0</v>
      </c>
      <c r="AM3553">
        <v>100</v>
      </c>
      <c r="AN3553">
        <v>0</v>
      </c>
      <c r="AO3553">
        <v>0</v>
      </c>
      <c r="AP3553">
        <v>0</v>
      </c>
      <c r="AQ3553">
        <v>0</v>
      </c>
      <c r="AS3553">
        <v>0</v>
      </c>
      <c r="AT3553">
        <v>0</v>
      </c>
      <c r="AV3553">
        <v>0</v>
      </c>
      <c r="AW3553">
        <v>0</v>
      </c>
      <c r="AY3553">
        <v>0</v>
      </c>
      <c r="AZ3553">
        <v>0</v>
      </c>
      <c r="BA3553">
        <v>70</v>
      </c>
      <c r="BE3553" t="str">
        <f>T("9791137009370")</f>
        <v>9791137009370</v>
      </c>
      <c r="BF3553" t="str">
        <f>T("k407417")</f>
        <v>k407417</v>
      </c>
      <c r="BG3553" t="str">
        <f>T("판타지 웹소설 &gt; 퓨전 판타지")</f>
        <v>판타지 웹소설 &gt; 퓨전 판타지</v>
      </c>
    </row>
    <row r="3554" spans="1:59">
      <c r="A3554" t="s">
        <v>60</v>
      </c>
      <c r="B3554" s="1">
        <v>46130</v>
      </c>
      <c r="C3554">
        <v>2378071524</v>
      </c>
      <c r="D3554">
        <v>2378071816</v>
      </c>
      <c r="E3554" t="str">
        <f>T("불사자에게는 수호령이 있었다 293화")</f>
        <v>불사자에게는 수호령이 있었다 293화</v>
      </c>
      <c r="F3554">
        <v>293</v>
      </c>
      <c r="G3554" t="str">
        <f>T("덴피")</f>
        <v>덴피</v>
      </c>
      <c r="J3554" t="str">
        <f>T("매드햇")</f>
        <v>매드햇</v>
      </c>
      <c r="K3554" t="str">
        <f>T("불사자에게는 수호령이 있었다")</f>
        <v>불사자에게는 수호령이 있었다</v>
      </c>
      <c r="L3554">
        <v>100</v>
      </c>
      <c r="M3554">
        <v>100</v>
      </c>
      <c r="N3554">
        <v>1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0</v>
      </c>
      <c r="AH3554">
        <v>0</v>
      </c>
      <c r="AI3554">
        <v>100</v>
      </c>
      <c r="AJ3554">
        <v>1</v>
      </c>
      <c r="AK3554">
        <v>0</v>
      </c>
      <c r="AL3554">
        <v>0</v>
      </c>
      <c r="AM3554">
        <v>100</v>
      </c>
      <c r="AN3554">
        <v>0</v>
      </c>
      <c r="AO3554">
        <v>0</v>
      </c>
      <c r="AP3554">
        <v>0</v>
      </c>
      <c r="AQ3554">
        <v>0</v>
      </c>
      <c r="AS3554">
        <v>0</v>
      </c>
      <c r="AT3554">
        <v>0</v>
      </c>
      <c r="AV3554">
        <v>0</v>
      </c>
      <c r="AW3554">
        <v>0</v>
      </c>
      <c r="AY3554">
        <v>0</v>
      </c>
      <c r="AZ3554">
        <v>0</v>
      </c>
      <c r="BA3554">
        <v>70</v>
      </c>
      <c r="BE3554" t="str">
        <f>T("9791137009370")</f>
        <v>9791137009370</v>
      </c>
      <c r="BF3554" t="str">
        <f>T("k407418")</f>
        <v>k407418</v>
      </c>
      <c r="BG3554" t="str">
        <f>T("판타지 웹소설 &gt; 퓨전 판타지")</f>
        <v>판타지 웹소설 &gt; 퓨전 판타지</v>
      </c>
    </row>
    <row r="3555" spans="1:59">
      <c r="A3555" t="s">
        <v>60</v>
      </c>
      <c r="B3555" s="1">
        <v>46130</v>
      </c>
      <c r="C3555">
        <v>2378071524</v>
      </c>
      <c r="D3555">
        <v>2378071817</v>
      </c>
      <c r="E3555" t="str">
        <f>T("불사자에게는 수호령이 있었다 294화")</f>
        <v>불사자에게는 수호령이 있었다 294화</v>
      </c>
      <c r="F3555">
        <v>294</v>
      </c>
      <c r="G3555" t="str">
        <f>T("덴피")</f>
        <v>덴피</v>
      </c>
      <c r="J3555" t="str">
        <f>T("매드햇")</f>
        <v>매드햇</v>
      </c>
      <c r="K3555" t="str">
        <f>T("불사자에게는 수호령이 있었다")</f>
        <v>불사자에게는 수호령이 있었다</v>
      </c>
      <c r="L3555">
        <v>100</v>
      </c>
      <c r="M3555">
        <v>100</v>
      </c>
      <c r="N3555">
        <v>1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0</v>
      </c>
      <c r="AH3555">
        <v>0</v>
      </c>
      <c r="AI3555">
        <v>100</v>
      </c>
      <c r="AJ3555">
        <v>1</v>
      </c>
      <c r="AK3555">
        <v>0</v>
      </c>
      <c r="AL3555">
        <v>0</v>
      </c>
      <c r="AM3555">
        <v>100</v>
      </c>
      <c r="AN3555">
        <v>0</v>
      </c>
      <c r="AO3555">
        <v>0</v>
      </c>
      <c r="AP3555">
        <v>0</v>
      </c>
      <c r="AQ3555">
        <v>0</v>
      </c>
      <c r="AS3555">
        <v>0</v>
      </c>
      <c r="AT3555">
        <v>0</v>
      </c>
      <c r="AV3555">
        <v>0</v>
      </c>
      <c r="AW3555">
        <v>0</v>
      </c>
      <c r="AY3555">
        <v>0</v>
      </c>
      <c r="AZ3555">
        <v>0</v>
      </c>
      <c r="BA3555">
        <v>70</v>
      </c>
      <c r="BE3555" t="str">
        <f>T("9791137009370")</f>
        <v>9791137009370</v>
      </c>
      <c r="BF3555" t="str">
        <f>T("k407419")</f>
        <v>k407419</v>
      </c>
      <c r="BG3555" t="str">
        <f>T("판타지 웹소설 &gt; 퓨전 판타지")</f>
        <v>판타지 웹소설 &gt; 퓨전 판타지</v>
      </c>
    </row>
    <row r="3556" spans="1:59">
      <c r="A3556" t="s">
        <v>60</v>
      </c>
      <c r="B3556" s="1">
        <v>46130</v>
      </c>
      <c r="C3556">
        <v>2378071524</v>
      </c>
      <c r="D3556">
        <v>2378071818</v>
      </c>
      <c r="E3556" t="str">
        <f>T("불사자에게는 수호령이 있었다 295화")</f>
        <v>불사자에게는 수호령이 있었다 295화</v>
      </c>
      <c r="F3556">
        <v>295</v>
      </c>
      <c r="G3556" t="str">
        <f>T("덴피")</f>
        <v>덴피</v>
      </c>
      <c r="J3556" t="str">
        <f>T("매드햇")</f>
        <v>매드햇</v>
      </c>
      <c r="K3556" t="str">
        <f>T("불사자에게는 수호령이 있었다")</f>
        <v>불사자에게는 수호령이 있었다</v>
      </c>
      <c r="L3556">
        <v>100</v>
      </c>
      <c r="M3556">
        <v>100</v>
      </c>
      <c r="N3556">
        <v>1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0</v>
      </c>
      <c r="AH3556">
        <v>0</v>
      </c>
      <c r="AI3556">
        <v>100</v>
      </c>
      <c r="AJ3556">
        <v>1</v>
      </c>
      <c r="AK3556">
        <v>0</v>
      </c>
      <c r="AL3556">
        <v>0</v>
      </c>
      <c r="AM3556">
        <v>100</v>
      </c>
      <c r="AN3556">
        <v>0</v>
      </c>
      <c r="AO3556">
        <v>0</v>
      </c>
      <c r="AP3556">
        <v>0</v>
      </c>
      <c r="AQ3556">
        <v>0</v>
      </c>
      <c r="AS3556">
        <v>0</v>
      </c>
      <c r="AT3556">
        <v>0</v>
      </c>
      <c r="AV3556">
        <v>0</v>
      </c>
      <c r="AW3556">
        <v>0</v>
      </c>
      <c r="AY3556">
        <v>0</v>
      </c>
      <c r="AZ3556">
        <v>0</v>
      </c>
      <c r="BA3556">
        <v>70</v>
      </c>
      <c r="BE3556" t="str">
        <f>T("9791137009370")</f>
        <v>9791137009370</v>
      </c>
      <c r="BF3556" t="str">
        <f>T("k410829")</f>
        <v>k410829</v>
      </c>
      <c r="BG3556" t="str">
        <f>T("판타지 웹소설 &gt; 퓨전 판타지")</f>
        <v>판타지 웹소설 &gt; 퓨전 판타지</v>
      </c>
    </row>
    <row r="3557" spans="1:59">
      <c r="A3557" t="s">
        <v>60</v>
      </c>
      <c r="B3557" s="1">
        <v>46130</v>
      </c>
      <c r="C3557">
        <v>2378071524</v>
      </c>
      <c r="D3557">
        <v>2378071819</v>
      </c>
      <c r="E3557" t="str">
        <f>T("불사자에게는 수호령이 있었다 296화")</f>
        <v>불사자에게는 수호령이 있었다 296화</v>
      </c>
      <c r="F3557">
        <v>296</v>
      </c>
      <c r="G3557" t="str">
        <f>T("덴피")</f>
        <v>덴피</v>
      </c>
      <c r="J3557" t="str">
        <f>T("매드햇")</f>
        <v>매드햇</v>
      </c>
      <c r="K3557" t="str">
        <f>T("불사자에게는 수호령이 있었다")</f>
        <v>불사자에게는 수호령이 있었다</v>
      </c>
      <c r="L3557">
        <v>100</v>
      </c>
      <c r="M3557">
        <v>100</v>
      </c>
      <c r="N3557">
        <v>1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0</v>
      </c>
      <c r="AH3557">
        <v>0</v>
      </c>
      <c r="AI3557">
        <v>100</v>
      </c>
      <c r="AJ3557">
        <v>1</v>
      </c>
      <c r="AK3557">
        <v>0</v>
      </c>
      <c r="AL3557">
        <v>0</v>
      </c>
      <c r="AM3557">
        <v>100</v>
      </c>
      <c r="AN3557">
        <v>0</v>
      </c>
      <c r="AO3557">
        <v>0</v>
      </c>
      <c r="AP3557">
        <v>0</v>
      </c>
      <c r="AQ3557">
        <v>0</v>
      </c>
      <c r="AS3557">
        <v>0</v>
      </c>
      <c r="AT3557">
        <v>0</v>
      </c>
      <c r="AV3557">
        <v>0</v>
      </c>
      <c r="AW3557">
        <v>0</v>
      </c>
      <c r="AY3557">
        <v>0</v>
      </c>
      <c r="AZ3557">
        <v>0</v>
      </c>
      <c r="BA3557">
        <v>70</v>
      </c>
      <c r="BE3557" t="str">
        <f>T("9791137009370")</f>
        <v>9791137009370</v>
      </c>
      <c r="BF3557" t="str">
        <f>T("k410830")</f>
        <v>k410830</v>
      </c>
      <c r="BG3557" t="str">
        <f>T("판타지 웹소설 &gt; 퓨전 판타지")</f>
        <v>판타지 웹소설 &gt; 퓨전 판타지</v>
      </c>
    </row>
    <row r="3558" spans="1:59">
      <c r="A3558" t="s">
        <v>60</v>
      </c>
      <c r="B3558" s="1">
        <v>46130</v>
      </c>
      <c r="C3558">
        <v>2378071524</v>
      </c>
      <c r="D3558">
        <v>2378071820</v>
      </c>
      <c r="E3558" t="str">
        <f>T("불사자에게는 수호령이 있었다 297화")</f>
        <v>불사자에게는 수호령이 있었다 297화</v>
      </c>
      <c r="F3558">
        <v>297</v>
      </c>
      <c r="G3558" t="str">
        <f>T("덴피")</f>
        <v>덴피</v>
      </c>
      <c r="J3558" t="str">
        <f>T("매드햇")</f>
        <v>매드햇</v>
      </c>
      <c r="K3558" t="str">
        <f>T("불사자에게는 수호령이 있었다")</f>
        <v>불사자에게는 수호령이 있었다</v>
      </c>
      <c r="L3558">
        <v>100</v>
      </c>
      <c r="M3558">
        <v>100</v>
      </c>
      <c r="N3558">
        <v>1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0</v>
      </c>
      <c r="AH3558">
        <v>0</v>
      </c>
      <c r="AI3558">
        <v>100</v>
      </c>
      <c r="AJ3558">
        <v>1</v>
      </c>
      <c r="AK3558">
        <v>0</v>
      </c>
      <c r="AL3558">
        <v>0</v>
      </c>
      <c r="AM3558">
        <v>100</v>
      </c>
      <c r="AN3558">
        <v>0</v>
      </c>
      <c r="AO3558">
        <v>0</v>
      </c>
      <c r="AP3558">
        <v>0</v>
      </c>
      <c r="AQ3558">
        <v>0</v>
      </c>
      <c r="AS3558">
        <v>0</v>
      </c>
      <c r="AT3558">
        <v>0</v>
      </c>
      <c r="AV3558">
        <v>0</v>
      </c>
      <c r="AW3558">
        <v>0</v>
      </c>
      <c r="AY3558">
        <v>0</v>
      </c>
      <c r="AZ3558">
        <v>0</v>
      </c>
      <c r="BA3558">
        <v>70</v>
      </c>
      <c r="BE3558" t="str">
        <f>T("9791137009370")</f>
        <v>9791137009370</v>
      </c>
      <c r="BF3558" t="str">
        <f>T("k410831")</f>
        <v>k410831</v>
      </c>
      <c r="BG3558" t="str">
        <f>T("판타지 웹소설 &gt; 퓨전 판타지")</f>
        <v>판타지 웹소설 &gt; 퓨전 판타지</v>
      </c>
    </row>
    <row r="3559" spans="1:59">
      <c r="A3559" t="s">
        <v>60</v>
      </c>
      <c r="B3559" s="1">
        <v>46130</v>
      </c>
      <c r="C3559">
        <v>2378071524</v>
      </c>
      <c r="D3559">
        <v>2378071821</v>
      </c>
      <c r="E3559" t="str">
        <f>T("불사자에게는 수호령이 있었다 298화")</f>
        <v>불사자에게는 수호령이 있었다 298화</v>
      </c>
      <c r="F3559">
        <v>298</v>
      </c>
      <c r="G3559" t="str">
        <f>T("덴피")</f>
        <v>덴피</v>
      </c>
      <c r="J3559" t="str">
        <f>T("매드햇")</f>
        <v>매드햇</v>
      </c>
      <c r="K3559" t="str">
        <f>T("불사자에게는 수호령이 있었다")</f>
        <v>불사자에게는 수호령이 있었다</v>
      </c>
      <c r="L3559">
        <v>100</v>
      </c>
      <c r="M3559">
        <v>100</v>
      </c>
      <c r="N3559">
        <v>1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0</v>
      </c>
      <c r="AH3559">
        <v>0</v>
      </c>
      <c r="AI3559">
        <v>100</v>
      </c>
      <c r="AJ3559">
        <v>1</v>
      </c>
      <c r="AK3559">
        <v>0</v>
      </c>
      <c r="AL3559">
        <v>0</v>
      </c>
      <c r="AM3559">
        <v>100</v>
      </c>
      <c r="AN3559">
        <v>0</v>
      </c>
      <c r="AO3559">
        <v>0</v>
      </c>
      <c r="AP3559">
        <v>0</v>
      </c>
      <c r="AQ3559">
        <v>0</v>
      </c>
      <c r="AS3559">
        <v>0</v>
      </c>
      <c r="AT3559">
        <v>0</v>
      </c>
      <c r="AV3559">
        <v>0</v>
      </c>
      <c r="AW3559">
        <v>0</v>
      </c>
      <c r="AY3559">
        <v>0</v>
      </c>
      <c r="AZ3559">
        <v>0</v>
      </c>
      <c r="BA3559">
        <v>70</v>
      </c>
      <c r="BE3559" t="str">
        <f>T("9791137009370")</f>
        <v>9791137009370</v>
      </c>
      <c r="BF3559" t="str">
        <f>T("k410832")</f>
        <v>k410832</v>
      </c>
      <c r="BG3559" t="str">
        <f>T("판타지 웹소설 &gt; 퓨전 판타지")</f>
        <v>판타지 웹소설 &gt; 퓨전 판타지</v>
      </c>
    </row>
    <row r="3560" spans="1:59">
      <c r="A3560" t="s">
        <v>60</v>
      </c>
      <c r="B3560" s="1">
        <v>46130</v>
      </c>
      <c r="C3560">
        <v>2378071524</v>
      </c>
      <c r="D3560">
        <v>2378071822</v>
      </c>
      <c r="E3560" t="str">
        <f>T("불사자에게는 수호령이 있었다 299화")</f>
        <v>불사자에게는 수호령이 있었다 299화</v>
      </c>
      <c r="F3560">
        <v>299</v>
      </c>
      <c r="G3560" t="str">
        <f>T("덴피")</f>
        <v>덴피</v>
      </c>
      <c r="J3560" t="str">
        <f>T("매드햇")</f>
        <v>매드햇</v>
      </c>
      <c r="K3560" t="str">
        <f>T("불사자에게는 수호령이 있었다")</f>
        <v>불사자에게는 수호령이 있었다</v>
      </c>
      <c r="L3560">
        <v>100</v>
      </c>
      <c r="M3560">
        <v>100</v>
      </c>
      <c r="N3560">
        <v>1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0</v>
      </c>
      <c r="AH3560">
        <v>0</v>
      </c>
      <c r="AI3560">
        <v>100</v>
      </c>
      <c r="AJ3560">
        <v>1</v>
      </c>
      <c r="AK3560">
        <v>0</v>
      </c>
      <c r="AL3560">
        <v>0</v>
      </c>
      <c r="AM3560">
        <v>100</v>
      </c>
      <c r="AN3560">
        <v>0</v>
      </c>
      <c r="AO3560">
        <v>0</v>
      </c>
      <c r="AP3560">
        <v>0</v>
      </c>
      <c r="AQ3560">
        <v>0</v>
      </c>
      <c r="AS3560">
        <v>0</v>
      </c>
      <c r="AT3560">
        <v>0</v>
      </c>
      <c r="AV3560">
        <v>0</v>
      </c>
      <c r="AW3560">
        <v>0</v>
      </c>
      <c r="AY3560">
        <v>0</v>
      </c>
      <c r="AZ3560">
        <v>0</v>
      </c>
      <c r="BA3560">
        <v>70</v>
      </c>
      <c r="BE3560" t="str">
        <f>T("9791137009370")</f>
        <v>9791137009370</v>
      </c>
      <c r="BF3560" t="str">
        <f>T("k416002")</f>
        <v>k416002</v>
      </c>
      <c r="BG3560" t="str">
        <f>T("판타지 웹소설 &gt; 퓨전 판타지")</f>
        <v>판타지 웹소설 &gt; 퓨전 판타지</v>
      </c>
    </row>
    <row r="3561" spans="1:59">
      <c r="A3561" t="s">
        <v>60</v>
      </c>
      <c r="B3561" s="1">
        <v>46130</v>
      </c>
      <c r="C3561">
        <v>2378071524</v>
      </c>
      <c r="D3561">
        <v>2378071823</v>
      </c>
      <c r="E3561" t="str">
        <f>T("불사자에게는 수호령이 있었다 300화")</f>
        <v>불사자에게는 수호령이 있었다 300화</v>
      </c>
      <c r="F3561">
        <v>300</v>
      </c>
      <c r="G3561" t="str">
        <f>T("덴피")</f>
        <v>덴피</v>
      </c>
      <c r="J3561" t="str">
        <f>T("매드햇")</f>
        <v>매드햇</v>
      </c>
      <c r="K3561" t="str">
        <f>T("불사자에게는 수호령이 있었다")</f>
        <v>불사자에게는 수호령이 있었다</v>
      </c>
      <c r="L3561">
        <v>100</v>
      </c>
      <c r="M3561">
        <v>100</v>
      </c>
      <c r="N3561">
        <v>1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0</v>
      </c>
      <c r="AH3561">
        <v>0</v>
      </c>
      <c r="AI3561">
        <v>100</v>
      </c>
      <c r="AJ3561">
        <v>1</v>
      </c>
      <c r="AK3561">
        <v>0</v>
      </c>
      <c r="AL3561">
        <v>0</v>
      </c>
      <c r="AM3561">
        <v>100</v>
      </c>
      <c r="AN3561">
        <v>0</v>
      </c>
      <c r="AO3561">
        <v>0</v>
      </c>
      <c r="AP3561">
        <v>0</v>
      </c>
      <c r="AQ3561">
        <v>0</v>
      </c>
      <c r="AS3561">
        <v>0</v>
      </c>
      <c r="AT3561">
        <v>0</v>
      </c>
      <c r="AV3561">
        <v>0</v>
      </c>
      <c r="AW3561">
        <v>0</v>
      </c>
      <c r="AY3561">
        <v>0</v>
      </c>
      <c r="AZ3561">
        <v>0</v>
      </c>
      <c r="BA3561">
        <v>70</v>
      </c>
      <c r="BE3561" t="str">
        <f>T("9791137009370")</f>
        <v>9791137009370</v>
      </c>
      <c r="BF3561" t="str">
        <f>T("k416003")</f>
        <v>k416003</v>
      </c>
      <c r="BG3561" t="str">
        <f>T("판타지 웹소설 &gt; 퓨전 판타지")</f>
        <v>판타지 웹소설 &gt; 퓨전 판타지</v>
      </c>
    </row>
    <row r="3562" spans="1:59">
      <c r="A3562" t="s">
        <v>60</v>
      </c>
      <c r="B3562" s="1">
        <v>46131</v>
      </c>
      <c r="C3562">
        <v>2378071524</v>
      </c>
      <c r="D3562">
        <v>2378071587</v>
      </c>
      <c r="E3562" t="str">
        <f>T("불사자에게는 수호령이 있었다 64화")</f>
        <v>불사자에게는 수호령이 있었다 64화</v>
      </c>
      <c r="F3562">
        <v>64</v>
      </c>
      <c r="G3562" t="str">
        <f>T("덴피")</f>
        <v>덴피</v>
      </c>
      <c r="J3562" t="str">
        <f>T("매드햇")</f>
        <v>매드햇</v>
      </c>
      <c r="K3562" t="str">
        <f>T("불사자에게는 수호령이 있었다")</f>
        <v>불사자에게는 수호령이 있었다</v>
      </c>
      <c r="L3562">
        <v>100</v>
      </c>
      <c r="M3562">
        <v>100</v>
      </c>
      <c r="N3562">
        <v>1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0</v>
      </c>
      <c r="AH3562">
        <v>0</v>
      </c>
      <c r="AI3562">
        <v>100</v>
      </c>
      <c r="AJ3562">
        <v>1</v>
      </c>
      <c r="AK3562">
        <v>0</v>
      </c>
      <c r="AL3562">
        <v>0</v>
      </c>
      <c r="AM3562">
        <v>100</v>
      </c>
      <c r="AN3562">
        <v>0</v>
      </c>
      <c r="AO3562">
        <v>0</v>
      </c>
      <c r="AP3562">
        <v>0</v>
      </c>
      <c r="AQ3562">
        <v>0</v>
      </c>
      <c r="AS3562">
        <v>0</v>
      </c>
      <c r="AT3562">
        <v>0</v>
      </c>
      <c r="AV3562">
        <v>0</v>
      </c>
      <c r="AW3562">
        <v>0</v>
      </c>
      <c r="AY3562">
        <v>0</v>
      </c>
      <c r="AZ3562">
        <v>0</v>
      </c>
      <c r="BA3562">
        <v>70</v>
      </c>
      <c r="BE3562" t="str">
        <f>T("9791137009370")</f>
        <v>9791137009370</v>
      </c>
      <c r="BF3562" t="str">
        <f>T("k131739")</f>
        <v>k131739</v>
      </c>
      <c r="BG3562" t="str">
        <f>T("판타지 웹소설 &gt; 퓨전 판타지")</f>
        <v>판타지 웹소설 &gt; 퓨전 판타지</v>
      </c>
    </row>
    <row r="3563" spans="1:59">
      <c r="A3563" t="s">
        <v>60</v>
      </c>
      <c r="B3563" s="1">
        <v>46131</v>
      </c>
      <c r="C3563">
        <v>2378071524</v>
      </c>
      <c r="D3563">
        <v>2378071568</v>
      </c>
      <c r="E3563" t="str">
        <f>T("불사자에게는 수호령이 있었다 45화")</f>
        <v>불사자에게는 수호령이 있었다 45화</v>
      </c>
      <c r="F3563">
        <v>45</v>
      </c>
      <c r="G3563" t="str">
        <f>T("덴피")</f>
        <v>덴피</v>
      </c>
      <c r="J3563" t="str">
        <f>T("매드햇")</f>
        <v>매드햇</v>
      </c>
      <c r="K3563" t="str">
        <f>T("불사자에게는 수호령이 있었다")</f>
        <v>불사자에게는 수호령이 있었다</v>
      </c>
      <c r="L3563">
        <v>100</v>
      </c>
      <c r="M3563">
        <v>100</v>
      </c>
      <c r="N3563">
        <v>1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0</v>
      </c>
      <c r="AH3563">
        <v>0</v>
      </c>
      <c r="AI3563">
        <v>100</v>
      </c>
      <c r="AJ3563">
        <v>1</v>
      </c>
      <c r="AK3563">
        <v>0</v>
      </c>
      <c r="AL3563">
        <v>0</v>
      </c>
      <c r="AM3563">
        <v>100</v>
      </c>
      <c r="AN3563">
        <v>0</v>
      </c>
      <c r="AO3563">
        <v>0</v>
      </c>
      <c r="AP3563">
        <v>0</v>
      </c>
      <c r="AQ3563">
        <v>0</v>
      </c>
      <c r="AS3563">
        <v>0</v>
      </c>
      <c r="AT3563">
        <v>0</v>
      </c>
      <c r="AV3563">
        <v>0</v>
      </c>
      <c r="AW3563">
        <v>0</v>
      </c>
      <c r="AY3563">
        <v>0</v>
      </c>
      <c r="AZ3563">
        <v>0</v>
      </c>
      <c r="BA3563">
        <v>70</v>
      </c>
      <c r="BE3563" t="str">
        <f>T("9791137009370")</f>
        <v>9791137009370</v>
      </c>
      <c r="BF3563" t="str">
        <f>T("k131720")</f>
        <v>k131720</v>
      </c>
      <c r="BG3563" t="str">
        <f>T("판타지 웹소설 &gt; 퓨전 판타지")</f>
        <v>판타지 웹소설 &gt; 퓨전 판타지</v>
      </c>
    </row>
    <row r="3564" spans="1:59">
      <c r="A3564" t="s">
        <v>60</v>
      </c>
      <c r="B3564" s="1">
        <v>46131</v>
      </c>
      <c r="C3564">
        <v>2378071524</v>
      </c>
      <c r="D3564">
        <v>2378071569</v>
      </c>
      <c r="E3564" t="str">
        <f>T("불사자에게는 수호령이 있었다 46화")</f>
        <v>불사자에게는 수호령이 있었다 46화</v>
      </c>
      <c r="F3564">
        <v>46</v>
      </c>
      <c r="G3564" t="str">
        <f>T("덴피")</f>
        <v>덴피</v>
      </c>
      <c r="J3564" t="str">
        <f>T("매드햇")</f>
        <v>매드햇</v>
      </c>
      <c r="K3564" t="str">
        <f>T("불사자에게는 수호령이 있었다")</f>
        <v>불사자에게는 수호령이 있었다</v>
      </c>
      <c r="L3564">
        <v>100</v>
      </c>
      <c r="M3564">
        <v>100</v>
      </c>
      <c r="N3564">
        <v>1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0</v>
      </c>
      <c r="AH3564">
        <v>0</v>
      </c>
      <c r="AI3564">
        <v>100</v>
      </c>
      <c r="AJ3564">
        <v>1</v>
      </c>
      <c r="AK3564">
        <v>0</v>
      </c>
      <c r="AL3564">
        <v>0</v>
      </c>
      <c r="AM3564">
        <v>100</v>
      </c>
      <c r="AN3564">
        <v>0</v>
      </c>
      <c r="AO3564">
        <v>0</v>
      </c>
      <c r="AP3564">
        <v>0</v>
      </c>
      <c r="AQ3564">
        <v>0</v>
      </c>
      <c r="AS3564">
        <v>0</v>
      </c>
      <c r="AT3564">
        <v>0</v>
      </c>
      <c r="AV3564">
        <v>0</v>
      </c>
      <c r="AW3564">
        <v>0</v>
      </c>
      <c r="AY3564">
        <v>0</v>
      </c>
      <c r="AZ3564">
        <v>0</v>
      </c>
      <c r="BA3564">
        <v>70</v>
      </c>
      <c r="BE3564" t="str">
        <f>T("9791137009370")</f>
        <v>9791137009370</v>
      </c>
      <c r="BF3564" t="str">
        <f>T("k131721")</f>
        <v>k131721</v>
      </c>
      <c r="BG3564" t="str">
        <f>T("판타지 웹소설 &gt; 퓨전 판타지")</f>
        <v>판타지 웹소설 &gt; 퓨전 판타지</v>
      </c>
    </row>
    <row r="3565" spans="1:59">
      <c r="A3565" t="s">
        <v>60</v>
      </c>
      <c r="B3565" s="1">
        <v>46131</v>
      </c>
      <c r="C3565">
        <v>2378071524</v>
      </c>
      <c r="D3565">
        <v>2378071570</v>
      </c>
      <c r="E3565" t="str">
        <f>T("불사자에게는 수호령이 있었다 47화")</f>
        <v>불사자에게는 수호령이 있었다 47화</v>
      </c>
      <c r="F3565">
        <v>47</v>
      </c>
      <c r="G3565" t="str">
        <f>T("덴피")</f>
        <v>덴피</v>
      </c>
      <c r="J3565" t="str">
        <f>T("매드햇")</f>
        <v>매드햇</v>
      </c>
      <c r="K3565" t="str">
        <f>T("불사자에게는 수호령이 있었다")</f>
        <v>불사자에게는 수호령이 있었다</v>
      </c>
      <c r="L3565">
        <v>100</v>
      </c>
      <c r="M3565">
        <v>100</v>
      </c>
      <c r="N3565">
        <v>1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0</v>
      </c>
      <c r="AH3565">
        <v>0</v>
      </c>
      <c r="AI3565">
        <v>100</v>
      </c>
      <c r="AJ3565">
        <v>1</v>
      </c>
      <c r="AK3565">
        <v>0</v>
      </c>
      <c r="AL3565">
        <v>0</v>
      </c>
      <c r="AM3565">
        <v>100</v>
      </c>
      <c r="AN3565">
        <v>0</v>
      </c>
      <c r="AO3565">
        <v>0</v>
      </c>
      <c r="AP3565">
        <v>0</v>
      </c>
      <c r="AQ3565">
        <v>0</v>
      </c>
      <c r="AS3565">
        <v>0</v>
      </c>
      <c r="AT3565">
        <v>0</v>
      </c>
      <c r="AV3565">
        <v>0</v>
      </c>
      <c r="AW3565">
        <v>0</v>
      </c>
      <c r="AY3565">
        <v>0</v>
      </c>
      <c r="AZ3565">
        <v>0</v>
      </c>
      <c r="BA3565">
        <v>70</v>
      </c>
      <c r="BE3565" t="str">
        <f>T("9791137009370")</f>
        <v>9791137009370</v>
      </c>
      <c r="BF3565" t="str">
        <f>T("k131722")</f>
        <v>k131722</v>
      </c>
      <c r="BG3565" t="str">
        <f>T("판타지 웹소설 &gt; 퓨전 판타지")</f>
        <v>판타지 웹소설 &gt; 퓨전 판타지</v>
      </c>
    </row>
    <row r="3566" spans="1:59">
      <c r="A3566" t="s">
        <v>60</v>
      </c>
      <c r="B3566" s="1">
        <v>46131</v>
      </c>
      <c r="C3566">
        <v>2378071524</v>
      </c>
      <c r="D3566">
        <v>2378071571</v>
      </c>
      <c r="E3566" t="str">
        <f>T("불사자에게는 수호령이 있었다 48화")</f>
        <v>불사자에게는 수호령이 있었다 48화</v>
      </c>
      <c r="F3566">
        <v>48</v>
      </c>
      <c r="G3566" t="str">
        <f>T("덴피")</f>
        <v>덴피</v>
      </c>
      <c r="J3566" t="str">
        <f>T("매드햇")</f>
        <v>매드햇</v>
      </c>
      <c r="K3566" t="str">
        <f>T("불사자에게는 수호령이 있었다")</f>
        <v>불사자에게는 수호령이 있었다</v>
      </c>
      <c r="L3566">
        <v>100</v>
      </c>
      <c r="M3566">
        <v>100</v>
      </c>
      <c r="N3566">
        <v>1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0</v>
      </c>
      <c r="AH3566">
        <v>0</v>
      </c>
      <c r="AI3566">
        <v>100</v>
      </c>
      <c r="AJ3566">
        <v>1</v>
      </c>
      <c r="AK3566">
        <v>0</v>
      </c>
      <c r="AL3566">
        <v>0</v>
      </c>
      <c r="AM3566">
        <v>100</v>
      </c>
      <c r="AN3566">
        <v>0</v>
      </c>
      <c r="AO3566">
        <v>0</v>
      </c>
      <c r="AP3566">
        <v>0</v>
      </c>
      <c r="AQ3566">
        <v>0</v>
      </c>
      <c r="AS3566">
        <v>0</v>
      </c>
      <c r="AT3566">
        <v>0</v>
      </c>
      <c r="AV3566">
        <v>0</v>
      </c>
      <c r="AW3566">
        <v>0</v>
      </c>
      <c r="AY3566">
        <v>0</v>
      </c>
      <c r="AZ3566">
        <v>0</v>
      </c>
      <c r="BA3566">
        <v>70</v>
      </c>
      <c r="BE3566" t="str">
        <f>T("9791137009370")</f>
        <v>9791137009370</v>
      </c>
      <c r="BF3566" t="str">
        <f>T("k131723")</f>
        <v>k131723</v>
      </c>
      <c r="BG3566" t="str">
        <f>T("판타지 웹소설 &gt; 퓨전 판타지")</f>
        <v>판타지 웹소설 &gt; 퓨전 판타지</v>
      </c>
    </row>
    <row r="3567" spans="1:59">
      <c r="A3567" t="s">
        <v>60</v>
      </c>
      <c r="B3567" s="1">
        <v>46131</v>
      </c>
      <c r="C3567">
        <v>2378071524</v>
      </c>
      <c r="D3567">
        <v>2378071524</v>
      </c>
      <c r="E3567" t="str">
        <f>T("불사자에게는 수호령이 있었다 1화")</f>
        <v>불사자에게는 수호령이 있었다 1화</v>
      </c>
      <c r="F3567">
        <v>1</v>
      </c>
      <c r="G3567" t="str">
        <f>T("덴피")</f>
        <v>덴피</v>
      </c>
      <c r="J3567" t="str">
        <f>T("매드햇")</f>
        <v>매드햇</v>
      </c>
      <c r="K3567" t="str">
        <f>T("불사자에게는 수호령이 있었다")</f>
        <v>불사자에게는 수호령이 있었다</v>
      </c>
      <c r="L3567">
        <v>0</v>
      </c>
      <c r="M3567">
        <v>0</v>
      </c>
      <c r="N3567">
        <v>0</v>
      </c>
      <c r="O3567">
        <v>2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0</v>
      </c>
      <c r="AH3567">
        <v>0</v>
      </c>
      <c r="AI3567">
        <v>0</v>
      </c>
      <c r="AJ3567">
        <v>2</v>
      </c>
      <c r="AK3567">
        <v>0</v>
      </c>
      <c r="AL3567">
        <v>0</v>
      </c>
      <c r="AM3567">
        <v>0</v>
      </c>
      <c r="AN3567">
        <v>0</v>
      </c>
      <c r="AO3567">
        <v>0</v>
      </c>
      <c r="AP3567">
        <v>0</v>
      </c>
      <c r="AQ3567">
        <v>0</v>
      </c>
      <c r="AS3567">
        <v>0</v>
      </c>
      <c r="AT3567">
        <v>0</v>
      </c>
      <c r="AV3567">
        <v>0</v>
      </c>
      <c r="AW3567">
        <v>0</v>
      </c>
      <c r="AY3567">
        <v>0</v>
      </c>
      <c r="AZ3567">
        <v>0</v>
      </c>
      <c r="BA3567">
        <v>0</v>
      </c>
      <c r="BE3567" t="str">
        <f>T("9791137009370")</f>
        <v>9791137009370</v>
      </c>
      <c r="BF3567" t="str">
        <f>T("k131676")</f>
        <v>k131676</v>
      </c>
      <c r="BG3567" t="str">
        <f>T("판타지 웹소설 &gt; 퓨전 판타지")</f>
        <v>판타지 웹소설 &gt; 퓨전 판타지</v>
      </c>
    </row>
    <row r="3568" spans="1:59">
      <c r="A3568" t="s">
        <v>60</v>
      </c>
      <c r="B3568" s="1">
        <v>46131</v>
      </c>
      <c r="C3568">
        <v>2378071524</v>
      </c>
      <c r="D3568">
        <v>2378071525</v>
      </c>
      <c r="E3568" t="str">
        <f>T("불사자에게는 수호령이 있었다 2화")</f>
        <v>불사자에게는 수호령이 있었다 2화</v>
      </c>
      <c r="F3568">
        <v>2</v>
      </c>
      <c r="G3568" t="str">
        <f>T("덴피")</f>
        <v>덴피</v>
      </c>
      <c r="J3568" t="str">
        <f>T("매드햇")</f>
        <v>매드햇</v>
      </c>
      <c r="K3568" t="str">
        <f>T("불사자에게는 수호령이 있었다")</f>
        <v>불사자에게는 수호령이 있었다</v>
      </c>
      <c r="L3568">
        <v>0</v>
      </c>
      <c r="M3568">
        <v>0</v>
      </c>
      <c r="N3568">
        <v>0</v>
      </c>
      <c r="O3568">
        <v>1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0</v>
      </c>
      <c r="AH3568">
        <v>0</v>
      </c>
      <c r="AI3568">
        <v>0</v>
      </c>
      <c r="AJ3568">
        <v>1</v>
      </c>
      <c r="AK3568">
        <v>0</v>
      </c>
      <c r="AL3568">
        <v>0</v>
      </c>
      <c r="AM3568">
        <v>0</v>
      </c>
      <c r="AN3568">
        <v>0</v>
      </c>
      <c r="AO3568">
        <v>0</v>
      </c>
      <c r="AP3568">
        <v>0</v>
      </c>
      <c r="AQ3568">
        <v>0</v>
      </c>
      <c r="AS3568">
        <v>0</v>
      </c>
      <c r="AT3568">
        <v>0</v>
      </c>
      <c r="AV3568">
        <v>0</v>
      </c>
      <c r="AW3568">
        <v>0</v>
      </c>
      <c r="AY3568">
        <v>0</v>
      </c>
      <c r="AZ3568">
        <v>0</v>
      </c>
      <c r="BA3568">
        <v>0</v>
      </c>
      <c r="BE3568" t="str">
        <f>T("9791137009370")</f>
        <v>9791137009370</v>
      </c>
      <c r="BF3568" t="str">
        <f>T("k131677")</f>
        <v>k131677</v>
      </c>
      <c r="BG3568" t="str">
        <f>T("판타지 웹소설 &gt; 퓨전 판타지")</f>
        <v>판타지 웹소설 &gt; 퓨전 판타지</v>
      </c>
    </row>
    <row r="3569" spans="1:59">
      <c r="A3569" t="s">
        <v>60</v>
      </c>
      <c r="B3569" s="1">
        <v>46131</v>
      </c>
      <c r="C3569">
        <v>2378071524</v>
      </c>
      <c r="D3569">
        <v>2378071526</v>
      </c>
      <c r="E3569" t="str">
        <f>T("불사자에게는 수호령이 있었다 3화")</f>
        <v>불사자에게는 수호령이 있었다 3화</v>
      </c>
      <c r="F3569">
        <v>3</v>
      </c>
      <c r="G3569" t="str">
        <f>T("덴피")</f>
        <v>덴피</v>
      </c>
      <c r="J3569" t="str">
        <f>T("매드햇")</f>
        <v>매드햇</v>
      </c>
      <c r="K3569" t="str">
        <f>T("불사자에게는 수호령이 있었다")</f>
        <v>불사자에게는 수호령이 있었다</v>
      </c>
      <c r="L3569">
        <v>0</v>
      </c>
      <c r="M3569">
        <v>0</v>
      </c>
      <c r="N3569">
        <v>0</v>
      </c>
      <c r="O3569">
        <v>1</v>
      </c>
      <c r="P3569">
        <v>0</v>
      </c>
      <c r="Q3569">
        <v>0</v>
      </c>
      <c r="R3569">
        <v>0</v>
      </c>
      <c r="S3569">
        <v>0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0</v>
      </c>
      <c r="AH3569">
        <v>0</v>
      </c>
      <c r="AI3569">
        <v>0</v>
      </c>
      <c r="AJ3569">
        <v>1</v>
      </c>
      <c r="AK3569">
        <v>0</v>
      </c>
      <c r="AL3569">
        <v>0</v>
      </c>
      <c r="AM3569">
        <v>0</v>
      </c>
      <c r="AN3569">
        <v>0</v>
      </c>
      <c r="AO3569">
        <v>0</v>
      </c>
      <c r="AP3569">
        <v>0</v>
      </c>
      <c r="AQ3569">
        <v>0</v>
      </c>
      <c r="AS3569">
        <v>0</v>
      </c>
      <c r="AT3569">
        <v>0</v>
      </c>
      <c r="AV3569">
        <v>0</v>
      </c>
      <c r="AW3569">
        <v>0</v>
      </c>
      <c r="AY3569">
        <v>0</v>
      </c>
      <c r="AZ3569">
        <v>0</v>
      </c>
      <c r="BA3569">
        <v>0</v>
      </c>
      <c r="BE3569" t="str">
        <f>T("9791137009370")</f>
        <v>9791137009370</v>
      </c>
      <c r="BF3569" t="str">
        <f>T("k131678")</f>
        <v>k131678</v>
      </c>
      <c r="BG3569" t="str">
        <f>T("판타지 웹소설 &gt; 퓨전 판타지")</f>
        <v>판타지 웹소설 &gt; 퓨전 판타지</v>
      </c>
    </row>
    <row r="3570" spans="1:59">
      <c r="A3570" t="s">
        <v>60</v>
      </c>
      <c r="B3570" s="1">
        <v>46131</v>
      </c>
      <c r="C3570">
        <v>2378071524</v>
      </c>
      <c r="D3570">
        <v>2378071527</v>
      </c>
      <c r="E3570" t="str">
        <f>T("불사자에게는 수호령이 있었다 4화")</f>
        <v>불사자에게는 수호령이 있었다 4화</v>
      </c>
      <c r="F3570">
        <v>4</v>
      </c>
      <c r="G3570" t="str">
        <f>T("덴피")</f>
        <v>덴피</v>
      </c>
      <c r="J3570" t="str">
        <f>T("매드햇")</f>
        <v>매드햇</v>
      </c>
      <c r="K3570" t="str">
        <f>T("불사자에게는 수호령이 있었다")</f>
        <v>불사자에게는 수호령이 있었다</v>
      </c>
      <c r="L3570">
        <v>0</v>
      </c>
      <c r="M3570">
        <v>0</v>
      </c>
      <c r="N3570">
        <v>0</v>
      </c>
      <c r="O3570">
        <v>1</v>
      </c>
      <c r="P3570">
        <v>0</v>
      </c>
      <c r="Q3570">
        <v>0</v>
      </c>
      <c r="R3570">
        <v>0</v>
      </c>
      <c r="S3570">
        <v>0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0</v>
      </c>
      <c r="AH3570">
        <v>0</v>
      </c>
      <c r="AI3570">
        <v>0</v>
      </c>
      <c r="AJ3570">
        <v>1</v>
      </c>
      <c r="AK3570">
        <v>0</v>
      </c>
      <c r="AL3570">
        <v>0</v>
      </c>
      <c r="AM3570">
        <v>0</v>
      </c>
      <c r="AN3570">
        <v>0</v>
      </c>
      <c r="AO3570">
        <v>0</v>
      </c>
      <c r="AP3570">
        <v>0</v>
      </c>
      <c r="AQ3570">
        <v>0</v>
      </c>
      <c r="AS3570">
        <v>0</v>
      </c>
      <c r="AT3570">
        <v>0</v>
      </c>
      <c r="AV3570">
        <v>0</v>
      </c>
      <c r="AW3570">
        <v>0</v>
      </c>
      <c r="AY3570">
        <v>0</v>
      </c>
      <c r="AZ3570">
        <v>0</v>
      </c>
      <c r="BA3570">
        <v>0</v>
      </c>
      <c r="BE3570" t="str">
        <f>T("9791137009370")</f>
        <v>9791137009370</v>
      </c>
      <c r="BF3570" t="str">
        <f>T("k131679")</f>
        <v>k131679</v>
      </c>
      <c r="BG3570" t="str">
        <f>T("판타지 웹소설 &gt; 퓨전 판타지")</f>
        <v>판타지 웹소설 &gt; 퓨전 판타지</v>
      </c>
    </row>
    <row r="3571" spans="1:59">
      <c r="A3571" t="s">
        <v>60</v>
      </c>
      <c r="B3571" s="1">
        <v>46131</v>
      </c>
      <c r="C3571">
        <v>2378071524</v>
      </c>
      <c r="D3571">
        <v>2378071572</v>
      </c>
      <c r="E3571" t="str">
        <f>T("불사자에게는 수호령이 있었다 49화")</f>
        <v>불사자에게는 수호령이 있었다 49화</v>
      </c>
      <c r="F3571">
        <v>49</v>
      </c>
      <c r="G3571" t="str">
        <f>T("덴피")</f>
        <v>덴피</v>
      </c>
      <c r="J3571" t="str">
        <f>T("매드햇")</f>
        <v>매드햇</v>
      </c>
      <c r="K3571" t="str">
        <f>T("불사자에게는 수호령이 있었다")</f>
        <v>불사자에게는 수호령이 있었다</v>
      </c>
      <c r="L3571">
        <v>100</v>
      </c>
      <c r="M3571">
        <v>100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0</v>
      </c>
      <c r="AH3571">
        <v>0</v>
      </c>
      <c r="AI3571">
        <v>100</v>
      </c>
      <c r="AJ3571">
        <v>1</v>
      </c>
      <c r="AK3571">
        <v>0</v>
      </c>
      <c r="AL3571">
        <v>0</v>
      </c>
      <c r="AM3571">
        <v>100</v>
      </c>
      <c r="AN3571">
        <v>0</v>
      </c>
      <c r="AO3571">
        <v>0</v>
      </c>
      <c r="AP3571">
        <v>0</v>
      </c>
      <c r="AQ3571">
        <v>0</v>
      </c>
      <c r="AS3571">
        <v>0</v>
      </c>
      <c r="AT3571">
        <v>0</v>
      </c>
      <c r="AV3571">
        <v>0</v>
      </c>
      <c r="AW3571">
        <v>0</v>
      </c>
      <c r="AY3571">
        <v>0</v>
      </c>
      <c r="AZ3571">
        <v>0</v>
      </c>
      <c r="BA3571">
        <v>70</v>
      </c>
      <c r="BE3571" t="str">
        <f>T("9791137009370")</f>
        <v>9791137009370</v>
      </c>
      <c r="BF3571" t="str">
        <f>T("k131724")</f>
        <v>k131724</v>
      </c>
      <c r="BG3571" t="str">
        <f>T("판타지 웹소설 &gt; 퓨전 판타지")</f>
        <v>판타지 웹소설 &gt; 퓨전 판타지</v>
      </c>
    </row>
    <row r="3572" spans="1:59">
      <c r="A3572" t="s">
        <v>60</v>
      </c>
      <c r="B3572" s="1">
        <v>46131</v>
      </c>
      <c r="C3572">
        <v>2378071524</v>
      </c>
      <c r="D3572">
        <v>2378071573</v>
      </c>
      <c r="E3572" t="str">
        <f>T("불사자에게는 수호령이 있었다 50화")</f>
        <v>불사자에게는 수호령이 있었다 50화</v>
      </c>
      <c r="F3572">
        <v>50</v>
      </c>
      <c r="G3572" t="str">
        <f>T("덴피")</f>
        <v>덴피</v>
      </c>
      <c r="J3572" t="str">
        <f>T("매드햇")</f>
        <v>매드햇</v>
      </c>
      <c r="K3572" t="str">
        <f>T("불사자에게는 수호령이 있었다")</f>
        <v>불사자에게는 수호령이 있었다</v>
      </c>
      <c r="L3572">
        <v>100</v>
      </c>
      <c r="M3572">
        <v>100</v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0</v>
      </c>
      <c r="AH3572">
        <v>0</v>
      </c>
      <c r="AI3572">
        <v>100</v>
      </c>
      <c r="AJ3572">
        <v>1</v>
      </c>
      <c r="AK3572">
        <v>0</v>
      </c>
      <c r="AL3572">
        <v>0</v>
      </c>
      <c r="AM3572">
        <v>100</v>
      </c>
      <c r="AN3572">
        <v>0</v>
      </c>
      <c r="AO3572">
        <v>0</v>
      </c>
      <c r="AP3572">
        <v>0</v>
      </c>
      <c r="AQ3572">
        <v>0</v>
      </c>
      <c r="AS3572">
        <v>0</v>
      </c>
      <c r="AT3572">
        <v>0</v>
      </c>
      <c r="AV3572">
        <v>0</v>
      </c>
      <c r="AW3572">
        <v>0</v>
      </c>
      <c r="AY3572">
        <v>0</v>
      </c>
      <c r="AZ3572">
        <v>0</v>
      </c>
      <c r="BA3572">
        <v>70</v>
      </c>
      <c r="BE3572" t="str">
        <f>T("9791137009370")</f>
        <v>9791137009370</v>
      </c>
      <c r="BF3572" t="str">
        <f>T("k131725")</f>
        <v>k131725</v>
      </c>
      <c r="BG3572" t="str">
        <f>T("판타지 웹소설 &gt; 퓨전 판타지")</f>
        <v>판타지 웹소설 &gt; 퓨전 판타지</v>
      </c>
    </row>
    <row r="3573" spans="1:59">
      <c r="A3573" t="s">
        <v>60</v>
      </c>
      <c r="B3573" s="1">
        <v>46131</v>
      </c>
      <c r="C3573">
        <v>2378071524</v>
      </c>
      <c r="D3573">
        <v>2378071574</v>
      </c>
      <c r="E3573" t="str">
        <f>T("불사자에게는 수호령이 있었다 51화")</f>
        <v>불사자에게는 수호령이 있었다 51화</v>
      </c>
      <c r="F3573">
        <v>51</v>
      </c>
      <c r="G3573" t="str">
        <f>T("덴피")</f>
        <v>덴피</v>
      </c>
      <c r="J3573" t="str">
        <f>T("매드햇")</f>
        <v>매드햇</v>
      </c>
      <c r="K3573" t="str">
        <f>T("불사자에게는 수호령이 있었다")</f>
        <v>불사자에게는 수호령이 있었다</v>
      </c>
      <c r="L3573">
        <v>100</v>
      </c>
      <c r="M3573">
        <v>100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0</v>
      </c>
      <c r="AH3573">
        <v>0</v>
      </c>
      <c r="AI3573">
        <v>100</v>
      </c>
      <c r="AJ3573">
        <v>1</v>
      </c>
      <c r="AK3573">
        <v>0</v>
      </c>
      <c r="AL3573">
        <v>0</v>
      </c>
      <c r="AM3573">
        <v>100</v>
      </c>
      <c r="AN3573">
        <v>0</v>
      </c>
      <c r="AO3573">
        <v>0</v>
      </c>
      <c r="AP3573">
        <v>0</v>
      </c>
      <c r="AQ3573">
        <v>0</v>
      </c>
      <c r="AS3573">
        <v>0</v>
      </c>
      <c r="AT3573">
        <v>0</v>
      </c>
      <c r="AV3573">
        <v>0</v>
      </c>
      <c r="AW3573">
        <v>0</v>
      </c>
      <c r="AY3573">
        <v>0</v>
      </c>
      <c r="AZ3573">
        <v>0</v>
      </c>
      <c r="BA3573">
        <v>70</v>
      </c>
      <c r="BE3573" t="str">
        <f>T("9791137009370")</f>
        <v>9791137009370</v>
      </c>
      <c r="BF3573" t="str">
        <f>T("k131726")</f>
        <v>k131726</v>
      </c>
      <c r="BG3573" t="str">
        <f>T("판타지 웹소설 &gt; 퓨전 판타지")</f>
        <v>판타지 웹소설 &gt; 퓨전 판타지</v>
      </c>
    </row>
    <row r="3574" spans="1:59">
      <c r="A3574" t="s">
        <v>60</v>
      </c>
      <c r="B3574" s="1">
        <v>46131</v>
      </c>
      <c r="C3574">
        <v>2378071524</v>
      </c>
      <c r="D3574">
        <v>2378071575</v>
      </c>
      <c r="E3574" t="str">
        <f>T("불사자에게는 수호령이 있었다 52화")</f>
        <v>불사자에게는 수호령이 있었다 52화</v>
      </c>
      <c r="F3574">
        <v>52</v>
      </c>
      <c r="G3574" t="str">
        <f>T("덴피")</f>
        <v>덴피</v>
      </c>
      <c r="J3574" t="str">
        <f>T("매드햇")</f>
        <v>매드햇</v>
      </c>
      <c r="K3574" t="str">
        <f>T("불사자에게는 수호령이 있었다")</f>
        <v>불사자에게는 수호령이 있었다</v>
      </c>
      <c r="L3574">
        <v>100</v>
      </c>
      <c r="M3574">
        <v>100</v>
      </c>
      <c r="N3574">
        <v>1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0</v>
      </c>
      <c r="AH3574">
        <v>0</v>
      </c>
      <c r="AI3574">
        <v>100</v>
      </c>
      <c r="AJ3574">
        <v>1</v>
      </c>
      <c r="AK3574">
        <v>0</v>
      </c>
      <c r="AL3574">
        <v>0</v>
      </c>
      <c r="AM3574">
        <v>100</v>
      </c>
      <c r="AN3574">
        <v>0</v>
      </c>
      <c r="AO3574">
        <v>0</v>
      </c>
      <c r="AP3574">
        <v>0</v>
      </c>
      <c r="AQ3574">
        <v>0</v>
      </c>
      <c r="AS3574">
        <v>0</v>
      </c>
      <c r="AT3574">
        <v>0</v>
      </c>
      <c r="AV3574">
        <v>0</v>
      </c>
      <c r="AW3574">
        <v>0</v>
      </c>
      <c r="AY3574">
        <v>0</v>
      </c>
      <c r="AZ3574">
        <v>0</v>
      </c>
      <c r="BA3574">
        <v>70</v>
      </c>
      <c r="BE3574" t="str">
        <f>T("9791137009370")</f>
        <v>9791137009370</v>
      </c>
      <c r="BF3574" t="str">
        <f>T("k131727")</f>
        <v>k131727</v>
      </c>
      <c r="BG3574" t="str">
        <f>T("판타지 웹소설 &gt; 퓨전 판타지")</f>
        <v>판타지 웹소설 &gt; 퓨전 판타지</v>
      </c>
    </row>
    <row r="3575" spans="1:59">
      <c r="A3575" t="s">
        <v>60</v>
      </c>
      <c r="B3575" s="1">
        <v>46131</v>
      </c>
      <c r="C3575">
        <v>2378071524</v>
      </c>
      <c r="D3575">
        <v>2378071576</v>
      </c>
      <c r="E3575" t="str">
        <f>T("불사자에게는 수호령이 있었다 53화")</f>
        <v>불사자에게는 수호령이 있었다 53화</v>
      </c>
      <c r="F3575">
        <v>53</v>
      </c>
      <c r="G3575" t="str">
        <f>T("덴피")</f>
        <v>덴피</v>
      </c>
      <c r="J3575" t="str">
        <f>T("매드햇")</f>
        <v>매드햇</v>
      </c>
      <c r="K3575" t="str">
        <f>T("불사자에게는 수호령이 있었다")</f>
        <v>불사자에게는 수호령이 있었다</v>
      </c>
      <c r="L3575">
        <v>100</v>
      </c>
      <c r="M3575">
        <v>100</v>
      </c>
      <c r="N3575">
        <v>1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0</v>
      </c>
      <c r="AH3575">
        <v>0</v>
      </c>
      <c r="AI3575">
        <v>100</v>
      </c>
      <c r="AJ3575">
        <v>1</v>
      </c>
      <c r="AK3575">
        <v>0</v>
      </c>
      <c r="AL3575">
        <v>0</v>
      </c>
      <c r="AM3575">
        <v>100</v>
      </c>
      <c r="AN3575">
        <v>0</v>
      </c>
      <c r="AO3575">
        <v>0</v>
      </c>
      <c r="AP3575">
        <v>0</v>
      </c>
      <c r="AQ3575">
        <v>0</v>
      </c>
      <c r="AS3575">
        <v>0</v>
      </c>
      <c r="AT3575">
        <v>0</v>
      </c>
      <c r="AV3575">
        <v>0</v>
      </c>
      <c r="AW3575">
        <v>0</v>
      </c>
      <c r="AY3575">
        <v>0</v>
      </c>
      <c r="AZ3575">
        <v>0</v>
      </c>
      <c r="BA3575">
        <v>70</v>
      </c>
      <c r="BE3575" t="str">
        <f>T("9791137009370")</f>
        <v>9791137009370</v>
      </c>
      <c r="BF3575" t="str">
        <f>T("k131728")</f>
        <v>k131728</v>
      </c>
      <c r="BG3575" t="str">
        <f>T("판타지 웹소설 &gt; 퓨전 판타지")</f>
        <v>판타지 웹소설 &gt; 퓨전 판타지</v>
      </c>
    </row>
    <row r="3576" spans="1:59">
      <c r="A3576" t="s">
        <v>60</v>
      </c>
      <c r="B3576" s="1">
        <v>46131</v>
      </c>
      <c r="C3576">
        <v>2378071524</v>
      </c>
      <c r="D3576">
        <v>2378071577</v>
      </c>
      <c r="E3576" t="str">
        <f>T("불사자에게는 수호령이 있었다 54화")</f>
        <v>불사자에게는 수호령이 있었다 54화</v>
      </c>
      <c r="F3576">
        <v>54</v>
      </c>
      <c r="G3576" t="str">
        <f>T("덴피")</f>
        <v>덴피</v>
      </c>
      <c r="J3576" t="str">
        <f>T("매드햇")</f>
        <v>매드햇</v>
      </c>
      <c r="K3576" t="str">
        <f>T("불사자에게는 수호령이 있었다")</f>
        <v>불사자에게는 수호령이 있었다</v>
      </c>
      <c r="L3576">
        <v>100</v>
      </c>
      <c r="M3576">
        <v>100</v>
      </c>
      <c r="N3576">
        <v>1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0</v>
      </c>
      <c r="AH3576">
        <v>0</v>
      </c>
      <c r="AI3576">
        <v>100</v>
      </c>
      <c r="AJ3576">
        <v>1</v>
      </c>
      <c r="AK3576">
        <v>0</v>
      </c>
      <c r="AL3576">
        <v>0</v>
      </c>
      <c r="AM3576">
        <v>100</v>
      </c>
      <c r="AN3576">
        <v>0</v>
      </c>
      <c r="AO3576">
        <v>0</v>
      </c>
      <c r="AP3576">
        <v>0</v>
      </c>
      <c r="AQ3576">
        <v>0</v>
      </c>
      <c r="AS3576">
        <v>0</v>
      </c>
      <c r="AT3576">
        <v>0</v>
      </c>
      <c r="AV3576">
        <v>0</v>
      </c>
      <c r="AW3576">
        <v>0</v>
      </c>
      <c r="AY3576">
        <v>0</v>
      </c>
      <c r="AZ3576">
        <v>0</v>
      </c>
      <c r="BA3576">
        <v>70</v>
      </c>
      <c r="BE3576" t="str">
        <f>T("9791137009370")</f>
        <v>9791137009370</v>
      </c>
      <c r="BF3576" t="str">
        <f>T("k131729")</f>
        <v>k131729</v>
      </c>
      <c r="BG3576" t="str">
        <f>T("판타지 웹소설 &gt; 퓨전 판타지")</f>
        <v>판타지 웹소설 &gt; 퓨전 판타지</v>
      </c>
    </row>
    <row r="3577" spans="1:59">
      <c r="A3577" t="s">
        <v>60</v>
      </c>
      <c r="B3577" s="1">
        <v>46131</v>
      </c>
      <c r="C3577">
        <v>2378071524</v>
      </c>
      <c r="D3577">
        <v>2378071578</v>
      </c>
      <c r="E3577" t="str">
        <f>T("불사자에게는 수호령이 있었다 55화")</f>
        <v>불사자에게는 수호령이 있었다 55화</v>
      </c>
      <c r="F3577">
        <v>55</v>
      </c>
      <c r="G3577" t="str">
        <f>T("덴피")</f>
        <v>덴피</v>
      </c>
      <c r="J3577" t="str">
        <f>T("매드햇")</f>
        <v>매드햇</v>
      </c>
      <c r="K3577" t="str">
        <f>T("불사자에게는 수호령이 있었다")</f>
        <v>불사자에게는 수호령이 있었다</v>
      </c>
      <c r="L3577">
        <v>100</v>
      </c>
      <c r="M3577">
        <v>100</v>
      </c>
      <c r="N3577">
        <v>1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0</v>
      </c>
      <c r="AH3577">
        <v>0</v>
      </c>
      <c r="AI3577">
        <v>100</v>
      </c>
      <c r="AJ3577">
        <v>1</v>
      </c>
      <c r="AK3577">
        <v>0</v>
      </c>
      <c r="AL3577">
        <v>0</v>
      </c>
      <c r="AM3577">
        <v>100</v>
      </c>
      <c r="AN3577">
        <v>0</v>
      </c>
      <c r="AO3577">
        <v>0</v>
      </c>
      <c r="AP3577">
        <v>0</v>
      </c>
      <c r="AQ3577">
        <v>0</v>
      </c>
      <c r="AS3577">
        <v>0</v>
      </c>
      <c r="AT3577">
        <v>0</v>
      </c>
      <c r="AV3577">
        <v>0</v>
      </c>
      <c r="AW3577">
        <v>0</v>
      </c>
      <c r="AY3577">
        <v>0</v>
      </c>
      <c r="AZ3577">
        <v>0</v>
      </c>
      <c r="BA3577">
        <v>70</v>
      </c>
      <c r="BE3577" t="str">
        <f>T("9791137009370")</f>
        <v>9791137009370</v>
      </c>
      <c r="BF3577" t="str">
        <f>T("k131730")</f>
        <v>k131730</v>
      </c>
      <c r="BG3577" t="str">
        <f>T("판타지 웹소설 &gt; 퓨전 판타지")</f>
        <v>판타지 웹소설 &gt; 퓨전 판타지</v>
      </c>
    </row>
    <row r="3578" spans="1:59">
      <c r="A3578" t="s">
        <v>60</v>
      </c>
      <c r="B3578" s="1">
        <v>46131</v>
      </c>
      <c r="C3578">
        <v>2378071524</v>
      </c>
      <c r="D3578">
        <v>2378071579</v>
      </c>
      <c r="E3578" t="str">
        <f>T("불사자에게는 수호령이 있었다 56화")</f>
        <v>불사자에게는 수호령이 있었다 56화</v>
      </c>
      <c r="F3578">
        <v>56</v>
      </c>
      <c r="G3578" t="str">
        <f>T("덴피")</f>
        <v>덴피</v>
      </c>
      <c r="J3578" t="str">
        <f>T("매드햇")</f>
        <v>매드햇</v>
      </c>
      <c r="K3578" t="str">
        <f>T("불사자에게는 수호령이 있었다")</f>
        <v>불사자에게는 수호령이 있었다</v>
      </c>
      <c r="L3578">
        <v>100</v>
      </c>
      <c r="M3578">
        <v>100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0</v>
      </c>
      <c r="AH3578">
        <v>0</v>
      </c>
      <c r="AI3578">
        <v>100</v>
      </c>
      <c r="AJ3578">
        <v>1</v>
      </c>
      <c r="AK3578">
        <v>0</v>
      </c>
      <c r="AL3578">
        <v>0</v>
      </c>
      <c r="AM3578">
        <v>100</v>
      </c>
      <c r="AN3578">
        <v>0</v>
      </c>
      <c r="AO3578">
        <v>0</v>
      </c>
      <c r="AP3578">
        <v>0</v>
      </c>
      <c r="AQ3578">
        <v>0</v>
      </c>
      <c r="AS3578">
        <v>0</v>
      </c>
      <c r="AT3578">
        <v>0</v>
      </c>
      <c r="AV3578">
        <v>0</v>
      </c>
      <c r="AW3578">
        <v>0</v>
      </c>
      <c r="AY3578">
        <v>0</v>
      </c>
      <c r="AZ3578">
        <v>0</v>
      </c>
      <c r="BA3578">
        <v>70</v>
      </c>
      <c r="BE3578" t="str">
        <f>T("9791137009370")</f>
        <v>9791137009370</v>
      </c>
      <c r="BF3578" t="str">
        <f>T("k131731")</f>
        <v>k131731</v>
      </c>
      <c r="BG3578" t="str">
        <f>T("판타지 웹소설 &gt; 퓨전 판타지")</f>
        <v>판타지 웹소설 &gt; 퓨전 판타지</v>
      </c>
    </row>
    <row r="3579" spans="1:59">
      <c r="A3579" t="s">
        <v>60</v>
      </c>
      <c r="B3579" s="1">
        <v>46131</v>
      </c>
      <c r="C3579">
        <v>2378071524</v>
      </c>
      <c r="D3579">
        <v>2378071792</v>
      </c>
      <c r="E3579" t="str">
        <f>T("불사자에게는 수호령이 있었다 269화")</f>
        <v>불사자에게는 수호령이 있었다 269화</v>
      </c>
      <c r="F3579">
        <v>269</v>
      </c>
      <c r="G3579" t="str">
        <f>T("덴피")</f>
        <v>덴피</v>
      </c>
      <c r="J3579" t="str">
        <f>T("매드햇")</f>
        <v>매드햇</v>
      </c>
      <c r="K3579" t="str">
        <f>T("불사자에게는 수호령이 있었다")</f>
        <v>불사자에게는 수호령이 있었다</v>
      </c>
      <c r="L3579">
        <v>100</v>
      </c>
      <c r="M3579">
        <v>100</v>
      </c>
      <c r="N3579">
        <v>1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0</v>
      </c>
      <c r="AH3579">
        <v>0</v>
      </c>
      <c r="AI3579">
        <v>100</v>
      </c>
      <c r="AJ3579">
        <v>1</v>
      </c>
      <c r="AK3579">
        <v>0</v>
      </c>
      <c r="AL3579">
        <v>0</v>
      </c>
      <c r="AM3579">
        <v>100</v>
      </c>
      <c r="AN3579">
        <v>0</v>
      </c>
      <c r="AO3579">
        <v>0</v>
      </c>
      <c r="AP3579">
        <v>0</v>
      </c>
      <c r="AQ3579">
        <v>0</v>
      </c>
      <c r="AS3579">
        <v>0</v>
      </c>
      <c r="AT3579">
        <v>0</v>
      </c>
      <c r="AV3579">
        <v>0</v>
      </c>
      <c r="AW3579">
        <v>0</v>
      </c>
      <c r="AY3579">
        <v>0</v>
      </c>
      <c r="AZ3579">
        <v>0</v>
      </c>
      <c r="BA3579">
        <v>70</v>
      </c>
      <c r="BE3579" t="str">
        <f>T("9791137009370")</f>
        <v>9791137009370</v>
      </c>
      <c r="BF3579" t="str">
        <f>T("k381932")</f>
        <v>k381932</v>
      </c>
      <c r="BG3579" t="str">
        <f>T("판타지 웹소설 &gt; 퓨전 판타지")</f>
        <v>판타지 웹소설 &gt; 퓨전 판타지</v>
      </c>
    </row>
    <row r="3580" spans="1:59">
      <c r="A3580" t="s">
        <v>60</v>
      </c>
      <c r="B3580" s="1">
        <v>46131</v>
      </c>
      <c r="C3580">
        <v>2378071524</v>
      </c>
      <c r="D3580">
        <v>2378071580</v>
      </c>
      <c r="E3580" t="str">
        <f>T("불사자에게는 수호령이 있었다 57화")</f>
        <v>불사자에게는 수호령이 있었다 57화</v>
      </c>
      <c r="F3580">
        <v>57</v>
      </c>
      <c r="G3580" t="str">
        <f>T("덴피")</f>
        <v>덴피</v>
      </c>
      <c r="J3580" t="str">
        <f>T("매드햇")</f>
        <v>매드햇</v>
      </c>
      <c r="K3580" t="str">
        <f>T("불사자에게는 수호령이 있었다")</f>
        <v>불사자에게는 수호령이 있었다</v>
      </c>
      <c r="L3580">
        <v>100</v>
      </c>
      <c r="M3580">
        <v>100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0</v>
      </c>
      <c r="AH3580">
        <v>0</v>
      </c>
      <c r="AI3580">
        <v>100</v>
      </c>
      <c r="AJ3580">
        <v>1</v>
      </c>
      <c r="AK3580">
        <v>0</v>
      </c>
      <c r="AL3580">
        <v>0</v>
      </c>
      <c r="AM3580">
        <v>100</v>
      </c>
      <c r="AN3580">
        <v>0</v>
      </c>
      <c r="AO3580">
        <v>0</v>
      </c>
      <c r="AP3580">
        <v>0</v>
      </c>
      <c r="AQ3580">
        <v>0</v>
      </c>
      <c r="AS3580">
        <v>0</v>
      </c>
      <c r="AT3580">
        <v>0</v>
      </c>
      <c r="AV3580">
        <v>0</v>
      </c>
      <c r="AW3580">
        <v>0</v>
      </c>
      <c r="AY3580">
        <v>0</v>
      </c>
      <c r="AZ3580">
        <v>0</v>
      </c>
      <c r="BA3580">
        <v>70</v>
      </c>
      <c r="BE3580" t="str">
        <f>T("9791137009370")</f>
        <v>9791137009370</v>
      </c>
      <c r="BF3580" t="str">
        <f>T("k131732")</f>
        <v>k131732</v>
      </c>
      <c r="BG3580" t="str">
        <f>T("판타지 웹소설 &gt; 퓨전 판타지")</f>
        <v>판타지 웹소설 &gt; 퓨전 판타지</v>
      </c>
    </row>
    <row r="3581" spans="1:59">
      <c r="A3581" t="s">
        <v>60</v>
      </c>
      <c r="B3581" s="1">
        <v>46131</v>
      </c>
      <c r="C3581">
        <v>2378071524</v>
      </c>
      <c r="D3581">
        <v>2378071581</v>
      </c>
      <c r="E3581" t="str">
        <f>T("불사자에게는 수호령이 있었다 58화")</f>
        <v>불사자에게는 수호령이 있었다 58화</v>
      </c>
      <c r="F3581">
        <v>58</v>
      </c>
      <c r="G3581" t="str">
        <f>T("덴피")</f>
        <v>덴피</v>
      </c>
      <c r="J3581" t="str">
        <f>T("매드햇")</f>
        <v>매드햇</v>
      </c>
      <c r="K3581" t="str">
        <f>T("불사자에게는 수호령이 있었다")</f>
        <v>불사자에게는 수호령이 있었다</v>
      </c>
      <c r="L3581">
        <v>100</v>
      </c>
      <c r="M3581">
        <v>100</v>
      </c>
      <c r="N3581">
        <v>1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0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0</v>
      </c>
      <c r="AH3581">
        <v>0</v>
      </c>
      <c r="AI3581">
        <v>100</v>
      </c>
      <c r="AJ3581">
        <v>1</v>
      </c>
      <c r="AK3581">
        <v>0</v>
      </c>
      <c r="AL3581">
        <v>0</v>
      </c>
      <c r="AM3581">
        <v>100</v>
      </c>
      <c r="AN3581">
        <v>0</v>
      </c>
      <c r="AO3581">
        <v>0</v>
      </c>
      <c r="AP3581">
        <v>0</v>
      </c>
      <c r="AQ3581">
        <v>0</v>
      </c>
      <c r="AS3581">
        <v>0</v>
      </c>
      <c r="AT3581">
        <v>0</v>
      </c>
      <c r="AV3581">
        <v>0</v>
      </c>
      <c r="AW3581">
        <v>0</v>
      </c>
      <c r="AY3581">
        <v>0</v>
      </c>
      <c r="AZ3581">
        <v>0</v>
      </c>
      <c r="BA3581">
        <v>70</v>
      </c>
      <c r="BE3581" t="str">
        <f>T("9791137009370")</f>
        <v>9791137009370</v>
      </c>
      <c r="BF3581" t="str">
        <f>T("k131733")</f>
        <v>k131733</v>
      </c>
      <c r="BG3581" t="str">
        <f>T("판타지 웹소설 &gt; 퓨전 판타지")</f>
        <v>판타지 웹소설 &gt; 퓨전 판타지</v>
      </c>
    </row>
    <row r="3582" spans="1:59">
      <c r="A3582" t="s">
        <v>60</v>
      </c>
      <c r="B3582" s="1">
        <v>46131</v>
      </c>
      <c r="C3582">
        <v>2378071524</v>
      </c>
      <c r="D3582">
        <v>2378071582</v>
      </c>
      <c r="E3582" t="str">
        <f>T("불사자에게는 수호령이 있었다 59화")</f>
        <v>불사자에게는 수호령이 있었다 59화</v>
      </c>
      <c r="F3582">
        <v>59</v>
      </c>
      <c r="G3582" t="str">
        <f>T("덴피")</f>
        <v>덴피</v>
      </c>
      <c r="J3582" t="str">
        <f>T("매드햇")</f>
        <v>매드햇</v>
      </c>
      <c r="K3582" t="str">
        <f>T("불사자에게는 수호령이 있었다")</f>
        <v>불사자에게는 수호령이 있었다</v>
      </c>
      <c r="L3582">
        <v>100</v>
      </c>
      <c r="M3582">
        <v>100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0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0</v>
      </c>
      <c r="AH3582">
        <v>0</v>
      </c>
      <c r="AI3582">
        <v>100</v>
      </c>
      <c r="AJ3582">
        <v>1</v>
      </c>
      <c r="AK3582">
        <v>0</v>
      </c>
      <c r="AL3582">
        <v>0</v>
      </c>
      <c r="AM3582">
        <v>100</v>
      </c>
      <c r="AN3582">
        <v>0</v>
      </c>
      <c r="AO3582">
        <v>0</v>
      </c>
      <c r="AP3582">
        <v>0</v>
      </c>
      <c r="AQ3582">
        <v>0</v>
      </c>
      <c r="AS3582">
        <v>0</v>
      </c>
      <c r="AT3582">
        <v>0</v>
      </c>
      <c r="AV3582">
        <v>0</v>
      </c>
      <c r="AW3582">
        <v>0</v>
      </c>
      <c r="AY3582">
        <v>0</v>
      </c>
      <c r="AZ3582">
        <v>0</v>
      </c>
      <c r="BA3582">
        <v>70</v>
      </c>
      <c r="BE3582" t="str">
        <f>T("9791137009370")</f>
        <v>9791137009370</v>
      </c>
      <c r="BF3582" t="str">
        <f>T("k131734")</f>
        <v>k131734</v>
      </c>
      <c r="BG3582" t="str">
        <f>T("판타지 웹소설 &gt; 퓨전 판타지")</f>
        <v>판타지 웹소설 &gt; 퓨전 판타지</v>
      </c>
    </row>
    <row r="3583" spans="1:59">
      <c r="A3583" t="s">
        <v>60</v>
      </c>
      <c r="B3583" s="1">
        <v>46131</v>
      </c>
      <c r="C3583">
        <v>2378071524</v>
      </c>
      <c r="D3583">
        <v>2378071583</v>
      </c>
      <c r="E3583" t="str">
        <f>T("불사자에게는 수호령이 있었다 60화")</f>
        <v>불사자에게는 수호령이 있었다 60화</v>
      </c>
      <c r="F3583">
        <v>60</v>
      </c>
      <c r="G3583" t="str">
        <f>T("덴피")</f>
        <v>덴피</v>
      </c>
      <c r="J3583" t="str">
        <f>T("매드햇")</f>
        <v>매드햇</v>
      </c>
      <c r="K3583" t="str">
        <f>T("불사자에게는 수호령이 있었다")</f>
        <v>불사자에게는 수호령이 있었다</v>
      </c>
      <c r="L3583">
        <v>100</v>
      </c>
      <c r="M3583">
        <v>100</v>
      </c>
      <c r="N3583">
        <v>1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0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0</v>
      </c>
      <c r="AH3583">
        <v>0</v>
      </c>
      <c r="AI3583">
        <v>100</v>
      </c>
      <c r="AJ3583">
        <v>1</v>
      </c>
      <c r="AK3583">
        <v>0</v>
      </c>
      <c r="AL3583">
        <v>0</v>
      </c>
      <c r="AM3583">
        <v>100</v>
      </c>
      <c r="AN3583">
        <v>0</v>
      </c>
      <c r="AO3583">
        <v>0</v>
      </c>
      <c r="AP3583">
        <v>0</v>
      </c>
      <c r="AQ3583">
        <v>0</v>
      </c>
      <c r="AS3583">
        <v>0</v>
      </c>
      <c r="AT3583">
        <v>0</v>
      </c>
      <c r="AV3583">
        <v>0</v>
      </c>
      <c r="AW3583">
        <v>0</v>
      </c>
      <c r="AY3583">
        <v>0</v>
      </c>
      <c r="AZ3583">
        <v>0</v>
      </c>
      <c r="BA3583">
        <v>70</v>
      </c>
      <c r="BE3583" t="str">
        <f>T("9791137009370")</f>
        <v>9791137009370</v>
      </c>
      <c r="BF3583" t="str">
        <f>T("k131735")</f>
        <v>k131735</v>
      </c>
      <c r="BG3583" t="str">
        <f>T("판타지 웹소설 &gt; 퓨전 판타지")</f>
        <v>판타지 웹소설 &gt; 퓨전 판타지</v>
      </c>
    </row>
    <row r="3584" spans="1:59">
      <c r="A3584" t="s">
        <v>60</v>
      </c>
      <c r="B3584" s="1">
        <v>46131</v>
      </c>
      <c r="C3584">
        <v>2378071524</v>
      </c>
      <c r="D3584">
        <v>2378071584</v>
      </c>
      <c r="E3584" t="str">
        <f>T("불사자에게는 수호령이 있었다 61화")</f>
        <v>불사자에게는 수호령이 있었다 61화</v>
      </c>
      <c r="F3584">
        <v>61</v>
      </c>
      <c r="G3584" t="str">
        <f>T("덴피")</f>
        <v>덴피</v>
      </c>
      <c r="J3584" t="str">
        <f>T("매드햇")</f>
        <v>매드햇</v>
      </c>
      <c r="K3584" t="str">
        <f>T("불사자에게는 수호령이 있었다")</f>
        <v>불사자에게는 수호령이 있었다</v>
      </c>
      <c r="L3584">
        <v>100</v>
      </c>
      <c r="M3584">
        <v>100</v>
      </c>
      <c r="N3584">
        <v>1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0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0</v>
      </c>
      <c r="AH3584">
        <v>0</v>
      </c>
      <c r="AI3584">
        <v>100</v>
      </c>
      <c r="AJ3584">
        <v>1</v>
      </c>
      <c r="AK3584">
        <v>0</v>
      </c>
      <c r="AL3584">
        <v>0</v>
      </c>
      <c r="AM3584">
        <v>100</v>
      </c>
      <c r="AN3584">
        <v>0</v>
      </c>
      <c r="AO3584">
        <v>0</v>
      </c>
      <c r="AP3584">
        <v>0</v>
      </c>
      <c r="AQ3584">
        <v>0</v>
      </c>
      <c r="AS3584">
        <v>0</v>
      </c>
      <c r="AT3584">
        <v>0</v>
      </c>
      <c r="AV3584">
        <v>0</v>
      </c>
      <c r="AW3584">
        <v>0</v>
      </c>
      <c r="AY3584">
        <v>0</v>
      </c>
      <c r="AZ3584">
        <v>0</v>
      </c>
      <c r="BA3584">
        <v>70</v>
      </c>
      <c r="BE3584" t="str">
        <f>T("9791137009370")</f>
        <v>9791137009370</v>
      </c>
      <c r="BF3584" t="str">
        <f>T("k131736")</f>
        <v>k131736</v>
      </c>
      <c r="BG3584" t="str">
        <f>T("판타지 웹소설 &gt; 퓨전 판타지")</f>
        <v>판타지 웹소설 &gt; 퓨전 판타지</v>
      </c>
    </row>
    <row r="3585" spans="1:59">
      <c r="A3585" t="s">
        <v>60</v>
      </c>
      <c r="B3585" s="1">
        <v>46131</v>
      </c>
      <c r="C3585">
        <v>2378071524</v>
      </c>
      <c r="D3585">
        <v>2378071585</v>
      </c>
      <c r="E3585" t="str">
        <f>T("불사자에게는 수호령이 있었다 62화")</f>
        <v>불사자에게는 수호령이 있었다 62화</v>
      </c>
      <c r="F3585">
        <v>62</v>
      </c>
      <c r="G3585" t="str">
        <f>T("덴피")</f>
        <v>덴피</v>
      </c>
      <c r="J3585" t="str">
        <f>T("매드햇")</f>
        <v>매드햇</v>
      </c>
      <c r="K3585" t="str">
        <f>T("불사자에게는 수호령이 있었다")</f>
        <v>불사자에게는 수호령이 있었다</v>
      </c>
      <c r="L3585">
        <v>100</v>
      </c>
      <c r="M3585">
        <v>100</v>
      </c>
      <c r="N3585">
        <v>1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0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0</v>
      </c>
      <c r="AH3585">
        <v>0</v>
      </c>
      <c r="AI3585">
        <v>100</v>
      </c>
      <c r="AJ3585">
        <v>1</v>
      </c>
      <c r="AK3585">
        <v>0</v>
      </c>
      <c r="AL3585">
        <v>0</v>
      </c>
      <c r="AM3585">
        <v>100</v>
      </c>
      <c r="AN3585">
        <v>0</v>
      </c>
      <c r="AO3585">
        <v>0</v>
      </c>
      <c r="AP3585">
        <v>0</v>
      </c>
      <c r="AQ3585">
        <v>0</v>
      </c>
      <c r="AS3585">
        <v>0</v>
      </c>
      <c r="AT3585">
        <v>0</v>
      </c>
      <c r="AV3585">
        <v>0</v>
      </c>
      <c r="AW3585">
        <v>0</v>
      </c>
      <c r="AY3585">
        <v>0</v>
      </c>
      <c r="AZ3585">
        <v>0</v>
      </c>
      <c r="BA3585">
        <v>70</v>
      </c>
      <c r="BE3585" t="str">
        <f>T("9791137009370")</f>
        <v>9791137009370</v>
      </c>
      <c r="BF3585" t="str">
        <f>T("k131737")</f>
        <v>k131737</v>
      </c>
      <c r="BG3585" t="str">
        <f>T("판타지 웹소설 &gt; 퓨전 판타지")</f>
        <v>판타지 웹소설 &gt; 퓨전 판타지</v>
      </c>
    </row>
    <row r="3586" spans="1:59">
      <c r="A3586" t="s">
        <v>60</v>
      </c>
      <c r="B3586" s="1">
        <v>46131</v>
      </c>
      <c r="C3586">
        <v>2378071524</v>
      </c>
      <c r="D3586">
        <v>2378071586</v>
      </c>
      <c r="E3586" t="str">
        <f>T("불사자에게는 수호령이 있었다 63화")</f>
        <v>불사자에게는 수호령이 있었다 63화</v>
      </c>
      <c r="F3586">
        <v>63</v>
      </c>
      <c r="G3586" t="str">
        <f>T("덴피")</f>
        <v>덴피</v>
      </c>
      <c r="J3586" t="str">
        <f>T("매드햇")</f>
        <v>매드햇</v>
      </c>
      <c r="K3586" t="str">
        <f>T("불사자에게는 수호령이 있었다")</f>
        <v>불사자에게는 수호령이 있었다</v>
      </c>
      <c r="L3586">
        <v>100</v>
      </c>
      <c r="M3586">
        <v>100</v>
      </c>
      <c r="N3586">
        <v>1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0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0</v>
      </c>
      <c r="AH3586">
        <v>0</v>
      </c>
      <c r="AI3586">
        <v>100</v>
      </c>
      <c r="AJ3586">
        <v>1</v>
      </c>
      <c r="AK3586">
        <v>0</v>
      </c>
      <c r="AL3586">
        <v>0</v>
      </c>
      <c r="AM3586">
        <v>100</v>
      </c>
      <c r="AN3586">
        <v>0</v>
      </c>
      <c r="AO3586">
        <v>0</v>
      </c>
      <c r="AP3586">
        <v>0</v>
      </c>
      <c r="AQ3586">
        <v>0</v>
      </c>
      <c r="AS3586">
        <v>0</v>
      </c>
      <c r="AT3586">
        <v>0</v>
      </c>
      <c r="AV3586">
        <v>0</v>
      </c>
      <c r="AW3586">
        <v>0</v>
      </c>
      <c r="AY3586">
        <v>0</v>
      </c>
      <c r="AZ3586">
        <v>0</v>
      </c>
      <c r="BA3586">
        <v>70</v>
      </c>
      <c r="BE3586" t="str">
        <f>T("9791137009370")</f>
        <v>9791137009370</v>
      </c>
      <c r="BF3586" t="str">
        <f>T("k131738")</f>
        <v>k131738</v>
      </c>
      <c r="BG3586" t="str">
        <f>T("판타지 웹소설 &gt; 퓨전 판타지")</f>
        <v>판타지 웹소설 &gt; 퓨전 판타지</v>
      </c>
    </row>
    <row r="3587" spans="1:59">
      <c r="A3587" t="s">
        <v>60</v>
      </c>
      <c r="B3587" s="1">
        <v>46131</v>
      </c>
      <c r="C3587">
        <v>2378071524</v>
      </c>
      <c r="D3587">
        <v>2378071588</v>
      </c>
      <c r="E3587" t="str">
        <f>T("불사자에게는 수호령이 있었다 65화")</f>
        <v>불사자에게는 수호령이 있었다 65화</v>
      </c>
      <c r="F3587">
        <v>65</v>
      </c>
      <c r="G3587" t="str">
        <f>T("덴피")</f>
        <v>덴피</v>
      </c>
      <c r="J3587" t="str">
        <f>T("매드햇")</f>
        <v>매드햇</v>
      </c>
      <c r="K3587" t="str">
        <f>T("불사자에게는 수호령이 있었다")</f>
        <v>불사자에게는 수호령이 있었다</v>
      </c>
      <c r="L3587">
        <v>100</v>
      </c>
      <c r="M3587">
        <v>100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0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0</v>
      </c>
      <c r="AH3587">
        <v>0</v>
      </c>
      <c r="AI3587">
        <v>100</v>
      </c>
      <c r="AJ3587">
        <v>1</v>
      </c>
      <c r="AK3587">
        <v>0</v>
      </c>
      <c r="AL3587">
        <v>0</v>
      </c>
      <c r="AM3587">
        <v>100</v>
      </c>
      <c r="AN3587">
        <v>0</v>
      </c>
      <c r="AO3587">
        <v>0</v>
      </c>
      <c r="AP3587">
        <v>0</v>
      </c>
      <c r="AQ3587">
        <v>0</v>
      </c>
      <c r="AS3587">
        <v>0</v>
      </c>
      <c r="AT3587">
        <v>0</v>
      </c>
      <c r="AV3587">
        <v>0</v>
      </c>
      <c r="AW3587">
        <v>0</v>
      </c>
      <c r="AY3587">
        <v>0</v>
      </c>
      <c r="AZ3587">
        <v>0</v>
      </c>
      <c r="BA3587">
        <v>70</v>
      </c>
      <c r="BE3587" t="str">
        <f>T("9791137009370")</f>
        <v>9791137009370</v>
      </c>
      <c r="BF3587" t="str">
        <f>T("k131740")</f>
        <v>k131740</v>
      </c>
      <c r="BG3587" t="str">
        <f>T("판타지 웹소설 &gt; 퓨전 판타지")</f>
        <v>판타지 웹소설 &gt; 퓨전 판타지</v>
      </c>
    </row>
    <row r="3588" spans="1:59">
      <c r="A3588" t="s">
        <v>60</v>
      </c>
      <c r="B3588" s="1">
        <v>46131</v>
      </c>
      <c r="C3588">
        <v>2378071524</v>
      </c>
      <c r="D3588">
        <v>2378071589</v>
      </c>
      <c r="E3588" t="str">
        <f>T("불사자에게는 수호령이 있었다 66화")</f>
        <v>불사자에게는 수호령이 있었다 66화</v>
      </c>
      <c r="F3588">
        <v>66</v>
      </c>
      <c r="G3588" t="str">
        <f>T("덴피")</f>
        <v>덴피</v>
      </c>
      <c r="J3588" t="str">
        <f>T("매드햇")</f>
        <v>매드햇</v>
      </c>
      <c r="K3588" t="str">
        <f>T("불사자에게는 수호령이 있었다")</f>
        <v>불사자에게는 수호령이 있었다</v>
      </c>
      <c r="L3588">
        <v>100</v>
      </c>
      <c r="M3588">
        <v>100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0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0</v>
      </c>
      <c r="AH3588">
        <v>0</v>
      </c>
      <c r="AI3588">
        <v>100</v>
      </c>
      <c r="AJ3588">
        <v>1</v>
      </c>
      <c r="AK3588">
        <v>0</v>
      </c>
      <c r="AL3588">
        <v>0</v>
      </c>
      <c r="AM3588">
        <v>100</v>
      </c>
      <c r="AN3588">
        <v>0</v>
      </c>
      <c r="AO3588">
        <v>0</v>
      </c>
      <c r="AP3588">
        <v>0</v>
      </c>
      <c r="AQ3588">
        <v>0</v>
      </c>
      <c r="AS3588">
        <v>0</v>
      </c>
      <c r="AT3588">
        <v>0</v>
      </c>
      <c r="AV3588">
        <v>0</v>
      </c>
      <c r="AW3588">
        <v>0</v>
      </c>
      <c r="AY3588">
        <v>0</v>
      </c>
      <c r="AZ3588">
        <v>0</v>
      </c>
      <c r="BA3588">
        <v>70</v>
      </c>
      <c r="BE3588" t="str">
        <f>T("9791137009370")</f>
        <v>9791137009370</v>
      </c>
      <c r="BF3588" t="str">
        <f>T("k131741")</f>
        <v>k131741</v>
      </c>
      <c r="BG3588" t="str">
        <f>T("판타지 웹소설 &gt; 퓨전 판타지")</f>
        <v>판타지 웹소설 &gt; 퓨전 판타지</v>
      </c>
    </row>
    <row r="3589" spans="1:59">
      <c r="A3589" t="s">
        <v>60</v>
      </c>
      <c r="B3589" s="1">
        <v>46129</v>
      </c>
      <c r="C3589">
        <v>2378027127</v>
      </c>
      <c r="D3589">
        <v>2378027127</v>
      </c>
      <c r="E3589" t="str">
        <f>T("빵을 들고 나왔다 1화")</f>
        <v>빵을 들고 나왔다 1화</v>
      </c>
      <c r="F3589">
        <v>1</v>
      </c>
      <c r="G3589" t="str">
        <f>T("법화")</f>
        <v>법화</v>
      </c>
      <c r="J3589" t="str">
        <f>T("팀오쉬")</f>
        <v>팀오쉬</v>
      </c>
      <c r="K3589" t="str">
        <f>T("빵을 들고 나왔다")</f>
        <v>빵을 들고 나왔다</v>
      </c>
      <c r="L3589">
        <v>0</v>
      </c>
      <c r="M3589">
        <v>0</v>
      </c>
      <c r="N3589">
        <v>0</v>
      </c>
      <c r="O3589">
        <v>1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0</v>
      </c>
      <c r="AH3589">
        <v>0</v>
      </c>
      <c r="AI3589">
        <v>0</v>
      </c>
      <c r="AJ3589">
        <v>1</v>
      </c>
      <c r="AK3589">
        <v>0</v>
      </c>
      <c r="AL3589">
        <v>0</v>
      </c>
      <c r="AM3589">
        <v>0</v>
      </c>
      <c r="AN3589">
        <v>0</v>
      </c>
      <c r="AO3589">
        <v>0</v>
      </c>
      <c r="AP3589">
        <v>0</v>
      </c>
      <c r="AQ3589">
        <v>0</v>
      </c>
      <c r="AS3589">
        <v>0</v>
      </c>
      <c r="AT3589">
        <v>0</v>
      </c>
      <c r="AV3589">
        <v>0</v>
      </c>
      <c r="AW3589">
        <v>0</v>
      </c>
      <c r="AY3589">
        <v>0</v>
      </c>
      <c r="AZ3589">
        <v>0</v>
      </c>
      <c r="BA3589">
        <v>0</v>
      </c>
      <c r="BE3589" t="str">
        <f>T("9791190415682")</f>
        <v>9791190415682</v>
      </c>
      <c r="BF3589" t="str">
        <f>T("E826396")</f>
        <v>E826396</v>
      </c>
      <c r="BG3589" t="str">
        <f>T("판타지 웹소설 &gt; 퓨전 판타지")</f>
        <v>판타지 웹소설 &gt; 퓨전 판타지</v>
      </c>
    </row>
    <row r="3590" spans="1:59">
      <c r="A3590" t="s">
        <v>60</v>
      </c>
      <c r="B3590" s="1">
        <v>46129</v>
      </c>
      <c r="C3590">
        <v>2378026730</v>
      </c>
      <c r="D3590">
        <v>2378026730</v>
      </c>
      <c r="E3590" t="str">
        <f>T("사냥꾼에게서 도망쳤다 1화")</f>
        <v>사냥꾼에게서 도망쳤다 1화</v>
      </c>
      <c r="F3590">
        <v>1</v>
      </c>
      <c r="G3590" t="str">
        <f>T("죄송한취향")</f>
        <v>죄송한취향</v>
      </c>
      <c r="J3590" t="str">
        <f>T("시계토끼")</f>
        <v>시계토끼</v>
      </c>
      <c r="K3590" t="str">
        <f>T("사냥꾼에게서 도망쳤다")</f>
        <v>사냥꾼에게서 도망쳤다</v>
      </c>
      <c r="L3590">
        <v>0</v>
      </c>
      <c r="M3590">
        <v>0</v>
      </c>
      <c r="N3590">
        <v>0</v>
      </c>
      <c r="O3590">
        <v>1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0</v>
      </c>
      <c r="AH3590">
        <v>0</v>
      </c>
      <c r="AI3590">
        <v>0</v>
      </c>
      <c r="AJ3590">
        <v>1</v>
      </c>
      <c r="AK3590">
        <v>0</v>
      </c>
      <c r="AL3590">
        <v>0</v>
      </c>
      <c r="AM3590">
        <v>0</v>
      </c>
      <c r="AN3590">
        <v>0</v>
      </c>
      <c r="AO3590">
        <v>0</v>
      </c>
      <c r="AP3590">
        <v>0</v>
      </c>
      <c r="AQ3590">
        <v>0</v>
      </c>
      <c r="AS3590">
        <v>0</v>
      </c>
      <c r="AT3590">
        <v>0</v>
      </c>
      <c r="AV3590">
        <v>0</v>
      </c>
      <c r="AW3590">
        <v>0</v>
      </c>
      <c r="AY3590">
        <v>0</v>
      </c>
      <c r="AZ3590">
        <v>0</v>
      </c>
      <c r="BA3590">
        <v>0</v>
      </c>
      <c r="BE3590" t="str">
        <f>T("9791164976065")</f>
        <v>9791164976065</v>
      </c>
      <c r="BF3590" t="str">
        <f>T("E830774")</f>
        <v>E830774</v>
      </c>
      <c r="BG3590" t="str">
        <f>T("로판 웹소설 &gt; 서양풍 로판")</f>
        <v>로판 웹소설 &gt; 서양풍 로판</v>
      </c>
    </row>
    <row r="3591" spans="1:59">
      <c r="A3591" t="s">
        <v>60</v>
      </c>
      <c r="B3591" s="1">
        <v>46129</v>
      </c>
      <c r="C3591">
        <v>2378026730</v>
      </c>
      <c r="D3591">
        <v>2378026731</v>
      </c>
      <c r="E3591" t="str">
        <f>T("사냥꾼에게서 도망쳤다 2화")</f>
        <v>사냥꾼에게서 도망쳤다 2화</v>
      </c>
      <c r="F3591">
        <v>2</v>
      </c>
      <c r="G3591" t="str">
        <f>T("죄송한취향")</f>
        <v>죄송한취향</v>
      </c>
      <c r="J3591" t="str">
        <f>T("시계토끼")</f>
        <v>시계토끼</v>
      </c>
      <c r="K3591" t="str">
        <f>T("사냥꾼에게서 도망쳤다")</f>
        <v>사냥꾼에게서 도망쳤다</v>
      </c>
      <c r="L3591">
        <v>0</v>
      </c>
      <c r="M3591">
        <v>0</v>
      </c>
      <c r="N3591">
        <v>0</v>
      </c>
      <c r="O3591">
        <v>1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0</v>
      </c>
      <c r="AH3591">
        <v>0</v>
      </c>
      <c r="AI3591">
        <v>0</v>
      </c>
      <c r="AJ3591">
        <v>1</v>
      </c>
      <c r="AK3591">
        <v>0</v>
      </c>
      <c r="AL3591">
        <v>0</v>
      </c>
      <c r="AM3591">
        <v>0</v>
      </c>
      <c r="AN3591">
        <v>0</v>
      </c>
      <c r="AO3591">
        <v>0</v>
      </c>
      <c r="AP3591">
        <v>0</v>
      </c>
      <c r="AQ3591">
        <v>0</v>
      </c>
      <c r="AS3591">
        <v>0</v>
      </c>
      <c r="AT3591">
        <v>0</v>
      </c>
      <c r="AV3591">
        <v>0</v>
      </c>
      <c r="AW3591">
        <v>0</v>
      </c>
      <c r="AY3591">
        <v>0</v>
      </c>
      <c r="AZ3591">
        <v>0</v>
      </c>
      <c r="BA3591">
        <v>0</v>
      </c>
      <c r="BE3591" t="str">
        <f>T("9791164976065")</f>
        <v>9791164976065</v>
      </c>
      <c r="BF3591" t="str">
        <f>T("E830775")</f>
        <v>E830775</v>
      </c>
      <c r="BG3591" t="str">
        <f>T("로판 웹소설 &gt; 서양풍 로판")</f>
        <v>로판 웹소설 &gt; 서양풍 로판</v>
      </c>
    </row>
    <row r="3592" spans="1:59">
      <c r="A3592" t="s">
        <v>60</v>
      </c>
      <c r="B3592" s="1">
        <v>46129</v>
      </c>
      <c r="C3592">
        <v>2378026730</v>
      </c>
      <c r="D3592">
        <v>2378026732</v>
      </c>
      <c r="E3592" t="str">
        <f>T("사냥꾼에게서 도망쳤다 3화")</f>
        <v>사냥꾼에게서 도망쳤다 3화</v>
      </c>
      <c r="F3592">
        <v>3</v>
      </c>
      <c r="G3592" t="str">
        <f>T("죄송한취향")</f>
        <v>죄송한취향</v>
      </c>
      <c r="J3592" t="str">
        <f>T("시계토끼")</f>
        <v>시계토끼</v>
      </c>
      <c r="K3592" t="str">
        <f>T("사냥꾼에게서 도망쳤다")</f>
        <v>사냥꾼에게서 도망쳤다</v>
      </c>
      <c r="L3592">
        <v>0</v>
      </c>
      <c r="M3592">
        <v>0</v>
      </c>
      <c r="N3592">
        <v>0</v>
      </c>
      <c r="O3592">
        <v>1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0</v>
      </c>
      <c r="AE3592">
        <v>0</v>
      </c>
      <c r="AF3592">
        <v>0</v>
      </c>
      <c r="AG3592">
        <v>0</v>
      </c>
      <c r="AH3592">
        <v>0</v>
      </c>
      <c r="AI3592">
        <v>0</v>
      </c>
      <c r="AJ3592">
        <v>1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S3592">
        <v>0</v>
      </c>
      <c r="AT3592">
        <v>0</v>
      </c>
      <c r="AV3592">
        <v>0</v>
      </c>
      <c r="AW3592">
        <v>0</v>
      </c>
      <c r="AY3592">
        <v>0</v>
      </c>
      <c r="AZ3592">
        <v>0</v>
      </c>
      <c r="BA3592">
        <v>0</v>
      </c>
      <c r="BE3592" t="str">
        <f>T("9791164976065")</f>
        <v>9791164976065</v>
      </c>
      <c r="BF3592" t="str">
        <f>T("E830776")</f>
        <v>E830776</v>
      </c>
      <c r="BG3592" t="str">
        <f>T("로판 웹소설 &gt; 서양풍 로판")</f>
        <v>로판 웹소설 &gt; 서양풍 로판</v>
      </c>
    </row>
    <row r="3593" spans="1:59">
      <c r="A3593" t="s">
        <v>60</v>
      </c>
      <c r="B3593" s="1">
        <v>46129</v>
      </c>
      <c r="C3593">
        <v>2378026730</v>
      </c>
      <c r="D3593">
        <v>2378026734</v>
      </c>
      <c r="E3593" t="str">
        <f>T("사냥꾼에게서 도망쳤다 5화")</f>
        <v>사냥꾼에게서 도망쳤다 5화</v>
      </c>
      <c r="F3593">
        <v>5</v>
      </c>
      <c r="G3593" t="str">
        <f>T("죄송한취향")</f>
        <v>죄송한취향</v>
      </c>
      <c r="J3593" t="str">
        <f>T("시계토끼")</f>
        <v>시계토끼</v>
      </c>
      <c r="K3593" t="str">
        <f>T("사냥꾼에게서 도망쳤다")</f>
        <v>사냥꾼에게서 도망쳤다</v>
      </c>
      <c r="L3593">
        <v>100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1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0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0</v>
      </c>
      <c r="AH3593">
        <v>0</v>
      </c>
      <c r="AI3593">
        <v>0</v>
      </c>
      <c r="AJ3593">
        <v>1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S3593">
        <v>0</v>
      </c>
      <c r="AT3593">
        <v>0</v>
      </c>
      <c r="AV3593">
        <v>0</v>
      </c>
      <c r="AW3593">
        <v>0</v>
      </c>
      <c r="AY3593">
        <v>0</v>
      </c>
      <c r="AZ3593">
        <v>0</v>
      </c>
      <c r="BA3593">
        <v>0</v>
      </c>
      <c r="BE3593" t="str">
        <f>T("9791164976065")</f>
        <v>9791164976065</v>
      </c>
      <c r="BF3593" t="str">
        <f>T("E830778")</f>
        <v>E830778</v>
      </c>
      <c r="BG3593" t="str">
        <f>T("로판 웹소설 &gt; 서양풍 로판")</f>
        <v>로판 웹소설 &gt; 서양풍 로판</v>
      </c>
    </row>
    <row r="3594" spans="1:59">
      <c r="A3594" t="s">
        <v>60</v>
      </c>
      <c r="B3594" s="1">
        <v>46129</v>
      </c>
      <c r="C3594">
        <v>2378026730</v>
      </c>
      <c r="D3594">
        <v>2378026735</v>
      </c>
      <c r="E3594" t="str">
        <f>T("사냥꾼에게서 도망쳤다 6화")</f>
        <v>사냥꾼에게서 도망쳤다 6화</v>
      </c>
      <c r="F3594">
        <v>6</v>
      </c>
      <c r="G3594" t="str">
        <f>T("죄송한취향")</f>
        <v>죄송한취향</v>
      </c>
      <c r="J3594" t="str">
        <f>T("시계토끼")</f>
        <v>시계토끼</v>
      </c>
      <c r="K3594" t="str">
        <f>T("사냥꾼에게서 도망쳤다")</f>
        <v>사냥꾼에게서 도망쳤다</v>
      </c>
      <c r="L3594">
        <v>100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1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0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0</v>
      </c>
      <c r="AH3594">
        <v>0</v>
      </c>
      <c r="AI3594">
        <v>0</v>
      </c>
      <c r="AJ3594">
        <v>1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S3594">
        <v>0</v>
      </c>
      <c r="AT3594">
        <v>0</v>
      </c>
      <c r="AV3594">
        <v>0</v>
      </c>
      <c r="AW3594">
        <v>0</v>
      </c>
      <c r="AY3594">
        <v>0</v>
      </c>
      <c r="AZ3594">
        <v>0</v>
      </c>
      <c r="BA3594">
        <v>0</v>
      </c>
      <c r="BE3594" t="str">
        <f>T("9791164976065")</f>
        <v>9791164976065</v>
      </c>
      <c r="BF3594" t="str">
        <f>T("E830779")</f>
        <v>E830779</v>
      </c>
      <c r="BG3594" t="str">
        <f>T("로판 웹소설 &gt; 서양풍 로판")</f>
        <v>로판 웹소설 &gt; 서양풍 로판</v>
      </c>
    </row>
    <row r="3595" spans="1:59">
      <c r="A3595" t="s">
        <v>60</v>
      </c>
      <c r="B3595" s="1">
        <v>46129</v>
      </c>
      <c r="C3595">
        <v>2378026730</v>
      </c>
      <c r="D3595">
        <v>2378026741</v>
      </c>
      <c r="E3595" t="str">
        <f>T("사냥꾼에게서 도망쳤다 12화")</f>
        <v>사냥꾼에게서 도망쳤다 12화</v>
      </c>
      <c r="F3595">
        <v>12</v>
      </c>
      <c r="G3595" t="str">
        <f>T("죄송한취향")</f>
        <v>죄송한취향</v>
      </c>
      <c r="J3595" t="str">
        <f>T("시계토끼")</f>
        <v>시계토끼</v>
      </c>
      <c r="K3595" t="str">
        <f>T("사냥꾼에게서 도망쳤다")</f>
        <v>사냥꾼에게서 도망쳤다</v>
      </c>
      <c r="L3595">
        <v>100</v>
      </c>
      <c r="M3595">
        <v>100</v>
      </c>
      <c r="N3595">
        <v>1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0</v>
      </c>
      <c r="AB3595">
        <v>0</v>
      </c>
      <c r="AC3595">
        <v>0</v>
      </c>
      <c r="AD3595">
        <v>0</v>
      </c>
      <c r="AE3595">
        <v>0</v>
      </c>
      <c r="AF3595">
        <v>0</v>
      </c>
      <c r="AG3595">
        <v>0</v>
      </c>
      <c r="AH3595">
        <v>0</v>
      </c>
      <c r="AI3595">
        <v>100</v>
      </c>
      <c r="AJ3595">
        <v>1</v>
      </c>
      <c r="AK3595">
        <v>0</v>
      </c>
      <c r="AL3595">
        <v>0</v>
      </c>
      <c r="AM3595">
        <v>100</v>
      </c>
      <c r="AN3595">
        <v>0</v>
      </c>
      <c r="AO3595">
        <v>0</v>
      </c>
      <c r="AP3595">
        <v>0</v>
      </c>
      <c r="AQ3595">
        <v>0</v>
      </c>
      <c r="AS3595">
        <v>0</v>
      </c>
      <c r="AT3595">
        <v>0</v>
      </c>
      <c r="AV3595">
        <v>0</v>
      </c>
      <c r="AW3595">
        <v>0</v>
      </c>
      <c r="AY3595">
        <v>0</v>
      </c>
      <c r="AZ3595">
        <v>0</v>
      </c>
      <c r="BA3595">
        <v>70</v>
      </c>
      <c r="BE3595" t="str">
        <f>T("9791164976065")</f>
        <v>9791164976065</v>
      </c>
      <c r="BF3595" t="str">
        <f>T("E830785")</f>
        <v>E830785</v>
      </c>
      <c r="BG3595" t="str">
        <f>T("로판 웹소설 &gt; 서양풍 로판")</f>
        <v>로판 웹소설 &gt; 서양풍 로판</v>
      </c>
    </row>
    <row r="3596" spans="1:59">
      <c r="A3596" t="s">
        <v>60</v>
      </c>
      <c r="B3596" s="1">
        <v>46130</v>
      </c>
      <c r="C3596">
        <v>2378026730</v>
      </c>
      <c r="D3596">
        <v>2378031289</v>
      </c>
      <c r="E3596" t="str">
        <f>T("사냥꾼에게서 도망쳤다 130화")</f>
        <v>사냥꾼에게서 도망쳤다 130화</v>
      </c>
      <c r="F3596">
        <v>130</v>
      </c>
      <c r="G3596" t="str">
        <f>T("죄송한취향")</f>
        <v>죄송한취향</v>
      </c>
      <c r="J3596" t="str">
        <f>T("시계토끼")</f>
        <v>시계토끼</v>
      </c>
      <c r="K3596" t="str">
        <f>T("사냥꾼에게서 도망쳤다")</f>
        <v>사냥꾼에게서 도망쳤다</v>
      </c>
      <c r="L3596">
        <v>100</v>
      </c>
      <c r="M3596">
        <v>100</v>
      </c>
      <c r="N3596">
        <v>1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0</v>
      </c>
      <c r="AH3596">
        <v>0</v>
      </c>
      <c r="AI3596">
        <v>100</v>
      </c>
      <c r="AJ3596">
        <v>1</v>
      </c>
      <c r="AK3596">
        <v>0</v>
      </c>
      <c r="AL3596">
        <v>0</v>
      </c>
      <c r="AM3596">
        <v>0</v>
      </c>
      <c r="AN3596">
        <v>0</v>
      </c>
      <c r="AO3596">
        <v>120</v>
      </c>
      <c r="AP3596">
        <v>-12</v>
      </c>
      <c r="AQ3596">
        <v>0</v>
      </c>
      <c r="AS3596">
        <v>0</v>
      </c>
      <c r="AT3596">
        <v>0</v>
      </c>
      <c r="AU3596">
        <v>120</v>
      </c>
      <c r="AV3596">
        <v>-12</v>
      </c>
      <c r="AW3596">
        <v>0</v>
      </c>
      <c r="AY3596">
        <v>0</v>
      </c>
      <c r="AZ3596">
        <v>0</v>
      </c>
      <c r="BA3596">
        <v>75.599999999999994</v>
      </c>
      <c r="BE3596" t="str">
        <f>T("9791164976065")</f>
        <v>9791164976065</v>
      </c>
      <c r="BF3596" t="str">
        <f>T("N003940")</f>
        <v>N003940</v>
      </c>
      <c r="BG3596" t="str">
        <f>T("로판 웹소설 &gt; 서양풍 로판")</f>
        <v>로판 웹소설 &gt; 서양풍 로판</v>
      </c>
    </row>
    <row r="3597" spans="1:59">
      <c r="A3597" t="s">
        <v>60</v>
      </c>
      <c r="B3597" s="1">
        <v>46130</v>
      </c>
      <c r="C3597">
        <v>2378026730</v>
      </c>
      <c r="D3597">
        <v>2378031309</v>
      </c>
      <c r="E3597" t="str">
        <f>T("사냥꾼에게서 도망쳤다 131화")</f>
        <v>사냥꾼에게서 도망쳤다 131화</v>
      </c>
      <c r="F3597">
        <v>131</v>
      </c>
      <c r="G3597" t="str">
        <f>T("죄송한취향")</f>
        <v>죄송한취향</v>
      </c>
      <c r="J3597" t="str">
        <f>T("시계토끼")</f>
        <v>시계토끼</v>
      </c>
      <c r="K3597" t="str">
        <f>T("사냥꾼에게서 도망쳤다")</f>
        <v>사냥꾼에게서 도망쳤다</v>
      </c>
      <c r="L3597">
        <v>100</v>
      </c>
      <c r="M3597">
        <v>100</v>
      </c>
      <c r="N3597">
        <v>1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0</v>
      </c>
      <c r="AH3597">
        <v>0</v>
      </c>
      <c r="AI3597">
        <v>100</v>
      </c>
      <c r="AJ3597">
        <v>1</v>
      </c>
      <c r="AK3597">
        <v>0</v>
      </c>
      <c r="AL3597">
        <v>0</v>
      </c>
      <c r="AM3597">
        <v>0</v>
      </c>
      <c r="AN3597">
        <v>0</v>
      </c>
      <c r="AO3597">
        <v>120</v>
      </c>
      <c r="AP3597">
        <v>-12</v>
      </c>
      <c r="AQ3597">
        <v>0</v>
      </c>
      <c r="AS3597">
        <v>0</v>
      </c>
      <c r="AT3597">
        <v>0</v>
      </c>
      <c r="AU3597">
        <v>120</v>
      </c>
      <c r="AV3597">
        <v>-12</v>
      </c>
      <c r="AW3597">
        <v>0</v>
      </c>
      <c r="AY3597">
        <v>0</v>
      </c>
      <c r="AZ3597">
        <v>0</v>
      </c>
      <c r="BA3597">
        <v>75.599999999999994</v>
      </c>
      <c r="BE3597" t="str">
        <f>T("9791164976065")</f>
        <v>9791164976065</v>
      </c>
      <c r="BF3597" t="str">
        <f>T("N003941")</f>
        <v>N003941</v>
      </c>
      <c r="BG3597" t="str">
        <f>T("로판 웹소설 &gt; 서양풍 로판")</f>
        <v>로판 웹소설 &gt; 서양풍 로판</v>
      </c>
    </row>
    <row r="3598" spans="1:59">
      <c r="A3598" t="s">
        <v>60</v>
      </c>
      <c r="B3598" s="1">
        <v>46130</v>
      </c>
      <c r="C3598">
        <v>2378026730</v>
      </c>
      <c r="D3598">
        <v>2378026742</v>
      </c>
      <c r="E3598" t="str">
        <f>T("사냥꾼에게서 도망쳤다 13화")</f>
        <v>사냥꾼에게서 도망쳤다 13화</v>
      </c>
      <c r="F3598">
        <v>13</v>
      </c>
      <c r="G3598" t="str">
        <f>T("죄송한취향")</f>
        <v>죄송한취향</v>
      </c>
      <c r="J3598" t="str">
        <f>T("시계토끼")</f>
        <v>시계토끼</v>
      </c>
      <c r="K3598" t="str">
        <f>T("사냥꾼에게서 도망쳤다")</f>
        <v>사냥꾼에게서 도망쳤다</v>
      </c>
      <c r="L3598">
        <v>100</v>
      </c>
      <c r="M3598">
        <v>100</v>
      </c>
      <c r="N3598">
        <v>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0</v>
      </c>
      <c r="AE3598">
        <v>0</v>
      </c>
      <c r="AF3598">
        <v>0</v>
      </c>
      <c r="AG3598">
        <v>0</v>
      </c>
      <c r="AH3598">
        <v>0</v>
      </c>
      <c r="AI3598">
        <v>100</v>
      </c>
      <c r="AJ3598">
        <v>1</v>
      </c>
      <c r="AK3598">
        <v>0</v>
      </c>
      <c r="AL3598">
        <v>0</v>
      </c>
      <c r="AM3598">
        <v>100</v>
      </c>
      <c r="AN3598">
        <v>0</v>
      </c>
      <c r="AO3598">
        <v>0</v>
      </c>
      <c r="AP3598">
        <v>0</v>
      </c>
      <c r="AQ3598">
        <v>0</v>
      </c>
      <c r="AS3598">
        <v>0</v>
      </c>
      <c r="AT3598">
        <v>0</v>
      </c>
      <c r="AV3598">
        <v>0</v>
      </c>
      <c r="AW3598">
        <v>0</v>
      </c>
      <c r="AY3598">
        <v>0</v>
      </c>
      <c r="AZ3598">
        <v>0</v>
      </c>
      <c r="BA3598">
        <v>70</v>
      </c>
      <c r="BE3598" t="str">
        <f>T("9791164976065")</f>
        <v>9791164976065</v>
      </c>
      <c r="BF3598" t="str">
        <f>T("E830786")</f>
        <v>E830786</v>
      </c>
      <c r="BG3598" t="str">
        <f>T("로판 웹소설 &gt; 서양풍 로판")</f>
        <v>로판 웹소설 &gt; 서양풍 로판</v>
      </c>
    </row>
    <row r="3599" spans="1:59">
      <c r="A3599" t="s">
        <v>60</v>
      </c>
      <c r="B3599" s="1">
        <v>46130</v>
      </c>
      <c r="C3599">
        <v>2378026730</v>
      </c>
      <c r="D3599">
        <v>2378026734</v>
      </c>
      <c r="E3599" t="str">
        <f>T("사냥꾼에게서 도망쳤다 5화")</f>
        <v>사냥꾼에게서 도망쳤다 5화</v>
      </c>
      <c r="F3599">
        <v>5</v>
      </c>
      <c r="G3599" t="str">
        <f>T("죄송한취향")</f>
        <v>죄송한취향</v>
      </c>
      <c r="J3599" t="str">
        <f>T("시계토끼")</f>
        <v>시계토끼</v>
      </c>
      <c r="K3599" t="str">
        <f>T("사냥꾼에게서 도망쳤다")</f>
        <v>사냥꾼에게서 도망쳤다</v>
      </c>
      <c r="L3599">
        <v>100</v>
      </c>
      <c r="M3599">
        <v>100</v>
      </c>
      <c r="N3599">
        <v>1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0</v>
      </c>
      <c r="AE3599">
        <v>0</v>
      </c>
      <c r="AF3599">
        <v>0</v>
      </c>
      <c r="AG3599">
        <v>0</v>
      </c>
      <c r="AH3599">
        <v>0</v>
      </c>
      <c r="AI3599">
        <v>100</v>
      </c>
      <c r="AJ3599">
        <v>1</v>
      </c>
      <c r="AK3599">
        <v>0</v>
      </c>
      <c r="AL3599">
        <v>0</v>
      </c>
      <c r="AM3599">
        <v>0</v>
      </c>
      <c r="AN3599">
        <v>0</v>
      </c>
      <c r="AO3599">
        <v>120</v>
      </c>
      <c r="AP3599">
        <v>-12</v>
      </c>
      <c r="AQ3599">
        <v>0</v>
      </c>
      <c r="AS3599">
        <v>0</v>
      </c>
      <c r="AT3599">
        <v>0</v>
      </c>
      <c r="AV3599">
        <v>0</v>
      </c>
      <c r="AW3599">
        <v>0</v>
      </c>
      <c r="AX3599">
        <v>120</v>
      </c>
      <c r="AY3599">
        <v>-12</v>
      </c>
      <c r="AZ3599">
        <v>0</v>
      </c>
      <c r="BA3599">
        <v>75.599999999999994</v>
      </c>
      <c r="BE3599" t="str">
        <f>T("9791164976065")</f>
        <v>9791164976065</v>
      </c>
      <c r="BF3599" t="str">
        <f>T("E830778")</f>
        <v>E830778</v>
      </c>
      <c r="BG3599" t="str">
        <f>T("로판 웹소설 &gt; 서양풍 로판")</f>
        <v>로판 웹소설 &gt; 서양풍 로판</v>
      </c>
    </row>
    <row r="3600" spans="1:59">
      <c r="A3600" t="s">
        <v>60</v>
      </c>
      <c r="B3600" s="1">
        <v>46130</v>
      </c>
      <c r="C3600">
        <v>2378026730</v>
      </c>
      <c r="D3600">
        <v>2378026735</v>
      </c>
      <c r="E3600" t="str">
        <f>T("사냥꾼에게서 도망쳤다 6화")</f>
        <v>사냥꾼에게서 도망쳤다 6화</v>
      </c>
      <c r="F3600">
        <v>6</v>
      </c>
      <c r="G3600" t="str">
        <f>T("죄송한취향")</f>
        <v>죄송한취향</v>
      </c>
      <c r="J3600" t="str">
        <f>T("시계토끼")</f>
        <v>시계토끼</v>
      </c>
      <c r="K3600" t="str">
        <f>T("사냥꾼에게서 도망쳤다")</f>
        <v>사냥꾼에게서 도망쳤다</v>
      </c>
      <c r="L3600">
        <v>100</v>
      </c>
      <c r="M3600">
        <v>100</v>
      </c>
      <c r="N3600">
        <v>1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0</v>
      </c>
      <c r="AE3600">
        <v>0</v>
      </c>
      <c r="AF3600">
        <v>0</v>
      </c>
      <c r="AG3600">
        <v>0</v>
      </c>
      <c r="AH3600">
        <v>0</v>
      </c>
      <c r="AI3600">
        <v>100</v>
      </c>
      <c r="AJ3600">
        <v>1</v>
      </c>
      <c r="AK3600">
        <v>0</v>
      </c>
      <c r="AL3600">
        <v>0</v>
      </c>
      <c r="AM3600">
        <v>0</v>
      </c>
      <c r="AN3600">
        <v>0</v>
      </c>
      <c r="AO3600">
        <v>120</v>
      </c>
      <c r="AP3600">
        <v>-12</v>
      </c>
      <c r="AQ3600">
        <v>0</v>
      </c>
      <c r="AS3600">
        <v>0</v>
      </c>
      <c r="AT3600">
        <v>0</v>
      </c>
      <c r="AV3600">
        <v>0</v>
      </c>
      <c r="AW3600">
        <v>0</v>
      </c>
      <c r="AX3600">
        <v>120</v>
      </c>
      <c r="AY3600">
        <v>-12</v>
      </c>
      <c r="AZ3600">
        <v>0</v>
      </c>
      <c r="BA3600">
        <v>75.599999999999994</v>
      </c>
      <c r="BE3600" t="str">
        <f>T("9791164976065")</f>
        <v>9791164976065</v>
      </c>
      <c r="BF3600" t="str">
        <f>T("E830779")</f>
        <v>E830779</v>
      </c>
      <c r="BG3600" t="str">
        <f>T("로판 웹소설 &gt; 서양풍 로판")</f>
        <v>로판 웹소설 &gt; 서양풍 로판</v>
      </c>
    </row>
    <row r="3601" spans="1:59">
      <c r="A3601" t="s">
        <v>60</v>
      </c>
      <c r="B3601" s="1">
        <v>46130</v>
      </c>
      <c r="C3601">
        <v>2378026730</v>
      </c>
      <c r="D3601">
        <v>2378026736</v>
      </c>
      <c r="E3601" t="str">
        <f>T("사냥꾼에게서 도망쳤다 7화")</f>
        <v>사냥꾼에게서 도망쳤다 7화</v>
      </c>
      <c r="F3601">
        <v>7</v>
      </c>
      <c r="G3601" t="str">
        <f>T("죄송한취향")</f>
        <v>죄송한취향</v>
      </c>
      <c r="J3601" t="str">
        <f>T("시계토끼")</f>
        <v>시계토끼</v>
      </c>
      <c r="K3601" t="str">
        <f>T("사냥꾼에게서 도망쳤다")</f>
        <v>사냥꾼에게서 도망쳤다</v>
      </c>
      <c r="L3601">
        <v>100</v>
      </c>
      <c r="M3601">
        <v>100</v>
      </c>
      <c r="N3601">
        <v>1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0</v>
      </c>
      <c r="AE3601">
        <v>0</v>
      </c>
      <c r="AF3601">
        <v>0</v>
      </c>
      <c r="AG3601">
        <v>0</v>
      </c>
      <c r="AH3601">
        <v>0</v>
      </c>
      <c r="AI3601">
        <v>100</v>
      </c>
      <c r="AJ3601">
        <v>1</v>
      </c>
      <c r="AK3601">
        <v>0</v>
      </c>
      <c r="AL3601">
        <v>0</v>
      </c>
      <c r="AM3601">
        <v>0</v>
      </c>
      <c r="AN3601">
        <v>0</v>
      </c>
      <c r="AO3601">
        <v>120</v>
      </c>
      <c r="AP3601">
        <v>-12</v>
      </c>
      <c r="AQ3601">
        <v>0</v>
      </c>
      <c r="AS3601">
        <v>0</v>
      </c>
      <c r="AT3601">
        <v>0</v>
      </c>
      <c r="AV3601">
        <v>0</v>
      </c>
      <c r="AW3601">
        <v>0</v>
      </c>
      <c r="AX3601">
        <v>120</v>
      </c>
      <c r="AY3601">
        <v>-12</v>
      </c>
      <c r="AZ3601">
        <v>0</v>
      </c>
      <c r="BA3601">
        <v>75.599999999999994</v>
      </c>
      <c r="BE3601" t="str">
        <f>T("9791164976065")</f>
        <v>9791164976065</v>
      </c>
      <c r="BF3601" t="str">
        <f>T("E830780")</f>
        <v>E830780</v>
      </c>
      <c r="BG3601" t="str">
        <f>T("로판 웹소설 &gt; 서양풍 로판")</f>
        <v>로판 웹소설 &gt; 서양풍 로판</v>
      </c>
    </row>
    <row r="3602" spans="1:59">
      <c r="A3602" t="s">
        <v>60</v>
      </c>
      <c r="B3602" s="1">
        <v>46130</v>
      </c>
      <c r="C3602">
        <v>2378026730</v>
      </c>
      <c r="D3602">
        <v>2378026740</v>
      </c>
      <c r="E3602" t="str">
        <f>T("사냥꾼에게서 도망쳤다 11화")</f>
        <v>사냥꾼에게서 도망쳤다 11화</v>
      </c>
      <c r="F3602">
        <v>11</v>
      </c>
      <c r="G3602" t="str">
        <f>T("죄송한취향")</f>
        <v>죄송한취향</v>
      </c>
      <c r="J3602" t="str">
        <f>T("시계토끼")</f>
        <v>시계토끼</v>
      </c>
      <c r="K3602" t="str">
        <f>T("사냥꾼에게서 도망쳤다")</f>
        <v>사냥꾼에게서 도망쳤다</v>
      </c>
      <c r="L3602">
        <v>100</v>
      </c>
      <c r="M3602">
        <v>100</v>
      </c>
      <c r="N3602">
        <v>1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0</v>
      </c>
      <c r="AE3602">
        <v>0</v>
      </c>
      <c r="AF3602">
        <v>0</v>
      </c>
      <c r="AG3602">
        <v>0</v>
      </c>
      <c r="AH3602">
        <v>0</v>
      </c>
      <c r="AI3602">
        <v>100</v>
      </c>
      <c r="AJ3602">
        <v>1</v>
      </c>
      <c r="AK3602">
        <v>0</v>
      </c>
      <c r="AL3602">
        <v>0</v>
      </c>
      <c r="AM3602">
        <v>0</v>
      </c>
      <c r="AN3602">
        <v>0</v>
      </c>
      <c r="AO3602">
        <v>120</v>
      </c>
      <c r="AP3602">
        <v>-12</v>
      </c>
      <c r="AQ3602">
        <v>0</v>
      </c>
      <c r="AS3602">
        <v>0</v>
      </c>
      <c r="AT3602">
        <v>0</v>
      </c>
      <c r="AV3602">
        <v>0</v>
      </c>
      <c r="AW3602">
        <v>0</v>
      </c>
      <c r="AX3602">
        <v>120</v>
      </c>
      <c r="AY3602">
        <v>-12</v>
      </c>
      <c r="AZ3602">
        <v>0</v>
      </c>
      <c r="BA3602">
        <v>75.599999999999994</v>
      </c>
      <c r="BE3602" t="str">
        <f>T("9791164976065")</f>
        <v>9791164976065</v>
      </c>
      <c r="BF3602" t="str">
        <f>T("E830784")</f>
        <v>E830784</v>
      </c>
      <c r="BG3602" t="str">
        <f>T("로판 웹소설 &gt; 서양풍 로판")</f>
        <v>로판 웹소설 &gt; 서양풍 로판</v>
      </c>
    </row>
    <row r="3603" spans="1:59">
      <c r="A3603" t="s">
        <v>60</v>
      </c>
      <c r="B3603" s="1">
        <v>46130</v>
      </c>
      <c r="C3603">
        <v>2378026730</v>
      </c>
      <c r="D3603">
        <v>2378026741</v>
      </c>
      <c r="E3603" t="str">
        <f>T("사냥꾼에게서 도망쳤다 12화")</f>
        <v>사냥꾼에게서 도망쳤다 12화</v>
      </c>
      <c r="F3603">
        <v>12</v>
      </c>
      <c r="G3603" t="str">
        <f>T("죄송한취향")</f>
        <v>죄송한취향</v>
      </c>
      <c r="J3603" t="str">
        <f>T("시계토끼")</f>
        <v>시계토끼</v>
      </c>
      <c r="K3603" t="str">
        <f>T("사냥꾼에게서 도망쳤다")</f>
        <v>사냥꾼에게서 도망쳤다</v>
      </c>
      <c r="L3603">
        <v>100</v>
      </c>
      <c r="M3603">
        <v>100</v>
      </c>
      <c r="N3603">
        <v>1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0</v>
      </c>
      <c r="AE3603">
        <v>0</v>
      </c>
      <c r="AF3603">
        <v>0</v>
      </c>
      <c r="AG3603">
        <v>0</v>
      </c>
      <c r="AH3603">
        <v>0</v>
      </c>
      <c r="AI3603">
        <v>100</v>
      </c>
      <c r="AJ3603">
        <v>1</v>
      </c>
      <c r="AK3603">
        <v>0</v>
      </c>
      <c r="AL3603">
        <v>0</v>
      </c>
      <c r="AM3603">
        <v>0</v>
      </c>
      <c r="AN3603">
        <v>0</v>
      </c>
      <c r="AO3603">
        <v>120</v>
      </c>
      <c r="AP3603">
        <v>-12</v>
      </c>
      <c r="AQ3603">
        <v>0</v>
      </c>
      <c r="AS3603">
        <v>0</v>
      </c>
      <c r="AT3603">
        <v>0</v>
      </c>
      <c r="AV3603">
        <v>0</v>
      </c>
      <c r="AW3603">
        <v>0</v>
      </c>
      <c r="AX3603">
        <v>120</v>
      </c>
      <c r="AY3603">
        <v>-12</v>
      </c>
      <c r="AZ3603">
        <v>0</v>
      </c>
      <c r="BA3603">
        <v>75.599999999999994</v>
      </c>
      <c r="BE3603" t="str">
        <f>T("9791164976065")</f>
        <v>9791164976065</v>
      </c>
      <c r="BF3603" t="str">
        <f>T("E830785")</f>
        <v>E830785</v>
      </c>
      <c r="BG3603" t="str">
        <f>T("로판 웹소설 &gt; 서양풍 로판")</f>
        <v>로판 웹소설 &gt; 서양풍 로판</v>
      </c>
    </row>
    <row r="3604" spans="1:59">
      <c r="A3604" t="s">
        <v>60</v>
      </c>
      <c r="B3604" s="1">
        <v>46130</v>
      </c>
      <c r="C3604">
        <v>2378026730</v>
      </c>
      <c r="D3604">
        <v>2378026755</v>
      </c>
      <c r="E3604" t="str">
        <f>T("사냥꾼에게서 도망쳤다 26화")</f>
        <v>사냥꾼에게서 도망쳤다 26화</v>
      </c>
      <c r="F3604">
        <v>26</v>
      </c>
      <c r="G3604" t="str">
        <f>T("죄송한취향")</f>
        <v>죄송한취향</v>
      </c>
      <c r="J3604" t="str">
        <f>T("시계토끼")</f>
        <v>시계토끼</v>
      </c>
      <c r="K3604" t="str">
        <f>T("사냥꾼에게서 도망쳤다")</f>
        <v>사냥꾼에게서 도망쳤다</v>
      </c>
      <c r="L3604">
        <v>100</v>
      </c>
      <c r="M3604">
        <v>100</v>
      </c>
      <c r="N3604">
        <v>1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0</v>
      </c>
      <c r="AE3604">
        <v>0</v>
      </c>
      <c r="AF3604">
        <v>0</v>
      </c>
      <c r="AG3604">
        <v>0</v>
      </c>
      <c r="AH3604">
        <v>0</v>
      </c>
      <c r="AI3604">
        <v>100</v>
      </c>
      <c r="AJ3604">
        <v>1</v>
      </c>
      <c r="AK3604">
        <v>0</v>
      </c>
      <c r="AL3604">
        <v>0</v>
      </c>
      <c r="AM3604">
        <v>0</v>
      </c>
      <c r="AN3604">
        <v>0</v>
      </c>
      <c r="AO3604">
        <v>120</v>
      </c>
      <c r="AP3604">
        <v>-12</v>
      </c>
      <c r="AQ3604">
        <v>0</v>
      </c>
      <c r="AS3604">
        <v>0</v>
      </c>
      <c r="AT3604">
        <v>0</v>
      </c>
      <c r="AV3604">
        <v>0</v>
      </c>
      <c r="AW3604">
        <v>0</v>
      </c>
      <c r="AX3604">
        <v>120</v>
      </c>
      <c r="AY3604">
        <v>-12</v>
      </c>
      <c r="AZ3604">
        <v>0</v>
      </c>
      <c r="BA3604">
        <v>75.599999999999994</v>
      </c>
      <c r="BE3604" t="str">
        <f>T("9791164976065")</f>
        <v>9791164976065</v>
      </c>
      <c r="BF3604" t="str">
        <f>T("E830799")</f>
        <v>E830799</v>
      </c>
      <c r="BG3604" t="str">
        <f>T("로판 웹소설 &gt; 서양풍 로판")</f>
        <v>로판 웹소설 &gt; 서양풍 로판</v>
      </c>
    </row>
    <row r="3605" spans="1:59">
      <c r="A3605" t="s">
        <v>60</v>
      </c>
      <c r="B3605" s="1">
        <v>46130</v>
      </c>
      <c r="C3605">
        <v>2378026730</v>
      </c>
      <c r="D3605">
        <v>2378026749</v>
      </c>
      <c r="E3605" t="str">
        <f>T("사냥꾼에게서 도망쳤다 20화")</f>
        <v>사냥꾼에게서 도망쳤다 20화</v>
      </c>
      <c r="F3605">
        <v>20</v>
      </c>
      <c r="G3605" t="str">
        <f>T("죄송한취향")</f>
        <v>죄송한취향</v>
      </c>
      <c r="J3605" t="str">
        <f>T("시계토끼")</f>
        <v>시계토끼</v>
      </c>
      <c r="K3605" t="str">
        <f>T("사냥꾼에게서 도망쳤다")</f>
        <v>사냥꾼에게서 도망쳤다</v>
      </c>
      <c r="L3605">
        <v>100</v>
      </c>
      <c r="M3605">
        <v>100</v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0</v>
      </c>
      <c r="AE3605">
        <v>0</v>
      </c>
      <c r="AF3605">
        <v>0</v>
      </c>
      <c r="AG3605">
        <v>0</v>
      </c>
      <c r="AH3605">
        <v>0</v>
      </c>
      <c r="AI3605">
        <v>100</v>
      </c>
      <c r="AJ3605">
        <v>1</v>
      </c>
      <c r="AK3605">
        <v>0</v>
      </c>
      <c r="AL3605">
        <v>0</v>
      </c>
      <c r="AM3605">
        <v>0</v>
      </c>
      <c r="AN3605">
        <v>0</v>
      </c>
      <c r="AO3605">
        <v>120</v>
      </c>
      <c r="AP3605">
        <v>-12</v>
      </c>
      <c r="AQ3605">
        <v>0</v>
      </c>
      <c r="AS3605">
        <v>0</v>
      </c>
      <c r="AT3605">
        <v>0</v>
      </c>
      <c r="AV3605">
        <v>0</v>
      </c>
      <c r="AW3605">
        <v>0</v>
      </c>
      <c r="AX3605">
        <v>120</v>
      </c>
      <c r="AY3605">
        <v>-12</v>
      </c>
      <c r="AZ3605">
        <v>0</v>
      </c>
      <c r="BA3605">
        <v>75.599999999999994</v>
      </c>
      <c r="BE3605" t="str">
        <f>T("9791164976065")</f>
        <v>9791164976065</v>
      </c>
      <c r="BF3605" t="str">
        <f>T("E830793")</f>
        <v>E830793</v>
      </c>
      <c r="BG3605" t="str">
        <f>T("로판 웹소설 &gt; 서양풍 로판")</f>
        <v>로판 웹소설 &gt; 서양풍 로판</v>
      </c>
    </row>
    <row r="3606" spans="1:59">
      <c r="A3606" t="s">
        <v>60</v>
      </c>
      <c r="B3606" s="1">
        <v>46130</v>
      </c>
      <c r="C3606">
        <v>2378026730</v>
      </c>
      <c r="D3606">
        <v>2378026750</v>
      </c>
      <c r="E3606" t="str">
        <f>T("사냥꾼에게서 도망쳤다 21화")</f>
        <v>사냥꾼에게서 도망쳤다 21화</v>
      </c>
      <c r="F3606">
        <v>21</v>
      </c>
      <c r="G3606" t="str">
        <f>T("죄송한취향")</f>
        <v>죄송한취향</v>
      </c>
      <c r="J3606" t="str">
        <f>T("시계토끼")</f>
        <v>시계토끼</v>
      </c>
      <c r="K3606" t="str">
        <f>T("사냥꾼에게서 도망쳤다")</f>
        <v>사냥꾼에게서 도망쳤다</v>
      </c>
      <c r="L3606">
        <v>100</v>
      </c>
      <c r="M3606">
        <v>100</v>
      </c>
      <c r="N3606">
        <v>1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0</v>
      </c>
      <c r="AE3606">
        <v>0</v>
      </c>
      <c r="AF3606">
        <v>0</v>
      </c>
      <c r="AG3606">
        <v>0</v>
      </c>
      <c r="AH3606">
        <v>0</v>
      </c>
      <c r="AI3606">
        <v>100</v>
      </c>
      <c r="AJ3606">
        <v>1</v>
      </c>
      <c r="AK3606">
        <v>0</v>
      </c>
      <c r="AL3606">
        <v>0</v>
      </c>
      <c r="AM3606">
        <v>0</v>
      </c>
      <c r="AN3606">
        <v>0</v>
      </c>
      <c r="AO3606">
        <v>120</v>
      </c>
      <c r="AP3606">
        <v>-12</v>
      </c>
      <c r="AQ3606">
        <v>0</v>
      </c>
      <c r="AS3606">
        <v>0</v>
      </c>
      <c r="AT3606">
        <v>0</v>
      </c>
      <c r="AV3606">
        <v>0</v>
      </c>
      <c r="AW3606">
        <v>0</v>
      </c>
      <c r="AX3606">
        <v>120</v>
      </c>
      <c r="AY3606">
        <v>-12</v>
      </c>
      <c r="AZ3606">
        <v>0</v>
      </c>
      <c r="BA3606">
        <v>75.599999999999994</v>
      </c>
      <c r="BE3606" t="str">
        <f>T("9791164976065")</f>
        <v>9791164976065</v>
      </c>
      <c r="BF3606" t="str">
        <f>T("E830794")</f>
        <v>E830794</v>
      </c>
      <c r="BG3606" t="str">
        <f>T("로판 웹소설 &gt; 서양풍 로판")</f>
        <v>로판 웹소설 &gt; 서양풍 로판</v>
      </c>
    </row>
    <row r="3607" spans="1:59">
      <c r="A3607" t="s">
        <v>60</v>
      </c>
      <c r="B3607" s="1">
        <v>46130</v>
      </c>
      <c r="C3607">
        <v>2378026730</v>
      </c>
      <c r="D3607">
        <v>2378026751</v>
      </c>
      <c r="E3607" t="str">
        <f>T("사냥꾼에게서 도망쳤다 22화")</f>
        <v>사냥꾼에게서 도망쳤다 22화</v>
      </c>
      <c r="F3607">
        <v>22</v>
      </c>
      <c r="G3607" t="str">
        <f>T("죄송한취향")</f>
        <v>죄송한취향</v>
      </c>
      <c r="J3607" t="str">
        <f>T("시계토끼")</f>
        <v>시계토끼</v>
      </c>
      <c r="K3607" t="str">
        <f>T("사냥꾼에게서 도망쳤다")</f>
        <v>사냥꾼에게서 도망쳤다</v>
      </c>
      <c r="L3607">
        <v>100</v>
      </c>
      <c r="M3607">
        <v>100</v>
      </c>
      <c r="N3607">
        <v>1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0</v>
      </c>
      <c r="AE3607">
        <v>0</v>
      </c>
      <c r="AF3607">
        <v>0</v>
      </c>
      <c r="AG3607">
        <v>0</v>
      </c>
      <c r="AH3607">
        <v>0</v>
      </c>
      <c r="AI3607">
        <v>100</v>
      </c>
      <c r="AJ3607">
        <v>1</v>
      </c>
      <c r="AK3607">
        <v>0</v>
      </c>
      <c r="AL3607">
        <v>0</v>
      </c>
      <c r="AM3607">
        <v>0</v>
      </c>
      <c r="AN3607">
        <v>0</v>
      </c>
      <c r="AO3607">
        <v>120</v>
      </c>
      <c r="AP3607">
        <v>-12</v>
      </c>
      <c r="AQ3607">
        <v>0</v>
      </c>
      <c r="AS3607">
        <v>0</v>
      </c>
      <c r="AT3607">
        <v>0</v>
      </c>
      <c r="AV3607">
        <v>0</v>
      </c>
      <c r="AW3607">
        <v>0</v>
      </c>
      <c r="AX3607">
        <v>120</v>
      </c>
      <c r="AY3607">
        <v>-12</v>
      </c>
      <c r="AZ3607">
        <v>0</v>
      </c>
      <c r="BA3607">
        <v>75.599999999999994</v>
      </c>
      <c r="BE3607" t="str">
        <f>T("9791164976065")</f>
        <v>9791164976065</v>
      </c>
      <c r="BF3607" t="str">
        <f>T("E830795")</f>
        <v>E830795</v>
      </c>
      <c r="BG3607" t="str">
        <f>T("로판 웹소설 &gt; 서양풍 로판")</f>
        <v>로판 웹소설 &gt; 서양풍 로판</v>
      </c>
    </row>
    <row r="3608" spans="1:59">
      <c r="A3608" t="s">
        <v>60</v>
      </c>
      <c r="B3608" s="1">
        <v>46130</v>
      </c>
      <c r="C3608">
        <v>2378026730</v>
      </c>
      <c r="D3608">
        <v>2378029628</v>
      </c>
      <c r="E3608" t="str">
        <f>T("사냥꾼에게서 도망쳤다 111화")</f>
        <v>사냥꾼에게서 도망쳤다 111화</v>
      </c>
      <c r="F3608">
        <v>111</v>
      </c>
      <c r="G3608" t="str">
        <f>T("죄송한취향")</f>
        <v>죄송한취향</v>
      </c>
      <c r="J3608" t="str">
        <f>T("시계토끼")</f>
        <v>시계토끼</v>
      </c>
      <c r="K3608" t="str">
        <f>T("사냥꾼에게서 도망쳤다")</f>
        <v>사냥꾼에게서 도망쳤다</v>
      </c>
      <c r="L3608">
        <v>100</v>
      </c>
      <c r="M3608">
        <v>100</v>
      </c>
      <c r="N3608">
        <v>1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0</v>
      </c>
      <c r="AE3608">
        <v>0</v>
      </c>
      <c r="AF3608">
        <v>0</v>
      </c>
      <c r="AG3608">
        <v>0</v>
      </c>
      <c r="AH3608">
        <v>0</v>
      </c>
      <c r="AI3608">
        <v>100</v>
      </c>
      <c r="AJ3608">
        <v>1</v>
      </c>
      <c r="AK3608">
        <v>0</v>
      </c>
      <c r="AL3608">
        <v>0</v>
      </c>
      <c r="AM3608">
        <v>0</v>
      </c>
      <c r="AN3608">
        <v>0</v>
      </c>
      <c r="AO3608">
        <v>120</v>
      </c>
      <c r="AP3608">
        <v>-12</v>
      </c>
      <c r="AQ3608">
        <v>0</v>
      </c>
      <c r="AS3608">
        <v>0</v>
      </c>
      <c r="AT3608">
        <v>0</v>
      </c>
      <c r="AU3608">
        <v>120</v>
      </c>
      <c r="AV3608">
        <v>-12</v>
      </c>
      <c r="AW3608">
        <v>0</v>
      </c>
      <c r="AY3608">
        <v>0</v>
      </c>
      <c r="AZ3608">
        <v>0</v>
      </c>
      <c r="BA3608">
        <v>75.599999999999994</v>
      </c>
      <c r="BE3608" t="str">
        <f>T("9791164976065")</f>
        <v>9791164976065</v>
      </c>
      <c r="BF3608" t="str">
        <f>T("E863289")</f>
        <v>E863289</v>
      </c>
      <c r="BG3608" t="str">
        <f>T("로판 웹소설 &gt; 서양풍 로판")</f>
        <v>로판 웹소설 &gt; 서양풍 로판</v>
      </c>
    </row>
    <row r="3609" spans="1:59">
      <c r="A3609" t="s">
        <v>60</v>
      </c>
      <c r="B3609" s="1">
        <v>46130</v>
      </c>
      <c r="C3609">
        <v>2378026730</v>
      </c>
      <c r="D3609">
        <v>2378026752</v>
      </c>
      <c r="E3609" t="str">
        <f>T("사냥꾼에게서 도망쳤다 23화")</f>
        <v>사냥꾼에게서 도망쳤다 23화</v>
      </c>
      <c r="F3609">
        <v>23</v>
      </c>
      <c r="G3609" t="str">
        <f>T("죄송한취향")</f>
        <v>죄송한취향</v>
      </c>
      <c r="J3609" t="str">
        <f>T("시계토끼")</f>
        <v>시계토끼</v>
      </c>
      <c r="K3609" t="str">
        <f>T("사냥꾼에게서 도망쳤다")</f>
        <v>사냥꾼에게서 도망쳤다</v>
      </c>
      <c r="L3609">
        <v>100</v>
      </c>
      <c r="M3609">
        <v>100</v>
      </c>
      <c r="N3609">
        <v>1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0</v>
      </c>
      <c r="AE3609">
        <v>0</v>
      </c>
      <c r="AF3609">
        <v>0</v>
      </c>
      <c r="AG3609">
        <v>0</v>
      </c>
      <c r="AH3609">
        <v>0</v>
      </c>
      <c r="AI3609">
        <v>100</v>
      </c>
      <c r="AJ3609">
        <v>1</v>
      </c>
      <c r="AK3609">
        <v>0</v>
      </c>
      <c r="AL3609">
        <v>0</v>
      </c>
      <c r="AM3609">
        <v>0</v>
      </c>
      <c r="AN3609">
        <v>0</v>
      </c>
      <c r="AO3609">
        <v>120</v>
      </c>
      <c r="AP3609">
        <v>-12</v>
      </c>
      <c r="AQ3609">
        <v>0</v>
      </c>
      <c r="AS3609">
        <v>0</v>
      </c>
      <c r="AT3609">
        <v>0</v>
      </c>
      <c r="AV3609">
        <v>0</v>
      </c>
      <c r="AW3609">
        <v>0</v>
      </c>
      <c r="AX3609">
        <v>120</v>
      </c>
      <c r="AY3609">
        <v>-12</v>
      </c>
      <c r="AZ3609">
        <v>0</v>
      </c>
      <c r="BA3609">
        <v>75.599999999999994</v>
      </c>
      <c r="BE3609" t="str">
        <f>T("9791164976065")</f>
        <v>9791164976065</v>
      </c>
      <c r="BF3609" t="str">
        <f>T("E830796")</f>
        <v>E830796</v>
      </c>
      <c r="BG3609" t="str">
        <f>T("로판 웹소설 &gt; 서양풍 로판")</f>
        <v>로판 웹소설 &gt; 서양풍 로판</v>
      </c>
    </row>
    <row r="3610" spans="1:59">
      <c r="A3610" t="s">
        <v>60</v>
      </c>
      <c r="B3610" s="1">
        <v>46130</v>
      </c>
      <c r="C3610">
        <v>2378026730</v>
      </c>
      <c r="D3610">
        <v>2378026753</v>
      </c>
      <c r="E3610" t="str">
        <f>T("사냥꾼에게서 도망쳤다 24화")</f>
        <v>사냥꾼에게서 도망쳤다 24화</v>
      </c>
      <c r="F3610">
        <v>24</v>
      </c>
      <c r="G3610" t="str">
        <f>T("죄송한취향")</f>
        <v>죄송한취향</v>
      </c>
      <c r="J3610" t="str">
        <f>T("시계토끼")</f>
        <v>시계토끼</v>
      </c>
      <c r="K3610" t="str">
        <f>T("사냥꾼에게서 도망쳤다")</f>
        <v>사냥꾼에게서 도망쳤다</v>
      </c>
      <c r="L3610">
        <v>100</v>
      </c>
      <c r="M3610">
        <v>100</v>
      </c>
      <c r="N3610">
        <v>1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0</v>
      </c>
      <c r="AE3610">
        <v>0</v>
      </c>
      <c r="AF3610">
        <v>0</v>
      </c>
      <c r="AG3610">
        <v>0</v>
      </c>
      <c r="AH3610">
        <v>0</v>
      </c>
      <c r="AI3610">
        <v>100</v>
      </c>
      <c r="AJ3610">
        <v>1</v>
      </c>
      <c r="AK3610">
        <v>0</v>
      </c>
      <c r="AL3610">
        <v>0</v>
      </c>
      <c r="AM3610">
        <v>0</v>
      </c>
      <c r="AN3610">
        <v>0</v>
      </c>
      <c r="AO3610">
        <v>120</v>
      </c>
      <c r="AP3610">
        <v>-12</v>
      </c>
      <c r="AQ3610">
        <v>0</v>
      </c>
      <c r="AS3610">
        <v>0</v>
      </c>
      <c r="AT3610">
        <v>0</v>
      </c>
      <c r="AV3610">
        <v>0</v>
      </c>
      <c r="AW3610">
        <v>0</v>
      </c>
      <c r="AX3610">
        <v>120</v>
      </c>
      <c r="AY3610">
        <v>-12</v>
      </c>
      <c r="AZ3610">
        <v>0</v>
      </c>
      <c r="BA3610">
        <v>75.599999999999994</v>
      </c>
      <c r="BE3610" t="str">
        <f>T("9791164976065")</f>
        <v>9791164976065</v>
      </c>
      <c r="BF3610" t="str">
        <f>T("E830797")</f>
        <v>E830797</v>
      </c>
      <c r="BG3610" t="str">
        <f>T("로판 웹소설 &gt; 서양풍 로판")</f>
        <v>로판 웹소설 &gt; 서양풍 로판</v>
      </c>
    </row>
    <row r="3611" spans="1:59">
      <c r="A3611" t="s">
        <v>60</v>
      </c>
      <c r="B3611" s="1">
        <v>46130</v>
      </c>
      <c r="C3611">
        <v>2378026730</v>
      </c>
      <c r="D3611">
        <v>2378026754</v>
      </c>
      <c r="E3611" t="str">
        <f>T("사냥꾼에게서 도망쳤다 25화")</f>
        <v>사냥꾼에게서 도망쳤다 25화</v>
      </c>
      <c r="F3611">
        <v>25</v>
      </c>
      <c r="G3611" t="str">
        <f>T("죄송한취향")</f>
        <v>죄송한취향</v>
      </c>
      <c r="J3611" t="str">
        <f>T("시계토끼")</f>
        <v>시계토끼</v>
      </c>
      <c r="K3611" t="str">
        <f>T("사냥꾼에게서 도망쳤다")</f>
        <v>사냥꾼에게서 도망쳤다</v>
      </c>
      <c r="L3611">
        <v>100</v>
      </c>
      <c r="M3611">
        <v>100</v>
      </c>
      <c r="N3611">
        <v>1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0</v>
      </c>
      <c r="AE3611">
        <v>0</v>
      </c>
      <c r="AF3611">
        <v>0</v>
      </c>
      <c r="AG3611">
        <v>0</v>
      </c>
      <c r="AH3611">
        <v>0</v>
      </c>
      <c r="AI3611">
        <v>100</v>
      </c>
      <c r="AJ3611">
        <v>1</v>
      </c>
      <c r="AK3611">
        <v>0</v>
      </c>
      <c r="AL3611">
        <v>0</v>
      </c>
      <c r="AM3611">
        <v>0</v>
      </c>
      <c r="AN3611">
        <v>0</v>
      </c>
      <c r="AO3611">
        <v>120</v>
      </c>
      <c r="AP3611">
        <v>-12</v>
      </c>
      <c r="AQ3611">
        <v>0</v>
      </c>
      <c r="AS3611">
        <v>0</v>
      </c>
      <c r="AT3611">
        <v>0</v>
      </c>
      <c r="AV3611">
        <v>0</v>
      </c>
      <c r="AW3611">
        <v>0</v>
      </c>
      <c r="AX3611">
        <v>120</v>
      </c>
      <c r="AY3611">
        <v>-12</v>
      </c>
      <c r="AZ3611">
        <v>0</v>
      </c>
      <c r="BA3611">
        <v>75.599999999999994</v>
      </c>
      <c r="BE3611" t="str">
        <f>T("9791164976065")</f>
        <v>9791164976065</v>
      </c>
      <c r="BF3611" t="str">
        <f>T("E830798")</f>
        <v>E830798</v>
      </c>
      <c r="BG3611" t="str">
        <f>T("로판 웹소설 &gt; 서양풍 로판")</f>
        <v>로판 웹소설 &gt; 서양풍 로판</v>
      </c>
    </row>
    <row r="3612" spans="1:59">
      <c r="A3612" t="s">
        <v>60</v>
      </c>
      <c r="B3612" s="1">
        <v>46130</v>
      </c>
      <c r="C3612">
        <v>2378026730</v>
      </c>
      <c r="D3612">
        <v>2378029629</v>
      </c>
      <c r="E3612" t="str">
        <f>T("사냥꾼에게서 도망쳤다 112화")</f>
        <v>사냥꾼에게서 도망쳤다 112화</v>
      </c>
      <c r="F3612">
        <v>112</v>
      </c>
      <c r="G3612" t="str">
        <f>T("죄송한취향")</f>
        <v>죄송한취향</v>
      </c>
      <c r="J3612" t="str">
        <f>T("시계토끼")</f>
        <v>시계토끼</v>
      </c>
      <c r="K3612" t="str">
        <f>T("사냥꾼에게서 도망쳤다")</f>
        <v>사냥꾼에게서 도망쳤다</v>
      </c>
      <c r="L3612">
        <v>100</v>
      </c>
      <c r="M3612">
        <v>100</v>
      </c>
      <c r="N3612">
        <v>1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0</v>
      </c>
      <c r="AE3612">
        <v>0</v>
      </c>
      <c r="AF3612">
        <v>0</v>
      </c>
      <c r="AG3612">
        <v>0</v>
      </c>
      <c r="AH3612">
        <v>0</v>
      </c>
      <c r="AI3612">
        <v>100</v>
      </c>
      <c r="AJ3612">
        <v>1</v>
      </c>
      <c r="AK3612">
        <v>0</v>
      </c>
      <c r="AL3612">
        <v>0</v>
      </c>
      <c r="AM3612">
        <v>0</v>
      </c>
      <c r="AN3612">
        <v>0</v>
      </c>
      <c r="AO3612">
        <v>120</v>
      </c>
      <c r="AP3612">
        <v>-12</v>
      </c>
      <c r="AQ3612">
        <v>0</v>
      </c>
      <c r="AS3612">
        <v>0</v>
      </c>
      <c r="AT3612">
        <v>0</v>
      </c>
      <c r="AU3612">
        <v>120</v>
      </c>
      <c r="AV3612">
        <v>-12</v>
      </c>
      <c r="AW3612">
        <v>0</v>
      </c>
      <c r="AY3612">
        <v>0</v>
      </c>
      <c r="AZ3612">
        <v>0</v>
      </c>
      <c r="BA3612">
        <v>75.599999999999994</v>
      </c>
      <c r="BE3612" t="str">
        <f>T("9791164976065")</f>
        <v>9791164976065</v>
      </c>
      <c r="BF3612" t="str">
        <f>T("E863290")</f>
        <v>E863290</v>
      </c>
      <c r="BG3612" t="str">
        <f>T("로판 웹소설 &gt; 서양풍 로판")</f>
        <v>로판 웹소설 &gt; 서양풍 로판</v>
      </c>
    </row>
    <row r="3613" spans="1:59">
      <c r="A3613" t="s">
        <v>60</v>
      </c>
      <c r="B3613" s="1">
        <v>46130</v>
      </c>
      <c r="C3613">
        <v>2378026730</v>
      </c>
      <c r="D3613">
        <v>2378026756</v>
      </c>
      <c r="E3613" t="str">
        <f>T("사냥꾼에게서 도망쳤다 27화")</f>
        <v>사냥꾼에게서 도망쳤다 27화</v>
      </c>
      <c r="F3613">
        <v>27</v>
      </c>
      <c r="G3613" t="str">
        <f>T("죄송한취향")</f>
        <v>죄송한취향</v>
      </c>
      <c r="J3613" t="str">
        <f>T("시계토끼")</f>
        <v>시계토끼</v>
      </c>
      <c r="K3613" t="str">
        <f>T("사냥꾼에게서 도망쳤다")</f>
        <v>사냥꾼에게서 도망쳤다</v>
      </c>
      <c r="L3613">
        <v>100</v>
      </c>
      <c r="M3613">
        <v>100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0</v>
      </c>
      <c r="AE3613">
        <v>0</v>
      </c>
      <c r="AF3613">
        <v>0</v>
      </c>
      <c r="AG3613">
        <v>0</v>
      </c>
      <c r="AH3613">
        <v>0</v>
      </c>
      <c r="AI3613">
        <v>100</v>
      </c>
      <c r="AJ3613">
        <v>1</v>
      </c>
      <c r="AK3613">
        <v>0</v>
      </c>
      <c r="AL3613">
        <v>0</v>
      </c>
      <c r="AM3613">
        <v>0</v>
      </c>
      <c r="AN3613">
        <v>0</v>
      </c>
      <c r="AO3613">
        <v>120</v>
      </c>
      <c r="AP3613">
        <v>-12</v>
      </c>
      <c r="AQ3613">
        <v>0</v>
      </c>
      <c r="AS3613">
        <v>0</v>
      </c>
      <c r="AT3613">
        <v>0</v>
      </c>
      <c r="AV3613">
        <v>0</v>
      </c>
      <c r="AW3613">
        <v>0</v>
      </c>
      <c r="AX3613">
        <v>120</v>
      </c>
      <c r="AY3613">
        <v>-12</v>
      </c>
      <c r="AZ3613">
        <v>0</v>
      </c>
      <c r="BA3613">
        <v>75.599999999999994</v>
      </c>
      <c r="BE3613" t="str">
        <f>T("9791164976065")</f>
        <v>9791164976065</v>
      </c>
      <c r="BF3613" t="str">
        <f>T("E830800")</f>
        <v>E830800</v>
      </c>
      <c r="BG3613" t="str">
        <f>T("로판 웹소설 &gt; 서양풍 로판")</f>
        <v>로판 웹소설 &gt; 서양풍 로판</v>
      </c>
    </row>
    <row r="3614" spans="1:59">
      <c r="A3614" t="s">
        <v>60</v>
      </c>
      <c r="B3614" s="1">
        <v>46130</v>
      </c>
      <c r="C3614">
        <v>2378026730</v>
      </c>
      <c r="D3614">
        <v>2378029893</v>
      </c>
      <c r="E3614" t="str">
        <f>T("사냥꾼에게서 도망쳤다 113화")</f>
        <v>사냥꾼에게서 도망쳤다 113화</v>
      </c>
      <c r="F3614">
        <v>113</v>
      </c>
      <c r="G3614" t="str">
        <f>T("죄송한취향")</f>
        <v>죄송한취향</v>
      </c>
      <c r="J3614" t="str">
        <f>T("시계토끼")</f>
        <v>시계토끼</v>
      </c>
      <c r="K3614" t="str">
        <f>T("사냥꾼에게서 도망쳤다")</f>
        <v>사냥꾼에게서 도망쳤다</v>
      </c>
      <c r="L3614">
        <v>100</v>
      </c>
      <c r="M3614">
        <v>100</v>
      </c>
      <c r="N3614">
        <v>1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0</v>
      </c>
      <c r="AE3614">
        <v>0</v>
      </c>
      <c r="AF3614">
        <v>0</v>
      </c>
      <c r="AG3614">
        <v>0</v>
      </c>
      <c r="AH3614">
        <v>0</v>
      </c>
      <c r="AI3614">
        <v>100</v>
      </c>
      <c r="AJ3614">
        <v>1</v>
      </c>
      <c r="AK3614">
        <v>0</v>
      </c>
      <c r="AL3614">
        <v>0</v>
      </c>
      <c r="AM3614">
        <v>0</v>
      </c>
      <c r="AN3614">
        <v>0</v>
      </c>
      <c r="AO3614">
        <v>120</v>
      </c>
      <c r="AP3614">
        <v>-12</v>
      </c>
      <c r="AQ3614">
        <v>0</v>
      </c>
      <c r="AS3614">
        <v>0</v>
      </c>
      <c r="AT3614">
        <v>0</v>
      </c>
      <c r="AU3614">
        <v>120</v>
      </c>
      <c r="AV3614">
        <v>-12</v>
      </c>
      <c r="AW3614">
        <v>0</v>
      </c>
      <c r="AY3614">
        <v>0</v>
      </c>
      <c r="AZ3614">
        <v>0</v>
      </c>
      <c r="BA3614">
        <v>75.599999999999994</v>
      </c>
      <c r="BE3614" t="str">
        <f>T("9791164976065")</f>
        <v>9791164976065</v>
      </c>
      <c r="BF3614" t="str">
        <f>T("E868790")</f>
        <v>E868790</v>
      </c>
      <c r="BG3614" t="str">
        <f>T("로판 웹소설 &gt; 서양풍 로판")</f>
        <v>로판 웹소설 &gt; 서양풍 로판</v>
      </c>
    </row>
    <row r="3615" spans="1:59">
      <c r="A3615" t="s">
        <v>60</v>
      </c>
      <c r="B3615" s="1">
        <v>46130</v>
      </c>
      <c r="C3615">
        <v>2378026730</v>
      </c>
      <c r="D3615">
        <v>2378026757</v>
      </c>
      <c r="E3615" t="str">
        <f>T("사냥꾼에게서 도망쳤다 28화")</f>
        <v>사냥꾼에게서 도망쳤다 28화</v>
      </c>
      <c r="F3615">
        <v>28</v>
      </c>
      <c r="G3615" t="str">
        <f>T("죄송한취향")</f>
        <v>죄송한취향</v>
      </c>
      <c r="J3615" t="str">
        <f>T("시계토끼")</f>
        <v>시계토끼</v>
      </c>
      <c r="K3615" t="str">
        <f>T("사냥꾼에게서 도망쳤다")</f>
        <v>사냥꾼에게서 도망쳤다</v>
      </c>
      <c r="L3615">
        <v>100</v>
      </c>
      <c r="M3615">
        <v>100</v>
      </c>
      <c r="N3615">
        <v>1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0</v>
      </c>
      <c r="AE3615">
        <v>0</v>
      </c>
      <c r="AF3615">
        <v>0</v>
      </c>
      <c r="AG3615">
        <v>0</v>
      </c>
      <c r="AH3615">
        <v>0</v>
      </c>
      <c r="AI3615">
        <v>100</v>
      </c>
      <c r="AJ3615">
        <v>1</v>
      </c>
      <c r="AK3615">
        <v>0</v>
      </c>
      <c r="AL3615">
        <v>0</v>
      </c>
      <c r="AM3615">
        <v>0</v>
      </c>
      <c r="AN3615">
        <v>0</v>
      </c>
      <c r="AO3615">
        <v>120</v>
      </c>
      <c r="AP3615">
        <v>-12</v>
      </c>
      <c r="AQ3615">
        <v>0</v>
      </c>
      <c r="AS3615">
        <v>0</v>
      </c>
      <c r="AT3615">
        <v>0</v>
      </c>
      <c r="AV3615">
        <v>0</v>
      </c>
      <c r="AW3615">
        <v>0</v>
      </c>
      <c r="AX3615">
        <v>120</v>
      </c>
      <c r="AY3615">
        <v>-12</v>
      </c>
      <c r="AZ3615">
        <v>0</v>
      </c>
      <c r="BA3615">
        <v>75.599999999999994</v>
      </c>
      <c r="BE3615" t="str">
        <f>T("9791164976065")</f>
        <v>9791164976065</v>
      </c>
      <c r="BF3615" t="str">
        <f>T("E830801")</f>
        <v>E830801</v>
      </c>
      <c r="BG3615" t="str">
        <f>T("로판 웹소설 &gt; 서양풍 로판")</f>
        <v>로판 웹소설 &gt; 서양풍 로판</v>
      </c>
    </row>
    <row r="3616" spans="1:59">
      <c r="A3616" t="s">
        <v>60</v>
      </c>
      <c r="B3616" s="1">
        <v>46130</v>
      </c>
      <c r="C3616">
        <v>2378026730</v>
      </c>
      <c r="D3616">
        <v>2378026758</v>
      </c>
      <c r="E3616" t="str">
        <f>T("사냥꾼에게서 도망쳤다 29화")</f>
        <v>사냥꾼에게서 도망쳤다 29화</v>
      </c>
      <c r="F3616">
        <v>29</v>
      </c>
      <c r="G3616" t="str">
        <f>T("죄송한취향")</f>
        <v>죄송한취향</v>
      </c>
      <c r="J3616" t="str">
        <f>T("시계토끼")</f>
        <v>시계토끼</v>
      </c>
      <c r="K3616" t="str">
        <f>T("사냥꾼에게서 도망쳤다")</f>
        <v>사냥꾼에게서 도망쳤다</v>
      </c>
      <c r="L3616">
        <v>100</v>
      </c>
      <c r="M3616">
        <v>100</v>
      </c>
      <c r="N3616">
        <v>1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0</v>
      </c>
      <c r="AC3616">
        <v>0</v>
      </c>
      <c r="AD3616">
        <v>0</v>
      </c>
      <c r="AE3616">
        <v>0</v>
      </c>
      <c r="AF3616">
        <v>0</v>
      </c>
      <c r="AG3616">
        <v>0</v>
      </c>
      <c r="AH3616">
        <v>0</v>
      </c>
      <c r="AI3616">
        <v>100</v>
      </c>
      <c r="AJ3616">
        <v>1</v>
      </c>
      <c r="AK3616">
        <v>0</v>
      </c>
      <c r="AL3616">
        <v>0</v>
      </c>
      <c r="AM3616">
        <v>0</v>
      </c>
      <c r="AN3616">
        <v>0</v>
      </c>
      <c r="AO3616">
        <v>120</v>
      </c>
      <c r="AP3616">
        <v>-12</v>
      </c>
      <c r="AQ3616">
        <v>0</v>
      </c>
      <c r="AS3616">
        <v>0</v>
      </c>
      <c r="AT3616">
        <v>0</v>
      </c>
      <c r="AV3616">
        <v>0</v>
      </c>
      <c r="AW3616">
        <v>0</v>
      </c>
      <c r="AX3616">
        <v>120</v>
      </c>
      <c r="AY3616">
        <v>-12</v>
      </c>
      <c r="AZ3616">
        <v>0</v>
      </c>
      <c r="BA3616">
        <v>75.599999999999994</v>
      </c>
      <c r="BE3616" t="str">
        <f>T("9791164976065")</f>
        <v>9791164976065</v>
      </c>
      <c r="BF3616" t="str">
        <f>T("E830802")</f>
        <v>E830802</v>
      </c>
      <c r="BG3616" t="str">
        <f>T("로판 웹소설 &gt; 서양풍 로판")</f>
        <v>로판 웹소설 &gt; 서양풍 로판</v>
      </c>
    </row>
    <row r="3617" spans="1:59">
      <c r="A3617" t="s">
        <v>60</v>
      </c>
      <c r="B3617" s="1">
        <v>46130</v>
      </c>
      <c r="C3617">
        <v>2378026730</v>
      </c>
      <c r="D3617">
        <v>2378026759</v>
      </c>
      <c r="E3617" t="str">
        <f>T("사냥꾼에게서 도망쳤다 30화")</f>
        <v>사냥꾼에게서 도망쳤다 30화</v>
      </c>
      <c r="F3617">
        <v>30</v>
      </c>
      <c r="G3617" t="str">
        <f>T("죄송한취향")</f>
        <v>죄송한취향</v>
      </c>
      <c r="J3617" t="str">
        <f>T("시계토끼")</f>
        <v>시계토끼</v>
      </c>
      <c r="K3617" t="str">
        <f>T("사냥꾼에게서 도망쳤다")</f>
        <v>사냥꾼에게서 도망쳤다</v>
      </c>
      <c r="L3617">
        <v>100</v>
      </c>
      <c r="M3617">
        <v>100</v>
      </c>
      <c r="N3617">
        <v>1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0</v>
      </c>
      <c r="AE3617">
        <v>0</v>
      </c>
      <c r="AF3617">
        <v>0</v>
      </c>
      <c r="AG3617">
        <v>0</v>
      </c>
      <c r="AH3617">
        <v>0</v>
      </c>
      <c r="AI3617">
        <v>100</v>
      </c>
      <c r="AJ3617">
        <v>1</v>
      </c>
      <c r="AK3617">
        <v>0</v>
      </c>
      <c r="AL3617">
        <v>0</v>
      </c>
      <c r="AM3617">
        <v>0</v>
      </c>
      <c r="AN3617">
        <v>0</v>
      </c>
      <c r="AO3617">
        <v>120</v>
      </c>
      <c r="AP3617">
        <v>-12</v>
      </c>
      <c r="AQ3617">
        <v>0</v>
      </c>
      <c r="AS3617">
        <v>0</v>
      </c>
      <c r="AT3617">
        <v>0</v>
      </c>
      <c r="AV3617">
        <v>0</v>
      </c>
      <c r="AW3617">
        <v>0</v>
      </c>
      <c r="AX3617">
        <v>120</v>
      </c>
      <c r="AY3617">
        <v>-12</v>
      </c>
      <c r="AZ3617">
        <v>0</v>
      </c>
      <c r="BA3617">
        <v>75.599999999999994</v>
      </c>
      <c r="BE3617" t="str">
        <f>T("9791164976065")</f>
        <v>9791164976065</v>
      </c>
      <c r="BF3617" t="str">
        <f>T("E830803")</f>
        <v>E830803</v>
      </c>
      <c r="BG3617" t="str">
        <f>T("로판 웹소설 &gt; 서양풍 로판")</f>
        <v>로판 웹소설 &gt; 서양풍 로판</v>
      </c>
    </row>
    <row r="3618" spans="1:59">
      <c r="A3618" t="s">
        <v>60</v>
      </c>
      <c r="B3618" s="1">
        <v>46130</v>
      </c>
      <c r="C3618">
        <v>2378026730</v>
      </c>
      <c r="D3618">
        <v>2378032761</v>
      </c>
      <c r="E3618" t="str">
        <f>T("사냥꾼에게서 도망쳤다 182화 (완결)")</f>
        <v>사냥꾼에게서 도망쳤다 182화 (완결)</v>
      </c>
      <c r="F3618">
        <v>182</v>
      </c>
      <c r="G3618" t="str">
        <f>T("죄송한취향")</f>
        <v>죄송한취향</v>
      </c>
      <c r="J3618" t="str">
        <f>T("시계토끼")</f>
        <v>시계토끼</v>
      </c>
      <c r="K3618" t="str">
        <f>T("사냥꾼에게서 도망쳤다")</f>
        <v>사냥꾼에게서 도망쳤다</v>
      </c>
      <c r="L3618">
        <v>100</v>
      </c>
      <c r="M3618">
        <v>100</v>
      </c>
      <c r="N3618">
        <v>1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0</v>
      </c>
      <c r="AE3618">
        <v>0</v>
      </c>
      <c r="AF3618">
        <v>0</v>
      </c>
      <c r="AG3618">
        <v>0</v>
      </c>
      <c r="AH3618">
        <v>0</v>
      </c>
      <c r="AI3618">
        <v>100</v>
      </c>
      <c r="AJ3618">
        <v>1</v>
      </c>
      <c r="AK3618">
        <v>0</v>
      </c>
      <c r="AL3618">
        <v>0</v>
      </c>
      <c r="AM3618">
        <v>0</v>
      </c>
      <c r="AN3618">
        <v>0</v>
      </c>
      <c r="AO3618">
        <v>120</v>
      </c>
      <c r="AP3618">
        <v>-12</v>
      </c>
      <c r="AQ3618">
        <v>0</v>
      </c>
      <c r="AS3618">
        <v>0</v>
      </c>
      <c r="AT3618">
        <v>0</v>
      </c>
      <c r="AV3618">
        <v>0</v>
      </c>
      <c r="AW3618">
        <v>0</v>
      </c>
      <c r="AX3618">
        <v>120</v>
      </c>
      <c r="AY3618">
        <v>-12</v>
      </c>
      <c r="AZ3618">
        <v>0</v>
      </c>
      <c r="BA3618">
        <v>75.599999999999994</v>
      </c>
      <c r="BE3618" t="str">
        <f>T("9791164976065")</f>
        <v>9791164976065</v>
      </c>
      <c r="BF3618" t="str">
        <f>T("N046557")</f>
        <v>N046557</v>
      </c>
      <c r="BG3618" t="str">
        <f>T("로판 웹소설 &gt; 서양풍 로판")</f>
        <v>로판 웹소설 &gt; 서양풍 로판</v>
      </c>
    </row>
    <row r="3619" spans="1:59">
      <c r="A3619" t="s">
        <v>60</v>
      </c>
      <c r="B3619" s="1">
        <v>46130</v>
      </c>
      <c r="C3619">
        <v>2378026730</v>
      </c>
      <c r="D3619">
        <v>2378029894</v>
      </c>
      <c r="E3619" t="str">
        <f>T("사냥꾼에게서 도망쳤다 114화")</f>
        <v>사냥꾼에게서 도망쳤다 114화</v>
      </c>
      <c r="F3619">
        <v>114</v>
      </c>
      <c r="G3619" t="str">
        <f>T("죄송한취향")</f>
        <v>죄송한취향</v>
      </c>
      <c r="J3619" t="str">
        <f>T("시계토끼")</f>
        <v>시계토끼</v>
      </c>
      <c r="K3619" t="str">
        <f>T("사냥꾼에게서 도망쳤다")</f>
        <v>사냥꾼에게서 도망쳤다</v>
      </c>
      <c r="L3619">
        <v>100</v>
      </c>
      <c r="M3619">
        <v>100</v>
      </c>
      <c r="N3619">
        <v>1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0</v>
      </c>
      <c r="AE3619">
        <v>0</v>
      </c>
      <c r="AF3619">
        <v>0</v>
      </c>
      <c r="AG3619">
        <v>0</v>
      </c>
      <c r="AH3619">
        <v>0</v>
      </c>
      <c r="AI3619">
        <v>100</v>
      </c>
      <c r="AJ3619">
        <v>1</v>
      </c>
      <c r="AK3619">
        <v>0</v>
      </c>
      <c r="AL3619">
        <v>0</v>
      </c>
      <c r="AM3619">
        <v>0</v>
      </c>
      <c r="AN3619">
        <v>0</v>
      </c>
      <c r="AO3619">
        <v>120</v>
      </c>
      <c r="AP3619">
        <v>-12</v>
      </c>
      <c r="AQ3619">
        <v>0</v>
      </c>
      <c r="AS3619">
        <v>0</v>
      </c>
      <c r="AT3619">
        <v>0</v>
      </c>
      <c r="AU3619">
        <v>120</v>
      </c>
      <c r="AV3619">
        <v>-12</v>
      </c>
      <c r="AW3619">
        <v>0</v>
      </c>
      <c r="AY3619">
        <v>0</v>
      </c>
      <c r="AZ3619">
        <v>0</v>
      </c>
      <c r="BA3619">
        <v>75.599999999999994</v>
      </c>
      <c r="BE3619" t="str">
        <f>T("9791164976065")</f>
        <v>9791164976065</v>
      </c>
      <c r="BF3619" t="str">
        <f>T("E868791")</f>
        <v>E868791</v>
      </c>
      <c r="BG3619" t="str">
        <f>T("로판 웹소설 &gt; 서양풍 로판")</f>
        <v>로판 웹소설 &gt; 서양풍 로판</v>
      </c>
    </row>
    <row r="3620" spans="1:59">
      <c r="A3620" t="s">
        <v>60</v>
      </c>
      <c r="B3620" s="1">
        <v>46130</v>
      </c>
      <c r="C3620">
        <v>2378026730</v>
      </c>
      <c r="D3620">
        <v>2378028213</v>
      </c>
      <c r="E3620" t="str">
        <f>T("사냥꾼에게서 도망쳤다 79화")</f>
        <v>사냥꾼에게서 도망쳤다 79화</v>
      </c>
      <c r="F3620">
        <v>79</v>
      </c>
      <c r="G3620" t="str">
        <f>T("죄송한취향")</f>
        <v>죄송한취향</v>
      </c>
      <c r="J3620" t="str">
        <f>T("시계토끼")</f>
        <v>시계토끼</v>
      </c>
      <c r="K3620" t="str">
        <f>T("사냥꾼에게서 도망쳤다")</f>
        <v>사냥꾼에게서 도망쳤다</v>
      </c>
      <c r="L3620">
        <v>100</v>
      </c>
      <c r="M3620">
        <v>100</v>
      </c>
      <c r="N3620">
        <v>1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0</v>
      </c>
      <c r="AE3620">
        <v>0</v>
      </c>
      <c r="AF3620">
        <v>0</v>
      </c>
      <c r="AG3620">
        <v>0</v>
      </c>
      <c r="AH3620">
        <v>0</v>
      </c>
      <c r="AI3620">
        <v>100</v>
      </c>
      <c r="AJ3620">
        <v>1</v>
      </c>
      <c r="AK3620">
        <v>0</v>
      </c>
      <c r="AL3620">
        <v>0</v>
      </c>
      <c r="AM3620">
        <v>0</v>
      </c>
      <c r="AN3620">
        <v>0</v>
      </c>
      <c r="AO3620">
        <v>120</v>
      </c>
      <c r="AP3620">
        <v>-12</v>
      </c>
      <c r="AQ3620">
        <v>0</v>
      </c>
      <c r="AS3620">
        <v>0</v>
      </c>
      <c r="AT3620">
        <v>0</v>
      </c>
      <c r="AV3620">
        <v>0</v>
      </c>
      <c r="AW3620">
        <v>0</v>
      </c>
      <c r="AX3620">
        <v>120</v>
      </c>
      <c r="AY3620">
        <v>-12</v>
      </c>
      <c r="AZ3620">
        <v>0</v>
      </c>
      <c r="BA3620">
        <v>75.599999999999994</v>
      </c>
      <c r="BE3620" t="str">
        <f>T("9791164976065")</f>
        <v>9791164976065</v>
      </c>
      <c r="BF3620" t="str">
        <f>T("E844484")</f>
        <v>E844484</v>
      </c>
      <c r="BG3620" t="str">
        <f>T("로판 웹소설 &gt; 서양풍 로판")</f>
        <v>로판 웹소설 &gt; 서양풍 로판</v>
      </c>
    </row>
    <row r="3621" spans="1:59">
      <c r="A3621" t="s">
        <v>60</v>
      </c>
      <c r="B3621" s="1">
        <v>46130</v>
      </c>
      <c r="C3621">
        <v>2378026730</v>
      </c>
      <c r="D3621">
        <v>2378028214</v>
      </c>
      <c r="E3621" t="str">
        <f>T("사냥꾼에게서 도망쳤다 80화")</f>
        <v>사냥꾼에게서 도망쳤다 80화</v>
      </c>
      <c r="F3621">
        <v>80</v>
      </c>
      <c r="G3621" t="str">
        <f>T("죄송한취향")</f>
        <v>죄송한취향</v>
      </c>
      <c r="J3621" t="str">
        <f>T("시계토끼")</f>
        <v>시계토끼</v>
      </c>
      <c r="K3621" t="str">
        <f>T("사냥꾼에게서 도망쳤다")</f>
        <v>사냥꾼에게서 도망쳤다</v>
      </c>
      <c r="L3621">
        <v>100</v>
      </c>
      <c r="M3621">
        <v>100</v>
      </c>
      <c r="N3621">
        <v>1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0</v>
      </c>
      <c r="AE3621">
        <v>0</v>
      </c>
      <c r="AF3621">
        <v>0</v>
      </c>
      <c r="AG3621">
        <v>0</v>
      </c>
      <c r="AH3621">
        <v>0</v>
      </c>
      <c r="AI3621">
        <v>100</v>
      </c>
      <c r="AJ3621">
        <v>1</v>
      </c>
      <c r="AK3621">
        <v>0</v>
      </c>
      <c r="AL3621">
        <v>0</v>
      </c>
      <c r="AM3621">
        <v>0</v>
      </c>
      <c r="AN3621">
        <v>0</v>
      </c>
      <c r="AO3621">
        <v>120</v>
      </c>
      <c r="AP3621">
        <v>-12</v>
      </c>
      <c r="AQ3621">
        <v>0</v>
      </c>
      <c r="AS3621">
        <v>0</v>
      </c>
      <c r="AT3621">
        <v>0</v>
      </c>
      <c r="AV3621">
        <v>0</v>
      </c>
      <c r="AW3621">
        <v>0</v>
      </c>
      <c r="AX3621">
        <v>120</v>
      </c>
      <c r="AY3621">
        <v>-12</v>
      </c>
      <c r="AZ3621">
        <v>0</v>
      </c>
      <c r="BA3621">
        <v>75.599999999999994</v>
      </c>
      <c r="BE3621" t="str">
        <f>T("9791164976065")</f>
        <v>9791164976065</v>
      </c>
      <c r="BF3621" t="str">
        <f>T("E844485")</f>
        <v>E844485</v>
      </c>
      <c r="BG3621" t="str">
        <f>T("로판 웹소설 &gt; 서양풍 로판")</f>
        <v>로판 웹소설 &gt; 서양풍 로판</v>
      </c>
    </row>
    <row r="3622" spans="1:59">
      <c r="A3622" t="s">
        <v>60</v>
      </c>
      <c r="B3622" s="1">
        <v>46130</v>
      </c>
      <c r="C3622">
        <v>2378026730</v>
      </c>
      <c r="D3622">
        <v>2378028215</v>
      </c>
      <c r="E3622" t="str">
        <f>T("사냥꾼에게서 도망쳤다 81화")</f>
        <v>사냥꾼에게서 도망쳤다 81화</v>
      </c>
      <c r="F3622">
        <v>81</v>
      </c>
      <c r="G3622" t="str">
        <f>T("죄송한취향")</f>
        <v>죄송한취향</v>
      </c>
      <c r="J3622" t="str">
        <f>T("시계토끼")</f>
        <v>시계토끼</v>
      </c>
      <c r="K3622" t="str">
        <f>T("사냥꾼에게서 도망쳤다")</f>
        <v>사냥꾼에게서 도망쳤다</v>
      </c>
      <c r="L3622">
        <v>100</v>
      </c>
      <c r="M3622">
        <v>100</v>
      </c>
      <c r="N3622">
        <v>1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0</v>
      </c>
      <c r="AE3622">
        <v>0</v>
      </c>
      <c r="AF3622">
        <v>0</v>
      </c>
      <c r="AG3622">
        <v>0</v>
      </c>
      <c r="AH3622">
        <v>0</v>
      </c>
      <c r="AI3622">
        <v>100</v>
      </c>
      <c r="AJ3622">
        <v>1</v>
      </c>
      <c r="AK3622">
        <v>0</v>
      </c>
      <c r="AL3622">
        <v>0</v>
      </c>
      <c r="AM3622">
        <v>0</v>
      </c>
      <c r="AN3622">
        <v>0</v>
      </c>
      <c r="AO3622">
        <v>120</v>
      </c>
      <c r="AP3622">
        <v>-12</v>
      </c>
      <c r="AQ3622">
        <v>0</v>
      </c>
      <c r="AS3622">
        <v>0</v>
      </c>
      <c r="AT3622">
        <v>0</v>
      </c>
      <c r="AV3622">
        <v>0</v>
      </c>
      <c r="AW3622">
        <v>0</v>
      </c>
      <c r="AX3622">
        <v>120</v>
      </c>
      <c r="AY3622">
        <v>-12</v>
      </c>
      <c r="AZ3622">
        <v>0</v>
      </c>
      <c r="BA3622">
        <v>75.599999999999994</v>
      </c>
      <c r="BE3622" t="str">
        <f>T("9791164976065")</f>
        <v>9791164976065</v>
      </c>
      <c r="BF3622" t="str">
        <f>T("E844486")</f>
        <v>E844486</v>
      </c>
      <c r="BG3622" t="str">
        <f>T("로판 웹소설 &gt; 서양풍 로판")</f>
        <v>로판 웹소설 &gt; 서양풍 로판</v>
      </c>
    </row>
    <row r="3623" spans="1:59">
      <c r="A3623" t="s">
        <v>60</v>
      </c>
      <c r="B3623" s="1">
        <v>46130</v>
      </c>
      <c r="C3623">
        <v>2378026730</v>
      </c>
      <c r="D3623">
        <v>2378028216</v>
      </c>
      <c r="E3623" t="str">
        <f>T("사냥꾼에게서 도망쳤다 82화")</f>
        <v>사냥꾼에게서 도망쳤다 82화</v>
      </c>
      <c r="F3623">
        <v>82</v>
      </c>
      <c r="G3623" t="str">
        <f>T("죄송한취향")</f>
        <v>죄송한취향</v>
      </c>
      <c r="J3623" t="str">
        <f>T("시계토끼")</f>
        <v>시계토끼</v>
      </c>
      <c r="K3623" t="str">
        <f>T("사냥꾼에게서 도망쳤다")</f>
        <v>사냥꾼에게서 도망쳤다</v>
      </c>
      <c r="L3623">
        <v>100</v>
      </c>
      <c r="M3623">
        <v>100</v>
      </c>
      <c r="N3623">
        <v>1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0</v>
      </c>
      <c r="AE3623">
        <v>0</v>
      </c>
      <c r="AF3623">
        <v>0</v>
      </c>
      <c r="AG3623">
        <v>0</v>
      </c>
      <c r="AH3623">
        <v>0</v>
      </c>
      <c r="AI3623">
        <v>100</v>
      </c>
      <c r="AJ3623">
        <v>1</v>
      </c>
      <c r="AK3623">
        <v>0</v>
      </c>
      <c r="AL3623">
        <v>0</v>
      </c>
      <c r="AM3623">
        <v>0</v>
      </c>
      <c r="AN3623">
        <v>0</v>
      </c>
      <c r="AO3623">
        <v>120</v>
      </c>
      <c r="AP3623">
        <v>-12</v>
      </c>
      <c r="AQ3623">
        <v>0</v>
      </c>
      <c r="AS3623">
        <v>0</v>
      </c>
      <c r="AT3623">
        <v>0</v>
      </c>
      <c r="AV3623">
        <v>0</v>
      </c>
      <c r="AW3623">
        <v>0</v>
      </c>
      <c r="AX3623">
        <v>120</v>
      </c>
      <c r="AY3623">
        <v>-12</v>
      </c>
      <c r="AZ3623">
        <v>0</v>
      </c>
      <c r="BA3623">
        <v>75.599999999999994</v>
      </c>
      <c r="BE3623" t="str">
        <f>T("9791164976065")</f>
        <v>9791164976065</v>
      </c>
      <c r="BF3623" t="str">
        <f>T("E844487")</f>
        <v>E844487</v>
      </c>
      <c r="BG3623" t="str">
        <f>T("로판 웹소설 &gt; 서양풍 로판")</f>
        <v>로판 웹소설 &gt; 서양풍 로판</v>
      </c>
    </row>
    <row r="3624" spans="1:59">
      <c r="A3624" t="s">
        <v>60</v>
      </c>
      <c r="B3624" s="1">
        <v>46130</v>
      </c>
      <c r="C3624">
        <v>2378026730</v>
      </c>
      <c r="D3624">
        <v>2378029895</v>
      </c>
      <c r="E3624" t="str">
        <f>T("사냥꾼에게서 도망쳤다 115화")</f>
        <v>사냥꾼에게서 도망쳤다 115화</v>
      </c>
      <c r="F3624">
        <v>115</v>
      </c>
      <c r="G3624" t="str">
        <f>T("죄송한취향")</f>
        <v>죄송한취향</v>
      </c>
      <c r="J3624" t="str">
        <f>T("시계토끼")</f>
        <v>시계토끼</v>
      </c>
      <c r="K3624" t="str">
        <f>T("사냥꾼에게서 도망쳤다")</f>
        <v>사냥꾼에게서 도망쳤다</v>
      </c>
      <c r="L3624">
        <v>100</v>
      </c>
      <c r="M3624">
        <v>100</v>
      </c>
      <c r="N3624">
        <v>1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0</v>
      </c>
      <c r="AE3624">
        <v>0</v>
      </c>
      <c r="AF3624">
        <v>0</v>
      </c>
      <c r="AG3624">
        <v>0</v>
      </c>
      <c r="AH3624">
        <v>0</v>
      </c>
      <c r="AI3624">
        <v>100</v>
      </c>
      <c r="AJ3624">
        <v>1</v>
      </c>
      <c r="AK3624">
        <v>0</v>
      </c>
      <c r="AL3624">
        <v>0</v>
      </c>
      <c r="AM3624">
        <v>0</v>
      </c>
      <c r="AN3624">
        <v>0</v>
      </c>
      <c r="AO3624">
        <v>120</v>
      </c>
      <c r="AP3624">
        <v>-12</v>
      </c>
      <c r="AQ3624">
        <v>0</v>
      </c>
      <c r="AS3624">
        <v>0</v>
      </c>
      <c r="AT3624">
        <v>0</v>
      </c>
      <c r="AU3624">
        <v>120</v>
      </c>
      <c r="AV3624">
        <v>-12</v>
      </c>
      <c r="AW3624">
        <v>0</v>
      </c>
      <c r="AY3624">
        <v>0</v>
      </c>
      <c r="AZ3624">
        <v>0</v>
      </c>
      <c r="BA3624">
        <v>75.599999999999994</v>
      </c>
      <c r="BE3624" t="str">
        <f>T("9791164976065")</f>
        <v>9791164976065</v>
      </c>
      <c r="BF3624" t="str">
        <f>T("E868792")</f>
        <v>E868792</v>
      </c>
      <c r="BG3624" t="str">
        <f>T("로판 웹소설 &gt; 서양풍 로판")</f>
        <v>로판 웹소설 &gt; 서양풍 로판</v>
      </c>
    </row>
    <row r="3625" spans="1:59">
      <c r="A3625" t="s">
        <v>60</v>
      </c>
      <c r="B3625" s="1">
        <v>46130</v>
      </c>
      <c r="C3625">
        <v>2378026730</v>
      </c>
      <c r="D3625">
        <v>2378029896</v>
      </c>
      <c r="E3625" t="str">
        <f>T("사냥꾼에게서 도망쳤다 116화")</f>
        <v>사냥꾼에게서 도망쳤다 116화</v>
      </c>
      <c r="F3625">
        <v>116</v>
      </c>
      <c r="G3625" t="str">
        <f>T("죄송한취향")</f>
        <v>죄송한취향</v>
      </c>
      <c r="J3625" t="str">
        <f>T("시계토끼")</f>
        <v>시계토끼</v>
      </c>
      <c r="K3625" t="str">
        <f>T("사냥꾼에게서 도망쳤다")</f>
        <v>사냥꾼에게서 도망쳤다</v>
      </c>
      <c r="L3625">
        <v>100</v>
      </c>
      <c r="M3625">
        <v>100</v>
      </c>
      <c r="N3625">
        <v>1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0</v>
      </c>
      <c r="AE3625">
        <v>0</v>
      </c>
      <c r="AF3625">
        <v>0</v>
      </c>
      <c r="AG3625">
        <v>0</v>
      </c>
      <c r="AH3625">
        <v>0</v>
      </c>
      <c r="AI3625">
        <v>100</v>
      </c>
      <c r="AJ3625">
        <v>1</v>
      </c>
      <c r="AK3625">
        <v>0</v>
      </c>
      <c r="AL3625">
        <v>0</v>
      </c>
      <c r="AM3625">
        <v>0</v>
      </c>
      <c r="AN3625">
        <v>0</v>
      </c>
      <c r="AO3625">
        <v>120</v>
      </c>
      <c r="AP3625">
        <v>-12</v>
      </c>
      <c r="AQ3625">
        <v>0</v>
      </c>
      <c r="AS3625">
        <v>0</v>
      </c>
      <c r="AT3625">
        <v>0</v>
      </c>
      <c r="AU3625">
        <v>120</v>
      </c>
      <c r="AV3625">
        <v>-12</v>
      </c>
      <c r="AW3625">
        <v>0</v>
      </c>
      <c r="AY3625">
        <v>0</v>
      </c>
      <c r="AZ3625">
        <v>0</v>
      </c>
      <c r="BA3625">
        <v>75.599999999999994</v>
      </c>
      <c r="BE3625" t="str">
        <f>T("9791164976065")</f>
        <v>9791164976065</v>
      </c>
      <c r="BF3625" t="str">
        <f>T("E868793")</f>
        <v>E868793</v>
      </c>
      <c r="BG3625" t="str">
        <f>T("로판 웹소설 &gt; 서양풍 로판")</f>
        <v>로판 웹소설 &gt; 서양풍 로판</v>
      </c>
    </row>
    <row r="3626" spans="1:59">
      <c r="A3626" t="s">
        <v>60</v>
      </c>
      <c r="B3626" s="1">
        <v>46130</v>
      </c>
      <c r="C3626">
        <v>2378026730</v>
      </c>
      <c r="D3626">
        <v>2378030646</v>
      </c>
      <c r="E3626" t="str">
        <f>T("사냥꾼에게서 도망쳤다 117화")</f>
        <v>사냥꾼에게서 도망쳤다 117화</v>
      </c>
      <c r="F3626">
        <v>117</v>
      </c>
      <c r="G3626" t="str">
        <f>T("죄송한취향")</f>
        <v>죄송한취향</v>
      </c>
      <c r="J3626" t="str">
        <f>T("시계토끼")</f>
        <v>시계토끼</v>
      </c>
      <c r="K3626" t="str">
        <f>T("사냥꾼에게서 도망쳤다")</f>
        <v>사냥꾼에게서 도망쳤다</v>
      </c>
      <c r="L3626">
        <v>100</v>
      </c>
      <c r="M3626">
        <v>100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0</v>
      </c>
      <c r="AE3626">
        <v>0</v>
      </c>
      <c r="AF3626">
        <v>0</v>
      </c>
      <c r="AG3626">
        <v>0</v>
      </c>
      <c r="AH3626">
        <v>0</v>
      </c>
      <c r="AI3626">
        <v>100</v>
      </c>
      <c r="AJ3626">
        <v>1</v>
      </c>
      <c r="AK3626">
        <v>0</v>
      </c>
      <c r="AL3626">
        <v>0</v>
      </c>
      <c r="AM3626">
        <v>0</v>
      </c>
      <c r="AN3626">
        <v>0</v>
      </c>
      <c r="AO3626">
        <v>120</v>
      </c>
      <c r="AP3626">
        <v>-12</v>
      </c>
      <c r="AQ3626">
        <v>0</v>
      </c>
      <c r="AS3626">
        <v>0</v>
      </c>
      <c r="AT3626">
        <v>0</v>
      </c>
      <c r="AU3626">
        <v>120</v>
      </c>
      <c r="AV3626">
        <v>-12</v>
      </c>
      <c r="AW3626">
        <v>0</v>
      </c>
      <c r="AY3626">
        <v>0</v>
      </c>
      <c r="AZ3626">
        <v>0</v>
      </c>
      <c r="BA3626">
        <v>75.599999999999994</v>
      </c>
      <c r="BE3626" t="str">
        <f>T("9791164976065")</f>
        <v>9791164976065</v>
      </c>
      <c r="BF3626" t="str">
        <f>T("E869714")</f>
        <v>E869714</v>
      </c>
      <c r="BG3626" t="str">
        <f>T("로판 웹소설 &gt; 서양풍 로판")</f>
        <v>로판 웹소설 &gt; 서양풍 로판</v>
      </c>
    </row>
    <row r="3627" spans="1:59">
      <c r="A3627" t="s">
        <v>60</v>
      </c>
      <c r="B3627" s="1">
        <v>46130</v>
      </c>
      <c r="C3627">
        <v>2378026730</v>
      </c>
      <c r="D3627">
        <v>2378030647</v>
      </c>
      <c r="E3627" t="str">
        <f>T("사냥꾼에게서 도망쳤다 118화")</f>
        <v>사냥꾼에게서 도망쳤다 118화</v>
      </c>
      <c r="F3627">
        <v>118</v>
      </c>
      <c r="G3627" t="str">
        <f>T("죄송한취향")</f>
        <v>죄송한취향</v>
      </c>
      <c r="J3627" t="str">
        <f>T("시계토끼")</f>
        <v>시계토끼</v>
      </c>
      <c r="K3627" t="str">
        <f>T("사냥꾼에게서 도망쳤다")</f>
        <v>사냥꾼에게서 도망쳤다</v>
      </c>
      <c r="L3627">
        <v>100</v>
      </c>
      <c r="M3627">
        <v>100</v>
      </c>
      <c r="N3627">
        <v>1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0</v>
      </c>
      <c r="AE3627">
        <v>0</v>
      </c>
      <c r="AF3627">
        <v>0</v>
      </c>
      <c r="AG3627">
        <v>0</v>
      </c>
      <c r="AH3627">
        <v>0</v>
      </c>
      <c r="AI3627">
        <v>100</v>
      </c>
      <c r="AJ3627">
        <v>1</v>
      </c>
      <c r="AK3627">
        <v>0</v>
      </c>
      <c r="AL3627">
        <v>0</v>
      </c>
      <c r="AM3627">
        <v>0</v>
      </c>
      <c r="AN3627">
        <v>0</v>
      </c>
      <c r="AO3627">
        <v>120</v>
      </c>
      <c r="AP3627">
        <v>-12</v>
      </c>
      <c r="AQ3627">
        <v>0</v>
      </c>
      <c r="AS3627">
        <v>0</v>
      </c>
      <c r="AT3627">
        <v>0</v>
      </c>
      <c r="AU3627">
        <v>120</v>
      </c>
      <c r="AV3627">
        <v>-12</v>
      </c>
      <c r="AW3627">
        <v>0</v>
      </c>
      <c r="AY3627">
        <v>0</v>
      </c>
      <c r="AZ3627">
        <v>0</v>
      </c>
      <c r="BA3627">
        <v>75.599999999999994</v>
      </c>
      <c r="BE3627" t="str">
        <f>T("9791164976065")</f>
        <v>9791164976065</v>
      </c>
      <c r="BF3627" t="str">
        <f>T("E869715")</f>
        <v>E869715</v>
      </c>
      <c r="BG3627" t="str">
        <f>T("로판 웹소설 &gt; 서양풍 로판")</f>
        <v>로판 웹소설 &gt; 서양풍 로판</v>
      </c>
    </row>
    <row r="3628" spans="1:59">
      <c r="A3628" t="s">
        <v>60</v>
      </c>
      <c r="B3628" s="1">
        <v>46130</v>
      </c>
      <c r="C3628">
        <v>2378026730</v>
      </c>
      <c r="D3628">
        <v>2378030648</v>
      </c>
      <c r="E3628" t="str">
        <f>T("사냥꾼에게서 도망쳤다 119화")</f>
        <v>사냥꾼에게서 도망쳤다 119화</v>
      </c>
      <c r="F3628">
        <v>119</v>
      </c>
      <c r="G3628" t="str">
        <f>T("죄송한취향")</f>
        <v>죄송한취향</v>
      </c>
      <c r="J3628" t="str">
        <f>T("시계토끼")</f>
        <v>시계토끼</v>
      </c>
      <c r="K3628" t="str">
        <f>T("사냥꾼에게서 도망쳤다")</f>
        <v>사냥꾼에게서 도망쳤다</v>
      </c>
      <c r="L3628">
        <v>100</v>
      </c>
      <c r="M3628">
        <v>100</v>
      </c>
      <c r="N3628">
        <v>1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0</v>
      </c>
      <c r="AH3628">
        <v>0</v>
      </c>
      <c r="AI3628">
        <v>100</v>
      </c>
      <c r="AJ3628">
        <v>1</v>
      </c>
      <c r="AK3628">
        <v>0</v>
      </c>
      <c r="AL3628">
        <v>0</v>
      </c>
      <c r="AM3628">
        <v>0</v>
      </c>
      <c r="AN3628">
        <v>0</v>
      </c>
      <c r="AO3628">
        <v>120</v>
      </c>
      <c r="AP3628">
        <v>-12</v>
      </c>
      <c r="AQ3628">
        <v>0</v>
      </c>
      <c r="AS3628">
        <v>0</v>
      </c>
      <c r="AT3628">
        <v>0</v>
      </c>
      <c r="AU3628">
        <v>120</v>
      </c>
      <c r="AV3628">
        <v>-12</v>
      </c>
      <c r="AW3628">
        <v>0</v>
      </c>
      <c r="AY3628">
        <v>0</v>
      </c>
      <c r="AZ3628">
        <v>0</v>
      </c>
      <c r="BA3628">
        <v>75.599999999999994</v>
      </c>
      <c r="BE3628" t="str">
        <f>T("9791164976065")</f>
        <v>9791164976065</v>
      </c>
      <c r="BF3628" t="str">
        <f>T("E869716")</f>
        <v>E869716</v>
      </c>
      <c r="BG3628" t="str">
        <f>T("로판 웹소설 &gt; 서양풍 로판")</f>
        <v>로판 웹소설 &gt; 서양풍 로판</v>
      </c>
    </row>
    <row r="3629" spans="1:59">
      <c r="A3629" t="s">
        <v>60</v>
      </c>
      <c r="B3629" s="1">
        <v>46130</v>
      </c>
      <c r="C3629">
        <v>2378026730</v>
      </c>
      <c r="D3629">
        <v>2378030649</v>
      </c>
      <c r="E3629" t="str">
        <f>T("사냥꾼에게서 도망쳤다 120화")</f>
        <v>사냥꾼에게서 도망쳤다 120화</v>
      </c>
      <c r="F3629">
        <v>120</v>
      </c>
      <c r="G3629" t="str">
        <f>T("죄송한취향")</f>
        <v>죄송한취향</v>
      </c>
      <c r="J3629" t="str">
        <f>T("시계토끼")</f>
        <v>시계토끼</v>
      </c>
      <c r="K3629" t="str">
        <f>T("사냥꾼에게서 도망쳤다")</f>
        <v>사냥꾼에게서 도망쳤다</v>
      </c>
      <c r="L3629">
        <v>100</v>
      </c>
      <c r="M3629">
        <v>100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0</v>
      </c>
      <c r="AH3629">
        <v>0</v>
      </c>
      <c r="AI3629">
        <v>100</v>
      </c>
      <c r="AJ3629">
        <v>1</v>
      </c>
      <c r="AK3629">
        <v>0</v>
      </c>
      <c r="AL3629">
        <v>0</v>
      </c>
      <c r="AM3629">
        <v>0</v>
      </c>
      <c r="AN3629">
        <v>0</v>
      </c>
      <c r="AO3629">
        <v>120</v>
      </c>
      <c r="AP3629">
        <v>-12</v>
      </c>
      <c r="AQ3629">
        <v>0</v>
      </c>
      <c r="AS3629">
        <v>0</v>
      </c>
      <c r="AT3629">
        <v>0</v>
      </c>
      <c r="AU3629">
        <v>120</v>
      </c>
      <c r="AV3629">
        <v>-12</v>
      </c>
      <c r="AW3629">
        <v>0</v>
      </c>
      <c r="AY3629">
        <v>0</v>
      </c>
      <c r="AZ3629">
        <v>0</v>
      </c>
      <c r="BA3629">
        <v>75.599999999999994</v>
      </c>
      <c r="BE3629" t="str">
        <f>T("9791164976065")</f>
        <v>9791164976065</v>
      </c>
      <c r="BF3629" t="str">
        <f>T("E869717")</f>
        <v>E869717</v>
      </c>
      <c r="BG3629" t="str">
        <f>T("로판 웹소설 &gt; 서양풍 로판")</f>
        <v>로판 웹소설 &gt; 서양풍 로판</v>
      </c>
    </row>
    <row r="3630" spans="1:59">
      <c r="A3630" t="s">
        <v>60</v>
      </c>
      <c r="B3630" s="1">
        <v>46130</v>
      </c>
      <c r="C3630">
        <v>2378026730</v>
      </c>
      <c r="D3630">
        <v>2378030813</v>
      </c>
      <c r="E3630" t="str">
        <f>T("사냥꾼에게서 도망쳤다 121화")</f>
        <v>사냥꾼에게서 도망쳤다 121화</v>
      </c>
      <c r="F3630">
        <v>121</v>
      </c>
      <c r="G3630" t="str">
        <f>T("죄송한취향")</f>
        <v>죄송한취향</v>
      </c>
      <c r="J3630" t="str">
        <f>T("시계토끼")</f>
        <v>시계토끼</v>
      </c>
      <c r="K3630" t="str">
        <f>T("사냥꾼에게서 도망쳤다")</f>
        <v>사냥꾼에게서 도망쳤다</v>
      </c>
      <c r="L3630">
        <v>100</v>
      </c>
      <c r="M3630">
        <v>100</v>
      </c>
      <c r="N3630">
        <v>1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0</v>
      </c>
      <c r="AH3630">
        <v>0</v>
      </c>
      <c r="AI3630">
        <v>100</v>
      </c>
      <c r="AJ3630">
        <v>1</v>
      </c>
      <c r="AK3630">
        <v>0</v>
      </c>
      <c r="AL3630">
        <v>0</v>
      </c>
      <c r="AM3630">
        <v>0</v>
      </c>
      <c r="AN3630">
        <v>0</v>
      </c>
      <c r="AO3630">
        <v>120</v>
      </c>
      <c r="AP3630">
        <v>-12</v>
      </c>
      <c r="AQ3630">
        <v>0</v>
      </c>
      <c r="AS3630">
        <v>0</v>
      </c>
      <c r="AT3630">
        <v>0</v>
      </c>
      <c r="AU3630">
        <v>120</v>
      </c>
      <c r="AV3630">
        <v>-12</v>
      </c>
      <c r="AW3630">
        <v>0</v>
      </c>
      <c r="AY3630">
        <v>0</v>
      </c>
      <c r="AZ3630">
        <v>0</v>
      </c>
      <c r="BA3630">
        <v>75.599999999999994</v>
      </c>
      <c r="BE3630" t="str">
        <f>T("9791164976065")</f>
        <v>9791164976065</v>
      </c>
      <c r="BF3630" t="str">
        <f>T("N000023")</f>
        <v>N000023</v>
      </c>
      <c r="BG3630" t="str">
        <f>T("로판 웹소설 &gt; 서양풍 로판")</f>
        <v>로판 웹소설 &gt; 서양풍 로판</v>
      </c>
    </row>
    <row r="3631" spans="1:59">
      <c r="A3631" t="s">
        <v>60</v>
      </c>
      <c r="B3631" s="1">
        <v>46130</v>
      </c>
      <c r="C3631">
        <v>2378026730</v>
      </c>
      <c r="D3631">
        <v>2378030814</v>
      </c>
      <c r="E3631" t="str">
        <f>T("사냥꾼에게서 도망쳤다 122화")</f>
        <v>사냥꾼에게서 도망쳤다 122화</v>
      </c>
      <c r="F3631">
        <v>122</v>
      </c>
      <c r="G3631" t="str">
        <f>T("죄송한취향")</f>
        <v>죄송한취향</v>
      </c>
      <c r="J3631" t="str">
        <f>T("시계토끼")</f>
        <v>시계토끼</v>
      </c>
      <c r="K3631" t="str">
        <f>T("사냥꾼에게서 도망쳤다")</f>
        <v>사냥꾼에게서 도망쳤다</v>
      </c>
      <c r="L3631">
        <v>100</v>
      </c>
      <c r="M3631">
        <v>100</v>
      </c>
      <c r="N3631">
        <v>1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0</v>
      </c>
      <c r="AH3631">
        <v>0</v>
      </c>
      <c r="AI3631">
        <v>100</v>
      </c>
      <c r="AJ3631">
        <v>1</v>
      </c>
      <c r="AK3631">
        <v>0</v>
      </c>
      <c r="AL3631">
        <v>0</v>
      </c>
      <c r="AM3631">
        <v>0</v>
      </c>
      <c r="AN3631">
        <v>0</v>
      </c>
      <c r="AO3631">
        <v>120</v>
      </c>
      <c r="AP3631">
        <v>-12</v>
      </c>
      <c r="AQ3631">
        <v>0</v>
      </c>
      <c r="AS3631">
        <v>0</v>
      </c>
      <c r="AT3631">
        <v>0</v>
      </c>
      <c r="AU3631">
        <v>120</v>
      </c>
      <c r="AV3631">
        <v>-12</v>
      </c>
      <c r="AW3631">
        <v>0</v>
      </c>
      <c r="AY3631">
        <v>0</v>
      </c>
      <c r="AZ3631">
        <v>0</v>
      </c>
      <c r="BA3631">
        <v>75.599999999999994</v>
      </c>
      <c r="BE3631" t="str">
        <f>T("9791164976065")</f>
        <v>9791164976065</v>
      </c>
      <c r="BF3631" t="str">
        <f>T("N000024")</f>
        <v>N000024</v>
      </c>
      <c r="BG3631" t="str">
        <f>T("로판 웹소설 &gt; 서양풍 로판")</f>
        <v>로판 웹소설 &gt; 서양풍 로판</v>
      </c>
    </row>
    <row r="3632" spans="1:59">
      <c r="A3632" t="s">
        <v>60</v>
      </c>
      <c r="B3632" s="1">
        <v>46130</v>
      </c>
      <c r="C3632">
        <v>2378026730</v>
      </c>
      <c r="D3632">
        <v>2378030815</v>
      </c>
      <c r="E3632" t="str">
        <f>T("사냥꾼에게서 도망쳤다 123화")</f>
        <v>사냥꾼에게서 도망쳤다 123화</v>
      </c>
      <c r="F3632">
        <v>123</v>
      </c>
      <c r="G3632" t="str">
        <f>T("죄송한취향")</f>
        <v>죄송한취향</v>
      </c>
      <c r="J3632" t="str">
        <f>T("시계토끼")</f>
        <v>시계토끼</v>
      </c>
      <c r="K3632" t="str">
        <f>T("사냥꾼에게서 도망쳤다")</f>
        <v>사냥꾼에게서 도망쳤다</v>
      </c>
      <c r="L3632">
        <v>100</v>
      </c>
      <c r="M3632">
        <v>100</v>
      </c>
      <c r="N3632">
        <v>1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0</v>
      </c>
      <c r="AH3632">
        <v>0</v>
      </c>
      <c r="AI3632">
        <v>100</v>
      </c>
      <c r="AJ3632">
        <v>1</v>
      </c>
      <c r="AK3632">
        <v>0</v>
      </c>
      <c r="AL3632">
        <v>0</v>
      </c>
      <c r="AM3632">
        <v>0</v>
      </c>
      <c r="AN3632">
        <v>0</v>
      </c>
      <c r="AO3632">
        <v>120</v>
      </c>
      <c r="AP3632">
        <v>-12</v>
      </c>
      <c r="AQ3632">
        <v>0</v>
      </c>
      <c r="AS3632">
        <v>0</v>
      </c>
      <c r="AT3632">
        <v>0</v>
      </c>
      <c r="AU3632">
        <v>120</v>
      </c>
      <c r="AV3632">
        <v>-12</v>
      </c>
      <c r="AW3632">
        <v>0</v>
      </c>
      <c r="AY3632">
        <v>0</v>
      </c>
      <c r="AZ3632">
        <v>0</v>
      </c>
      <c r="BA3632">
        <v>75.599999999999994</v>
      </c>
      <c r="BE3632" t="str">
        <f>T("9791164976065")</f>
        <v>9791164976065</v>
      </c>
      <c r="BF3632" t="str">
        <f>T("N000025")</f>
        <v>N000025</v>
      </c>
      <c r="BG3632" t="str">
        <f>T("로판 웹소설 &gt; 서양풍 로판")</f>
        <v>로판 웹소설 &gt; 서양풍 로판</v>
      </c>
    </row>
    <row r="3633" spans="1:59">
      <c r="A3633" t="s">
        <v>60</v>
      </c>
      <c r="B3633" s="1">
        <v>46130</v>
      </c>
      <c r="C3633">
        <v>2378026730</v>
      </c>
      <c r="D3633">
        <v>2378030816</v>
      </c>
      <c r="E3633" t="str">
        <f>T("사냥꾼에게서 도망쳤다 124화")</f>
        <v>사냥꾼에게서 도망쳤다 124화</v>
      </c>
      <c r="F3633">
        <v>124</v>
      </c>
      <c r="G3633" t="str">
        <f>T("죄송한취향")</f>
        <v>죄송한취향</v>
      </c>
      <c r="J3633" t="str">
        <f>T("시계토끼")</f>
        <v>시계토끼</v>
      </c>
      <c r="K3633" t="str">
        <f>T("사냥꾼에게서 도망쳤다")</f>
        <v>사냥꾼에게서 도망쳤다</v>
      </c>
      <c r="L3633">
        <v>100</v>
      </c>
      <c r="M3633">
        <v>100</v>
      </c>
      <c r="N3633">
        <v>1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0</v>
      </c>
      <c r="AH3633">
        <v>0</v>
      </c>
      <c r="AI3633">
        <v>100</v>
      </c>
      <c r="AJ3633">
        <v>1</v>
      </c>
      <c r="AK3633">
        <v>0</v>
      </c>
      <c r="AL3633">
        <v>0</v>
      </c>
      <c r="AM3633">
        <v>0</v>
      </c>
      <c r="AN3633">
        <v>0</v>
      </c>
      <c r="AO3633">
        <v>120</v>
      </c>
      <c r="AP3633">
        <v>-12</v>
      </c>
      <c r="AQ3633">
        <v>0</v>
      </c>
      <c r="AS3633">
        <v>0</v>
      </c>
      <c r="AT3633">
        <v>0</v>
      </c>
      <c r="AU3633">
        <v>120</v>
      </c>
      <c r="AV3633">
        <v>-12</v>
      </c>
      <c r="AW3633">
        <v>0</v>
      </c>
      <c r="AY3633">
        <v>0</v>
      </c>
      <c r="AZ3633">
        <v>0</v>
      </c>
      <c r="BA3633">
        <v>75.599999999999994</v>
      </c>
      <c r="BE3633" t="str">
        <f>T("9791164976065")</f>
        <v>9791164976065</v>
      </c>
      <c r="BF3633" t="str">
        <f>T("N000026")</f>
        <v>N000026</v>
      </c>
      <c r="BG3633" t="str">
        <f>T("로판 웹소설 &gt; 서양풍 로판")</f>
        <v>로판 웹소설 &gt; 서양풍 로판</v>
      </c>
    </row>
    <row r="3634" spans="1:59">
      <c r="A3634" t="s">
        <v>60</v>
      </c>
      <c r="B3634" s="1">
        <v>46130</v>
      </c>
      <c r="C3634">
        <v>2378026730</v>
      </c>
      <c r="D3634">
        <v>2378031227</v>
      </c>
      <c r="E3634" t="str">
        <f>T("사냥꾼에게서 도망쳤다 125화")</f>
        <v>사냥꾼에게서 도망쳤다 125화</v>
      </c>
      <c r="F3634">
        <v>125</v>
      </c>
      <c r="G3634" t="str">
        <f>T("죄송한취향")</f>
        <v>죄송한취향</v>
      </c>
      <c r="J3634" t="str">
        <f>T("시계토끼")</f>
        <v>시계토끼</v>
      </c>
      <c r="K3634" t="str">
        <f>T("사냥꾼에게서 도망쳤다")</f>
        <v>사냥꾼에게서 도망쳤다</v>
      </c>
      <c r="L3634">
        <v>100</v>
      </c>
      <c r="M3634">
        <v>100</v>
      </c>
      <c r="N3634">
        <v>1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0</v>
      </c>
      <c r="AH3634">
        <v>0</v>
      </c>
      <c r="AI3634">
        <v>100</v>
      </c>
      <c r="AJ3634">
        <v>1</v>
      </c>
      <c r="AK3634">
        <v>0</v>
      </c>
      <c r="AL3634">
        <v>0</v>
      </c>
      <c r="AM3634">
        <v>0</v>
      </c>
      <c r="AN3634">
        <v>0</v>
      </c>
      <c r="AO3634">
        <v>120</v>
      </c>
      <c r="AP3634">
        <v>-12</v>
      </c>
      <c r="AQ3634">
        <v>0</v>
      </c>
      <c r="AS3634">
        <v>0</v>
      </c>
      <c r="AT3634">
        <v>0</v>
      </c>
      <c r="AU3634">
        <v>120</v>
      </c>
      <c r="AV3634">
        <v>-12</v>
      </c>
      <c r="AW3634">
        <v>0</v>
      </c>
      <c r="AY3634">
        <v>0</v>
      </c>
      <c r="AZ3634">
        <v>0</v>
      </c>
      <c r="BA3634">
        <v>75.599999999999994</v>
      </c>
      <c r="BE3634" t="str">
        <f>T("9791164976065")</f>
        <v>9791164976065</v>
      </c>
      <c r="BF3634" t="str">
        <f>T("N002937")</f>
        <v>N002937</v>
      </c>
      <c r="BG3634" t="str">
        <f>T("로판 웹소설 &gt; 서양풍 로판")</f>
        <v>로판 웹소설 &gt; 서양풍 로판</v>
      </c>
    </row>
    <row r="3635" spans="1:59">
      <c r="A3635" t="s">
        <v>60</v>
      </c>
      <c r="B3635" s="1">
        <v>46130</v>
      </c>
      <c r="C3635">
        <v>2378026730</v>
      </c>
      <c r="D3635">
        <v>2378031232</v>
      </c>
      <c r="E3635" t="str">
        <f>T("사냥꾼에게서 도망쳤다 126화")</f>
        <v>사냥꾼에게서 도망쳤다 126화</v>
      </c>
      <c r="F3635">
        <v>126</v>
      </c>
      <c r="G3635" t="str">
        <f>T("죄송한취향")</f>
        <v>죄송한취향</v>
      </c>
      <c r="J3635" t="str">
        <f>T("시계토끼")</f>
        <v>시계토끼</v>
      </c>
      <c r="K3635" t="str">
        <f>T("사냥꾼에게서 도망쳤다")</f>
        <v>사냥꾼에게서 도망쳤다</v>
      </c>
      <c r="L3635">
        <v>100</v>
      </c>
      <c r="M3635">
        <v>100</v>
      </c>
      <c r="N3635">
        <v>1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0</v>
      </c>
      <c r="AH3635">
        <v>0</v>
      </c>
      <c r="AI3635">
        <v>100</v>
      </c>
      <c r="AJ3635">
        <v>1</v>
      </c>
      <c r="AK3635">
        <v>0</v>
      </c>
      <c r="AL3635">
        <v>0</v>
      </c>
      <c r="AM3635">
        <v>0</v>
      </c>
      <c r="AN3635">
        <v>0</v>
      </c>
      <c r="AO3635">
        <v>120</v>
      </c>
      <c r="AP3635">
        <v>-12</v>
      </c>
      <c r="AQ3635">
        <v>0</v>
      </c>
      <c r="AS3635">
        <v>0</v>
      </c>
      <c r="AT3635">
        <v>0</v>
      </c>
      <c r="AU3635">
        <v>120</v>
      </c>
      <c r="AV3635">
        <v>-12</v>
      </c>
      <c r="AW3635">
        <v>0</v>
      </c>
      <c r="AY3635">
        <v>0</v>
      </c>
      <c r="AZ3635">
        <v>0</v>
      </c>
      <c r="BA3635">
        <v>75.599999999999994</v>
      </c>
      <c r="BE3635" t="str">
        <f>T("9791164976065")</f>
        <v>9791164976065</v>
      </c>
      <c r="BF3635" t="str">
        <f>T("N002938")</f>
        <v>N002938</v>
      </c>
      <c r="BG3635" t="str">
        <f>T("로판 웹소설 &gt; 서양풍 로판")</f>
        <v>로판 웹소설 &gt; 서양풍 로판</v>
      </c>
    </row>
    <row r="3636" spans="1:59">
      <c r="A3636" t="s">
        <v>60</v>
      </c>
      <c r="B3636" s="1">
        <v>46130</v>
      </c>
      <c r="C3636">
        <v>2378026730</v>
      </c>
      <c r="D3636">
        <v>2378031233</v>
      </c>
      <c r="E3636" t="str">
        <f>T("사냥꾼에게서 도망쳤다 127화")</f>
        <v>사냥꾼에게서 도망쳤다 127화</v>
      </c>
      <c r="F3636">
        <v>127</v>
      </c>
      <c r="G3636" t="str">
        <f>T("죄송한취향")</f>
        <v>죄송한취향</v>
      </c>
      <c r="J3636" t="str">
        <f>T("시계토끼")</f>
        <v>시계토끼</v>
      </c>
      <c r="K3636" t="str">
        <f>T("사냥꾼에게서 도망쳤다")</f>
        <v>사냥꾼에게서 도망쳤다</v>
      </c>
      <c r="L3636">
        <v>100</v>
      </c>
      <c r="M3636">
        <v>100</v>
      </c>
      <c r="N3636">
        <v>1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0</v>
      </c>
      <c r="AH3636">
        <v>0</v>
      </c>
      <c r="AI3636">
        <v>100</v>
      </c>
      <c r="AJ3636">
        <v>1</v>
      </c>
      <c r="AK3636">
        <v>0</v>
      </c>
      <c r="AL3636">
        <v>0</v>
      </c>
      <c r="AM3636">
        <v>0</v>
      </c>
      <c r="AN3636">
        <v>0</v>
      </c>
      <c r="AO3636">
        <v>120</v>
      </c>
      <c r="AP3636">
        <v>-12</v>
      </c>
      <c r="AQ3636">
        <v>0</v>
      </c>
      <c r="AS3636">
        <v>0</v>
      </c>
      <c r="AT3636">
        <v>0</v>
      </c>
      <c r="AU3636">
        <v>120</v>
      </c>
      <c r="AV3636">
        <v>-12</v>
      </c>
      <c r="AW3636">
        <v>0</v>
      </c>
      <c r="AY3636">
        <v>0</v>
      </c>
      <c r="AZ3636">
        <v>0</v>
      </c>
      <c r="BA3636">
        <v>75.599999999999994</v>
      </c>
      <c r="BE3636" t="str">
        <f>T("9791164976065")</f>
        <v>9791164976065</v>
      </c>
      <c r="BF3636" t="str">
        <f>T("N002939")</f>
        <v>N002939</v>
      </c>
      <c r="BG3636" t="str">
        <f>T("로판 웹소설 &gt; 서양풍 로판")</f>
        <v>로판 웹소설 &gt; 서양풍 로판</v>
      </c>
    </row>
    <row r="3637" spans="1:59">
      <c r="A3637" t="s">
        <v>60</v>
      </c>
      <c r="B3637" s="1">
        <v>46130</v>
      </c>
      <c r="C3637">
        <v>2378026730</v>
      </c>
      <c r="D3637">
        <v>2378031234</v>
      </c>
      <c r="E3637" t="str">
        <f>T("사냥꾼에게서 도망쳤다 128화")</f>
        <v>사냥꾼에게서 도망쳤다 128화</v>
      </c>
      <c r="F3637">
        <v>128</v>
      </c>
      <c r="G3637" t="str">
        <f>T("죄송한취향")</f>
        <v>죄송한취향</v>
      </c>
      <c r="J3637" t="str">
        <f>T("시계토끼")</f>
        <v>시계토끼</v>
      </c>
      <c r="K3637" t="str">
        <f>T("사냥꾼에게서 도망쳤다")</f>
        <v>사냥꾼에게서 도망쳤다</v>
      </c>
      <c r="L3637">
        <v>100</v>
      </c>
      <c r="M3637">
        <v>100</v>
      </c>
      <c r="N3637">
        <v>1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0</v>
      </c>
      <c r="AH3637">
        <v>0</v>
      </c>
      <c r="AI3637">
        <v>100</v>
      </c>
      <c r="AJ3637">
        <v>1</v>
      </c>
      <c r="AK3637">
        <v>0</v>
      </c>
      <c r="AL3637">
        <v>0</v>
      </c>
      <c r="AM3637">
        <v>0</v>
      </c>
      <c r="AN3637">
        <v>0</v>
      </c>
      <c r="AO3637">
        <v>120</v>
      </c>
      <c r="AP3637">
        <v>-12</v>
      </c>
      <c r="AQ3637">
        <v>0</v>
      </c>
      <c r="AS3637">
        <v>0</v>
      </c>
      <c r="AT3637">
        <v>0</v>
      </c>
      <c r="AU3637">
        <v>120</v>
      </c>
      <c r="AV3637">
        <v>-12</v>
      </c>
      <c r="AW3637">
        <v>0</v>
      </c>
      <c r="AY3637">
        <v>0</v>
      </c>
      <c r="AZ3637">
        <v>0</v>
      </c>
      <c r="BA3637">
        <v>75.599999999999994</v>
      </c>
      <c r="BE3637" t="str">
        <f>T("9791164976065")</f>
        <v>9791164976065</v>
      </c>
      <c r="BF3637" t="str">
        <f>T("N002940")</f>
        <v>N002940</v>
      </c>
      <c r="BG3637" t="str">
        <f>T("로판 웹소설 &gt; 서양풍 로판")</f>
        <v>로판 웹소설 &gt; 서양풍 로판</v>
      </c>
    </row>
    <row r="3638" spans="1:59">
      <c r="A3638" t="s">
        <v>60</v>
      </c>
      <c r="B3638" s="1">
        <v>46130</v>
      </c>
      <c r="C3638">
        <v>2378026730</v>
      </c>
      <c r="D3638">
        <v>2378031288</v>
      </c>
      <c r="E3638" t="str">
        <f>T("사냥꾼에게서 도망쳤다 129화")</f>
        <v>사냥꾼에게서 도망쳤다 129화</v>
      </c>
      <c r="F3638">
        <v>129</v>
      </c>
      <c r="G3638" t="str">
        <f>T("죄송한취향")</f>
        <v>죄송한취향</v>
      </c>
      <c r="J3638" t="str">
        <f>T("시계토끼")</f>
        <v>시계토끼</v>
      </c>
      <c r="K3638" t="str">
        <f>T("사냥꾼에게서 도망쳤다")</f>
        <v>사냥꾼에게서 도망쳤다</v>
      </c>
      <c r="L3638">
        <v>100</v>
      </c>
      <c r="M3638">
        <v>100</v>
      </c>
      <c r="N3638">
        <v>1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0</v>
      </c>
      <c r="AH3638">
        <v>0</v>
      </c>
      <c r="AI3638">
        <v>100</v>
      </c>
      <c r="AJ3638">
        <v>1</v>
      </c>
      <c r="AK3638">
        <v>0</v>
      </c>
      <c r="AL3638">
        <v>0</v>
      </c>
      <c r="AM3638">
        <v>0</v>
      </c>
      <c r="AN3638">
        <v>0</v>
      </c>
      <c r="AO3638">
        <v>120</v>
      </c>
      <c r="AP3638">
        <v>-12</v>
      </c>
      <c r="AQ3638">
        <v>0</v>
      </c>
      <c r="AS3638">
        <v>0</v>
      </c>
      <c r="AT3638">
        <v>0</v>
      </c>
      <c r="AU3638">
        <v>120</v>
      </c>
      <c r="AV3638">
        <v>-12</v>
      </c>
      <c r="AW3638">
        <v>0</v>
      </c>
      <c r="AY3638">
        <v>0</v>
      </c>
      <c r="AZ3638">
        <v>0</v>
      </c>
      <c r="BA3638">
        <v>75.599999999999994</v>
      </c>
      <c r="BE3638" t="str">
        <f>T("9791164976065")</f>
        <v>9791164976065</v>
      </c>
      <c r="BF3638" t="str">
        <f>T("N003939")</f>
        <v>N003939</v>
      </c>
      <c r="BG3638" t="str">
        <f>T("로판 웹소설 &gt; 서양풍 로판")</f>
        <v>로판 웹소설 &gt; 서양풍 로판</v>
      </c>
    </row>
    <row r="3639" spans="1:59">
      <c r="A3639" t="s">
        <v>60</v>
      </c>
      <c r="B3639" s="1">
        <v>46130</v>
      </c>
      <c r="C3639">
        <v>2378026730</v>
      </c>
      <c r="D3639">
        <v>2378026730</v>
      </c>
      <c r="E3639" t="str">
        <f>T("사냥꾼에게서 도망쳤다 1화")</f>
        <v>사냥꾼에게서 도망쳤다 1화</v>
      </c>
      <c r="F3639">
        <v>1</v>
      </c>
      <c r="G3639" t="str">
        <f>T("죄송한취향")</f>
        <v>죄송한취향</v>
      </c>
      <c r="J3639" t="str">
        <f>T("시계토끼")</f>
        <v>시계토끼</v>
      </c>
      <c r="K3639" t="str">
        <f>T("사냥꾼에게서 도망쳤다")</f>
        <v>사냥꾼에게서 도망쳤다</v>
      </c>
      <c r="L3639">
        <v>0</v>
      </c>
      <c r="M3639">
        <v>0</v>
      </c>
      <c r="N3639">
        <v>0</v>
      </c>
      <c r="O3639">
        <v>1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0</v>
      </c>
      <c r="AH3639">
        <v>0</v>
      </c>
      <c r="AI3639">
        <v>0</v>
      </c>
      <c r="AJ3639">
        <v>1</v>
      </c>
      <c r="AK3639">
        <v>0</v>
      </c>
      <c r="AL3639">
        <v>0</v>
      </c>
      <c r="AM3639">
        <v>0</v>
      </c>
      <c r="AN3639">
        <v>0</v>
      </c>
      <c r="AO3639">
        <v>0</v>
      </c>
      <c r="AP3639">
        <v>0</v>
      </c>
      <c r="AQ3639">
        <v>0</v>
      </c>
      <c r="AS3639">
        <v>0</v>
      </c>
      <c r="AT3639">
        <v>0</v>
      </c>
      <c r="AV3639">
        <v>0</v>
      </c>
      <c r="AW3639">
        <v>0</v>
      </c>
      <c r="AY3639">
        <v>0</v>
      </c>
      <c r="AZ3639">
        <v>0</v>
      </c>
      <c r="BA3639">
        <v>0</v>
      </c>
      <c r="BE3639" t="str">
        <f>T("9791164976065")</f>
        <v>9791164976065</v>
      </c>
      <c r="BF3639" t="str">
        <f>T("E830774")</f>
        <v>E830774</v>
      </c>
      <c r="BG3639" t="str">
        <f>T("로판 웹소설 &gt; 서양풍 로판")</f>
        <v>로판 웹소설 &gt; 서양풍 로판</v>
      </c>
    </row>
    <row r="3640" spans="1:59">
      <c r="A3640" t="s">
        <v>60</v>
      </c>
      <c r="B3640" s="1">
        <v>46131</v>
      </c>
      <c r="C3640">
        <v>2378026730</v>
      </c>
      <c r="D3640">
        <v>2378031310</v>
      </c>
      <c r="E3640" t="str">
        <f>T("사냥꾼에게서 도망쳤다 132화")</f>
        <v>사냥꾼에게서 도망쳤다 132화</v>
      </c>
      <c r="F3640">
        <v>132</v>
      </c>
      <c r="G3640" t="str">
        <f>T("죄송한취향")</f>
        <v>죄송한취향</v>
      </c>
      <c r="J3640" t="str">
        <f>T("시계토끼")</f>
        <v>시계토끼</v>
      </c>
      <c r="K3640" t="str">
        <f>T("사냥꾼에게서 도망쳤다")</f>
        <v>사냥꾼에게서 도망쳤다</v>
      </c>
      <c r="L3640">
        <v>100</v>
      </c>
      <c r="M3640">
        <v>100</v>
      </c>
      <c r="N3640">
        <v>1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0</v>
      </c>
      <c r="AH3640">
        <v>0</v>
      </c>
      <c r="AI3640">
        <v>100</v>
      </c>
      <c r="AJ3640">
        <v>1</v>
      </c>
      <c r="AK3640">
        <v>0</v>
      </c>
      <c r="AL3640">
        <v>0</v>
      </c>
      <c r="AM3640">
        <v>0</v>
      </c>
      <c r="AN3640">
        <v>0</v>
      </c>
      <c r="AO3640">
        <v>120</v>
      </c>
      <c r="AP3640">
        <v>-12</v>
      </c>
      <c r="AQ3640">
        <v>0</v>
      </c>
      <c r="AS3640">
        <v>0</v>
      </c>
      <c r="AT3640">
        <v>0</v>
      </c>
      <c r="AU3640">
        <v>120</v>
      </c>
      <c r="AV3640">
        <v>-12</v>
      </c>
      <c r="AW3640">
        <v>0</v>
      </c>
      <c r="AY3640">
        <v>0</v>
      </c>
      <c r="AZ3640">
        <v>0</v>
      </c>
      <c r="BA3640">
        <v>75.599999999999994</v>
      </c>
      <c r="BE3640" t="str">
        <f>T("9791164976065")</f>
        <v>9791164976065</v>
      </c>
      <c r="BF3640" t="str">
        <f>T("N003942")</f>
        <v>N003942</v>
      </c>
      <c r="BG3640" t="str">
        <f>T("로판 웹소설 &gt; 서양풍 로판")</f>
        <v>로판 웹소설 &gt; 서양풍 로판</v>
      </c>
    </row>
    <row r="3641" spans="1:59">
      <c r="A3641" t="s">
        <v>60</v>
      </c>
      <c r="B3641" s="1">
        <v>46131</v>
      </c>
      <c r="C3641">
        <v>2378026730</v>
      </c>
      <c r="D3641">
        <v>2378031325</v>
      </c>
      <c r="E3641" t="str">
        <f>T("사냥꾼에게서 도망쳤다 133화")</f>
        <v>사냥꾼에게서 도망쳤다 133화</v>
      </c>
      <c r="F3641">
        <v>133</v>
      </c>
      <c r="G3641" t="str">
        <f>T("죄송한취향")</f>
        <v>죄송한취향</v>
      </c>
      <c r="J3641" t="str">
        <f>T("시계토끼")</f>
        <v>시계토끼</v>
      </c>
      <c r="K3641" t="str">
        <f>T("사냥꾼에게서 도망쳤다")</f>
        <v>사냥꾼에게서 도망쳤다</v>
      </c>
      <c r="L3641">
        <v>100</v>
      </c>
      <c r="M3641">
        <v>100</v>
      </c>
      <c r="N3641">
        <v>1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0</v>
      </c>
      <c r="AH3641">
        <v>0</v>
      </c>
      <c r="AI3641">
        <v>100</v>
      </c>
      <c r="AJ3641">
        <v>1</v>
      </c>
      <c r="AK3641">
        <v>0</v>
      </c>
      <c r="AL3641">
        <v>0</v>
      </c>
      <c r="AM3641">
        <v>0</v>
      </c>
      <c r="AN3641">
        <v>0</v>
      </c>
      <c r="AO3641">
        <v>120</v>
      </c>
      <c r="AP3641">
        <v>-12</v>
      </c>
      <c r="AQ3641">
        <v>0</v>
      </c>
      <c r="AS3641">
        <v>0</v>
      </c>
      <c r="AT3641">
        <v>0</v>
      </c>
      <c r="AU3641">
        <v>120</v>
      </c>
      <c r="AV3641">
        <v>-12</v>
      </c>
      <c r="AW3641">
        <v>0</v>
      </c>
      <c r="AY3641">
        <v>0</v>
      </c>
      <c r="AZ3641">
        <v>0</v>
      </c>
      <c r="BA3641">
        <v>75.599999999999994</v>
      </c>
      <c r="BE3641" t="str">
        <f>T("9791164976065")</f>
        <v>9791164976065</v>
      </c>
      <c r="BF3641" t="str">
        <f>T("N003943")</f>
        <v>N003943</v>
      </c>
      <c r="BG3641" t="str">
        <f>T("로판 웹소설 &gt; 서양풍 로판")</f>
        <v>로판 웹소설 &gt; 서양풍 로판</v>
      </c>
    </row>
    <row r="3642" spans="1:59">
      <c r="A3642" t="s">
        <v>60</v>
      </c>
      <c r="B3642" s="1">
        <v>46131</v>
      </c>
      <c r="C3642">
        <v>2378026730</v>
      </c>
      <c r="D3642">
        <v>2378031326</v>
      </c>
      <c r="E3642" t="str">
        <f>T("사냥꾼에게서 도망쳤다 134화")</f>
        <v>사냥꾼에게서 도망쳤다 134화</v>
      </c>
      <c r="F3642">
        <v>134</v>
      </c>
      <c r="G3642" t="str">
        <f>T("죄송한취향")</f>
        <v>죄송한취향</v>
      </c>
      <c r="J3642" t="str">
        <f>T("시계토끼")</f>
        <v>시계토끼</v>
      </c>
      <c r="K3642" t="str">
        <f>T("사냥꾼에게서 도망쳤다")</f>
        <v>사냥꾼에게서 도망쳤다</v>
      </c>
      <c r="L3642">
        <v>100</v>
      </c>
      <c r="M3642">
        <v>100</v>
      </c>
      <c r="N3642">
        <v>1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0</v>
      </c>
      <c r="AH3642">
        <v>0</v>
      </c>
      <c r="AI3642">
        <v>100</v>
      </c>
      <c r="AJ3642">
        <v>1</v>
      </c>
      <c r="AK3642">
        <v>0</v>
      </c>
      <c r="AL3642">
        <v>0</v>
      </c>
      <c r="AM3642">
        <v>0</v>
      </c>
      <c r="AN3642">
        <v>0</v>
      </c>
      <c r="AO3642">
        <v>120</v>
      </c>
      <c r="AP3642">
        <v>-12</v>
      </c>
      <c r="AQ3642">
        <v>0</v>
      </c>
      <c r="AS3642">
        <v>0</v>
      </c>
      <c r="AT3642">
        <v>0</v>
      </c>
      <c r="AU3642">
        <v>120</v>
      </c>
      <c r="AV3642">
        <v>-12</v>
      </c>
      <c r="AW3642">
        <v>0</v>
      </c>
      <c r="AY3642">
        <v>0</v>
      </c>
      <c r="AZ3642">
        <v>0</v>
      </c>
      <c r="BA3642">
        <v>75.599999999999994</v>
      </c>
      <c r="BE3642" t="str">
        <f>T("9791164976065")</f>
        <v>9791164976065</v>
      </c>
      <c r="BF3642" t="str">
        <f>T("N003944")</f>
        <v>N003944</v>
      </c>
      <c r="BG3642" t="str">
        <f>T("로판 웹소설 &gt; 서양풍 로판")</f>
        <v>로판 웹소설 &gt; 서양풍 로판</v>
      </c>
    </row>
    <row r="3643" spans="1:59">
      <c r="A3643" t="s">
        <v>60</v>
      </c>
      <c r="B3643" s="1">
        <v>46131</v>
      </c>
      <c r="C3643">
        <v>2378026730</v>
      </c>
      <c r="D3643">
        <v>2378031327</v>
      </c>
      <c r="E3643" t="str">
        <f>T("사냥꾼에게서 도망쳤다 135화")</f>
        <v>사냥꾼에게서 도망쳤다 135화</v>
      </c>
      <c r="F3643">
        <v>135</v>
      </c>
      <c r="G3643" t="str">
        <f>T("죄송한취향")</f>
        <v>죄송한취향</v>
      </c>
      <c r="J3643" t="str">
        <f>T("시계토끼")</f>
        <v>시계토끼</v>
      </c>
      <c r="K3643" t="str">
        <f>T("사냥꾼에게서 도망쳤다")</f>
        <v>사냥꾼에게서 도망쳤다</v>
      </c>
      <c r="L3643">
        <v>100</v>
      </c>
      <c r="M3643">
        <v>100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0</v>
      </c>
      <c r="AH3643">
        <v>0</v>
      </c>
      <c r="AI3643">
        <v>100</v>
      </c>
      <c r="AJ3643">
        <v>1</v>
      </c>
      <c r="AK3643">
        <v>0</v>
      </c>
      <c r="AL3643">
        <v>0</v>
      </c>
      <c r="AM3643">
        <v>0</v>
      </c>
      <c r="AN3643">
        <v>0</v>
      </c>
      <c r="AO3643">
        <v>120</v>
      </c>
      <c r="AP3643">
        <v>-12</v>
      </c>
      <c r="AQ3643">
        <v>0</v>
      </c>
      <c r="AS3643">
        <v>0</v>
      </c>
      <c r="AT3643">
        <v>0</v>
      </c>
      <c r="AU3643">
        <v>120</v>
      </c>
      <c r="AV3643">
        <v>-12</v>
      </c>
      <c r="AW3643">
        <v>0</v>
      </c>
      <c r="AY3643">
        <v>0</v>
      </c>
      <c r="AZ3643">
        <v>0</v>
      </c>
      <c r="BA3643">
        <v>75.599999999999994</v>
      </c>
      <c r="BE3643" t="str">
        <f>T("9791164976065")</f>
        <v>9791164976065</v>
      </c>
      <c r="BF3643" t="str">
        <f>T("N003945")</f>
        <v>N003945</v>
      </c>
      <c r="BG3643" t="str">
        <f>T("로판 웹소설 &gt; 서양풍 로판")</f>
        <v>로판 웹소설 &gt; 서양풍 로판</v>
      </c>
    </row>
    <row r="3644" spans="1:59">
      <c r="A3644" t="s">
        <v>60</v>
      </c>
      <c r="B3644" s="1">
        <v>46131</v>
      </c>
      <c r="C3644">
        <v>2378026730</v>
      </c>
      <c r="D3644">
        <v>2378031328</v>
      </c>
      <c r="E3644" t="str">
        <f>T("사냥꾼에게서 도망쳤다 136화")</f>
        <v>사냥꾼에게서 도망쳤다 136화</v>
      </c>
      <c r="F3644">
        <v>136</v>
      </c>
      <c r="G3644" t="str">
        <f>T("죄송한취향")</f>
        <v>죄송한취향</v>
      </c>
      <c r="J3644" t="str">
        <f>T("시계토끼")</f>
        <v>시계토끼</v>
      </c>
      <c r="K3644" t="str">
        <f>T("사냥꾼에게서 도망쳤다")</f>
        <v>사냥꾼에게서 도망쳤다</v>
      </c>
      <c r="L3644">
        <v>100</v>
      </c>
      <c r="M3644">
        <v>100</v>
      </c>
      <c r="N3644">
        <v>1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0</v>
      </c>
      <c r="AH3644">
        <v>0</v>
      </c>
      <c r="AI3644">
        <v>100</v>
      </c>
      <c r="AJ3644">
        <v>1</v>
      </c>
      <c r="AK3644">
        <v>0</v>
      </c>
      <c r="AL3644">
        <v>0</v>
      </c>
      <c r="AM3644">
        <v>0</v>
      </c>
      <c r="AN3644">
        <v>0</v>
      </c>
      <c r="AO3644">
        <v>120</v>
      </c>
      <c r="AP3644">
        <v>-12</v>
      </c>
      <c r="AQ3644">
        <v>0</v>
      </c>
      <c r="AS3644">
        <v>0</v>
      </c>
      <c r="AT3644">
        <v>0</v>
      </c>
      <c r="AU3644">
        <v>120</v>
      </c>
      <c r="AV3644">
        <v>-12</v>
      </c>
      <c r="AW3644">
        <v>0</v>
      </c>
      <c r="AY3644">
        <v>0</v>
      </c>
      <c r="AZ3644">
        <v>0</v>
      </c>
      <c r="BA3644">
        <v>75.599999999999994</v>
      </c>
      <c r="BE3644" t="str">
        <f>T("9791164976065")</f>
        <v>9791164976065</v>
      </c>
      <c r="BF3644" t="str">
        <f>T("N003946")</f>
        <v>N003946</v>
      </c>
      <c r="BG3644" t="str">
        <f>T("로판 웹소설 &gt; 서양풍 로판")</f>
        <v>로판 웹소설 &gt; 서양풍 로판</v>
      </c>
    </row>
    <row r="3645" spans="1:59">
      <c r="A3645" t="s">
        <v>60</v>
      </c>
      <c r="B3645" s="1">
        <v>46131</v>
      </c>
      <c r="C3645">
        <v>2378026730</v>
      </c>
      <c r="D3645">
        <v>2378031335</v>
      </c>
      <c r="E3645" t="str">
        <f>T("사냥꾼에게서 도망쳤다 137화")</f>
        <v>사냥꾼에게서 도망쳤다 137화</v>
      </c>
      <c r="F3645">
        <v>137</v>
      </c>
      <c r="G3645" t="str">
        <f>T("죄송한취향")</f>
        <v>죄송한취향</v>
      </c>
      <c r="J3645" t="str">
        <f>T("시계토끼")</f>
        <v>시계토끼</v>
      </c>
      <c r="K3645" t="str">
        <f>T("사냥꾼에게서 도망쳤다")</f>
        <v>사냥꾼에게서 도망쳤다</v>
      </c>
      <c r="L3645">
        <v>100</v>
      </c>
      <c r="M3645">
        <v>100</v>
      </c>
      <c r="N3645">
        <v>1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0</v>
      </c>
      <c r="AH3645">
        <v>0</v>
      </c>
      <c r="AI3645">
        <v>100</v>
      </c>
      <c r="AJ3645">
        <v>1</v>
      </c>
      <c r="AK3645">
        <v>0</v>
      </c>
      <c r="AL3645">
        <v>0</v>
      </c>
      <c r="AM3645">
        <v>0</v>
      </c>
      <c r="AN3645">
        <v>0</v>
      </c>
      <c r="AO3645">
        <v>120</v>
      </c>
      <c r="AP3645">
        <v>-12</v>
      </c>
      <c r="AQ3645">
        <v>0</v>
      </c>
      <c r="AS3645">
        <v>0</v>
      </c>
      <c r="AT3645">
        <v>0</v>
      </c>
      <c r="AU3645">
        <v>120</v>
      </c>
      <c r="AV3645">
        <v>-12</v>
      </c>
      <c r="AW3645">
        <v>0</v>
      </c>
      <c r="AY3645">
        <v>0</v>
      </c>
      <c r="AZ3645">
        <v>0</v>
      </c>
      <c r="BA3645">
        <v>75.599999999999994</v>
      </c>
      <c r="BE3645" t="str">
        <f>T("9791164976065")</f>
        <v>9791164976065</v>
      </c>
      <c r="BF3645" t="str">
        <f>T("N003947")</f>
        <v>N003947</v>
      </c>
      <c r="BG3645" t="str">
        <f>T("로판 웹소설 &gt; 서양풍 로판")</f>
        <v>로판 웹소설 &gt; 서양풍 로판</v>
      </c>
    </row>
    <row r="3646" spans="1:59">
      <c r="A3646" t="s">
        <v>60</v>
      </c>
      <c r="B3646" s="1">
        <v>46131</v>
      </c>
      <c r="C3646">
        <v>2378026730</v>
      </c>
      <c r="D3646">
        <v>2378031758</v>
      </c>
      <c r="E3646" t="str">
        <f>T("사냥꾼에게서 도망쳤다 151화")</f>
        <v>사냥꾼에게서 도망쳤다 151화</v>
      </c>
      <c r="F3646">
        <v>151</v>
      </c>
      <c r="G3646" t="str">
        <f>T("죄송한취향")</f>
        <v>죄송한취향</v>
      </c>
      <c r="J3646" t="str">
        <f>T("시계토끼")</f>
        <v>시계토끼</v>
      </c>
      <c r="K3646" t="str">
        <f>T("사냥꾼에게서 도망쳤다")</f>
        <v>사냥꾼에게서 도망쳤다</v>
      </c>
      <c r="L3646">
        <v>100</v>
      </c>
      <c r="M3646">
        <v>100</v>
      </c>
      <c r="N3646">
        <v>1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0</v>
      </c>
      <c r="AH3646">
        <v>0</v>
      </c>
      <c r="AI3646">
        <v>100</v>
      </c>
      <c r="AJ3646">
        <v>1</v>
      </c>
      <c r="AK3646">
        <v>0</v>
      </c>
      <c r="AL3646">
        <v>0</v>
      </c>
      <c r="AM3646">
        <v>0</v>
      </c>
      <c r="AN3646">
        <v>0</v>
      </c>
      <c r="AO3646">
        <v>120</v>
      </c>
      <c r="AP3646">
        <v>-12</v>
      </c>
      <c r="AQ3646">
        <v>0</v>
      </c>
      <c r="AS3646">
        <v>0</v>
      </c>
      <c r="AT3646">
        <v>0</v>
      </c>
      <c r="AU3646">
        <v>120</v>
      </c>
      <c r="AV3646">
        <v>-12</v>
      </c>
      <c r="AW3646">
        <v>0</v>
      </c>
      <c r="AY3646">
        <v>0</v>
      </c>
      <c r="AZ3646">
        <v>0</v>
      </c>
      <c r="BA3646">
        <v>75.599999999999994</v>
      </c>
      <c r="BE3646" t="str">
        <f>T("9791164976065")</f>
        <v>9791164976065</v>
      </c>
      <c r="BF3646" t="str">
        <f>T("N024999")</f>
        <v>N024999</v>
      </c>
      <c r="BG3646" t="str">
        <f>T("로판 웹소설 &gt; 서양풍 로판")</f>
        <v>로판 웹소설 &gt; 서양풍 로판</v>
      </c>
    </row>
    <row r="3647" spans="1:59">
      <c r="A3647" t="s">
        <v>60</v>
      </c>
      <c r="B3647" s="1">
        <v>46131</v>
      </c>
      <c r="C3647">
        <v>2378026730</v>
      </c>
      <c r="D3647">
        <v>2378031336</v>
      </c>
      <c r="E3647" t="str">
        <f>T("사냥꾼에게서 도망쳤다 138화")</f>
        <v>사냥꾼에게서 도망쳤다 138화</v>
      </c>
      <c r="F3647">
        <v>138</v>
      </c>
      <c r="G3647" t="str">
        <f>T("죄송한취향")</f>
        <v>죄송한취향</v>
      </c>
      <c r="J3647" t="str">
        <f>T("시계토끼")</f>
        <v>시계토끼</v>
      </c>
      <c r="K3647" t="str">
        <f>T("사냥꾼에게서 도망쳤다")</f>
        <v>사냥꾼에게서 도망쳤다</v>
      </c>
      <c r="L3647">
        <v>100</v>
      </c>
      <c r="M3647">
        <v>100</v>
      </c>
      <c r="N3647">
        <v>1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0</v>
      </c>
      <c r="AH3647">
        <v>0</v>
      </c>
      <c r="AI3647">
        <v>100</v>
      </c>
      <c r="AJ3647">
        <v>1</v>
      </c>
      <c r="AK3647">
        <v>0</v>
      </c>
      <c r="AL3647">
        <v>0</v>
      </c>
      <c r="AM3647">
        <v>0</v>
      </c>
      <c r="AN3647">
        <v>0</v>
      </c>
      <c r="AO3647">
        <v>120</v>
      </c>
      <c r="AP3647">
        <v>-12</v>
      </c>
      <c r="AQ3647">
        <v>0</v>
      </c>
      <c r="AS3647">
        <v>0</v>
      </c>
      <c r="AT3647">
        <v>0</v>
      </c>
      <c r="AU3647">
        <v>120</v>
      </c>
      <c r="AV3647">
        <v>-12</v>
      </c>
      <c r="AW3647">
        <v>0</v>
      </c>
      <c r="AY3647">
        <v>0</v>
      </c>
      <c r="AZ3647">
        <v>0</v>
      </c>
      <c r="BA3647">
        <v>75.599999999999994</v>
      </c>
      <c r="BE3647" t="str">
        <f>T("9791164976065")</f>
        <v>9791164976065</v>
      </c>
      <c r="BF3647" t="str">
        <f>T("N003948")</f>
        <v>N003948</v>
      </c>
      <c r="BG3647" t="str">
        <f>T("로판 웹소설 &gt; 서양풍 로판")</f>
        <v>로판 웹소설 &gt; 서양풍 로판</v>
      </c>
    </row>
    <row r="3648" spans="1:59">
      <c r="A3648" t="s">
        <v>60</v>
      </c>
      <c r="B3648" s="1">
        <v>46131</v>
      </c>
      <c r="C3648">
        <v>2378026730</v>
      </c>
      <c r="D3648">
        <v>2378026743</v>
      </c>
      <c r="E3648" t="str">
        <f>T("사냥꾼에게서 도망쳤다 14화")</f>
        <v>사냥꾼에게서 도망쳤다 14화</v>
      </c>
      <c r="F3648">
        <v>14</v>
      </c>
      <c r="G3648" t="str">
        <f>T("죄송한취향")</f>
        <v>죄송한취향</v>
      </c>
      <c r="J3648" t="str">
        <f>T("시계토끼")</f>
        <v>시계토끼</v>
      </c>
      <c r="K3648" t="str">
        <f>T("사냥꾼에게서 도망쳤다")</f>
        <v>사냥꾼에게서 도망쳤다</v>
      </c>
      <c r="L3648">
        <v>100</v>
      </c>
      <c r="M3648">
        <v>100</v>
      </c>
      <c r="N3648">
        <v>1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0</v>
      </c>
      <c r="AH3648">
        <v>0</v>
      </c>
      <c r="AI3648">
        <v>100</v>
      </c>
      <c r="AJ3648">
        <v>1</v>
      </c>
      <c r="AK3648">
        <v>0</v>
      </c>
      <c r="AL3648">
        <v>0</v>
      </c>
      <c r="AM3648">
        <v>100</v>
      </c>
      <c r="AN3648">
        <v>0</v>
      </c>
      <c r="AO3648">
        <v>0</v>
      </c>
      <c r="AP3648">
        <v>0</v>
      </c>
      <c r="AQ3648">
        <v>0</v>
      </c>
      <c r="AS3648">
        <v>0</v>
      </c>
      <c r="AT3648">
        <v>0</v>
      </c>
      <c r="AV3648">
        <v>0</v>
      </c>
      <c r="AW3648">
        <v>0</v>
      </c>
      <c r="AY3648">
        <v>0</v>
      </c>
      <c r="AZ3648">
        <v>0</v>
      </c>
      <c r="BA3648">
        <v>70</v>
      </c>
      <c r="BE3648" t="str">
        <f>T("9791164976065")</f>
        <v>9791164976065</v>
      </c>
      <c r="BF3648" t="str">
        <f>T("E830787")</f>
        <v>E830787</v>
      </c>
      <c r="BG3648" t="str">
        <f>T("로판 웹소설 &gt; 서양풍 로판")</f>
        <v>로판 웹소설 &gt; 서양풍 로판</v>
      </c>
    </row>
    <row r="3649" spans="1:59">
      <c r="A3649" t="s">
        <v>60</v>
      </c>
      <c r="B3649" s="1">
        <v>46131</v>
      </c>
      <c r="C3649">
        <v>2378026730</v>
      </c>
      <c r="D3649">
        <v>2378028214</v>
      </c>
      <c r="E3649" t="str">
        <f>T("사냥꾼에게서 도망쳤다 80화")</f>
        <v>사냥꾼에게서 도망쳤다 80화</v>
      </c>
      <c r="F3649">
        <v>80</v>
      </c>
      <c r="G3649" t="str">
        <f>T("죄송한취향")</f>
        <v>죄송한취향</v>
      </c>
      <c r="J3649" t="str">
        <f>T("시계토끼")</f>
        <v>시계토끼</v>
      </c>
      <c r="K3649" t="str">
        <f>T("사냥꾼에게서 도망쳤다")</f>
        <v>사냥꾼에게서 도망쳤다</v>
      </c>
      <c r="L3649">
        <v>100</v>
      </c>
      <c r="M3649">
        <v>100</v>
      </c>
      <c r="N3649">
        <v>1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0</v>
      </c>
      <c r="AH3649">
        <v>0</v>
      </c>
      <c r="AI3649">
        <v>100</v>
      </c>
      <c r="AJ3649">
        <v>1</v>
      </c>
      <c r="AK3649">
        <v>0</v>
      </c>
      <c r="AL3649">
        <v>0</v>
      </c>
      <c r="AM3649">
        <v>100</v>
      </c>
      <c r="AN3649">
        <v>0</v>
      </c>
      <c r="AO3649">
        <v>0</v>
      </c>
      <c r="AP3649">
        <v>0</v>
      </c>
      <c r="AQ3649">
        <v>0</v>
      </c>
      <c r="AS3649">
        <v>0</v>
      </c>
      <c r="AT3649">
        <v>0</v>
      </c>
      <c r="AV3649">
        <v>0</v>
      </c>
      <c r="AW3649">
        <v>0</v>
      </c>
      <c r="AY3649">
        <v>0</v>
      </c>
      <c r="AZ3649">
        <v>0</v>
      </c>
      <c r="BA3649">
        <v>70</v>
      </c>
      <c r="BE3649" t="str">
        <f>T("9791164976065")</f>
        <v>9791164976065</v>
      </c>
      <c r="BF3649" t="str">
        <f>T("E844485")</f>
        <v>E844485</v>
      </c>
      <c r="BG3649" t="str">
        <f>T("로판 웹소설 &gt; 서양풍 로판")</f>
        <v>로판 웹소설 &gt; 서양풍 로판</v>
      </c>
    </row>
    <row r="3650" spans="1:59">
      <c r="A3650" t="s">
        <v>60</v>
      </c>
      <c r="B3650" s="1">
        <v>46131</v>
      </c>
      <c r="C3650">
        <v>2378026730</v>
      </c>
      <c r="D3650">
        <v>2378028215</v>
      </c>
      <c r="E3650" t="str">
        <f>T("사냥꾼에게서 도망쳤다 81화")</f>
        <v>사냥꾼에게서 도망쳤다 81화</v>
      </c>
      <c r="F3650">
        <v>81</v>
      </c>
      <c r="G3650" t="str">
        <f>T("죄송한취향")</f>
        <v>죄송한취향</v>
      </c>
      <c r="J3650" t="str">
        <f>T("시계토끼")</f>
        <v>시계토끼</v>
      </c>
      <c r="K3650" t="str">
        <f>T("사냥꾼에게서 도망쳤다")</f>
        <v>사냥꾼에게서 도망쳤다</v>
      </c>
      <c r="L3650">
        <v>100</v>
      </c>
      <c r="M3650">
        <v>100</v>
      </c>
      <c r="N3650">
        <v>1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0</v>
      </c>
      <c r="AH3650">
        <v>0</v>
      </c>
      <c r="AI3650">
        <v>100</v>
      </c>
      <c r="AJ3650">
        <v>1</v>
      </c>
      <c r="AK3650">
        <v>0</v>
      </c>
      <c r="AL3650">
        <v>0</v>
      </c>
      <c r="AM3650">
        <v>100</v>
      </c>
      <c r="AN3650">
        <v>0</v>
      </c>
      <c r="AO3650">
        <v>0</v>
      </c>
      <c r="AP3650">
        <v>0</v>
      </c>
      <c r="AQ3650">
        <v>0</v>
      </c>
      <c r="AS3650">
        <v>0</v>
      </c>
      <c r="AT3650">
        <v>0</v>
      </c>
      <c r="AV3650">
        <v>0</v>
      </c>
      <c r="AW3650">
        <v>0</v>
      </c>
      <c r="AY3650">
        <v>0</v>
      </c>
      <c r="AZ3650">
        <v>0</v>
      </c>
      <c r="BA3650">
        <v>70</v>
      </c>
      <c r="BE3650" t="str">
        <f>T("9791164976065")</f>
        <v>9791164976065</v>
      </c>
      <c r="BF3650" t="str">
        <f>T("E844486")</f>
        <v>E844486</v>
      </c>
      <c r="BG3650" t="str">
        <f>T("로판 웹소설 &gt; 서양풍 로판")</f>
        <v>로판 웹소설 &gt; 서양풍 로판</v>
      </c>
    </row>
    <row r="3651" spans="1:59">
      <c r="A3651" t="s">
        <v>60</v>
      </c>
      <c r="B3651" s="1">
        <v>46131</v>
      </c>
      <c r="C3651">
        <v>2378026730</v>
      </c>
      <c r="D3651">
        <v>2378028216</v>
      </c>
      <c r="E3651" t="str">
        <f>T("사냥꾼에게서 도망쳤다 82화")</f>
        <v>사냥꾼에게서 도망쳤다 82화</v>
      </c>
      <c r="F3651">
        <v>82</v>
      </c>
      <c r="G3651" t="str">
        <f>T("죄송한취향")</f>
        <v>죄송한취향</v>
      </c>
      <c r="J3651" t="str">
        <f>T("시계토끼")</f>
        <v>시계토끼</v>
      </c>
      <c r="K3651" t="str">
        <f>T("사냥꾼에게서 도망쳤다")</f>
        <v>사냥꾼에게서 도망쳤다</v>
      </c>
      <c r="L3651">
        <v>100</v>
      </c>
      <c r="M3651">
        <v>100</v>
      </c>
      <c r="N3651">
        <v>1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0</v>
      </c>
      <c r="AH3651">
        <v>0</v>
      </c>
      <c r="AI3651">
        <v>100</v>
      </c>
      <c r="AJ3651">
        <v>1</v>
      </c>
      <c r="AK3651">
        <v>0</v>
      </c>
      <c r="AL3651">
        <v>0</v>
      </c>
      <c r="AM3651">
        <v>100</v>
      </c>
      <c r="AN3651">
        <v>0</v>
      </c>
      <c r="AO3651">
        <v>0</v>
      </c>
      <c r="AP3651">
        <v>0</v>
      </c>
      <c r="AQ3651">
        <v>0</v>
      </c>
      <c r="AS3651">
        <v>0</v>
      </c>
      <c r="AT3651">
        <v>0</v>
      </c>
      <c r="AV3651">
        <v>0</v>
      </c>
      <c r="AW3651">
        <v>0</v>
      </c>
      <c r="AY3651">
        <v>0</v>
      </c>
      <c r="AZ3651">
        <v>0</v>
      </c>
      <c r="BA3651">
        <v>70</v>
      </c>
      <c r="BE3651" t="str">
        <f>T("9791164976065")</f>
        <v>9791164976065</v>
      </c>
      <c r="BF3651" t="str">
        <f>T("E844487")</f>
        <v>E844487</v>
      </c>
      <c r="BG3651" t="str">
        <f>T("로판 웹소설 &gt; 서양풍 로판")</f>
        <v>로판 웹소설 &gt; 서양풍 로판</v>
      </c>
    </row>
    <row r="3652" spans="1:59">
      <c r="A3652" t="s">
        <v>60</v>
      </c>
      <c r="B3652" s="1">
        <v>46131</v>
      </c>
      <c r="C3652">
        <v>2378026730</v>
      </c>
      <c r="D3652">
        <v>2378028279</v>
      </c>
      <c r="E3652" t="str">
        <f>T("사냥꾼에게서 도망쳤다 83화")</f>
        <v>사냥꾼에게서 도망쳤다 83화</v>
      </c>
      <c r="F3652">
        <v>83</v>
      </c>
      <c r="G3652" t="str">
        <f>T("죄송한취향")</f>
        <v>죄송한취향</v>
      </c>
      <c r="J3652" t="str">
        <f>T("시계토끼")</f>
        <v>시계토끼</v>
      </c>
      <c r="K3652" t="str">
        <f>T("사냥꾼에게서 도망쳤다")</f>
        <v>사냥꾼에게서 도망쳤다</v>
      </c>
      <c r="L3652">
        <v>100</v>
      </c>
      <c r="M3652">
        <v>100</v>
      </c>
      <c r="N3652">
        <v>1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0</v>
      </c>
      <c r="AH3652">
        <v>0</v>
      </c>
      <c r="AI3652">
        <v>100</v>
      </c>
      <c r="AJ3652">
        <v>1</v>
      </c>
      <c r="AK3652">
        <v>0</v>
      </c>
      <c r="AL3652">
        <v>0</v>
      </c>
      <c r="AM3652">
        <v>100</v>
      </c>
      <c r="AN3652">
        <v>0</v>
      </c>
      <c r="AO3652">
        <v>0</v>
      </c>
      <c r="AP3652">
        <v>0</v>
      </c>
      <c r="AQ3652">
        <v>0</v>
      </c>
      <c r="AS3652">
        <v>0</v>
      </c>
      <c r="AT3652">
        <v>0</v>
      </c>
      <c r="AV3652">
        <v>0</v>
      </c>
      <c r="AW3652">
        <v>0</v>
      </c>
      <c r="AY3652">
        <v>0</v>
      </c>
      <c r="AZ3652">
        <v>0</v>
      </c>
      <c r="BA3652">
        <v>70</v>
      </c>
      <c r="BE3652" t="str">
        <f>T("9791164976065")</f>
        <v>9791164976065</v>
      </c>
      <c r="BF3652" t="str">
        <f>T("E847026")</f>
        <v>E847026</v>
      </c>
      <c r="BG3652" t="str">
        <f>T("로판 웹소설 &gt; 서양풍 로판")</f>
        <v>로판 웹소설 &gt; 서양풍 로판</v>
      </c>
    </row>
    <row r="3653" spans="1:59">
      <c r="A3653" t="s">
        <v>60</v>
      </c>
      <c r="B3653" s="1">
        <v>46131</v>
      </c>
      <c r="C3653">
        <v>2378026730</v>
      </c>
      <c r="D3653">
        <v>2378028280</v>
      </c>
      <c r="E3653" t="str">
        <f>T("사냥꾼에게서 도망쳤다 84화")</f>
        <v>사냥꾼에게서 도망쳤다 84화</v>
      </c>
      <c r="F3653">
        <v>84</v>
      </c>
      <c r="G3653" t="str">
        <f>T("죄송한취향")</f>
        <v>죄송한취향</v>
      </c>
      <c r="J3653" t="str">
        <f>T("시계토끼")</f>
        <v>시계토끼</v>
      </c>
      <c r="K3653" t="str">
        <f>T("사냥꾼에게서 도망쳤다")</f>
        <v>사냥꾼에게서 도망쳤다</v>
      </c>
      <c r="L3653">
        <v>100</v>
      </c>
      <c r="M3653">
        <v>100</v>
      </c>
      <c r="N3653">
        <v>1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0</v>
      </c>
      <c r="AH3653">
        <v>0</v>
      </c>
      <c r="AI3653">
        <v>100</v>
      </c>
      <c r="AJ3653">
        <v>1</v>
      </c>
      <c r="AK3653">
        <v>0</v>
      </c>
      <c r="AL3653">
        <v>0</v>
      </c>
      <c r="AM3653">
        <v>100</v>
      </c>
      <c r="AN3653">
        <v>0</v>
      </c>
      <c r="AO3653">
        <v>0</v>
      </c>
      <c r="AP3653">
        <v>0</v>
      </c>
      <c r="AQ3653">
        <v>0</v>
      </c>
      <c r="AS3653">
        <v>0</v>
      </c>
      <c r="AT3653">
        <v>0</v>
      </c>
      <c r="AV3653">
        <v>0</v>
      </c>
      <c r="AW3653">
        <v>0</v>
      </c>
      <c r="AY3653">
        <v>0</v>
      </c>
      <c r="AZ3653">
        <v>0</v>
      </c>
      <c r="BA3653">
        <v>70</v>
      </c>
      <c r="BE3653" t="str">
        <f>T("9791164976065")</f>
        <v>9791164976065</v>
      </c>
      <c r="BF3653" t="str">
        <f>T("E847027")</f>
        <v>E847027</v>
      </c>
      <c r="BG3653" t="str">
        <f>T("로판 웹소설 &gt; 서양풍 로판")</f>
        <v>로판 웹소설 &gt; 서양풍 로판</v>
      </c>
    </row>
    <row r="3654" spans="1:59">
      <c r="A3654" t="s">
        <v>60</v>
      </c>
      <c r="B3654" s="1">
        <v>46131</v>
      </c>
      <c r="C3654">
        <v>2378026730</v>
      </c>
      <c r="D3654">
        <v>2378028281</v>
      </c>
      <c r="E3654" t="str">
        <f>T("사냥꾼에게서 도망쳤다 85화")</f>
        <v>사냥꾼에게서 도망쳤다 85화</v>
      </c>
      <c r="F3654">
        <v>85</v>
      </c>
      <c r="G3654" t="str">
        <f>T("죄송한취향")</f>
        <v>죄송한취향</v>
      </c>
      <c r="J3654" t="str">
        <f>T("시계토끼")</f>
        <v>시계토끼</v>
      </c>
      <c r="K3654" t="str">
        <f>T("사냥꾼에게서 도망쳤다")</f>
        <v>사냥꾼에게서 도망쳤다</v>
      </c>
      <c r="L3654">
        <v>100</v>
      </c>
      <c r="M3654">
        <v>100</v>
      </c>
      <c r="N3654">
        <v>1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0</v>
      </c>
      <c r="AH3654">
        <v>0</v>
      </c>
      <c r="AI3654">
        <v>100</v>
      </c>
      <c r="AJ3654">
        <v>1</v>
      </c>
      <c r="AK3654">
        <v>0</v>
      </c>
      <c r="AL3654">
        <v>0</v>
      </c>
      <c r="AM3654">
        <v>100</v>
      </c>
      <c r="AN3654">
        <v>0</v>
      </c>
      <c r="AO3654">
        <v>0</v>
      </c>
      <c r="AP3654">
        <v>0</v>
      </c>
      <c r="AQ3654">
        <v>0</v>
      </c>
      <c r="AS3654">
        <v>0</v>
      </c>
      <c r="AT3654">
        <v>0</v>
      </c>
      <c r="AV3654">
        <v>0</v>
      </c>
      <c r="AW3654">
        <v>0</v>
      </c>
      <c r="AY3654">
        <v>0</v>
      </c>
      <c r="AZ3654">
        <v>0</v>
      </c>
      <c r="BA3654">
        <v>70</v>
      </c>
      <c r="BE3654" t="str">
        <f>T("9791164976065")</f>
        <v>9791164976065</v>
      </c>
      <c r="BF3654" t="str">
        <f>T("E847028")</f>
        <v>E847028</v>
      </c>
      <c r="BG3654" t="str">
        <f>T("로판 웹소설 &gt; 서양풍 로판")</f>
        <v>로판 웹소설 &gt; 서양풍 로판</v>
      </c>
    </row>
    <row r="3655" spans="1:59">
      <c r="A3655" t="s">
        <v>60</v>
      </c>
      <c r="B3655" s="1">
        <v>46131</v>
      </c>
      <c r="C3655">
        <v>2378026730</v>
      </c>
      <c r="D3655">
        <v>2378028282</v>
      </c>
      <c r="E3655" t="str">
        <f>T("사냥꾼에게서 도망쳤다 86화")</f>
        <v>사냥꾼에게서 도망쳤다 86화</v>
      </c>
      <c r="F3655">
        <v>86</v>
      </c>
      <c r="G3655" t="str">
        <f>T("죄송한취향")</f>
        <v>죄송한취향</v>
      </c>
      <c r="J3655" t="str">
        <f>T("시계토끼")</f>
        <v>시계토끼</v>
      </c>
      <c r="K3655" t="str">
        <f>T("사냥꾼에게서 도망쳤다")</f>
        <v>사냥꾼에게서 도망쳤다</v>
      </c>
      <c r="L3655">
        <v>100</v>
      </c>
      <c r="M3655">
        <v>100</v>
      </c>
      <c r="N3655">
        <v>1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0</v>
      </c>
      <c r="AH3655">
        <v>0</v>
      </c>
      <c r="AI3655">
        <v>100</v>
      </c>
      <c r="AJ3655">
        <v>1</v>
      </c>
      <c r="AK3655">
        <v>0</v>
      </c>
      <c r="AL3655">
        <v>0</v>
      </c>
      <c r="AM3655">
        <v>100</v>
      </c>
      <c r="AN3655">
        <v>0</v>
      </c>
      <c r="AO3655">
        <v>0</v>
      </c>
      <c r="AP3655">
        <v>0</v>
      </c>
      <c r="AQ3655">
        <v>0</v>
      </c>
      <c r="AS3655">
        <v>0</v>
      </c>
      <c r="AT3655">
        <v>0</v>
      </c>
      <c r="AV3655">
        <v>0</v>
      </c>
      <c r="AW3655">
        <v>0</v>
      </c>
      <c r="AY3655">
        <v>0</v>
      </c>
      <c r="AZ3655">
        <v>0</v>
      </c>
      <c r="BA3655">
        <v>70</v>
      </c>
      <c r="BE3655" t="str">
        <f>T("9791164976065")</f>
        <v>9791164976065</v>
      </c>
      <c r="BF3655" t="str">
        <f>T("E847029")</f>
        <v>E847029</v>
      </c>
      <c r="BG3655" t="str">
        <f>T("로판 웹소설 &gt; 서양풍 로판")</f>
        <v>로판 웹소설 &gt; 서양풍 로판</v>
      </c>
    </row>
    <row r="3656" spans="1:59">
      <c r="A3656" t="s">
        <v>60</v>
      </c>
      <c r="B3656" s="1">
        <v>46131</v>
      </c>
      <c r="C3656">
        <v>2378026730</v>
      </c>
      <c r="D3656">
        <v>2378028482</v>
      </c>
      <c r="E3656" t="str">
        <f>T("사냥꾼에게서 도망쳤다 87화")</f>
        <v>사냥꾼에게서 도망쳤다 87화</v>
      </c>
      <c r="F3656">
        <v>87</v>
      </c>
      <c r="G3656" t="str">
        <f>T("죄송한취향")</f>
        <v>죄송한취향</v>
      </c>
      <c r="J3656" t="str">
        <f>T("시계토끼")</f>
        <v>시계토끼</v>
      </c>
      <c r="K3656" t="str">
        <f>T("사냥꾼에게서 도망쳤다")</f>
        <v>사냥꾼에게서 도망쳤다</v>
      </c>
      <c r="L3656">
        <v>100</v>
      </c>
      <c r="M3656">
        <v>100</v>
      </c>
      <c r="N3656">
        <v>1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0</v>
      </c>
      <c r="AH3656">
        <v>0</v>
      </c>
      <c r="AI3656">
        <v>100</v>
      </c>
      <c r="AJ3656">
        <v>1</v>
      </c>
      <c r="AK3656">
        <v>0</v>
      </c>
      <c r="AL3656">
        <v>0</v>
      </c>
      <c r="AM3656">
        <v>100</v>
      </c>
      <c r="AN3656">
        <v>0</v>
      </c>
      <c r="AO3656">
        <v>0</v>
      </c>
      <c r="AP3656">
        <v>0</v>
      </c>
      <c r="AQ3656">
        <v>0</v>
      </c>
      <c r="AS3656">
        <v>0</v>
      </c>
      <c r="AT3656">
        <v>0</v>
      </c>
      <c r="AV3656">
        <v>0</v>
      </c>
      <c r="AW3656">
        <v>0</v>
      </c>
      <c r="AY3656">
        <v>0</v>
      </c>
      <c r="AZ3656">
        <v>0</v>
      </c>
      <c r="BA3656">
        <v>70</v>
      </c>
      <c r="BE3656" t="str">
        <f>T("9791164976065")</f>
        <v>9791164976065</v>
      </c>
      <c r="BF3656" t="str">
        <f>T("E849738")</f>
        <v>E849738</v>
      </c>
      <c r="BG3656" t="str">
        <f>T("로판 웹소설 &gt; 서양풍 로판")</f>
        <v>로판 웹소설 &gt; 서양풍 로판</v>
      </c>
    </row>
    <row r="3657" spans="1:59">
      <c r="A3657" t="s">
        <v>60</v>
      </c>
      <c r="B3657" s="1">
        <v>46131</v>
      </c>
      <c r="C3657">
        <v>2378026730</v>
      </c>
      <c r="D3657">
        <v>2378028483</v>
      </c>
      <c r="E3657" t="str">
        <f>T("사냥꾼에게서 도망쳤다 88화")</f>
        <v>사냥꾼에게서 도망쳤다 88화</v>
      </c>
      <c r="F3657">
        <v>88</v>
      </c>
      <c r="G3657" t="str">
        <f>T("죄송한취향")</f>
        <v>죄송한취향</v>
      </c>
      <c r="J3657" t="str">
        <f>T("시계토끼")</f>
        <v>시계토끼</v>
      </c>
      <c r="K3657" t="str">
        <f>T("사냥꾼에게서 도망쳤다")</f>
        <v>사냥꾼에게서 도망쳤다</v>
      </c>
      <c r="L3657">
        <v>100</v>
      </c>
      <c r="M3657">
        <v>100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0</v>
      </c>
      <c r="AH3657">
        <v>0</v>
      </c>
      <c r="AI3657">
        <v>100</v>
      </c>
      <c r="AJ3657">
        <v>1</v>
      </c>
      <c r="AK3657">
        <v>0</v>
      </c>
      <c r="AL3657">
        <v>0</v>
      </c>
      <c r="AM3657">
        <v>100</v>
      </c>
      <c r="AN3657">
        <v>0</v>
      </c>
      <c r="AO3657">
        <v>0</v>
      </c>
      <c r="AP3657">
        <v>0</v>
      </c>
      <c r="AQ3657">
        <v>0</v>
      </c>
      <c r="AS3657">
        <v>0</v>
      </c>
      <c r="AT3657">
        <v>0</v>
      </c>
      <c r="AV3657">
        <v>0</v>
      </c>
      <c r="AW3657">
        <v>0</v>
      </c>
      <c r="AY3657">
        <v>0</v>
      </c>
      <c r="AZ3657">
        <v>0</v>
      </c>
      <c r="BA3657">
        <v>70</v>
      </c>
      <c r="BE3657" t="str">
        <f>T("9791164976065")</f>
        <v>9791164976065</v>
      </c>
      <c r="BF3657" t="str">
        <f>T("E849739")</f>
        <v>E849739</v>
      </c>
      <c r="BG3657" t="str">
        <f>T("로판 웹소설 &gt; 서양풍 로판")</f>
        <v>로판 웹소설 &gt; 서양풍 로판</v>
      </c>
    </row>
    <row r="3658" spans="1:59">
      <c r="A3658" t="s">
        <v>60</v>
      </c>
      <c r="B3658" s="1">
        <v>46131</v>
      </c>
      <c r="C3658">
        <v>2378026730</v>
      </c>
      <c r="D3658">
        <v>2378031337</v>
      </c>
      <c r="E3658" t="str">
        <f>T("사냥꾼에게서 도망쳤다 139화")</f>
        <v>사냥꾼에게서 도망쳤다 139화</v>
      </c>
      <c r="F3658">
        <v>139</v>
      </c>
      <c r="G3658" t="str">
        <f>T("죄송한취향")</f>
        <v>죄송한취향</v>
      </c>
      <c r="J3658" t="str">
        <f>T("시계토끼")</f>
        <v>시계토끼</v>
      </c>
      <c r="K3658" t="str">
        <f>T("사냥꾼에게서 도망쳤다")</f>
        <v>사냥꾼에게서 도망쳤다</v>
      </c>
      <c r="L3658">
        <v>100</v>
      </c>
      <c r="M3658">
        <v>100</v>
      </c>
      <c r="N3658">
        <v>1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0</v>
      </c>
      <c r="AH3658">
        <v>0</v>
      </c>
      <c r="AI3658">
        <v>100</v>
      </c>
      <c r="AJ3658">
        <v>1</v>
      </c>
      <c r="AK3658">
        <v>0</v>
      </c>
      <c r="AL3658">
        <v>0</v>
      </c>
      <c r="AM3658">
        <v>0</v>
      </c>
      <c r="AN3658">
        <v>0</v>
      </c>
      <c r="AO3658">
        <v>120</v>
      </c>
      <c r="AP3658">
        <v>-12</v>
      </c>
      <c r="AQ3658">
        <v>0</v>
      </c>
      <c r="AS3658">
        <v>0</v>
      </c>
      <c r="AT3658">
        <v>0</v>
      </c>
      <c r="AU3658">
        <v>120</v>
      </c>
      <c r="AV3658">
        <v>-12</v>
      </c>
      <c r="AW3658">
        <v>0</v>
      </c>
      <c r="AY3658">
        <v>0</v>
      </c>
      <c r="AZ3658">
        <v>0</v>
      </c>
      <c r="BA3658">
        <v>75.599999999999994</v>
      </c>
      <c r="BE3658" t="str">
        <f>T("9791164976065")</f>
        <v>9791164976065</v>
      </c>
      <c r="BF3658" t="str">
        <f>T("N003949")</f>
        <v>N003949</v>
      </c>
      <c r="BG3658" t="str">
        <f>T("로판 웹소설 &gt; 서양풍 로판")</f>
        <v>로판 웹소설 &gt; 서양풍 로판</v>
      </c>
    </row>
    <row r="3659" spans="1:59">
      <c r="A3659" t="s">
        <v>60</v>
      </c>
      <c r="B3659" s="1">
        <v>46131</v>
      </c>
      <c r="C3659">
        <v>2378026730</v>
      </c>
      <c r="D3659">
        <v>2378031338</v>
      </c>
      <c r="E3659" t="str">
        <f>T("사냥꾼에게서 도망쳤다 140화")</f>
        <v>사냥꾼에게서 도망쳤다 140화</v>
      </c>
      <c r="F3659">
        <v>140</v>
      </c>
      <c r="G3659" t="str">
        <f>T("죄송한취향")</f>
        <v>죄송한취향</v>
      </c>
      <c r="J3659" t="str">
        <f>T("시계토끼")</f>
        <v>시계토끼</v>
      </c>
      <c r="K3659" t="str">
        <f>T("사냥꾼에게서 도망쳤다")</f>
        <v>사냥꾼에게서 도망쳤다</v>
      </c>
      <c r="L3659">
        <v>100</v>
      </c>
      <c r="M3659">
        <v>100</v>
      </c>
      <c r="N3659">
        <v>1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0</v>
      </c>
      <c r="AH3659">
        <v>0</v>
      </c>
      <c r="AI3659">
        <v>100</v>
      </c>
      <c r="AJ3659">
        <v>1</v>
      </c>
      <c r="AK3659">
        <v>0</v>
      </c>
      <c r="AL3659">
        <v>0</v>
      </c>
      <c r="AM3659">
        <v>0</v>
      </c>
      <c r="AN3659">
        <v>0</v>
      </c>
      <c r="AO3659">
        <v>120</v>
      </c>
      <c r="AP3659">
        <v>-12</v>
      </c>
      <c r="AQ3659">
        <v>0</v>
      </c>
      <c r="AS3659">
        <v>0</v>
      </c>
      <c r="AT3659">
        <v>0</v>
      </c>
      <c r="AU3659">
        <v>120</v>
      </c>
      <c r="AV3659">
        <v>-12</v>
      </c>
      <c r="AW3659">
        <v>0</v>
      </c>
      <c r="AY3659">
        <v>0</v>
      </c>
      <c r="AZ3659">
        <v>0</v>
      </c>
      <c r="BA3659">
        <v>75.599999999999994</v>
      </c>
      <c r="BE3659" t="str">
        <f>T("9791164976065")</f>
        <v>9791164976065</v>
      </c>
      <c r="BF3659" t="str">
        <f>T("N003950")</f>
        <v>N003950</v>
      </c>
      <c r="BG3659" t="str">
        <f>T("로판 웹소설 &gt; 서양풍 로판")</f>
        <v>로판 웹소설 &gt; 서양풍 로판</v>
      </c>
    </row>
    <row r="3660" spans="1:59">
      <c r="A3660" t="s">
        <v>60</v>
      </c>
      <c r="B3660" s="1">
        <v>46131</v>
      </c>
      <c r="C3660">
        <v>2378026730</v>
      </c>
      <c r="D3660">
        <v>2378031363</v>
      </c>
      <c r="E3660" t="str">
        <f>T("사냥꾼에게서 도망쳤다 141화")</f>
        <v>사냥꾼에게서 도망쳤다 141화</v>
      </c>
      <c r="F3660">
        <v>141</v>
      </c>
      <c r="G3660" t="str">
        <f>T("죄송한취향")</f>
        <v>죄송한취향</v>
      </c>
      <c r="J3660" t="str">
        <f>T("시계토끼")</f>
        <v>시계토끼</v>
      </c>
      <c r="K3660" t="str">
        <f>T("사냥꾼에게서 도망쳤다")</f>
        <v>사냥꾼에게서 도망쳤다</v>
      </c>
      <c r="L3660">
        <v>100</v>
      </c>
      <c r="M3660">
        <v>100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0</v>
      </c>
      <c r="AH3660">
        <v>0</v>
      </c>
      <c r="AI3660">
        <v>100</v>
      </c>
      <c r="AJ3660">
        <v>1</v>
      </c>
      <c r="AK3660">
        <v>0</v>
      </c>
      <c r="AL3660">
        <v>0</v>
      </c>
      <c r="AM3660">
        <v>0</v>
      </c>
      <c r="AN3660">
        <v>0</v>
      </c>
      <c r="AO3660">
        <v>120</v>
      </c>
      <c r="AP3660">
        <v>-12</v>
      </c>
      <c r="AQ3660">
        <v>0</v>
      </c>
      <c r="AS3660">
        <v>0</v>
      </c>
      <c r="AT3660">
        <v>0</v>
      </c>
      <c r="AU3660">
        <v>120</v>
      </c>
      <c r="AV3660">
        <v>-12</v>
      </c>
      <c r="AW3660">
        <v>0</v>
      </c>
      <c r="AY3660">
        <v>0</v>
      </c>
      <c r="AZ3660">
        <v>0</v>
      </c>
      <c r="BA3660">
        <v>75.599999999999994</v>
      </c>
      <c r="BE3660" t="str">
        <f>T("9791164976065")</f>
        <v>9791164976065</v>
      </c>
      <c r="BF3660" t="str">
        <f>T("N003951")</f>
        <v>N003951</v>
      </c>
      <c r="BG3660" t="str">
        <f>T("로판 웹소설 &gt; 서양풍 로판")</f>
        <v>로판 웹소설 &gt; 서양풍 로판</v>
      </c>
    </row>
    <row r="3661" spans="1:59">
      <c r="A3661" t="s">
        <v>60</v>
      </c>
      <c r="B3661" s="1">
        <v>46131</v>
      </c>
      <c r="C3661">
        <v>2378026730</v>
      </c>
      <c r="D3661">
        <v>2378031364</v>
      </c>
      <c r="E3661" t="str">
        <f>T("사냥꾼에게서 도망쳤다 142화")</f>
        <v>사냥꾼에게서 도망쳤다 142화</v>
      </c>
      <c r="F3661">
        <v>142</v>
      </c>
      <c r="G3661" t="str">
        <f>T("죄송한취향")</f>
        <v>죄송한취향</v>
      </c>
      <c r="J3661" t="str">
        <f>T("시계토끼")</f>
        <v>시계토끼</v>
      </c>
      <c r="K3661" t="str">
        <f>T("사냥꾼에게서 도망쳤다")</f>
        <v>사냥꾼에게서 도망쳤다</v>
      </c>
      <c r="L3661">
        <v>100</v>
      </c>
      <c r="M3661">
        <v>100</v>
      </c>
      <c r="N3661">
        <v>1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0</v>
      </c>
      <c r="AH3661">
        <v>0</v>
      </c>
      <c r="AI3661">
        <v>100</v>
      </c>
      <c r="AJ3661">
        <v>1</v>
      </c>
      <c r="AK3661">
        <v>0</v>
      </c>
      <c r="AL3661">
        <v>0</v>
      </c>
      <c r="AM3661">
        <v>0</v>
      </c>
      <c r="AN3661">
        <v>0</v>
      </c>
      <c r="AO3661">
        <v>120</v>
      </c>
      <c r="AP3661">
        <v>-12</v>
      </c>
      <c r="AQ3661">
        <v>0</v>
      </c>
      <c r="AS3661">
        <v>0</v>
      </c>
      <c r="AT3661">
        <v>0</v>
      </c>
      <c r="AU3661">
        <v>120</v>
      </c>
      <c r="AV3661">
        <v>-12</v>
      </c>
      <c r="AW3661">
        <v>0</v>
      </c>
      <c r="AY3661">
        <v>0</v>
      </c>
      <c r="AZ3661">
        <v>0</v>
      </c>
      <c r="BA3661">
        <v>75.599999999999994</v>
      </c>
      <c r="BE3661" t="str">
        <f>T("9791164976065")</f>
        <v>9791164976065</v>
      </c>
      <c r="BF3661" t="str">
        <f>T("N003952")</f>
        <v>N003952</v>
      </c>
      <c r="BG3661" t="str">
        <f>T("로판 웹소설 &gt; 서양풍 로판")</f>
        <v>로판 웹소설 &gt; 서양풍 로판</v>
      </c>
    </row>
    <row r="3662" spans="1:59">
      <c r="A3662" t="s">
        <v>60</v>
      </c>
      <c r="B3662" s="1">
        <v>46131</v>
      </c>
      <c r="C3662">
        <v>2378026730</v>
      </c>
      <c r="D3662">
        <v>2378031376</v>
      </c>
      <c r="E3662" t="str">
        <f>T("사냥꾼에게서 도망쳤다 143화")</f>
        <v>사냥꾼에게서 도망쳤다 143화</v>
      </c>
      <c r="F3662">
        <v>143</v>
      </c>
      <c r="G3662" t="str">
        <f>T("죄송한취향")</f>
        <v>죄송한취향</v>
      </c>
      <c r="J3662" t="str">
        <f>T("시계토끼")</f>
        <v>시계토끼</v>
      </c>
      <c r="K3662" t="str">
        <f>T("사냥꾼에게서 도망쳤다")</f>
        <v>사냥꾼에게서 도망쳤다</v>
      </c>
      <c r="L3662">
        <v>100</v>
      </c>
      <c r="M3662">
        <v>100</v>
      </c>
      <c r="N3662">
        <v>1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0</v>
      </c>
      <c r="AH3662">
        <v>0</v>
      </c>
      <c r="AI3662">
        <v>100</v>
      </c>
      <c r="AJ3662">
        <v>1</v>
      </c>
      <c r="AK3662">
        <v>0</v>
      </c>
      <c r="AL3662">
        <v>0</v>
      </c>
      <c r="AM3662">
        <v>0</v>
      </c>
      <c r="AN3662">
        <v>0</v>
      </c>
      <c r="AO3662">
        <v>120</v>
      </c>
      <c r="AP3662">
        <v>-12</v>
      </c>
      <c r="AQ3662">
        <v>0</v>
      </c>
      <c r="AS3662">
        <v>0</v>
      </c>
      <c r="AT3662">
        <v>0</v>
      </c>
      <c r="AU3662">
        <v>120</v>
      </c>
      <c r="AV3662">
        <v>-12</v>
      </c>
      <c r="AW3662">
        <v>0</v>
      </c>
      <c r="AY3662">
        <v>0</v>
      </c>
      <c r="AZ3662">
        <v>0</v>
      </c>
      <c r="BA3662">
        <v>75.599999999999994</v>
      </c>
      <c r="BE3662" t="str">
        <f>T("9791164976065")</f>
        <v>9791164976065</v>
      </c>
      <c r="BF3662" t="str">
        <f>T("N012106")</f>
        <v>N012106</v>
      </c>
      <c r="BG3662" t="str">
        <f>T("로판 웹소설 &gt; 서양풍 로판")</f>
        <v>로판 웹소설 &gt; 서양풍 로판</v>
      </c>
    </row>
    <row r="3663" spans="1:59">
      <c r="A3663" t="s">
        <v>60</v>
      </c>
      <c r="B3663" s="1">
        <v>46131</v>
      </c>
      <c r="C3663">
        <v>2378026730</v>
      </c>
      <c r="D3663">
        <v>2378031390</v>
      </c>
      <c r="E3663" t="str">
        <f>T("사냥꾼에게서 도망쳤다 144화")</f>
        <v>사냥꾼에게서 도망쳤다 144화</v>
      </c>
      <c r="F3663">
        <v>144</v>
      </c>
      <c r="G3663" t="str">
        <f>T("죄송한취향")</f>
        <v>죄송한취향</v>
      </c>
      <c r="J3663" t="str">
        <f>T("시계토끼")</f>
        <v>시계토끼</v>
      </c>
      <c r="K3663" t="str">
        <f>T("사냥꾼에게서 도망쳤다")</f>
        <v>사냥꾼에게서 도망쳤다</v>
      </c>
      <c r="L3663">
        <v>100</v>
      </c>
      <c r="M3663">
        <v>100</v>
      </c>
      <c r="N3663">
        <v>1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0</v>
      </c>
      <c r="AH3663">
        <v>0</v>
      </c>
      <c r="AI3663">
        <v>100</v>
      </c>
      <c r="AJ3663">
        <v>1</v>
      </c>
      <c r="AK3663">
        <v>0</v>
      </c>
      <c r="AL3663">
        <v>0</v>
      </c>
      <c r="AM3663">
        <v>0</v>
      </c>
      <c r="AN3663">
        <v>0</v>
      </c>
      <c r="AO3663">
        <v>120</v>
      </c>
      <c r="AP3663">
        <v>-12</v>
      </c>
      <c r="AQ3663">
        <v>0</v>
      </c>
      <c r="AS3663">
        <v>0</v>
      </c>
      <c r="AT3663">
        <v>0</v>
      </c>
      <c r="AU3663">
        <v>120</v>
      </c>
      <c r="AV3663">
        <v>-12</v>
      </c>
      <c r="AW3663">
        <v>0</v>
      </c>
      <c r="AY3663">
        <v>0</v>
      </c>
      <c r="AZ3663">
        <v>0</v>
      </c>
      <c r="BA3663">
        <v>75.599999999999994</v>
      </c>
      <c r="BE3663" t="str">
        <f>T("9791164976065")</f>
        <v>9791164976065</v>
      </c>
      <c r="BF3663" t="str">
        <f>T("N012496")</f>
        <v>N012496</v>
      </c>
      <c r="BG3663" t="str">
        <f>T("로판 웹소설 &gt; 서양풍 로판")</f>
        <v>로판 웹소설 &gt; 서양풍 로판</v>
      </c>
    </row>
    <row r="3664" spans="1:59">
      <c r="A3664" t="s">
        <v>60</v>
      </c>
      <c r="B3664" s="1">
        <v>46131</v>
      </c>
      <c r="C3664">
        <v>2378026730</v>
      </c>
      <c r="D3664">
        <v>2378031391</v>
      </c>
      <c r="E3664" t="str">
        <f>T("사냥꾼에게서 도망쳤다 145화")</f>
        <v>사냥꾼에게서 도망쳤다 145화</v>
      </c>
      <c r="F3664">
        <v>145</v>
      </c>
      <c r="G3664" t="str">
        <f>T("죄송한취향")</f>
        <v>죄송한취향</v>
      </c>
      <c r="J3664" t="str">
        <f>T("시계토끼")</f>
        <v>시계토끼</v>
      </c>
      <c r="K3664" t="str">
        <f>T("사냥꾼에게서 도망쳤다")</f>
        <v>사냥꾼에게서 도망쳤다</v>
      </c>
      <c r="L3664">
        <v>100</v>
      </c>
      <c r="M3664">
        <v>100</v>
      </c>
      <c r="N3664">
        <v>1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0</v>
      </c>
      <c r="AH3664">
        <v>0</v>
      </c>
      <c r="AI3664">
        <v>100</v>
      </c>
      <c r="AJ3664">
        <v>1</v>
      </c>
      <c r="AK3664">
        <v>0</v>
      </c>
      <c r="AL3664">
        <v>0</v>
      </c>
      <c r="AM3664">
        <v>0</v>
      </c>
      <c r="AN3664">
        <v>0</v>
      </c>
      <c r="AO3664">
        <v>120</v>
      </c>
      <c r="AP3664">
        <v>-12</v>
      </c>
      <c r="AQ3664">
        <v>0</v>
      </c>
      <c r="AS3664">
        <v>0</v>
      </c>
      <c r="AT3664">
        <v>0</v>
      </c>
      <c r="AU3664">
        <v>120</v>
      </c>
      <c r="AV3664">
        <v>-12</v>
      </c>
      <c r="AW3664">
        <v>0</v>
      </c>
      <c r="AY3664">
        <v>0</v>
      </c>
      <c r="AZ3664">
        <v>0</v>
      </c>
      <c r="BA3664">
        <v>75.599999999999994</v>
      </c>
      <c r="BE3664" t="str">
        <f>T("9791164976065")</f>
        <v>9791164976065</v>
      </c>
      <c r="BF3664" t="str">
        <f>T("N012497")</f>
        <v>N012497</v>
      </c>
      <c r="BG3664" t="str">
        <f>T("로판 웹소설 &gt; 서양풍 로판")</f>
        <v>로판 웹소설 &gt; 서양풍 로판</v>
      </c>
    </row>
    <row r="3665" spans="1:59">
      <c r="A3665" t="s">
        <v>60</v>
      </c>
      <c r="B3665" s="1">
        <v>46131</v>
      </c>
      <c r="C3665">
        <v>2378026730</v>
      </c>
      <c r="D3665">
        <v>2378031392</v>
      </c>
      <c r="E3665" t="str">
        <f>T("사냥꾼에게서 도망쳤다 146화")</f>
        <v>사냥꾼에게서 도망쳤다 146화</v>
      </c>
      <c r="F3665">
        <v>146</v>
      </c>
      <c r="G3665" t="str">
        <f>T("죄송한취향")</f>
        <v>죄송한취향</v>
      </c>
      <c r="J3665" t="str">
        <f>T("시계토끼")</f>
        <v>시계토끼</v>
      </c>
      <c r="K3665" t="str">
        <f>T("사냥꾼에게서 도망쳤다")</f>
        <v>사냥꾼에게서 도망쳤다</v>
      </c>
      <c r="L3665">
        <v>100</v>
      </c>
      <c r="M3665">
        <v>100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0</v>
      </c>
      <c r="AH3665">
        <v>0</v>
      </c>
      <c r="AI3665">
        <v>100</v>
      </c>
      <c r="AJ3665">
        <v>1</v>
      </c>
      <c r="AK3665">
        <v>0</v>
      </c>
      <c r="AL3665">
        <v>0</v>
      </c>
      <c r="AM3665">
        <v>0</v>
      </c>
      <c r="AN3665">
        <v>0</v>
      </c>
      <c r="AO3665">
        <v>120</v>
      </c>
      <c r="AP3665">
        <v>-12</v>
      </c>
      <c r="AQ3665">
        <v>0</v>
      </c>
      <c r="AS3665">
        <v>0</v>
      </c>
      <c r="AT3665">
        <v>0</v>
      </c>
      <c r="AU3665">
        <v>120</v>
      </c>
      <c r="AV3665">
        <v>-12</v>
      </c>
      <c r="AW3665">
        <v>0</v>
      </c>
      <c r="AY3665">
        <v>0</v>
      </c>
      <c r="AZ3665">
        <v>0</v>
      </c>
      <c r="BA3665">
        <v>75.599999999999994</v>
      </c>
      <c r="BE3665" t="str">
        <f>T("9791164976065")</f>
        <v>9791164976065</v>
      </c>
      <c r="BF3665" t="str">
        <f>T("N012498")</f>
        <v>N012498</v>
      </c>
      <c r="BG3665" t="str">
        <f>T("로판 웹소설 &gt; 서양풍 로판")</f>
        <v>로판 웹소설 &gt; 서양풍 로판</v>
      </c>
    </row>
    <row r="3666" spans="1:59">
      <c r="A3666" t="s">
        <v>60</v>
      </c>
      <c r="B3666" s="1">
        <v>46131</v>
      </c>
      <c r="C3666">
        <v>2378026730</v>
      </c>
      <c r="D3666">
        <v>2378031687</v>
      </c>
      <c r="E3666" t="str">
        <f>T("사냥꾼에게서 도망쳤다 147화")</f>
        <v>사냥꾼에게서 도망쳤다 147화</v>
      </c>
      <c r="F3666">
        <v>147</v>
      </c>
      <c r="G3666" t="str">
        <f>T("죄송한취향")</f>
        <v>죄송한취향</v>
      </c>
      <c r="J3666" t="str">
        <f>T("시계토끼")</f>
        <v>시계토끼</v>
      </c>
      <c r="K3666" t="str">
        <f>T("사냥꾼에게서 도망쳤다")</f>
        <v>사냥꾼에게서 도망쳤다</v>
      </c>
      <c r="L3666">
        <v>100</v>
      </c>
      <c r="M3666">
        <v>100</v>
      </c>
      <c r="N3666">
        <v>1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0</v>
      </c>
      <c r="AH3666">
        <v>0</v>
      </c>
      <c r="AI3666">
        <v>100</v>
      </c>
      <c r="AJ3666">
        <v>1</v>
      </c>
      <c r="AK3666">
        <v>0</v>
      </c>
      <c r="AL3666">
        <v>0</v>
      </c>
      <c r="AM3666">
        <v>0</v>
      </c>
      <c r="AN3666">
        <v>0</v>
      </c>
      <c r="AO3666">
        <v>120</v>
      </c>
      <c r="AP3666">
        <v>-12</v>
      </c>
      <c r="AQ3666">
        <v>0</v>
      </c>
      <c r="AS3666">
        <v>0</v>
      </c>
      <c r="AT3666">
        <v>0</v>
      </c>
      <c r="AU3666">
        <v>120</v>
      </c>
      <c r="AV3666">
        <v>-12</v>
      </c>
      <c r="AW3666">
        <v>0</v>
      </c>
      <c r="AY3666">
        <v>0</v>
      </c>
      <c r="AZ3666">
        <v>0</v>
      </c>
      <c r="BA3666">
        <v>75.599999999999994</v>
      </c>
      <c r="BE3666" t="str">
        <f>T("9791164976065")</f>
        <v>9791164976065</v>
      </c>
      <c r="BF3666" t="str">
        <f>T("N017628")</f>
        <v>N017628</v>
      </c>
      <c r="BG3666" t="str">
        <f>T("로판 웹소설 &gt; 서양풍 로판")</f>
        <v>로판 웹소설 &gt; 서양풍 로판</v>
      </c>
    </row>
    <row r="3667" spans="1:59">
      <c r="A3667" t="s">
        <v>60</v>
      </c>
      <c r="B3667" s="1">
        <v>46131</v>
      </c>
      <c r="C3667">
        <v>2378026730</v>
      </c>
      <c r="D3667">
        <v>2378031698</v>
      </c>
      <c r="E3667" t="str">
        <f>T("사냥꾼에게서 도망쳤다 148화")</f>
        <v>사냥꾼에게서 도망쳤다 148화</v>
      </c>
      <c r="F3667">
        <v>148</v>
      </c>
      <c r="G3667" t="str">
        <f>T("죄송한취향")</f>
        <v>죄송한취향</v>
      </c>
      <c r="J3667" t="str">
        <f>T("시계토끼")</f>
        <v>시계토끼</v>
      </c>
      <c r="K3667" t="str">
        <f>T("사냥꾼에게서 도망쳤다")</f>
        <v>사냥꾼에게서 도망쳤다</v>
      </c>
      <c r="L3667">
        <v>100</v>
      </c>
      <c r="M3667">
        <v>100</v>
      </c>
      <c r="N3667">
        <v>1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0</v>
      </c>
      <c r="AH3667">
        <v>0</v>
      </c>
      <c r="AI3667">
        <v>100</v>
      </c>
      <c r="AJ3667">
        <v>1</v>
      </c>
      <c r="AK3667">
        <v>0</v>
      </c>
      <c r="AL3667">
        <v>0</v>
      </c>
      <c r="AM3667">
        <v>0</v>
      </c>
      <c r="AN3667">
        <v>0</v>
      </c>
      <c r="AO3667">
        <v>120</v>
      </c>
      <c r="AP3667">
        <v>-12</v>
      </c>
      <c r="AQ3667">
        <v>0</v>
      </c>
      <c r="AS3667">
        <v>0</v>
      </c>
      <c r="AT3667">
        <v>0</v>
      </c>
      <c r="AU3667">
        <v>120</v>
      </c>
      <c r="AV3667">
        <v>-12</v>
      </c>
      <c r="AW3667">
        <v>0</v>
      </c>
      <c r="AY3667">
        <v>0</v>
      </c>
      <c r="AZ3667">
        <v>0</v>
      </c>
      <c r="BA3667">
        <v>75.599999999999994</v>
      </c>
      <c r="BE3667" t="str">
        <f>T("9791164976065")</f>
        <v>9791164976065</v>
      </c>
      <c r="BF3667" t="str">
        <f>T("N017637")</f>
        <v>N017637</v>
      </c>
      <c r="BG3667" t="str">
        <f>T("로판 웹소설 &gt; 서양풍 로판")</f>
        <v>로판 웹소설 &gt; 서양풍 로판</v>
      </c>
    </row>
    <row r="3668" spans="1:59">
      <c r="A3668" t="s">
        <v>60</v>
      </c>
      <c r="B3668" s="1">
        <v>46131</v>
      </c>
      <c r="C3668">
        <v>2378026730</v>
      </c>
      <c r="D3668">
        <v>2378031719</v>
      </c>
      <c r="E3668" t="str">
        <f>T("사냥꾼에게서 도망쳤다 149화")</f>
        <v>사냥꾼에게서 도망쳤다 149화</v>
      </c>
      <c r="F3668">
        <v>149</v>
      </c>
      <c r="G3668" t="str">
        <f>T("죄송한취향")</f>
        <v>죄송한취향</v>
      </c>
      <c r="J3668" t="str">
        <f>T("시계토끼")</f>
        <v>시계토끼</v>
      </c>
      <c r="K3668" t="str">
        <f>T("사냥꾼에게서 도망쳤다")</f>
        <v>사냥꾼에게서 도망쳤다</v>
      </c>
      <c r="L3668">
        <v>100</v>
      </c>
      <c r="M3668">
        <v>100</v>
      </c>
      <c r="N3668">
        <v>1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0</v>
      </c>
      <c r="AH3668">
        <v>0</v>
      </c>
      <c r="AI3668">
        <v>100</v>
      </c>
      <c r="AJ3668">
        <v>1</v>
      </c>
      <c r="AK3668">
        <v>0</v>
      </c>
      <c r="AL3668">
        <v>0</v>
      </c>
      <c r="AM3668">
        <v>0</v>
      </c>
      <c r="AN3668">
        <v>0</v>
      </c>
      <c r="AO3668">
        <v>120</v>
      </c>
      <c r="AP3668">
        <v>-12</v>
      </c>
      <c r="AQ3668">
        <v>0</v>
      </c>
      <c r="AS3668">
        <v>0</v>
      </c>
      <c r="AT3668">
        <v>0</v>
      </c>
      <c r="AU3668">
        <v>120</v>
      </c>
      <c r="AV3668">
        <v>-12</v>
      </c>
      <c r="AW3668">
        <v>0</v>
      </c>
      <c r="AY3668">
        <v>0</v>
      </c>
      <c r="AZ3668">
        <v>0</v>
      </c>
      <c r="BA3668">
        <v>75.599999999999994</v>
      </c>
      <c r="BE3668" t="str">
        <f>T("9791164976065")</f>
        <v>9791164976065</v>
      </c>
      <c r="BF3668" t="str">
        <f>T("N017638")</f>
        <v>N017638</v>
      </c>
      <c r="BG3668" t="str">
        <f>T("로판 웹소설 &gt; 서양풍 로판")</f>
        <v>로판 웹소설 &gt; 서양풍 로판</v>
      </c>
    </row>
    <row r="3669" spans="1:59">
      <c r="A3669" t="s">
        <v>60</v>
      </c>
      <c r="B3669" s="1">
        <v>46131</v>
      </c>
      <c r="C3669">
        <v>2378026730</v>
      </c>
      <c r="D3669">
        <v>2378032169</v>
      </c>
      <c r="E3669" t="str">
        <f>T("사냥꾼에게서 도망쳤다 163화")</f>
        <v>사냥꾼에게서 도망쳤다 163화</v>
      </c>
      <c r="F3669">
        <v>163</v>
      </c>
      <c r="G3669" t="str">
        <f>T("죄송한취향")</f>
        <v>죄송한취향</v>
      </c>
      <c r="J3669" t="str">
        <f>T("시계토끼")</f>
        <v>시계토끼</v>
      </c>
      <c r="K3669" t="str">
        <f>T("사냥꾼에게서 도망쳤다")</f>
        <v>사냥꾼에게서 도망쳤다</v>
      </c>
      <c r="L3669">
        <v>100</v>
      </c>
      <c r="M3669">
        <v>100</v>
      </c>
      <c r="N3669">
        <v>1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0</v>
      </c>
      <c r="AH3669">
        <v>0</v>
      </c>
      <c r="AI3669">
        <v>100</v>
      </c>
      <c r="AJ3669">
        <v>1</v>
      </c>
      <c r="AK3669">
        <v>0</v>
      </c>
      <c r="AL3669">
        <v>0</v>
      </c>
      <c r="AM3669">
        <v>0</v>
      </c>
      <c r="AN3669">
        <v>0</v>
      </c>
      <c r="AO3669">
        <v>120</v>
      </c>
      <c r="AP3669">
        <v>-12</v>
      </c>
      <c r="AQ3669">
        <v>0</v>
      </c>
      <c r="AS3669">
        <v>0</v>
      </c>
      <c r="AT3669">
        <v>0</v>
      </c>
      <c r="AU3669">
        <v>120</v>
      </c>
      <c r="AV3669">
        <v>-12</v>
      </c>
      <c r="AW3669">
        <v>0</v>
      </c>
      <c r="AY3669">
        <v>0</v>
      </c>
      <c r="AZ3669">
        <v>0</v>
      </c>
      <c r="BA3669">
        <v>75.599999999999994</v>
      </c>
      <c r="BE3669" t="str">
        <f>T("9791164976065")</f>
        <v>9791164976065</v>
      </c>
      <c r="BF3669" t="str">
        <f>T("N031139")</f>
        <v>N031139</v>
      </c>
      <c r="BG3669" t="str">
        <f>T("로판 웹소설 &gt; 서양풍 로판")</f>
        <v>로판 웹소설 &gt; 서양풍 로판</v>
      </c>
    </row>
    <row r="3670" spans="1:59">
      <c r="A3670" t="s">
        <v>60</v>
      </c>
      <c r="B3670" s="1">
        <v>46131</v>
      </c>
      <c r="C3670">
        <v>2378026730</v>
      </c>
      <c r="D3670">
        <v>2378032170</v>
      </c>
      <c r="E3670" t="str">
        <f>T("사냥꾼에게서 도망쳤다 164화")</f>
        <v>사냥꾼에게서 도망쳤다 164화</v>
      </c>
      <c r="F3670">
        <v>164</v>
      </c>
      <c r="G3670" t="str">
        <f>T("죄송한취향")</f>
        <v>죄송한취향</v>
      </c>
      <c r="J3670" t="str">
        <f>T("시계토끼")</f>
        <v>시계토끼</v>
      </c>
      <c r="K3670" t="str">
        <f>T("사냥꾼에게서 도망쳤다")</f>
        <v>사냥꾼에게서 도망쳤다</v>
      </c>
      <c r="L3670">
        <v>100</v>
      </c>
      <c r="M3670">
        <v>100</v>
      </c>
      <c r="N3670">
        <v>1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0</v>
      </c>
      <c r="AH3670">
        <v>0</v>
      </c>
      <c r="AI3670">
        <v>100</v>
      </c>
      <c r="AJ3670">
        <v>1</v>
      </c>
      <c r="AK3670">
        <v>0</v>
      </c>
      <c r="AL3670">
        <v>0</v>
      </c>
      <c r="AM3670">
        <v>0</v>
      </c>
      <c r="AN3670">
        <v>0</v>
      </c>
      <c r="AO3670">
        <v>120</v>
      </c>
      <c r="AP3670">
        <v>-12</v>
      </c>
      <c r="AQ3670">
        <v>0</v>
      </c>
      <c r="AS3670">
        <v>0</v>
      </c>
      <c r="AT3670">
        <v>0</v>
      </c>
      <c r="AU3670">
        <v>120</v>
      </c>
      <c r="AV3670">
        <v>-12</v>
      </c>
      <c r="AW3670">
        <v>0</v>
      </c>
      <c r="AY3670">
        <v>0</v>
      </c>
      <c r="AZ3670">
        <v>0</v>
      </c>
      <c r="BA3670">
        <v>75.599999999999994</v>
      </c>
      <c r="BE3670" t="str">
        <f>T("9791164976065")</f>
        <v>9791164976065</v>
      </c>
      <c r="BF3670" t="str">
        <f>T("N031140")</f>
        <v>N031140</v>
      </c>
      <c r="BG3670" t="str">
        <f>T("로판 웹소설 &gt; 서양풍 로판")</f>
        <v>로판 웹소설 &gt; 서양풍 로판</v>
      </c>
    </row>
    <row r="3671" spans="1:59">
      <c r="A3671" t="s">
        <v>60</v>
      </c>
      <c r="B3671" s="1">
        <v>46131</v>
      </c>
      <c r="C3671">
        <v>2378026730</v>
      </c>
      <c r="D3671">
        <v>2378032183</v>
      </c>
      <c r="E3671" t="str">
        <f>T("사냥꾼에게서 도망쳤다 165화")</f>
        <v>사냥꾼에게서 도망쳤다 165화</v>
      </c>
      <c r="F3671">
        <v>165</v>
      </c>
      <c r="G3671" t="str">
        <f>T("죄송한취향")</f>
        <v>죄송한취향</v>
      </c>
      <c r="J3671" t="str">
        <f>T("시계토끼")</f>
        <v>시계토끼</v>
      </c>
      <c r="K3671" t="str">
        <f>T("사냥꾼에게서 도망쳤다")</f>
        <v>사냥꾼에게서 도망쳤다</v>
      </c>
      <c r="L3671">
        <v>100</v>
      </c>
      <c r="M3671">
        <v>100</v>
      </c>
      <c r="N3671">
        <v>1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0</v>
      </c>
      <c r="AH3671">
        <v>0</v>
      </c>
      <c r="AI3671">
        <v>100</v>
      </c>
      <c r="AJ3671">
        <v>1</v>
      </c>
      <c r="AK3671">
        <v>0</v>
      </c>
      <c r="AL3671">
        <v>0</v>
      </c>
      <c r="AM3671">
        <v>0</v>
      </c>
      <c r="AN3671">
        <v>0</v>
      </c>
      <c r="AO3671">
        <v>120</v>
      </c>
      <c r="AP3671">
        <v>-12</v>
      </c>
      <c r="AQ3671">
        <v>0</v>
      </c>
      <c r="AS3671">
        <v>0</v>
      </c>
      <c r="AT3671">
        <v>0</v>
      </c>
      <c r="AU3671">
        <v>120</v>
      </c>
      <c r="AV3671">
        <v>-12</v>
      </c>
      <c r="AW3671">
        <v>0</v>
      </c>
      <c r="AY3671">
        <v>0</v>
      </c>
      <c r="AZ3671">
        <v>0</v>
      </c>
      <c r="BA3671">
        <v>75.599999999999994</v>
      </c>
      <c r="BE3671" t="str">
        <f>T("9791164976065")</f>
        <v>9791164976065</v>
      </c>
      <c r="BF3671" t="str">
        <f>T("N031141")</f>
        <v>N031141</v>
      </c>
      <c r="BG3671" t="str">
        <f>T("로판 웹소설 &gt; 서양풍 로판")</f>
        <v>로판 웹소설 &gt; 서양풍 로판</v>
      </c>
    </row>
    <row r="3672" spans="1:59">
      <c r="A3672" t="s">
        <v>60</v>
      </c>
      <c r="B3672" s="1">
        <v>46131</v>
      </c>
      <c r="C3672">
        <v>2378026730</v>
      </c>
      <c r="D3672">
        <v>2378032184</v>
      </c>
      <c r="E3672" t="str">
        <f>T("사냥꾼에게서 도망쳤다 166화")</f>
        <v>사냥꾼에게서 도망쳤다 166화</v>
      </c>
      <c r="F3672">
        <v>166</v>
      </c>
      <c r="G3672" t="str">
        <f>T("죄송한취향")</f>
        <v>죄송한취향</v>
      </c>
      <c r="J3672" t="str">
        <f>T("시계토끼")</f>
        <v>시계토끼</v>
      </c>
      <c r="K3672" t="str">
        <f>T("사냥꾼에게서 도망쳤다")</f>
        <v>사냥꾼에게서 도망쳤다</v>
      </c>
      <c r="L3672">
        <v>100</v>
      </c>
      <c r="M3672">
        <v>100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0</v>
      </c>
      <c r="AH3672">
        <v>0</v>
      </c>
      <c r="AI3672">
        <v>100</v>
      </c>
      <c r="AJ3672">
        <v>1</v>
      </c>
      <c r="AK3672">
        <v>0</v>
      </c>
      <c r="AL3672">
        <v>0</v>
      </c>
      <c r="AM3672">
        <v>0</v>
      </c>
      <c r="AN3672">
        <v>0</v>
      </c>
      <c r="AO3672">
        <v>120</v>
      </c>
      <c r="AP3672">
        <v>-12</v>
      </c>
      <c r="AQ3672">
        <v>0</v>
      </c>
      <c r="AS3672">
        <v>0</v>
      </c>
      <c r="AT3672">
        <v>0</v>
      </c>
      <c r="AU3672">
        <v>120</v>
      </c>
      <c r="AV3672">
        <v>-12</v>
      </c>
      <c r="AW3672">
        <v>0</v>
      </c>
      <c r="AY3672">
        <v>0</v>
      </c>
      <c r="AZ3672">
        <v>0</v>
      </c>
      <c r="BA3672">
        <v>75.599999999999994</v>
      </c>
      <c r="BE3672" t="str">
        <f>T("9791164976065")</f>
        <v>9791164976065</v>
      </c>
      <c r="BF3672" t="str">
        <f>T("N031142")</f>
        <v>N031142</v>
      </c>
      <c r="BG3672" t="str">
        <f>T("로판 웹소설 &gt; 서양풍 로판")</f>
        <v>로판 웹소설 &gt; 서양풍 로판</v>
      </c>
    </row>
    <row r="3673" spans="1:59">
      <c r="A3673" t="s">
        <v>60</v>
      </c>
      <c r="B3673" s="1">
        <v>46131</v>
      </c>
      <c r="C3673">
        <v>2378026730</v>
      </c>
      <c r="D3673">
        <v>2378032222</v>
      </c>
      <c r="E3673" t="str">
        <f>T("사냥꾼에게서 도망쳤다 167화")</f>
        <v>사냥꾼에게서 도망쳤다 167화</v>
      </c>
      <c r="F3673">
        <v>167</v>
      </c>
      <c r="G3673" t="str">
        <f>T("죄송한취향")</f>
        <v>죄송한취향</v>
      </c>
      <c r="J3673" t="str">
        <f>T("시계토끼")</f>
        <v>시계토끼</v>
      </c>
      <c r="K3673" t="str">
        <f>T("사냥꾼에게서 도망쳤다")</f>
        <v>사냥꾼에게서 도망쳤다</v>
      </c>
      <c r="L3673">
        <v>100</v>
      </c>
      <c r="M3673">
        <v>100</v>
      </c>
      <c r="N3673">
        <v>1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0</v>
      </c>
      <c r="AH3673">
        <v>0</v>
      </c>
      <c r="AI3673">
        <v>100</v>
      </c>
      <c r="AJ3673">
        <v>1</v>
      </c>
      <c r="AK3673">
        <v>0</v>
      </c>
      <c r="AL3673">
        <v>0</v>
      </c>
      <c r="AM3673">
        <v>0</v>
      </c>
      <c r="AN3673">
        <v>0</v>
      </c>
      <c r="AO3673">
        <v>120</v>
      </c>
      <c r="AP3673">
        <v>-12</v>
      </c>
      <c r="AQ3673">
        <v>0</v>
      </c>
      <c r="AS3673">
        <v>0</v>
      </c>
      <c r="AT3673">
        <v>0</v>
      </c>
      <c r="AU3673">
        <v>120</v>
      </c>
      <c r="AV3673">
        <v>-12</v>
      </c>
      <c r="AW3673">
        <v>0</v>
      </c>
      <c r="AY3673">
        <v>0</v>
      </c>
      <c r="AZ3673">
        <v>0</v>
      </c>
      <c r="BA3673">
        <v>75.599999999999994</v>
      </c>
      <c r="BE3673" t="str">
        <f>T("9791164976065")</f>
        <v>9791164976065</v>
      </c>
      <c r="BF3673" t="str">
        <f>T("N036605")</f>
        <v>N036605</v>
      </c>
      <c r="BG3673" t="str">
        <f>T("로판 웹소설 &gt; 서양풍 로판")</f>
        <v>로판 웹소설 &gt; 서양풍 로판</v>
      </c>
    </row>
    <row r="3674" spans="1:59">
      <c r="A3674" t="s">
        <v>60</v>
      </c>
      <c r="B3674" s="1">
        <v>46131</v>
      </c>
      <c r="C3674">
        <v>2378026730</v>
      </c>
      <c r="D3674">
        <v>2378032229</v>
      </c>
      <c r="E3674" t="str">
        <f>T("사냥꾼에게서 도망쳤다 168화")</f>
        <v>사냥꾼에게서 도망쳤다 168화</v>
      </c>
      <c r="F3674">
        <v>168</v>
      </c>
      <c r="G3674" t="str">
        <f>T("죄송한취향")</f>
        <v>죄송한취향</v>
      </c>
      <c r="J3674" t="str">
        <f>T("시계토끼")</f>
        <v>시계토끼</v>
      </c>
      <c r="K3674" t="str">
        <f>T("사냥꾼에게서 도망쳤다")</f>
        <v>사냥꾼에게서 도망쳤다</v>
      </c>
      <c r="L3674">
        <v>100</v>
      </c>
      <c r="M3674">
        <v>100</v>
      </c>
      <c r="N3674">
        <v>1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0</v>
      </c>
      <c r="AH3674">
        <v>0</v>
      </c>
      <c r="AI3674">
        <v>100</v>
      </c>
      <c r="AJ3674">
        <v>1</v>
      </c>
      <c r="AK3674">
        <v>0</v>
      </c>
      <c r="AL3674">
        <v>0</v>
      </c>
      <c r="AM3674">
        <v>0</v>
      </c>
      <c r="AN3674">
        <v>0</v>
      </c>
      <c r="AO3674">
        <v>120</v>
      </c>
      <c r="AP3674">
        <v>-12</v>
      </c>
      <c r="AQ3674">
        <v>0</v>
      </c>
      <c r="AS3674">
        <v>0</v>
      </c>
      <c r="AT3674">
        <v>0</v>
      </c>
      <c r="AU3674">
        <v>120</v>
      </c>
      <c r="AV3674">
        <v>-12</v>
      </c>
      <c r="AW3674">
        <v>0</v>
      </c>
      <c r="AY3674">
        <v>0</v>
      </c>
      <c r="AZ3674">
        <v>0</v>
      </c>
      <c r="BA3674">
        <v>75.599999999999994</v>
      </c>
      <c r="BE3674" t="str">
        <f>T("9791164976065")</f>
        <v>9791164976065</v>
      </c>
      <c r="BF3674" t="str">
        <f>T("N036606")</f>
        <v>N036606</v>
      </c>
      <c r="BG3674" t="str">
        <f>T("로판 웹소설 &gt; 서양풍 로판")</f>
        <v>로판 웹소설 &gt; 서양풍 로판</v>
      </c>
    </row>
    <row r="3675" spans="1:59">
      <c r="A3675" t="s">
        <v>60</v>
      </c>
      <c r="B3675" s="1">
        <v>46131</v>
      </c>
      <c r="C3675">
        <v>2378026730</v>
      </c>
      <c r="D3675">
        <v>2378032230</v>
      </c>
      <c r="E3675" t="str">
        <f>T("사냥꾼에게서 도망쳤다 169화")</f>
        <v>사냥꾼에게서 도망쳤다 169화</v>
      </c>
      <c r="F3675">
        <v>169</v>
      </c>
      <c r="G3675" t="str">
        <f>T("죄송한취향")</f>
        <v>죄송한취향</v>
      </c>
      <c r="J3675" t="str">
        <f>T("시계토끼")</f>
        <v>시계토끼</v>
      </c>
      <c r="K3675" t="str">
        <f>T("사냥꾼에게서 도망쳤다")</f>
        <v>사냥꾼에게서 도망쳤다</v>
      </c>
      <c r="L3675">
        <v>100</v>
      </c>
      <c r="M3675">
        <v>100</v>
      </c>
      <c r="N3675">
        <v>1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0</v>
      </c>
      <c r="AH3675">
        <v>0</v>
      </c>
      <c r="AI3675">
        <v>100</v>
      </c>
      <c r="AJ3675">
        <v>1</v>
      </c>
      <c r="AK3675">
        <v>0</v>
      </c>
      <c r="AL3675">
        <v>0</v>
      </c>
      <c r="AM3675">
        <v>0</v>
      </c>
      <c r="AN3675">
        <v>0</v>
      </c>
      <c r="AO3675">
        <v>120</v>
      </c>
      <c r="AP3675">
        <v>-12</v>
      </c>
      <c r="AQ3675">
        <v>0</v>
      </c>
      <c r="AS3675">
        <v>0</v>
      </c>
      <c r="AT3675">
        <v>0</v>
      </c>
      <c r="AU3675">
        <v>120</v>
      </c>
      <c r="AV3675">
        <v>-12</v>
      </c>
      <c r="AW3675">
        <v>0</v>
      </c>
      <c r="AY3675">
        <v>0</v>
      </c>
      <c r="AZ3675">
        <v>0</v>
      </c>
      <c r="BA3675">
        <v>75.599999999999994</v>
      </c>
      <c r="BE3675" t="str">
        <f>T("9791164976065")</f>
        <v>9791164976065</v>
      </c>
      <c r="BF3675" t="str">
        <f>T("N036607")</f>
        <v>N036607</v>
      </c>
      <c r="BG3675" t="str">
        <f>T("로판 웹소설 &gt; 서양풍 로판")</f>
        <v>로판 웹소설 &gt; 서양풍 로판</v>
      </c>
    </row>
    <row r="3676" spans="1:59">
      <c r="A3676" t="s">
        <v>60</v>
      </c>
      <c r="B3676" s="1">
        <v>46131</v>
      </c>
      <c r="C3676">
        <v>2378026730</v>
      </c>
      <c r="D3676">
        <v>2378032250</v>
      </c>
      <c r="E3676" t="str">
        <f>T("사냥꾼에게서 도망쳤다 170화")</f>
        <v>사냥꾼에게서 도망쳤다 170화</v>
      </c>
      <c r="F3676">
        <v>170</v>
      </c>
      <c r="G3676" t="str">
        <f>T("죄송한취향")</f>
        <v>죄송한취향</v>
      </c>
      <c r="J3676" t="str">
        <f>T("시계토끼")</f>
        <v>시계토끼</v>
      </c>
      <c r="K3676" t="str">
        <f>T("사냥꾼에게서 도망쳤다")</f>
        <v>사냥꾼에게서 도망쳤다</v>
      </c>
      <c r="L3676">
        <v>100</v>
      </c>
      <c r="M3676">
        <v>100</v>
      </c>
      <c r="N3676">
        <v>1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0</v>
      </c>
      <c r="AH3676">
        <v>0</v>
      </c>
      <c r="AI3676">
        <v>100</v>
      </c>
      <c r="AJ3676">
        <v>1</v>
      </c>
      <c r="AK3676">
        <v>0</v>
      </c>
      <c r="AL3676">
        <v>0</v>
      </c>
      <c r="AM3676">
        <v>0</v>
      </c>
      <c r="AN3676">
        <v>0</v>
      </c>
      <c r="AO3676">
        <v>120</v>
      </c>
      <c r="AP3676">
        <v>-12</v>
      </c>
      <c r="AQ3676">
        <v>0</v>
      </c>
      <c r="AS3676">
        <v>0</v>
      </c>
      <c r="AT3676">
        <v>0</v>
      </c>
      <c r="AU3676">
        <v>120</v>
      </c>
      <c r="AV3676">
        <v>-12</v>
      </c>
      <c r="AW3676">
        <v>0</v>
      </c>
      <c r="AY3676">
        <v>0</v>
      </c>
      <c r="AZ3676">
        <v>0</v>
      </c>
      <c r="BA3676">
        <v>75.599999999999994</v>
      </c>
      <c r="BE3676" t="str">
        <f>T("9791164976065")</f>
        <v>9791164976065</v>
      </c>
      <c r="BF3676" t="str">
        <f>T("N036608")</f>
        <v>N036608</v>
      </c>
      <c r="BG3676" t="str">
        <f>T("로판 웹소설 &gt; 서양풍 로판")</f>
        <v>로판 웹소설 &gt; 서양풍 로판</v>
      </c>
    </row>
    <row r="3677" spans="1:59">
      <c r="A3677" t="s">
        <v>60</v>
      </c>
      <c r="B3677" s="1">
        <v>46131</v>
      </c>
      <c r="C3677">
        <v>2378026730</v>
      </c>
      <c r="D3677">
        <v>2378032278</v>
      </c>
      <c r="E3677" t="str">
        <f>T("사냥꾼에게서 도망쳤다 171화")</f>
        <v>사냥꾼에게서 도망쳤다 171화</v>
      </c>
      <c r="F3677">
        <v>171</v>
      </c>
      <c r="G3677" t="str">
        <f>T("죄송한취향")</f>
        <v>죄송한취향</v>
      </c>
      <c r="J3677" t="str">
        <f>T("시계토끼")</f>
        <v>시계토끼</v>
      </c>
      <c r="K3677" t="str">
        <f>T("사냥꾼에게서 도망쳤다")</f>
        <v>사냥꾼에게서 도망쳤다</v>
      </c>
      <c r="L3677">
        <v>100</v>
      </c>
      <c r="M3677">
        <v>100</v>
      </c>
      <c r="N3677">
        <v>1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0</v>
      </c>
      <c r="AH3677">
        <v>0</v>
      </c>
      <c r="AI3677">
        <v>100</v>
      </c>
      <c r="AJ3677">
        <v>1</v>
      </c>
      <c r="AK3677">
        <v>0</v>
      </c>
      <c r="AL3677">
        <v>0</v>
      </c>
      <c r="AM3677">
        <v>0</v>
      </c>
      <c r="AN3677">
        <v>0</v>
      </c>
      <c r="AO3677">
        <v>120</v>
      </c>
      <c r="AP3677">
        <v>-12</v>
      </c>
      <c r="AQ3677">
        <v>0</v>
      </c>
      <c r="AS3677">
        <v>0</v>
      </c>
      <c r="AT3677">
        <v>0</v>
      </c>
      <c r="AU3677">
        <v>120</v>
      </c>
      <c r="AV3677">
        <v>-12</v>
      </c>
      <c r="AW3677">
        <v>0</v>
      </c>
      <c r="AY3677">
        <v>0</v>
      </c>
      <c r="AZ3677">
        <v>0</v>
      </c>
      <c r="BA3677">
        <v>75.599999999999994</v>
      </c>
      <c r="BE3677" t="str">
        <f>T("9791164976065")</f>
        <v>9791164976065</v>
      </c>
      <c r="BF3677" t="str">
        <f>T("N037169")</f>
        <v>N037169</v>
      </c>
      <c r="BG3677" t="str">
        <f>T("로판 웹소설 &gt; 서양풍 로판")</f>
        <v>로판 웹소설 &gt; 서양풍 로판</v>
      </c>
    </row>
    <row r="3678" spans="1:59">
      <c r="A3678" t="s">
        <v>60</v>
      </c>
      <c r="B3678" s="1">
        <v>46131</v>
      </c>
      <c r="C3678">
        <v>2378026730</v>
      </c>
      <c r="D3678">
        <v>2378032287</v>
      </c>
      <c r="E3678" t="str">
        <f>T("사냥꾼에게서 도망쳤다 172화")</f>
        <v>사냥꾼에게서 도망쳤다 172화</v>
      </c>
      <c r="F3678">
        <v>172</v>
      </c>
      <c r="G3678" t="str">
        <f>T("죄송한취향")</f>
        <v>죄송한취향</v>
      </c>
      <c r="J3678" t="str">
        <f>T("시계토끼")</f>
        <v>시계토끼</v>
      </c>
      <c r="K3678" t="str">
        <f>T("사냥꾼에게서 도망쳤다")</f>
        <v>사냥꾼에게서 도망쳤다</v>
      </c>
      <c r="L3678">
        <v>100</v>
      </c>
      <c r="M3678">
        <v>100</v>
      </c>
      <c r="N3678">
        <v>1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0</v>
      </c>
      <c r="AH3678">
        <v>0</v>
      </c>
      <c r="AI3678">
        <v>100</v>
      </c>
      <c r="AJ3678">
        <v>1</v>
      </c>
      <c r="AK3678">
        <v>0</v>
      </c>
      <c r="AL3678">
        <v>0</v>
      </c>
      <c r="AM3678">
        <v>0</v>
      </c>
      <c r="AN3678">
        <v>0</v>
      </c>
      <c r="AO3678">
        <v>120</v>
      </c>
      <c r="AP3678">
        <v>-12</v>
      </c>
      <c r="AQ3678">
        <v>0</v>
      </c>
      <c r="AS3678">
        <v>0</v>
      </c>
      <c r="AT3678">
        <v>0</v>
      </c>
      <c r="AU3678">
        <v>120</v>
      </c>
      <c r="AV3678">
        <v>-12</v>
      </c>
      <c r="AW3678">
        <v>0</v>
      </c>
      <c r="AY3678">
        <v>0</v>
      </c>
      <c r="AZ3678">
        <v>0</v>
      </c>
      <c r="BA3678">
        <v>75.599999999999994</v>
      </c>
      <c r="BE3678" t="str">
        <f>T("9791164976065")</f>
        <v>9791164976065</v>
      </c>
      <c r="BF3678" t="str">
        <f>T("N037170")</f>
        <v>N037170</v>
      </c>
      <c r="BG3678" t="str">
        <f>T("로판 웹소설 &gt; 서양풍 로판")</f>
        <v>로판 웹소설 &gt; 서양풍 로판</v>
      </c>
    </row>
    <row r="3679" spans="1:59">
      <c r="A3679" t="s">
        <v>60</v>
      </c>
      <c r="B3679" s="1">
        <v>46131</v>
      </c>
      <c r="C3679">
        <v>2378026730</v>
      </c>
      <c r="D3679">
        <v>2378032293</v>
      </c>
      <c r="E3679" t="str">
        <f>T("사냥꾼에게서 도망쳤다 173화")</f>
        <v>사냥꾼에게서 도망쳤다 173화</v>
      </c>
      <c r="F3679">
        <v>173</v>
      </c>
      <c r="G3679" t="str">
        <f>T("죄송한취향")</f>
        <v>죄송한취향</v>
      </c>
      <c r="J3679" t="str">
        <f>T("시계토끼")</f>
        <v>시계토끼</v>
      </c>
      <c r="K3679" t="str">
        <f>T("사냥꾼에게서 도망쳤다")</f>
        <v>사냥꾼에게서 도망쳤다</v>
      </c>
      <c r="L3679">
        <v>100</v>
      </c>
      <c r="M3679">
        <v>100</v>
      </c>
      <c r="N3679">
        <v>1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0</v>
      </c>
      <c r="AH3679">
        <v>0</v>
      </c>
      <c r="AI3679">
        <v>100</v>
      </c>
      <c r="AJ3679">
        <v>1</v>
      </c>
      <c r="AK3679">
        <v>0</v>
      </c>
      <c r="AL3679">
        <v>0</v>
      </c>
      <c r="AM3679">
        <v>0</v>
      </c>
      <c r="AN3679">
        <v>0</v>
      </c>
      <c r="AO3679">
        <v>120</v>
      </c>
      <c r="AP3679">
        <v>-12</v>
      </c>
      <c r="AQ3679">
        <v>0</v>
      </c>
      <c r="AS3679">
        <v>0</v>
      </c>
      <c r="AT3679">
        <v>0</v>
      </c>
      <c r="AU3679">
        <v>120</v>
      </c>
      <c r="AV3679">
        <v>-12</v>
      </c>
      <c r="AW3679">
        <v>0</v>
      </c>
      <c r="AY3679">
        <v>0</v>
      </c>
      <c r="AZ3679">
        <v>0</v>
      </c>
      <c r="BA3679">
        <v>75.599999999999994</v>
      </c>
      <c r="BE3679" t="str">
        <f>T("9791164976065")</f>
        <v>9791164976065</v>
      </c>
      <c r="BF3679" t="str">
        <f>T("N037171")</f>
        <v>N037171</v>
      </c>
      <c r="BG3679" t="str">
        <f>T("로판 웹소설 &gt; 서양풍 로판")</f>
        <v>로판 웹소설 &gt; 서양풍 로판</v>
      </c>
    </row>
    <row r="3680" spans="1:59">
      <c r="A3680" t="s">
        <v>60</v>
      </c>
      <c r="B3680" s="1">
        <v>46131</v>
      </c>
      <c r="C3680">
        <v>2378026730</v>
      </c>
      <c r="D3680">
        <v>2378032294</v>
      </c>
      <c r="E3680" t="str">
        <f>T("사냥꾼에게서 도망쳤다 174화")</f>
        <v>사냥꾼에게서 도망쳤다 174화</v>
      </c>
      <c r="F3680">
        <v>174</v>
      </c>
      <c r="G3680" t="str">
        <f>T("죄송한취향")</f>
        <v>죄송한취향</v>
      </c>
      <c r="J3680" t="str">
        <f>T("시계토끼")</f>
        <v>시계토끼</v>
      </c>
      <c r="K3680" t="str">
        <f>T("사냥꾼에게서 도망쳤다")</f>
        <v>사냥꾼에게서 도망쳤다</v>
      </c>
      <c r="L3680">
        <v>100</v>
      </c>
      <c r="M3680">
        <v>100</v>
      </c>
      <c r="N3680">
        <v>1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0</v>
      </c>
      <c r="AH3680">
        <v>0</v>
      </c>
      <c r="AI3680">
        <v>100</v>
      </c>
      <c r="AJ3680">
        <v>1</v>
      </c>
      <c r="AK3680">
        <v>0</v>
      </c>
      <c r="AL3680">
        <v>0</v>
      </c>
      <c r="AM3680">
        <v>0</v>
      </c>
      <c r="AN3680">
        <v>0</v>
      </c>
      <c r="AO3680">
        <v>120</v>
      </c>
      <c r="AP3680">
        <v>-12</v>
      </c>
      <c r="AQ3680">
        <v>0</v>
      </c>
      <c r="AS3680">
        <v>0</v>
      </c>
      <c r="AT3680">
        <v>0</v>
      </c>
      <c r="AU3680">
        <v>120</v>
      </c>
      <c r="AV3680">
        <v>-12</v>
      </c>
      <c r="AW3680">
        <v>0</v>
      </c>
      <c r="AY3680">
        <v>0</v>
      </c>
      <c r="AZ3680">
        <v>0</v>
      </c>
      <c r="BA3680">
        <v>75.599999999999994</v>
      </c>
      <c r="BE3680" t="str">
        <f>T("9791164976065")</f>
        <v>9791164976065</v>
      </c>
      <c r="BF3680" t="str">
        <f>T("N037172")</f>
        <v>N037172</v>
      </c>
      <c r="BG3680" t="str">
        <f>T("로판 웹소설 &gt; 서양풍 로판")</f>
        <v>로판 웹소설 &gt; 서양풍 로판</v>
      </c>
    </row>
    <row r="3681" spans="1:59">
      <c r="A3681" t="s">
        <v>60</v>
      </c>
      <c r="B3681" s="1">
        <v>46131</v>
      </c>
      <c r="C3681">
        <v>2378026730</v>
      </c>
      <c r="D3681">
        <v>2378032322</v>
      </c>
      <c r="E3681" t="str">
        <f>T("사냥꾼에게서 도망쳤다 175화")</f>
        <v>사냥꾼에게서 도망쳤다 175화</v>
      </c>
      <c r="F3681">
        <v>175</v>
      </c>
      <c r="G3681" t="str">
        <f>T("죄송한취향")</f>
        <v>죄송한취향</v>
      </c>
      <c r="J3681" t="str">
        <f>T("시계토끼")</f>
        <v>시계토끼</v>
      </c>
      <c r="K3681" t="str">
        <f>T("사냥꾼에게서 도망쳤다")</f>
        <v>사냥꾼에게서 도망쳤다</v>
      </c>
      <c r="L3681">
        <v>100</v>
      </c>
      <c r="M3681">
        <v>100</v>
      </c>
      <c r="N3681">
        <v>1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0</v>
      </c>
      <c r="AH3681">
        <v>0</v>
      </c>
      <c r="AI3681">
        <v>100</v>
      </c>
      <c r="AJ3681">
        <v>1</v>
      </c>
      <c r="AK3681">
        <v>0</v>
      </c>
      <c r="AL3681">
        <v>0</v>
      </c>
      <c r="AM3681">
        <v>0</v>
      </c>
      <c r="AN3681">
        <v>0</v>
      </c>
      <c r="AO3681">
        <v>120</v>
      </c>
      <c r="AP3681">
        <v>-12</v>
      </c>
      <c r="AQ3681">
        <v>0</v>
      </c>
      <c r="AS3681">
        <v>0</v>
      </c>
      <c r="AT3681">
        <v>0</v>
      </c>
      <c r="AU3681">
        <v>120</v>
      </c>
      <c r="AV3681">
        <v>-12</v>
      </c>
      <c r="AW3681">
        <v>0</v>
      </c>
      <c r="AY3681">
        <v>0</v>
      </c>
      <c r="AZ3681">
        <v>0</v>
      </c>
      <c r="BA3681">
        <v>75.599999999999994</v>
      </c>
      <c r="BE3681" t="str">
        <f>T("9791164976065")</f>
        <v>9791164976065</v>
      </c>
      <c r="BF3681" t="str">
        <f>T("N043511")</f>
        <v>N043511</v>
      </c>
      <c r="BG3681" t="str">
        <f>T("로판 웹소설 &gt; 서양풍 로판")</f>
        <v>로판 웹소설 &gt; 서양풍 로판</v>
      </c>
    </row>
    <row r="3682" spans="1:59">
      <c r="A3682" t="s">
        <v>60</v>
      </c>
      <c r="B3682" s="1">
        <v>46131</v>
      </c>
      <c r="C3682">
        <v>2378026730</v>
      </c>
      <c r="D3682">
        <v>2378032323</v>
      </c>
      <c r="E3682" t="str">
        <f>T("사냥꾼에게서 도망쳤다 176화")</f>
        <v>사냥꾼에게서 도망쳤다 176화</v>
      </c>
      <c r="F3682">
        <v>176</v>
      </c>
      <c r="G3682" t="str">
        <f>T("죄송한취향")</f>
        <v>죄송한취향</v>
      </c>
      <c r="J3682" t="str">
        <f>T("시계토끼")</f>
        <v>시계토끼</v>
      </c>
      <c r="K3682" t="str">
        <f>T("사냥꾼에게서 도망쳤다")</f>
        <v>사냥꾼에게서 도망쳤다</v>
      </c>
      <c r="L3682">
        <v>100</v>
      </c>
      <c r="M3682">
        <v>100</v>
      </c>
      <c r="N3682">
        <v>1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0</v>
      </c>
      <c r="AH3682">
        <v>0</v>
      </c>
      <c r="AI3682">
        <v>100</v>
      </c>
      <c r="AJ3682">
        <v>1</v>
      </c>
      <c r="AK3682">
        <v>0</v>
      </c>
      <c r="AL3682">
        <v>0</v>
      </c>
      <c r="AM3682">
        <v>0</v>
      </c>
      <c r="AN3682">
        <v>0</v>
      </c>
      <c r="AO3682">
        <v>120</v>
      </c>
      <c r="AP3682">
        <v>-12</v>
      </c>
      <c r="AQ3682">
        <v>0</v>
      </c>
      <c r="AS3682">
        <v>0</v>
      </c>
      <c r="AT3682">
        <v>0</v>
      </c>
      <c r="AU3682">
        <v>120</v>
      </c>
      <c r="AV3682">
        <v>-12</v>
      </c>
      <c r="AW3682">
        <v>0</v>
      </c>
      <c r="AY3682">
        <v>0</v>
      </c>
      <c r="AZ3682">
        <v>0</v>
      </c>
      <c r="BA3682">
        <v>75.599999999999994</v>
      </c>
      <c r="BE3682" t="str">
        <f>T("9791164976065")</f>
        <v>9791164976065</v>
      </c>
      <c r="BF3682" t="str">
        <f>T("N043512")</f>
        <v>N043512</v>
      </c>
      <c r="BG3682" t="str">
        <f>T("로판 웹소설 &gt; 서양풍 로판")</f>
        <v>로판 웹소설 &gt; 서양풍 로판</v>
      </c>
    </row>
    <row r="3683" spans="1:59">
      <c r="A3683" t="s">
        <v>60</v>
      </c>
      <c r="B3683" s="1">
        <v>46131</v>
      </c>
      <c r="C3683">
        <v>2378026730</v>
      </c>
      <c r="D3683">
        <v>2378031769</v>
      </c>
      <c r="E3683" t="str">
        <f>T("사냥꾼에게서 도망쳤다 152화")</f>
        <v>사냥꾼에게서 도망쳤다 152화</v>
      </c>
      <c r="F3683">
        <v>152</v>
      </c>
      <c r="G3683" t="str">
        <f>T("죄송한취향")</f>
        <v>죄송한취향</v>
      </c>
      <c r="J3683" t="str">
        <f>T("시계토끼")</f>
        <v>시계토끼</v>
      </c>
      <c r="K3683" t="str">
        <f>T("사냥꾼에게서 도망쳤다")</f>
        <v>사냥꾼에게서 도망쳤다</v>
      </c>
      <c r="L3683">
        <v>100</v>
      </c>
      <c r="M3683">
        <v>100</v>
      </c>
      <c r="N3683">
        <v>1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0</v>
      </c>
      <c r="AH3683">
        <v>0</v>
      </c>
      <c r="AI3683">
        <v>100</v>
      </c>
      <c r="AJ3683">
        <v>1</v>
      </c>
      <c r="AK3683">
        <v>0</v>
      </c>
      <c r="AL3683">
        <v>0</v>
      </c>
      <c r="AM3683">
        <v>0</v>
      </c>
      <c r="AN3683">
        <v>0</v>
      </c>
      <c r="AO3683">
        <v>120</v>
      </c>
      <c r="AP3683">
        <v>-12</v>
      </c>
      <c r="AQ3683">
        <v>0</v>
      </c>
      <c r="AS3683">
        <v>0</v>
      </c>
      <c r="AT3683">
        <v>0</v>
      </c>
      <c r="AU3683">
        <v>120</v>
      </c>
      <c r="AV3683">
        <v>-12</v>
      </c>
      <c r="AW3683">
        <v>0</v>
      </c>
      <c r="AY3683">
        <v>0</v>
      </c>
      <c r="AZ3683">
        <v>0</v>
      </c>
      <c r="BA3683">
        <v>75.599999999999994</v>
      </c>
      <c r="BE3683" t="str">
        <f>T("9791164976065")</f>
        <v>9791164976065</v>
      </c>
      <c r="BF3683" t="str">
        <f>T("N025256")</f>
        <v>N025256</v>
      </c>
      <c r="BG3683" t="str">
        <f>T("로판 웹소설 &gt; 서양풍 로판")</f>
        <v>로판 웹소설 &gt; 서양풍 로판</v>
      </c>
    </row>
    <row r="3684" spans="1:59">
      <c r="A3684" t="s">
        <v>60</v>
      </c>
      <c r="B3684" s="1">
        <v>46131</v>
      </c>
      <c r="C3684">
        <v>2378026730</v>
      </c>
      <c r="D3684">
        <v>2378031777</v>
      </c>
      <c r="E3684" t="str">
        <f>T("사냥꾼에게서 도망쳤다 153화")</f>
        <v>사냥꾼에게서 도망쳤다 153화</v>
      </c>
      <c r="F3684">
        <v>153</v>
      </c>
      <c r="G3684" t="str">
        <f>T("죄송한취향")</f>
        <v>죄송한취향</v>
      </c>
      <c r="J3684" t="str">
        <f>T("시계토끼")</f>
        <v>시계토끼</v>
      </c>
      <c r="K3684" t="str">
        <f>T("사냥꾼에게서 도망쳤다")</f>
        <v>사냥꾼에게서 도망쳤다</v>
      </c>
      <c r="L3684">
        <v>100</v>
      </c>
      <c r="M3684">
        <v>100</v>
      </c>
      <c r="N3684">
        <v>1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0</v>
      </c>
      <c r="AH3684">
        <v>0</v>
      </c>
      <c r="AI3684">
        <v>100</v>
      </c>
      <c r="AJ3684">
        <v>1</v>
      </c>
      <c r="AK3684">
        <v>0</v>
      </c>
      <c r="AL3684">
        <v>0</v>
      </c>
      <c r="AM3684">
        <v>0</v>
      </c>
      <c r="AN3684">
        <v>0</v>
      </c>
      <c r="AO3684">
        <v>120</v>
      </c>
      <c r="AP3684">
        <v>-12</v>
      </c>
      <c r="AQ3684">
        <v>0</v>
      </c>
      <c r="AS3684">
        <v>0</v>
      </c>
      <c r="AT3684">
        <v>0</v>
      </c>
      <c r="AU3684">
        <v>120</v>
      </c>
      <c r="AV3684">
        <v>-12</v>
      </c>
      <c r="AW3684">
        <v>0</v>
      </c>
      <c r="AY3684">
        <v>0</v>
      </c>
      <c r="AZ3684">
        <v>0</v>
      </c>
      <c r="BA3684">
        <v>75.599999999999994</v>
      </c>
      <c r="BE3684" t="str">
        <f>T("9791164976065")</f>
        <v>9791164976065</v>
      </c>
      <c r="BF3684" t="str">
        <f>T("N025257")</f>
        <v>N025257</v>
      </c>
      <c r="BG3684" t="str">
        <f>T("로판 웹소설 &gt; 서양풍 로판")</f>
        <v>로판 웹소설 &gt; 서양풍 로판</v>
      </c>
    </row>
    <row r="3685" spans="1:59">
      <c r="A3685" t="s">
        <v>60</v>
      </c>
      <c r="B3685" s="1">
        <v>46131</v>
      </c>
      <c r="C3685">
        <v>2378026730</v>
      </c>
      <c r="D3685">
        <v>2378031778</v>
      </c>
      <c r="E3685" t="str">
        <f>T("사냥꾼에게서 도망쳤다 154화")</f>
        <v>사냥꾼에게서 도망쳤다 154화</v>
      </c>
      <c r="F3685">
        <v>154</v>
      </c>
      <c r="G3685" t="str">
        <f>T("죄송한취향")</f>
        <v>죄송한취향</v>
      </c>
      <c r="J3685" t="str">
        <f>T("시계토끼")</f>
        <v>시계토끼</v>
      </c>
      <c r="K3685" t="str">
        <f>T("사냥꾼에게서 도망쳤다")</f>
        <v>사냥꾼에게서 도망쳤다</v>
      </c>
      <c r="L3685">
        <v>100</v>
      </c>
      <c r="M3685">
        <v>100</v>
      </c>
      <c r="N3685">
        <v>1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0</v>
      </c>
      <c r="AH3685">
        <v>0</v>
      </c>
      <c r="AI3685">
        <v>100</v>
      </c>
      <c r="AJ3685">
        <v>1</v>
      </c>
      <c r="AK3685">
        <v>0</v>
      </c>
      <c r="AL3685">
        <v>0</v>
      </c>
      <c r="AM3685">
        <v>0</v>
      </c>
      <c r="AN3685">
        <v>0</v>
      </c>
      <c r="AO3685">
        <v>120</v>
      </c>
      <c r="AP3685">
        <v>-12</v>
      </c>
      <c r="AQ3685">
        <v>0</v>
      </c>
      <c r="AS3685">
        <v>0</v>
      </c>
      <c r="AT3685">
        <v>0</v>
      </c>
      <c r="AU3685">
        <v>120</v>
      </c>
      <c r="AV3685">
        <v>-12</v>
      </c>
      <c r="AW3685">
        <v>0</v>
      </c>
      <c r="AY3685">
        <v>0</v>
      </c>
      <c r="AZ3685">
        <v>0</v>
      </c>
      <c r="BA3685">
        <v>75.599999999999994</v>
      </c>
      <c r="BE3685" t="str">
        <f>T("9791164976065")</f>
        <v>9791164976065</v>
      </c>
      <c r="BF3685" t="str">
        <f>T("N025258")</f>
        <v>N025258</v>
      </c>
      <c r="BG3685" t="str">
        <f>T("로판 웹소설 &gt; 서양풍 로판")</f>
        <v>로판 웹소설 &gt; 서양풍 로판</v>
      </c>
    </row>
    <row r="3686" spans="1:59">
      <c r="A3686" t="s">
        <v>60</v>
      </c>
      <c r="B3686" s="1">
        <v>46131</v>
      </c>
      <c r="C3686">
        <v>2378026730</v>
      </c>
      <c r="D3686">
        <v>2378031823</v>
      </c>
      <c r="E3686" t="str">
        <f>T("사냥꾼에게서 도망쳤다 155화")</f>
        <v>사냥꾼에게서 도망쳤다 155화</v>
      </c>
      <c r="F3686">
        <v>155</v>
      </c>
      <c r="G3686" t="str">
        <f>T("죄송한취향")</f>
        <v>죄송한취향</v>
      </c>
      <c r="J3686" t="str">
        <f>T("시계토끼")</f>
        <v>시계토끼</v>
      </c>
      <c r="K3686" t="str">
        <f>T("사냥꾼에게서 도망쳤다")</f>
        <v>사냥꾼에게서 도망쳤다</v>
      </c>
      <c r="L3686">
        <v>100</v>
      </c>
      <c r="M3686">
        <v>100</v>
      </c>
      <c r="N3686">
        <v>1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0</v>
      </c>
      <c r="AH3686">
        <v>0</v>
      </c>
      <c r="AI3686">
        <v>100</v>
      </c>
      <c r="AJ3686">
        <v>1</v>
      </c>
      <c r="AK3686">
        <v>0</v>
      </c>
      <c r="AL3686">
        <v>0</v>
      </c>
      <c r="AM3686">
        <v>0</v>
      </c>
      <c r="AN3686">
        <v>0</v>
      </c>
      <c r="AO3686">
        <v>120</v>
      </c>
      <c r="AP3686">
        <v>-12</v>
      </c>
      <c r="AQ3686">
        <v>0</v>
      </c>
      <c r="AS3686">
        <v>0</v>
      </c>
      <c r="AT3686">
        <v>0</v>
      </c>
      <c r="AU3686">
        <v>120</v>
      </c>
      <c r="AV3686">
        <v>-12</v>
      </c>
      <c r="AW3686">
        <v>0</v>
      </c>
      <c r="AY3686">
        <v>0</v>
      </c>
      <c r="AZ3686">
        <v>0</v>
      </c>
      <c r="BA3686">
        <v>75.599999999999994</v>
      </c>
      <c r="BE3686" t="str">
        <f>T("9791164976065")</f>
        <v>9791164976065</v>
      </c>
      <c r="BF3686" t="str">
        <f>T("N026768")</f>
        <v>N026768</v>
      </c>
      <c r="BG3686" t="str">
        <f>T("로판 웹소설 &gt; 서양풍 로판")</f>
        <v>로판 웹소설 &gt; 서양풍 로판</v>
      </c>
    </row>
    <row r="3687" spans="1:59">
      <c r="A3687" t="s">
        <v>60</v>
      </c>
      <c r="B3687" s="1">
        <v>46131</v>
      </c>
      <c r="C3687">
        <v>2378026730</v>
      </c>
      <c r="D3687">
        <v>2378031833</v>
      </c>
      <c r="E3687" t="str">
        <f>T("사냥꾼에게서 도망쳤다 156화")</f>
        <v>사냥꾼에게서 도망쳤다 156화</v>
      </c>
      <c r="F3687">
        <v>156</v>
      </c>
      <c r="G3687" t="str">
        <f>T("죄송한취향")</f>
        <v>죄송한취향</v>
      </c>
      <c r="J3687" t="str">
        <f>T("시계토끼")</f>
        <v>시계토끼</v>
      </c>
      <c r="K3687" t="str">
        <f>T("사냥꾼에게서 도망쳤다")</f>
        <v>사냥꾼에게서 도망쳤다</v>
      </c>
      <c r="L3687">
        <v>100</v>
      </c>
      <c r="M3687">
        <v>100</v>
      </c>
      <c r="N3687">
        <v>1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0</v>
      </c>
      <c r="AH3687">
        <v>0</v>
      </c>
      <c r="AI3687">
        <v>100</v>
      </c>
      <c r="AJ3687">
        <v>1</v>
      </c>
      <c r="AK3687">
        <v>0</v>
      </c>
      <c r="AL3687">
        <v>0</v>
      </c>
      <c r="AM3687">
        <v>0</v>
      </c>
      <c r="AN3687">
        <v>0</v>
      </c>
      <c r="AO3687">
        <v>120</v>
      </c>
      <c r="AP3687">
        <v>-12</v>
      </c>
      <c r="AQ3687">
        <v>0</v>
      </c>
      <c r="AS3687">
        <v>0</v>
      </c>
      <c r="AT3687">
        <v>0</v>
      </c>
      <c r="AU3687">
        <v>120</v>
      </c>
      <c r="AV3687">
        <v>-12</v>
      </c>
      <c r="AW3687">
        <v>0</v>
      </c>
      <c r="AY3687">
        <v>0</v>
      </c>
      <c r="AZ3687">
        <v>0</v>
      </c>
      <c r="BA3687">
        <v>75.599999999999994</v>
      </c>
      <c r="BE3687" t="str">
        <f>T("9791164976065")</f>
        <v>9791164976065</v>
      </c>
      <c r="BF3687" t="str">
        <f>T("N026769")</f>
        <v>N026769</v>
      </c>
      <c r="BG3687" t="str">
        <f>T("로판 웹소설 &gt; 서양풍 로판")</f>
        <v>로판 웹소설 &gt; 서양풍 로판</v>
      </c>
    </row>
    <row r="3688" spans="1:59">
      <c r="A3688" t="s">
        <v>60</v>
      </c>
      <c r="B3688" s="1">
        <v>46131</v>
      </c>
      <c r="C3688">
        <v>2378026730</v>
      </c>
      <c r="D3688">
        <v>2378031843</v>
      </c>
      <c r="E3688" t="str">
        <f>T("사냥꾼에게서 도망쳤다 157화")</f>
        <v>사냥꾼에게서 도망쳤다 157화</v>
      </c>
      <c r="F3688">
        <v>157</v>
      </c>
      <c r="G3688" t="str">
        <f>T("죄송한취향")</f>
        <v>죄송한취향</v>
      </c>
      <c r="J3688" t="str">
        <f>T("시계토끼")</f>
        <v>시계토끼</v>
      </c>
      <c r="K3688" t="str">
        <f>T("사냥꾼에게서 도망쳤다")</f>
        <v>사냥꾼에게서 도망쳤다</v>
      </c>
      <c r="L3688">
        <v>100</v>
      </c>
      <c r="M3688">
        <v>100</v>
      </c>
      <c r="N3688">
        <v>1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0</v>
      </c>
      <c r="AH3688">
        <v>0</v>
      </c>
      <c r="AI3688">
        <v>100</v>
      </c>
      <c r="AJ3688">
        <v>1</v>
      </c>
      <c r="AK3688">
        <v>0</v>
      </c>
      <c r="AL3688">
        <v>0</v>
      </c>
      <c r="AM3688">
        <v>0</v>
      </c>
      <c r="AN3688">
        <v>0</v>
      </c>
      <c r="AO3688">
        <v>120</v>
      </c>
      <c r="AP3688">
        <v>-12</v>
      </c>
      <c r="AQ3688">
        <v>0</v>
      </c>
      <c r="AS3688">
        <v>0</v>
      </c>
      <c r="AT3688">
        <v>0</v>
      </c>
      <c r="AU3688">
        <v>120</v>
      </c>
      <c r="AV3688">
        <v>-12</v>
      </c>
      <c r="AW3688">
        <v>0</v>
      </c>
      <c r="AY3688">
        <v>0</v>
      </c>
      <c r="AZ3688">
        <v>0</v>
      </c>
      <c r="BA3688">
        <v>75.599999999999994</v>
      </c>
      <c r="BE3688" t="str">
        <f>T("9791164976065")</f>
        <v>9791164976065</v>
      </c>
      <c r="BF3688" t="str">
        <f>T("N026770")</f>
        <v>N026770</v>
      </c>
      <c r="BG3688" t="str">
        <f>T("로판 웹소설 &gt; 서양풍 로판")</f>
        <v>로판 웹소설 &gt; 서양풍 로판</v>
      </c>
    </row>
    <row r="3689" spans="1:59">
      <c r="A3689" t="s">
        <v>60</v>
      </c>
      <c r="B3689" s="1">
        <v>46131</v>
      </c>
      <c r="C3689">
        <v>2378026730</v>
      </c>
      <c r="D3689">
        <v>2378031844</v>
      </c>
      <c r="E3689" t="str">
        <f>T("사냥꾼에게서 도망쳤다 158화")</f>
        <v>사냥꾼에게서 도망쳤다 158화</v>
      </c>
      <c r="F3689">
        <v>158</v>
      </c>
      <c r="G3689" t="str">
        <f>T("죄송한취향")</f>
        <v>죄송한취향</v>
      </c>
      <c r="J3689" t="str">
        <f>T("시계토끼")</f>
        <v>시계토끼</v>
      </c>
      <c r="K3689" t="str">
        <f>T("사냥꾼에게서 도망쳤다")</f>
        <v>사냥꾼에게서 도망쳤다</v>
      </c>
      <c r="L3689">
        <v>100</v>
      </c>
      <c r="M3689">
        <v>100</v>
      </c>
      <c r="N3689">
        <v>1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0</v>
      </c>
      <c r="AH3689">
        <v>0</v>
      </c>
      <c r="AI3689">
        <v>100</v>
      </c>
      <c r="AJ3689">
        <v>1</v>
      </c>
      <c r="AK3689">
        <v>0</v>
      </c>
      <c r="AL3689">
        <v>0</v>
      </c>
      <c r="AM3689">
        <v>0</v>
      </c>
      <c r="AN3689">
        <v>0</v>
      </c>
      <c r="AO3689">
        <v>120</v>
      </c>
      <c r="AP3689">
        <v>-12</v>
      </c>
      <c r="AQ3689">
        <v>0</v>
      </c>
      <c r="AS3689">
        <v>0</v>
      </c>
      <c r="AT3689">
        <v>0</v>
      </c>
      <c r="AU3689">
        <v>120</v>
      </c>
      <c r="AV3689">
        <v>-12</v>
      </c>
      <c r="AW3689">
        <v>0</v>
      </c>
      <c r="AY3689">
        <v>0</v>
      </c>
      <c r="AZ3689">
        <v>0</v>
      </c>
      <c r="BA3689">
        <v>75.599999999999994</v>
      </c>
      <c r="BE3689" t="str">
        <f>T("9791164976065")</f>
        <v>9791164976065</v>
      </c>
      <c r="BF3689" t="str">
        <f>T("N026771")</f>
        <v>N026771</v>
      </c>
      <c r="BG3689" t="str">
        <f>T("로판 웹소설 &gt; 서양풍 로판")</f>
        <v>로판 웹소설 &gt; 서양풍 로판</v>
      </c>
    </row>
    <row r="3690" spans="1:59">
      <c r="A3690" t="s">
        <v>60</v>
      </c>
      <c r="B3690" s="1">
        <v>46131</v>
      </c>
      <c r="C3690">
        <v>2378026730</v>
      </c>
      <c r="D3690">
        <v>2378031893</v>
      </c>
      <c r="E3690" t="str">
        <f>T("사냥꾼에게서 도망쳤다 159화")</f>
        <v>사냥꾼에게서 도망쳤다 159화</v>
      </c>
      <c r="F3690">
        <v>159</v>
      </c>
      <c r="G3690" t="str">
        <f>T("죄송한취향")</f>
        <v>죄송한취향</v>
      </c>
      <c r="J3690" t="str">
        <f>T("시계토끼")</f>
        <v>시계토끼</v>
      </c>
      <c r="K3690" t="str">
        <f>T("사냥꾼에게서 도망쳤다")</f>
        <v>사냥꾼에게서 도망쳤다</v>
      </c>
      <c r="L3690">
        <v>100</v>
      </c>
      <c r="M3690">
        <v>100</v>
      </c>
      <c r="N3690">
        <v>1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0</v>
      </c>
      <c r="AH3690">
        <v>0</v>
      </c>
      <c r="AI3690">
        <v>100</v>
      </c>
      <c r="AJ3690">
        <v>1</v>
      </c>
      <c r="AK3690">
        <v>0</v>
      </c>
      <c r="AL3690">
        <v>0</v>
      </c>
      <c r="AM3690">
        <v>0</v>
      </c>
      <c r="AN3690">
        <v>0</v>
      </c>
      <c r="AO3690">
        <v>120</v>
      </c>
      <c r="AP3690">
        <v>-12</v>
      </c>
      <c r="AQ3690">
        <v>0</v>
      </c>
      <c r="AS3690">
        <v>0</v>
      </c>
      <c r="AT3690">
        <v>0</v>
      </c>
      <c r="AU3690">
        <v>120</v>
      </c>
      <c r="AV3690">
        <v>-12</v>
      </c>
      <c r="AW3690">
        <v>0</v>
      </c>
      <c r="AY3690">
        <v>0</v>
      </c>
      <c r="AZ3690">
        <v>0</v>
      </c>
      <c r="BA3690">
        <v>75.599999999999994</v>
      </c>
      <c r="BE3690" t="str">
        <f>T("9791164976065")</f>
        <v>9791164976065</v>
      </c>
      <c r="BF3690" t="str">
        <f>T("N028261")</f>
        <v>N028261</v>
      </c>
      <c r="BG3690" t="str">
        <f>T("로판 웹소설 &gt; 서양풍 로판")</f>
        <v>로판 웹소설 &gt; 서양풍 로판</v>
      </c>
    </row>
    <row r="3691" spans="1:59">
      <c r="A3691" t="s">
        <v>60</v>
      </c>
      <c r="B3691" s="1">
        <v>46131</v>
      </c>
      <c r="C3691">
        <v>2378026730</v>
      </c>
      <c r="D3691">
        <v>2378031901</v>
      </c>
      <c r="E3691" t="str">
        <f>T("사냥꾼에게서 도망쳤다 160화")</f>
        <v>사냥꾼에게서 도망쳤다 160화</v>
      </c>
      <c r="F3691">
        <v>160</v>
      </c>
      <c r="G3691" t="str">
        <f>T("죄송한취향")</f>
        <v>죄송한취향</v>
      </c>
      <c r="J3691" t="str">
        <f>T("시계토끼")</f>
        <v>시계토끼</v>
      </c>
      <c r="K3691" t="str">
        <f>T("사냥꾼에게서 도망쳤다")</f>
        <v>사냥꾼에게서 도망쳤다</v>
      </c>
      <c r="L3691">
        <v>100</v>
      </c>
      <c r="M3691">
        <v>100</v>
      </c>
      <c r="N3691">
        <v>1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0</v>
      </c>
      <c r="AH3691">
        <v>0</v>
      </c>
      <c r="AI3691">
        <v>100</v>
      </c>
      <c r="AJ3691">
        <v>1</v>
      </c>
      <c r="AK3691">
        <v>0</v>
      </c>
      <c r="AL3691">
        <v>0</v>
      </c>
      <c r="AM3691">
        <v>0</v>
      </c>
      <c r="AN3691">
        <v>0</v>
      </c>
      <c r="AO3691">
        <v>120</v>
      </c>
      <c r="AP3691">
        <v>-12</v>
      </c>
      <c r="AQ3691">
        <v>0</v>
      </c>
      <c r="AS3691">
        <v>0</v>
      </c>
      <c r="AT3691">
        <v>0</v>
      </c>
      <c r="AU3691">
        <v>120</v>
      </c>
      <c r="AV3691">
        <v>-12</v>
      </c>
      <c r="AW3691">
        <v>0</v>
      </c>
      <c r="AY3691">
        <v>0</v>
      </c>
      <c r="AZ3691">
        <v>0</v>
      </c>
      <c r="BA3691">
        <v>75.599999999999994</v>
      </c>
      <c r="BE3691" t="str">
        <f>T("9791164976065")</f>
        <v>9791164976065</v>
      </c>
      <c r="BF3691" t="str">
        <f>T("N028262")</f>
        <v>N028262</v>
      </c>
      <c r="BG3691" t="str">
        <f>T("로판 웹소설 &gt; 서양풍 로판")</f>
        <v>로판 웹소설 &gt; 서양풍 로판</v>
      </c>
    </row>
    <row r="3692" spans="1:59">
      <c r="A3692" t="s">
        <v>60</v>
      </c>
      <c r="B3692" s="1">
        <v>46131</v>
      </c>
      <c r="C3692">
        <v>2378026730</v>
      </c>
      <c r="D3692">
        <v>2378031910</v>
      </c>
      <c r="E3692" t="str">
        <f>T("사냥꾼에게서 도망쳤다 161화")</f>
        <v>사냥꾼에게서 도망쳤다 161화</v>
      </c>
      <c r="F3692">
        <v>161</v>
      </c>
      <c r="G3692" t="str">
        <f>T("죄송한취향")</f>
        <v>죄송한취향</v>
      </c>
      <c r="J3692" t="str">
        <f>T("시계토끼")</f>
        <v>시계토끼</v>
      </c>
      <c r="K3692" t="str">
        <f>T("사냥꾼에게서 도망쳤다")</f>
        <v>사냥꾼에게서 도망쳤다</v>
      </c>
      <c r="L3692">
        <v>100</v>
      </c>
      <c r="M3692">
        <v>100</v>
      </c>
      <c r="N3692">
        <v>1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100</v>
      </c>
      <c r="AJ3692">
        <v>1</v>
      </c>
      <c r="AK3692">
        <v>0</v>
      </c>
      <c r="AL3692">
        <v>0</v>
      </c>
      <c r="AM3692">
        <v>0</v>
      </c>
      <c r="AN3692">
        <v>0</v>
      </c>
      <c r="AO3692">
        <v>120</v>
      </c>
      <c r="AP3692">
        <v>-12</v>
      </c>
      <c r="AQ3692">
        <v>0</v>
      </c>
      <c r="AS3692">
        <v>0</v>
      </c>
      <c r="AT3692">
        <v>0</v>
      </c>
      <c r="AU3692">
        <v>120</v>
      </c>
      <c r="AV3692">
        <v>-12</v>
      </c>
      <c r="AW3692">
        <v>0</v>
      </c>
      <c r="AY3692">
        <v>0</v>
      </c>
      <c r="AZ3692">
        <v>0</v>
      </c>
      <c r="BA3692">
        <v>75.599999999999994</v>
      </c>
      <c r="BE3692" t="str">
        <f>T("9791164976065")</f>
        <v>9791164976065</v>
      </c>
      <c r="BF3692" t="str">
        <f>T("N028263")</f>
        <v>N028263</v>
      </c>
      <c r="BG3692" t="str">
        <f>T("로판 웹소설 &gt; 서양풍 로판")</f>
        <v>로판 웹소설 &gt; 서양풍 로판</v>
      </c>
    </row>
    <row r="3693" spans="1:59">
      <c r="A3693" t="s">
        <v>60</v>
      </c>
      <c r="B3693" s="1">
        <v>46131</v>
      </c>
      <c r="C3693">
        <v>2378026730</v>
      </c>
      <c r="D3693">
        <v>2378031914</v>
      </c>
      <c r="E3693" t="str">
        <f>T("사냥꾼에게서 도망쳤다 162화")</f>
        <v>사냥꾼에게서 도망쳤다 162화</v>
      </c>
      <c r="F3693">
        <v>162</v>
      </c>
      <c r="G3693" t="str">
        <f>T("죄송한취향")</f>
        <v>죄송한취향</v>
      </c>
      <c r="J3693" t="str">
        <f>T("시계토끼")</f>
        <v>시계토끼</v>
      </c>
      <c r="K3693" t="str">
        <f>T("사냥꾼에게서 도망쳤다")</f>
        <v>사냥꾼에게서 도망쳤다</v>
      </c>
      <c r="L3693">
        <v>100</v>
      </c>
      <c r="M3693">
        <v>100</v>
      </c>
      <c r="N3693">
        <v>1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0</v>
      </c>
      <c r="AH3693">
        <v>0</v>
      </c>
      <c r="AI3693">
        <v>100</v>
      </c>
      <c r="AJ3693">
        <v>1</v>
      </c>
      <c r="AK3693">
        <v>0</v>
      </c>
      <c r="AL3693">
        <v>0</v>
      </c>
      <c r="AM3693">
        <v>0</v>
      </c>
      <c r="AN3693">
        <v>0</v>
      </c>
      <c r="AO3693">
        <v>120</v>
      </c>
      <c r="AP3693">
        <v>-12</v>
      </c>
      <c r="AQ3693">
        <v>0</v>
      </c>
      <c r="AS3693">
        <v>0</v>
      </c>
      <c r="AT3693">
        <v>0</v>
      </c>
      <c r="AU3693">
        <v>120</v>
      </c>
      <c r="AV3693">
        <v>-12</v>
      </c>
      <c r="AW3693">
        <v>0</v>
      </c>
      <c r="AY3693">
        <v>0</v>
      </c>
      <c r="AZ3693">
        <v>0</v>
      </c>
      <c r="BA3693">
        <v>75.599999999999994</v>
      </c>
      <c r="BE3693" t="str">
        <f>T("9791164976065")</f>
        <v>9791164976065</v>
      </c>
      <c r="BF3693" t="str">
        <f>T("N028264")</f>
        <v>N028264</v>
      </c>
      <c r="BG3693" t="str">
        <f>T("로판 웹소설 &gt; 서양풍 로판")</f>
        <v>로판 웹소설 &gt; 서양풍 로판</v>
      </c>
    </row>
    <row r="3694" spans="1:59">
      <c r="A3694" t="s">
        <v>60</v>
      </c>
      <c r="B3694" s="1">
        <v>46131</v>
      </c>
      <c r="C3694">
        <v>2378026730</v>
      </c>
      <c r="D3694">
        <v>2378032723</v>
      </c>
      <c r="E3694" t="str">
        <f>T("사냥꾼에게서 도망쳤다 177화")</f>
        <v>사냥꾼에게서 도망쳤다 177화</v>
      </c>
      <c r="F3694">
        <v>177</v>
      </c>
      <c r="G3694" t="str">
        <f>T("죄송한취향")</f>
        <v>죄송한취향</v>
      </c>
      <c r="J3694" t="str">
        <f>T("시계토끼")</f>
        <v>시계토끼</v>
      </c>
      <c r="K3694" t="str">
        <f>T("사냥꾼에게서 도망쳤다")</f>
        <v>사냥꾼에게서 도망쳤다</v>
      </c>
      <c r="L3694">
        <v>100</v>
      </c>
      <c r="M3694">
        <v>100</v>
      </c>
      <c r="N3694">
        <v>1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100</v>
      </c>
      <c r="AJ3694">
        <v>1</v>
      </c>
      <c r="AK3694">
        <v>0</v>
      </c>
      <c r="AL3694">
        <v>0</v>
      </c>
      <c r="AM3694">
        <v>0</v>
      </c>
      <c r="AN3694">
        <v>0</v>
      </c>
      <c r="AO3694">
        <v>120</v>
      </c>
      <c r="AP3694">
        <v>-12</v>
      </c>
      <c r="AQ3694">
        <v>0</v>
      </c>
      <c r="AS3694">
        <v>0</v>
      </c>
      <c r="AT3694">
        <v>0</v>
      </c>
      <c r="AU3694">
        <v>120</v>
      </c>
      <c r="AV3694">
        <v>-12</v>
      </c>
      <c r="AW3694">
        <v>0</v>
      </c>
      <c r="AY3694">
        <v>0</v>
      </c>
      <c r="AZ3694">
        <v>0</v>
      </c>
      <c r="BA3694">
        <v>75.599999999999994</v>
      </c>
      <c r="BE3694" t="str">
        <f>T("9791164976065")</f>
        <v>9791164976065</v>
      </c>
      <c r="BF3694" t="str">
        <f>T("N043513")</f>
        <v>N043513</v>
      </c>
      <c r="BG3694" t="str">
        <f>T("로판 웹소설 &gt; 서양풍 로판")</f>
        <v>로판 웹소설 &gt; 서양풍 로판</v>
      </c>
    </row>
    <row r="3695" spans="1:59">
      <c r="A3695" t="s">
        <v>60</v>
      </c>
      <c r="B3695" s="1">
        <v>46131</v>
      </c>
      <c r="C3695">
        <v>2378026730</v>
      </c>
      <c r="D3695">
        <v>2378032724</v>
      </c>
      <c r="E3695" t="str">
        <f>T("사냥꾼에게서 도망쳤다 178화")</f>
        <v>사냥꾼에게서 도망쳤다 178화</v>
      </c>
      <c r="F3695">
        <v>178</v>
      </c>
      <c r="G3695" t="str">
        <f>T("죄송한취향")</f>
        <v>죄송한취향</v>
      </c>
      <c r="J3695" t="str">
        <f>T("시계토끼")</f>
        <v>시계토끼</v>
      </c>
      <c r="K3695" t="str">
        <f>T("사냥꾼에게서 도망쳤다")</f>
        <v>사냥꾼에게서 도망쳤다</v>
      </c>
      <c r="L3695">
        <v>100</v>
      </c>
      <c r="M3695">
        <v>100</v>
      </c>
      <c r="N3695">
        <v>1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0</v>
      </c>
      <c r="AH3695">
        <v>0</v>
      </c>
      <c r="AI3695">
        <v>100</v>
      </c>
      <c r="AJ3695">
        <v>1</v>
      </c>
      <c r="AK3695">
        <v>0</v>
      </c>
      <c r="AL3695">
        <v>0</v>
      </c>
      <c r="AM3695">
        <v>0</v>
      </c>
      <c r="AN3695">
        <v>0</v>
      </c>
      <c r="AO3695">
        <v>120</v>
      </c>
      <c r="AP3695">
        <v>-12</v>
      </c>
      <c r="AQ3695">
        <v>0</v>
      </c>
      <c r="AS3695">
        <v>0</v>
      </c>
      <c r="AT3695">
        <v>0</v>
      </c>
      <c r="AU3695">
        <v>120</v>
      </c>
      <c r="AV3695">
        <v>-12</v>
      </c>
      <c r="AW3695">
        <v>0</v>
      </c>
      <c r="AY3695">
        <v>0</v>
      </c>
      <c r="AZ3695">
        <v>0</v>
      </c>
      <c r="BA3695">
        <v>75.599999999999994</v>
      </c>
      <c r="BE3695" t="str">
        <f>T("9791164976065")</f>
        <v>9791164976065</v>
      </c>
      <c r="BF3695" t="str">
        <f>T("N043514")</f>
        <v>N043514</v>
      </c>
      <c r="BG3695" t="str">
        <f>T("로판 웹소설 &gt; 서양풍 로판")</f>
        <v>로판 웹소설 &gt; 서양풍 로판</v>
      </c>
    </row>
    <row r="3696" spans="1:59">
      <c r="A3696" t="s">
        <v>60</v>
      </c>
      <c r="B3696" s="1">
        <v>46131</v>
      </c>
      <c r="C3696">
        <v>2378026730</v>
      </c>
      <c r="D3696">
        <v>2378032758</v>
      </c>
      <c r="E3696" t="str">
        <f>T("사냥꾼에게서 도망쳤다 179화")</f>
        <v>사냥꾼에게서 도망쳤다 179화</v>
      </c>
      <c r="F3696">
        <v>179</v>
      </c>
      <c r="G3696" t="str">
        <f>T("죄송한취향")</f>
        <v>죄송한취향</v>
      </c>
      <c r="J3696" t="str">
        <f>T("시계토끼")</f>
        <v>시계토끼</v>
      </c>
      <c r="K3696" t="str">
        <f>T("사냥꾼에게서 도망쳤다")</f>
        <v>사냥꾼에게서 도망쳤다</v>
      </c>
      <c r="L3696">
        <v>100</v>
      </c>
      <c r="M3696">
        <v>100</v>
      </c>
      <c r="N3696">
        <v>1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100</v>
      </c>
      <c r="AJ3696">
        <v>1</v>
      </c>
      <c r="AK3696">
        <v>0</v>
      </c>
      <c r="AL3696">
        <v>0</v>
      </c>
      <c r="AM3696">
        <v>0</v>
      </c>
      <c r="AN3696">
        <v>0</v>
      </c>
      <c r="AO3696">
        <v>120</v>
      </c>
      <c r="AP3696">
        <v>-12</v>
      </c>
      <c r="AQ3696">
        <v>0</v>
      </c>
      <c r="AS3696">
        <v>0</v>
      </c>
      <c r="AT3696">
        <v>0</v>
      </c>
      <c r="AU3696">
        <v>120</v>
      </c>
      <c r="AV3696">
        <v>-12</v>
      </c>
      <c r="AW3696">
        <v>0</v>
      </c>
      <c r="AY3696">
        <v>0</v>
      </c>
      <c r="AZ3696">
        <v>0</v>
      </c>
      <c r="BA3696">
        <v>75.599999999999994</v>
      </c>
      <c r="BE3696" t="str">
        <f>T("9791164976065")</f>
        <v>9791164976065</v>
      </c>
      <c r="BF3696" t="str">
        <f>T("N046554")</f>
        <v>N046554</v>
      </c>
      <c r="BG3696" t="str">
        <f>T("로판 웹소설 &gt; 서양풍 로판")</f>
        <v>로판 웹소설 &gt; 서양풍 로판</v>
      </c>
    </row>
    <row r="3697" spans="1:59">
      <c r="A3697" t="s">
        <v>60</v>
      </c>
      <c r="B3697" s="1">
        <v>46131</v>
      </c>
      <c r="C3697">
        <v>2378026730</v>
      </c>
      <c r="D3697">
        <v>2378032759</v>
      </c>
      <c r="E3697" t="str">
        <f>T("사냥꾼에게서 도망쳤다 180화")</f>
        <v>사냥꾼에게서 도망쳤다 180화</v>
      </c>
      <c r="F3697">
        <v>180</v>
      </c>
      <c r="G3697" t="str">
        <f>T("죄송한취향")</f>
        <v>죄송한취향</v>
      </c>
      <c r="J3697" t="str">
        <f>T("시계토끼")</f>
        <v>시계토끼</v>
      </c>
      <c r="K3697" t="str">
        <f>T("사냥꾼에게서 도망쳤다")</f>
        <v>사냥꾼에게서 도망쳤다</v>
      </c>
      <c r="L3697">
        <v>100</v>
      </c>
      <c r="M3697">
        <v>100</v>
      </c>
      <c r="N3697">
        <v>1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0</v>
      </c>
      <c r="AH3697">
        <v>0</v>
      </c>
      <c r="AI3697">
        <v>100</v>
      </c>
      <c r="AJ3697">
        <v>1</v>
      </c>
      <c r="AK3697">
        <v>0</v>
      </c>
      <c r="AL3697">
        <v>0</v>
      </c>
      <c r="AM3697">
        <v>0</v>
      </c>
      <c r="AN3697">
        <v>0</v>
      </c>
      <c r="AO3697">
        <v>120</v>
      </c>
      <c r="AP3697">
        <v>-12</v>
      </c>
      <c r="AQ3697">
        <v>0</v>
      </c>
      <c r="AS3697">
        <v>0</v>
      </c>
      <c r="AT3697">
        <v>0</v>
      </c>
      <c r="AU3697">
        <v>120</v>
      </c>
      <c r="AV3697">
        <v>-12</v>
      </c>
      <c r="AW3697">
        <v>0</v>
      </c>
      <c r="AY3697">
        <v>0</v>
      </c>
      <c r="AZ3697">
        <v>0</v>
      </c>
      <c r="BA3697">
        <v>75.599999999999994</v>
      </c>
      <c r="BE3697" t="str">
        <f>T("9791164976065")</f>
        <v>9791164976065</v>
      </c>
      <c r="BF3697" t="str">
        <f>T("N046555")</f>
        <v>N046555</v>
      </c>
      <c r="BG3697" t="str">
        <f>T("로판 웹소설 &gt; 서양풍 로판")</f>
        <v>로판 웹소설 &gt; 서양풍 로판</v>
      </c>
    </row>
    <row r="3698" spans="1:59">
      <c r="A3698" t="s">
        <v>60</v>
      </c>
      <c r="B3698" s="1">
        <v>46131</v>
      </c>
      <c r="C3698">
        <v>2378026730</v>
      </c>
      <c r="D3698">
        <v>2378032760</v>
      </c>
      <c r="E3698" t="str">
        <f>T("사냥꾼에게서 도망쳤다 181화")</f>
        <v>사냥꾼에게서 도망쳤다 181화</v>
      </c>
      <c r="F3698">
        <v>181</v>
      </c>
      <c r="G3698" t="str">
        <f>T("죄송한취향")</f>
        <v>죄송한취향</v>
      </c>
      <c r="J3698" t="str">
        <f>T("시계토끼")</f>
        <v>시계토끼</v>
      </c>
      <c r="K3698" t="str">
        <f>T("사냥꾼에게서 도망쳤다")</f>
        <v>사냥꾼에게서 도망쳤다</v>
      </c>
      <c r="L3698">
        <v>100</v>
      </c>
      <c r="M3698">
        <v>100</v>
      </c>
      <c r="N3698">
        <v>1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0</v>
      </c>
      <c r="AH3698">
        <v>0</v>
      </c>
      <c r="AI3698">
        <v>100</v>
      </c>
      <c r="AJ3698">
        <v>1</v>
      </c>
      <c r="AK3698">
        <v>0</v>
      </c>
      <c r="AL3698">
        <v>0</v>
      </c>
      <c r="AM3698">
        <v>0</v>
      </c>
      <c r="AN3698">
        <v>0</v>
      </c>
      <c r="AO3698">
        <v>120</v>
      </c>
      <c r="AP3698">
        <v>-12</v>
      </c>
      <c r="AQ3698">
        <v>0</v>
      </c>
      <c r="AS3698">
        <v>0</v>
      </c>
      <c r="AT3698">
        <v>0</v>
      </c>
      <c r="AU3698">
        <v>120</v>
      </c>
      <c r="AV3698">
        <v>-12</v>
      </c>
      <c r="AW3698">
        <v>0</v>
      </c>
      <c r="AY3698">
        <v>0</v>
      </c>
      <c r="AZ3698">
        <v>0</v>
      </c>
      <c r="BA3698">
        <v>75.599999999999994</v>
      </c>
      <c r="BE3698" t="str">
        <f>T("9791164976065")</f>
        <v>9791164976065</v>
      </c>
      <c r="BF3698" t="str">
        <f>T("N046556")</f>
        <v>N046556</v>
      </c>
      <c r="BG3698" t="str">
        <f>T("로판 웹소설 &gt; 서양풍 로판")</f>
        <v>로판 웹소설 &gt; 서양풍 로판</v>
      </c>
    </row>
    <row r="3699" spans="1:59">
      <c r="A3699" t="s">
        <v>60</v>
      </c>
      <c r="B3699" s="1">
        <v>46129</v>
      </c>
      <c r="C3699">
        <v>2378018947</v>
      </c>
      <c r="D3699">
        <v>2378018947</v>
      </c>
      <c r="E3699" t="str">
        <f>T("사천사 1화")</f>
        <v>사천사 1화</v>
      </c>
      <c r="F3699">
        <v>1</v>
      </c>
      <c r="G3699" t="str">
        <f>T("설봉")</f>
        <v>설봉</v>
      </c>
      <c r="J3699" t="str">
        <f>T("매드햇")</f>
        <v>매드햇</v>
      </c>
      <c r="K3699" t="str">
        <f>T("사천사")</f>
        <v>사천사</v>
      </c>
      <c r="L3699">
        <v>0</v>
      </c>
      <c r="M3699">
        <v>0</v>
      </c>
      <c r="N3699">
        <v>0</v>
      </c>
      <c r="O3699">
        <v>1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1</v>
      </c>
      <c r="AK3699">
        <v>0</v>
      </c>
      <c r="AL3699">
        <v>0</v>
      </c>
      <c r="AM3699">
        <v>0</v>
      </c>
      <c r="AN3699">
        <v>0</v>
      </c>
      <c r="AO3699">
        <v>0</v>
      </c>
      <c r="AP3699">
        <v>0</v>
      </c>
      <c r="AQ3699">
        <v>0</v>
      </c>
      <c r="AS3699">
        <v>0</v>
      </c>
      <c r="AT3699">
        <v>0</v>
      </c>
      <c r="AV3699">
        <v>0</v>
      </c>
      <c r="AW3699">
        <v>0</v>
      </c>
      <c r="AY3699">
        <v>0</v>
      </c>
      <c r="AZ3699">
        <v>0</v>
      </c>
      <c r="BA3699">
        <v>0</v>
      </c>
      <c r="BE3699" t="str">
        <f>T("9791137002739")</f>
        <v>9791137002739</v>
      </c>
      <c r="BF3699" t="str">
        <f>T("E778808")</f>
        <v>E778808</v>
      </c>
      <c r="BG3699" t="str">
        <f>T("판타지 웹소설 &gt; 무협 소설")</f>
        <v>판타지 웹소설 &gt; 무협 소설</v>
      </c>
    </row>
    <row r="3700" spans="1:59">
      <c r="A3700" t="s">
        <v>60</v>
      </c>
      <c r="B3700" s="1">
        <v>46130</v>
      </c>
      <c r="C3700">
        <v>2378018947</v>
      </c>
      <c r="D3700">
        <v>2378018947</v>
      </c>
      <c r="E3700" t="str">
        <f>T("사천사 1화")</f>
        <v>사천사 1화</v>
      </c>
      <c r="F3700">
        <v>1</v>
      </c>
      <c r="G3700" t="str">
        <f>T("설봉")</f>
        <v>설봉</v>
      </c>
      <c r="J3700" t="str">
        <f>T("매드햇")</f>
        <v>매드햇</v>
      </c>
      <c r="K3700" t="str">
        <f>T("사천사")</f>
        <v>사천사</v>
      </c>
      <c r="L3700">
        <v>0</v>
      </c>
      <c r="M3700">
        <v>0</v>
      </c>
      <c r="N3700">
        <v>0</v>
      </c>
      <c r="O3700">
        <v>1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1</v>
      </c>
      <c r="AK3700">
        <v>0</v>
      </c>
      <c r="AL3700">
        <v>0</v>
      </c>
      <c r="AM3700">
        <v>0</v>
      </c>
      <c r="AN3700">
        <v>0</v>
      </c>
      <c r="AO3700">
        <v>0</v>
      </c>
      <c r="AP3700">
        <v>0</v>
      </c>
      <c r="AQ3700">
        <v>0</v>
      </c>
      <c r="AS3700">
        <v>0</v>
      </c>
      <c r="AT3700">
        <v>0</v>
      </c>
      <c r="AV3700">
        <v>0</v>
      </c>
      <c r="AW3700">
        <v>0</v>
      </c>
      <c r="AY3700">
        <v>0</v>
      </c>
      <c r="AZ3700">
        <v>0</v>
      </c>
      <c r="BA3700">
        <v>0</v>
      </c>
      <c r="BE3700" t="str">
        <f>T("9791137002739")</f>
        <v>9791137002739</v>
      </c>
      <c r="BF3700" t="str">
        <f>T("E778808")</f>
        <v>E778808</v>
      </c>
      <c r="BG3700" t="str">
        <f>T("판타지 웹소설 &gt; 무협 소설")</f>
        <v>판타지 웹소설 &gt; 무협 소설</v>
      </c>
    </row>
    <row r="3701" spans="1:59">
      <c r="A3701" t="s">
        <v>60</v>
      </c>
      <c r="B3701" s="1">
        <v>46131</v>
      </c>
      <c r="C3701">
        <v>2378018947</v>
      </c>
      <c r="D3701">
        <v>2378018947</v>
      </c>
      <c r="E3701" t="str">
        <f>T("사천사 1화")</f>
        <v>사천사 1화</v>
      </c>
      <c r="F3701">
        <v>1</v>
      </c>
      <c r="G3701" t="str">
        <f>T("설봉")</f>
        <v>설봉</v>
      </c>
      <c r="J3701" t="str">
        <f>T("매드햇")</f>
        <v>매드햇</v>
      </c>
      <c r="K3701" t="str">
        <f>T("사천사")</f>
        <v>사천사</v>
      </c>
      <c r="L3701">
        <v>0</v>
      </c>
      <c r="M3701">
        <v>0</v>
      </c>
      <c r="N3701">
        <v>0</v>
      </c>
      <c r="O3701">
        <v>1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0</v>
      </c>
      <c r="AH3701">
        <v>0</v>
      </c>
      <c r="AI3701">
        <v>0</v>
      </c>
      <c r="AJ3701">
        <v>1</v>
      </c>
      <c r="AK3701">
        <v>0</v>
      </c>
      <c r="AL3701">
        <v>0</v>
      </c>
      <c r="AM3701">
        <v>0</v>
      </c>
      <c r="AN3701">
        <v>0</v>
      </c>
      <c r="AO3701">
        <v>0</v>
      </c>
      <c r="AP3701">
        <v>0</v>
      </c>
      <c r="AQ3701">
        <v>0</v>
      </c>
      <c r="AS3701">
        <v>0</v>
      </c>
      <c r="AT3701">
        <v>0</v>
      </c>
      <c r="AV3701">
        <v>0</v>
      </c>
      <c r="AW3701">
        <v>0</v>
      </c>
      <c r="AY3701">
        <v>0</v>
      </c>
      <c r="AZ3701">
        <v>0</v>
      </c>
      <c r="BA3701">
        <v>0</v>
      </c>
      <c r="BE3701" t="str">
        <f>T("9791137002739")</f>
        <v>9791137002739</v>
      </c>
      <c r="BF3701" t="str">
        <f>T("E778808")</f>
        <v>E778808</v>
      </c>
      <c r="BG3701" t="str">
        <f>T("판타지 웹소설 &gt; 무협 소설")</f>
        <v>판타지 웹소설 &gt; 무협 소설</v>
      </c>
    </row>
    <row r="3702" spans="1:59">
      <c r="A3702" t="s">
        <v>60</v>
      </c>
      <c r="B3702" s="1">
        <v>46131</v>
      </c>
      <c r="C3702">
        <v>2378018947</v>
      </c>
      <c r="D3702">
        <v>2378018948</v>
      </c>
      <c r="E3702" t="str">
        <f>T("사천사 2화")</f>
        <v>사천사 2화</v>
      </c>
      <c r="F3702">
        <v>2</v>
      </c>
      <c r="G3702" t="str">
        <f>T("설봉")</f>
        <v>설봉</v>
      </c>
      <c r="J3702" t="str">
        <f>T("매드햇")</f>
        <v>매드햇</v>
      </c>
      <c r="K3702" t="str">
        <f>T("사천사")</f>
        <v>사천사</v>
      </c>
      <c r="L3702">
        <v>0</v>
      </c>
      <c r="M3702">
        <v>0</v>
      </c>
      <c r="N3702">
        <v>0</v>
      </c>
      <c r="O3702">
        <v>2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2</v>
      </c>
      <c r="AK3702">
        <v>0</v>
      </c>
      <c r="AL3702">
        <v>0</v>
      </c>
      <c r="AM3702">
        <v>0</v>
      </c>
      <c r="AN3702">
        <v>0</v>
      </c>
      <c r="AO3702">
        <v>0</v>
      </c>
      <c r="AP3702">
        <v>0</v>
      </c>
      <c r="AQ3702">
        <v>0</v>
      </c>
      <c r="AS3702">
        <v>0</v>
      </c>
      <c r="AT3702">
        <v>0</v>
      </c>
      <c r="AV3702">
        <v>0</v>
      </c>
      <c r="AW3702">
        <v>0</v>
      </c>
      <c r="AY3702">
        <v>0</v>
      </c>
      <c r="AZ3702">
        <v>0</v>
      </c>
      <c r="BA3702">
        <v>0</v>
      </c>
      <c r="BE3702" t="str">
        <f>T("9791137002739")</f>
        <v>9791137002739</v>
      </c>
      <c r="BF3702" t="str">
        <f>T("E778809")</f>
        <v>E778809</v>
      </c>
      <c r="BG3702" t="str">
        <f>T("판타지 웹소설 &gt; 무협 소설")</f>
        <v>판타지 웹소설 &gt; 무협 소설</v>
      </c>
    </row>
    <row r="3703" spans="1:59">
      <c r="A3703" t="s">
        <v>60</v>
      </c>
      <c r="B3703" s="1">
        <v>46129</v>
      </c>
      <c r="C3703">
        <v>2378063433</v>
      </c>
      <c r="D3703">
        <v>2378063433</v>
      </c>
      <c r="E3703" t="str">
        <f>T("삼켜지는 밤 1화")</f>
        <v>삼켜지는 밤 1화</v>
      </c>
      <c r="F3703">
        <v>1</v>
      </c>
      <c r="G3703" t="str">
        <f>T("리휘안")</f>
        <v>리휘안</v>
      </c>
      <c r="J3703" t="str">
        <f>T("시계토끼")</f>
        <v>시계토끼</v>
      </c>
      <c r="K3703" t="str">
        <f>T("삼켜지는 밤")</f>
        <v>삼켜지는 밤</v>
      </c>
      <c r="L3703">
        <v>0</v>
      </c>
      <c r="M3703">
        <v>0</v>
      </c>
      <c r="N3703">
        <v>0</v>
      </c>
      <c r="O3703">
        <v>1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0</v>
      </c>
      <c r="AH3703">
        <v>0</v>
      </c>
      <c r="AI3703">
        <v>0</v>
      </c>
      <c r="AJ3703">
        <v>1</v>
      </c>
      <c r="AK3703">
        <v>0</v>
      </c>
      <c r="AL3703">
        <v>0</v>
      </c>
      <c r="AM3703">
        <v>0</v>
      </c>
      <c r="AN3703">
        <v>0</v>
      </c>
      <c r="AO3703">
        <v>0</v>
      </c>
      <c r="AP3703">
        <v>0</v>
      </c>
      <c r="AQ3703">
        <v>0</v>
      </c>
      <c r="AS3703">
        <v>0</v>
      </c>
      <c r="AT3703">
        <v>0</v>
      </c>
      <c r="AV3703">
        <v>0</v>
      </c>
      <c r="AW3703">
        <v>0</v>
      </c>
      <c r="AY3703">
        <v>0</v>
      </c>
      <c r="AZ3703">
        <v>0</v>
      </c>
      <c r="BA3703">
        <v>0</v>
      </c>
      <c r="BE3703" t="str">
        <f>T("9791164099917")</f>
        <v>9791164099917</v>
      </c>
      <c r="BF3703" t="str">
        <f>T("k250519")</f>
        <v>k250519</v>
      </c>
      <c r="BG3703" t="str">
        <f>T("로판 웹소설 &gt; 서양풍 로판")</f>
        <v>로판 웹소설 &gt; 서양풍 로판</v>
      </c>
    </row>
    <row r="3704" spans="1:59">
      <c r="A3704" t="s">
        <v>60</v>
      </c>
      <c r="B3704" s="1">
        <v>46131</v>
      </c>
      <c r="C3704">
        <v>2378063433</v>
      </c>
      <c r="D3704">
        <v>2378063433</v>
      </c>
      <c r="E3704" t="str">
        <f>T("삼켜지는 밤 1화")</f>
        <v>삼켜지는 밤 1화</v>
      </c>
      <c r="F3704">
        <v>1</v>
      </c>
      <c r="G3704" t="str">
        <f>T("리휘안")</f>
        <v>리휘안</v>
      </c>
      <c r="J3704" t="str">
        <f>T("시계토끼")</f>
        <v>시계토끼</v>
      </c>
      <c r="K3704" t="str">
        <f>T("삼켜지는 밤")</f>
        <v>삼켜지는 밤</v>
      </c>
      <c r="L3704">
        <v>0</v>
      </c>
      <c r="M3704">
        <v>0</v>
      </c>
      <c r="N3704">
        <v>0</v>
      </c>
      <c r="O3704">
        <v>1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1</v>
      </c>
      <c r="AK3704">
        <v>0</v>
      </c>
      <c r="AL3704">
        <v>0</v>
      </c>
      <c r="AM3704">
        <v>0</v>
      </c>
      <c r="AN3704">
        <v>0</v>
      </c>
      <c r="AO3704">
        <v>0</v>
      </c>
      <c r="AP3704">
        <v>0</v>
      </c>
      <c r="AQ3704">
        <v>0</v>
      </c>
      <c r="AS3704">
        <v>0</v>
      </c>
      <c r="AT3704">
        <v>0</v>
      </c>
      <c r="AV3704">
        <v>0</v>
      </c>
      <c r="AW3704">
        <v>0</v>
      </c>
      <c r="AY3704">
        <v>0</v>
      </c>
      <c r="AZ3704">
        <v>0</v>
      </c>
      <c r="BA3704">
        <v>0</v>
      </c>
      <c r="BE3704" t="str">
        <f>T("9791164099917")</f>
        <v>9791164099917</v>
      </c>
      <c r="BF3704" t="str">
        <f>T("k250519")</f>
        <v>k250519</v>
      </c>
      <c r="BG3704" t="str">
        <f>T("로판 웹소설 &gt; 서양풍 로판")</f>
        <v>로판 웹소설 &gt; 서양풍 로판</v>
      </c>
    </row>
    <row r="3705" spans="1:59">
      <c r="A3705" t="s">
        <v>60</v>
      </c>
      <c r="B3705" s="1">
        <v>46131</v>
      </c>
      <c r="C3705">
        <v>2378063433</v>
      </c>
      <c r="D3705">
        <v>2378063434</v>
      </c>
      <c r="E3705" t="str">
        <f>T("삼켜지는 밤 2화")</f>
        <v>삼켜지는 밤 2화</v>
      </c>
      <c r="F3705">
        <v>2</v>
      </c>
      <c r="G3705" t="str">
        <f>T("리휘안")</f>
        <v>리휘안</v>
      </c>
      <c r="J3705" t="str">
        <f>T("시계토끼")</f>
        <v>시계토끼</v>
      </c>
      <c r="K3705" t="str">
        <f>T("삼켜지는 밤")</f>
        <v>삼켜지는 밤</v>
      </c>
      <c r="L3705">
        <v>0</v>
      </c>
      <c r="M3705">
        <v>0</v>
      </c>
      <c r="N3705">
        <v>0</v>
      </c>
      <c r="O3705">
        <v>1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0</v>
      </c>
      <c r="AH3705">
        <v>0</v>
      </c>
      <c r="AI3705">
        <v>0</v>
      </c>
      <c r="AJ3705">
        <v>1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0</v>
      </c>
      <c r="AQ3705">
        <v>0</v>
      </c>
      <c r="AS3705">
        <v>0</v>
      </c>
      <c r="AT3705">
        <v>0</v>
      </c>
      <c r="AV3705">
        <v>0</v>
      </c>
      <c r="AW3705">
        <v>0</v>
      </c>
      <c r="AY3705">
        <v>0</v>
      </c>
      <c r="AZ3705">
        <v>0</v>
      </c>
      <c r="BA3705">
        <v>0</v>
      </c>
      <c r="BE3705" t="str">
        <f>T("9791164099917")</f>
        <v>9791164099917</v>
      </c>
      <c r="BF3705" t="str">
        <f>T("k250520")</f>
        <v>k250520</v>
      </c>
      <c r="BG3705" t="str">
        <f>T("로판 웹소설 &gt; 서양풍 로판")</f>
        <v>로판 웹소설 &gt; 서양풍 로판</v>
      </c>
    </row>
    <row r="3706" spans="1:59">
      <c r="A3706" t="s">
        <v>60</v>
      </c>
      <c r="B3706" s="1">
        <v>46131</v>
      </c>
      <c r="C3706">
        <v>2378063433</v>
      </c>
      <c r="D3706">
        <v>2378063435</v>
      </c>
      <c r="E3706" t="str">
        <f>T("삼켜지는 밤 3화")</f>
        <v>삼켜지는 밤 3화</v>
      </c>
      <c r="F3706">
        <v>3</v>
      </c>
      <c r="G3706" t="str">
        <f>T("리휘안")</f>
        <v>리휘안</v>
      </c>
      <c r="J3706" t="str">
        <f>T("시계토끼")</f>
        <v>시계토끼</v>
      </c>
      <c r="K3706" t="str">
        <f>T("삼켜지는 밤")</f>
        <v>삼켜지는 밤</v>
      </c>
      <c r="L3706">
        <v>0</v>
      </c>
      <c r="M3706">
        <v>0</v>
      </c>
      <c r="N3706">
        <v>0</v>
      </c>
      <c r="O3706">
        <v>1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0</v>
      </c>
      <c r="AH3706">
        <v>0</v>
      </c>
      <c r="AI3706">
        <v>0</v>
      </c>
      <c r="AJ3706">
        <v>1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0</v>
      </c>
      <c r="AQ3706">
        <v>0</v>
      </c>
      <c r="AS3706">
        <v>0</v>
      </c>
      <c r="AT3706">
        <v>0</v>
      </c>
      <c r="AV3706">
        <v>0</v>
      </c>
      <c r="AW3706">
        <v>0</v>
      </c>
      <c r="AY3706">
        <v>0</v>
      </c>
      <c r="AZ3706">
        <v>0</v>
      </c>
      <c r="BA3706">
        <v>0</v>
      </c>
      <c r="BE3706" t="str">
        <f>T("9791164099917")</f>
        <v>9791164099917</v>
      </c>
      <c r="BF3706" t="str">
        <f>T("k250521")</f>
        <v>k250521</v>
      </c>
      <c r="BG3706" t="str">
        <f>T("로판 웹소설 &gt; 서양풍 로판")</f>
        <v>로판 웹소설 &gt; 서양풍 로판</v>
      </c>
    </row>
    <row r="3707" spans="1:59">
      <c r="A3707" t="s">
        <v>60</v>
      </c>
      <c r="B3707" s="1">
        <v>46131</v>
      </c>
      <c r="C3707">
        <v>2378063433</v>
      </c>
      <c r="D3707">
        <v>2378063436</v>
      </c>
      <c r="E3707" t="str">
        <f>T("삼켜지는 밤 4화")</f>
        <v>삼켜지는 밤 4화</v>
      </c>
      <c r="F3707">
        <v>4</v>
      </c>
      <c r="G3707" t="str">
        <f>T("리휘안")</f>
        <v>리휘안</v>
      </c>
      <c r="J3707" t="str">
        <f>T("시계토끼")</f>
        <v>시계토끼</v>
      </c>
      <c r="K3707" t="str">
        <f>T("삼켜지는 밤")</f>
        <v>삼켜지는 밤</v>
      </c>
      <c r="L3707">
        <v>0</v>
      </c>
      <c r="M3707">
        <v>0</v>
      </c>
      <c r="N3707">
        <v>0</v>
      </c>
      <c r="O3707">
        <v>1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0</v>
      </c>
      <c r="AH3707">
        <v>0</v>
      </c>
      <c r="AI3707">
        <v>0</v>
      </c>
      <c r="AJ3707">
        <v>1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0</v>
      </c>
      <c r="AQ3707">
        <v>0</v>
      </c>
      <c r="AS3707">
        <v>0</v>
      </c>
      <c r="AT3707">
        <v>0</v>
      </c>
      <c r="AV3707">
        <v>0</v>
      </c>
      <c r="AW3707">
        <v>0</v>
      </c>
      <c r="AY3707">
        <v>0</v>
      </c>
      <c r="AZ3707">
        <v>0</v>
      </c>
      <c r="BA3707">
        <v>0</v>
      </c>
      <c r="BE3707" t="str">
        <f>T("9791164099917")</f>
        <v>9791164099917</v>
      </c>
      <c r="BF3707" t="str">
        <f>T("k250522")</f>
        <v>k250522</v>
      </c>
      <c r="BG3707" t="str">
        <f>T("로판 웹소설 &gt; 서양풍 로판")</f>
        <v>로판 웹소설 &gt; 서양풍 로판</v>
      </c>
    </row>
    <row r="3708" spans="1:59">
      <c r="A3708" t="s">
        <v>60</v>
      </c>
      <c r="B3708" s="1">
        <v>46131</v>
      </c>
      <c r="C3708">
        <v>2378063433</v>
      </c>
      <c r="D3708">
        <v>2378063437</v>
      </c>
      <c r="E3708" t="str">
        <f>T("삼켜지는 밤 5화")</f>
        <v>삼켜지는 밤 5화</v>
      </c>
      <c r="F3708">
        <v>5</v>
      </c>
      <c r="G3708" t="str">
        <f>T("리휘안")</f>
        <v>리휘안</v>
      </c>
      <c r="J3708" t="str">
        <f>T("시계토끼")</f>
        <v>시계토끼</v>
      </c>
      <c r="K3708" t="str">
        <f>T("삼켜지는 밤")</f>
        <v>삼켜지는 밤</v>
      </c>
      <c r="L3708">
        <v>0</v>
      </c>
      <c r="M3708">
        <v>0</v>
      </c>
      <c r="N3708">
        <v>0</v>
      </c>
      <c r="O3708">
        <v>1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0</v>
      </c>
      <c r="AH3708">
        <v>0</v>
      </c>
      <c r="AI3708">
        <v>0</v>
      </c>
      <c r="AJ3708">
        <v>1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0</v>
      </c>
      <c r="AQ3708">
        <v>0</v>
      </c>
      <c r="AS3708">
        <v>0</v>
      </c>
      <c r="AT3708">
        <v>0</v>
      </c>
      <c r="AV3708">
        <v>0</v>
      </c>
      <c r="AW3708">
        <v>0</v>
      </c>
      <c r="AY3708">
        <v>0</v>
      </c>
      <c r="AZ3708">
        <v>0</v>
      </c>
      <c r="BA3708">
        <v>0</v>
      </c>
      <c r="BE3708" t="str">
        <f>T("9791164099917")</f>
        <v>9791164099917</v>
      </c>
      <c r="BF3708" t="str">
        <f>T("k250523")</f>
        <v>k250523</v>
      </c>
      <c r="BG3708" t="str">
        <f>T("로판 웹소설 &gt; 서양풍 로판")</f>
        <v>로판 웹소설 &gt; 서양풍 로판</v>
      </c>
    </row>
    <row r="3709" spans="1:59">
      <c r="A3709" t="s">
        <v>60</v>
      </c>
      <c r="B3709" s="1">
        <v>46131</v>
      </c>
      <c r="C3709">
        <v>2378063493</v>
      </c>
      <c r="D3709">
        <v>2378063493</v>
      </c>
      <c r="E3709" t="str">
        <f>T("삼켜지는 밤 (15세 개정판) 1화")</f>
        <v>삼켜지는 밤 (15세 개정판) 1화</v>
      </c>
      <c r="F3709">
        <v>1</v>
      </c>
      <c r="G3709" t="str">
        <f>T("리휘안")</f>
        <v>리휘안</v>
      </c>
      <c r="J3709" t="str">
        <f>T("시계토끼")</f>
        <v>시계토끼</v>
      </c>
      <c r="K3709" t="str">
        <f>T("삼켜지는 밤 (15세 개정판)")</f>
        <v>삼켜지는 밤 (15세 개정판)</v>
      </c>
      <c r="L3709">
        <v>0</v>
      </c>
      <c r="M3709">
        <v>0</v>
      </c>
      <c r="N3709">
        <v>0</v>
      </c>
      <c r="O3709">
        <v>1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0</v>
      </c>
      <c r="AE3709">
        <v>0</v>
      </c>
      <c r="AF3709">
        <v>0</v>
      </c>
      <c r="AG3709">
        <v>0</v>
      </c>
      <c r="AH3709">
        <v>0</v>
      </c>
      <c r="AI3709">
        <v>0</v>
      </c>
      <c r="AJ3709">
        <v>1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S3709">
        <v>0</v>
      </c>
      <c r="AT3709">
        <v>0</v>
      </c>
      <c r="AV3709">
        <v>0</v>
      </c>
      <c r="AW3709">
        <v>0</v>
      </c>
      <c r="AY3709">
        <v>0</v>
      </c>
      <c r="AZ3709">
        <v>0</v>
      </c>
      <c r="BA3709">
        <v>0</v>
      </c>
      <c r="BE3709" t="str">
        <f>T("9791164099924")</f>
        <v>9791164099924</v>
      </c>
      <c r="BF3709" t="str">
        <f>T("k250596")</f>
        <v>k250596</v>
      </c>
      <c r="BG3709" t="str">
        <f>T("로판 웹소설 &gt; 서양풍 로판")</f>
        <v>로판 웹소설 &gt; 서양풍 로판</v>
      </c>
    </row>
    <row r="3710" spans="1:59">
      <c r="A3710" t="s">
        <v>60</v>
      </c>
      <c r="B3710" s="1">
        <v>46130</v>
      </c>
      <c r="C3710">
        <v>2378016776</v>
      </c>
      <c r="D3710">
        <v>2378016776</v>
      </c>
      <c r="E3710" t="str">
        <f>T("생계형 아이돌의 세계정복 - 프롤로그")</f>
        <v>생계형 아이돌의 세계정복 - 프롤로그</v>
      </c>
      <c r="F3710">
        <v>1</v>
      </c>
      <c r="G3710" t="str">
        <f>T("아사다온")</f>
        <v>아사다온</v>
      </c>
      <c r="J3710" t="str">
        <f>T("매드햇")</f>
        <v>매드햇</v>
      </c>
      <c r="K3710" t="str">
        <f>T("생계형 아이돌의 세계정복")</f>
        <v>생계형 아이돌의 세계정복</v>
      </c>
      <c r="L3710">
        <v>0</v>
      </c>
      <c r="M3710">
        <v>0</v>
      </c>
      <c r="N3710">
        <v>0</v>
      </c>
      <c r="O3710">
        <v>1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0</v>
      </c>
      <c r="AE3710">
        <v>0</v>
      </c>
      <c r="AF3710">
        <v>0</v>
      </c>
      <c r="AG3710">
        <v>0</v>
      </c>
      <c r="AH3710">
        <v>0</v>
      </c>
      <c r="AI3710">
        <v>0</v>
      </c>
      <c r="AJ3710">
        <v>1</v>
      </c>
      <c r="AK3710">
        <v>0</v>
      </c>
      <c r="AL3710">
        <v>0</v>
      </c>
      <c r="AM3710">
        <v>0</v>
      </c>
      <c r="AN3710">
        <v>0</v>
      </c>
      <c r="AO3710">
        <v>0</v>
      </c>
      <c r="AP3710">
        <v>0</v>
      </c>
      <c r="AQ3710">
        <v>0</v>
      </c>
      <c r="AS3710">
        <v>0</v>
      </c>
      <c r="AT3710">
        <v>0</v>
      </c>
      <c r="AV3710">
        <v>0</v>
      </c>
      <c r="AW3710">
        <v>0</v>
      </c>
      <c r="AY3710">
        <v>0</v>
      </c>
      <c r="AZ3710">
        <v>0</v>
      </c>
      <c r="BA3710">
        <v>0</v>
      </c>
      <c r="BE3710" t="str">
        <f>T("9791137000605")</f>
        <v>9791137000605</v>
      </c>
      <c r="BF3710" t="str">
        <f>T("E632978")</f>
        <v>E632978</v>
      </c>
      <c r="BG3710" t="str">
        <f>T("판타지 웹소설 &gt; 현대 판타지")</f>
        <v>판타지 웹소설 &gt; 현대 판타지</v>
      </c>
    </row>
    <row r="3711" spans="1:59">
      <c r="A3711" t="s">
        <v>60</v>
      </c>
      <c r="B3711" s="1">
        <v>46130</v>
      </c>
      <c r="C3711">
        <v>2378016776</v>
      </c>
      <c r="D3711">
        <v>2378016777</v>
      </c>
      <c r="E3711" t="str">
        <f>T("생계형 아이돌의 세계정복 1화")</f>
        <v>생계형 아이돌의 세계정복 1화</v>
      </c>
      <c r="F3711">
        <v>2</v>
      </c>
      <c r="G3711" t="str">
        <f>T("아사다온")</f>
        <v>아사다온</v>
      </c>
      <c r="J3711" t="str">
        <f>T("매드햇")</f>
        <v>매드햇</v>
      </c>
      <c r="K3711" t="str">
        <f>T("생계형 아이돌의 세계정복")</f>
        <v>생계형 아이돌의 세계정복</v>
      </c>
      <c r="L3711">
        <v>0</v>
      </c>
      <c r="M3711">
        <v>0</v>
      </c>
      <c r="N3711">
        <v>0</v>
      </c>
      <c r="O3711">
        <v>1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0</v>
      </c>
      <c r="AE3711">
        <v>0</v>
      </c>
      <c r="AF3711">
        <v>0</v>
      </c>
      <c r="AG3711">
        <v>0</v>
      </c>
      <c r="AH3711">
        <v>0</v>
      </c>
      <c r="AI3711">
        <v>0</v>
      </c>
      <c r="AJ3711">
        <v>1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0</v>
      </c>
      <c r="AS3711">
        <v>0</v>
      </c>
      <c r="AT3711">
        <v>0</v>
      </c>
      <c r="AV3711">
        <v>0</v>
      </c>
      <c r="AW3711">
        <v>0</v>
      </c>
      <c r="AY3711">
        <v>0</v>
      </c>
      <c r="AZ3711">
        <v>0</v>
      </c>
      <c r="BA3711">
        <v>0</v>
      </c>
      <c r="BE3711" t="str">
        <f>T("9791137000605")</f>
        <v>9791137000605</v>
      </c>
      <c r="BF3711" t="str">
        <f>T("E632979")</f>
        <v>E632979</v>
      </c>
      <c r="BG3711" t="str">
        <f>T("판타지 웹소설 &gt; 현대 판타지")</f>
        <v>판타지 웹소설 &gt; 현대 판타지</v>
      </c>
    </row>
    <row r="3712" spans="1:59">
      <c r="A3712" t="s">
        <v>60</v>
      </c>
      <c r="B3712" s="1">
        <v>46130</v>
      </c>
      <c r="C3712">
        <v>2378016776</v>
      </c>
      <c r="D3712">
        <v>2378016778</v>
      </c>
      <c r="E3712" t="str">
        <f>T("생계형 아이돌의 세계정복 2화")</f>
        <v>생계형 아이돌의 세계정복 2화</v>
      </c>
      <c r="F3712">
        <v>3</v>
      </c>
      <c r="G3712" t="str">
        <f>T("아사다온")</f>
        <v>아사다온</v>
      </c>
      <c r="J3712" t="str">
        <f>T("매드햇")</f>
        <v>매드햇</v>
      </c>
      <c r="K3712" t="str">
        <f>T("생계형 아이돌의 세계정복")</f>
        <v>생계형 아이돌의 세계정복</v>
      </c>
      <c r="L3712">
        <v>0</v>
      </c>
      <c r="M3712">
        <v>0</v>
      </c>
      <c r="N3712">
        <v>0</v>
      </c>
      <c r="O3712">
        <v>1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0</v>
      </c>
      <c r="AE3712">
        <v>0</v>
      </c>
      <c r="AF3712">
        <v>0</v>
      </c>
      <c r="AG3712">
        <v>0</v>
      </c>
      <c r="AH3712">
        <v>0</v>
      </c>
      <c r="AI3712">
        <v>0</v>
      </c>
      <c r="AJ3712">
        <v>1</v>
      </c>
      <c r="AK3712">
        <v>0</v>
      </c>
      <c r="AL3712">
        <v>0</v>
      </c>
      <c r="AM3712">
        <v>0</v>
      </c>
      <c r="AN3712">
        <v>0</v>
      </c>
      <c r="AO3712">
        <v>0</v>
      </c>
      <c r="AP3712">
        <v>0</v>
      </c>
      <c r="AQ3712">
        <v>0</v>
      </c>
      <c r="AS3712">
        <v>0</v>
      </c>
      <c r="AT3712">
        <v>0</v>
      </c>
      <c r="AV3712">
        <v>0</v>
      </c>
      <c r="AW3712">
        <v>0</v>
      </c>
      <c r="AY3712">
        <v>0</v>
      </c>
      <c r="AZ3712">
        <v>0</v>
      </c>
      <c r="BA3712">
        <v>0</v>
      </c>
      <c r="BE3712" t="str">
        <f>T("9791137000605")</f>
        <v>9791137000605</v>
      </c>
      <c r="BF3712" t="str">
        <f>T("E632980")</f>
        <v>E632980</v>
      </c>
      <c r="BG3712" t="str">
        <f>T("판타지 웹소설 &gt; 현대 판타지")</f>
        <v>판타지 웹소설 &gt; 현대 판타지</v>
      </c>
    </row>
    <row r="3713" spans="1:59">
      <c r="A3713" t="s">
        <v>60</v>
      </c>
      <c r="B3713" s="1">
        <v>46130</v>
      </c>
      <c r="C3713">
        <v>2378065123</v>
      </c>
      <c r="D3713">
        <v>2378065123</v>
      </c>
      <c r="E3713" t="str">
        <f>T("석기시대부터 시작하는 판타지 1화")</f>
        <v>석기시대부터 시작하는 판타지 1화</v>
      </c>
      <c r="F3713">
        <v>1</v>
      </c>
      <c r="G3713" t="str">
        <f>T("뚜근남")</f>
        <v>뚜근남</v>
      </c>
      <c r="J3713" t="str">
        <f>T("매드햇")</f>
        <v>매드햇</v>
      </c>
      <c r="K3713" t="str">
        <f>T("석기시대부터 시작하는 판타지")</f>
        <v>석기시대부터 시작하는 판타지</v>
      </c>
      <c r="L3713">
        <v>0</v>
      </c>
      <c r="M3713">
        <v>0</v>
      </c>
      <c r="N3713">
        <v>0</v>
      </c>
      <c r="O3713">
        <v>1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0</v>
      </c>
      <c r="AE3713">
        <v>0</v>
      </c>
      <c r="AF3713">
        <v>0</v>
      </c>
      <c r="AG3713">
        <v>0</v>
      </c>
      <c r="AH3713">
        <v>0</v>
      </c>
      <c r="AI3713">
        <v>0</v>
      </c>
      <c r="AJ3713">
        <v>1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0</v>
      </c>
      <c r="AS3713">
        <v>0</v>
      </c>
      <c r="AT3713">
        <v>0</v>
      </c>
      <c r="AV3713">
        <v>0</v>
      </c>
      <c r="AW3713">
        <v>0</v>
      </c>
      <c r="AY3713">
        <v>0</v>
      </c>
      <c r="AZ3713">
        <v>0</v>
      </c>
      <c r="BA3713">
        <v>0</v>
      </c>
      <c r="BE3713" t="str">
        <f>T("9791137018570")</f>
        <v>9791137018570</v>
      </c>
      <c r="BF3713" t="str">
        <f>T("k252193")</f>
        <v>k252193</v>
      </c>
      <c r="BG3713" t="str">
        <f>T("판타지 웹소설 &gt; 퓨전 판타지")</f>
        <v>판타지 웹소설 &gt; 퓨전 판타지</v>
      </c>
    </row>
    <row r="3714" spans="1:59">
      <c r="A3714" t="s">
        <v>60</v>
      </c>
      <c r="B3714" s="1">
        <v>46131</v>
      </c>
      <c r="C3714">
        <v>2378000160</v>
      </c>
      <c r="D3714">
        <v>2378000160</v>
      </c>
      <c r="E3714" t="str">
        <f>T("셜록홈즈 1권")</f>
        <v>셜록홈즈 1권</v>
      </c>
      <c r="F3714">
        <v>1</v>
      </c>
      <c r="G3714" t="str">
        <f>T("아서 코난 도일")</f>
        <v>아서 코난 도일</v>
      </c>
      <c r="H3714" t="str">
        <f>T("안재홍")</f>
        <v>안재홍</v>
      </c>
      <c r="J3714" t="str">
        <f>T("스토린랩")</f>
        <v>스토린랩</v>
      </c>
      <c r="K3714" t="str">
        <f>T("셜록홈즈")</f>
        <v>셜록홈즈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1</v>
      </c>
      <c r="S3714">
        <v>0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0</v>
      </c>
      <c r="AE3714">
        <v>0</v>
      </c>
      <c r="AF3714">
        <v>0</v>
      </c>
      <c r="AG3714">
        <v>0</v>
      </c>
      <c r="AH3714">
        <v>0</v>
      </c>
      <c r="AI3714">
        <v>0</v>
      </c>
      <c r="AJ3714">
        <v>1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0</v>
      </c>
      <c r="AS3714">
        <v>0</v>
      </c>
      <c r="AT3714">
        <v>0</v>
      </c>
      <c r="AV3714">
        <v>0</v>
      </c>
      <c r="AW3714">
        <v>0</v>
      </c>
      <c r="AY3714">
        <v>0</v>
      </c>
      <c r="AZ3714">
        <v>0</v>
      </c>
      <c r="BA3714">
        <v>0</v>
      </c>
      <c r="BE3714" t="str">
        <f>T("9791195863112")</f>
        <v>9791195863112</v>
      </c>
      <c r="BF3714" t="str">
        <f>T("E206359")</f>
        <v>E206359</v>
      </c>
      <c r="BG3714" t="str">
        <f>T("소설 &gt; 추리/미스터리/스릴러")</f>
        <v>소설 &gt; 추리/미스터리/스릴러</v>
      </c>
    </row>
    <row r="3715" spans="1:59">
      <c r="A3715" t="s">
        <v>60</v>
      </c>
      <c r="B3715" s="1">
        <v>46131</v>
      </c>
      <c r="C3715">
        <v>2378000160</v>
      </c>
      <c r="D3715">
        <v>2378000162</v>
      </c>
      <c r="E3715" t="str">
        <f>T("셜록홈즈 3권")</f>
        <v>셜록홈즈 3권</v>
      </c>
      <c r="F3715">
        <v>3</v>
      </c>
      <c r="G3715" t="str">
        <f>T("아서 코난 도일")</f>
        <v>아서 코난 도일</v>
      </c>
      <c r="H3715" t="str">
        <f>T("안재홍")</f>
        <v>안재홍</v>
      </c>
      <c r="J3715" t="str">
        <f>T("스토린랩")</f>
        <v>스토린랩</v>
      </c>
      <c r="K3715" t="str">
        <f>T("셜록홈즈")</f>
        <v>셜록홈즈</v>
      </c>
      <c r="L3715">
        <v>3000</v>
      </c>
      <c r="M3715">
        <v>2700</v>
      </c>
      <c r="N3715">
        <v>1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0</v>
      </c>
      <c r="AH3715">
        <v>0</v>
      </c>
      <c r="AI3715">
        <v>2700</v>
      </c>
      <c r="AJ3715">
        <v>1</v>
      </c>
      <c r="AK3715">
        <v>0</v>
      </c>
      <c r="AL3715">
        <v>0</v>
      </c>
      <c r="AM3715">
        <v>0</v>
      </c>
      <c r="AN3715">
        <v>0</v>
      </c>
      <c r="AO3715">
        <v>3240</v>
      </c>
      <c r="AP3715">
        <v>-324</v>
      </c>
      <c r="AQ3715">
        <v>0</v>
      </c>
      <c r="AS3715">
        <v>0</v>
      </c>
      <c r="AT3715">
        <v>0</v>
      </c>
      <c r="AU3715">
        <v>3240</v>
      </c>
      <c r="AV3715">
        <v>-324</v>
      </c>
      <c r="AW3715">
        <v>0</v>
      </c>
      <c r="AY3715">
        <v>0</v>
      </c>
      <c r="AZ3715">
        <v>0</v>
      </c>
      <c r="BA3715">
        <v>2041.2</v>
      </c>
      <c r="BE3715" t="str">
        <f>T("9791195863136")</f>
        <v>9791195863136</v>
      </c>
      <c r="BF3715" t="str">
        <f>T("E206361")</f>
        <v>E206361</v>
      </c>
      <c r="BG3715" t="str">
        <f>T("소설 &gt; 추리/미스터리/스릴러")</f>
        <v>소설 &gt; 추리/미스터리/스릴러</v>
      </c>
    </row>
    <row r="3716" spans="1:59">
      <c r="A3716" t="s">
        <v>60</v>
      </c>
      <c r="B3716" s="1">
        <v>46130</v>
      </c>
      <c r="C3716">
        <v>2378062427</v>
      </c>
      <c r="D3716">
        <v>2378062427</v>
      </c>
      <c r="E3716" t="str">
        <f>T("소비에트 연방이 망하지 않음 1화")</f>
        <v>소비에트 연방이 망하지 않음 1화</v>
      </c>
      <c r="F3716">
        <v>1</v>
      </c>
      <c r="G3716" t="str">
        <f>T("초코맛민트")</f>
        <v>초코맛민트</v>
      </c>
      <c r="J3716" t="str">
        <f>T("사이렌")</f>
        <v>사이렌</v>
      </c>
      <c r="K3716" t="str">
        <f>T("소비에트 연방이 망하지 않음")</f>
        <v>소비에트 연방이 망하지 않음</v>
      </c>
      <c r="L3716">
        <v>0</v>
      </c>
      <c r="M3716">
        <v>0</v>
      </c>
      <c r="N3716">
        <v>0</v>
      </c>
      <c r="O3716">
        <v>1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0</v>
      </c>
      <c r="AH3716">
        <v>0</v>
      </c>
      <c r="AI3716">
        <v>0</v>
      </c>
      <c r="AJ3716">
        <v>1</v>
      </c>
      <c r="AK3716">
        <v>0</v>
      </c>
      <c r="AL3716">
        <v>0</v>
      </c>
      <c r="AM3716">
        <v>0</v>
      </c>
      <c r="AN3716">
        <v>0</v>
      </c>
      <c r="AO3716">
        <v>0</v>
      </c>
      <c r="AP3716">
        <v>0</v>
      </c>
      <c r="AQ3716">
        <v>0</v>
      </c>
      <c r="AS3716">
        <v>0</v>
      </c>
      <c r="AT3716">
        <v>0</v>
      </c>
      <c r="AV3716">
        <v>0</v>
      </c>
      <c r="AW3716">
        <v>0</v>
      </c>
      <c r="AY3716">
        <v>0</v>
      </c>
      <c r="AZ3716">
        <v>0</v>
      </c>
      <c r="BA3716">
        <v>0</v>
      </c>
      <c r="BE3716" t="str">
        <f>T("9791198520012")</f>
        <v>9791198520012</v>
      </c>
      <c r="BF3716" t="str">
        <f>T("k211721")</f>
        <v>k211721</v>
      </c>
      <c r="BG3716" t="str">
        <f>T("판타지 웹소설 &gt; 퓨전 판타지")</f>
        <v>판타지 웹소설 &gt; 퓨전 판타지</v>
      </c>
    </row>
    <row r="3717" spans="1:59">
      <c r="A3717" t="s">
        <v>60</v>
      </c>
      <c r="B3717" s="1">
        <v>46130</v>
      </c>
      <c r="C3717">
        <v>2378062427</v>
      </c>
      <c r="D3717">
        <v>2378062428</v>
      </c>
      <c r="E3717" t="str">
        <f>T("소비에트 연방이 망하지 않음 2화")</f>
        <v>소비에트 연방이 망하지 않음 2화</v>
      </c>
      <c r="F3717">
        <v>2</v>
      </c>
      <c r="G3717" t="str">
        <f>T("초코맛민트")</f>
        <v>초코맛민트</v>
      </c>
      <c r="J3717" t="str">
        <f>T("사이렌")</f>
        <v>사이렌</v>
      </c>
      <c r="K3717" t="str">
        <f>T("소비에트 연방이 망하지 않음")</f>
        <v>소비에트 연방이 망하지 않음</v>
      </c>
      <c r="L3717">
        <v>0</v>
      </c>
      <c r="M3717">
        <v>0</v>
      </c>
      <c r="N3717">
        <v>0</v>
      </c>
      <c r="O3717">
        <v>1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0</v>
      </c>
      <c r="AH3717">
        <v>0</v>
      </c>
      <c r="AI3717">
        <v>0</v>
      </c>
      <c r="AJ3717">
        <v>1</v>
      </c>
      <c r="AK3717">
        <v>0</v>
      </c>
      <c r="AL3717">
        <v>0</v>
      </c>
      <c r="AM3717">
        <v>0</v>
      </c>
      <c r="AN3717">
        <v>0</v>
      </c>
      <c r="AO3717">
        <v>0</v>
      </c>
      <c r="AP3717">
        <v>0</v>
      </c>
      <c r="AQ3717">
        <v>0</v>
      </c>
      <c r="AS3717">
        <v>0</v>
      </c>
      <c r="AT3717">
        <v>0</v>
      </c>
      <c r="AV3717">
        <v>0</v>
      </c>
      <c r="AW3717">
        <v>0</v>
      </c>
      <c r="AY3717">
        <v>0</v>
      </c>
      <c r="AZ3717">
        <v>0</v>
      </c>
      <c r="BA3717">
        <v>0</v>
      </c>
      <c r="BE3717" t="str">
        <f>T("9791198520012")</f>
        <v>9791198520012</v>
      </c>
      <c r="BF3717" t="str">
        <f>T("k211722")</f>
        <v>k211722</v>
      </c>
      <c r="BG3717" t="str">
        <f>T("판타지 웹소설 &gt; 퓨전 판타지")</f>
        <v>판타지 웹소설 &gt; 퓨전 판타지</v>
      </c>
    </row>
    <row r="3718" spans="1:59">
      <c r="A3718" t="s">
        <v>60</v>
      </c>
      <c r="B3718" s="1">
        <v>46130</v>
      </c>
      <c r="C3718">
        <v>2378062427</v>
      </c>
      <c r="D3718">
        <v>2378062429</v>
      </c>
      <c r="E3718" t="str">
        <f>T("소비에트 연방이 망하지 않음 3화")</f>
        <v>소비에트 연방이 망하지 않음 3화</v>
      </c>
      <c r="F3718">
        <v>3</v>
      </c>
      <c r="G3718" t="str">
        <f>T("초코맛민트")</f>
        <v>초코맛민트</v>
      </c>
      <c r="J3718" t="str">
        <f>T("사이렌")</f>
        <v>사이렌</v>
      </c>
      <c r="K3718" t="str">
        <f>T("소비에트 연방이 망하지 않음")</f>
        <v>소비에트 연방이 망하지 않음</v>
      </c>
      <c r="L3718">
        <v>0</v>
      </c>
      <c r="M3718">
        <v>0</v>
      </c>
      <c r="N3718">
        <v>0</v>
      </c>
      <c r="O3718">
        <v>1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0</v>
      </c>
      <c r="AH3718">
        <v>0</v>
      </c>
      <c r="AI3718">
        <v>0</v>
      </c>
      <c r="AJ3718">
        <v>1</v>
      </c>
      <c r="AK3718">
        <v>0</v>
      </c>
      <c r="AL3718">
        <v>0</v>
      </c>
      <c r="AM3718">
        <v>0</v>
      </c>
      <c r="AN3718">
        <v>0</v>
      </c>
      <c r="AO3718">
        <v>0</v>
      </c>
      <c r="AP3718">
        <v>0</v>
      </c>
      <c r="AQ3718">
        <v>0</v>
      </c>
      <c r="AS3718">
        <v>0</v>
      </c>
      <c r="AT3718">
        <v>0</v>
      </c>
      <c r="AV3718">
        <v>0</v>
      </c>
      <c r="AW3718">
        <v>0</v>
      </c>
      <c r="AY3718">
        <v>0</v>
      </c>
      <c r="AZ3718">
        <v>0</v>
      </c>
      <c r="BA3718">
        <v>0</v>
      </c>
      <c r="BE3718" t="str">
        <f>T("9791198520012")</f>
        <v>9791198520012</v>
      </c>
      <c r="BF3718" t="str">
        <f>T("k211723")</f>
        <v>k211723</v>
      </c>
      <c r="BG3718" t="str">
        <f>T("판타지 웹소설 &gt; 퓨전 판타지")</f>
        <v>판타지 웹소설 &gt; 퓨전 판타지</v>
      </c>
    </row>
    <row r="3719" spans="1:59">
      <c r="A3719" t="s">
        <v>60</v>
      </c>
      <c r="B3719" s="1">
        <v>46130</v>
      </c>
      <c r="C3719">
        <v>2378062427</v>
      </c>
      <c r="D3719">
        <v>2378062430</v>
      </c>
      <c r="E3719" t="str">
        <f>T("소비에트 연방이 망하지 않음 4화")</f>
        <v>소비에트 연방이 망하지 않음 4화</v>
      </c>
      <c r="F3719">
        <v>4</v>
      </c>
      <c r="G3719" t="str">
        <f>T("초코맛민트")</f>
        <v>초코맛민트</v>
      </c>
      <c r="J3719" t="str">
        <f>T("사이렌")</f>
        <v>사이렌</v>
      </c>
      <c r="K3719" t="str">
        <f>T("소비에트 연방이 망하지 않음")</f>
        <v>소비에트 연방이 망하지 않음</v>
      </c>
      <c r="L3719">
        <v>0</v>
      </c>
      <c r="M3719">
        <v>0</v>
      </c>
      <c r="N3719">
        <v>0</v>
      </c>
      <c r="O3719">
        <v>1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0</v>
      </c>
      <c r="AH3719">
        <v>0</v>
      </c>
      <c r="AI3719">
        <v>0</v>
      </c>
      <c r="AJ3719">
        <v>1</v>
      </c>
      <c r="AK3719">
        <v>0</v>
      </c>
      <c r="AL3719">
        <v>0</v>
      </c>
      <c r="AM3719">
        <v>0</v>
      </c>
      <c r="AN3719">
        <v>0</v>
      </c>
      <c r="AO3719">
        <v>0</v>
      </c>
      <c r="AP3719">
        <v>0</v>
      </c>
      <c r="AQ3719">
        <v>0</v>
      </c>
      <c r="AS3719">
        <v>0</v>
      </c>
      <c r="AT3719">
        <v>0</v>
      </c>
      <c r="AV3719">
        <v>0</v>
      </c>
      <c r="AW3719">
        <v>0</v>
      </c>
      <c r="AY3719">
        <v>0</v>
      </c>
      <c r="AZ3719">
        <v>0</v>
      </c>
      <c r="BA3719">
        <v>0</v>
      </c>
      <c r="BE3719" t="str">
        <f>T("9791198520012")</f>
        <v>9791198520012</v>
      </c>
      <c r="BF3719" t="str">
        <f>T("k211724")</f>
        <v>k211724</v>
      </c>
      <c r="BG3719" t="str">
        <f>T("판타지 웹소설 &gt; 퓨전 판타지")</f>
        <v>판타지 웹소설 &gt; 퓨전 판타지</v>
      </c>
    </row>
    <row r="3720" spans="1:59">
      <c r="A3720" t="s">
        <v>60</v>
      </c>
      <c r="B3720" s="1">
        <v>46130</v>
      </c>
      <c r="C3720">
        <v>2378062427</v>
      </c>
      <c r="D3720">
        <v>2378062431</v>
      </c>
      <c r="E3720" t="str">
        <f>T("소비에트 연방이 망하지 않음 5화")</f>
        <v>소비에트 연방이 망하지 않음 5화</v>
      </c>
      <c r="F3720">
        <v>5</v>
      </c>
      <c r="G3720" t="str">
        <f>T("초코맛민트")</f>
        <v>초코맛민트</v>
      </c>
      <c r="J3720" t="str">
        <f>T("사이렌")</f>
        <v>사이렌</v>
      </c>
      <c r="K3720" t="str">
        <f>T("소비에트 연방이 망하지 않음")</f>
        <v>소비에트 연방이 망하지 않음</v>
      </c>
      <c r="L3720">
        <v>0</v>
      </c>
      <c r="M3720">
        <v>0</v>
      </c>
      <c r="N3720">
        <v>0</v>
      </c>
      <c r="O3720">
        <v>1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0</v>
      </c>
      <c r="AH3720">
        <v>0</v>
      </c>
      <c r="AI3720">
        <v>0</v>
      </c>
      <c r="AJ3720">
        <v>1</v>
      </c>
      <c r="AK3720">
        <v>0</v>
      </c>
      <c r="AL3720">
        <v>0</v>
      </c>
      <c r="AM3720">
        <v>0</v>
      </c>
      <c r="AN3720">
        <v>0</v>
      </c>
      <c r="AO3720">
        <v>0</v>
      </c>
      <c r="AP3720">
        <v>0</v>
      </c>
      <c r="AQ3720">
        <v>0</v>
      </c>
      <c r="AS3720">
        <v>0</v>
      </c>
      <c r="AT3720">
        <v>0</v>
      </c>
      <c r="AV3720">
        <v>0</v>
      </c>
      <c r="AW3720">
        <v>0</v>
      </c>
      <c r="AY3720">
        <v>0</v>
      </c>
      <c r="AZ3720">
        <v>0</v>
      </c>
      <c r="BA3720">
        <v>0</v>
      </c>
      <c r="BE3720" t="str">
        <f>T("9791198520012")</f>
        <v>9791198520012</v>
      </c>
      <c r="BF3720" t="str">
        <f>T("k211725")</f>
        <v>k211725</v>
      </c>
      <c r="BG3720" t="str">
        <f>T("판타지 웹소설 &gt; 퓨전 판타지")</f>
        <v>판타지 웹소설 &gt; 퓨전 판타지</v>
      </c>
    </row>
    <row r="3721" spans="1:59">
      <c r="A3721" t="s">
        <v>60</v>
      </c>
      <c r="B3721" s="1">
        <v>46130</v>
      </c>
      <c r="C3721">
        <v>2378062427</v>
      </c>
      <c r="D3721">
        <v>2378062432</v>
      </c>
      <c r="E3721" t="str">
        <f>T("소비에트 연방이 망하지 않음 6화")</f>
        <v>소비에트 연방이 망하지 않음 6화</v>
      </c>
      <c r="F3721">
        <v>6</v>
      </c>
      <c r="G3721" t="str">
        <f>T("초코맛민트")</f>
        <v>초코맛민트</v>
      </c>
      <c r="J3721" t="str">
        <f>T("사이렌")</f>
        <v>사이렌</v>
      </c>
      <c r="K3721" t="str">
        <f>T("소비에트 연방이 망하지 않음")</f>
        <v>소비에트 연방이 망하지 않음</v>
      </c>
      <c r="L3721">
        <v>0</v>
      </c>
      <c r="M3721">
        <v>0</v>
      </c>
      <c r="N3721">
        <v>0</v>
      </c>
      <c r="O3721">
        <v>1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0</v>
      </c>
      <c r="AH3721">
        <v>0</v>
      </c>
      <c r="AI3721">
        <v>0</v>
      </c>
      <c r="AJ3721">
        <v>1</v>
      </c>
      <c r="AK3721">
        <v>0</v>
      </c>
      <c r="AL3721">
        <v>0</v>
      </c>
      <c r="AM3721">
        <v>0</v>
      </c>
      <c r="AN3721">
        <v>0</v>
      </c>
      <c r="AO3721">
        <v>0</v>
      </c>
      <c r="AP3721">
        <v>0</v>
      </c>
      <c r="AQ3721">
        <v>0</v>
      </c>
      <c r="AS3721">
        <v>0</v>
      </c>
      <c r="AT3721">
        <v>0</v>
      </c>
      <c r="AV3721">
        <v>0</v>
      </c>
      <c r="AW3721">
        <v>0</v>
      </c>
      <c r="AY3721">
        <v>0</v>
      </c>
      <c r="AZ3721">
        <v>0</v>
      </c>
      <c r="BA3721">
        <v>0</v>
      </c>
      <c r="BE3721" t="str">
        <f>T("9791198520012")</f>
        <v>9791198520012</v>
      </c>
      <c r="BF3721" t="str">
        <f>T("k211726")</f>
        <v>k211726</v>
      </c>
      <c r="BG3721" t="str">
        <f>T("판타지 웹소설 &gt; 퓨전 판타지")</f>
        <v>판타지 웹소설 &gt; 퓨전 판타지</v>
      </c>
    </row>
    <row r="3722" spans="1:59">
      <c r="A3722" t="s">
        <v>60</v>
      </c>
      <c r="B3722" s="1">
        <v>46130</v>
      </c>
      <c r="C3722">
        <v>2378062427</v>
      </c>
      <c r="D3722">
        <v>2378062433</v>
      </c>
      <c r="E3722" t="str">
        <f>T("소비에트 연방이 망하지 않음 7화")</f>
        <v>소비에트 연방이 망하지 않음 7화</v>
      </c>
      <c r="F3722">
        <v>7</v>
      </c>
      <c r="G3722" t="str">
        <f>T("초코맛민트")</f>
        <v>초코맛민트</v>
      </c>
      <c r="J3722" t="str">
        <f>T("사이렌")</f>
        <v>사이렌</v>
      </c>
      <c r="K3722" t="str">
        <f>T("소비에트 연방이 망하지 않음")</f>
        <v>소비에트 연방이 망하지 않음</v>
      </c>
      <c r="L3722">
        <v>0</v>
      </c>
      <c r="M3722">
        <v>0</v>
      </c>
      <c r="N3722">
        <v>0</v>
      </c>
      <c r="O3722">
        <v>1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0</v>
      </c>
      <c r="AH3722">
        <v>0</v>
      </c>
      <c r="AI3722">
        <v>0</v>
      </c>
      <c r="AJ3722">
        <v>1</v>
      </c>
      <c r="AK3722">
        <v>0</v>
      </c>
      <c r="AL3722">
        <v>0</v>
      </c>
      <c r="AM3722">
        <v>0</v>
      </c>
      <c r="AN3722">
        <v>0</v>
      </c>
      <c r="AO3722">
        <v>0</v>
      </c>
      <c r="AP3722">
        <v>0</v>
      </c>
      <c r="AQ3722">
        <v>0</v>
      </c>
      <c r="AS3722">
        <v>0</v>
      </c>
      <c r="AT3722">
        <v>0</v>
      </c>
      <c r="AV3722">
        <v>0</v>
      </c>
      <c r="AW3722">
        <v>0</v>
      </c>
      <c r="AY3722">
        <v>0</v>
      </c>
      <c r="AZ3722">
        <v>0</v>
      </c>
      <c r="BA3722">
        <v>0</v>
      </c>
      <c r="BE3722" t="str">
        <f>T("9791198520012")</f>
        <v>9791198520012</v>
      </c>
      <c r="BF3722" t="str">
        <f>T("k211727")</f>
        <v>k211727</v>
      </c>
      <c r="BG3722" t="str">
        <f>T("판타지 웹소설 &gt; 퓨전 판타지")</f>
        <v>판타지 웹소설 &gt; 퓨전 판타지</v>
      </c>
    </row>
    <row r="3723" spans="1:59">
      <c r="A3723" t="s">
        <v>60</v>
      </c>
      <c r="B3723" s="1">
        <v>46130</v>
      </c>
      <c r="C3723">
        <v>2378062427</v>
      </c>
      <c r="D3723">
        <v>2378062434</v>
      </c>
      <c r="E3723" t="str">
        <f>T("소비에트 연방이 망하지 않음 8화")</f>
        <v>소비에트 연방이 망하지 않음 8화</v>
      </c>
      <c r="F3723">
        <v>8</v>
      </c>
      <c r="G3723" t="str">
        <f>T("초코맛민트")</f>
        <v>초코맛민트</v>
      </c>
      <c r="J3723" t="str">
        <f>T("사이렌")</f>
        <v>사이렌</v>
      </c>
      <c r="K3723" t="str">
        <f>T("소비에트 연방이 망하지 않음")</f>
        <v>소비에트 연방이 망하지 않음</v>
      </c>
      <c r="L3723">
        <v>0</v>
      </c>
      <c r="M3723">
        <v>0</v>
      </c>
      <c r="N3723">
        <v>0</v>
      </c>
      <c r="O3723">
        <v>1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0</v>
      </c>
      <c r="AH3723">
        <v>0</v>
      </c>
      <c r="AI3723">
        <v>0</v>
      </c>
      <c r="AJ3723">
        <v>1</v>
      </c>
      <c r="AK3723">
        <v>0</v>
      </c>
      <c r="AL3723">
        <v>0</v>
      </c>
      <c r="AM3723">
        <v>0</v>
      </c>
      <c r="AN3723">
        <v>0</v>
      </c>
      <c r="AO3723">
        <v>0</v>
      </c>
      <c r="AP3723">
        <v>0</v>
      </c>
      <c r="AQ3723">
        <v>0</v>
      </c>
      <c r="AS3723">
        <v>0</v>
      </c>
      <c r="AT3723">
        <v>0</v>
      </c>
      <c r="AV3723">
        <v>0</v>
      </c>
      <c r="AW3723">
        <v>0</v>
      </c>
      <c r="AY3723">
        <v>0</v>
      </c>
      <c r="AZ3723">
        <v>0</v>
      </c>
      <c r="BA3723">
        <v>0</v>
      </c>
      <c r="BE3723" t="str">
        <f>T("9791198520012")</f>
        <v>9791198520012</v>
      </c>
      <c r="BF3723" t="str">
        <f>T("k211728")</f>
        <v>k211728</v>
      </c>
      <c r="BG3723" t="str">
        <f>T("판타지 웹소설 &gt; 퓨전 판타지")</f>
        <v>판타지 웹소설 &gt; 퓨전 판타지</v>
      </c>
    </row>
    <row r="3724" spans="1:59">
      <c r="A3724" t="s">
        <v>60</v>
      </c>
      <c r="B3724" s="1">
        <v>46130</v>
      </c>
      <c r="C3724">
        <v>2378062427</v>
      </c>
      <c r="D3724">
        <v>2378062435</v>
      </c>
      <c r="E3724" t="str">
        <f>T("소비에트 연방이 망하지 않음 9화")</f>
        <v>소비에트 연방이 망하지 않음 9화</v>
      </c>
      <c r="F3724">
        <v>9</v>
      </c>
      <c r="G3724" t="str">
        <f>T("초코맛민트")</f>
        <v>초코맛민트</v>
      </c>
      <c r="J3724" t="str">
        <f>T("사이렌")</f>
        <v>사이렌</v>
      </c>
      <c r="K3724" t="str">
        <f>T("소비에트 연방이 망하지 않음")</f>
        <v>소비에트 연방이 망하지 않음</v>
      </c>
      <c r="L3724">
        <v>0</v>
      </c>
      <c r="M3724">
        <v>0</v>
      </c>
      <c r="N3724">
        <v>0</v>
      </c>
      <c r="O3724">
        <v>1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0</v>
      </c>
      <c r="AH3724">
        <v>0</v>
      </c>
      <c r="AI3724">
        <v>0</v>
      </c>
      <c r="AJ3724">
        <v>1</v>
      </c>
      <c r="AK3724">
        <v>0</v>
      </c>
      <c r="AL3724">
        <v>0</v>
      </c>
      <c r="AM3724">
        <v>0</v>
      </c>
      <c r="AN3724">
        <v>0</v>
      </c>
      <c r="AO3724">
        <v>0</v>
      </c>
      <c r="AP3724">
        <v>0</v>
      </c>
      <c r="AQ3724">
        <v>0</v>
      </c>
      <c r="AS3724">
        <v>0</v>
      </c>
      <c r="AT3724">
        <v>0</v>
      </c>
      <c r="AV3724">
        <v>0</v>
      </c>
      <c r="AW3724">
        <v>0</v>
      </c>
      <c r="AY3724">
        <v>0</v>
      </c>
      <c r="AZ3724">
        <v>0</v>
      </c>
      <c r="BA3724">
        <v>0</v>
      </c>
      <c r="BE3724" t="str">
        <f>T("9791198520012")</f>
        <v>9791198520012</v>
      </c>
      <c r="BF3724" t="str">
        <f>T("k211729")</f>
        <v>k211729</v>
      </c>
      <c r="BG3724" t="str">
        <f>T("판타지 웹소설 &gt; 퓨전 판타지")</f>
        <v>판타지 웹소설 &gt; 퓨전 판타지</v>
      </c>
    </row>
    <row r="3725" spans="1:59">
      <c r="A3725" t="s">
        <v>60</v>
      </c>
      <c r="B3725" s="1">
        <v>46130</v>
      </c>
      <c r="C3725">
        <v>2378062427</v>
      </c>
      <c r="D3725">
        <v>2378062436</v>
      </c>
      <c r="E3725" t="str">
        <f>T("소비에트 연방이 망하지 않음 10화")</f>
        <v>소비에트 연방이 망하지 않음 10화</v>
      </c>
      <c r="F3725">
        <v>10</v>
      </c>
      <c r="G3725" t="str">
        <f>T("초코맛민트")</f>
        <v>초코맛민트</v>
      </c>
      <c r="J3725" t="str">
        <f>T("사이렌")</f>
        <v>사이렌</v>
      </c>
      <c r="K3725" t="str">
        <f>T("소비에트 연방이 망하지 않음")</f>
        <v>소비에트 연방이 망하지 않음</v>
      </c>
      <c r="L3725">
        <v>0</v>
      </c>
      <c r="M3725">
        <v>0</v>
      </c>
      <c r="N3725">
        <v>0</v>
      </c>
      <c r="O3725">
        <v>1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0</v>
      </c>
      <c r="AH3725">
        <v>0</v>
      </c>
      <c r="AI3725">
        <v>0</v>
      </c>
      <c r="AJ3725">
        <v>1</v>
      </c>
      <c r="AK3725">
        <v>0</v>
      </c>
      <c r="AL3725">
        <v>0</v>
      </c>
      <c r="AM3725">
        <v>0</v>
      </c>
      <c r="AN3725">
        <v>0</v>
      </c>
      <c r="AO3725">
        <v>0</v>
      </c>
      <c r="AP3725">
        <v>0</v>
      </c>
      <c r="AQ3725">
        <v>0</v>
      </c>
      <c r="AS3725">
        <v>0</v>
      </c>
      <c r="AT3725">
        <v>0</v>
      </c>
      <c r="AV3725">
        <v>0</v>
      </c>
      <c r="AW3725">
        <v>0</v>
      </c>
      <c r="AY3725">
        <v>0</v>
      </c>
      <c r="AZ3725">
        <v>0</v>
      </c>
      <c r="BA3725">
        <v>0</v>
      </c>
      <c r="BE3725" t="str">
        <f>T("9791198520012")</f>
        <v>9791198520012</v>
      </c>
      <c r="BF3725" t="str">
        <f>T("k211730")</f>
        <v>k211730</v>
      </c>
      <c r="BG3725" t="str">
        <f>T("판타지 웹소설 &gt; 퓨전 판타지")</f>
        <v>판타지 웹소설 &gt; 퓨전 판타지</v>
      </c>
    </row>
    <row r="3726" spans="1:59">
      <c r="A3726" t="s">
        <v>60</v>
      </c>
      <c r="B3726" s="1">
        <v>46130</v>
      </c>
      <c r="C3726">
        <v>2378062427</v>
      </c>
      <c r="D3726">
        <v>2378062437</v>
      </c>
      <c r="E3726" t="str">
        <f>T("소비에트 연방이 망하지 않음 11화")</f>
        <v>소비에트 연방이 망하지 않음 11화</v>
      </c>
      <c r="F3726">
        <v>11</v>
      </c>
      <c r="G3726" t="str">
        <f>T("초코맛민트")</f>
        <v>초코맛민트</v>
      </c>
      <c r="J3726" t="str">
        <f>T("사이렌")</f>
        <v>사이렌</v>
      </c>
      <c r="K3726" t="str">
        <f>T("소비에트 연방이 망하지 않음")</f>
        <v>소비에트 연방이 망하지 않음</v>
      </c>
      <c r="L3726">
        <v>0</v>
      </c>
      <c r="M3726">
        <v>0</v>
      </c>
      <c r="N3726">
        <v>0</v>
      </c>
      <c r="O3726">
        <v>1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0</v>
      </c>
      <c r="AH3726">
        <v>0</v>
      </c>
      <c r="AI3726">
        <v>0</v>
      </c>
      <c r="AJ3726">
        <v>1</v>
      </c>
      <c r="AK3726">
        <v>0</v>
      </c>
      <c r="AL3726">
        <v>0</v>
      </c>
      <c r="AM3726">
        <v>0</v>
      </c>
      <c r="AN3726">
        <v>0</v>
      </c>
      <c r="AO3726">
        <v>0</v>
      </c>
      <c r="AP3726">
        <v>0</v>
      </c>
      <c r="AQ3726">
        <v>0</v>
      </c>
      <c r="AS3726">
        <v>0</v>
      </c>
      <c r="AT3726">
        <v>0</v>
      </c>
      <c r="AV3726">
        <v>0</v>
      </c>
      <c r="AW3726">
        <v>0</v>
      </c>
      <c r="AY3726">
        <v>0</v>
      </c>
      <c r="AZ3726">
        <v>0</v>
      </c>
      <c r="BA3726">
        <v>0</v>
      </c>
      <c r="BE3726" t="str">
        <f>T("9791198520012")</f>
        <v>9791198520012</v>
      </c>
      <c r="BF3726" t="str">
        <f>T("k211731")</f>
        <v>k211731</v>
      </c>
      <c r="BG3726" t="str">
        <f>T("판타지 웹소설 &gt; 퓨전 판타지")</f>
        <v>판타지 웹소설 &gt; 퓨전 판타지</v>
      </c>
    </row>
    <row r="3727" spans="1:59">
      <c r="A3727" t="s">
        <v>60</v>
      </c>
      <c r="B3727" s="1">
        <v>46130</v>
      </c>
      <c r="C3727">
        <v>2378062427</v>
      </c>
      <c r="D3727">
        <v>2378062438</v>
      </c>
      <c r="E3727" t="str">
        <f>T("소비에트 연방이 망하지 않음 12화")</f>
        <v>소비에트 연방이 망하지 않음 12화</v>
      </c>
      <c r="F3727">
        <v>12</v>
      </c>
      <c r="G3727" t="str">
        <f>T("초코맛민트")</f>
        <v>초코맛민트</v>
      </c>
      <c r="J3727" t="str">
        <f>T("사이렌")</f>
        <v>사이렌</v>
      </c>
      <c r="K3727" t="str">
        <f>T("소비에트 연방이 망하지 않음")</f>
        <v>소비에트 연방이 망하지 않음</v>
      </c>
      <c r="L3727">
        <v>0</v>
      </c>
      <c r="M3727">
        <v>0</v>
      </c>
      <c r="N3727">
        <v>0</v>
      </c>
      <c r="O3727">
        <v>1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0</v>
      </c>
      <c r="AH3727">
        <v>0</v>
      </c>
      <c r="AI3727">
        <v>0</v>
      </c>
      <c r="AJ3727">
        <v>1</v>
      </c>
      <c r="AK3727">
        <v>0</v>
      </c>
      <c r="AL3727">
        <v>0</v>
      </c>
      <c r="AM3727">
        <v>0</v>
      </c>
      <c r="AN3727">
        <v>0</v>
      </c>
      <c r="AO3727">
        <v>0</v>
      </c>
      <c r="AP3727">
        <v>0</v>
      </c>
      <c r="AQ3727">
        <v>0</v>
      </c>
      <c r="AS3727">
        <v>0</v>
      </c>
      <c r="AT3727">
        <v>0</v>
      </c>
      <c r="AV3727">
        <v>0</v>
      </c>
      <c r="AW3727">
        <v>0</v>
      </c>
      <c r="AY3727">
        <v>0</v>
      </c>
      <c r="AZ3727">
        <v>0</v>
      </c>
      <c r="BA3727">
        <v>0</v>
      </c>
      <c r="BE3727" t="str">
        <f>T("9791198520012")</f>
        <v>9791198520012</v>
      </c>
      <c r="BF3727" t="str">
        <f>T("k211732")</f>
        <v>k211732</v>
      </c>
      <c r="BG3727" t="str">
        <f>T("판타지 웹소설 &gt; 퓨전 판타지")</f>
        <v>판타지 웹소설 &gt; 퓨전 판타지</v>
      </c>
    </row>
    <row r="3728" spans="1:59">
      <c r="A3728" t="s">
        <v>60</v>
      </c>
      <c r="B3728" s="1">
        <v>46130</v>
      </c>
      <c r="C3728">
        <v>2378062427</v>
      </c>
      <c r="D3728">
        <v>2378062439</v>
      </c>
      <c r="E3728" t="str">
        <f>T("소비에트 연방이 망하지 않음 13화")</f>
        <v>소비에트 연방이 망하지 않음 13화</v>
      </c>
      <c r="F3728">
        <v>13</v>
      </c>
      <c r="G3728" t="str">
        <f>T("초코맛민트")</f>
        <v>초코맛민트</v>
      </c>
      <c r="J3728" t="str">
        <f>T("사이렌")</f>
        <v>사이렌</v>
      </c>
      <c r="K3728" t="str">
        <f>T("소비에트 연방이 망하지 않음")</f>
        <v>소비에트 연방이 망하지 않음</v>
      </c>
      <c r="L3728">
        <v>0</v>
      </c>
      <c r="M3728">
        <v>0</v>
      </c>
      <c r="N3728">
        <v>0</v>
      </c>
      <c r="O3728">
        <v>1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0</v>
      </c>
      <c r="AH3728">
        <v>0</v>
      </c>
      <c r="AI3728">
        <v>0</v>
      </c>
      <c r="AJ3728">
        <v>1</v>
      </c>
      <c r="AK3728">
        <v>0</v>
      </c>
      <c r="AL3728">
        <v>0</v>
      </c>
      <c r="AM3728">
        <v>0</v>
      </c>
      <c r="AN3728">
        <v>0</v>
      </c>
      <c r="AO3728">
        <v>0</v>
      </c>
      <c r="AP3728">
        <v>0</v>
      </c>
      <c r="AQ3728">
        <v>0</v>
      </c>
      <c r="AS3728">
        <v>0</v>
      </c>
      <c r="AT3728">
        <v>0</v>
      </c>
      <c r="AV3728">
        <v>0</v>
      </c>
      <c r="AW3728">
        <v>0</v>
      </c>
      <c r="AY3728">
        <v>0</v>
      </c>
      <c r="AZ3728">
        <v>0</v>
      </c>
      <c r="BA3728">
        <v>0</v>
      </c>
      <c r="BE3728" t="str">
        <f>T("9791198520012")</f>
        <v>9791198520012</v>
      </c>
      <c r="BF3728" t="str">
        <f>T("k211733")</f>
        <v>k211733</v>
      </c>
      <c r="BG3728" t="str">
        <f>T("판타지 웹소설 &gt; 퓨전 판타지")</f>
        <v>판타지 웹소설 &gt; 퓨전 판타지</v>
      </c>
    </row>
    <row r="3729" spans="1:59">
      <c r="A3729" t="s">
        <v>60</v>
      </c>
      <c r="B3729" s="1">
        <v>46130</v>
      </c>
      <c r="C3729">
        <v>2378062427</v>
      </c>
      <c r="D3729">
        <v>2378062440</v>
      </c>
      <c r="E3729" t="str">
        <f>T("소비에트 연방이 망하지 않음 14화")</f>
        <v>소비에트 연방이 망하지 않음 14화</v>
      </c>
      <c r="F3729">
        <v>14</v>
      </c>
      <c r="G3729" t="str">
        <f>T("초코맛민트")</f>
        <v>초코맛민트</v>
      </c>
      <c r="J3729" t="str">
        <f>T("사이렌")</f>
        <v>사이렌</v>
      </c>
      <c r="K3729" t="str">
        <f>T("소비에트 연방이 망하지 않음")</f>
        <v>소비에트 연방이 망하지 않음</v>
      </c>
      <c r="L3729">
        <v>0</v>
      </c>
      <c r="M3729">
        <v>0</v>
      </c>
      <c r="N3729">
        <v>0</v>
      </c>
      <c r="O3729">
        <v>1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0</v>
      </c>
      <c r="AH3729">
        <v>0</v>
      </c>
      <c r="AI3729">
        <v>0</v>
      </c>
      <c r="AJ3729">
        <v>1</v>
      </c>
      <c r="AK3729">
        <v>0</v>
      </c>
      <c r="AL3729">
        <v>0</v>
      </c>
      <c r="AM3729">
        <v>0</v>
      </c>
      <c r="AN3729">
        <v>0</v>
      </c>
      <c r="AO3729">
        <v>0</v>
      </c>
      <c r="AP3729">
        <v>0</v>
      </c>
      <c r="AQ3729">
        <v>0</v>
      </c>
      <c r="AS3729">
        <v>0</v>
      </c>
      <c r="AT3729">
        <v>0</v>
      </c>
      <c r="AV3729">
        <v>0</v>
      </c>
      <c r="AW3729">
        <v>0</v>
      </c>
      <c r="AY3729">
        <v>0</v>
      </c>
      <c r="AZ3729">
        <v>0</v>
      </c>
      <c r="BA3729">
        <v>0</v>
      </c>
      <c r="BE3729" t="str">
        <f>T("9791198520012")</f>
        <v>9791198520012</v>
      </c>
      <c r="BF3729" t="str">
        <f>T("k211734")</f>
        <v>k211734</v>
      </c>
      <c r="BG3729" t="str">
        <f>T("판타지 웹소설 &gt; 퓨전 판타지")</f>
        <v>판타지 웹소설 &gt; 퓨전 판타지</v>
      </c>
    </row>
    <row r="3730" spans="1:59">
      <c r="A3730" t="s">
        <v>60</v>
      </c>
      <c r="B3730" s="1">
        <v>46130</v>
      </c>
      <c r="C3730">
        <v>2378062427</v>
      </c>
      <c r="D3730">
        <v>2378062441</v>
      </c>
      <c r="E3730" t="str">
        <f>T("소비에트 연방이 망하지 않음 15화")</f>
        <v>소비에트 연방이 망하지 않음 15화</v>
      </c>
      <c r="F3730">
        <v>15</v>
      </c>
      <c r="G3730" t="str">
        <f>T("초코맛민트")</f>
        <v>초코맛민트</v>
      </c>
      <c r="J3730" t="str">
        <f>T("사이렌")</f>
        <v>사이렌</v>
      </c>
      <c r="K3730" t="str">
        <f>T("소비에트 연방이 망하지 않음")</f>
        <v>소비에트 연방이 망하지 않음</v>
      </c>
      <c r="L3730">
        <v>0</v>
      </c>
      <c r="M3730">
        <v>0</v>
      </c>
      <c r="N3730">
        <v>0</v>
      </c>
      <c r="O3730">
        <v>1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0</v>
      </c>
      <c r="AH3730">
        <v>0</v>
      </c>
      <c r="AI3730">
        <v>0</v>
      </c>
      <c r="AJ3730">
        <v>1</v>
      </c>
      <c r="AK3730">
        <v>0</v>
      </c>
      <c r="AL3730">
        <v>0</v>
      </c>
      <c r="AM3730">
        <v>0</v>
      </c>
      <c r="AN3730">
        <v>0</v>
      </c>
      <c r="AO3730">
        <v>0</v>
      </c>
      <c r="AP3730">
        <v>0</v>
      </c>
      <c r="AQ3730">
        <v>0</v>
      </c>
      <c r="AS3730">
        <v>0</v>
      </c>
      <c r="AT3730">
        <v>0</v>
      </c>
      <c r="AV3730">
        <v>0</v>
      </c>
      <c r="AW3730">
        <v>0</v>
      </c>
      <c r="AY3730">
        <v>0</v>
      </c>
      <c r="AZ3730">
        <v>0</v>
      </c>
      <c r="BA3730">
        <v>0</v>
      </c>
      <c r="BE3730" t="str">
        <f>T("9791198520012")</f>
        <v>9791198520012</v>
      </c>
      <c r="BF3730" t="str">
        <f>T("k211735")</f>
        <v>k211735</v>
      </c>
      <c r="BG3730" t="str">
        <f>T("판타지 웹소설 &gt; 퓨전 판타지")</f>
        <v>판타지 웹소설 &gt; 퓨전 판타지</v>
      </c>
    </row>
    <row r="3731" spans="1:59">
      <c r="A3731" t="s">
        <v>60</v>
      </c>
      <c r="B3731" s="1">
        <v>46130</v>
      </c>
      <c r="C3731">
        <v>2378062427</v>
      </c>
      <c r="D3731">
        <v>2378062442</v>
      </c>
      <c r="E3731" t="str">
        <f>T("소비에트 연방이 망하지 않음 16화")</f>
        <v>소비에트 연방이 망하지 않음 16화</v>
      </c>
      <c r="F3731">
        <v>16</v>
      </c>
      <c r="G3731" t="str">
        <f>T("초코맛민트")</f>
        <v>초코맛민트</v>
      </c>
      <c r="J3731" t="str">
        <f>T("사이렌")</f>
        <v>사이렌</v>
      </c>
      <c r="K3731" t="str">
        <f>T("소비에트 연방이 망하지 않음")</f>
        <v>소비에트 연방이 망하지 않음</v>
      </c>
      <c r="L3731">
        <v>0</v>
      </c>
      <c r="M3731">
        <v>0</v>
      </c>
      <c r="N3731">
        <v>0</v>
      </c>
      <c r="O3731">
        <v>1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0</v>
      </c>
      <c r="AH3731">
        <v>0</v>
      </c>
      <c r="AI3731">
        <v>0</v>
      </c>
      <c r="AJ3731">
        <v>1</v>
      </c>
      <c r="AK3731">
        <v>0</v>
      </c>
      <c r="AL3731">
        <v>0</v>
      </c>
      <c r="AM3731">
        <v>0</v>
      </c>
      <c r="AN3731">
        <v>0</v>
      </c>
      <c r="AO3731">
        <v>0</v>
      </c>
      <c r="AP3731">
        <v>0</v>
      </c>
      <c r="AQ3731">
        <v>0</v>
      </c>
      <c r="AS3731">
        <v>0</v>
      </c>
      <c r="AT3731">
        <v>0</v>
      </c>
      <c r="AV3731">
        <v>0</v>
      </c>
      <c r="AW3731">
        <v>0</v>
      </c>
      <c r="AY3731">
        <v>0</v>
      </c>
      <c r="AZ3731">
        <v>0</v>
      </c>
      <c r="BA3731">
        <v>0</v>
      </c>
      <c r="BE3731" t="str">
        <f>T("9791198520012")</f>
        <v>9791198520012</v>
      </c>
      <c r="BF3731" t="str">
        <f>T("k211736")</f>
        <v>k211736</v>
      </c>
      <c r="BG3731" t="str">
        <f>T("판타지 웹소설 &gt; 퓨전 판타지")</f>
        <v>판타지 웹소설 &gt; 퓨전 판타지</v>
      </c>
    </row>
    <row r="3732" spans="1:59">
      <c r="A3732" t="s">
        <v>60</v>
      </c>
      <c r="B3732" s="1">
        <v>46130</v>
      </c>
      <c r="C3732">
        <v>2378062427</v>
      </c>
      <c r="D3732">
        <v>2378062443</v>
      </c>
      <c r="E3732" t="str">
        <f>T("소비에트 연방이 망하지 않음 17화")</f>
        <v>소비에트 연방이 망하지 않음 17화</v>
      </c>
      <c r="F3732">
        <v>17</v>
      </c>
      <c r="G3732" t="str">
        <f>T("초코맛민트")</f>
        <v>초코맛민트</v>
      </c>
      <c r="J3732" t="str">
        <f>T("사이렌")</f>
        <v>사이렌</v>
      </c>
      <c r="K3732" t="str">
        <f>T("소비에트 연방이 망하지 않음")</f>
        <v>소비에트 연방이 망하지 않음</v>
      </c>
      <c r="L3732">
        <v>0</v>
      </c>
      <c r="M3732">
        <v>0</v>
      </c>
      <c r="N3732">
        <v>0</v>
      </c>
      <c r="O3732">
        <v>1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0</v>
      </c>
      <c r="AH3732">
        <v>0</v>
      </c>
      <c r="AI3732">
        <v>0</v>
      </c>
      <c r="AJ3732">
        <v>1</v>
      </c>
      <c r="AK3732">
        <v>0</v>
      </c>
      <c r="AL3732">
        <v>0</v>
      </c>
      <c r="AM3732">
        <v>0</v>
      </c>
      <c r="AN3732">
        <v>0</v>
      </c>
      <c r="AO3732">
        <v>0</v>
      </c>
      <c r="AP3732">
        <v>0</v>
      </c>
      <c r="AQ3732">
        <v>0</v>
      </c>
      <c r="AS3732">
        <v>0</v>
      </c>
      <c r="AT3732">
        <v>0</v>
      </c>
      <c r="AV3732">
        <v>0</v>
      </c>
      <c r="AW3732">
        <v>0</v>
      </c>
      <c r="AY3732">
        <v>0</v>
      </c>
      <c r="AZ3732">
        <v>0</v>
      </c>
      <c r="BA3732">
        <v>0</v>
      </c>
      <c r="BE3732" t="str">
        <f>T("9791198520012")</f>
        <v>9791198520012</v>
      </c>
      <c r="BF3732" t="str">
        <f>T("k211737")</f>
        <v>k211737</v>
      </c>
      <c r="BG3732" t="str">
        <f>T("판타지 웹소설 &gt; 퓨전 판타지")</f>
        <v>판타지 웹소설 &gt; 퓨전 판타지</v>
      </c>
    </row>
    <row r="3733" spans="1:59">
      <c r="A3733" t="s">
        <v>60</v>
      </c>
      <c r="B3733" s="1">
        <v>46130</v>
      </c>
      <c r="C3733">
        <v>2378062427</v>
      </c>
      <c r="D3733">
        <v>2378062444</v>
      </c>
      <c r="E3733" t="str">
        <f>T("소비에트 연방이 망하지 않음 18화")</f>
        <v>소비에트 연방이 망하지 않음 18화</v>
      </c>
      <c r="F3733">
        <v>18</v>
      </c>
      <c r="G3733" t="str">
        <f>T("초코맛민트")</f>
        <v>초코맛민트</v>
      </c>
      <c r="J3733" t="str">
        <f>T("사이렌")</f>
        <v>사이렌</v>
      </c>
      <c r="K3733" t="str">
        <f>T("소비에트 연방이 망하지 않음")</f>
        <v>소비에트 연방이 망하지 않음</v>
      </c>
      <c r="L3733">
        <v>0</v>
      </c>
      <c r="M3733">
        <v>0</v>
      </c>
      <c r="N3733">
        <v>0</v>
      </c>
      <c r="O3733">
        <v>1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0</v>
      </c>
      <c r="AH3733">
        <v>0</v>
      </c>
      <c r="AI3733">
        <v>0</v>
      </c>
      <c r="AJ3733">
        <v>1</v>
      </c>
      <c r="AK3733">
        <v>0</v>
      </c>
      <c r="AL3733">
        <v>0</v>
      </c>
      <c r="AM3733">
        <v>0</v>
      </c>
      <c r="AN3733">
        <v>0</v>
      </c>
      <c r="AO3733">
        <v>0</v>
      </c>
      <c r="AP3733">
        <v>0</v>
      </c>
      <c r="AQ3733">
        <v>0</v>
      </c>
      <c r="AS3733">
        <v>0</v>
      </c>
      <c r="AT3733">
        <v>0</v>
      </c>
      <c r="AV3733">
        <v>0</v>
      </c>
      <c r="AW3733">
        <v>0</v>
      </c>
      <c r="AY3733">
        <v>0</v>
      </c>
      <c r="AZ3733">
        <v>0</v>
      </c>
      <c r="BA3733">
        <v>0</v>
      </c>
      <c r="BE3733" t="str">
        <f>T("9791198520012")</f>
        <v>9791198520012</v>
      </c>
      <c r="BF3733" t="str">
        <f>T("k211738")</f>
        <v>k211738</v>
      </c>
      <c r="BG3733" t="str">
        <f>T("판타지 웹소설 &gt; 퓨전 판타지")</f>
        <v>판타지 웹소설 &gt; 퓨전 판타지</v>
      </c>
    </row>
    <row r="3734" spans="1:59">
      <c r="A3734" t="s">
        <v>60</v>
      </c>
      <c r="B3734" s="1">
        <v>46130</v>
      </c>
      <c r="C3734">
        <v>2378062427</v>
      </c>
      <c r="D3734">
        <v>2378062445</v>
      </c>
      <c r="E3734" t="str">
        <f>T("소비에트 연방이 망하지 않음 19화")</f>
        <v>소비에트 연방이 망하지 않음 19화</v>
      </c>
      <c r="F3734">
        <v>19</v>
      </c>
      <c r="G3734" t="str">
        <f>T("초코맛민트")</f>
        <v>초코맛민트</v>
      </c>
      <c r="J3734" t="str">
        <f>T("사이렌")</f>
        <v>사이렌</v>
      </c>
      <c r="K3734" t="str">
        <f>T("소비에트 연방이 망하지 않음")</f>
        <v>소비에트 연방이 망하지 않음</v>
      </c>
      <c r="L3734">
        <v>0</v>
      </c>
      <c r="M3734">
        <v>0</v>
      </c>
      <c r="N3734">
        <v>0</v>
      </c>
      <c r="O3734">
        <v>1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0</v>
      </c>
      <c r="AH3734">
        <v>0</v>
      </c>
      <c r="AI3734">
        <v>0</v>
      </c>
      <c r="AJ3734">
        <v>1</v>
      </c>
      <c r="AK3734">
        <v>0</v>
      </c>
      <c r="AL3734">
        <v>0</v>
      </c>
      <c r="AM3734">
        <v>0</v>
      </c>
      <c r="AN3734">
        <v>0</v>
      </c>
      <c r="AO3734">
        <v>0</v>
      </c>
      <c r="AP3734">
        <v>0</v>
      </c>
      <c r="AQ3734">
        <v>0</v>
      </c>
      <c r="AS3734">
        <v>0</v>
      </c>
      <c r="AT3734">
        <v>0</v>
      </c>
      <c r="AV3734">
        <v>0</v>
      </c>
      <c r="AW3734">
        <v>0</v>
      </c>
      <c r="AY3734">
        <v>0</v>
      </c>
      <c r="AZ3734">
        <v>0</v>
      </c>
      <c r="BA3734">
        <v>0</v>
      </c>
      <c r="BE3734" t="str">
        <f>T("9791198520012")</f>
        <v>9791198520012</v>
      </c>
      <c r="BF3734" t="str">
        <f>T("k211739")</f>
        <v>k211739</v>
      </c>
      <c r="BG3734" t="str">
        <f>T("판타지 웹소설 &gt; 퓨전 판타지")</f>
        <v>판타지 웹소설 &gt; 퓨전 판타지</v>
      </c>
    </row>
    <row r="3735" spans="1:59">
      <c r="A3735" t="s">
        <v>60</v>
      </c>
      <c r="B3735" s="1">
        <v>46130</v>
      </c>
      <c r="C3735">
        <v>2378062427</v>
      </c>
      <c r="D3735">
        <v>2378062446</v>
      </c>
      <c r="E3735" t="str">
        <f>T("소비에트 연방이 망하지 않음 20화")</f>
        <v>소비에트 연방이 망하지 않음 20화</v>
      </c>
      <c r="F3735">
        <v>20</v>
      </c>
      <c r="G3735" t="str">
        <f>T("초코맛민트")</f>
        <v>초코맛민트</v>
      </c>
      <c r="J3735" t="str">
        <f>T("사이렌")</f>
        <v>사이렌</v>
      </c>
      <c r="K3735" t="str">
        <f>T("소비에트 연방이 망하지 않음")</f>
        <v>소비에트 연방이 망하지 않음</v>
      </c>
      <c r="L3735">
        <v>0</v>
      </c>
      <c r="M3735">
        <v>0</v>
      </c>
      <c r="N3735">
        <v>0</v>
      </c>
      <c r="O3735">
        <v>1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0</v>
      </c>
      <c r="AH3735">
        <v>0</v>
      </c>
      <c r="AI3735">
        <v>0</v>
      </c>
      <c r="AJ3735">
        <v>1</v>
      </c>
      <c r="AK3735">
        <v>0</v>
      </c>
      <c r="AL3735">
        <v>0</v>
      </c>
      <c r="AM3735">
        <v>0</v>
      </c>
      <c r="AN3735">
        <v>0</v>
      </c>
      <c r="AO3735">
        <v>0</v>
      </c>
      <c r="AP3735">
        <v>0</v>
      </c>
      <c r="AQ3735">
        <v>0</v>
      </c>
      <c r="AS3735">
        <v>0</v>
      </c>
      <c r="AT3735">
        <v>0</v>
      </c>
      <c r="AV3735">
        <v>0</v>
      </c>
      <c r="AW3735">
        <v>0</v>
      </c>
      <c r="AY3735">
        <v>0</v>
      </c>
      <c r="AZ3735">
        <v>0</v>
      </c>
      <c r="BA3735">
        <v>0</v>
      </c>
      <c r="BE3735" t="str">
        <f>T("9791198520012")</f>
        <v>9791198520012</v>
      </c>
      <c r="BF3735" t="str">
        <f>T("k211740")</f>
        <v>k211740</v>
      </c>
      <c r="BG3735" t="str">
        <f>T("판타지 웹소설 &gt; 퓨전 판타지")</f>
        <v>판타지 웹소설 &gt; 퓨전 판타지</v>
      </c>
    </row>
    <row r="3736" spans="1:59">
      <c r="A3736" t="s">
        <v>60</v>
      </c>
      <c r="B3736" s="1">
        <v>46130</v>
      </c>
      <c r="C3736">
        <v>2378062427</v>
      </c>
      <c r="D3736">
        <v>2378062447</v>
      </c>
      <c r="E3736" t="str">
        <f>T("소비에트 연방이 망하지 않음 21화")</f>
        <v>소비에트 연방이 망하지 않음 21화</v>
      </c>
      <c r="F3736">
        <v>21</v>
      </c>
      <c r="G3736" t="str">
        <f>T("초코맛민트")</f>
        <v>초코맛민트</v>
      </c>
      <c r="J3736" t="str">
        <f>T("사이렌")</f>
        <v>사이렌</v>
      </c>
      <c r="K3736" t="str">
        <f>T("소비에트 연방이 망하지 않음")</f>
        <v>소비에트 연방이 망하지 않음</v>
      </c>
      <c r="L3736">
        <v>0</v>
      </c>
      <c r="M3736">
        <v>0</v>
      </c>
      <c r="N3736">
        <v>0</v>
      </c>
      <c r="O3736">
        <v>1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0</v>
      </c>
      <c r="AH3736">
        <v>0</v>
      </c>
      <c r="AI3736">
        <v>0</v>
      </c>
      <c r="AJ3736">
        <v>1</v>
      </c>
      <c r="AK3736">
        <v>0</v>
      </c>
      <c r="AL3736">
        <v>0</v>
      </c>
      <c r="AM3736">
        <v>0</v>
      </c>
      <c r="AN3736">
        <v>0</v>
      </c>
      <c r="AO3736">
        <v>0</v>
      </c>
      <c r="AP3736">
        <v>0</v>
      </c>
      <c r="AQ3736">
        <v>0</v>
      </c>
      <c r="AS3736">
        <v>0</v>
      </c>
      <c r="AT3736">
        <v>0</v>
      </c>
      <c r="AV3736">
        <v>0</v>
      </c>
      <c r="AW3736">
        <v>0</v>
      </c>
      <c r="AY3736">
        <v>0</v>
      </c>
      <c r="AZ3736">
        <v>0</v>
      </c>
      <c r="BA3736">
        <v>0</v>
      </c>
      <c r="BE3736" t="str">
        <f>T("9791198520012")</f>
        <v>9791198520012</v>
      </c>
      <c r="BF3736" t="str">
        <f>T("k211741")</f>
        <v>k211741</v>
      </c>
      <c r="BG3736" t="str">
        <f>T("판타지 웹소설 &gt; 퓨전 판타지")</f>
        <v>판타지 웹소설 &gt; 퓨전 판타지</v>
      </c>
    </row>
    <row r="3737" spans="1:59">
      <c r="A3737" t="s">
        <v>60</v>
      </c>
      <c r="B3737" s="1">
        <v>46130</v>
      </c>
      <c r="C3737">
        <v>2378062427</v>
      </c>
      <c r="D3737">
        <v>2378062448</v>
      </c>
      <c r="E3737" t="str">
        <f>T("소비에트 연방이 망하지 않음 22화")</f>
        <v>소비에트 연방이 망하지 않음 22화</v>
      </c>
      <c r="F3737">
        <v>22</v>
      </c>
      <c r="G3737" t="str">
        <f>T("초코맛민트")</f>
        <v>초코맛민트</v>
      </c>
      <c r="J3737" t="str">
        <f>T("사이렌")</f>
        <v>사이렌</v>
      </c>
      <c r="K3737" t="str">
        <f>T("소비에트 연방이 망하지 않음")</f>
        <v>소비에트 연방이 망하지 않음</v>
      </c>
      <c r="L3737">
        <v>0</v>
      </c>
      <c r="M3737">
        <v>0</v>
      </c>
      <c r="N3737">
        <v>0</v>
      </c>
      <c r="O3737">
        <v>1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0</v>
      </c>
      <c r="AH3737">
        <v>0</v>
      </c>
      <c r="AI3737">
        <v>0</v>
      </c>
      <c r="AJ3737">
        <v>1</v>
      </c>
      <c r="AK3737">
        <v>0</v>
      </c>
      <c r="AL3737">
        <v>0</v>
      </c>
      <c r="AM3737">
        <v>0</v>
      </c>
      <c r="AN3737">
        <v>0</v>
      </c>
      <c r="AO3737">
        <v>0</v>
      </c>
      <c r="AP3737">
        <v>0</v>
      </c>
      <c r="AQ3737">
        <v>0</v>
      </c>
      <c r="AS3737">
        <v>0</v>
      </c>
      <c r="AT3737">
        <v>0</v>
      </c>
      <c r="AV3737">
        <v>0</v>
      </c>
      <c r="AW3737">
        <v>0</v>
      </c>
      <c r="AY3737">
        <v>0</v>
      </c>
      <c r="AZ3737">
        <v>0</v>
      </c>
      <c r="BA3737">
        <v>0</v>
      </c>
      <c r="BE3737" t="str">
        <f>T("9791198520012")</f>
        <v>9791198520012</v>
      </c>
      <c r="BF3737" t="str">
        <f>T("k211742")</f>
        <v>k211742</v>
      </c>
      <c r="BG3737" t="str">
        <f>T("판타지 웹소설 &gt; 퓨전 판타지")</f>
        <v>판타지 웹소설 &gt; 퓨전 판타지</v>
      </c>
    </row>
    <row r="3738" spans="1:59">
      <c r="A3738" t="s">
        <v>60</v>
      </c>
      <c r="B3738" s="1">
        <v>46130</v>
      </c>
      <c r="C3738">
        <v>2378062427</v>
      </c>
      <c r="D3738">
        <v>2378062449</v>
      </c>
      <c r="E3738" t="str">
        <f>T("소비에트 연방이 망하지 않음 23화")</f>
        <v>소비에트 연방이 망하지 않음 23화</v>
      </c>
      <c r="F3738">
        <v>23</v>
      </c>
      <c r="G3738" t="str">
        <f>T("초코맛민트")</f>
        <v>초코맛민트</v>
      </c>
      <c r="J3738" t="str">
        <f>T("사이렌")</f>
        <v>사이렌</v>
      </c>
      <c r="K3738" t="str">
        <f>T("소비에트 연방이 망하지 않음")</f>
        <v>소비에트 연방이 망하지 않음</v>
      </c>
      <c r="L3738">
        <v>0</v>
      </c>
      <c r="M3738">
        <v>0</v>
      </c>
      <c r="N3738">
        <v>0</v>
      </c>
      <c r="O3738">
        <v>1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0</v>
      </c>
      <c r="AH3738">
        <v>0</v>
      </c>
      <c r="AI3738">
        <v>0</v>
      </c>
      <c r="AJ3738">
        <v>1</v>
      </c>
      <c r="AK3738">
        <v>0</v>
      </c>
      <c r="AL3738">
        <v>0</v>
      </c>
      <c r="AM3738">
        <v>0</v>
      </c>
      <c r="AN3738">
        <v>0</v>
      </c>
      <c r="AO3738">
        <v>0</v>
      </c>
      <c r="AP3738">
        <v>0</v>
      </c>
      <c r="AQ3738">
        <v>0</v>
      </c>
      <c r="AS3738">
        <v>0</v>
      </c>
      <c r="AT3738">
        <v>0</v>
      </c>
      <c r="AV3738">
        <v>0</v>
      </c>
      <c r="AW3738">
        <v>0</v>
      </c>
      <c r="AY3738">
        <v>0</v>
      </c>
      <c r="AZ3738">
        <v>0</v>
      </c>
      <c r="BA3738">
        <v>0</v>
      </c>
      <c r="BE3738" t="str">
        <f>T("9791198520012")</f>
        <v>9791198520012</v>
      </c>
      <c r="BF3738" t="str">
        <f>T("k211743")</f>
        <v>k211743</v>
      </c>
      <c r="BG3738" t="str">
        <f>T("판타지 웹소설 &gt; 퓨전 판타지")</f>
        <v>판타지 웹소설 &gt; 퓨전 판타지</v>
      </c>
    </row>
    <row r="3739" spans="1:59">
      <c r="A3739" t="s">
        <v>60</v>
      </c>
      <c r="B3739" s="1">
        <v>46130</v>
      </c>
      <c r="C3739">
        <v>2378062427</v>
      </c>
      <c r="D3739">
        <v>2378062450</v>
      </c>
      <c r="E3739" t="str">
        <f>T("소비에트 연방이 망하지 않음 24화")</f>
        <v>소비에트 연방이 망하지 않음 24화</v>
      </c>
      <c r="F3739">
        <v>24</v>
      </c>
      <c r="G3739" t="str">
        <f>T("초코맛민트")</f>
        <v>초코맛민트</v>
      </c>
      <c r="J3739" t="str">
        <f>T("사이렌")</f>
        <v>사이렌</v>
      </c>
      <c r="K3739" t="str">
        <f>T("소비에트 연방이 망하지 않음")</f>
        <v>소비에트 연방이 망하지 않음</v>
      </c>
      <c r="L3739">
        <v>0</v>
      </c>
      <c r="M3739">
        <v>0</v>
      </c>
      <c r="N3739">
        <v>0</v>
      </c>
      <c r="O3739">
        <v>1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0</v>
      </c>
      <c r="AH3739">
        <v>0</v>
      </c>
      <c r="AI3739">
        <v>0</v>
      </c>
      <c r="AJ3739">
        <v>1</v>
      </c>
      <c r="AK3739">
        <v>0</v>
      </c>
      <c r="AL3739">
        <v>0</v>
      </c>
      <c r="AM3739">
        <v>0</v>
      </c>
      <c r="AN3739">
        <v>0</v>
      </c>
      <c r="AO3739">
        <v>0</v>
      </c>
      <c r="AP3739">
        <v>0</v>
      </c>
      <c r="AQ3739">
        <v>0</v>
      </c>
      <c r="AS3739">
        <v>0</v>
      </c>
      <c r="AT3739">
        <v>0</v>
      </c>
      <c r="AV3739">
        <v>0</v>
      </c>
      <c r="AW3739">
        <v>0</v>
      </c>
      <c r="AY3739">
        <v>0</v>
      </c>
      <c r="AZ3739">
        <v>0</v>
      </c>
      <c r="BA3739">
        <v>0</v>
      </c>
      <c r="BE3739" t="str">
        <f>T("9791198520012")</f>
        <v>9791198520012</v>
      </c>
      <c r="BF3739" t="str">
        <f>T("k211744")</f>
        <v>k211744</v>
      </c>
      <c r="BG3739" t="str">
        <f>T("판타지 웹소설 &gt; 퓨전 판타지")</f>
        <v>판타지 웹소설 &gt; 퓨전 판타지</v>
      </c>
    </row>
    <row r="3740" spans="1:59">
      <c r="A3740" t="s">
        <v>60</v>
      </c>
      <c r="B3740" s="1">
        <v>46130</v>
      </c>
      <c r="C3740">
        <v>2378062427</v>
      </c>
      <c r="D3740">
        <v>2378062451</v>
      </c>
      <c r="E3740" t="str">
        <f>T("소비에트 연방이 망하지 않음 25화")</f>
        <v>소비에트 연방이 망하지 않음 25화</v>
      </c>
      <c r="F3740">
        <v>25</v>
      </c>
      <c r="G3740" t="str">
        <f>T("초코맛민트")</f>
        <v>초코맛민트</v>
      </c>
      <c r="J3740" t="str">
        <f>T("사이렌")</f>
        <v>사이렌</v>
      </c>
      <c r="K3740" t="str">
        <f>T("소비에트 연방이 망하지 않음")</f>
        <v>소비에트 연방이 망하지 않음</v>
      </c>
      <c r="L3740">
        <v>0</v>
      </c>
      <c r="M3740">
        <v>0</v>
      </c>
      <c r="N3740">
        <v>0</v>
      </c>
      <c r="O3740">
        <v>1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0</v>
      </c>
      <c r="AH3740">
        <v>0</v>
      </c>
      <c r="AI3740">
        <v>0</v>
      </c>
      <c r="AJ3740">
        <v>1</v>
      </c>
      <c r="AK3740">
        <v>0</v>
      </c>
      <c r="AL3740">
        <v>0</v>
      </c>
      <c r="AM3740">
        <v>0</v>
      </c>
      <c r="AN3740">
        <v>0</v>
      </c>
      <c r="AO3740">
        <v>0</v>
      </c>
      <c r="AP3740">
        <v>0</v>
      </c>
      <c r="AQ3740">
        <v>0</v>
      </c>
      <c r="AS3740">
        <v>0</v>
      </c>
      <c r="AT3740">
        <v>0</v>
      </c>
      <c r="AV3740">
        <v>0</v>
      </c>
      <c r="AW3740">
        <v>0</v>
      </c>
      <c r="AY3740">
        <v>0</v>
      </c>
      <c r="AZ3740">
        <v>0</v>
      </c>
      <c r="BA3740">
        <v>0</v>
      </c>
      <c r="BE3740" t="str">
        <f>T("9791198520012")</f>
        <v>9791198520012</v>
      </c>
      <c r="BF3740" t="str">
        <f>T("k211745")</f>
        <v>k211745</v>
      </c>
      <c r="BG3740" t="str">
        <f>T("판타지 웹소설 &gt; 퓨전 판타지")</f>
        <v>판타지 웹소설 &gt; 퓨전 판타지</v>
      </c>
    </row>
    <row r="3741" spans="1:59">
      <c r="A3741" t="s">
        <v>60</v>
      </c>
      <c r="B3741" s="1">
        <v>46130</v>
      </c>
      <c r="C3741">
        <v>2378046890</v>
      </c>
      <c r="D3741">
        <v>2378046890</v>
      </c>
      <c r="E3741" t="str">
        <f>T("스킬복제하는 방랑자 1화")</f>
        <v>스킬복제하는 방랑자 1화</v>
      </c>
      <c r="F3741">
        <v>1</v>
      </c>
      <c r="G3741" t="str">
        <f>T("팔전구기")</f>
        <v>팔전구기</v>
      </c>
      <c r="J3741" t="str">
        <f>T("매드햇")</f>
        <v>매드햇</v>
      </c>
      <c r="K3741" t="str">
        <f>T("스킬복제하는 방랑자")</f>
        <v>스킬복제하는 방랑자</v>
      </c>
      <c r="L3741">
        <v>0</v>
      </c>
      <c r="M3741">
        <v>0</v>
      </c>
      <c r="N3741">
        <v>0</v>
      </c>
      <c r="O3741">
        <v>1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0</v>
      </c>
      <c r="AH3741">
        <v>0</v>
      </c>
      <c r="AI3741">
        <v>0</v>
      </c>
      <c r="AJ3741">
        <v>1</v>
      </c>
      <c r="AK3741">
        <v>0</v>
      </c>
      <c r="AL3741">
        <v>0</v>
      </c>
      <c r="AM3741">
        <v>0</v>
      </c>
      <c r="AN3741">
        <v>0</v>
      </c>
      <c r="AO3741">
        <v>0</v>
      </c>
      <c r="AP3741">
        <v>0</v>
      </c>
      <c r="AQ3741">
        <v>0</v>
      </c>
      <c r="AS3741">
        <v>0</v>
      </c>
      <c r="AT3741">
        <v>0</v>
      </c>
      <c r="AV3741">
        <v>0</v>
      </c>
      <c r="AW3741">
        <v>0</v>
      </c>
      <c r="AY3741">
        <v>0</v>
      </c>
      <c r="AZ3741">
        <v>0</v>
      </c>
      <c r="BA3741">
        <v>0</v>
      </c>
      <c r="BE3741" t="str">
        <f>T("9791137008021")</f>
        <v>9791137008021</v>
      </c>
      <c r="BF3741" t="str">
        <f>T("N223182")</f>
        <v>N223182</v>
      </c>
      <c r="BG3741" t="str">
        <f>T("판타지 웹소설 &gt; 퓨전 판타지")</f>
        <v>판타지 웹소설 &gt; 퓨전 판타지</v>
      </c>
    </row>
    <row r="3742" spans="1:59">
      <c r="A3742" t="s">
        <v>60</v>
      </c>
      <c r="B3742" s="1">
        <v>46129</v>
      </c>
      <c r="C3742">
        <v>2378074641</v>
      </c>
      <c r="D3742">
        <v>2378074879</v>
      </c>
      <c r="E3742" t="str">
        <f>T("시한부 아이돌이 살아남는 법 시즌3 39화")</f>
        <v>시한부 아이돌이 살아남는 법 시즌3 39화</v>
      </c>
      <c r="F3742">
        <v>239</v>
      </c>
      <c r="G3742" t="str">
        <f>T("해날")</f>
        <v>해날</v>
      </c>
      <c r="J3742" t="str">
        <f>T("매드햇")</f>
        <v>매드햇</v>
      </c>
      <c r="K3742" t="str">
        <f>T("시한부 아이돌이 살아남는 법")</f>
        <v>시한부 아이돌이 살아남는 법</v>
      </c>
      <c r="L3742">
        <v>100</v>
      </c>
      <c r="M3742">
        <v>100</v>
      </c>
      <c r="N3742">
        <v>1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0</v>
      </c>
      <c r="AH3742">
        <v>0</v>
      </c>
      <c r="AI3742">
        <v>100</v>
      </c>
      <c r="AJ3742">
        <v>1</v>
      </c>
      <c r="AK3742">
        <v>0</v>
      </c>
      <c r="AL3742">
        <v>0</v>
      </c>
      <c r="AM3742">
        <v>100</v>
      </c>
      <c r="AN3742">
        <v>0</v>
      </c>
      <c r="AO3742">
        <v>0</v>
      </c>
      <c r="AP3742">
        <v>0</v>
      </c>
      <c r="AQ3742">
        <v>0</v>
      </c>
      <c r="AS3742">
        <v>0</v>
      </c>
      <c r="AT3742">
        <v>0</v>
      </c>
      <c r="AV3742">
        <v>0</v>
      </c>
      <c r="AW3742">
        <v>0</v>
      </c>
      <c r="AY3742">
        <v>0</v>
      </c>
      <c r="AZ3742">
        <v>0</v>
      </c>
      <c r="BA3742">
        <v>70</v>
      </c>
      <c r="BE3742" t="str">
        <f>T("9791137018587")</f>
        <v>9791137018587</v>
      </c>
      <c r="BF3742" t="str">
        <f>T("k399824")</f>
        <v>k399824</v>
      </c>
      <c r="BG3742" t="str">
        <f>T("판타지 웹소설 &gt; 현대 판타지")</f>
        <v>판타지 웹소설 &gt; 현대 판타지</v>
      </c>
    </row>
    <row r="3743" spans="1:59">
      <c r="A3743" t="s">
        <v>60</v>
      </c>
      <c r="B3743" s="1">
        <v>46129</v>
      </c>
      <c r="C3743">
        <v>2378074641</v>
      </c>
      <c r="D3743">
        <v>2378074955</v>
      </c>
      <c r="E3743" t="str">
        <f>T("시한부 아이돌이 살아남는 법 외전 15화")</f>
        <v>시한부 아이돌이 살아남는 법 외전 15화</v>
      </c>
      <c r="F3743">
        <v>315</v>
      </c>
      <c r="G3743" t="str">
        <f>T("해날")</f>
        <v>해날</v>
      </c>
      <c r="J3743" t="str">
        <f>T("매드햇")</f>
        <v>매드햇</v>
      </c>
      <c r="K3743" t="str">
        <f>T("시한부 아이돌이 살아남는 법")</f>
        <v>시한부 아이돌이 살아남는 법</v>
      </c>
      <c r="L3743">
        <v>100</v>
      </c>
      <c r="M3743">
        <v>100</v>
      </c>
      <c r="N3743">
        <v>1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0</v>
      </c>
      <c r="AH3743">
        <v>0</v>
      </c>
      <c r="AI3743">
        <v>100</v>
      </c>
      <c r="AJ3743">
        <v>1</v>
      </c>
      <c r="AK3743">
        <v>0</v>
      </c>
      <c r="AL3743">
        <v>0</v>
      </c>
      <c r="AM3743">
        <v>100</v>
      </c>
      <c r="AN3743">
        <v>0</v>
      </c>
      <c r="AO3743">
        <v>0</v>
      </c>
      <c r="AP3743">
        <v>0</v>
      </c>
      <c r="AQ3743">
        <v>0</v>
      </c>
      <c r="AS3743">
        <v>0</v>
      </c>
      <c r="AT3743">
        <v>0</v>
      </c>
      <c r="AV3743">
        <v>0</v>
      </c>
      <c r="AW3743">
        <v>0</v>
      </c>
      <c r="AY3743">
        <v>0</v>
      </c>
      <c r="AZ3743">
        <v>0</v>
      </c>
      <c r="BA3743">
        <v>70</v>
      </c>
      <c r="BE3743" t="str">
        <f>T("9791137018587")</f>
        <v>9791137018587</v>
      </c>
      <c r="BF3743" t="str">
        <f>T("k427344")</f>
        <v>k427344</v>
      </c>
      <c r="BG3743" t="str">
        <f>T("판타지 웹소설 &gt; 현대 판타지")</f>
        <v>판타지 웹소설 &gt; 현대 판타지</v>
      </c>
    </row>
    <row r="3744" spans="1:59">
      <c r="A3744" t="s">
        <v>60</v>
      </c>
      <c r="B3744" s="1">
        <v>46130</v>
      </c>
      <c r="C3744">
        <v>2378074641</v>
      </c>
      <c r="D3744">
        <v>2378074958</v>
      </c>
      <c r="E3744" t="str">
        <f>T("시한부 아이돌이 살아남는 법 외전 18화")</f>
        <v>시한부 아이돌이 살아남는 법 외전 18화</v>
      </c>
      <c r="F3744">
        <v>318</v>
      </c>
      <c r="G3744" t="str">
        <f>T("해날")</f>
        <v>해날</v>
      </c>
      <c r="J3744" t="str">
        <f>T("매드햇")</f>
        <v>매드햇</v>
      </c>
      <c r="K3744" t="str">
        <f>T("시한부 아이돌이 살아남는 법")</f>
        <v>시한부 아이돌이 살아남는 법</v>
      </c>
      <c r="L3744">
        <v>100</v>
      </c>
      <c r="M3744">
        <v>100</v>
      </c>
      <c r="N3744">
        <v>1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0</v>
      </c>
      <c r="AH3744">
        <v>0</v>
      </c>
      <c r="AI3744">
        <v>100</v>
      </c>
      <c r="AJ3744">
        <v>1</v>
      </c>
      <c r="AK3744">
        <v>0</v>
      </c>
      <c r="AL3744">
        <v>0</v>
      </c>
      <c r="AM3744">
        <v>100</v>
      </c>
      <c r="AN3744">
        <v>0</v>
      </c>
      <c r="AO3744">
        <v>0</v>
      </c>
      <c r="AP3744">
        <v>0</v>
      </c>
      <c r="AQ3744">
        <v>0</v>
      </c>
      <c r="AS3744">
        <v>0</v>
      </c>
      <c r="AT3744">
        <v>0</v>
      </c>
      <c r="AV3744">
        <v>0</v>
      </c>
      <c r="AW3744">
        <v>0</v>
      </c>
      <c r="AY3744">
        <v>0</v>
      </c>
      <c r="AZ3744">
        <v>0</v>
      </c>
      <c r="BA3744">
        <v>70</v>
      </c>
      <c r="BE3744" t="str">
        <f>T("9791137018587")</f>
        <v>9791137018587</v>
      </c>
      <c r="BF3744" t="str">
        <f>T("k427347")</f>
        <v>k427347</v>
      </c>
      <c r="BG3744" t="str">
        <f>T("판타지 웹소설 &gt; 현대 판타지")</f>
        <v>판타지 웹소설 &gt; 현대 판타지</v>
      </c>
    </row>
    <row r="3745" spans="1:59">
      <c r="A3745" t="s">
        <v>60</v>
      </c>
      <c r="B3745" s="1">
        <v>46130</v>
      </c>
      <c r="C3745">
        <v>2378074641</v>
      </c>
      <c r="D3745">
        <v>2378074676</v>
      </c>
      <c r="E3745" t="str">
        <f>T("시한부 아이돌이 살아남는 법 36화")</f>
        <v>시한부 아이돌이 살아남는 법 36화</v>
      </c>
      <c r="F3745">
        <v>36</v>
      </c>
      <c r="G3745" t="str">
        <f>T("해날")</f>
        <v>해날</v>
      </c>
      <c r="J3745" t="str">
        <f>T("매드햇")</f>
        <v>매드햇</v>
      </c>
      <c r="K3745" t="str">
        <f>T("시한부 아이돌이 살아남는 법")</f>
        <v>시한부 아이돌이 살아남는 법</v>
      </c>
      <c r="L3745">
        <v>100</v>
      </c>
      <c r="M3745">
        <v>100</v>
      </c>
      <c r="N3745">
        <v>1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0</v>
      </c>
      <c r="AH3745">
        <v>0</v>
      </c>
      <c r="AI3745">
        <v>100</v>
      </c>
      <c r="AJ3745">
        <v>1</v>
      </c>
      <c r="AK3745">
        <v>0</v>
      </c>
      <c r="AL3745">
        <v>0</v>
      </c>
      <c r="AM3745">
        <v>100</v>
      </c>
      <c r="AN3745">
        <v>0</v>
      </c>
      <c r="AO3745">
        <v>0</v>
      </c>
      <c r="AP3745">
        <v>0</v>
      </c>
      <c r="AQ3745">
        <v>0</v>
      </c>
      <c r="AS3745">
        <v>0</v>
      </c>
      <c r="AT3745">
        <v>0</v>
      </c>
      <c r="AV3745">
        <v>0</v>
      </c>
      <c r="AW3745">
        <v>0</v>
      </c>
      <c r="AY3745">
        <v>0</v>
      </c>
      <c r="AZ3745">
        <v>0</v>
      </c>
      <c r="BA3745">
        <v>70</v>
      </c>
      <c r="BE3745" t="str">
        <f>T("9791137018587")</f>
        <v>9791137018587</v>
      </c>
      <c r="BF3745" t="str">
        <f>T("k238094")</f>
        <v>k238094</v>
      </c>
      <c r="BG3745" t="str">
        <f>T("판타지 웹소설 &gt; 현대 판타지")</f>
        <v>판타지 웹소설 &gt; 현대 판타지</v>
      </c>
    </row>
    <row r="3746" spans="1:59">
      <c r="A3746" t="s">
        <v>60</v>
      </c>
      <c r="B3746" s="1">
        <v>46130</v>
      </c>
      <c r="C3746">
        <v>2378074641</v>
      </c>
      <c r="D3746">
        <v>2378074641</v>
      </c>
      <c r="E3746" t="str">
        <f>T("시한부 아이돌이 살아남는 법 1화")</f>
        <v>시한부 아이돌이 살아남는 법 1화</v>
      </c>
      <c r="F3746">
        <v>1</v>
      </c>
      <c r="G3746" t="str">
        <f>T("해날")</f>
        <v>해날</v>
      </c>
      <c r="J3746" t="str">
        <f>T("매드햇")</f>
        <v>매드햇</v>
      </c>
      <c r="K3746" t="str">
        <f>T("시한부 아이돌이 살아남는 법")</f>
        <v>시한부 아이돌이 살아남는 법</v>
      </c>
      <c r="L3746">
        <v>0</v>
      </c>
      <c r="M3746">
        <v>0</v>
      </c>
      <c r="N3746">
        <v>0</v>
      </c>
      <c r="O3746">
        <v>2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0</v>
      </c>
      <c r="AH3746">
        <v>0</v>
      </c>
      <c r="AI3746">
        <v>0</v>
      </c>
      <c r="AJ3746">
        <v>2</v>
      </c>
      <c r="AK3746">
        <v>0</v>
      </c>
      <c r="AL3746">
        <v>0</v>
      </c>
      <c r="AM3746">
        <v>0</v>
      </c>
      <c r="AN3746">
        <v>0</v>
      </c>
      <c r="AO3746">
        <v>0</v>
      </c>
      <c r="AP3746">
        <v>0</v>
      </c>
      <c r="AQ3746">
        <v>0</v>
      </c>
      <c r="AS3746">
        <v>0</v>
      </c>
      <c r="AT3746">
        <v>0</v>
      </c>
      <c r="AV3746">
        <v>0</v>
      </c>
      <c r="AW3746">
        <v>0</v>
      </c>
      <c r="AY3746">
        <v>0</v>
      </c>
      <c r="AZ3746">
        <v>0</v>
      </c>
      <c r="BA3746">
        <v>0</v>
      </c>
      <c r="BE3746" t="str">
        <f>T("9791137018587")</f>
        <v>9791137018587</v>
      </c>
      <c r="BF3746" t="str">
        <f>T("k238059")</f>
        <v>k238059</v>
      </c>
      <c r="BG3746" t="str">
        <f>T("판타지 웹소설 &gt; 현대 판타지")</f>
        <v>판타지 웹소설 &gt; 현대 판타지</v>
      </c>
    </row>
    <row r="3747" spans="1:59">
      <c r="A3747" t="s">
        <v>60</v>
      </c>
      <c r="B3747" s="1">
        <v>46130</v>
      </c>
      <c r="C3747">
        <v>2378074641</v>
      </c>
      <c r="D3747">
        <v>2378074642</v>
      </c>
      <c r="E3747" t="str">
        <f>T("시한부 아이돌이 살아남는 법 2화")</f>
        <v>시한부 아이돌이 살아남는 법 2화</v>
      </c>
      <c r="F3747">
        <v>2</v>
      </c>
      <c r="G3747" t="str">
        <f>T("해날")</f>
        <v>해날</v>
      </c>
      <c r="J3747" t="str">
        <f>T("매드햇")</f>
        <v>매드햇</v>
      </c>
      <c r="K3747" t="str">
        <f>T("시한부 아이돌이 살아남는 법")</f>
        <v>시한부 아이돌이 살아남는 법</v>
      </c>
      <c r="L3747">
        <v>0</v>
      </c>
      <c r="M3747">
        <v>0</v>
      </c>
      <c r="N3747">
        <v>0</v>
      </c>
      <c r="O3747">
        <v>1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0</v>
      </c>
      <c r="AH3747">
        <v>0</v>
      </c>
      <c r="AI3747">
        <v>0</v>
      </c>
      <c r="AJ3747">
        <v>1</v>
      </c>
      <c r="AK3747">
        <v>0</v>
      </c>
      <c r="AL3747">
        <v>0</v>
      </c>
      <c r="AM3747">
        <v>0</v>
      </c>
      <c r="AN3747">
        <v>0</v>
      </c>
      <c r="AO3747">
        <v>0</v>
      </c>
      <c r="AP3747">
        <v>0</v>
      </c>
      <c r="AQ3747">
        <v>0</v>
      </c>
      <c r="AS3747">
        <v>0</v>
      </c>
      <c r="AT3747">
        <v>0</v>
      </c>
      <c r="AV3747">
        <v>0</v>
      </c>
      <c r="AW3747">
        <v>0</v>
      </c>
      <c r="AY3747">
        <v>0</v>
      </c>
      <c r="AZ3747">
        <v>0</v>
      </c>
      <c r="BA3747">
        <v>0</v>
      </c>
      <c r="BE3747" t="str">
        <f>T("9791137018587")</f>
        <v>9791137018587</v>
      </c>
      <c r="BF3747" t="str">
        <f>T("k238060")</f>
        <v>k238060</v>
      </c>
      <c r="BG3747" t="str">
        <f>T("판타지 웹소설 &gt; 현대 판타지")</f>
        <v>판타지 웹소설 &gt; 현대 판타지</v>
      </c>
    </row>
    <row r="3748" spans="1:59">
      <c r="A3748" t="s">
        <v>60</v>
      </c>
      <c r="B3748" s="1">
        <v>46130</v>
      </c>
      <c r="C3748">
        <v>2378074641</v>
      </c>
      <c r="D3748">
        <v>2378074643</v>
      </c>
      <c r="E3748" t="str">
        <f>T("시한부 아이돌이 살아남는 법 3화")</f>
        <v>시한부 아이돌이 살아남는 법 3화</v>
      </c>
      <c r="F3748">
        <v>3</v>
      </c>
      <c r="G3748" t="str">
        <f>T("해날")</f>
        <v>해날</v>
      </c>
      <c r="J3748" t="str">
        <f>T("매드햇")</f>
        <v>매드햇</v>
      </c>
      <c r="K3748" t="str">
        <f>T("시한부 아이돌이 살아남는 법")</f>
        <v>시한부 아이돌이 살아남는 법</v>
      </c>
      <c r="L3748">
        <v>0</v>
      </c>
      <c r="M3748">
        <v>0</v>
      </c>
      <c r="N3748">
        <v>0</v>
      </c>
      <c r="O3748">
        <v>1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0</v>
      </c>
      <c r="AH3748">
        <v>0</v>
      </c>
      <c r="AI3748">
        <v>0</v>
      </c>
      <c r="AJ3748">
        <v>1</v>
      </c>
      <c r="AK3748">
        <v>0</v>
      </c>
      <c r="AL3748">
        <v>0</v>
      </c>
      <c r="AM3748">
        <v>0</v>
      </c>
      <c r="AN3748">
        <v>0</v>
      </c>
      <c r="AO3748">
        <v>0</v>
      </c>
      <c r="AP3748">
        <v>0</v>
      </c>
      <c r="AQ3748">
        <v>0</v>
      </c>
      <c r="AS3748">
        <v>0</v>
      </c>
      <c r="AT3748">
        <v>0</v>
      </c>
      <c r="AV3748">
        <v>0</v>
      </c>
      <c r="AW3748">
        <v>0</v>
      </c>
      <c r="AY3748">
        <v>0</v>
      </c>
      <c r="AZ3748">
        <v>0</v>
      </c>
      <c r="BA3748">
        <v>0</v>
      </c>
      <c r="BE3748" t="str">
        <f>T("9791137018587")</f>
        <v>9791137018587</v>
      </c>
      <c r="BF3748" t="str">
        <f>T("k238061")</f>
        <v>k238061</v>
      </c>
      <c r="BG3748" t="str">
        <f>T("판타지 웹소설 &gt; 현대 판타지")</f>
        <v>판타지 웹소설 &gt; 현대 판타지</v>
      </c>
    </row>
    <row r="3749" spans="1:59">
      <c r="A3749" t="s">
        <v>60</v>
      </c>
      <c r="B3749" s="1">
        <v>46130</v>
      </c>
      <c r="C3749">
        <v>2378074641</v>
      </c>
      <c r="D3749">
        <v>2378074644</v>
      </c>
      <c r="E3749" t="str">
        <f>T("시한부 아이돌이 살아남는 법 4화")</f>
        <v>시한부 아이돌이 살아남는 법 4화</v>
      </c>
      <c r="F3749">
        <v>4</v>
      </c>
      <c r="G3749" t="str">
        <f>T("해날")</f>
        <v>해날</v>
      </c>
      <c r="J3749" t="str">
        <f>T("매드햇")</f>
        <v>매드햇</v>
      </c>
      <c r="K3749" t="str">
        <f>T("시한부 아이돌이 살아남는 법")</f>
        <v>시한부 아이돌이 살아남는 법</v>
      </c>
      <c r="L3749">
        <v>0</v>
      </c>
      <c r="M3749">
        <v>0</v>
      </c>
      <c r="N3749">
        <v>0</v>
      </c>
      <c r="O3749">
        <v>1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0</v>
      </c>
      <c r="AH3749">
        <v>0</v>
      </c>
      <c r="AI3749">
        <v>0</v>
      </c>
      <c r="AJ3749">
        <v>1</v>
      </c>
      <c r="AK3749">
        <v>0</v>
      </c>
      <c r="AL3749">
        <v>0</v>
      </c>
      <c r="AM3749">
        <v>0</v>
      </c>
      <c r="AN3749">
        <v>0</v>
      </c>
      <c r="AO3749">
        <v>0</v>
      </c>
      <c r="AP3749">
        <v>0</v>
      </c>
      <c r="AQ3749">
        <v>0</v>
      </c>
      <c r="AS3749">
        <v>0</v>
      </c>
      <c r="AT3749">
        <v>0</v>
      </c>
      <c r="AV3749">
        <v>0</v>
      </c>
      <c r="AW3749">
        <v>0</v>
      </c>
      <c r="AY3749">
        <v>0</v>
      </c>
      <c r="AZ3749">
        <v>0</v>
      </c>
      <c r="BA3749">
        <v>0</v>
      </c>
      <c r="BE3749" t="str">
        <f>T("9791137018587")</f>
        <v>9791137018587</v>
      </c>
      <c r="BF3749" t="str">
        <f>T("k238062")</f>
        <v>k238062</v>
      </c>
      <c r="BG3749" t="str">
        <f>T("판타지 웹소설 &gt; 현대 판타지")</f>
        <v>판타지 웹소설 &gt; 현대 판타지</v>
      </c>
    </row>
    <row r="3750" spans="1:59">
      <c r="A3750" t="s">
        <v>60</v>
      </c>
      <c r="B3750" s="1">
        <v>46130</v>
      </c>
      <c r="C3750">
        <v>2378074641</v>
      </c>
      <c r="D3750">
        <v>2378074645</v>
      </c>
      <c r="E3750" t="str">
        <f>T("시한부 아이돌이 살아남는 법 5화")</f>
        <v>시한부 아이돌이 살아남는 법 5화</v>
      </c>
      <c r="F3750">
        <v>5</v>
      </c>
      <c r="G3750" t="str">
        <f>T("해날")</f>
        <v>해날</v>
      </c>
      <c r="J3750" t="str">
        <f>T("매드햇")</f>
        <v>매드햇</v>
      </c>
      <c r="K3750" t="str">
        <f>T("시한부 아이돌이 살아남는 법")</f>
        <v>시한부 아이돌이 살아남는 법</v>
      </c>
      <c r="L3750">
        <v>0</v>
      </c>
      <c r="M3750">
        <v>0</v>
      </c>
      <c r="N3750">
        <v>0</v>
      </c>
      <c r="O3750">
        <v>1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0</v>
      </c>
      <c r="AH3750">
        <v>0</v>
      </c>
      <c r="AI3750">
        <v>0</v>
      </c>
      <c r="AJ3750">
        <v>1</v>
      </c>
      <c r="AK3750">
        <v>0</v>
      </c>
      <c r="AL3750">
        <v>0</v>
      </c>
      <c r="AM3750">
        <v>0</v>
      </c>
      <c r="AN3750">
        <v>0</v>
      </c>
      <c r="AO3750">
        <v>0</v>
      </c>
      <c r="AP3750">
        <v>0</v>
      </c>
      <c r="AQ3750">
        <v>0</v>
      </c>
      <c r="AS3750">
        <v>0</v>
      </c>
      <c r="AT3750">
        <v>0</v>
      </c>
      <c r="AV3750">
        <v>0</v>
      </c>
      <c r="AW3750">
        <v>0</v>
      </c>
      <c r="AY3750">
        <v>0</v>
      </c>
      <c r="AZ3750">
        <v>0</v>
      </c>
      <c r="BA3750">
        <v>0</v>
      </c>
      <c r="BE3750" t="str">
        <f>T("9791137018587")</f>
        <v>9791137018587</v>
      </c>
      <c r="BF3750" t="str">
        <f>T("k238063")</f>
        <v>k238063</v>
      </c>
      <c r="BG3750" t="str">
        <f>T("판타지 웹소설 &gt; 현대 판타지")</f>
        <v>판타지 웹소설 &gt; 현대 판타지</v>
      </c>
    </row>
    <row r="3751" spans="1:59">
      <c r="A3751" t="s">
        <v>60</v>
      </c>
      <c r="B3751" s="1">
        <v>46130</v>
      </c>
      <c r="C3751">
        <v>2378074641</v>
      </c>
      <c r="D3751">
        <v>2378074646</v>
      </c>
      <c r="E3751" t="str">
        <f>T("시한부 아이돌이 살아남는 법 6화")</f>
        <v>시한부 아이돌이 살아남는 법 6화</v>
      </c>
      <c r="F3751">
        <v>6</v>
      </c>
      <c r="G3751" t="str">
        <f>T("해날")</f>
        <v>해날</v>
      </c>
      <c r="J3751" t="str">
        <f>T("매드햇")</f>
        <v>매드햇</v>
      </c>
      <c r="K3751" t="str">
        <f>T("시한부 아이돌이 살아남는 법")</f>
        <v>시한부 아이돌이 살아남는 법</v>
      </c>
      <c r="L3751">
        <v>0</v>
      </c>
      <c r="M3751">
        <v>0</v>
      </c>
      <c r="N3751">
        <v>0</v>
      </c>
      <c r="O3751">
        <v>1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0</v>
      </c>
      <c r="AH3751">
        <v>0</v>
      </c>
      <c r="AI3751">
        <v>0</v>
      </c>
      <c r="AJ3751">
        <v>1</v>
      </c>
      <c r="AK3751">
        <v>0</v>
      </c>
      <c r="AL3751">
        <v>0</v>
      </c>
      <c r="AM3751">
        <v>0</v>
      </c>
      <c r="AN3751">
        <v>0</v>
      </c>
      <c r="AO3751">
        <v>0</v>
      </c>
      <c r="AP3751">
        <v>0</v>
      </c>
      <c r="AQ3751">
        <v>0</v>
      </c>
      <c r="AS3751">
        <v>0</v>
      </c>
      <c r="AT3751">
        <v>0</v>
      </c>
      <c r="AV3751">
        <v>0</v>
      </c>
      <c r="AW3751">
        <v>0</v>
      </c>
      <c r="AY3751">
        <v>0</v>
      </c>
      <c r="AZ3751">
        <v>0</v>
      </c>
      <c r="BA3751">
        <v>0</v>
      </c>
      <c r="BE3751" t="str">
        <f>T("9791137018587")</f>
        <v>9791137018587</v>
      </c>
      <c r="BF3751" t="str">
        <f>T("k238064")</f>
        <v>k238064</v>
      </c>
      <c r="BG3751" t="str">
        <f>T("판타지 웹소설 &gt; 현대 판타지")</f>
        <v>판타지 웹소설 &gt; 현대 판타지</v>
      </c>
    </row>
    <row r="3752" spans="1:59">
      <c r="A3752" t="s">
        <v>60</v>
      </c>
      <c r="B3752" s="1">
        <v>46130</v>
      </c>
      <c r="C3752">
        <v>2378074641</v>
      </c>
      <c r="D3752">
        <v>2378074647</v>
      </c>
      <c r="E3752" t="str">
        <f>T("시한부 아이돌이 살아남는 법 7화")</f>
        <v>시한부 아이돌이 살아남는 법 7화</v>
      </c>
      <c r="F3752">
        <v>7</v>
      </c>
      <c r="G3752" t="str">
        <f>T("해날")</f>
        <v>해날</v>
      </c>
      <c r="J3752" t="str">
        <f>T("매드햇")</f>
        <v>매드햇</v>
      </c>
      <c r="K3752" t="str">
        <f>T("시한부 아이돌이 살아남는 법")</f>
        <v>시한부 아이돌이 살아남는 법</v>
      </c>
      <c r="L3752">
        <v>0</v>
      </c>
      <c r="M3752">
        <v>0</v>
      </c>
      <c r="N3752">
        <v>0</v>
      </c>
      <c r="O3752">
        <v>1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0</v>
      </c>
      <c r="AH3752">
        <v>0</v>
      </c>
      <c r="AI3752">
        <v>0</v>
      </c>
      <c r="AJ3752">
        <v>1</v>
      </c>
      <c r="AK3752">
        <v>0</v>
      </c>
      <c r="AL3752">
        <v>0</v>
      </c>
      <c r="AM3752">
        <v>0</v>
      </c>
      <c r="AN3752">
        <v>0</v>
      </c>
      <c r="AO3752">
        <v>0</v>
      </c>
      <c r="AP3752">
        <v>0</v>
      </c>
      <c r="AQ3752">
        <v>0</v>
      </c>
      <c r="AS3752">
        <v>0</v>
      </c>
      <c r="AT3752">
        <v>0</v>
      </c>
      <c r="AV3752">
        <v>0</v>
      </c>
      <c r="AW3752">
        <v>0</v>
      </c>
      <c r="AY3752">
        <v>0</v>
      </c>
      <c r="AZ3752">
        <v>0</v>
      </c>
      <c r="BA3752">
        <v>0</v>
      </c>
      <c r="BE3752" t="str">
        <f>T("9791137018587")</f>
        <v>9791137018587</v>
      </c>
      <c r="BF3752" t="str">
        <f>T("k238065")</f>
        <v>k238065</v>
      </c>
      <c r="BG3752" t="str">
        <f>T("판타지 웹소설 &gt; 현대 판타지")</f>
        <v>판타지 웹소설 &gt; 현대 판타지</v>
      </c>
    </row>
    <row r="3753" spans="1:59">
      <c r="A3753" t="s">
        <v>60</v>
      </c>
      <c r="B3753" s="1">
        <v>46130</v>
      </c>
      <c r="C3753">
        <v>2378074641</v>
      </c>
      <c r="D3753">
        <v>2378074648</v>
      </c>
      <c r="E3753" t="str">
        <f>T("시한부 아이돌이 살아남는 법 8화")</f>
        <v>시한부 아이돌이 살아남는 법 8화</v>
      </c>
      <c r="F3753">
        <v>8</v>
      </c>
      <c r="G3753" t="str">
        <f>T("해날")</f>
        <v>해날</v>
      </c>
      <c r="J3753" t="str">
        <f>T("매드햇")</f>
        <v>매드햇</v>
      </c>
      <c r="K3753" t="str">
        <f>T("시한부 아이돌이 살아남는 법")</f>
        <v>시한부 아이돌이 살아남는 법</v>
      </c>
      <c r="L3753">
        <v>0</v>
      </c>
      <c r="M3753">
        <v>0</v>
      </c>
      <c r="N3753">
        <v>0</v>
      </c>
      <c r="O3753">
        <v>1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0</v>
      </c>
      <c r="AH3753">
        <v>0</v>
      </c>
      <c r="AI3753">
        <v>0</v>
      </c>
      <c r="AJ3753">
        <v>1</v>
      </c>
      <c r="AK3753">
        <v>0</v>
      </c>
      <c r="AL3753">
        <v>0</v>
      </c>
      <c r="AM3753">
        <v>0</v>
      </c>
      <c r="AN3753">
        <v>0</v>
      </c>
      <c r="AO3753">
        <v>0</v>
      </c>
      <c r="AP3753">
        <v>0</v>
      </c>
      <c r="AQ3753">
        <v>0</v>
      </c>
      <c r="AS3753">
        <v>0</v>
      </c>
      <c r="AT3753">
        <v>0</v>
      </c>
      <c r="AV3753">
        <v>0</v>
      </c>
      <c r="AW3753">
        <v>0</v>
      </c>
      <c r="AY3753">
        <v>0</v>
      </c>
      <c r="AZ3753">
        <v>0</v>
      </c>
      <c r="BA3753">
        <v>0</v>
      </c>
      <c r="BE3753" t="str">
        <f>T("9791137018587")</f>
        <v>9791137018587</v>
      </c>
      <c r="BF3753" t="str">
        <f>T("k238066")</f>
        <v>k238066</v>
      </c>
      <c r="BG3753" t="str">
        <f>T("판타지 웹소설 &gt; 현대 판타지")</f>
        <v>판타지 웹소설 &gt; 현대 판타지</v>
      </c>
    </row>
    <row r="3754" spans="1:59">
      <c r="A3754" t="s">
        <v>60</v>
      </c>
      <c r="B3754" s="1">
        <v>46130</v>
      </c>
      <c r="C3754">
        <v>2378074641</v>
      </c>
      <c r="D3754">
        <v>2378074649</v>
      </c>
      <c r="E3754" t="str">
        <f>T("시한부 아이돌이 살아남는 법 9화")</f>
        <v>시한부 아이돌이 살아남는 법 9화</v>
      </c>
      <c r="F3754">
        <v>9</v>
      </c>
      <c r="G3754" t="str">
        <f>T("해날")</f>
        <v>해날</v>
      </c>
      <c r="J3754" t="str">
        <f>T("매드햇")</f>
        <v>매드햇</v>
      </c>
      <c r="K3754" t="str">
        <f>T("시한부 아이돌이 살아남는 법")</f>
        <v>시한부 아이돌이 살아남는 법</v>
      </c>
      <c r="L3754">
        <v>0</v>
      </c>
      <c r="M3754">
        <v>0</v>
      </c>
      <c r="N3754">
        <v>0</v>
      </c>
      <c r="O3754">
        <v>1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0</v>
      </c>
      <c r="AH3754">
        <v>0</v>
      </c>
      <c r="AI3754">
        <v>0</v>
      </c>
      <c r="AJ3754">
        <v>1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S3754">
        <v>0</v>
      </c>
      <c r="AT3754">
        <v>0</v>
      </c>
      <c r="AV3754">
        <v>0</v>
      </c>
      <c r="AW3754">
        <v>0</v>
      </c>
      <c r="AY3754">
        <v>0</v>
      </c>
      <c r="AZ3754">
        <v>0</v>
      </c>
      <c r="BA3754">
        <v>0</v>
      </c>
      <c r="BE3754" t="str">
        <f>T("9791137018587")</f>
        <v>9791137018587</v>
      </c>
      <c r="BF3754" t="str">
        <f>T("k238067")</f>
        <v>k238067</v>
      </c>
      <c r="BG3754" t="str">
        <f>T("판타지 웹소설 &gt; 현대 판타지")</f>
        <v>판타지 웹소설 &gt; 현대 판타지</v>
      </c>
    </row>
    <row r="3755" spans="1:59">
      <c r="A3755" t="s">
        <v>60</v>
      </c>
      <c r="B3755" s="1">
        <v>46130</v>
      </c>
      <c r="C3755">
        <v>2378074641</v>
      </c>
      <c r="D3755">
        <v>2378074650</v>
      </c>
      <c r="E3755" t="str">
        <f>T("시한부 아이돌이 살아남는 법 10화")</f>
        <v>시한부 아이돌이 살아남는 법 10화</v>
      </c>
      <c r="F3755">
        <v>10</v>
      </c>
      <c r="G3755" t="str">
        <f>T("해날")</f>
        <v>해날</v>
      </c>
      <c r="J3755" t="str">
        <f>T("매드햇")</f>
        <v>매드햇</v>
      </c>
      <c r="K3755" t="str">
        <f>T("시한부 아이돌이 살아남는 법")</f>
        <v>시한부 아이돌이 살아남는 법</v>
      </c>
      <c r="L3755">
        <v>0</v>
      </c>
      <c r="M3755">
        <v>0</v>
      </c>
      <c r="N3755">
        <v>0</v>
      </c>
      <c r="O3755">
        <v>1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0</v>
      </c>
      <c r="AH3755">
        <v>0</v>
      </c>
      <c r="AI3755">
        <v>0</v>
      </c>
      <c r="AJ3755">
        <v>1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S3755">
        <v>0</v>
      </c>
      <c r="AT3755">
        <v>0</v>
      </c>
      <c r="AV3755">
        <v>0</v>
      </c>
      <c r="AW3755">
        <v>0</v>
      </c>
      <c r="AY3755">
        <v>0</v>
      </c>
      <c r="AZ3755">
        <v>0</v>
      </c>
      <c r="BA3755">
        <v>0</v>
      </c>
      <c r="BE3755" t="str">
        <f>T("9791137018587")</f>
        <v>9791137018587</v>
      </c>
      <c r="BF3755" t="str">
        <f>T("k238068")</f>
        <v>k238068</v>
      </c>
      <c r="BG3755" t="str">
        <f>T("판타지 웹소설 &gt; 현대 판타지")</f>
        <v>판타지 웹소설 &gt; 현대 판타지</v>
      </c>
    </row>
    <row r="3756" spans="1:59">
      <c r="A3756" t="s">
        <v>60</v>
      </c>
      <c r="B3756" s="1">
        <v>46130</v>
      </c>
      <c r="C3756">
        <v>2378074641</v>
      </c>
      <c r="D3756">
        <v>2378074880</v>
      </c>
      <c r="E3756" t="str">
        <f>T("시한부 아이돌이 살아남는 법 시즌3 40화")</f>
        <v>시한부 아이돌이 살아남는 법 시즌3 40화</v>
      </c>
      <c r="F3756">
        <v>240</v>
      </c>
      <c r="G3756" t="str">
        <f>T("해날")</f>
        <v>해날</v>
      </c>
      <c r="J3756" t="str">
        <f>T("매드햇")</f>
        <v>매드햇</v>
      </c>
      <c r="K3756" t="str">
        <f>T("시한부 아이돌이 살아남는 법")</f>
        <v>시한부 아이돌이 살아남는 법</v>
      </c>
      <c r="L3756">
        <v>100</v>
      </c>
      <c r="M3756">
        <v>100</v>
      </c>
      <c r="N3756">
        <v>1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0</v>
      </c>
      <c r="AH3756">
        <v>0</v>
      </c>
      <c r="AI3756">
        <v>100</v>
      </c>
      <c r="AJ3756">
        <v>1</v>
      </c>
      <c r="AK3756">
        <v>0</v>
      </c>
      <c r="AL3756">
        <v>0</v>
      </c>
      <c r="AM3756">
        <v>100</v>
      </c>
      <c r="AN3756">
        <v>0</v>
      </c>
      <c r="AO3756">
        <v>0</v>
      </c>
      <c r="AP3756">
        <v>0</v>
      </c>
      <c r="AQ3756">
        <v>0</v>
      </c>
      <c r="AS3756">
        <v>0</v>
      </c>
      <c r="AT3756">
        <v>0</v>
      </c>
      <c r="AV3756">
        <v>0</v>
      </c>
      <c r="AW3756">
        <v>0</v>
      </c>
      <c r="AY3756">
        <v>0</v>
      </c>
      <c r="AZ3756">
        <v>0</v>
      </c>
      <c r="BA3756">
        <v>70</v>
      </c>
      <c r="BE3756" t="str">
        <f>T("9791137018587")</f>
        <v>9791137018587</v>
      </c>
      <c r="BF3756" t="str">
        <f>T("k399825")</f>
        <v>k399825</v>
      </c>
      <c r="BG3756" t="str">
        <f>T("판타지 웹소설 &gt; 현대 판타지")</f>
        <v>판타지 웹소설 &gt; 현대 판타지</v>
      </c>
    </row>
    <row r="3757" spans="1:59">
      <c r="A3757" t="s">
        <v>60</v>
      </c>
      <c r="B3757" s="1">
        <v>46130</v>
      </c>
      <c r="C3757">
        <v>2378074641</v>
      </c>
      <c r="D3757">
        <v>2378074956</v>
      </c>
      <c r="E3757" t="str">
        <f>T("시한부 아이돌이 살아남는 법 외전 16화")</f>
        <v>시한부 아이돌이 살아남는 법 외전 16화</v>
      </c>
      <c r="F3757">
        <v>316</v>
      </c>
      <c r="G3757" t="str">
        <f>T("해날")</f>
        <v>해날</v>
      </c>
      <c r="J3757" t="str">
        <f>T("매드햇")</f>
        <v>매드햇</v>
      </c>
      <c r="K3757" t="str">
        <f>T("시한부 아이돌이 살아남는 법")</f>
        <v>시한부 아이돌이 살아남는 법</v>
      </c>
      <c r="L3757">
        <v>100</v>
      </c>
      <c r="M3757">
        <v>100</v>
      </c>
      <c r="N3757">
        <v>1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0</v>
      </c>
      <c r="AH3757">
        <v>0</v>
      </c>
      <c r="AI3757">
        <v>100</v>
      </c>
      <c r="AJ3757">
        <v>1</v>
      </c>
      <c r="AK3757">
        <v>0</v>
      </c>
      <c r="AL3757">
        <v>0</v>
      </c>
      <c r="AM3757">
        <v>100</v>
      </c>
      <c r="AN3757">
        <v>0</v>
      </c>
      <c r="AO3757">
        <v>0</v>
      </c>
      <c r="AP3757">
        <v>0</v>
      </c>
      <c r="AQ3757">
        <v>0</v>
      </c>
      <c r="AS3757">
        <v>0</v>
      </c>
      <c r="AT3757">
        <v>0</v>
      </c>
      <c r="AV3757">
        <v>0</v>
      </c>
      <c r="AW3757">
        <v>0</v>
      </c>
      <c r="AY3757">
        <v>0</v>
      </c>
      <c r="AZ3757">
        <v>0</v>
      </c>
      <c r="BA3757">
        <v>70</v>
      </c>
      <c r="BE3757" t="str">
        <f>T("9791137018587")</f>
        <v>9791137018587</v>
      </c>
      <c r="BF3757" t="str">
        <f>T("k427345")</f>
        <v>k427345</v>
      </c>
      <c r="BG3757" t="str">
        <f>T("판타지 웹소설 &gt; 현대 판타지")</f>
        <v>판타지 웹소설 &gt; 현대 판타지</v>
      </c>
    </row>
    <row r="3758" spans="1:59">
      <c r="A3758" t="s">
        <v>60</v>
      </c>
      <c r="B3758" s="1">
        <v>46131</v>
      </c>
      <c r="C3758">
        <v>2378074641</v>
      </c>
      <c r="D3758">
        <v>2378074881</v>
      </c>
      <c r="E3758" t="str">
        <f>T("시한부 아이돌이 살아남는 법 시즌3 41화")</f>
        <v>시한부 아이돌이 살아남는 법 시즌3 41화</v>
      </c>
      <c r="F3758">
        <v>241</v>
      </c>
      <c r="G3758" t="str">
        <f>T("해날")</f>
        <v>해날</v>
      </c>
      <c r="J3758" t="str">
        <f>T("매드햇")</f>
        <v>매드햇</v>
      </c>
      <c r="K3758" t="str">
        <f>T("시한부 아이돌이 살아남는 법")</f>
        <v>시한부 아이돌이 살아남는 법</v>
      </c>
      <c r="L3758">
        <v>100</v>
      </c>
      <c r="M3758">
        <v>100</v>
      </c>
      <c r="N3758">
        <v>1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0</v>
      </c>
      <c r="AH3758">
        <v>0</v>
      </c>
      <c r="AI3758">
        <v>100</v>
      </c>
      <c r="AJ3758">
        <v>1</v>
      </c>
      <c r="AK3758">
        <v>0</v>
      </c>
      <c r="AL3758">
        <v>0</v>
      </c>
      <c r="AM3758">
        <v>100</v>
      </c>
      <c r="AN3758">
        <v>0</v>
      </c>
      <c r="AO3758">
        <v>0</v>
      </c>
      <c r="AP3758">
        <v>0</v>
      </c>
      <c r="AQ3758">
        <v>0</v>
      </c>
      <c r="AS3758">
        <v>0</v>
      </c>
      <c r="AT3758">
        <v>0</v>
      </c>
      <c r="AV3758">
        <v>0</v>
      </c>
      <c r="AW3758">
        <v>0</v>
      </c>
      <c r="AY3758">
        <v>0</v>
      </c>
      <c r="AZ3758">
        <v>0</v>
      </c>
      <c r="BA3758">
        <v>70</v>
      </c>
      <c r="BE3758" t="str">
        <f>T("9791137018587")</f>
        <v>9791137018587</v>
      </c>
      <c r="BF3758" t="str">
        <f>T("k399826")</f>
        <v>k399826</v>
      </c>
      <c r="BG3758" t="str">
        <f>T("판타지 웹소설 &gt; 현대 판타지")</f>
        <v>판타지 웹소설 &gt; 현대 판타지</v>
      </c>
    </row>
    <row r="3759" spans="1:59">
      <c r="A3759" t="s">
        <v>60</v>
      </c>
      <c r="B3759" s="1">
        <v>46131</v>
      </c>
      <c r="C3759">
        <v>2378074641</v>
      </c>
      <c r="D3759">
        <v>2378074882</v>
      </c>
      <c r="E3759" t="str">
        <f>T("시한부 아이돌이 살아남는 법 시즌3 42화")</f>
        <v>시한부 아이돌이 살아남는 법 시즌3 42화</v>
      </c>
      <c r="F3759">
        <v>242</v>
      </c>
      <c r="G3759" t="str">
        <f>T("해날")</f>
        <v>해날</v>
      </c>
      <c r="J3759" t="str">
        <f>T("매드햇")</f>
        <v>매드햇</v>
      </c>
      <c r="K3759" t="str">
        <f>T("시한부 아이돌이 살아남는 법")</f>
        <v>시한부 아이돌이 살아남는 법</v>
      </c>
      <c r="L3759">
        <v>100</v>
      </c>
      <c r="M3759">
        <v>100</v>
      </c>
      <c r="N3759">
        <v>1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0</v>
      </c>
      <c r="AH3759">
        <v>0</v>
      </c>
      <c r="AI3759">
        <v>100</v>
      </c>
      <c r="AJ3759">
        <v>1</v>
      </c>
      <c r="AK3759">
        <v>0</v>
      </c>
      <c r="AL3759">
        <v>0</v>
      </c>
      <c r="AM3759">
        <v>100</v>
      </c>
      <c r="AN3759">
        <v>0</v>
      </c>
      <c r="AO3759">
        <v>0</v>
      </c>
      <c r="AP3759">
        <v>0</v>
      </c>
      <c r="AQ3759">
        <v>0</v>
      </c>
      <c r="AS3759">
        <v>0</v>
      </c>
      <c r="AT3759">
        <v>0</v>
      </c>
      <c r="AV3759">
        <v>0</v>
      </c>
      <c r="AW3759">
        <v>0</v>
      </c>
      <c r="AY3759">
        <v>0</v>
      </c>
      <c r="AZ3759">
        <v>0</v>
      </c>
      <c r="BA3759">
        <v>70</v>
      </c>
      <c r="BE3759" t="str">
        <f>T("9791137018587")</f>
        <v>9791137018587</v>
      </c>
      <c r="BF3759" t="str">
        <f>T("k399827")</f>
        <v>k399827</v>
      </c>
      <c r="BG3759" t="str">
        <f>T("판타지 웹소설 &gt; 현대 판타지")</f>
        <v>판타지 웹소설 &gt; 현대 판타지</v>
      </c>
    </row>
    <row r="3760" spans="1:59">
      <c r="A3760" t="s">
        <v>60</v>
      </c>
      <c r="B3760" s="1">
        <v>46129</v>
      </c>
      <c r="C3760">
        <v>2378062653</v>
      </c>
      <c r="D3760">
        <v>2378062653</v>
      </c>
      <c r="E3760" t="str">
        <f>T("시한부라 은퇴합니다 1화")</f>
        <v>시한부라 은퇴합니다 1화</v>
      </c>
      <c r="F3760">
        <v>1</v>
      </c>
      <c r="G3760" t="str">
        <f>T("해달수")</f>
        <v>해달수</v>
      </c>
      <c r="J3760" t="str">
        <f>T("매드햇")</f>
        <v>매드햇</v>
      </c>
      <c r="K3760" t="str">
        <f>T("시한부라 은퇴합니다")</f>
        <v>시한부라 은퇴합니다</v>
      </c>
      <c r="L3760">
        <v>0</v>
      </c>
      <c r="M3760">
        <v>0</v>
      </c>
      <c r="N3760">
        <v>0</v>
      </c>
      <c r="O3760">
        <v>2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0</v>
      </c>
      <c r="AH3760">
        <v>0</v>
      </c>
      <c r="AI3760">
        <v>0</v>
      </c>
      <c r="AJ3760">
        <v>2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S3760">
        <v>0</v>
      </c>
      <c r="AT3760">
        <v>0</v>
      </c>
      <c r="AV3760">
        <v>0</v>
      </c>
      <c r="AW3760">
        <v>0</v>
      </c>
      <c r="AY3760">
        <v>0</v>
      </c>
      <c r="AZ3760">
        <v>0</v>
      </c>
      <c r="BA3760">
        <v>0</v>
      </c>
      <c r="BE3760" t="str">
        <f>T("9791137018655")</f>
        <v>9791137018655</v>
      </c>
      <c r="BF3760" t="str">
        <f>T("k245970")</f>
        <v>k245970</v>
      </c>
      <c r="BG3760" t="str">
        <f>T("판타지 웹소설 &gt; 퓨전 판타지")</f>
        <v>판타지 웹소설 &gt; 퓨전 판타지</v>
      </c>
    </row>
    <row r="3761" spans="1:59">
      <c r="A3761" t="s">
        <v>60</v>
      </c>
      <c r="B3761" s="1">
        <v>46129</v>
      </c>
      <c r="C3761">
        <v>2378062653</v>
      </c>
      <c r="D3761">
        <v>2378062654</v>
      </c>
      <c r="E3761" t="str">
        <f>T("시한부라 은퇴합니다 2화")</f>
        <v>시한부라 은퇴합니다 2화</v>
      </c>
      <c r="F3761">
        <v>2</v>
      </c>
      <c r="G3761" t="str">
        <f>T("해달수")</f>
        <v>해달수</v>
      </c>
      <c r="J3761" t="str">
        <f>T("매드햇")</f>
        <v>매드햇</v>
      </c>
      <c r="K3761" t="str">
        <f>T("시한부라 은퇴합니다")</f>
        <v>시한부라 은퇴합니다</v>
      </c>
      <c r="L3761">
        <v>0</v>
      </c>
      <c r="M3761">
        <v>0</v>
      </c>
      <c r="N3761">
        <v>0</v>
      </c>
      <c r="O3761">
        <v>1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0</v>
      </c>
      <c r="AH3761">
        <v>0</v>
      </c>
      <c r="AI3761">
        <v>0</v>
      </c>
      <c r="AJ3761">
        <v>1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S3761">
        <v>0</v>
      </c>
      <c r="AT3761">
        <v>0</v>
      </c>
      <c r="AV3761">
        <v>0</v>
      </c>
      <c r="AW3761">
        <v>0</v>
      </c>
      <c r="AY3761">
        <v>0</v>
      </c>
      <c r="AZ3761">
        <v>0</v>
      </c>
      <c r="BA3761">
        <v>0</v>
      </c>
      <c r="BE3761" t="str">
        <f>T("9791137018655")</f>
        <v>9791137018655</v>
      </c>
      <c r="BF3761" t="str">
        <f>T("k245971")</f>
        <v>k245971</v>
      </c>
      <c r="BG3761" t="str">
        <f>T("판타지 웹소설 &gt; 퓨전 판타지")</f>
        <v>판타지 웹소설 &gt; 퓨전 판타지</v>
      </c>
    </row>
    <row r="3762" spans="1:59">
      <c r="A3762" t="s">
        <v>60</v>
      </c>
      <c r="B3762" s="1">
        <v>46129</v>
      </c>
      <c r="C3762">
        <v>2378062653</v>
      </c>
      <c r="D3762">
        <v>2378062655</v>
      </c>
      <c r="E3762" t="str">
        <f>T("시한부라 은퇴합니다 3화")</f>
        <v>시한부라 은퇴합니다 3화</v>
      </c>
      <c r="F3762">
        <v>3</v>
      </c>
      <c r="G3762" t="str">
        <f>T("해달수")</f>
        <v>해달수</v>
      </c>
      <c r="J3762" t="str">
        <f>T("매드햇")</f>
        <v>매드햇</v>
      </c>
      <c r="K3762" t="str">
        <f>T("시한부라 은퇴합니다")</f>
        <v>시한부라 은퇴합니다</v>
      </c>
      <c r="L3762">
        <v>0</v>
      </c>
      <c r="M3762">
        <v>0</v>
      </c>
      <c r="N3762">
        <v>0</v>
      </c>
      <c r="O3762">
        <v>1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0</v>
      </c>
      <c r="AH3762">
        <v>0</v>
      </c>
      <c r="AI3762">
        <v>0</v>
      </c>
      <c r="AJ3762">
        <v>1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S3762">
        <v>0</v>
      </c>
      <c r="AT3762">
        <v>0</v>
      </c>
      <c r="AV3762">
        <v>0</v>
      </c>
      <c r="AW3762">
        <v>0</v>
      </c>
      <c r="AY3762">
        <v>0</v>
      </c>
      <c r="AZ3762">
        <v>0</v>
      </c>
      <c r="BA3762">
        <v>0</v>
      </c>
      <c r="BE3762" t="str">
        <f>T("9791137018655")</f>
        <v>9791137018655</v>
      </c>
      <c r="BF3762" t="str">
        <f>T("k245972")</f>
        <v>k245972</v>
      </c>
      <c r="BG3762" t="str">
        <f>T("판타지 웹소설 &gt; 퓨전 판타지")</f>
        <v>판타지 웹소설 &gt; 퓨전 판타지</v>
      </c>
    </row>
    <row r="3763" spans="1:59">
      <c r="A3763" t="s">
        <v>60</v>
      </c>
      <c r="B3763" s="1">
        <v>46129</v>
      </c>
      <c r="C3763">
        <v>2378062653</v>
      </c>
      <c r="D3763">
        <v>2378062656</v>
      </c>
      <c r="E3763" t="str">
        <f>T("시한부라 은퇴합니다 4화")</f>
        <v>시한부라 은퇴합니다 4화</v>
      </c>
      <c r="F3763">
        <v>4</v>
      </c>
      <c r="G3763" t="str">
        <f>T("해달수")</f>
        <v>해달수</v>
      </c>
      <c r="J3763" t="str">
        <f>T("매드햇")</f>
        <v>매드햇</v>
      </c>
      <c r="K3763" t="str">
        <f>T("시한부라 은퇴합니다")</f>
        <v>시한부라 은퇴합니다</v>
      </c>
      <c r="L3763">
        <v>0</v>
      </c>
      <c r="M3763">
        <v>0</v>
      </c>
      <c r="N3763">
        <v>0</v>
      </c>
      <c r="O3763">
        <v>1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0</v>
      </c>
      <c r="AH3763">
        <v>0</v>
      </c>
      <c r="AI3763">
        <v>0</v>
      </c>
      <c r="AJ3763">
        <v>1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S3763">
        <v>0</v>
      </c>
      <c r="AT3763">
        <v>0</v>
      </c>
      <c r="AV3763">
        <v>0</v>
      </c>
      <c r="AW3763">
        <v>0</v>
      </c>
      <c r="AY3763">
        <v>0</v>
      </c>
      <c r="AZ3763">
        <v>0</v>
      </c>
      <c r="BA3763">
        <v>0</v>
      </c>
      <c r="BE3763" t="str">
        <f>T("9791137018655")</f>
        <v>9791137018655</v>
      </c>
      <c r="BF3763" t="str">
        <f>T("k245973")</f>
        <v>k245973</v>
      </c>
      <c r="BG3763" t="str">
        <f>T("판타지 웹소설 &gt; 퓨전 판타지")</f>
        <v>판타지 웹소설 &gt; 퓨전 판타지</v>
      </c>
    </row>
    <row r="3764" spans="1:59">
      <c r="A3764" t="s">
        <v>60</v>
      </c>
      <c r="B3764" s="1">
        <v>46129</v>
      </c>
      <c r="C3764">
        <v>2378062653</v>
      </c>
      <c r="D3764">
        <v>2378062657</v>
      </c>
      <c r="E3764" t="str">
        <f>T("시한부라 은퇴합니다 5화")</f>
        <v>시한부라 은퇴합니다 5화</v>
      </c>
      <c r="F3764">
        <v>5</v>
      </c>
      <c r="G3764" t="str">
        <f>T("해달수")</f>
        <v>해달수</v>
      </c>
      <c r="J3764" t="str">
        <f>T("매드햇")</f>
        <v>매드햇</v>
      </c>
      <c r="K3764" t="str">
        <f>T("시한부라 은퇴합니다")</f>
        <v>시한부라 은퇴합니다</v>
      </c>
      <c r="L3764">
        <v>0</v>
      </c>
      <c r="M3764">
        <v>0</v>
      </c>
      <c r="N3764">
        <v>0</v>
      </c>
      <c r="O3764">
        <v>1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0</v>
      </c>
      <c r="AH3764">
        <v>0</v>
      </c>
      <c r="AI3764">
        <v>0</v>
      </c>
      <c r="AJ3764">
        <v>1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S3764">
        <v>0</v>
      </c>
      <c r="AT3764">
        <v>0</v>
      </c>
      <c r="AV3764">
        <v>0</v>
      </c>
      <c r="AW3764">
        <v>0</v>
      </c>
      <c r="AY3764">
        <v>0</v>
      </c>
      <c r="AZ3764">
        <v>0</v>
      </c>
      <c r="BA3764">
        <v>0</v>
      </c>
      <c r="BE3764" t="str">
        <f>T("9791137018655")</f>
        <v>9791137018655</v>
      </c>
      <c r="BF3764" t="str">
        <f>T("k245974")</f>
        <v>k245974</v>
      </c>
      <c r="BG3764" t="str">
        <f>T("판타지 웹소설 &gt; 퓨전 판타지")</f>
        <v>판타지 웹소설 &gt; 퓨전 판타지</v>
      </c>
    </row>
    <row r="3765" spans="1:59">
      <c r="A3765" t="s">
        <v>60</v>
      </c>
      <c r="B3765" s="1">
        <v>46129</v>
      </c>
      <c r="C3765">
        <v>2378062653</v>
      </c>
      <c r="D3765">
        <v>2378062658</v>
      </c>
      <c r="E3765" t="str">
        <f>T("시한부라 은퇴합니다 6화")</f>
        <v>시한부라 은퇴합니다 6화</v>
      </c>
      <c r="F3765">
        <v>6</v>
      </c>
      <c r="G3765" t="str">
        <f>T("해달수")</f>
        <v>해달수</v>
      </c>
      <c r="J3765" t="str">
        <f>T("매드햇")</f>
        <v>매드햇</v>
      </c>
      <c r="K3765" t="str">
        <f>T("시한부라 은퇴합니다")</f>
        <v>시한부라 은퇴합니다</v>
      </c>
      <c r="L3765">
        <v>0</v>
      </c>
      <c r="M3765">
        <v>0</v>
      </c>
      <c r="N3765">
        <v>0</v>
      </c>
      <c r="O3765">
        <v>1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0</v>
      </c>
      <c r="AH3765">
        <v>0</v>
      </c>
      <c r="AI3765">
        <v>0</v>
      </c>
      <c r="AJ3765">
        <v>1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S3765">
        <v>0</v>
      </c>
      <c r="AT3765">
        <v>0</v>
      </c>
      <c r="AV3765">
        <v>0</v>
      </c>
      <c r="AW3765">
        <v>0</v>
      </c>
      <c r="AY3765">
        <v>0</v>
      </c>
      <c r="AZ3765">
        <v>0</v>
      </c>
      <c r="BA3765">
        <v>0</v>
      </c>
      <c r="BE3765" t="str">
        <f>T("9791137018655")</f>
        <v>9791137018655</v>
      </c>
      <c r="BF3765" t="str">
        <f>T("k245975")</f>
        <v>k245975</v>
      </c>
      <c r="BG3765" t="str">
        <f>T("판타지 웹소설 &gt; 퓨전 판타지")</f>
        <v>판타지 웹소설 &gt; 퓨전 판타지</v>
      </c>
    </row>
    <row r="3766" spans="1:59">
      <c r="A3766" t="s">
        <v>60</v>
      </c>
      <c r="B3766" s="1">
        <v>46129</v>
      </c>
      <c r="C3766">
        <v>2378062653</v>
      </c>
      <c r="D3766">
        <v>2378062659</v>
      </c>
      <c r="E3766" t="str">
        <f>T("시한부라 은퇴합니다 7화")</f>
        <v>시한부라 은퇴합니다 7화</v>
      </c>
      <c r="F3766">
        <v>7</v>
      </c>
      <c r="G3766" t="str">
        <f>T("해달수")</f>
        <v>해달수</v>
      </c>
      <c r="J3766" t="str">
        <f>T("매드햇")</f>
        <v>매드햇</v>
      </c>
      <c r="K3766" t="str">
        <f>T("시한부라 은퇴합니다")</f>
        <v>시한부라 은퇴합니다</v>
      </c>
      <c r="L3766">
        <v>0</v>
      </c>
      <c r="M3766">
        <v>0</v>
      </c>
      <c r="N3766">
        <v>0</v>
      </c>
      <c r="O3766">
        <v>1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0</v>
      </c>
      <c r="AH3766">
        <v>0</v>
      </c>
      <c r="AI3766">
        <v>0</v>
      </c>
      <c r="AJ3766">
        <v>1</v>
      </c>
      <c r="AK3766">
        <v>0</v>
      </c>
      <c r="AL3766">
        <v>0</v>
      </c>
      <c r="AM3766">
        <v>0</v>
      </c>
      <c r="AN3766">
        <v>0</v>
      </c>
      <c r="AO3766">
        <v>0</v>
      </c>
      <c r="AP3766">
        <v>0</v>
      </c>
      <c r="AQ3766">
        <v>0</v>
      </c>
      <c r="AS3766">
        <v>0</v>
      </c>
      <c r="AT3766">
        <v>0</v>
      </c>
      <c r="AV3766">
        <v>0</v>
      </c>
      <c r="AW3766">
        <v>0</v>
      </c>
      <c r="AY3766">
        <v>0</v>
      </c>
      <c r="AZ3766">
        <v>0</v>
      </c>
      <c r="BA3766">
        <v>0</v>
      </c>
      <c r="BE3766" t="str">
        <f>T("9791137018655")</f>
        <v>9791137018655</v>
      </c>
      <c r="BF3766" t="str">
        <f>T("k245976")</f>
        <v>k245976</v>
      </c>
      <c r="BG3766" t="str">
        <f>T("판타지 웹소설 &gt; 퓨전 판타지")</f>
        <v>판타지 웹소설 &gt; 퓨전 판타지</v>
      </c>
    </row>
    <row r="3767" spans="1:59">
      <c r="A3767" t="s">
        <v>60</v>
      </c>
      <c r="B3767" s="1">
        <v>46129</v>
      </c>
      <c r="C3767">
        <v>2378062653</v>
      </c>
      <c r="D3767">
        <v>2378062660</v>
      </c>
      <c r="E3767" t="str">
        <f>T("시한부라 은퇴합니다 8화")</f>
        <v>시한부라 은퇴합니다 8화</v>
      </c>
      <c r="F3767">
        <v>8</v>
      </c>
      <c r="G3767" t="str">
        <f>T("해달수")</f>
        <v>해달수</v>
      </c>
      <c r="J3767" t="str">
        <f>T("매드햇")</f>
        <v>매드햇</v>
      </c>
      <c r="K3767" t="str">
        <f>T("시한부라 은퇴합니다")</f>
        <v>시한부라 은퇴합니다</v>
      </c>
      <c r="L3767">
        <v>0</v>
      </c>
      <c r="M3767">
        <v>0</v>
      </c>
      <c r="N3767">
        <v>0</v>
      </c>
      <c r="O3767">
        <v>1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0</v>
      </c>
      <c r="AH3767">
        <v>0</v>
      </c>
      <c r="AI3767">
        <v>0</v>
      </c>
      <c r="AJ3767">
        <v>1</v>
      </c>
      <c r="AK3767">
        <v>0</v>
      </c>
      <c r="AL3767">
        <v>0</v>
      </c>
      <c r="AM3767">
        <v>0</v>
      </c>
      <c r="AN3767">
        <v>0</v>
      </c>
      <c r="AO3767">
        <v>0</v>
      </c>
      <c r="AP3767">
        <v>0</v>
      </c>
      <c r="AQ3767">
        <v>0</v>
      </c>
      <c r="AS3767">
        <v>0</v>
      </c>
      <c r="AT3767">
        <v>0</v>
      </c>
      <c r="AV3767">
        <v>0</v>
      </c>
      <c r="AW3767">
        <v>0</v>
      </c>
      <c r="AY3767">
        <v>0</v>
      </c>
      <c r="AZ3767">
        <v>0</v>
      </c>
      <c r="BA3767">
        <v>0</v>
      </c>
      <c r="BE3767" t="str">
        <f>T("9791137018655")</f>
        <v>9791137018655</v>
      </c>
      <c r="BF3767" t="str">
        <f>T("k245977")</f>
        <v>k245977</v>
      </c>
      <c r="BG3767" t="str">
        <f>T("판타지 웹소설 &gt; 퓨전 판타지")</f>
        <v>판타지 웹소설 &gt; 퓨전 판타지</v>
      </c>
    </row>
    <row r="3768" spans="1:59">
      <c r="A3768" t="s">
        <v>60</v>
      </c>
      <c r="B3768" s="1">
        <v>46129</v>
      </c>
      <c r="C3768">
        <v>2378062653</v>
      </c>
      <c r="D3768">
        <v>2378062661</v>
      </c>
      <c r="E3768" t="str">
        <f>T("시한부라 은퇴합니다 9화")</f>
        <v>시한부라 은퇴합니다 9화</v>
      </c>
      <c r="F3768">
        <v>9</v>
      </c>
      <c r="G3768" t="str">
        <f>T("해달수")</f>
        <v>해달수</v>
      </c>
      <c r="J3768" t="str">
        <f>T("매드햇")</f>
        <v>매드햇</v>
      </c>
      <c r="K3768" t="str">
        <f>T("시한부라 은퇴합니다")</f>
        <v>시한부라 은퇴합니다</v>
      </c>
      <c r="L3768">
        <v>0</v>
      </c>
      <c r="M3768">
        <v>0</v>
      </c>
      <c r="N3768">
        <v>0</v>
      </c>
      <c r="O3768">
        <v>1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0</v>
      </c>
      <c r="AH3768">
        <v>0</v>
      </c>
      <c r="AI3768">
        <v>0</v>
      </c>
      <c r="AJ3768">
        <v>1</v>
      </c>
      <c r="AK3768">
        <v>0</v>
      </c>
      <c r="AL3768">
        <v>0</v>
      </c>
      <c r="AM3768">
        <v>0</v>
      </c>
      <c r="AN3768">
        <v>0</v>
      </c>
      <c r="AO3768">
        <v>0</v>
      </c>
      <c r="AP3768">
        <v>0</v>
      </c>
      <c r="AQ3768">
        <v>0</v>
      </c>
      <c r="AS3768">
        <v>0</v>
      </c>
      <c r="AT3768">
        <v>0</v>
      </c>
      <c r="AV3768">
        <v>0</v>
      </c>
      <c r="AW3768">
        <v>0</v>
      </c>
      <c r="AY3768">
        <v>0</v>
      </c>
      <c r="AZ3768">
        <v>0</v>
      </c>
      <c r="BA3768">
        <v>0</v>
      </c>
      <c r="BE3768" t="str">
        <f>T("9791137018655")</f>
        <v>9791137018655</v>
      </c>
      <c r="BF3768" t="str">
        <f>T("k245978")</f>
        <v>k245978</v>
      </c>
      <c r="BG3768" t="str">
        <f>T("판타지 웹소설 &gt; 퓨전 판타지")</f>
        <v>판타지 웹소설 &gt; 퓨전 판타지</v>
      </c>
    </row>
    <row r="3769" spans="1:59">
      <c r="A3769" t="s">
        <v>60</v>
      </c>
      <c r="B3769" s="1">
        <v>46129</v>
      </c>
      <c r="C3769">
        <v>2378062653</v>
      </c>
      <c r="D3769">
        <v>2378062662</v>
      </c>
      <c r="E3769" t="str">
        <f>T("시한부라 은퇴합니다 10화")</f>
        <v>시한부라 은퇴합니다 10화</v>
      </c>
      <c r="F3769">
        <v>10</v>
      </c>
      <c r="G3769" t="str">
        <f>T("해달수")</f>
        <v>해달수</v>
      </c>
      <c r="J3769" t="str">
        <f>T("매드햇")</f>
        <v>매드햇</v>
      </c>
      <c r="K3769" t="str">
        <f>T("시한부라 은퇴합니다")</f>
        <v>시한부라 은퇴합니다</v>
      </c>
      <c r="L3769">
        <v>0</v>
      </c>
      <c r="M3769">
        <v>0</v>
      </c>
      <c r="N3769">
        <v>0</v>
      </c>
      <c r="O3769">
        <v>1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0</v>
      </c>
      <c r="AH3769">
        <v>0</v>
      </c>
      <c r="AI3769">
        <v>0</v>
      </c>
      <c r="AJ3769">
        <v>1</v>
      </c>
      <c r="AK3769">
        <v>0</v>
      </c>
      <c r="AL3769">
        <v>0</v>
      </c>
      <c r="AM3769">
        <v>0</v>
      </c>
      <c r="AN3769">
        <v>0</v>
      </c>
      <c r="AO3769">
        <v>0</v>
      </c>
      <c r="AP3769">
        <v>0</v>
      </c>
      <c r="AQ3769">
        <v>0</v>
      </c>
      <c r="AS3769">
        <v>0</v>
      </c>
      <c r="AT3769">
        <v>0</v>
      </c>
      <c r="AV3769">
        <v>0</v>
      </c>
      <c r="AW3769">
        <v>0</v>
      </c>
      <c r="AY3769">
        <v>0</v>
      </c>
      <c r="AZ3769">
        <v>0</v>
      </c>
      <c r="BA3769">
        <v>0</v>
      </c>
      <c r="BE3769" t="str">
        <f>T("9791137018655")</f>
        <v>9791137018655</v>
      </c>
      <c r="BF3769" t="str">
        <f>T("k245979")</f>
        <v>k245979</v>
      </c>
      <c r="BG3769" t="str">
        <f>T("판타지 웹소설 &gt; 퓨전 판타지")</f>
        <v>판타지 웹소설 &gt; 퓨전 판타지</v>
      </c>
    </row>
    <row r="3770" spans="1:59">
      <c r="A3770" t="s">
        <v>60</v>
      </c>
      <c r="B3770" s="1">
        <v>46129</v>
      </c>
      <c r="C3770">
        <v>2378062653</v>
      </c>
      <c r="D3770">
        <v>2378062663</v>
      </c>
      <c r="E3770" t="str">
        <f>T("시한부라 은퇴합니다 11화")</f>
        <v>시한부라 은퇴합니다 11화</v>
      </c>
      <c r="F3770">
        <v>11</v>
      </c>
      <c r="G3770" t="str">
        <f>T("해달수")</f>
        <v>해달수</v>
      </c>
      <c r="J3770" t="str">
        <f>T("매드햇")</f>
        <v>매드햇</v>
      </c>
      <c r="K3770" t="str">
        <f>T("시한부라 은퇴합니다")</f>
        <v>시한부라 은퇴합니다</v>
      </c>
      <c r="L3770">
        <v>0</v>
      </c>
      <c r="M3770">
        <v>0</v>
      </c>
      <c r="N3770">
        <v>0</v>
      </c>
      <c r="O3770">
        <v>1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0</v>
      </c>
      <c r="AH3770">
        <v>0</v>
      </c>
      <c r="AI3770">
        <v>0</v>
      </c>
      <c r="AJ3770">
        <v>1</v>
      </c>
      <c r="AK3770">
        <v>0</v>
      </c>
      <c r="AL3770">
        <v>0</v>
      </c>
      <c r="AM3770">
        <v>0</v>
      </c>
      <c r="AN3770">
        <v>0</v>
      </c>
      <c r="AO3770">
        <v>0</v>
      </c>
      <c r="AP3770">
        <v>0</v>
      </c>
      <c r="AQ3770">
        <v>0</v>
      </c>
      <c r="AS3770">
        <v>0</v>
      </c>
      <c r="AT3770">
        <v>0</v>
      </c>
      <c r="AV3770">
        <v>0</v>
      </c>
      <c r="AW3770">
        <v>0</v>
      </c>
      <c r="AY3770">
        <v>0</v>
      </c>
      <c r="AZ3770">
        <v>0</v>
      </c>
      <c r="BA3770">
        <v>0</v>
      </c>
      <c r="BE3770" t="str">
        <f>T("9791137018655")</f>
        <v>9791137018655</v>
      </c>
      <c r="BF3770" t="str">
        <f>T("k245980")</f>
        <v>k245980</v>
      </c>
      <c r="BG3770" t="str">
        <f>T("판타지 웹소설 &gt; 퓨전 판타지")</f>
        <v>판타지 웹소설 &gt; 퓨전 판타지</v>
      </c>
    </row>
    <row r="3771" spans="1:59">
      <c r="A3771" t="s">
        <v>60</v>
      </c>
      <c r="B3771" s="1">
        <v>46129</v>
      </c>
      <c r="C3771">
        <v>2378062653</v>
      </c>
      <c r="D3771">
        <v>2378062664</v>
      </c>
      <c r="E3771" t="str">
        <f>T("시한부라 은퇴합니다 12화")</f>
        <v>시한부라 은퇴합니다 12화</v>
      </c>
      <c r="F3771">
        <v>12</v>
      </c>
      <c r="G3771" t="str">
        <f>T("해달수")</f>
        <v>해달수</v>
      </c>
      <c r="J3771" t="str">
        <f>T("매드햇")</f>
        <v>매드햇</v>
      </c>
      <c r="K3771" t="str">
        <f>T("시한부라 은퇴합니다")</f>
        <v>시한부라 은퇴합니다</v>
      </c>
      <c r="L3771">
        <v>0</v>
      </c>
      <c r="M3771">
        <v>0</v>
      </c>
      <c r="N3771">
        <v>0</v>
      </c>
      <c r="O3771">
        <v>1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0</v>
      </c>
      <c r="AH3771">
        <v>0</v>
      </c>
      <c r="AI3771">
        <v>0</v>
      </c>
      <c r="AJ3771">
        <v>1</v>
      </c>
      <c r="AK3771">
        <v>0</v>
      </c>
      <c r="AL3771">
        <v>0</v>
      </c>
      <c r="AM3771">
        <v>0</v>
      </c>
      <c r="AN3771">
        <v>0</v>
      </c>
      <c r="AO3771">
        <v>0</v>
      </c>
      <c r="AP3771">
        <v>0</v>
      </c>
      <c r="AQ3771">
        <v>0</v>
      </c>
      <c r="AS3771">
        <v>0</v>
      </c>
      <c r="AT3771">
        <v>0</v>
      </c>
      <c r="AV3771">
        <v>0</v>
      </c>
      <c r="AW3771">
        <v>0</v>
      </c>
      <c r="AY3771">
        <v>0</v>
      </c>
      <c r="AZ3771">
        <v>0</v>
      </c>
      <c r="BA3771">
        <v>0</v>
      </c>
      <c r="BE3771" t="str">
        <f>T("9791137018655")</f>
        <v>9791137018655</v>
      </c>
      <c r="BF3771" t="str">
        <f>T("k245981")</f>
        <v>k245981</v>
      </c>
      <c r="BG3771" t="str">
        <f>T("판타지 웹소설 &gt; 퓨전 판타지")</f>
        <v>판타지 웹소설 &gt; 퓨전 판타지</v>
      </c>
    </row>
    <row r="3772" spans="1:59">
      <c r="A3772" t="s">
        <v>60</v>
      </c>
      <c r="B3772" s="1">
        <v>46129</v>
      </c>
      <c r="C3772">
        <v>2378062653</v>
      </c>
      <c r="D3772">
        <v>2378062665</v>
      </c>
      <c r="E3772" t="str">
        <f>T("시한부라 은퇴합니다 13화")</f>
        <v>시한부라 은퇴합니다 13화</v>
      </c>
      <c r="F3772">
        <v>13</v>
      </c>
      <c r="G3772" t="str">
        <f>T("해달수")</f>
        <v>해달수</v>
      </c>
      <c r="J3772" t="str">
        <f>T("매드햇")</f>
        <v>매드햇</v>
      </c>
      <c r="K3772" t="str">
        <f>T("시한부라 은퇴합니다")</f>
        <v>시한부라 은퇴합니다</v>
      </c>
      <c r="L3772">
        <v>0</v>
      </c>
      <c r="M3772">
        <v>0</v>
      </c>
      <c r="N3772">
        <v>0</v>
      </c>
      <c r="O3772">
        <v>1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0</v>
      </c>
      <c r="AH3772">
        <v>0</v>
      </c>
      <c r="AI3772">
        <v>0</v>
      </c>
      <c r="AJ3772">
        <v>1</v>
      </c>
      <c r="AK3772">
        <v>0</v>
      </c>
      <c r="AL3772">
        <v>0</v>
      </c>
      <c r="AM3772">
        <v>0</v>
      </c>
      <c r="AN3772">
        <v>0</v>
      </c>
      <c r="AO3772">
        <v>0</v>
      </c>
      <c r="AP3772">
        <v>0</v>
      </c>
      <c r="AQ3772">
        <v>0</v>
      </c>
      <c r="AS3772">
        <v>0</v>
      </c>
      <c r="AT3772">
        <v>0</v>
      </c>
      <c r="AV3772">
        <v>0</v>
      </c>
      <c r="AW3772">
        <v>0</v>
      </c>
      <c r="AY3772">
        <v>0</v>
      </c>
      <c r="AZ3772">
        <v>0</v>
      </c>
      <c r="BA3772">
        <v>0</v>
      </c>
      <c r="BE3772" t="str">
        <f>T("9791137018655")</f>
        <v>9791137018655</v>
      </c>
      <c r="BF3772" t="str">
        <f>T("k245982")</f>
        <v>k245982</v>
      </c>
      <c r="BG3772" t="str">
        <f>T("판타지 웹소설 &gt; 퓨전 판타지")</f>
        <v>판타지 웹소설 &gt; 퓨전 판타지</v>
      </c>
    </row>
    <row r="3773" spans="1:59">
      <c r="A3773" t="s">
        <v>60</v>
      </c>
      <c r="B3773" s="1">
        <v>46129</v>
      </c>
      <c r="C3773">
        <v>2378062653</v>
      </c>
      <c r="D3773">
        <v>2378062666</v>
      </c>
      <c r="E3773" t="str">
        <f>T("시한부라 은퇴합니다 14화")</f>
        <v>시한부라 은퇴합니다 14화</v>
      </c>
      <c r="F3773">
        <v>14</v>
      </c>
      <c r="G3773" t="str">
        <f>T("해달수")</f>
        <v>해달수</v>
      </c>
      <c r="J3773" t="str">
        <f>T("매드햇")</f>
        <v>매드햇</v>
      </c>
      <c r="K3773" t="str">
        <f>T("시한부라 은퇴합니다")</f>
        <v>시한부라 은퇴합니다</v>
      </c>
      <c r="L3773">
        <v>0</v>
      </c>
      <c r="M3773">
        <v>0</v>
      </c>
      <c r="N3773">
        <v>0</v>
      </c>
      <c r="O3773">
        <v>1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0</v>
      </c>
      <c r="AH3773">
        <v>0</v>
      </c>
      <c r="AI3773">
        <v>0</v>
      </c>
      <c r="AJ3773">
        <v>1</v>
      </c>
      <c r="AK3773">
        <v>0</v>
      </c>
      <c r="AL3773">
        <v>0</v>
      </c>
      <c r="AM3773">
        <v>0</v>
      </c>
      <c r="AN3773">
        <v>0</v>
      </c>
      <c r="AO3773">
        <v>0</v>
      </c>
      <c r="AP3773">
        <v>0</v>
      </c>
      <c r="AQ3773">
        <v>0</v>
      </c>
      <c r="AS3773">
        <v>0</v>
      </c>
      <c r="AT3773">
        <v>0</v>
      </c>
      <c r="AV3773">
        <v>0</v>
      </c>
      <c r="AW3773">
        <v>0</v>
      </c>
      <c r="AY3773">
        <v>0</v>
      </c>
      <c r="AZ3773">
        <v>0</v>
      </c>
      <c r="BA3773">
        <v>0</v>
      </c>
      <c r="BE3773" t="str">
        <f>T("9791137018655")</f>
        <v>9791137018655</v>
      </c>
      <c r="BF3773" t="str">
        <f>T("k245983")</f>
        <v>k245983</v>
      </c>
      <c r="BG3773" t="str">
        <f>T("판타지 웹소설 &gt; 퓨전 판타지")</f>
        <v>판타지 웹소설 &gt; 퓨전 판타지</v>
      </c>
    </row>
    <row r="3774" spans="1:59">
      <c r="A3774" t="s">
        <v>60</v>
      </c>
      <c r="B3774" s="1">
        <v>46129</v>
      </c>
      <c r="C3774">
        <v>2378062653</v>
      </c>
      <c r="D3774">
        <v>2378062667</v>
      </c>
      <c r="E3774" t="str">
        <f>T("시한부라 은퇴합니다 15화")</f>
        <v>시한부라 은퇴합니다 15화</v>
      </c>
      <c r="F3774">
        <v>15</v>
      </c>
      <c r="G3774" t="str">
        <f>T("해달수")</f>
        <v>해달수</v>
      </c>
      <c r="J3774" t="str">
        <f>T("매드햇")</f>
        <v>매드햇</v>
      </c>
      <c r="K3774" t="str">
        <f>T("시한부라 은퇴합니다")</f>
        <v>시한부라 은퇴합니다</v>
      </c>
      <c r="L3774">
        <v>0</v>
      </c>
      <c r="M3774">
        <v>0</v>
      </c>
      <c r="N3774">
        <v>0</v>
      </c>
      <c r="O3774">
        <v>1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0</v>
      </c>
      <c r="AH3774">
        <v>0</v>
      </c>
      <c r="AI3774">
        <v>0</v>
      </c>
      <c r="AJ3774">
        <v>1</v>
      </c>
      <c r="AK3774">
        <v>0</v>
      </c>
      <c r="AL3774">
        <v>0</v>
      </c>
      <c r="AM3774">
        <v>0</v>
      </c>
      <c r="AN3774">
        <v>0</v>
      </c>
      <c r="AO3774">
        <v>0</v>
      </c>
      <c r="AP3774">
        <v>0</v>
      </c>
      <c r="AQ3774">
        <v>0</v>
      </c>
      <c r="AS3774">
        <v>0</v>
      </c>
      <c r="AT3774">
        <v>0</v>
      </c>
      <c r="AV3774">
        <v>0</v>
      </c>
      <c r="AW3774">
        <v>0</v>
      </c>
      <c r="AY3774">
        <v>0</v>
      </c>
      <c r="AZ3774">
        <v>0</v>
      </c>
      <c r="BA3774">
        <v>0</v>
      </c>
      <c r="BE3774" t="str">
        <f>T("9791137018655")</f>
        <v>9791137018655</v>
      </c>
      <c r="BF3774" t="str">
        <f>T("k245984")</f>
        <v>k245984</v>
      </c>
      <c r="BG3774" t="str">
        <f>T("판타지 웹소설 &gt; 퓨전 판타지")</f>
        <v>판타지 웹소설 &gt; 퓨전 판타지</v>
      </c>
    </row>
    <row r="3775" spans="1:59">
      <c r="A3775" t="s">
        <v>60</v>
      </c>
      <c r="B3775" s="1">
        <v>46129</v>
      </c>
      <c r="C3775">
        <v>2378062653</v>
      </c>
      <c r="D3775">
        <v>2378062668</v>
      </c>
      <c r="E3775" t="str">
        <f>T("시한부라 은퇴합니다 16화")</f>
        <v>시한부라 은퇴합니다 16화</v>
      </c>
      <c r="F3775">
        <v>16</v>
      </c>
      <c r="G3775" t="str">
        <f>T("해달수")</f>
        <v>해달수</v>
      </c>
      <c r="J3775" t="str">
        <f>T("매드햇")</f>
        <v>매드햇</v>
      </c>
      <c r="K3775" t="str">
        <f>T("시한부라 은퇴합니다")</f>
        <v>시한부라 은퇴합니다</v>
      </c>
      <c r="L3775">
        <v>0</v>
      </c>
      <c r="M3775">
        <v>0</v>
      </c>
      <c r="N3775">
        <v>0</v>
      </c>
      <c r="O3775">
        <v>2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0</v>
      </c>
      <c r="AH3775">
        <v>0</v>
      </c>
      <c r="AI3775">
        <v>0</v>
      </c>
      <c r="AJ3775">
        <v>2</v>
      </c>
      <c r="AK3775">
        <v>0</v>
      </c>
      <c r="AL3775">
        <v>0</v>
      </c>
      <c r="AM3775">
        <v>0</v>
      </c>
      <c r="AN3775">
        <v>0</v>
      </c>
      <c r="AO3775">
        <v>0</v>
      </c>
      <c r="AP3775">
        <v>0</v>
      </c>
      <c r="AQ3775">
        <v>0</v>
      </c>
      <c r="AS3775">
        <v>0</v>
      </c>
      <c r="AT3775">
        <v>0</v>
      </c>
      <c r="AV3775">
        <v>0</v>
      </c>
      <c r="AW3775">
        <v>0</v>
      </c>
      <c r="AY3775">
        <v>0</v>
      </c>
      <c r="AZ3775">
        <v>0</v>
      </c>
      <c r="BA3775">
        <v>0</v>
      </c>
      <c r="BE3775" t="str">
        <f>T("9791137018655")</f>
        <v>9791137018655</v>
      </c>
      <c r="BF3775" t="str">
        <f>T("k245985")</f>
        <v>k245985</v>
      </c>
      <c r="BG3775" t="str">
        <f>T("판타지 웹소설 &gt; 퓨전 판타지")</f>
        <v>판타지 웹소설 &gt; 퓨전 판타지</v>
      </c>
    </row>
    <row r="3776" spans="1:59">
      <c r="A3776" t="s">
        <v>60</v>
      </c>
      <c r="B3776" s="1">
        <v>46129</v>
      </c>
      <c r="C3776">
        <v>2378062653</v>
      </c>
      <c r="D3776">
        <v>2378062669</v>
      </c>
      <c r="E3776" t="str">
        <f>T("시한부라 은퇴합니다 17화")</f>
        <v>시한부라 은퇴합니다 17화</v>
      </c>
      <c r="F3776">
        <v>17</v>
      </c>
      <c r="G3776" t="str">
        <f>T("해달수")</f>
        <v>해달수</v>
      </c>
      <c r="J3776" t="str">
        <f>T("매드햇")</f>
        <v>매드햇</v>
      </c>
      <c r="K3776" t="str">
        <f>T("시한부라 은퇴합니다")</f>
        <v>시한부라 은퇴합니다</v>
      </c>
      <c r="L3776">
        <v>0</v>
      </c>
      <c r="M3776">
        <v>0</v>
      </c>
      <c r="N3776">
        <v>0</v>
      </c>
      <c r="O3776">
        <v>2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0</v>
      </c>
      <c r="AH3776">
        <v>0</v>
      </c>
      <c r="AI3776">
        <v>0</v>
      </c>
      <c r="AJ3776">
        <v>2</v>
      </c>
      <c r="AK3776">
        <v>0</v>
      </c>
      <c r="AL3776">
        <v>0</v>
      </c>
      <c r="AM3776">
        <v>0</v>
      </c>
      <c r="AN3776">
        <v>0</v>
      </c>
      <c r="AO3776">
        <v>0</v>
      </c>
      <c r="AP3776">
        <v>0</v>
      </c>
      <c r="AQ3776">
        <v>0</v>
      </c>
      <c r="AS3776">
        <v>0</v>
      </c>
      <c r="AT3776">
        <v>0</v>
      </c>
      <c r="AV3776">
        <v>0</v>
      </c>
      <c r="AW3776">
        <v>0</v>
      </c>
      <c r="AY3776">
        <v>0</v>
      </c>
      <c r="AZ3776">
        <v>0</v>
      </c>
      <c r="BA3776">
        <v>0</v>
      </c>
      <c r="BE3776" t="str">
        <f>T("9791137018655")</f>
        <v>9791137018655</v>
      </c>
      <c r="BF3776" t="str">
        <f>T("k245986")</f>
        <v>k245986</v>
      </c>
      <c r="BG3776" t="str">
        <f>T("판타지 웹소설 &gt; 퓨전 판타지")</f>
        <v>판타지 웹소설 &gt; 퓨전 판타지</v>
      </c>
    </row>
    <row r="3777" spans="1:59">
      <c r="A3777" t="s">
        <v>60</v>
      </c>
      <c r="B3777" s="1">
        <v>46129</v>
      </c>
      <c r="C3777">
        <v>2378062653</v>
      </c>
      <c r="D3777">
        <v>2378062670</v>
      </c>
      <c r="E3777" t="str">
        <f>T("시한부라 은퇴합니다 18화")</f>
        <v>시한부라 은퇴합니다 18화</v>
      </c>
      <c r="F3777">
        <v>18</v>
      </c>
      <c r="G3777" t="str">
        <f>T("해달수")</f>
        <v>해달수</v>
      </c>
      <c r="J3777" t="str">
        <f>T("매드햇")</f>
        <v>매드햇</v>
      </c>
      <c r="K3777" t="str">
        <f>T("시한부라 은퇴합니다")</f>
        <v>시한부라 은퇴합니다</v>
      </c>
      <c r="L3777">
        <v>0</v>
      </c>
      <c r="M3777">
        <v>0</v>
      </c>
      <c r="N3777">
        <v>0</v>
      </c>
      <c r="O3777">
        <v>2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0</v>
      </c>
      <c r="AH3777">
        <v>0</v>
      </c>
      <c r="AI3777">
        <v>0</v>
      </c>
      <c r="AJ3777">
        <v>2</v>
      </c>
      <c r="AK3777">
        <v>0</v>
      </c>
      <c r="AL3777">
        <v>0</v>
      </c>
      <c r="AM3777">
        <v>0</v>
      </c>
      <c r="AN3777">
        <v>0</v>
      </c>
      <c r="AO3777">
        <v>0</v>
      </c>
      <c r="AP3777">
        <v>0</v>
      </c>
      <c r="AQ3777">
        <v>0</v>
      </c>
      <c r="AS3777">
        <v>0</v>
      </c>
      <c r="AT3777">
        <v>0</v>
      </c>
      <c r="AV3777">
        <v>0</v>
      </c>
      <c r="AW3777">
        <v>0</v>
      </c>
      <c r="AY3777">
        <v>0</v>
      </c>
      <c r="AZ3777">
        <v>0</v>
      </c>
      <c r="BA3777">
        <v>0</v>
      </c>
      <c r="BE3777" t="str">
        <f>T("9791137018655")</f>
        <v>9791137018655</v>
      </c>
      <c r="BF3777" t="str">
        <f>T("k245987")</f>
        <v>k245987</v>
      </c>
      <c r="BG3777" t="str">
        <f>T("판타지 웹소설 &gt; 퓨전 판타지")</f>
        <v>판타지 웹소설 &gt; 퓨전 판타지</v>
      </c>
    </row>
    <row r="3778" spans="1:59">
      <c r="A3778" t="s">
        <v>60</v>
      </c>
      <c r="B3778" s="1">
        <v>46129</v>
      </c>
      <c r="C3778">
        <v>2378062653</v>
      </c>
      <c r="D3778">
        <v>2378062671</v>
      </c>
      <c r="E3778" t="str">
        <f>T("시한부라 은퇴합니다 19화")</f>
        <v>시한부라 은퇴합니다 19화</v>
      </c>
      <c r="F3778">
        <v>19</v>
      </c>
      <c r="G3778" t="str">
        <f>T("해달수")</f>
        <v>해달수</v>
      </c>
      <c r="J3778" t="str">
        <f>T("매드햇")</f>
        <v>매드햇</v>
      </c>
      <c r="K3778" t="str">
        <f>T("시한부라 은퇴합니다")</f>
        <v>시한부라 은퇴합니다</v>
      </c>
      <c r="L3778">
        <v>0</v>
      </c>
      <c r="M3778">
        <v>0</v>
      </c>
      <c r="N3778">
        <v>0</v>
      </c>
      <c r="O3778">
        <v>2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0</v>
      </c>
      <c r="AH3778">
        <v>0</v>
      </c>
      <c r="AI3778">
        <v>0</v>
      </c>
      <c r="AJ3778">
        <v>2</v>
      </c>
      <c r="AK3778">
        <v>0</v>
      </c>
      <c r="AL3778">
        <v>0</v>
      </c>
      <c r="AM3778">
        <v>0</v>
      </c>
      <c r="AN3778">
        <v>0</v>
      </c>
      <c r="AO3778">
        <v>0</v>
      </c>
      <c r="AP3778">
        <v>0</v>
      </c>
      <c r="AQ3778">
        <v>0</v>
      </c>
      <c r="AS3778">
        <v>0</v>
      </c>
      <c r="AT3778">
        <v>0</v>
      </c>
      <c r="AV3778">
        <v>0</v>
      </c>
      <c r="AW3778">
        <v>0</v>
      </c>
      <c r="AY3778">
        <v>0</v>
      </c>
      <c r="AZ3778">
        <v>0</v>
      </c>
      <c r="BA3778">
        <v>0</v>
      </c>
      <c r="BE3778" t="str">
        <f>T("9791137018655")</f>
        <v>9791137018655</v>
      </c>
      <c r="BF3778" t="str">
        <f>T("k245988")</f>
        <v>k245988</v>
      </c>
      <c r="BG3778" t="str">
        <f>T("판타지 웹소설 &gt; 퓨전 판타지")</f>
        <v>판타지 웹소설 &gt; 퓨전 판타지</v>
      </c>
    </row>
    <row r="3779" spans="1:59">
      <c r="A3779" t="s">
        <v>60</v>
      </c>
      <c r="B3779" s="1">
        <v>46129</v>
      </c>
      <c r="C3779">
        <v>2378062653</v>
      </c>
      <c r="D3779">
        <v>2378062672</v>
      </c>
      <c r="E3779" t="str">
        <f>T("시한부라 은퇴합니다 20화")</f>
        <v>시한부라 은퇴합니다 20화</v>
      </c>
      <c r="F3779">
        <v>20</v>
      </c>
      <c r="G3779" t="str">
        <f>T("해달수")</f>
        <v>해달수</v>
      </c>
      <c r="J3779" t="str">
        <f>T("매드햇")</f>
        <v>매드햇</v>
      </c>
      <c r="K3779" t="str">
        <f>T("시한부라 은퇴합니다")</f>
        <v>시한부라 은퇴합니다</v>
      </c>
      <c r="L3779">
        <v>0</v>
      </c>
      <c r="M3779">
        <v>0</v>
      </c>
      <c r="N3779">
        <v>0</v>
      </c>
      <c r="O3779">
        <v>2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0</v>
      </c>
      <c r="AH3779">
        <v>0</v>
      </c>
      <c r="AI3779">
        <v>0</v>
      </c>
      <c r="AJ3779">
        <v>2</v>
      </c>
      <c r="AK3779">
        <v>0</v>
      </c>
      <c r="AL3779">
        <v>0</v>
      </c>
      <c r="AM3779">
        <v>0</v>
      </c>
      <c r="AN3779">
        <v>0</v>
      </c>
      <c r="AO3779">
        <v>0</v>
      </c>
      <c r="AP3779">
        <v>0</v>
      </c>
      <c r="AQ3779">
        <v>0</v>
      </c>
      <c r="AS3779">
        <v>0</v>
      </c>
      <c r="AT3779">
        <v>0</v>
      </c>
      <c r="AV3779">
        <v>0</v>
      </c>
      <c r="AW3779">
        <v>0</v>
      </c>
      <c r="AY3779">
        <v>0</v>
      </c>
      <c r="AZ3779">
        <v>0</v>
      </c>
      <c r="BA3779">
        <v>0</v>
      </c>
      <c r="BE3779" t="str">
        <f>T("9791137018655")</f>
        <v>9791137018655</v>
      </c>
      <c r="BF3779" t="str">
        <f>T("k245989")</f>
        <v>k245989</v>
      </c>
      <c r="BG3779" t="str">
        <f>T("판타지 웹소설 &gt; 퓨전 판타지")</f>
        <v>판타지 웹소설 &gt; 퓨전 판타지</v>
      </c>
    </row>
    <row r="3780" spans="1:59">
      <c r="A3780" t="s">
        <v>60</v>
      </c>
      <c r="B3780" s="1">
        <v>46129</v>
      </c>
      <c r="C3780">
        <v>2378062653</v>
      </c>
      <c r="D3780">
        <v>2378062673</v>
      </c>
      <c r="E3780" t="str">
        <f>T("시한부라 은퇴합니다 21화")</f>
        <v>시한부라 은퇴합니다 21화</v>
      </c>
      <c r="F3780">
        <v>21</v>
      </c>
      <c r="G3780" t="str">
        <f>T("해달수")</f>
        <v>해달수</v>
      </c>
      <c r="J3780" t="str">
        <f>T("매드햇")</f>
        <v>매드햇</v>
      </c>
      <c r="K3780" t="str">
        <f>T("시한부라 은퇴합니다")</f>
        <v>시한부라 은퇴합니다</v>
      </c>
      <c r="L3780">
        <v>0</v>
      </c>
      <c r="M3780">
        <v>0</v>
      </c>
      <c r="N3780">
        <v>0</v>
      </c>
      <c r="O3780">
        <v>2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0</v>
      </c>
      <c r="AH3780">
        <v>0</v>
      </c>
      <c r="AI3780">
        <v>0</v>
      </c>
      <c r="AJ3780">
        <v>2</v>
      </c>
      <c r="AK3780">
        <v>0</v>
      </c>
      <c r="AL3780">
        <v>0</v>
      </c>
      <c r="AM3780">
        <v>0</v>
      </c>
      <c r="AN3780">
        <v>0</v>
      </c>
      <c r="AO3780">
        <v>0</v>
      </c>
      <c r="AP3780">
        <v>0</v>
      </c>
      <c r="AQ3780">
        <v>0</v>
      </c>
      <c r="AS3780">
        <v>0</v>
      </c>
      <c r="AT3780">
        <v>0</v>
      </c>
      <c r="AV3780">
        <v>0</v>
      </c>
      <c r="AW3780">
        <v>0</v>
      </c>
      <c r="AY3780">
        <v>0</v>
      </c>
      <c r="AZ3780">
        <v>0</v>
      </c>
      <c r="BA3780">
        <v>0</v>
      </c>
      <c r="BE3780" t="str">
        <f>T("9791137018655")</f>
        <v>9791137018655</v>
      </c>
      <c r="BF3780" t="str">
        <f>T("k245990")</f>
        <v>k245990</v>
      </c>
      <c r="BG3780" t="str">
        <f>T("판타지 웹소설 &gt; 퓨전 판타지")</f>
        <v>판타지 웹소설 &gt; 퓨전 판타지</v>
      </c>
    </row>
    <row r="3781" spans="1:59">
      <c r="A3781" t="s">
        <v>60</v>
      </c>
      <c r="B3781" s="1">
        <v>46129</v>
      </c>
      <c r="C3781">
        <v>2378062653</v>
      </c>
      <c r="D3781">
        <v>2378062674</v>
      </c>
      <c r="E3781" t="str">
        <f>T("시한부라 은퇴합니다 22화")</f>
        <v>시한부라 은퇴합니다 22화</v>
      </c>
      <c r="F3781">
        <v>22</v>
      </c>
      <c r="G3781" t="str">
        <f>T("해달수")</f>
        <v>해달수</v>
      </c>
      <c r="J3781" t="str">
        <f>T("매드햇")</f>
        <v>매드햇</v>
      </c>
      <c r="K3781" t="str">
        <f>T("시한부라 은퇴합니다")</f>
        <v>시한부라 은퇴합니다</v>
      </c>
      <c r="L3781">
        <v>0</v>
      </c>
      <c r="M3781">
        <v>0</v>
      </c>
      <c r="N3781">
        <v>0</v>
      </c>
      <c r="O3781">
        <v>2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0</v>
      </c>
      <c r="AH3781">
        <v>0</v>
      </c>
      <c r="AI3781">
        <v>0</v>
      </c>
      <c r="AJ3781">
        <v>2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S3781">
        <v>0</v>
      </c>
      <c r="AT3781">
        <v>0</v>
      </c>
      <c r="AV3781">
        <v>0</v>
      </c>
      <c r="AW3781">
        <v>0</v>
      </c>
      <c r="AY3781">
        <v>0</v>
      </c>
      <c r="AZ3781">
        <v>0</v>
      </c>
      <c r="BA3781">
        <v>0</v>
      </c>
      <c r="BE3781" t="str">
        <f>T("9791137018655")</f>
        <v>9791137018655</v>
      </c>
      <c r="BF3781" t="str">
        <f>T("k245991")</f>
        <v>k245991</v>
      </c>
      <c r="BG3781" t="str">
        <f>T("판타지 웹소설 &gt; 퓨전 판타지")</f>
        <v>판타지 웹소설 &gt; 퓨전 판타지</v>
      </c>
    </row>
    <row r="3782" spans="1:59">
      <c r="A3782" t="s">
        <v>60</v>
      </c>
      <c r="B3782" s="1">
        <v>46129</v>
      </c>
      <c r="C3782">
        <v>2378062653</v>
      </c>
      <c r="D3782">
        <v>2378062675</v>
      </c>
      <c r="E3782" t="str">
        <f>T("시한부라 은퇴합니다 23화")</f>
        <v>시한부라 은퇴합니다 23화</v>
      </c>
      <c r="F3782">
        <v>23</v>
      </c>
      <c r="G3782" t="str">
        <f>T("해달수")</f>
        <v>해달수</v>
      </c>
      <c r="J3782" t="str">
        <f>T("매드햇")</f>
        <v>매드햇</v>
      </c>
      <c r="K3782" t="str">
        <f>T("시한부라 은퇴합니다")</f>
        <v>시한부라 은퇴합니다</v>
      </c>
      <c r="L3782">
        <v>0</v>
      </c>
      <c r="M3782">
        <v>0</v>
      </c>
      <c r="N3782">
        <v>0</v>
      </c>
      <c r="O3782">
        <v>2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0</v>
      </c>
      <c r="AH3782">
        <v>0</v>
      </c>
      <c r="AI3782">
        <v>0</v>
      </c>
      <c r="AJ3782">
        <v>2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0</v>
      </c>
      <c r="AS3782">
        <v>0</v>
      </c>
      <c r="AT3782">
        <v>0</v>
      </c>
      <c r="AV3782">
        <v>0</v>
      </c>
      <c r="AW3782">
        <v>0</v>
      </c>
      <c r="AY3782">
        <v>0</v>
      </c>
      <c r="AZ3782">
        <v>0</v>
      </c>
      <c r="BA3782">
        <v>0</v>
      </c>
      <c r="BE3782" t="str">
        <f>T("9791137018655")</f>
        <v>9791137018655</v>
      </c>
      <c r="BF3782" t="str">
        <f>T("k245992")</f>
        <v>k245992</v>
      </c>
      <c r="BG3782" t="str">
        <f>T("판타지 웹소설 &gt; 퓨전 판타지")</f>
        <v>판타지 웹소설 &gt; 퓨전 판타지</v>
      </c>
    </row>
    <row r="3783" spans="1:59">
      <c r="A3783" t="s">
        <v>60</v>
      </c>
      <c r="B3783" s="1">
        <v>46129</v>
      </c>
      <c r="C3783">
        <v>2378062653</v>
      </c>
      <c r="D3783">
        <v>2378062676</v>
      </c>
      <c r="E3783" t="str">
        <f>T("시한부라 은퇴합니다 24화")</f>
        <v>시한부라 은퇴합니다 24화</v>
      </c>
      <c r="F3783">
        <v>24</v>
      </c>
      <c r="G3783" t="str">
        <f>T("해달수")</f>
        <v>해달수</v>
      </c>
      <c r="J3783" t="str">
        <f>T("매드햇")</f>
        <v>매드햇</v>
      </c>
      <c r="K3783" t="str">
        <f>T("시한부라 은퇴합니다")</f>
        <v>시한부라 은퇴합니다</v>
      </c>
      <c r="L3783">
        <v>0</v>
      </c>
      <c r="M3783">
        <v>0</v>
      </c>
      <c r="N3783">
        <v>0</v>
      </c>
      <c r="O3783">
        <v>2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0</v>
      </c>
      <c r="AH3783">
        <v>0</v>
      </c>
      <c r="AI3783">
        <v>0</v>
      </c>
      <c r="AJ3783">
        <v>2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0</v>
      </c>
      <c r="AQ3783">
        <v>0</v>
      </c>
      <c r="AS3783">
        <v>0</v>
      </c>
      <c r="AT3783">
        <v>0</v>
      </c>
      <c r="AV3783">
        <v>0</v>
      </c>
      <c r="AW3783">
        <v>0</v>
      </c>
      <c r="AY3783">
        <v>0</v>
      </c>
      <c r="AZ3783">
        <v>0</v>
      </c>
      <c r="BA3783">
        <v>0</v>
      </c>
      <c r="BE3783" t="str">
        <f>T("9791137018655")</f>
        <v>9791137018655</v>
      </c>
      <c r="BF3783" t="str">
        <f>T("k245993")</f>
        <v>k245993</v>
      </c>
      <c r="BG3783" t="str">
        <f>T("판타지 웹소설 &gt; 퓨전 판타지")</f>
        <v>판타지 웹소설 &gt; 퓨전 판타지</v>
      </c>
    </row>
    <row r="3784" spans="1:59">
      <c r="A3784" t="s">
        <v>60</v>
      </c>
      <c r="B3784" s="1">
        <v>46129</v>
      </c>
      <c r="C3784">
        <v>2378062653</v>
      </c>
      <c r="D3784">
        <v>2378062677</v>
      </c>
      <c r="E3784" t="str">
        <f>T("시한부라 은퇴합니다 25화")</f>
        <v>시한부라 은퇴합니다 25화</v>
      </c>
      <c r="F3784">
        <v>25</v>
      </c>
      <c r="G3784" t="str">
        <f>T("해달수")</f>
        <v>해달수</v>
      </c>
      <c r="J3784" t="str">
        <f>T("매드햇")</f>
        <v>매드햇</v>
      </c>
      <c r="K3784" t="str">
        <f>T("시한부라 은퇴합니다")</f>
        <v>시한부라 은퇴합니다</v>
      </c>
      <c r="L3784">
        <v>0</v>
      </c>
      <c r="M3784">
        <v>0</v>
      </c>
      <c r="N3784">
        <v>0</v>
      </c>
      <c r="O3784">
        <v>2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0</v>
      </c>
      <c r="AH3784">
        <v>0</v>
      </c>
      <c r="AI3784">
        <v>0</v>
      </c>
      <c r="AJ3784">
        <v>2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0</v>
      </c>
      <c r="AS3784">
        <v>0</v>
      </c>
      <c r="AT3784">
        <v>0</v>
      </c>
      <c r="AV3784">
        <v>0</v>
      </c>
      <c r="AW3784">
        <v>0</v>
      </c>
      <c r="AY3784">
        <v>0</v>
      </c>
      <c r="AZ3784">
        <v>0</v>
      </c>
      <c r="BA3784">
        <v>0</v>
      </c>
      <c r="BE3784" t="str">
        <f>T("9791137018655")</f>
        <v>9791137018655</v>
      </c>
      <c r="BF3784" t="str">
        <f>T("k245994")</f>
        <v>k245994</v>
      </c>
      <c r="BG3784" t="str">
        <f>T("판타지 웹소설 &gt; 퓨전 판타지")</f>
        <v>판타지 웹소설 &gt; 퓨전 판타지</v>
      </c>
    </row>
    <row r="3785" spans="1:59">
      <c r="A3785" t="s">
        <v>60</v>
      </c>
      <c r="B3785" s="1">
        <v>46130</v>
      </c>
      <c r="C3785">
        <v>2378062653</v>
      </c>
      <c r="D3785">
        <v>2378062654</v>
      </c>
      <c r="E3785" t="str">
        <f>T("시한부라 은퇴합니다 2화")</f>
        <v>시한부라 은퇴합니다 2화</v>
      </c>
      <c r="F3785">
        <v>2</v>
      </c>
      <c r="G3785" t="str">
        <f>T("해달수")</f>
        <v>해달수</v>
      </c>
      <c r="J3785" t="str">
        <f>T("매드햇")</f>
        <v>매드햇</v>
      </c>
      <c r="K3785" t="str">
        <f>T("시한부라 은퇴합니다")</f>
        <v>시한부라 은퇴합니다</v>
      </c>
      <c r="L3785">
        <v>0</v>
      </c>
      <c r="M3785">
        <v>0</v>
      </c>
      <c r="N3785">
        <v>0</v>
      </c>
      <c r="O3785">
        <v>1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0</v>
      </c>
      <c r="AH3785">
        <v>0</v>
      </c>
      <c r="AI3785">
        <v>0</v>
      </c>
      <c r="AJ3785">
        <v>1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0</v>
      </c>
      <c r="AS3785">
        <v>0</v>
      </c>
      <c r="AT3785">
        <v>0</v>
      </c>
      <c r="AV3785">
        <v>0</v>
      </c>
      <c r="AW3785">
        <v>0</v>
      </c>
      <c r="AY3785">
        <v>0</v>
      </c>
      <c r="AZ3785">
        <v>0</v>
      </c>
      <c r="BA3785">
        <v>0</v>
      </c>
      <c r="BE3785" t="str">
        <f>T("9791137018655")</f>
        <v>9791137018655</v>
      </c>
      <c r="BF3785" t="str">
        <f>T("k245971")</f>
        <v>k245971</v>
      </c>
      <c r="BG3785" t="str">
        <f>T("판타지 웹소설 &gt; 퓨전 판타지")</f>
        <v>판타지 웹소설 &gt; 퓨전 판타지</v>
      </c>
    </row>
    <row r="3786" spans="1:59">
      <c r="A3786" t="s">
        <v>60</v>
      </c>
      <c r="B3786" s="1">
        <v>46130</v>
      </c>
      <c r="C3786">
        <v>2378062653</v>
      </c>
      <c r="D3786">
        <v>2378062655</v>
      </c>
      <c r="E3786" t="str">
        <f>T("시한부라 은퇴합니다 3화")</f>
        <v>시한부라 은퇴합니다 3화</v>
      </c>
      <c r="F3786">
        <v>3</v>
      </c>
      <c r="G3786" t="str">
        <f>T("해달수")</f>
        <v>해달수</v>
      </c>
      <c r="J3786" t="str">
        <f>T("매드햇")</f>
        <v>매드햇</v>
      </c>
      <c r="K3786" t="str">
        <f>T("시한부라 은퇴합니다")</f>
        <v>시한부라 은퇴합니다</v>
      </c>
      <c r="L3786">
        <v>0</v>
      </c>
      <c r="M3786">
        <v>0</v>
      </c>
      <c r="N3786">
        <v>0</v>
      </c>
      <c r="O3786">
        <v>1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0</v>
      </c>
      <c r="AH3786">
        <v>0</v>
      </c>
      <c r="AI3786">
        <v>0</v>
      </c>
      <c r="AJ3786">
        <v>1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0</v>
      </c>
      <c r="AQ3786">
        <v>0</v>
      </c>
      <c r="AS3786">
        <v>0</v>
      </c>
      <c r="AT3786">
        <v>0</v>
      </c>
      <c r="AV3786">
        <v>0</v>
      </c>
      <c r="AW3786">
        <v>0</v>
      </c>
      <c r="AY3786">
        <v>0</v>
      </c>
      <c r="AZ3786">
        <v>0</v>
      </c>
      <c r="BA3786">
        <v>0</v>
      </c>
      <c r="BE3786" t="str">
        <f>T("9791137018655")</f>
        <v>9791137018655</v>
      </c>
      <c r="BF3786" t="str">
        <f>T("k245972")</f>
        <v>k245972</v>
      </c>
      <c r="BG3786" t="str">
        <f>T("판타지 웹소설 &gt; 퓨전 판타지")</f>
        <v>판타지 웹소설 &gt; 퓨전 판타지</v>
      </c>
    </row>
    <row r="3787" spans="1:59">
      <c r="A3787" t="s">
        <v>60</v>
      </c>
      <c r="B3787" s="1">
        <v>46130</v>
      </c>
      <c r="C3787">
        <v>2378062653</v>
      </c>
      <c r="D3787">
        <v>2378062656</v>
      </c>
      <c r="E3787" t="str">
        <f>T("시한부라 은퇴합니다 4화")</f>
        <v>시한부라 은퇴합니다 4화</v>
      </c>
      <c r="F3787">
        <v>4</v>
      </c>
      <c r="G3787" t="str">
        <f>T("해달수")</f>
        <v>해달수</v>
      </c>
      <c r="J3787" t="str">
        <f>T("매드햇")</f>
        <v>매드햇</v>
      </c>
      <c r="K3787" t="str">
        <f>T("시한부라 은퇴합니다")</f>
        <v>시한부라 은퇴합니다</v>
      </c>
      <c r="L3787">
        <v>0</v>
      </c>
      <c r="M3787">
        <v>0</v>
      </c>
      <c r="N3787">
        <v>0</v>
      </c>
      <c r="O3787">
        <v>1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0</v>
      </c>
      <c r="AH3787">
        <v>0</v>
      </c>
      <c r="AI3787">
        <v>0</v>
      </c>
      <c r="AJ3787">
        <v>1</v>
      </c>
      <c r="AK3787">
        <v>0</v>
      </c>
      <c r="AL3787">
        <v>0</v>
      </c>
      <c r="AM3787">
        <v>0</v>
      </c>
      <c r="AN3787">
        <v>0</v>
      </c>
      <c r="AO3787">
        <v>0</v>
      </c>
      <c r="AP3787">
        <v>0</v>
      </c>
      <c r="AQ3787">
        <v>0</v>
      </c>
      <c r="AS3787">
        <v>0</v>
      </c>
      <c r="AT3787">
        <v>0</v>
      </c>
      <c r="AV3787">
        <v>0</v>
      </c>
      <c r="AW3787">
        <v>0</v>
      </c>
      <c r="AY3787">
        <v>0</v>
      </c>
      <c r="AZ3787">
        <v>0</v>
      </c>
      <c r="BA3787">
        <v>0</v>
      </c>
      <c r="BE3787" t="str">
        <f>T("9791137018655")</f>
        <v>9791137018655</v>
      </c>
      <c r="BF3787" t="str">
        <f>T("k245973")</f>
        <v>k245973</v>
      </c>
      <c r="BG3787" t="str">
        <f>T("판타지 웹소설 &gt; 퓨전 판타지")</f>
        <v>판타지 웹소설 &gt; 퓨전 판타지</v>
      </c>
    </row>
    <row r="3788" spans="1:59">
      <c r="A3788" t="s">
        <v>60</v>
      </c>
      <c r="B3788" s="1">
        <v>46130</v>
      </c>
      <c r="C3788">
        <v>2378062653</v>
      </c>
      <c r="D3788">
        <v>2378062653</v>
      </c>
      <c r="E3788" t="str">
        <f>T("시한부라 은퇴합니다 1화")</f>
        <v>시한부라 은퇴합니다 1화</v>
      </c>
      <c r="F3788">
        <v>1</v>
      </c>
      <c r="G3788" t="str">
        <f>T("해달수")</f>
        <v>해달수</v>
      </c>
      <c r="J3788" t="str">
        <f>T("매드햇")</f>
        <v>매드햇</v>
      </c>
      <c r="K3788" t="str">
        <f>T("시한부라 은퇴합니다")</f>
        <v>시한부라 은퇴합니다</v>
      </c>
      <c r="L3788">
        <v>0</v>
      </c>
      <c r="M3788">
        <v>0</v>
      </c>
      <c r="N3788">
        <v>0</v>
      </c>
      <c r="O3788">
        <v>1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0</v>
      </c>
      <c r="AH3788">
        <v>0</v>
      </c>
      <c r="AI3788">
        <v>0</v>
      </c>
      <c r="AJ3788">
        <v>1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0</v>
      </c>
      <c r="AS3788">
        <v>0</v>
      </c>
      <c r="AT3788">
        <v>0</v>
      </c>
      <c r="AV3788">
        <v>0</v>
      </c>
      <c r="AW3788">
        <v>0</v>
      </c>
      <c r="AY3788">
        <v>0</v>
      </c>
      <c r="AZ3788">
        <v>0</v>
      </c>
      <c r="BA3788">
        <v>0</v>
      </c>
      <c r="BE3788" t="str">
        <f>T("9791137018655")</f>
        <v>9791137018655</v>
      </c>
      <c r="BF3788" t="str">
        <f>T("k245970")</f>
        <v>k245970</v>
      </c>
      <c r="BG3788" t="str">
        <f>T("판타지 웹소설 &gt; 퓨전 판타지")</f>
        <v>판타지 웹소설 &gt; 퓨전 판타지</v>
      </c>
    </row>
    <row r="3789" spans="1:59">
      <c r="A3789" t="s">
        <v>60</v>
      </c>
      <c r="B3789" s="1">
        <v>46131</v>
      </c>
      <c r="C3789">
        <v>2378062653</v>
      </c>
      <c r="D3789">
        <v>2378063631</v>
      </c>
      <c r="E3789" t="str">
        <f>T("시한부라 은퇴합니다 120화")</f>
        <v>시한부라 은퇴합니다 120화</v>
      </c>
      <c r="F3789">
        <v>120</v>
      </c>
      <c r="G3789" t="str">
        <f>T("해달수")</f>
        <v>해달수</v>
      </c>
      <c r="J3789" t="str">
        <f>T("매드햇")</f>
        <v>매드햇</v>
      </c>
      <c r="K3789" t="str">
        <f>T("시한부라 은퇴합니다")</f>
        <v>시한부라 은퇴합니다</v>
      </c>
      <c r="L3789">
        <v>100</v>
      </c>
      <c r="M3789">
        <v>100</v>
      </c>
      <c r="N3789">
        <v>1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0</v>
      </c>
      <c r="AH3789">
        <v>0</v>
      </c>
      <c r="AI3789">
        <v>100</v>
      </c>
      <c r="AJ3789">
        <v>1</v>
      </c>
      <c r="AK3789">
        <v>0</v>
      </c>
      <c r="AL3789">
        <v>0</v>
      </c>
      <c r="AM3789">
        <v>100</v>
      </c>
      <c r="AN3789">
        <v>0</v>
      </c>
      <c r="AO3789">
        <v>0</v>
      </c>
      <c r="AP3789">
        <v>0</v>
      </c>
      <c r="AQ3789">
        <v>0</v>
      </c>
      <c r="AS3789">
        <v>0</v>
      </c>
      <c r="AT3789">
        <v>0</v>
      </c>
      <c r="AV3789">
        <v>0</v>
      </c>
      <c r="AW3789">
        <v>0</v>
      </c>
      <c r="AY3789">
        <v>0</v>
      </c>
      <c r="AZ3789">
        <v>0</v>
      </c>
      <c r="BA3789">
        <v>60</v>
      </c>
      <c r="BE3789" t="str">
        <f>T("9791137018655")</f>
        <v>9791137018655</v>
      </c>
      <c r="BF3789" t="str">
        <f>T("k246089")</f>
        <v>k246089</v>
      </c>
      <c r="BG3789" t="str">
        <f>T("판타지 웹소설 &gt; 퓨전 판타지")</f>
        <v>판타지 웹소설 &gt; 퓨전 판타지</v>
      </c>
    </row>
    <row r="3790" spans="1:59">
      <c r="A3790" t="s">
        <v>60</v>
      </c>
      <c r="B3790" s="1">
        <v>46131</v>
      </c>
      <c r="C3790">
        <v>2378062653</v>
      </c>
      <c r="D3790">
        <v>2378063661</v>
      </c>
      <c r="E3790" t="str">
        <f>T("시한부라 은퇴합니다 121화")</f>
        <v>시한부라 은퇴합니다 121화</v>
      </c>
      <c r="F3790">
        <v>121</v>
      </c>
      <c r="G3790" t="str">
        <f>T("해달수")</f>
        <v>해달수</v>
      </c>
      <c r="J3790" t="str">
        <f>T("매드햇")</f>
        <v>매드햇</v>
      </c>
      <c r="K3790" t="str">
        <f>T("시한부라 은퇴합니다")</f>
        <v>시한부라 은퇴합니다</v>
      </c>
      <c r="L3790">
        <v>100</v>
      </c>
      <c r="M3790">
        <v>100</v>
      </c>
      <c r="N3790">
        <v>1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0</v>
      </c>
      <c r="AH3790">
        <v>0</v>
      </c>
      <c r="AI3790">
        <v>100</v>
      </c>
      <c r="AJ3790">
        <v>1</v>
      </c>
      <c r="AK3790">
        <v>0</v>
      </c>
      <c r="AL3790">
        <v>0</v>
      </c>
      <c r="AM3790">
        <v>100</v>
      </c>
      <c r="AN3790">
        <v>0</v>
      </c>
      <c r="AO3790">
        <v>0</v>
      </c>
      <c r="AP3790">
        <v>0</v>
      </c>
      <c r="AQ3790">
        <v>0</v>
      </c>
      <c r="AS3790">
        <v>0</v>
      </c>
      <c r="AT3790">
        <v>0</v>
      </c>
      <c r="AV3790">
        <v>0</v>
      </c>
      <c r="AW3790">
        <v>0</v>
      </c>
      <c r="AY3790">
        <v>0</v>
      </c>
      <c r="AZ3790">
        <v>0</v>
      </c>
      <c r="BA3790">
        <v>60</v>
      </c>
      <c r="BE3790" t="str">
        <f>T("9791137018655")</f>
        <v>9791137018655</v>
      </c>
      <c r="BF3790" t="str">
        <f>T("k246090")</f>
        <v>k246090</v>
      </c>
      <c r="BG3790" t="str">
        <f>T("판타지 웹소설 &gt; 퓨전 판타지")</f>
        <v>판타지 웹소설 &gt; 퓨전 판타지</v>
      </c>
    </row>
    <row r="3791" spans="1:59">
      <c r="A3791" t="s">
        <v>60</v>
      </c>
      <c r="B3791" s="1">
        <v>46131</v>
      </c>
      <c r="C3791">
        <v>2378062653</v>
      </c>
      <c r="D3791">
        <v>2378063664</v>
      </c>
      <c r="E3791" t="str">
        <f>T("시한부라 은퇴합니다 122화")</f>
        <v>시한부라 은퇴합니다 122화</v>
      </c>
      <c r="F3791">
        <v>122</v>
      </c>
      <c r="G3791" t="str">
        <f>T("해달수")</f>
        <v>해달수</v>
      </c>
      <c r="J3791" t="str">
        <f>T("매드햇")</f>
        <v>매드햇</v>
      </c>
      <c r="K3791" t="str">
        <f>T("시한부라 은퇴합니다")</f>
        <v>시한부라 은퇴합니다</v>
      </c>
      <c r="L3791">
        <v>100</v>
      </c>
      <c r="M3791">
        <v>100</v>
      </c>
      <c r="N3791">
        <v>1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0</v>
      </c>
      <c r="AH3791">
        <v>0</v>
      </c>
      <c r="AI3791">
        <v>100</v>
      </c>
      <c r="AJ3791">
        <v>1</v>
      </c>
      <c r="AK3791">
        <v>0</v>
      </c>
      <c r="AL3791">
        <v>0</v>
      </c>
      <c r="AM3791">
        <v>100</v>
      </c>
      <c r="AN3791">
        <v>0</v>
      </c>
      <c r="AO3791">
        <v>0</v>
      </c>
      <c r="AP3791">
        <v>0</v>
      </c>
      <c r="AQ3791">
        <v>0</v>
      </c>
      <c r="AS3791">
        <v>0</v>
      </c>
      <c r="AT3791">
        <v>0</v>
      </c>
      <c r="AV3791">
        <v>0</v>
      </c>
      <c r="AW3791">
        <v>0</v>
      </c>
      <c r="AY3791">
        <v>0</v>
      </c>
      <c r="AZ3791">
        <v>0</v>
      </c>
      <c r="BA3791">
        <v>60</v>
      </c>
      <c r="BE3791" t="str">
        <f>T("9791137018655")</f>
        <v>9791137018655</v>
      </c>
      <c r="BF3791" t="str">
        <f>T("k246091")</f>
        <v>k246091</v>
      </c>
      <c r="BG3791" t="str">
        <f>T("판타지 웹소설 &gt; 퓨전 판타지")</f>
        <v>판타지 웹소설 &gt; 퓨전 판타지</v>
      </c>
    </row>
    <row r="3792" spans="1:59">
      <c r="A3792" t="s">
        <v>60</v>
      </c>
      <c r="B3792" s="1">
        <v>46131</v>
      </c>
      <c r="C3792">
        <v>2378062653</v>
      </c>
      <c r="D3792">
        <v>2378063665</v>
      </c>
      <c r="E3792" t="str">
        <f>T("시한부라 은퇴합니다 123화")</f>
        <v>시한부라 은퇴합니다 123화</v>
      </c>
      <c r="F3792">
        <v>123</v>
      </c>
      <c r="G3792" t="str">
        <f>T("해달수")</f>
        <v>해달수</v>
      </c>
      <c r="J3792" t="str">
        <f>T("매드햇")</f>
        <v>매드햇</v>
      </c>
      <c r="K3792" t="str">
        <f>T("시한부라 은퇴합니다")</f>
        <v>시한부라 은퇴합니다</v>
      </c>
      <c r="L3792">
        <v>100</v>
      </c>
      <c r="M3792">
        <v>100</v>
      </c>
      <c r="N3792">
        <v>1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0</v>
      </c>
      <c r="AH3792">
        <v>0</v>
      </c>
      <c r="AI3792">
        <v>100</v>
      </c>
      <c r="AJ3792">
        <v>1</v>
      </c>
      <c r="AK3792">
        <v>0</v>
      </c>
      <c r="AL3792">
        <v>0</v>
      </c>
      <c r="AM3792">
        <v>100</v>
      </c>
      <c r="AN3792">
        <v>0</v>
      </c>
      <c r="AO3792">
        <v>0</v>
      </c>
      <c r="AP3792">
        <v>0</v>
      </c>
      <c r="AQ3792">
        <v>0</v>
      </c>
      <c r="AS3792">
        <v>0</v>
      </c>
      <c r="AT3792">
        <v>0</v>
      </c>
      <c r="AV3792">
        <v>0</v>
      </c>
      <c r="AW3792">
        <v>0</v>
      </c>
      <c r="AY3792">
        <v>0</v>
      </c>
      <c r="AZ3792">
        <v>0</v>
      </c>
      <c r="BA3792">
        <v>60</v>
      </c>
      <c r="BE3792" t="str">
        <f>T("9791137018655")</f>
        <v>9791137018655</v>
      </c>
      <c r="BF3792" t="str">
        <f>T("k246092")</f>
        <v>k246092</v>
      </c>
      <c r="BG3792" t="str">
        <f>T("판타지 웹소설 &gt; 퓨전 판타지")</f>
        <v>판타지 웹소설 &gt; 퓨전 판타지</v>
      </c>
    </row>
    <row r="3793" spans="1:59">
      <c r="A3793" t="s">
        <v>60</v>
      </c>
      <c r="B3793" s="1">
        <v>46131</v>
      </c>
      <c r="C3793">
        <v>2378062653</v>
      </c>
      <c r="D3793">
        <v>2378063666</v>
      </c>
      <c r="E3793" t="str">
        <f>T("시한부라 은퇴합니다 124화")</f>
        <v>시한부라 은퇴합니다 124화</v>
      </c>
      <c r="F3793">
        <v>124</v>
      </c>
      <c r="G3793" t="str">
        <f>T("해달수")</f>
        <v>해달수</v>
      </c>
      <c r="J3793" t="str">
        <f>T("매드햇")</f>
        <v>매드햇</v>
      </c>
      <c r="K3793" t="str">
        <f>T("시한부라 은퇴합니다")</f>
        <v>시한부라 은퇴합니다</v>
      </c>
      <c r="L3793">
        <v>100</v>
      </c>
      <c r="M3793">
        <v>100</v>
      </c>
      <c r="N3793">
        <v>1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0</v>
      </c>
      <c r="AH3793">
        <v>0</v>
      </c>
      <c r="AI3793">
        <v>100</v>
      </c>
      <c r="AJ3793">
        <v>1</v>
      </c>
      <c r="AK3793">
        <v>0</v>
      </c>
      <c r="AL3793">
        <v>0</v>
      </c>
      <c r="AM3793">
        <v>100</v>
      </c>
      <c r="AN3793">
        <v>0</v>
      </c>
      <c r="AO3793">
        <v>0</v>
      </c>
      <c r="AP3793">
        <v>0</v>
      </c>
      <c r="AQ3793">
        <v>0</v>
      </c>
      <c r="AS3793">
        <v>0</v>
      </c>
      <c r="AT3793">
        <v>0</v>
      </c>
      <c r="AV3793">
        <v>0</v>
      </c>
      <c r="AW3793">
        <v>0</v>
      </c>
      <c r="AY3793">
        <v>0</v>
      </c>
      <c r="AZ3793">
        <v>0</v>
      </c>
      <c r="BA3793">
        <v>60</v>
      </c>
      <c r="BE3793" t="str">
        <f>T("9791137018655")</f>
        <v>9791137018655</v>
      </c>
      <c r="BF3793" t="str">
        <f>T("k246093")</f>
        <v>k246093</v>
      </c>
      <c r="BG3793" t="str">
        <f>T("판타지 웹소설 &gt; 퓨전 판타지")</f>
        <v>판타지 웹소설 &gt; 퓨전 판타지</v>
      </c>
    </row>
    <row r="3794" spans="1:59">
      <c r="A3794" t="s">
        <v>60</v>
      </c>
      <c r="B3794" s="1">
        <v>46131</v>
      </c>
      <c r="C3794">
        <v>2378062653</v>
      </c>
      <c r="D3794">
        <v>2378063667</v>
      </c>
      <c r="E3794" t="str">
        <f>T("시한부라 은퇴합니다 125화")</f>
        <v>시한부라 은퇴합니다 125화</v>
      </c>
      <c r="F3794">
        <v>125</v>
      </c>
      <c r="G3794" t="str">
        <f>T("해달수")</f>
        <v>해달수</v>
      </c>
      <c r="J3794" t="str">
        <f>T("매드햇")</f>
        <v>매드햇</v>
      </c>
      <c r="K3794" t="str">
        <f>T("시한부라 은퇴합니다")</f>
        <v>시한부라 은퇴합니다</v>
      </c>
      <c r="L3794">
        <v>100</v>
      </c>
      <c r="M3794">
        <v>100</v>
      </c>
      <c r="N3794">
        <v>1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0</v>
      </c>
      <c r="AH3794">
        <v>0</v>
      </c>
      <c r="AI3794">
        <v>100</v>
      </c>
      <c r="AJ3794">
        <v>1</v>
      </c>
      <c r="AK3794">
        <v>0</v>
      </c>
      <c r="AL3794">
        <v>0</v>
      </c>
      <c r="AM3794">
        <v>100</v>
      </c>
      <c r="AN3794">
        <v>0</v>
      </c>
      <c r="AO3794">
        <v>0</v>
      </c>
      <c r="AP3794">
        <v>0</v>
      </c>
      <c r="AQ3794">
        <v>0</v>
      </c>
      <c r="AS3794">
        <v>0</v>
      </c>
      <c r="AT3794">
        <v>0</v>
      </c>
      <c r="AV3794">
        <v>0</v>
      </c>
      <c r="AW3794">
        <v>0</v>
      </c>
      <c r="AY3794">
        <v>0</v>
      </c>
      <c r="AZ3794">
        <v>0</v>
      </c>
      <c r="BA3794">
        <v>60</v>
      </c>
      <c r="BE3794" t="str">
        <f>T("9791137018655")</f>
        <v>9791137018655</v>
      </c>
      <c r="BF3794" t="str">
        <f>T("k246094")</f>
        <v>k246094</v>
      </c>
      <c r="BG3794" t="str">
        <f>T("판타지 웹소설 &gt; 퓨전 판타지")</f>
        <v>판타지 웹소설 &gt; 퓨전 판타지</v>
      </c>
    </row>
    <row r="3795" spans="1:59">
      <c r="A3795" t="s">
        <v>60</v>
      </c>
      <c r="B3795" s="1">
        <v>46131</v>
      </c>
      <c r="C3795">
        <v>2378062653</v>
      </c>
      <c r="D3795">
        <v>2378063755</v>
      </c>
      <c r="E3795" t="str">
        <f>T("시한부라 은퇴합니다 126화")</f>
        <v>시한부라 은퇴합니다 126화</v>
      </c>
      <c r="F3795">
        <v>126</v>
      </c>
      <c r="G3795" t="str">
        <f>T("해달수")</f>
        <v>해달수</v>
      </c>
      <c r="J3795" t="str">
        <f>T("매드햇")</f>
        <v>매드햇</v>
      </c>
      <c r="K3795" t="str">
        <f>T("시한부라 은퇴합니다")</f>
        <v>시한부라 은퇴합니다</v>
      </c>
      <c r="L3795">
        <v>100</v>
      </c>
      <c r="M3795">
        <v>100</v>
      </c>
      <c r="N3795">
        <v>1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0</v>
      </c>
      <c r="AH3795">
        <v>0</v>
      </c>
      <c r="AI3795">
        <v>100</v>
      </c>
      <c r="AJ3795">
        <v>1</v>
      </c>
      <c r="AK3795">
        <v>0</v>
      </c>
      <c r="AL3795">
        <v>0</v>
      </c>
      <c r="AM3795">
        <v>100</v>
      </c>
      <c r="AN3795">
        <v>0</v>
      </c>
      <c r="AO3795">
        <v>0</v>
      </c>
      <c r="AP3795">
        <v>0</v>
      </c>
      <c r="AQ3795">
        <v>0</v>
      </c>
      <c r="AS3795">
        <v>0</v>
      </c>
      <c r="AT3795">
        <v>0</v>
      </c>
      <c r="AV3795">
        <v>0</v>
      </c>
      <c r="AW3795">
        <v>0</v>
      </c>
      <c r="AY3795">
        <v>0</v>
      </c>
      <c r="AZ3795">
        <v>0</v>
      </c>
      <c r="BA3795">
        <v>60</v>
      </c>
      <c r="BE3795" t="str">
        <f>T("9791137018655")</f>
        <v>9791137018655</v>
      </c>
      <c r="BF3795" t="str">
        <f>T("k246095")</f>
        <v>k246095</v>
      </c>
      <c r="BG3795" t="str">
        <f>T("판타지 웹소설 &gt; 퓨전 판타지")</f>
        <v>판타지 웹소설 &gt; 퓨전 판타지</v>
      </c>
    </row>
    <row r="3796" spans="1:59">
      <c r="A3796" t="s">
        <v>60</v>
      </c>
      <c r="B3796" s="1">
        <v>46131</v>
      </c>
      <c r="C3796">
        <v>2378062653</v>
      </c>
      <c r="D3796">
        <v>2378063809</v>
      </c>
      <c r="E3796" t="str">
        <f>T("시한부라 은퇴합니다 127화")</f>
        <v>시한부라 은퇴합니다 127화</v>
      </c>
      <c r="F3796">
        <v>127</v>
      </c>
      <c r="G3796" t="str">
        <f>T("해달수")</f>
        <v>해달수</v>
      </c>
      <c r="J3796" t="str">
        <f>T("매드햇")</f>
        <v>매드햇</v>
      </c>
      <c r="K3796" t="str">
        <f>T("시한부라 은퇴합니다")</f>
        <v>시한부라 은퇴합니다</v>
      </c>
      <c r="L3796">
        <v>100</v>
      </c>
      <c r="M3796">
        <v>100</v>
      </c>
      <c r="N3796">
        <v>1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0</v>
      </c>
      <c r="AH3796">
        <v>0</v>
      </c>
      <c r="AI3796">
        <v>100</v>
      </c>
      <c r="AJ3796">
        <v>1</v>
      </c>
      <c r="AK3796">
        <v>0</v>
      </c>
      <c r="AL3796">
        <v>0</v>
      </c>
      <c r="AM3796">
        <v>100</v>
      </c>
      <c r="AN3796">
        <v>0</v>
      </c>
      <c r="AO3796">
        <v>0</v>
      </c>
      <c r="AP3796">
        <v>0</v>
      </c>
      <c r="AQ3796">
        <v>0</v>
      </c>
      <c r="AS3796">
        <v>0</v>
      </c>
      <c r="AT3796">
        <v>0</v>
      </c>
      <c r="AV3796">
        <v>0</v>
      </c>
      <c r="AW3796">
        <v>0</v>
      </c>
      <c r="AY3796">
        <v>0</v>
      </c>
      <c r="AZ3796">
        <v>0</v>
      </c>
      <c r="BA3796">
        <v>60</v>
      </c>
      <c r="BE3796" t="str">
        <f>T("9791137018655")</f>
        <v>9791137018655</v>
      </c>
      <c r="BF3796" t="str">
        <f>T("k246096")</f>
        <v>k246096</v>
      </c>
      <c r="BG3796" t="str">
        <f>T("판타지 웹소설 &gt; 퓨전 판타지")</f>
        <v>판타지 웹소설 &gt; 퓨전 판타지</v>
      </c>
    </row>
    <row r="3797" spans="1:59">
      <c r="A3797" t="s">
        <v>60</v>
      </c>
      <c r="B3797" s="1">
        <v>46131</v>
      </c>
      <c r="C3797">
        <v>2378062653</v>
      </c>
      <c r="D3797">
        <v>2378063810</v>
      </c>
      <c r="E3797" t="str">
        <f>T("시한부라 은퇴합니다 128화")</f>
        <v>시한부라 은퇴합니다 128화</v>
      </c>
      <c r="F3797">
        <v>128</v>
      </c>
      <c r="G3797" t="str">
        <f>T("해달수")</f>
        <v>해달수</v>
      </c>
      <c r="J3797" t="str">
        <f>T("매드햇")</f>
        <v>매드햇</v>
      </c>
      <c r="K3797" t="str">
        <f>T("시한부라 은퇴합니다")</f>
        <v>시한부라 은퇴합니다</v>
      </c>
      <c r="L3797">
        <v>100</v>
      </c>
      <c r="M3797">
        <v>100</v>
      </c>
      <c r="N3797">
        <v>1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0</v>
      </c>
      <c r="AH3797">
        <v>0</v>
      </c>
      <c r="AI3797">
        <v>100</v>
      </c>
      <c r="AJ3797">
        <v>1</v>
      </c>
      <c r="AK3797">
        <v>0</v>
      </c>
      <c r="AL3797">
        <v>0</v>
      </c>
      <c r="AM3797">
        <v>100</v>
      </c>
      <c r="AN3797">
        <v>0</v>
      </c>
      <c r="AO3797">
        <v>0</v>
      </c>
      <c r="AP3797">
        <v>0</v>
      </c>
      <c r="AQ3797">
        <v>0</v>
      </c>
      <c r="AS3797">
        <v>0</v>
      </c>
      <c r="AT3797">
        <v>0</v>
      </c>
      <c r="AV3797">
        <v>0</v>
      </c>
      <c r="AW3797">
        <v>0</v>
      </c>
      <c r="AY3797">
        <v>0</v>
      </c>
      <c r="AZ3797">
        <v>0</v>
      </c>
      <c r="BA3797">
        <v>60</v>
      </c>
      <c r="BE3797" t="str">
        <f>T("9791137018655")</f>
        <v>9791137018655</v>
      </c>
      <c r="BF3797" t="str">
        <f>T("k246097")</f>
        <v>k246097</v>
      </c>
      <c r="BG3797" t="str">
        <f>T("판타지 웹소설 &gt; 퓨전 판타지")</f>
        <v>판타지 웹소설 &gt; 퓨전 판타지</v>
      </c>
    </row>
    <row r="3798" spans="1:59">
      <c r="A3798" t="s">
        <v>60</v>
      </c>
      <c r="B3798" s="1">
        <v>46131</v>
      </c>
      <c r="C3798">
        <v>2378062653</v>
      </c>
      <c r="D3798">
        <v>2378063815</v>
      </c>
      <c r="E3798" t="str">
        <f>T("시한부라 은퇴합니다 129화")</f>
        <v>시한부라 은퇴합니다 129화</v>
      </c>
      <c r="F3798">
        <v>129</v>
      </c>
      <c r="G3798" t="str">
        <f>T("해달수")</f>
        <v>해달수</v>
      </c>
      <c r="J3798" t="str">
        <f>T("매드햇")</f>
        <v>매드햇</v>
      </c>
      <c r="K3798" t="str">
        <f>T("시한부라 은퇴합니다")</f>
        <v>시한부라 은퇴합니다</v>
      </c>
      <c r="L3798">
        <v>100</v>
      </c>
      <c r="M3798">
        <v>100</v>
      </c>
      <c r="N3798">
        <v>1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0</v>
      </c>
      <c r="AH3798">
        <v>0</v>
      </c>
      <c r="AI3798">
        <v>100</v>
      </c>
      <c r="AJ3798">
        <v>1</v>
      </c>
      <c r="AK3798">
        <v>0</v>
      </c>
      <c r="AL3798">
        <v>0</v>
      </c>
      <c r="AM3798">
        <v>100</v>
      </c>
      <c r="AN3798">
        <v>0</v>
      </c>
      <c r="AO3798">
        <v>0</v>
      </c>
      <c r="AP3798">
        <v>0</v>
      </c>
      <c r="AQ3798">
        <v>0</v>
      </c>
      <c r="AS3798">
        <v>0</v>
      </c>
      <c r="AT3798">
        <v>0</v>
      </c>
      <c r="AV3798">
        <v>0</v>
      </c>
      <c r="AW3798">
        <v>0</v>
      </c>
      <c r="AY3798">
        <v>0</v>
      </c>
      <c r="AZ3798">
        <v>0</v>
      </c>
      <c r="BA3798">
        <v>60</v>
      </c>
      <c r="BE3798" t="str">
        <f>T("9791137018655")</f>
        <v>9791137018655</v>
      </c>
      <c r="BF3798" t="str">
        <f>T("k246098")</f>
        <v>k246098</v>
      </c>
      <c r="BG3798" t="str">
        <f>T("판타지 웹소설 &gt; 퓨전 판타지")</f>
        <v>판타지 웹소설 &gt; 퓨전 판타지</v>
      </c>
    </row>
    <row r="3799" spans="1:59">
      <c r="A3799" t="s">
        <v>60</v>
      </c>
      <c r="B3799" s="1">
        <v>46131</v>
      </c>
      <c r="C3799">
        <v>2378062653</v>
      </c>
      <c r="D3799">
        <v>2378063816</v>
      </c>
      <c r="E3799" t="str">
        <f>T("시한부라 은퇴합니다 130화")</f>
        <v>시한부라 은퇴합니다 130화</v>
      </c>
      <c r="F3799">
        <v>130</v>
      </c>
      <c r="G3799" t="str">
        <f>T("해달수")</f>
        <v>해달수</v>
      </c>
      <c r="J3799" t="str">
        <f>T("매드햇")</f>
        <v>매드햇</v>
      </c>
      <c r="K3799" t="str">
        <f>T("시한부라 은퇴합니다")</f>
        <v>시한부라 은퇴합니다</v>
      </c>
      <c r="L3799">
        <v>100</v>
      </c>
      <c r="M3799">
        <v>100</v>
      </c>
      <c r="N3799">
        <v>1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0</v>
      </c>
      <c r="AH3799">
        <v>0</v>
      </c>
      <c r="AI3799">
        <v>100</v>
      </c>
      <c r="AJ3799">
        <v>1</v>
      </c>
      <c r="AK3799">
        <v>0</v>
      </c>
      <c r="AL3799">
        <v>0</v>
      </c>
      <c r="AM3799">
        <v>100</v>
      </c>
      <c r="AN3799">
        <v>0</v>
      </c>
      <c r="AO3799">
        <v>0</v>
      </c>
      <c r="AP3799">
        <v>0</v>
      </c>
      <c r="AQ3799">
        <v>0</v>
      </c>
      <c r="AS3799">
        <v>0</v>
      </c>
      <c r="AT3799">
        <v>0</v>
      </c>
      <c r="AV3799">
        <v>0</v>
      </c>
      <c r="AW3799">
        <v>0</v>
      </c>
      <c r="AY3799">
        <v>0</v>
      </c>
      <c r="AZ3799">
        <v>0</v>
      </c>
      <c r="BA3799">
        <v>60</v>
      </c>
      <c r="BE3799" t="str">
        <f>T("9791137018655")</f>
        <v>9791137018655</v>
      </c>
      <c r="BF3799" t="str">
        <f>T("k246099")</f>
        <v>k246099</v>
      </c>
      <c r="BG3799" t="str">
        <f>T("판타지 웹소설 &gt; 퓨전 판타지")</f>
        <v>판타지 웹소설 &gt; 퓨전 판타지</v>
      </c>
    </row>
    <row r="3800" spans="1:59">
      <c r="A3800" t="s">
        <v>60</v>
      </c>
      <c r="B3800" s="1">
        <v>46131</v>
      </c>
      <c r="C3800">
        <v>2378062653</v>
      </c>
      <c r="D3800">
        <v>2378063861</v>
      </c>
      <c r="E3800" t="str">
        <f>T("시한부라 은퇴합니다 131화")</f>
        <v>시한부라 은퇴합니다 131화</v>
      </c>
      <c r="F3800">
        <v>131</v>
      </c>
      <c r="G3800" t="str">
        <f>T("해달수")</f>
        <v>해달수</v>
      </c>
      <c r="J3800" t="str">
        <f>T("매드햇")</f>
        <v>매드햇</v>
      </c>
      <c r="K3800" t="str">
        <f>T("시한부라 은퇴합니다")</f>
        <v>시한부라 은퇴합니다</v>
      </c>
      <c r="L3800">
        <v>100</v>
      </c>
      <c r="M3800">
        <v>100</v>
      </c>
      <c r="N3800">
        <v>1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0</v>
      </c>
      <c r="AH3800">
        <v>0</v>
      </c>
      <c r="AI3800">
        <v>100</v>
      </c>
      <c r="AJ3800">
        <v>1</v>
      </c>
      <c r="AK3800">
        <v>0</v>
      </c>
      <c r="AL3800">
        <v>0</v>
      </c>
      <c r="AM3800">
        <v>100</v>
      </c>
      <c r="AN3800">
        <v>0</v>
      </c>
      <c r="AO3800">
        <v>0</v>
      </c>
      <c r="AP3800">
        <v>0</v>
      </c>
      <c r="AQ3800">
        <v>0</v>
      </c>
      <c r="AS3800">
        <v>0</v>
      </c>
      <c r="AT3800">
        <v>0</v>
      </c>
      <c r="AV3800">
        <v>0</v>
      </c>
      <c r="AW3800">
        <v>0</v>
      </c>
      <c r="AY3800">
        <v>0</v>
      </c>
      <c r="AZ3800">
        <v>0</v>
      </c>
      <c r="BA3800">
        <v>60</v>
      </c>
      <c r="BE3800" t="str">
        <f>T("9791137018655")</f>
        <v>9791137018655</v>
      </c>
      <c r="BF3800" t="str">
        <f>T("k255190")</f>
        <v>k255190</v>
      </c>
      <c r="BG3800" t="str">
        <f>T("판타지 웹소설 &gt; 퓨전 판타지")</f>
        <v>판타지 웹소설 &gt; 퓨전 판타지</v>
      </c>
    </row>
    <row r="3801" spans="1:59">
      <c r="A3801" t="s">
        <v>60</v>
      </c>
      <c r="B3801" s="1">
        <v>46131</v>
      </c>
      <c r="C3801">
        <v>2378062653</v>
      </c>
      <c r="D3801">
        <v>2378063862</v>
      </c>
      <c r="E3801" t="str">
        <f>T("시한부라 은퇴합니다 132화")</f>
        <v>시한부라 은퇴합니다 132화</v>
      </c>
      <c r="F3801">
        <v>132</v>
      </c>
      <c r="G3801" t="str">
        <f>T("해달수")</f>
        <v>해달수</v>
      </c>
      <c r="J3801" t="str">
        <f>T("매드햇")</f>
        <v>매드햇</v>
      </c>
      <c r="K3801" t="str">
        <f>T("시한부라 은퇴합니다")</f>
        <v>시한부라 은퇴합니다</v>
      </c>
      <c r="L3801">
        <v>100</v>
      </c>
      <c r="M3801">
        <v>100</v>
      </c>
      <c r="N3801">
        <v>1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0</v>
      </c>
      <c r="AH3801">
        <v>0</v>
      </c>
      <c r="AI3801">
        <v>100</v>
      </c>
      <c r="AJ3801">
        <v>1</v>
      </c>
      <c r="AK3801">
        <v>0</v>
      </c>
      <c r="AL3801">
        <v>0</v>
      </c>
      <c r="AM3801">
        <v>100</v>
      </c>
      <c r="AN3801">
        <v>0</v>
      </c>
      <c r="AO3801">
        <v>0</v>
      </c>
      <c r="AP3801">
        <v>0</v>
      </c>
      <c r="AQ3801">
        <v>0</v>
      </c>
      <c r="AS3801">
        <v>0</v>
      </c>
      <c r="AT3801">
        <v>0</v>
      </c>
      <c r="AV3801">
        <v>0</v>
      </c>
      <c r="AW3801">
        <v>0</v>
      </c>
      <c r="AY3801">
        <v>0</v>
      </c>
      <c r="AZ3801">
        <v>0</v>
      </c>
      <c r="BA3801">
        <v>60</v>
      </c>
      <c r="BE3801" t="str">
        <f>T("9791137018655")</f>
        <v>9791137018655</v>
      </c>
      <c r="BF3801" t="str">
        <f>T("k255191")</f>
        <v>k255191</v>
      </c>
      <c r="BG3801" t="str">
        <f>T("판타지 웹소설 &gt; 퓨전 판타지")</f>
        <v>판타지 웹소설 &gt; 퓨전 판타지</v>
      </c>
    </row>
    <row r="3802" spans="1:59">
      <c r="A3802" t="s">
        <v>60</v>
      </c>
      <c r="B3802" s="1">
        <v>46131</v>
      </c>
      <c r="C3802">
        <v>2378062653</v>
      </c>
      <c r="D3802">
        <v>2378063881</v>
      </c>
      <c r="E3802" t="str">
        <f>T("시한부라 은퇴합니다 133화")</f>
        <v>시한부라 은퇴합니다 133화</v>
      </c>
      <c r="F3802">
        <v>133</v>
      </c>
      <c r="G3802" t="str">
        <f>T("해달수")</f>
        <v>해달수</v>
      </c>
      <c r="J3802" t="str">
        <f>T("매드햇")</f>
        <v>매드햇</v>
      </c>
      <c r="K3802" t="str">
        <f>T("시한부라 은퇴합니다")</f>
        <v>시한부라 은퇴합니다</v>
      </c>
      <c r="L3802">
        <v>100</v>
      </c>
      <c r="M3802">
        <v>100</v>
      </c>
      <c r="N3802">
        <v>1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0</v>
      </c>
      <c r="AH3802">
        <v>0</v>
      </c>
      <c r="AI3802">
        <v>100</v>
      </c>
      <c r="AJ3802">
        <v>1</v>
      </c>
      <c r="AK3802">
        <v>0</v>
      </c>
      <c r="AL3802">
        <v>0</v>
      </c>
      <c r="AM3802">
        <v>100</v>
      </c>
      <c r="AN3802">
        <v>0</v>
      </c>
      <c r="AO3802">
        <v>0</v>
      </c>
      <c r="AP3802">
        <v>0</v>
      </c>
      <c r="AQ3802">
        <v>0</v>
      </c>
      <c r="AS3802">
        <v>0</v>
      </c>
      <c r="AT3802">
        <v>0</v>
      </c>
      <c r="AV3802">
        <v>0</v>
      </c>
      <c r="AW3802">
        <v>0</v>
      </c>
      <c r="AY3802">
        <v>0</v>
      </c>
      <c r="AZ3802">
        <v>0</v>
      </c>
      <c r="BA3802">
        <v>60</v>
      </c>
      <c r="BE3802" t="str">
        <f>T("9791137018655")</f>
        <v>9791137018655</v>
      </c>
      <c r="BF3802" t="str">
        <f>T("k255192")</f>
        <v>k255192</v>
      </c>
      <c r="BG3802" t="str">
        <f>T("판타지 웹소설 &gt; 퓨전 판타지")</f>
        <v>판타지 웹소설 &gt; 퓨전 판타지</v>
      </c>
    </row>
    <row r="3803" spans="1:59">
      <c r="A3803" t="s">
        <v>60</v>
      </c>
      <c r="B3803" s="1">
        <v>46131</v>
      </c>
      <c r="C3803">
        <v>2378062653</v>
      </c>
      <c r="D3803">
        <v>2378063882</v>
      </c>
      <c r="E3803" t="str">
        <f>T("시한부라 은퇴합니다 134화")</f>
        <v>시한부라 은퇴합니다 134화</v>
      </c>
      <c r="F3803">
        <v>134</v>
      </c>
      <c r="G3803" t="str">
        <f>T("해달수")</f>
        <v>해달수</v>
      </c>
      <c r="J3803" t="str">
        <f>T("매드햇")</f>
        <v>매드햇</v>
      </c>
      <c r="K3803" t="str">
        <f>T("시한부라 은퇴합니다")</f>
        <v>시한부라 은퇴합니다</v>
      </c>
      <c r="L3803">
        <v>100</v>
      </c>
      <c r="M3803">
        <v>100</v>
      </c>
      <c r="N3803">
        <v>1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0</v>
      </c>
      <c r="AH3803">
        <v>0</v>
      </c>
      <c r="AI3803">
        <v>100</v>
      </c>
      <c r="AJ3803">
        <v>1</v>
      </c>
      <c r="AK3803">
        <v>0</v>
      </c>
      <c r="AL3803">
        <v>0</v>
      </c>
      <c r="AM3803">
        <v>100</v>
      </c>
      <c r="AN3803">
        <v>0</v>
      </c>
      <c r="AO3803">
        <v>0</v>
      </c>
      <c r="AP3803">
        <v>0</v>
      </c>
      <c r="AQ3803">
        <v>0</v>
      </c>
      <c r="AS3803">
        <v>0</v>
      </c>
      <c r="AT3803">
        <v>0</v>
      </c>
      <c r="AV3803">
        <v>0</v>
      </c>
      <c r="AW3803">
        <v>0</v>
      </c>
      <c r="AY3803">
        <v>0</v>
      </c>
      <c r="AZ3803">
        <v>0</v>
      </c>
      <c r="BA3803">
        <v>60</v>
      </c>
      <c r="BE3803" t="str">
        <f>T("9791137018655")</f>
        <v>9791137018655</v>
      </c>
      <c r="BF3803" t="str">
        <f>T("k255193")</f>
        <v>k255193</v>
      </c>
      <c r="BG3803" t="str">
        <f>T("판타지 웹소설 &gt; 퓨전 판타지")</f>
        <v>판타지 웹소설 &gt; 퓨전 판타지</v>
      </c>
    </row>
    <row r="3804" spans="1:59">
      <c r="A3804" t="s">
        <v>60</v>
      </c>
      <c r="B3804" s="1">
        <v>46131</v>
      </c>
      <c r="C3804">
        <v>2378062653</v>
      </c>
      <c r="D3804">
        <v>2378063904</v>
      </c>
      <c r="E3804" t="str">
        <f>T("시한부라 은퇴합니다 135화")</f>
        <v>시한부라 은퇴합니다 135화</v>
      </c>
      <c r="F3804">
        <v>135</v>
      </c>
      <c r="G3804" t="str">
        <f>T("해달수")</f>
        <v>해달수</v>
      </c>
      <c r="J3804" t="str">
        <f>T("매드햇")</f>
        <v>매드햇</v>
      </c>
      <c r="K3804" t="str">
        <f>T("시한부라 은퇴합니다")</f>
        <v>시한부라 은퇴합니다</v>
      </c>
      <c r="L3804">
        <v>100</v>
      </c>
      <c r="M3804">
        <v>100</v>
      </c>
      <c r="N3804">
        <v>1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0</v>
      </c>
      <c r="AH3804">
        <v>0</v>
      </c>
      <c r="AI3804">
        <v>100</v>
      </c>
      <c r="AJ3804">
        <v>1</v>
      </c>
      <c r="AK3804">
        <v>0</v>
      </c>
      <c r="AL3804">
        <v>0</v>
      </c>
      <c r="AM3804">
        <v>100</v>
      </c>
      <c r="AN3804">
        <v>0</v>
      </c>
      <c r="AO3804">
        <v>0</v>
      </c>
      <c r="AP3804">
        <v>0</v>
      </c>
      <c r="AQ3804">
        <v>0</v>
      </c>
      <c r="AS3804">
        <v>0</v>
      </c>
      <c r="AT3804">
        <v>0</v>
      </c>
      <c r="AV3804">
        <v>0</v>
      </c>
      <c r="AW3804">
        <v>0</v>
      </c>
      <c r="AY3804">
        <v>0</v>
      </c>
      <c r="AZ3804">
        <v>0</v>
      </c>
      <c r="BA3804">
        <v>60</v>
      </c>
      <c r="BE3804" t="str">
        <f>T("9791137018655")</f>
        <v>9791137018655</v>
      </c>
      <c r="BF3804" t="str">
        <f>T("k255194")</f>
        <v>k255194</v>
      </c>
      <c r="BG3804" t="str">
        <f>T("판타지 웹소설 &gt; 퓨전 판타지")</f>
        <v>판타지 웹소설 &gt; 퓨전 판타지</v>
      </c>
    </row>
    <row r="3805" spans="1:59">
      <c r="A3805" t="s">
        <v>60</v>
      </c>
      <c r="B3805" s="1">
        <v>46131</v>
      </c>
      <c r="C3805">
        <v>2378062653</v>
      </c>
      <c r="D3805">
        <v>2378063905</v>
      </c>
      <c r="E3805" t="str">
        <f>T("시한부라 은퇴합니다 136화")</f>
        <v>시한부라 은퇴합니다 136화</v>
      </c>
      <c r="F3805">
        <v>136</v>
      </c>
      <c r="G3805" t="str">
        <f>T("해달수")</f>
        <v>해달수</v>
      </c>
      <c r="J3805" t="str">
        <f>T("매드햇")</f>
        <v>매드햇</v>
      </c>
      <c r="K3805" t="str">
        <f>T("시한부라 은퇴합니다")</f>
        <v>시한부라 은퇴합니다</v>
      </c>
      <c r="L3805">
        <v>100</v>
      </c>
      <c r="M3805">
        <v>100</v>
      </c>
      <c r="N3805">
        <v>1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0</v>
      </c>
      <c r="AH3805">
        <v>0</v>
      </c>
      <c r="AI3805">
        <v>100</v>
      </c>
      <c r="AJ3805">
        <v>1</v>
      </c>
      <c r="AK3805">
        <v>0</v>
      </c>
      <c r="AL3805">
        <v>0</v>
      </c>
      <c r="AM3805">
        <v>100</v>
      </c>
      <c r="AN3805">
        <v>0</v>
      </c>
      <c r="AO3805">
        <v>0</v>
      </c>
      <c r="AP3805">
        <v>0</v>
      </c>
      <c r="AQ3805">
        <v>0</v>
      </c>
      <c r="AS3805">
        <v>0</v>
      </c>
      <c r="AT3805">
        <v>0</v>
      </c>
      <c r="AV3805">
        <v>0</v>
      </c>
      <c r="AW3805">
        <v>0</v>
      </c>
      <c r="AY3805">
        <v>0</v>
      </c>
      <c r="AZ3805">
        <v>0</v>
      </c>
      <c r="BA3805">
        <v>60</v>
      </c>
      <c r="BE3805" t="str">
        <f>T("9791137018655")</f>
        <v>9791137018655</v>
      </c>
      <c r="BF3805" t="str">
        <f>T("k255195")</f>
        <v>k255195</v>
      </c>
      <c r="BG3805" t="str">
        <f>T("판타지 웹소설 &gt; 퓨전 판타지")</f>
        <v>판타지 웹소설 &gt; 퓨전 판타지</v>
      </c>
    </row>
    <row r="3806" spans="1:59">
      <c r="A3806" t="s">
        <v>60</v>
      </c>
      <c r="B3806" s="1">
        <v>46131</v>
      </c>
      <c r="C3806">
        <v>2378062653</v>
      </c>
      <c r="D3806">
        <v>2378063906</v>
      </c>
      <c r="E3806" t="str">
        <f>T("시한부라 은퇴합니다 137화")</f>
        <v>시한부라 은퇴합니다 137화</v>
      </c>
      <c r="F3806">
        <v>137</v>
      </c>
      <c r="G3806" t="str">
        <f>T("해달수")</f>
        <v>해달수</v>
      </c>
      <c r="J3806" t="str">
        <f>T("매드햇")</f>
        <v>매드햇</v>
      </c>
      <c r="K3806" t="str">
        <f>T("시한부라 은퇴합니다")</f>
        <v>시한부라 은퇴합니다</v>
      </c>
      <c r="L3806">
        <v>100</v>
      </c>
      <c r="M3806">
        <v>100</v>
      </c>
      <c r="N3806">
        <v>1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0</v>
      </c>
      <c r="AH3806">
        <v>0</v>
      </c>
      <c r="AI3806">
        <v>100</v>
      </c>
      <c r="AJ3806">
        <v>1</v>
      </c>
      <c r="AK3806">
        <v>0</v>
      </c>
      <c r="AL3806">
        <v>0</v>
      </c>
      <c r="AM3806">
        <v>100</v>
      </c>
      <c r="AN3806">
        <v>0</v>
      </c>
      <c r="AO3806">
        <v>0</v>
      </c>
      <c r="AP3806">
        <v>0</v>
      </c>
      <c r="AQ3806">
        <v>0</v>
      </c>
      <c r="AS3806">
        <v>0</v>
      </c>
      <c r="AT3806">
        <v>0</v>
      </c>
      <c r="AV3806">
        <v>0</v>
      </c>
      <c r="AW3806">
        <v>0</v>
      </c>
      <c r="AY3806">
        <v>0</v>
      </c>
      <c r="AZ3806">
        <v>0</v>
      </c>
      <c r="BA3806">
        <v>60</v>
      </c>
      <c r="BE3806" t="str">
        <f>T("9791137018655")</f>
        <v>9791137018655</v>
      </c>
      <c r="BF3806" t="str">
        <f>T("k262276")</f>
        <v>k262276</v>
      </c>
      <c r="BG3806" t="str">
        <f>T("판타지 웹소설 &gt; 퓨전 판타지")</f>
        <v>판타지 웹소설 &gt; 퓨전 판타지</v>
      </c>
    </row>
    <row r="3807" spans="1:59">
      <c r="A3807" t="s">
        <v>60</v>
      </c>
      <c r="B3807" s="1">
        <v>46131</v>
      </c>
      <c r="C3807">
        <v>2378062653</v>
      </c>
      <c r="D3807">
        <v>2378063907</v>
      </c>
      <c r="E3807" t="str">
        <f>T("시한부라 은퇴합니다 138화")</f>
        <v>시한부라 은퇴합니다 138화</v>
      </c>
      <c r="F3807">
        <v>138</v>
      </c>
      <c r="G3807" t="str">
        <f>T("해달수")</f>
        <v>해달수</v>
      </c>
      <c r="J3807" t="str">
        <f>T("매드햇")</f>
        <v>매드햇</v>
      </c>
      <c r="K3807" t="str">
        <f>T("시한부라 은퇴합니다")</f>
        <v>시한부라 은퇴합니다</v>
      </c>
      <c r="L3807">
        <v>100</v>
      </c>
      <c r="M3807">
        <v>100</v>
      </c>
      <c r="N3807">
        <v>1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0</v>
      </c>
      <c r="AH3807">
        <v>0</v>
      </c>
      <c r="AI3807">
        <v>100</v>
      </c>
      <c r="AJ3807">
        <v>1</v>
      </c>
      <c r="AK3807">
        <v>0</v>
      </c>
      <c r="AL3807">
        <v>0</v>
      </c>
      <c r="AM3807">
        <v>100</v>
      </c>
      <c r="AN3807">
        <v>0</v>
      </c>
      <c r="AO3807">
        <v>0</v>
      </c>
      <c r="AP3807">
        <v>0</v>
      </c>
      <c r="AQ3807">
        <v>0</v>
      </c>
      <c r="AS3807">
        <v>0</v>
      </c>
      <c r="AT3807">
        <v>0</v>
      </c>
      <c r="AV3807">
        <v>0</v>
      </c>
      <c r="AW3807">
        <v>0</v>
      </c>
      <c r="AY3807">
        <v>0</v>
      </c>
      <c r="AZ3807">
        <v>0</v>
      </c>
      <c r="BA3807">
        <v>60</v>
      </c>
      <c r="BE3807" t="str">
        <f>T("9791137018655")</f>
        <v>9791137018655</v>
      </c>
      <c r="BF3807" t="str">
        <f>T("k268929")</f>
        <v>k268929</v>
      </c>
      <c r="BG3807" t="str">
        <f>T("판타지 웹소설 &gt; 퓨전 판타지")</f>
        <v>판타지 웹소설 &gt; 퓨전 판타지</v>
      </c>
    </row>
    <row r="3808" spans="1:59">
      <c r="A3808" t="s">
        <v>60</v>
      </c>
      <c r="B3808" s="1">
        <v>46131</v>
      </c>
      <c r="C3808">
        <v>2378062653</v>
      </c>
      <c r="D3808">
        <v>2378064140</v>
      </c>
      <c r="E3808" t="str">
        <f>T("시한부라 은퇴합니다 139화")</f>
        <v>시한부라 은퇴합니다 139화</v>
      </c>
      <c r="F3808">
        <v>139</v>
      </c>
      <c r="G3808" t="str">
        <f>T("해달수")</f>
        <v>해달수</v>
      </c>
      <c r="J3808" t="str">
        <f>T("매드햇")</f>
        <v>매드햇</v>
      </c>
      <c r="K3808" t="str">
        <f>T("시한부라 은퇴합니다")</f>
        <v>시한부라 은퇴합니다</v>
      </c>
      <c r="L3808">
        <v>100</v>
      </c>
      <c r="M3808">
        <v>100</v>
      </c>
      <c r="N3808">
        <v>1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0</v>
      </c>
      <c r="AH3808">
        <v>0</v>
      </c>
      <c r="AI3808">
        <v>100</v>
      </c>
      <c r="AJ3808">
        <v>1</v>
      </c>
      <c r="AK3808">
        <v>0</v>
      </c>
      <c r="AL3808">
        <v>0</v>
      </c>
      <c r="AM3808">
        <v>100</v>
      </c>
      <c r="AN3808">
        <v>0</v>
      </c>
      <c r="AO3808">
        <v>0</v>
      </c>
      <c r="AP3808">
        <v>0</v>
      </c>
      <c r="AQ3808">
        <v>0</v>
      </c>
      <c r="AS3808">
        <v>0</v>
      </c>
      <c r="AT3808">
        <v>0</v>
      </c>
      <c r="AV3808">
        <v>0</v>
      </c>
      <c r="AW3808">
        <v>0</v>
      </c>
      <c r="AY3808">
        <v>0</v>
      </c>
      <c r="AZ3808">
        <v>0</v>
      </c>
      <c r="BA3808">
        <v>60</v>
      </c>
      <c r="BE3808" t="str">
        <f>T("9791137018655")</f>
        <v>9791137018655</v>
      </c>
      <c r="BF3808" t="str">
        <f>T("k269824")</f>
        <v>k269824</v>
      </c>
      <c r="BG3808" t="str">
        <f>T("판타지 웹소설 &gt; 퓨전 판타지")</f>
        <v>판타지 웹소설 &gt; 퓨전 판타지</v>
      </c>
    </row>
    <row r="3809" spans="1:59">
      <c r="A3809" t="s">
        <v>60</v>
      </c>
      <c r="B3809" s="1">
        <v>46131</v>
      </c>
      <c r="C3809">
        <v>2378062653</v>
      </c>
      <c r="D3809">
        <v>2378064141</v>
      </c>
      <c r="E3809" t="str">
        <f>T("시한부라 은퇴합니다 140화")</f>
        <v>시한부라 은퇴합니다 140화</v>
      </c>
      <c r="F3809">
        <v>140</v>
      </c>
      <c r="G3809" t="str">
        <f>T("해달수")</f>
        <v>해달수</v>
      </c>
      <c r="J3809" t="str">
        <f>T("매드햇")</f>
        <v>매드햇</v>
      </c>
      <c r="K3809" t="str">
        <f>T("시한부라 은퇴합니다")</f>
        <v>시한부라 은퇴합니다</v>
      </c>
      <c r="L3809">
        <v>100</v>
      </c>
      <c r="M3809">
        <v>100</v>
      </c>
      <c r="N3809">
        <v>1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0</v>
      </c>
      <c r="AH3809">
        <v>0</v>
      </c>
      <c r="AI3809">
        <v>100</v>
      </c>
      <c r="AJ3809">
        <v>1</v>
      </c>
      <c r="AK3809">
        <v>0</v>
      </c>
      <c r="AL3809">
        <v>0</v>
      </c>
      <c r="AM3809">
        <v>100</v>
      </c>
      <c r="AN3809">
        <v>0</v>
      </c>
      <c r="AO3809">
        <v>0</v>
      </c>
      <c r="AP3809">
        <v>0</v>
      </c>
      <c r="AQ3809">
        <v>0</v>
      </c>
      <c r="AS3809">
        <v>0</v>
      </c>
      <c r="AT3809">
        <v>0</v>
      </c>
      <c r="AV3809">
        <v>0</v>
      </c>
      <c r="AW3809">
        <v>0</v>
      </c>
      <c r="AY3809">
        <v>0</v>
      </c>
      <c r="AZ3809">
        <v>0</v>
      </c>
      <c r="BA3809">
        <v>60</v>
      </c>
      <c r="BE3809" t="str">
        <f>T("9791137018655")</f>
        <v>9791137018655</v>
      </c>
      <c r="BF3809" t="str">
        <f>T("k269825")</f>
        <v>k269825</v>
      </c>
      <c r="BG3809" t="str">
        <f>T("판타지 웹소설 &gt; 퓨전 판타지")</f>
        <v>판타지 웹소설 &gt; 퓨전 판타지</v>
      </c>
    </row>
    <row r="3810" spans="1:59">
      <c r="A3810" t="s">
        <v>60</v>
      </c>
      <c r="B3810" s="1">
        <v>46131</v>
      </c>
      <c r="C3810">
        <v>2378062653</v>
      </c>
      <c r="D3810">
        <v>2378064150</v>
      </c>
      <c r="E3810" t="str">
        <f>T("시한부라 은퇴합니다 141화")</f>
        <v>시한부라 은퇴합니다 141화</v>
      </c>
      <c r="F3810">
        <v>141</v>
      </c>
      <c r="G3810" t="str">
        <f>T("해달수")</f>
        <v>해달수</v>
      </c>
      <c r="J3810" t="str">
        <f>T("매드햇")</f>
        <v>매드햇</v>
      </c>
      <c r="K3810" t="str">
        <f>T("시한부라 은퇴합니다")</f>
        <v>시한부라 은퇴합니다</v>
      </c>
      <c r="L3810">
        <v>100</v>
      </c>
      <c r="M3810">
        <v>100</v>
      </c>
      <c r="N3810">
        <v>1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0</v>
      </c>
      <c r="AH3810">
        <v>0</v>
      </c>
      <c r="AI3810">
        <v>100</v>
      </c>
      <c r="AJ3810">
        <v>1</v>
      </c>
      <c r="AK3810">
        <v>0</v>
      </c>
      <c r="AL3810">
        <v>0</v>
      </c>
      <c r="AM3810">
        <v>100</v>
      </c>
      <c r="AN3810">
        <v>0</v>
      </c>
      <c r="AO3810">
        <v>0</v>
      </c>
      <c r="AP3810">
        <v>0</v>
      </c>
      <c r="AQ3810">
        <v>0</v>
      </c>
      <c r="AS3810">
        <v>0</v>
      </c>
      <c r="AT3810">
        <v>0</v>
      </c>
      <c r="AV3810">
        <v>0</v>
      </c>
      <c r="AW3810">
        <v>0</v>
      </c>
      <c r="AY3810">
        <v>0</v>
      </c>
      <c r="AZ3810">
        <v>0</v>
      </c>
      <c r="BA3810">
        <v>60</v>
      </c>
      <c r="BE3810" t="str">
        <f>T("9791137018655")</f>
        <v>9791137018655</v>
      </c>
      <c r="BF3810" t="str">
        <f>T("k269826")</f>
        <v>k269826</v>
      </c>
      <c r="BG3810" t="str">
        <f>T("판타지 웹소설 &gt; 퓨전 판타지")</f>
        <v>판타지 웹소설 &gt; 퓨전 판타지</v>
      </c>
    </row>
    <row r="3811" spans="1:59">
      <c r="A3811" t="s">
        <v>60</v>
      </c>
      <c r="B3811" s="1">
        <v>46131</v>
      </c>
      <c r="C3811">
        <v>2378062653</v>
      </c>
      <c r="D3811">
        <v>2378064151</v>
      </c>
      <c r="E3811" t="str">
        <f>T("시한부라 은퇴합니다 142화")</f>
        <v>시한부라 은퇴합니다 142화</v>
      </c>
      <c r="F3811">
        <v>142</v>
      </c>
      <c r="G3811" t="str">
        <f>T("해달수")</f>
        <v>해달수</v>
      </c>
      <c r="J3811" t="str">
        <f>T("매드햇")</f>
        <v>매드햇</v>
      </c>
      <c r="K3811" t="str">
        <f>T("시한부라 은퇴합니다")</f>
        <v>시한부라 은퇴합니다</v>
      </c>
      <c r="L3811">
        <v>100</v>
      </c>
      <c r="M3811">
        <v>100</v>
      </c>
      <c r="N3811">
        <v>1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0</v>
      </c>
      <c r="AH3811">
        <v>0</v>
      </c>
      <c r="AI3811">
        <v>100</v>
      </c>
      <c r="AJ3811">
        <v>1</v>
      </c>
      <c r="AK3811">
        <v>0</v>
      </c>
      <c r="AL3811">
        <v>0</v>
      </c>
      <c r="AM3811">
        <v>100</v>
      </c>
      <c r="AN3811">
        <v>0</v>
      </c>
      <c r="AO3811">
        <v>0</v>
      </c>
      <c r="AP3811">
        <v>0</v>
      </c>
      <c r="AQ3811">
        <v>0</v>
      </c>
      <c r="AS3811">
        <v>0</v>
      </c>
      <c r="AT3811">
        <v>0</v>
      </c>
      <c r="AV3811">
        <v>0</v>
      </c>
      <c r="AW3811">
        <v>0</v>
      </c>
      <c r="AY3811">
        <v>0</v>
      </c>
      <c r="AZ3811">
        <v>0</v>
      </c>
      <c r="BA3811">
        <v>60</v>
      </c>
      <c r="BE3811" t="str">
        <f>T("9791137018655")</f>
        <v>9791137018655</v>
      </c>
      <c r="BF3811" t="str">
        <f>T("k269827")</f>
        <v>k269827</v>
      </c>
      <c r="BG3811" t="str">
        <f>T("판타지 웹소설 &gt; 퓨전 판타지")</f>
        <v>판타지 웹소설 &gt; 퓨전 판타지</v>
      </c>
    </row>
    <row r="3812" spans="1:59">
      <c r="A3812" t="s">
        <v>60</v>
      </c>
      <c r="B3812" s="1">
        <v>46131</v>
      </c>
      <c r="C3812">
        <v>2378062653</v>
      </c>
      <c r="D3812">
        <v>2378064184</v>
      </c>
      <c r="E3812" t="str">
        <f>T("시한부라 은퇴합니다 143화")</f>
        <v>시한부라 은퇴합니다 143화</v>
      </c>
      <c r="F3812">
        <v>143</v>
      </c>
      <c r="G3812" t="str">
        <f>T("해달수")</f>
        <v>해달수</v>
      </c>
      <c r="J3812" t="str">
        <f>T("매드햇")</f>
        <v>매드햇</v>
      </c>
      <c r="K3812" t="str">
        <f>T("시한부라 은퇴합니다")</f>
        <v>시한부라 은퇴합니다</v>
      </c>
      <c r="L3812">
        <v>100</v>
      </c>
      <c r="M3812">
        <v>100</v>
      </c>
      <c r="N3812">
        <v>1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0</v>
      </c>
      <c r="AH3812">
        <v>0</v>
      </c>
      <c r="AI3812">
        <v>100</v>
      </c>
      <c r="AJ3812">
        <v>1</v>
      </c>
      <c r="AK3812">
        <v>0</v>
      </c>
      <c r="AL3812">
        <v>0</v>
      </c>
      <c r="AM3812">
        <v>100</v>
      </c>
      <c r="AN3812">
        <v>0</v>
      </c>
      <c r="AO3812">
        <v>0</v>
      </c>
      <c r="AP3812">
        <v>0</v>
      </c>
      <c r="AQ3812">
        <v>0</v>
      </c>
      <c r="AS3812">
        <v>0</v>
      </c>
      <c r="AT3812">
        <v>0</v>
      </c>
      <c r="AV3812">
        <v>0</v>
      </c>
      <c r="AW3812">
        <v>0</v>
      </c>
      <c r="AY3812">
        <v>0</v>
      </c>
      <c r="AZ3812">
        <v>0</v>
      </c>
      <c r="BA3812">
        <v>60</v>
      </c>
      <c r="BE3812" t="str">
        <f>T("9791137018655")</f>
        <v>9791137018655</v>
      </c>
      <c r="BF3812" t="str">
        <f>T("k269828")</f>
        <v>k269828</v>
      </c>
      <c r="BG3812" t="str">
        <f>T("판타지 웹소설 &gt; 퓨전 판타지")</f>
        <v>판타지 웹소설 &gt; 퓨전 판타지</v>
      </c>
    </row>
    <row r="3813" spans="1:59">
      <c r="A3813" t="s">
        <v>60</v>
      </c>
      <c r="B3813" s="1">
        <v>46131</v>
      </c>
      <c r="C3813">
        <v>2378062653</v>
      </c>
      <c r="D3813">
        <v>2378064185</v>
      </c>
      <c r="E3813" t="str">
        <f>T("시한부라 은퇴합니다 144화")</f>
        <v>시한부라 은퇴합니다 144화</v>
      </c>
      <c r="F3813">
        <v>144</v>
      </c>
      <c r="G3813" t="str">
        <f>T("해달수")</f>
        <v>해달수</v>
      </c>
      <c r="J3813" t="str">
        <f>T("매드햇")</f>
        <v>매드햇</v>
      </c>
      <c r="K3813" t="str">
        <f>T("시한부라 은퇴합니다")</f>
        <v>시한부라 은퇴합니다</v>
      </c>
      <c r="L3813">
        <v>100</v>
      </c>
      <c r="M3813">
        <v>100</v>
      </c>
      <c r="N3813">
        <v>1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0</v>
      </c>
      <c r="AH3813">
        <v>0</v>
      </c>
      <c r="AI3813">
        <v>100</v>
      </c>
      <c r="AJ3813">
        <v>1</v>
      </c>
      <c r="AK3813">
        <v>0</v>
      </c>
      <c r="AL3813">
        <v>0</v>
      </c>
      <c r="AM3813">
        <v>100</v>
      </c>
      <c r="AN3813">
        <v>0</v>
      </c>
      <c r="AO3813">
        <v>0</v>
      </c>
      <c r="AP3813">
        <v>0</v>
      </c>
      <c r="AQ3813">
        <v>0</v>
      </c>
      <c r="AS3813">
        <v>0</v>
      </c>
      <c r="AT3813">
        <v>0</v>
      </c>
      <c r="AV3813">
        <v>0</v>
      </c>
      <c r="AW3813">
        <v>0</v>
      </c>
      <c r="AY3813">
        <v>0</v>
      </c>
      <c r="AZ3813">
        <v>0</v>
      </c>
      <c r="BA3813">
        <v>60</v>
      </c>
      <c r="BE3813" t="str">
        <f>T("9791137018655")</f>
        <v>9791137018655</v>
      </c>
      <c r="BF3813" t="str">
        <f>T("k269829")</f>
        <v>k269829</v>
      </c>
      <c r="BG3813" t="str">
        <f>T("판타지 웹소설 &gt; 퓨전 판타지")</f>
        <v>판타지 웹소설 &gt; 퓨전 판타지</v>
      </c>
    </row>
    <row r="3814" spans="1:59">
      <c r="A3814" t="s">
        <v>60</v>
      </c>
      <c r="B3814" s="1">
        <v>46131</v>
      </c>
      <c r="C3814">
        <v>2378062653</v>
      </c>
      <c r="D3814">
        <v>2378064186</v>
      </c>
      <c r="E3814" t="str">
        <f>T("시한부라 은퇴합니다 145화")</f>
        <v>시한부라 은퇴합니다 145화</v>
      </c>
      <c r="F3814">
        <v>145</v>
      </c>
      <c r="G3814" t="str">
        <f>T("해달수")</f>
        <v>해달수</v>
      </c>
      <c r="J3814" t="str">
        <f>T("매드햇")</f>
        <v>매드햇</v>
      </c>
      <c r="K3814" t="str">
        <f>T("시한부라 은퇴합니다")</f>
        <v>시한부라 은퇴합니다</v>
      </c>
      <c r="L3814">
        <v>100</v>
      </c>
      <c r="M3814">
        <v>100</v>
      </c>
      <c r="N3814">
        <v>1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0</v>
      </c>
      <c r="AH3814">
        <v>0</v>
      </c>
      <c r="AI3814">
        <v>100</v>
      </c>
      <c r="AJ3814">
        <v>1</v>
      </c>
      <c r="AK3814">
        <v>0</v>
      </c>
      <c r="AL3814">
        <v>0</v>
      </c>
      <c r="AM3814">
        <v>100</v>
      </c>
      <c r="AN3814">
        <v>0</v>
      </c>
      <c r="AO3814">
        <v>0</v>
      </c>
      <c r="AP3814">
        <v>0</v>
      </c>
      <c r="AQ3814">
        <v>0</v>
      </c>
      <c r="AS3814">
        <v>0</v>
      </c>
      <c r="AT3814">
        <v>0</v>
      </c>
      <c r="AV3814">
        <v>0</v>
      </c>
      <c r="AW3814">
        <v>0</v>
      </c>
      <c r="AY3814">
        <v>0</v>
      </c>
      <c r="AZ3814">
        <v>0</v>
      </c>
      <c r="BA3814">
        <v>60</v>
      </c>
      <c r="BE3814" t="str">
        <f>T("9791137018655")</f>
        <v>9791137018655</v>
      </c>
      <c r="BF3814" t="str">
        <f>T("k269830")</f>
        <v>k269830</v>
      </c>
      <c r="BG3814" t="str">
        <f>T("판타지 웹소설 &gt; 퓨전 판타지")</f>
        <v>판타지 웹소설 &gt; 퓨전 판타지</v>
      </c>
    </row>
    <row r="3815" spans="1:59">
      <c r="A3815" t="s">
        <v>60</v>
      </c>
      <c r="B3815" s="1">
        <v>46131</v>
      </c>
      <c r="C3815">
        <v>2378062653</v>
      </c>
      <c r="D3815">
        <v>2378064387</v>
      </c>
      <c r="E3815" t="str">
        <f>T("시한부라 은퇴합니다 146화")</f>
        <v>시한부라 은퇴합니다 146화</v>
      </c>
      <c r="F3815">
        <v>146</v>
      </c>
      <c r="G3815" t="str">
        <f>T("해달수")</f>
        <v>해달수</v>
      </c>
      <c r="J3815" t="str">
        <f>T("매드햇")</f>
        <v>매드햇</v>
      </c>
      <c r="K3815" t="str">
        <f>T("시한부라 은퇴합니다")</f>
        <v>시한부라 은퇴합니다</v>
      </c>
      <c r="L3815">
        <v>100</v>
      </c>
      <c r="M3815">
        <v>100</v>
      </c>
      <c r="N3815">
        <v>1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0</v>
      </c>
      <c r="AH3815">
        <v>0</v>
      </c>
      <c r="AI3815">
        <v>100</v>
      </c>
      <c r="AJ3815">
        <v>1</v>
      </c>
      <c r="AK3815">
        <v>0</v>
      </c>
      <c r="AL3815">
        <v>0</v>
      </c>
      <c r="AM3815">
        <v>100</v>
      </c>
      <c r="AN3815">
        <v>0</v>
      </c>
      <c r="AO3815">
        <v>0</v>
      </c>
      <c r="AP3815">
        <v>0</v>
      </c>
      <c r="AQ3815">
        <v>0</v>
      </c>
      <c r="AS3815">
        <v>0</v>
      </c>
      <c r="AT3815">
        <v>0</v>
      </c>
      <c r="AV3815">
        <v>0</v>
      </c>
      <c r="AW3815">
        <v>0</v>
      </c>
      <c r="AY3815">
        <v>0</v>
      </c>
      <c r="AZ3815">
        <v>0</v>
      </c>
      <c r="BA3815">
        <v>60</v>
      </c>
      <c r="BE3815" t="str">
        <f>T("9791137018655")</f>
        <v>9791137018655</v>
      </c>
      <c r="BF3815" t="str">
        <f>T("k269831")</f>
        <v>k269831</v>
      </c>
      <c r="BG3815" t="str">
        <f>T("판타지 웹소설 &gt; 퓨전 판타지")</f>
        <v>판타지 웹소설 &gt; 퓨전 판타지</v>
      </c>
    </row>
    <row r="3816" spans="1:59">
      <c r="A3816" t="s">
        <v>60</v>
      </c>
      <c r="B3816" s="1">
        <v>46131</v>
      </c>
      <c r="C3816">
        <v>2378062653</v>
      </c>
      <c r="D3816">
        <v>2378064416</v>
      </c>
      <c r="E3816" t="str">
        <f>T("시한부라 은퇴합니다 147화")</f>
        <v>시한부라 은퇴합니다 147화</v>
      </c>
      <c r="F3816">
        <v>147</v>
      </c>
      <c r="G3816" t="str">
        <f>T("해달수")</f>
        <v>해달수</v>
      </c>
      <c r="J3816" t="str">
        <f>T("매드햇")</f>
        <v>매드햇</v>
      </c>
      <c r="K3816" t="str">
        <f>T("시한부라 은퇴합니다")</f>
        <v>시한부라 은퇴합니다</v>
      </c>
      <c r="L3816">
        <v>100</v>
      </c>
      <c r="M3816">
        <v>100</v>
      </c>
      <c r="N3816">
        <v>1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0</v>
      </c>
      <c r="AH3816">
        <v>0</v>
      </c>
      <c r="AI3816">
        <v>100</v>
      </c>
      <c r="AJ3816">
        <v>1</v>
      </c>
      <c r="AK3816">
        <v>0</v>
      </c>
      <c r="AL3816">
        <v>0</v>
      </c>
      <c r="AM3816">
        <v>100</v>
      </c>
      <c r="AN3816">
        <v>0</v>
      </c>
      <c r="AO3816">
        <v>0</v>
      </c>
      <c r="AP3816">
        <v>0</v>
      </c>
      <c r="AQ3816">
        <v>0</v>
      </c>
      <c r="AS3816">
        <v>0</v>
      </c>
      <c r="AT3816">
        <v>0</v>
      </c>
      <c r="AV3816">
        <v>0</v>
      </c>
      <c r="AW3816">
        <v>0</v>
      </c>
      <c r="AY3816">
        <v>0</v>
      </c>
      <c r="AZ3816">
        <v>0</v>
      </c>
      <c r="BA3816">
        <v>60</v>
      </c>
      <c r="BE3816" t="str">
        <f>T("9791137018655")</f>
        <v>9791137018655</v>
      </c>
      <c r="BF3816" t="str">
        <f>T("k275271")</f>
        <v>k275271</v>
      </c>
      <c r="BG3816" t="str">
        <f>T("판타지 웹소설 &gt; 퓨전 판타지")</f>
        <v>판타지 웹소설 &gt; 퓨전 판타지</v>
      </c>
    </row>
    <row r="3817" spans="1:59">
      <c r="A3817" t="s">
        <v>60</v>
      </c>
      <c r="B3817" s="1">
        <v>46131</v>
      </c>
      <c r="C3817">
        <v>2378062653</v>
      </c>
      <c r="D3817">
        <v>2378064417</v>
      </c>
      <c r="E3817" t="str">
        <f>T("시한부라 은퇴합니다 148화")</f>
        <v>시한부라 은퇴합니다 148화</v>
      </c>
      <c r="F3817">
        <v>148</v>
      </c>
      <c r="G3817" t="str">
        <f>T("해달수")</f>
        <v>해달수</v>
      </c>
      <c r="J3817" t="str">
        <f>T("매드햇")</f>
        <v>매드햇</v>
      </c>
      <c r="K3817" t="str">
        <f>T("시한부라 은퇴합니다")</f>
        <v>시한부라 은퇴합니다</v>
      </c>
      <c r="L3817">
        <v>100</v>
      </c>
      <c r="M3817">
        <v>100</v>
      </c>
      <c r="N3817">
        <v>1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0</v>
      </c>
      <c r="AH3817">
        <v>0</v>
      </c>
      <c r="AI3817">
        <v>100</v>
      </c>
      <c r="AJ3817">
        <v>1</v>
      </c>
      <c r="AK3817">
        <v>0</v>
      </c>
      <c r="AL3817">
        <v>0</v>
      </c>
      <c r="AM3817">
        <v>100</v>
      </c>
      <c r="AN3817">
        <v>0</v>
      </c>
      <c r="AO3817">
        <v>0</v>
      </c>
      <c r="AP3817">
        <v>0</v>
      </c>
      <c r="AQ3817">
        <v>0</v>
      </c>
      <c r="AS3817">
        <v>0</v>
      </c>
      <c r="AT3817">
        <v>0</v>
      </c>
      <c r="AV3817">
        <v>0</v>
      </c>
      <c r="AW3817">
        <v>0</v>
      </c>
      <c r="AY3817">
        <v>0</v>
      </c>
      <c r="AZ3817">
        <v>0</v>
      </c>
      <c r="BA3817">
        <v>60</v>
      </c>
      <c r="BE3817" t="str">
        <f>T("9791137018655")</f>
        <v>9791137018655</v>
      </c>
      <c r="BF3817" t="str">
        <f>T("k275272")</f>
        <v>k275272</v>
      </c>
      <c r="BG3817" t="str">
        <f>T("판타지 웹소설 &gt; 퓨전 판타지")</f>
        <v>판타지 웹소설 &gt; 퓨전 판타지</v>
      </c>
    </row>
    <row r="3818" spans="1:59">
      <c r="A3818" t="s">
        <v>60</v>
      </c>
      <c r="B3818" s="1">
        <v>46131</v>
      </c>
      <c r="C3818">
        <v>2378062653</v>
      </c>
      <c r="D3818">
        <v>2378064435</v>
      </c>
      <c r="E3818" t="str">
        <f>T("시한부라 은퇴합니다 149화")</f>
        <v>시한부라 은퇴합니다 149화</v>
      </c>
      <c r="F3818">
        <v>149</v>
      </c>
      <c r="G3818" t="str">
        <f>T("해달수")</f>
        <v>해달수</v>
      </c>
      <c r="J3818" t="str">
        <f>T("매드햇")</f>
        <v>매드햇</v>
      </c>
      <c r="K3818" t="str">
        <f>T("시한부라 은퇴합니다")</f>
        <v>시한부라 은퇴합니다</v>
      </c>
      <c r="L3818">
        <v>100</v>
      </c>
      <c r="M3818">
        <v>100</v>
      </c>
      <c r="N3818">
        <v>1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0</v>
      </c>
      <c r="AH3818">
        <v>0</v>
      </c>
      <c r="AI3818">
        <v>100</v>
      </c>
      <c r="AJ3818">
        <v>1</v>
      </c>
      <c r="AK3818">
        <v>0</v>
      </c>
      <c r="AL3818">
        <v>0</v>
      </c>
      <c r="AM3818">
        <v>100</v>
      </c>
      <c r="AN3818">
        <v>0</v>
      </c>
      <c r="AO3818">
        <v>0</v>
      </c>
      <c r="AP3818">
        <v>0</v>
      </c>
      <c r="AQ3818">
        <v>0</v>
      </c>
      <c r="AS3818">
        <v>0</v>
      </c>
      <c r="AT3818">
        <v>0</v>
      </c>
      <c r="AV3818">
        <v>0</v>
      </c>
      <c r="AW3818">
        <v>0</v>
      </c>
      <c r="AY3818">
        <v>0</v>
      </c>
      <c r="AZ3818">
        <v>0</v>
      </c>
      <c r="BA3818">
        <v>60</v>
      </c>
      <c r="BE3818" t="str">
        <f>T("9791137018655")</f>
        <v>9791137018655</v>
      </c>
      <c r="BF3818" t="str">
        <f>T("k275273")</f>
        <v>k275273</v>
      </c>
      <c r="BG3818" t="str">
        <f>T("판타지 웹소설 &gt; 퓨전 판타지")</f>
        <v>판타지 웹소설 &gt; 퓨전 판타지</v>
      </c>
    </row>
    <row r="3819" spans="1:59">
      <c r="A3819" t="s">
        <v>60</v>
      </c>
      <c r="B3819" s="1">
        <v>46131</v>
      </c>
      <c r="C3819">
        <v>2378062653</v>
      </c>
      <c r="D3819">
        <v>2378064436</v>
      </c>
      <c r="E3819" t="str">
        <f>T("시한부라 은퇴합니다 150화")</f>
        <v>시한부라 은퇴합니다 150화</v>
      </c>
      <c r="F3819">
        <v>150</v>
      </c>
      <c r="G3819" t="str">
        <f>T("해달수")</f>
        <v>해달수</v>
      </c>
      <c r="J3819" t="str">
        <f>T("매드햇")</f>
        <v>매드햇</v>
      </c>
      <c r="K3819" t="str">
        <f>T("시한부라 은퇴합니다")</f>
        <v>시한부라 은퇴합니다</v>
      </c>
      <c r="L3819">
        <v>100</v>
      </c>
      <c r="M3819">
        <v>100</v>
      </c>
      <c r="N3819">
        <v>1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0</v>
      </c>
      <c r="AH3819">
        <v>0</v>
      </c>
      <c r="AI3819">
        <v>100</v>
      </c>
      <c r="AJ3819">
        <v>1</v>
      </c>
      <c r="AK3819">
        <v>0</v>
      </c>
      <c r="AL3819">
        <v>0</v>
      </c>
      <c r="AM3819">
        <v>100</v>
      </c>
      <c r="AN3819">
        <v>0</v>
      </c>
      <c r="AO3819">
        <v>0</v>
      </c>
      <c r="AP3819">
        <v>0</v>
      </c>
      <c r="AQ3819">
        <v>0</v>
      </c>
      <c r="AS3819">
        <v>0</v>
      </c>
      <c r="AT3819">
        <v>0</v>
      </c>
      <c r="AV3819">
        <v>0</v>
      </c>
      <c r="AW3819">
        <v>0</v>
      </c>
      <c r="AY3819">
        <v>0</v>
      </c>
      <c r="AZ3819">
        <v>0</v>
      </c>
      <c r="BA3819">
        <v>60</v>
      </c>
      <c r="BE3819" t="str">
        <f>T("9791137018655")</f>
        <v>9791137018655</v>
      </c>
      <c r="BF3819" t="str">
        <f>T("k275274")</f>
        <v>k275274</v>
      </c>
      <c r="BG3819" t="str">
        <f>T("판타지 웹소설 &gt; 퓨전 판타지")</f>
        <v>판타지 웹소설 &gt; 퓨전 판타지</v>
      </c>
    </row>
    <row r="3820" spans="1:59">
      <c r="A3820" t="s">
        <v>60</v>
      </c>
      <c r="B3820" s="1">
        <v>46131</v>
      </c>
      <c r="C3820">
        <v>2378062653</v>
      </c>
      <c r="D3820">
        <v>2378064764</v>
      </c>
      <c r="E3820" t="str">
        <f>T("시한부라 은퇴합니다 151화")</f>
        <v>시한부라 은퇴합니다 151화</v>
      </c>
      <c r="F3820">
        <v>151</v>
      </c>
      <c r="G3820" t="str">
        <f>T("해달수")</f>
        <v>해달수</v>
      </c>
      <c r="J3820" t="str">
        <f>T("매드햇")</f>
        <v>매드햇</v>
      </c>
      <c r="K3820" t="str">
        <f>T("시한부라 은퇴합니다")</f>
        <v>시한부라 은퇴합니다</v>
      </c>
      <c r="L3820">
        <v>100</v>
      </c>
      <c r="M3820">
        <v>100</v>
      </c>
      <c r="N3820">
        <v>1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0</v>
      </c>
      <c r="AH3820">
        <v>0</v>
      </c>
      <c r="AI3820">
        <v>100</v>
      </c>
      <c r="AJ3820">
        <v>1</v>
      </c>
      <c r="AK3820">
        <v>0</v>
      </c>
      <c r="AL3820">
        <v>0</v>
      </c>
      <c r="AM3820">
        <v>100</v>
      </c>
      <c r="AN3820">
        <v>0</v>
      </c>
      <c r="AO3820">
        <v>0</v>
      </c>
      <c r="AP3820">
        <v>0</v>
      </c>
      <c r="AQ3820">
        <v>0</v>
      </c>
      <c r="AS3820">
        <v>0</v>
      </c>
      <c r="AT3820">
        <v>0</v>
      </c>
      <c r="AV3820">
        <v>0</v>
      </c>
      <c r="AW3820">
        <v>0</v>
      </c>
      <c r="AY3820">
        <v>0</v>
      </c>
      <c r="AZ3820">
        <v>0</v>
      </c>
      <c r="BA3820">
        <v>60</v>
      </c>
      <c r="BE3820" t="str">
        <f>T("9791137018655")</f>
        <v>9791137018655</v>
      </c>
      <c r="BF3820" t="str">
        <f>T("k275275")</f>
        <v>k275275</v>
      </c>
      <c r="BG3820" t="str">
        <f>T("판타지 웹소설 &gt; 퓨전 판타지")</f>
        <v>판타지 웹소설 &gt; 퓨전 판타지</v>
      </c>
    </row>
    <row r="3821" spans="1:59">
      <c r="A3821" t="s">
        <v>60</v>
      </c>
      <c r="B3821" s="1">
        <v>46131</v>
      </c>
      <c r="C3821">
        <v>2378062653</v>
      </c>
      <c r="D3821">
        <v>2378064765</v>
      </c>
      <c r="E3821" t="str">
        <f>T("시한부라 은퇴합니다 152화")</f>
        <v>시한부라 은퇴합니다 152화</v>
      </c>
      <c r="F3821">
        <v>152</v>
      </c>
      <c r="G3821" t="str">
        <f>T("해달수")</f>
        <v>해달수</v>
      </c>
      <c r="J3821" t="str">
        <f>T("매드햇")</f>
        <v>매드햇</v>
      </c>
      <c r="K3821" t="str">
        <f>T("시한부라 은퇴합니다")</f>
        <v>시한부라 은퇴합니다</v>
      </c>
      <c r="L3821">
        <v>100</v>
      </c>
      <c r="M3821">
        <v>100</v>
      </c>
      <c r="N3821">
        <v>1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0</v>
      </c>
      <c r="AH3821">
        <v>0</v>
      </c>
      <c r="AI3821">
        <v>100</v>
      </c>
      <c r="AJ3821">
        <v>1</v>
      </c>
      <c r="AK3821">
        <v>0</v>
      </c>
      <c r="AL3821">
        <v>0</v>
      </c>
      <c r="AM3821">
        <v>100</v>
      </c>
      <c r="AN3821">
        <v>0</v>
      </c>
      <c r="AO3821">
        <v>0</v>
      </c>
      <c r="AP3821">
        <v>0</v>
      </c>
      <c r="AQ3821">
        <v>0</v>
      </c>
      <c r="AS3821">
        <v>0</v>
      </c>
      <c r="AT3821">
        <v>0</v>
      </c>
      <c r="AV3821">
        <v>0</v>
      </c>
      <c r="AW3821">
        <v>0</v>
      </c>
      <c r="AY3821">
        <v>0</v>
      </c>
      <c r="AZ3821">
        <v>0</v>
      </c>
      <c r="BA3821">
        <v>60</v>
      </c>
      <c r="BE3821" t="str">
        <f>T("9791137018655")</f>
        <v>9791137018655</v>
      </c>
      <c r="BF3821" t="str">
        <f>T("k284320")</f>
        <v>k284320</v>
      </c>
      <c r="BG3821" t="str">
        <f>T("판타지 웹소설 &gt; 퓨전 판타지")</f>
        <v>판타지 웹소설 &gt; 퓨전 판타지</v>
      </c>
    </row>
    <row r="3822" spans="1:59">
      <c r="A3822" t="s">
        <v>60</v>
      </c>
      <c r="B3822" s="1">
        <v>46131</v>
      </c>
      <c r="C3822">
        <v>2378062653</v>
      </c>
      <c r="D3822">
        <v>2378064785</v>
      </c>
      <c r="E3822" t="str">
        <f>T("시한부라 은퇴합니다 153화")</f>
        <v>시한부라 은퇴합니다 153화</v>
      </c>
      <c r="F3822">
        <v>153</v>
      </c>
      <c r="G3822" t="str">
        <f>T("해달수")</f>
        <v>해달수</v>
      </c>
      <c r="J3822" t="str">
        <f>T("매드햇")</f>
        <v>매드햇</v>
      </c>
      <c r="K3822" t="str">
        <f>T("시한부라 은퇴합니다")</f>
        <v>시한부라 은퇴합니다</v>
      </c>
      <c r="L3822">
        <v>100</v>
      </c>
      <c r="M3822">
        <v>100</v>
      </c>
      <c r="N3822">
        <v>1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0</v>
      </c>
      <c r="AH3822">
        <v>0</v>
      </c>
      <c r="AI3822">
        <v>100</v>
      </c>
      <c r="AJ3822">
        <v>1</v>
      </c>
      <c r="AK3822">
        <v>0</v>
      </c>
      <c r="AL3822">
        <v>0</v>
      </c>
      <c r="AM3822">
        <v>100</v>
      </c>
      <c r="AN3822">
        <v>0</v>
      </c>
      <c r="AO3822">
        <v>0</v>
      </c>
      <c r="AP3822">
        <v>0</v>
      </c>
      <c r="AQ3822">
        <v>0</v>
      </c>
      <c r="AS3822">
        <v>0</v>
      </c>
      <c r="AT3822">
        <v>0</v>
      </c>
      <c r="AV3822">
        <v>0</v>
      </c>
      <c r="AW3822">
        <v>0</v>
      </c>
      <c r="AY3822">
        <v>0</v>
      </c>
      <c r="AZ3822">
        <v>0</v>
      </c>
      <c r="BA3822">
        <v>60</v>
      </c>
      <c r="BE3822" t="str">
        <f>T("9791137018655")</f>
        <v>9791137018655</v>
      </c>
      <c r="BF3822" t="str">
        <f>T("k284321")</f>
        <v>k284321</v>
      </c>
      <c r="BG3822" t="str">
        <f>T("판타지 웹소설 &gt; 퓨전 판타지")</f>
        <v>판타지 웹소설 &gt; 퓨전 판타지</v>
      </c>
    </row>
    <row r="3823" spans="1:59">
      <c r="A3823" t="s">
        <v>60</v>
      </c>
      <c r="B3823" s="1">
        <v>46131</v>
      </c>
      <c r="C3823">
        <v>2378062653</v>
      </c>
      <c r="D3823">
        <v>2378064786</v>
      </c>
      <c r="E3823" t="str">
        <f>T("시한부라 은퇴합니다 154화")</f>
        <v>시한부라 은퇴합니다 154화</v>
      </c>
      <c r="F3823">
        <v>154</v>
      </c>
      <c r="G3823" t="str">
        <f>T("해달수")</f>
        <v>해달수</v>
      </c>
      <c r="J3823" t="str">
        <f>T("매드햇")</f>
        <v>매드햇</v>
      </c>
      <c r="K3823" t="str">
        <f>T("시한부라 은퇴합니다")</f>
        <v>시한부라 은퇴합니다</v>
      </c>
      <c r="L3823">
        <v>100</v>
      </c>
      <c r="M3823">
        <v>100</v>
      </c>
      <c r="N3823">
        <v>1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0</v>
      </c>
      <c r="AH3823">
        <v>0</v>
      </c>
      <c r="AI3823">
        <v>100</v>
      </c>
      <c r="AJ3823">
        <v>1</v>
      </c>
      <c r="AK3823">
        <v>0</v>
      </c>
      <c r="AL3823">
        <v>0</v>
      </c>
      <c r="AM3823">
        <v>100</v>
      </c>
      <c r="AN3823">
        <v>0</v>
      </c>
      <c r="AO3823">
        <v>0</v>
      </c>
      <c r="AP3823">
        <v>0</v>
      </c>
      <c r="AQ3823">
        <v>0</v>
      </c>
      <c r="AS3823">
        <v>0</v>
      </c>
      <c r="AT3823">
        <v>0</v>
      </c>
      <c r="AV3823">
        <v>0</v>
      </c>
      <c r="AW3823">
        <v>0</v>
      </c>
      <c r="AY3823">
        <v>0</v>
      </c>
      <c r="AZ3823">
        <v>0</v>
      </c>
      <c r="BA3823">
        <v>60</v>
      </c>
      <c r="BE3823" t="str">
        <f>T("9791137018655")</f>
        <v>9791137018655</v>
      </c>
      <c r="BF3823" t="str">
        <f>T("k284322")</f>
        <v>k284322</v>
      </c>
      <c r="BG3823" t="str">
        <f>T("판타지 웹소설 &gt; 퓨전 판타지")</f>
        <v>판타지 웹소설 &gt; 퓨전 판타지</v>
      </c>
    </row>
    <row r="3824" spans="1:59">
      <c r="A3824" t="s">
        <v>60</v>
      </c>
      <c r="B3824" s="1">
        <v>46131</v>
      </c>
      <c r="C3824">
        <v>2378062653</v>
      </c>
      <c r="D3824">
        <v>2378064787</v>
      </c>
      <c r="E3824" t="str">
        <f>T("시한부라 은퇴합니다 155화")</f>
        <v>시한부라 은퇴합니다 155화</v>
      </c>
      <c r="F3824">
        <v>155</v>
      </c>
      <c r="G3824" t="str">
        <f>T("해달수")</f>
        <v>해달수</v>
      </c>
      <c r="J3824" t="str">
        <f>T("매드햇")</f>
        <v>매드햇</v>
      </c>
      <c r="K3824" t="str">
        <f>T("시한부라 은퇴합니다")</f>
        <v>시한부라 은퇴합니다</v>
      </c>
      <c r="L3824">
        <v>100</v>
      </c>
      <c r="M3824">
        <v>100</v>
      </c>
      <c r="N3824">
        <v>1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100</v>
      </c>
      <c r="AJ3824">
        <v>1</v>
      </c>
      <c r="AK3824">
        <v>0</v>
      </c>
      <c r="AL3824">
        <v>0</v>
      </c>
      <c r="AM3824">
        <v>100</v>
      </c>
      <c r="AN3824">
        <v>0</v>
      </c>
      <c r="AO3824">
        <v>0</v>
      </c>
      <c r="AP3824">
        <v>0</v>
      </c>
      <c r="AQ3824">
        <v>0</v>
      </c>
      <c r="AS3824">
        <v>0</v>
      </c>
      <c r="AT3824">
        <v>0</v>
      </c>
      <c r="AV3824">
        <v>0</v>
      </c>
      <c r="AW3824">
        <v>0</v>
      </c>
      <c r="AY3824">
        <v>0</v>
      </c>
      <c r="AZ3824">
        <v>0</v>
      </c>
      <c r="BA3824">
        <v>60</v>
      </c>
      <c r="BE3824" t="str">
        <f>T("9791137018655")</f>
        <v>9791137018655</v>
      </c>
      <c r="BF3824" t="str">
        <f>T("k284323")</f>
        <v>k284323</v>
      </c>
      <c r="BG3824" t="str">
        <f>T("판타지 웹소설 &gt; 퓨전 판타지")</f>
        <v>판타지 웹소설 &gt; 퓨전 판타지</v>
      </c>
    </row>
    <row r="3825" spans="1:59">
      <c r="A3825" t="s">
        <v>60</v>
      </c>
      <c r="B3825" s="1">
        <v>46131</v>
      </c>
      <c r="C3825">
        <v>2378062653</v>
      </c>
      <c r="D3825">
        <v>2378065314</v>
      </c>
      <c r="E3825" t="str">
        <f>T("시한부라 은퇴합니다 156화")</f>
        <v>시한부라 은퇴합니다 156화</v>
      </c>
      <c r="F3825">
        <v>156</v>
      </c>
      <c r="G3825" t="str">
        <f>T("해달수")</f>
        <v>해달수</v>
      </c>
      <c r="J3825" t="str">
        <f>T("매드햇")</f>
        <v>매드햇</v>
      </c>
      <c r="K3825" t="str">
        <f>T("시한부라 은퇴합니다")</f>
        <v>시한부라 은퇴합니다</v>
      </c>
      <c r="L3825">
        <v>100</v>
      </c>
      <c r="M3825">
        <v>100</v>
      </c>
      <c r="N3825">
        <v>1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100</v>
      </c>
      <c r="AJ3825">
        <v>1</v>
      </c>
      <c r="AK3825">
        <v>0</v>
      </c>
      <c r="AL3825">
        <v>0</v>
      </c>
      <c r="AM3825">
        <v>100</v>
      </c>
      <c r="AN3825">
        <v>0</v>
      </c>
      <c r="AO3825">
        <v>0</v>
      </c>
      <c r="AP3825">
        <v>0</v>
      </c>
      <c r="AQ3825">
        <v>0</v>
      </c>
      <c r="AS3825">
        <v>0</v>
      </c>
      <c r="AT3825">
        <v>0</v>
      </c>
      <c r="AV3825">
        <v>0</v>
      </c>
      <c r="AW3825">
        <v>0</v>
      </c>
      <c r="AY3825">
        <v>0</v>
      </c>
      <c r="AZ3825">
        <v>0</v>
      </c>
      <c r="BA3825">
        <v>60</v>
      </c>
      <c r="BE3825" t="str">
        <f>T("9791137018655")</f>
        <v>9791137018655</v>
      </c>
      <c r="BF3825" t="str">
        <f>T("k284324")</f>
        <v>k284324</v>
      </c>
      <c r="BG3825" t="str">
        <f>T("판타지 웹소설 &gt; 퓨전 판타지")</f>
        <v>판타지 웹소설 &gt; 퓨전 판타지</v>
      </c>
    </row>
    <row r="3826" spans="1:59">
      <c r="A3826" t="s">
        <v>60</v>
      </c>
      <c r="B3826" s="1">
        <v>46131</v>
      </c>
      <c r="C3826">
        <v>2378062653</v>
      </c>
      <c r="D3826">
        <v>2378065315</v>
      </c>
      <c r="E3826" t="str">
        <f>T("시한부라 은퇴합니다 157화")</f>
        <v>시한부라 은퇴합니다 157화</v>
      </c>
      <c r="F3826">
        <v>157</v>
      </c>
      <c r="G3826" t="str">
        <f>T("해달수")</f>
        <v>해달수</v>
      </c>
      <c r="J3826" t="str">
        <f>T("매드햇")</f>
        <v>매드햇</v>
      </c>
      <c r="K3826" t="str">
        <f>T("시한부라 은퇴합니다")</f>
        <v>시한부라 은퇴합니다</v>
      </c>
      <c r="L3826">
        <v>100</v>
      </c>
      <c r="M3826">
        <v>100</v>
      </c>
      <c r="N3826">
        <v>1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100</v>
      </c>
      <c r="AJ3826">
        <v>1</v>
      </c>
      <c r="AK3826">
        <v>0</v>
      </c>
      <c r="AL3826">
        <v>0</v>
      </c>
      <c r="AM3826">
        <v>100</v>
      </c>
      <c r="AN3826">
        <v>0</v>
      </c>
      <c r="AO3826">
        <v>0</v>
      </c>
      <c r="AP3826">
        <v>0</v>
      </c>
      <c r="AQ3826">
        <v>0</v>
      </c>
      <c r="AS3826">
        <v>0</v>
      </c>
      <c r="AT3826">
        <v>0</v>
      </c>
      <c r="AV3826">
        <v>0</v>
      </c>
      <c r="AW3826">
        <v>0</v>
      </c>
      <c r="AY3826">
        <v>0</v>
      </c>
      <c r="AZ3826">
        <v>0</v>
      </c>
      <c r="BA3826">
        <v>60</v>
      </c>
      <c r="BE3826" t="str">
        <f>T("9791137018655")</f>
        <v>9791137018655</v>
      </c>
      <c r="BF3826" t="str">
        <f>T("k288589")</f>
        <v>k288589</v>
      </c>
      <c r="BG3826" t="str">
        <f>T("판타지 웹소설 &gt; 퓨전 판타지")</f>
        <v>판타지 웹소설 &gt; 퓨전 판타지</v>
      </c>
    </row>
    <row r="3827" spans="1:59">
      <c r="A3827" t="s">
        <v>60</v>
      </c>
      <c r="B3827" s="1">
        <v>46131</v>
      </c>
      <c r="C3827">
        <v>2378062653</v>
      </c>
      <c r="D3827">
        <v>2378065316</v>
      </c>
      <c r="E3827" t="str">
        <f>T("시한부라 은퇴합니다 158화")</f>
        <v>시한부라 은퇴합니다 158화</v>
      </c>
      <c r="F3827">
        <v>158</v>
      </c>
      <c r="G3827" t="str">
        <f>T("해달수")</f>
        <v>해달수</v>
      </c>
      <c r="J3827" t="str">
        <f>T("매드햇")</f>
        <v>매드햇</v>
      </c>
      <c r="K3827" t="str">
        <f>T("시한부라 은퇴합니다")</f>
        <v>시한부라 은퇴합니다</v>
      </c>
      <c r="L3827">
        <v>100</v>
      </c>
      <c r="M3827">
        <v>100</v>
      </c>
      <c r="N3827">
        <v>1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100</v>
      </c>
      <c r="AJ3827">
        <v>1</v>
      </c>
      <c r="AK3827">
        <v>0</v>
      </c>
      <c r="AL3827">
        <v>0</v>
      </c>
      <c r="AM3827">
        <v>100</v>
      </c>
      <c r="AN3827">
        <v>0</v>
      </c>
      <c r="AO3827">
        <v>0</v>
      </c>
      <c r="AP3827">
        <v>0</v>
      </c>
      <c r="AQ3827">
        <v>0</v>
      </c>
      <c r="AS3827">
        <v>0</v>
      </c>
      <c r="AT3827">
        <v>0</v>
      </c>
      <c r="AV3827">
        <v>0</v>
      </c>
      <c r="AW3827">
        <v>0</v>
      </c>
      <c r="AY3827">
        <v>0</v>
      </c>
      <c r="AZ3827">
        <v>0</v>
      </c>
      <c r="BA3827">
        <v>60</v>
      </c>
      <c r="BE3827" t="str">
        <f>T("9791137018655")</f>
        <v>9791137018655</v>
      </c>
      <c r="BF3827" t="str">
        <f>T("k288590")</f>
        <v>k288590</v>
      </c>
      <c r="BG3827" t="str">
        <f>T("판타지 웹소설 &gt; 퓨전 판타지")</f>
        <v>판타지 웹소설 &gt; 퓨전 판타지</v>
      </c>
    </row>
    <row r="3828" spans="1:59">
      <c r="A3828" t="s">
        <v>60</v>
      </c>
      <c r="B3828" s="1">
        <v>46131</v>
      </c>
      <c r="C3828">
        <v>2378062653</v>
      </c>
      <c r="D3828">
        <v>2378065317</v>
      </c>
      <c r="E3828" t="str">
        <f>T("시한부라 은퇴합니다 159화")</f>
        <v>시한부라 은퇴합니다 159화</v>
      </c>
      <c r="F3828">
        <v>159</v>
      </c>
      <c r="G3828" t="str">
        <f>T("해달수")</f>
        <v>해달수</v>
      </c>
      <c r="J3828" t="str">
        <f>T("매드햇")</f>
        <v>매드햇</v>
      </c>
      <c r="K3828" t="str">
        <f>T("시한부라 은퇴합니다")</f>
        <v>시한부라 은퇴합니다</v>
      </c>
      <c r="L3828">
        <v>100</v>
      </c>
      <c r="M3828">
        <v>100</v>
      </c>
      <c r="N3828">
        <v>1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100</v>
      </c>
      <c r="AJ3828">
        <v>1</v>
      </c>
      <c r="AK3828">
        <v>0</v>
      </c>
      <c r="AL3828">
        <v>0</v>
      </c>
      <c r="AM3828">
        <v>100</v>
      </c>
      <c r="AN3828">
        <v>0</v>
      </c>
      <c r="AO3828">
        <v>0</v>
      </c>
      <c r="AP3828">
        <v>0</v>
      </c>
      <c r="AQ3828">
        <v>0</v>
      </c>
      <c r="AS3828">
        <v>0</v>
      </c>
      <c r="AT3828">
        <v>0</v>
      </c>
      <c r="AV3828">
        <v>0</v>
      </c>
      <c r="AW3828">
        <v>0</v>
      </c>
      <c r="AY3828">
        <v>0</v>
      </c>
      <c r="AZ3828">
        <v>0</v>
      </c>
      <c r="BA3828">
        <v>60</v>
      </c>
      <c r="BE3828" t="str">
        <f>T("9791137018655")</f>
        <v>9791137018655</v>
      </c>
      <c r="BF3828" t="str">
        <f>T("k288591")</f>
        <v>k288591</v>
      </c>
      <c r="BG3828" t="str">
        <f>T("판타지 웹소설 &gt; 퓨전 판타지")</f>
        <v>판타지 웹소설 &gt; 퓨전 판타지</v>
      </c>
    </row>
    <row r="3829" spans="1:59">
      <c r="A3829" t="s">
        <v>60</v>
      </c>
      <c r="B3829" s="1">
        <v>46131</v>
      </c>
      <c r="C3829">
        <v>2378062653</v>
      </c>
      <c r="D3829">
        <v>2378065588</v>
      </c>
      <c r="E3829" t="str">
        <f>T("시한부라 은퇴합니다 160화")</f>
        <v>시한부라 은퇴합니다 160화</v>
      </c>
      <c r="F3829">
        <v>160</v>
      </c>
      <c r="G3829" t="str">
        <f>T("해달수")</f>
        <v>해달수</v>
      </c>
      <c r="J3829" t="str">
        <f>T("매드햇")</f>
        <v>매드햇</v>
      </c>
      <c r="K3829" t="str">
        <f>T("시한부라 은퇴합니다")</f>
        <v>시한부라 은퇴합니다</v>
      </c>
      <c r="L3829">
        <v>100</v>
      </c>
      <c r="M3829">
        <v>100</v>
      </c>
      <c r="N3829">
        <v>1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100</v>
      </c>
      <c r="AJ3829">
        <v>1</v>
      </c>
      <c r="AK3829">
        <v>0</v>
      </c>
      <c r="AL3829">
        <v>0</v>
      </c>
      <c r="AM3829">
        <v>100</v>
      </c>
      <c r="AN3829">
        <v>0</v>
      </c>
      <c r="AO3829">
        <v>0</v>
      </c>
      <c r="AP3829">
        <v>0</v>
      </c>
      <c r="AQ3829">
        <v>0</v>
      </c>
      <c r="AS3829">
        <v>0</v>
      </c>
      <c r="AT3829">
        <v>0</v>
      </c>
      <c r="AV3829">
        <v>0</v>
      </c>
      <c r="AW3829">
        <v>0</v>
      </c>
      <c r="AY3829">
        <v>0</v>
      </c>
      <c r="AZ3829">
        <v>0</v>
      </c>
      <c r="BA3829">
        <v>60</v>
      </c>
      <c r="BE3829" t="str">
        <f>T("9791137018655")</f>
        <v>9791137018655</v>
      </c>
      <c r="BF3829" t="str">
        <f>T("k288592")</f>
        <v>k288592</v>
      </c>
      <c r="BG3829" t="str">
        <f>T("판타지 웹소설 &gt; 퓨전 판타지")</f>
        <v>판타지 웹소설 &gt; 퓨전 판타지</v>
      </c>
    </row>
    <row r="3830" spans="1:59">
      <c r="A3830" t="s">
        <v>60</v>
      </c>
      <c r="B3830" s="1">
        <v>46131</v>
      </c>
      <c r="C3830">
        <v>2378062653</v>
      </c>
      <c r="D3830">
        <v>2378065617</v>
      </c>
      <c r="E3830" t="str">
        <f>T("시한부라 은퇴합니다 161화")</f>
        <v>시한부라 은퇴합니다 161화</v>
      </c>
      <c r="F3830">
        <v>161</v>
      </c>
      <c r="G3830" t="str">
        <f>T("해달수")</f>
        <v>해달수</v>
      </c>
      <c r="J3830" t="str">
        <f>T("매드햇")</f>
        <v>매드햇</v>
      </c>
      <c r="K3830" t="str">
        <f>T("시한부라 은퇴합니다")</f>
        <v>시한부라 은퇴합니다</v>
      </c>
      <c r="L3830">
        <v>100</v>
      </c>
      <c r="M3830">
        <v>100</v>
      </c>
      <c r="N3830">
        <v>1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100</v>
      </c>
      <c r="AJ3830">
        <v>1</v>
      </c>
      <c r="AK3830">
        <v>0</v>
      </c>
      <c r="AL3830">
        <v>0</v>
      </c>
      <c r="AM3830">
        <v>100</v>
      </c>
      <c r="AN3830">
        <v>0</v>
      </c>
      <c r="AO3830">
        <v>0</v>
      </c>
      <c r="AP3830">
        <v>0</v>
      </c>
      <c r="AQ3830">
        <v>0</v>
      </c>
      <c r="AS3830">
        <v>0</v>
      </c>
      <c r="AT3830">
        <v>0</v>
      </c>
      <c r="AV3830">
        <v>0</v>
      </c>
      <c r="AW3830">
        <v>0</v>
      </c>
      <c r="AY3830">
        <v>0</v>
      </c>
      <c r="AZ3830">
        <v>0</v>
      </c>
      <c r="BA3830">
        <v>60</v>
      </c>
      <c r="BE3830" t="str">
        <f>T("9791137018655")</f>
        <v>9791137018655</v>
      </c>
      <c r="BF3830" t="str">
        <f>T("k288593")</f>
        <v>k288593</v>
      </c>
      <c r="BG3830" t="str">
        <f>T("판타지 웹소설 &gt; 퓨전 판타지")</f>
        <v>판타지 웹소설 &gt; 퓨전 판타지</v>
      </c>
    </row>
    <row r="3831" spans="1:59">
      <c r="A3831" t="s">
        <v>60</v>
      </c>
      <c r="B3831" s="1">
        <v>46131</v>
      </c>
      <c r="C3831">
        <v>2378062653</v>
      </c>
      <c r="D3831">
        <v>2378065618</v>
      </c>
      <c r="E3831" t="str">
        <f>T("시한부라 은퇴합니다 162화")</f>
        <v>시한부라 은퇴합니다 162화</v>
      </c>
      <c r="F3831">
        <v>162</v>
      </c>
      <c r="G3831" t="str">
        <f>T("해달수")</f>
        <v>해달수</v>
      </c>
      <c r="J3831" t="str">
        <f>T("매드햇")</f>
        <v>매드햇</v>
      </c>
      <c r="K3831" t="str">
        <f>T("시한부라 은퇴합니다")</f>
        <v>시한부라 은퇴합니다</v>
      </c>
      <c r="L3831">
        <v>100</v>
      </c>
      <c r="M3831">
        <v>100</v>
      </c>
      <c r="N3831">
        <v>1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100</v>
      </c>
      <c r="AJ3831">
        <v>1</v>
      </c>
      <c r="AK3831">
        <v>0</v>
      </c>
      <c r="AL3831">
        <v>0</v>
      </c>
      <c r="AM3831">
        <v>100</v>
      </c>
      <c r="AN3831">
        <v>0</v>
      </c>
      <c r="AO3831">
        <v>0</v>
      </c>
      <c r="AP3831">
        <v>0</v>
      </c>
      <c r="AQ3831">
        <v>0</v>
      </c>
      <c r="AS3831">
        <v>0</v>
      </c>
      <c r="AT3831">
        <v>0</v>
      </c>
      <c r="AV3831">
        <v>0</v>
      </c>
      <c r="AW3831">
        <v>0</v>
      </c>
      <c r="AY3831">
        <v>0</v>
      </c>
      <c r="AZ3831">
        <v>0</v>
      </c>
      <c r="BA3831">
        <v>60</v>
      </c>
      <c r="BE3831" t="str">
        <f>T("9791137018655")</f>
        <v>9791137018655</v>
      </c>
      <c r="BF3831" t="str">
        <f>T("k289881")</f>
        <v>k289881</v>
      </c>
      <c r="BG3831" t="str">
        <f>T("판타지 웹소설 &gt; 퓨전 판타지")</f>
        <v>판타지 웹소설 &gt; 퓨전 판타지</v>
      </c>
    </row>
    <row r="3832" spans="1:59">
      <c r="A3832" t="s">
        <v>60</v>
      </c>
      <c r="B3832" s="1">
        <v>46131</v>
      </c>
      <c r="C3832">
        <v>2378062653</v>
      </c>
      <c r="D3832">
        <v>2378065619</v>
      </c>
      <c r="E3832" t="str">
        <f>T("시한부라 은퇴합니다 163화")</f>
        <v>시한부라 은퇴합니다 163화</v>
      </c>
      <c r="F3832">
        <v>163</v>
      </c>
      <c r="G3832" t="str">
        <f>T("해달수")</f>
        <v>해달수</v>
      </c>
      <c r="J3832" t="str">
        <f>T("매드햇")</f>
        <v>매드햇</v>
      </c>
      <c r="K3832" t="str">
        <f>T("시한부라 은퇴합니다")</f>
        <v>시한부라 은퇴합니다</v>
      </c>
      <c r="L3832">
        <v>100</v>
      </c>
      <c r="M3832">
        <v>100</v>
      </c>
      <c r="N3832">
        <v>1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100</v>
      </c>
      <c r="AJ3832">
        <v>1</v>
      </c>
      <c r="AK3832">
        <v>0</v>
      </c>
      <c r="AL3832">
        <v>0</v>
      </c>
      <c r="AM3832">
        <v>100</v>
      </c>
      <c r="AN3832">
        <v>0</v>
      </c>
      <c r="AO3832">
        <v>0</v>
      </c>
      <c r="AP3832">
        <v>0</v>
      </c>
      <c r="AQ3832">
        <v>0</v>
      </c>
      <c r="AS3832">
        <v>0</v>
      </c>
      <c r="AT3832">
        <v>0</v>
      </c>
      <c r="AV3832">
        <v>0</v>
      </c>
      <c r="AW3832">
        <v>0</v>
      </c>
      <c r="AY3832">
        <v>0</v>
      </c>
      <c r="AZ3832">
        <v>0</v>
      </c>
      <c r="BA3832">
        <v>60</v>
      </c>
      <c r="BE3832" t="str">
        <f>T("9791137018655")</f>
        <v>9791137018655</v>
      </c>
      <c r="BF3832" t="str">
        <f>T("k289882")</f>
        <v>k289882</v>
      </c>
      <c r="BG3832" t="str">
        <f>T("판타지 웹소설 &gt; 퓨전 판타지")</f>
        <v>판타지 웹소설 &gt; 퓨전 판타지</v>
      </c>
    </row>
    <row r="3833" spans="1:59">
      <c r="A3833" t="s">
        <v>60</v>
      </c>
      <c r="B3833" s="1">
        <v>46131</v>
      </c>
      <c r="C3833">
        <v>2378062653</v>
      </c>
      <c r="D3833">
        <v>2378065697</v>
      </c>
      <c r="E3833" t="str">
        <f>T("시한부라 은퇴합니다 164화")</f>
        <v>시한부라 은퇴합니다 164화</v>
      </c>
      <c r="F3833">
        <v>164</v>
      </c>
      <c r="G3833" t="str">
        <f>T("해달수")</f>
        <v>해달수</v>
      </c>
      <c r="J3833" t="str">
        <f>T("매드햇")</f>
        <v>매드햇</v>
      </c>
      <c r="K3833" t="str">
        <f>T("시한부라 은퇴합니다")</f>
        <v>시한부라 은퇴합니다</v>
      </c>
      <c r="L3833">
        <v>100</v>
      </c>
      <c r="M3833">
        <v>100</v>
      </c>
      <c r="N3833">
        <v>1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100</v>
      </c>
      <c r="AJ3833">
        <v>1</v>
      </c>
      <c r="AK3833">
        <v>0</v>
      </c>
      <c r="AL3833">
        <v>0</v>
      </c>
      <c r="AM3833">
        <v>100</v>
      </c>
      <c r="AN3833">
        <v>0</v>
      </c>
      <c r="AO3833">
        <v>0</v>
      </c>
      <c r="AP3833">
        <v>0</v>
      </c>
      <c r="AQ3833">
        <v>0</v>
      </c>
      <c r="AS3833">
        <v>0</v>
      </c>
      <c r="AT3833">
        <v>0</v>
      </c>
      <c r="AV3833">
        <v>0</v>
      </c>
      <c r="AW3833">
        <v>0</v>
      </c>
      <c r="AY3833">
        <v>0</v>
      </c>
      <c r="AZ3833">
        <v>0</v>
      </c>
      <c r="BA3833">
        <v>60</v>
      </c>
      <c r="BE3833" t="str">
        <f>T("9791137018655")</f>
        <v>9791137018655</v>
      </c>
      <c r="BF3833" t="str">
        <f>T("k289883")</f>
        <v>k289883</v>
      </c>
      <c r="BG3833" t="str">
        <f>T("판타지 웹소설 &gt; 퓨전 판타지")</f>
        <v>판타지 웹소설 &gt; 퓨전 판타지</v>
      </c>
    </row>
    <row r="3834" spans="1:59">
      <c r="A3834" t="s">
        <v>60</v>
      </c>
      <c r="B3834" s="1">
        <v>46131</v>
      </c>
      <c r="C3834">
        <v>2378062653</v>
      </c>
      <c r="D3834">
        <v>2378065698</v>
      </c>
      <c r="E3834" t="str">
        <f>T("시한부라 은퇴합니다 165화")</f>
        <v>시한부라 은퇴합니다 165화</v>
      </c>
      <c r="F3834">
        <v>165</v>
      </c>
      <c r="G3834" t="str">
        <f>T("해달수")</f>
        <v>해달수</v>
      </c>
      <c r="J3834" t="str">
        <f>T("매드햇")</f>
        <v>매드햇</v>
      </c>
      <c r="K3834" t="str">
        <f>T("시한부라 은퇴합니다")</f>
        <v>시한부라 은퇴합니다</v>
      </c>
      <c r="L3834">
        <v>100</v>
      </c>
      <c r="M3834">
        <v>100</v>
      </c>
      <c r="N3834">
        <v>1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100</v>
      </c>
      <c r="AJ3834">
        <v>1</v>
      </c>
      <c r="AK3834">
        <v>0</v>
      </c>
      <c r="AL3834">
        <v>0</v>
      </c>
      <c r="AM3834">
        <v>100</v>
      </c>
      <c r="AN3834">
        <v>0</v>
      </c>
      <c r="AO3834">
        <v>0</v>
      </c>
      <c r="AP3834">
        <v>0</v>
      </c>
      <c r="AQ3834">
        <v>0</v>
      </c>
      <c r="AS3834">
        <v>0</v>
      </c>
      <c r="AT3834">
        <v>0</v>
      </c>
      <c r="AV3834">
        <v>0</v>
      </c>
      <c r="AW3834">
        <v>0</v>
      </c>
      <c r="AY3834">
        <v>0</v>
      </c>
      <c r="AZ3834">
        <v>0</v>
      </c>
      <c r="BA3834">
        <v>60</v>
      </c>
      <c r="BE3834" t="str">
        <f>T("9791137018655")</f>
        <v>9791137018655</v>
      </c>
      <c r="BF3834" t="str">
        <f>T("k289884")</f>
        <v>k289884</v>
      </c>
      <c r="BG3834" t="str">
        <f>T("판타지 웹소설 &gt; 퓨전 판타지")</f>
        <v>판타지 웹소설 &gt; 퓨전 판타지</v>
      </c>
    </row>
    <row r="3835" spans="1:59">
      <c r="A3835" t="s">
        <v>60</v>
      </c>
      <c r="B3835" s="1">
        <v>46131</v>
      </c>
      <c r="C3835">
        <v>2378062653</v>
      </c>
      <c r="D3835">
        <v>2378065739</v>
      </c>
      <c r="E3835" t="str">
        <f>T("시한부라 은퇴합니다 166화")</f>
        <v>시한부라 은퇴합니다 166화</v>
      </c>
      <c r="F3835">
        <v>166</v>
      </c>
      <c r="G3835" t="str">
        <f>T("해달수")</f>
        <v>해달수</v>
      </c>
      <c r="J3835" t="str">
        <f>T("매드햇")</f>
        <v>매드햇</v>
      </c>
      <c r="K3835" t="str">
        <f>T("시한부라 은퇴합니다")</f>
        <v>시한부라 은퇴합니다</v>
      </c>
      <c r="L3835">
        <v>100</v>
      </c>
      <c r="M3835">
        <v>100</v>
      </c>
      <c r="N3835">
        <v>1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100</v>
      </c>
      <c r="AJ3835">
        <v>1</v>
      </c>
      <c r="AK3835">
        <v>0</v>
      </c>
      <c r="AL3835">
        <v>0</v>
      </c>
      <c r="AM3835">
        <v>100</v>
      </c>
      <c r="AN3835">
        <v>0</v>
      </c>
      <c r="AO3835">
        <v>0</v>
      </c>
      <c r="AP3835">
        <v>0</v>
      </c>
      <c r="AQ3835">
        <v>0</v>
      </c>
      <c r="AS3835">
        <v>0</v>
      </c>
      <c r="AT3835">
        <v>0</v>
      </c>
      <c r="AV3835">
        <v>0</v>
      </c>
      <c r="AW3835">
        <v>0</v>
      </c>
      <c r="AY3835">
        <v>0</v>
      </c>
      <c r="AZ3835">
        <v>0</v>
      </c>
      <c r="BA3835">
        <v>60</v>
      </c>
      <c r="BE3835" t="str">
        <f>T("9791137018655")</f>
        <v>9791137018655</v>
      </c>
      <c r="BF3835" t="str">
        <f>T("k289885")</f>
        <v>k289885</v>
      </c>
      <c r="BG3835" t="str">
        <f>T("판타지 웹소설 &gt; 퓨전 판타지")</f>
        <v>판타지 웹소설 &gt; 퓨전 판타지</v>
      </c>
    </row>
    <row r="3836" spans="1:59">
      <c r="A3836" t="s">
        <v>60</v>
      </c>
      <c r="B3836" s="1">
        <v>46131</v>
      </c>
      <c r="C3836">
        <v>2378062653</v>
      </c>
      <c r="D3836">
        <v>2378065740</v>
      </c>
      <c r="E3836" t="str">
        <f>T("시한부라 은퇴합니다 167화")</f>
        <v>시한부라 은퇴합니다 167화</v>
      </c>
      <c r="F3836">
        <v>167</v>
      </c>
      <c r="G3836" t="str">
        <f>T("해달수")</f>
        <v>해달수</v>
      </c>
      <c r="J3836" t="str">
        <f>T("매드햇")</f>
        <v>매드햇</v>
      </c>
      <c r="K3836" t="str">
        <f>T("시한부라 은퇴합니다")</f>
        <v>시한부라 은퇴합니다</v>
      </c>
      <c r="L3836">
        <v>100</v>
      </c>
      <c r="M3836">
        <v>100</v>
      </c>
      <c r="N3836">
        <v>1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100</v>
      </c>
      <c r="AJ3836">
        <v>1</v>
      </c>
      <c r="AK3836">
        <v>0</v>
      </c>
      <c r="AL3836">
        <v>0</v>
      </c>
      <c r="AM3836">
        <v>100</v>
      </c>
      <c r="AN3836">
        <v>0</v>
      </c>
      <c r="AO3836">
        <v>0</v>
      </c>
      <c r="AP3836">
        <v>0</v>
      </c>
      <c r="AQ3836">
        <v>0</v>
      </c>
      <c r="AS3836">
        <v>0</v>
      </c>
      <c r="AT3836">
        <v>0</v>
      </c>
      <c r="AV3836">
        <v>0</v>
      </c>
      <c r="AW3836">
        <v>0</v>
      </c>
      <c r="AY3836">
        <v>0</v>
      </c>
      <c r="AZ3836">
        <v>0</v>
      </c>
      <c r="BA3836">
        <v>60</v>
      </c>
      <c r="BE3836" t="str">
        <f>T("9791137018655")</f>
        <v>9791137018655</v>
      </c>
      <c r="BF3836" t="str">
        <f>T("k294790")</f>
        <v>k294790</v>
      </c>
      <c r="BG3836" t="str">
        <f>T("판타지 웹소설 &gt; 퓨전 판타지")</f>
        <v>판타지 웹소설 &gt; 퓨전 판타지</v>
      </c>
    </row>
    <row r="3837" spans="1:59">
      <c r="A3837" t="s">
        <v>60</v>
      </c>
      <c r="B3837" s="1">
        <v>46131</v>
      </c>
      <c r="C3837">
        <v>2378062653</v>
      </c>
      <c r="D3837">
        <v>2378065937</v>
      </c>
      <c r="E3837" t="str">
        <f>T("시한부라 은퇴합니다 168화")</f>
        <v>시한부라 은퇴합니다 168화</v>
      </c>
      <c r="F3837">
        <v>168</v>
      </c>
      <c r="G3837" t="str">
        <f>T("해달수")</f>
        <v>해달수</v>
      </c>
      <c r="J3837" t="str">
        <f>T("매드햇")</f>
        <v>매드햇</v>
      </c>
      <c r="K3837" t="str">
        <f>T("시한부라 은퇴합니다")</f>
        <v>시한부라 은퇴합니다</v>
      </c>
      <c r="L3837">
        <v>100</v>
      </c>
      <c r="M3837">
        <v>100</v>
      </c>
      <c r="N3837">
        <v>1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100</v>
      </c>
      <c r="AJ3837">
        <v>1</v>
      </c>
      <c r="AK3837">
        <v>0</v>
      </c>
      <c r="AL3837">
        <v>0</v>
      </c>
      <c r="AM3837">
        <v>100</v>
      </c>
      <c r="AN3837">
        <v>0</v>
      </c>
      <c r="AO3837">
        <v>0</v>
      </c>
      <c r="AP3837">
        <v>0</v>
      </c>
      <c r="AQ3837">
        <v>0</v>
      </c>
      <c r="AS3837">
        <v>0</v>
      </c>
      <c r="AT3837">
        <v>0</v>
      </c>
      <c r="AV3837">
        <v>0</v>
      </c>
      <c r="AW3837">
        <v>0</v>
      </c>
      <c r="AY3837">
        <v>0</v>
      </c>
      <c r="AZ3837">
        <v>0</v>
      </c>
      <c r="BA3837">
        <v>60</v>
      </c>
      <c r="BE3837" t="str">
        <f>T("9791137018655")</f>
        <v>9791137018655</v>
      </c>
      <c r="BF3837" t="str">
        <f>T("k294791")</f>
        <v>k294791</v>
      </c>
      <c r="BG3837" t="str">
        <f>T("판타지 웹소설 &gt; 퓨전 판타지")</f>
        <v>판타지 웹소설 &gt; 퓨전 판타지</v>
      </c>
    </row>
    <row r="3838" spans="1:59">
      <c r="A3838" t="s">
        <v>60</v>
      </c>
      <c r="B3838" s="1">
        <v>46131</v>
      </c>
      <c r="C3838">
        <v>2378062653</v>
      </c>
      <c r="D3838">
        <v>2378065938</v>
      </c>
      <c r="E3838" t="str">
        <f>T("시한부라 은퇴합니다 169화")</f>
        <v>시한부라 은퇴합니다 169화</v>
      </c>
      <c r="F3838">
        <v>169</v>
      </c>
      <c r="G3838" t="str">
        <f>T("해달수")</f>
        <v>해달수</v>
      </c>
      <c r="J3838" t="str">
        <f>T("매드햇")</f>
        <v>매드햇</v>
      </c>
      <c r="K3838" t="str">
        <f>T("시한부라 은퇴합니다")</f>
        <v>시한부라 은퇴합니다</v>
      </c>
      <c r="L3838">
        <v>100</v>
      </c>
      <c r="M3838">
        <v>100</v>
      </c>
      <c r="N3838">
        <v>1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100</v>
      </c>
      <c r="AJ3838">
        <v>1</v>
      </c>
      <c r="AK3838">
        <v>0</v>
      </c>
      <c r="AL3838">
        <v>0</v>
      </c>
      <c r="AM3838">
        <v>100</v>
      </c>
      <c r="AN3838">
        <v>0</v>
      </c>
      <c r="AO3838">
        <v>0</v>
      </c>
      <c r="AP3838">
        <v>0</v>
      </c>
      <c r="AQ3838">
        <v>0</v>
      </c>
      <c r="AS3838">
        <v>0</v>
      </c>
      <c r="AT3838">
        <v>0</v>
      </c>
      <c r="AV3838">
        <v>0</v>
      </c>
      <c r="AW3838">
        <v>0</v>
      </c>
      <c r="AY3838">
        <v>0</v>
      </c>
      <c r="AZ3838">
        <v>0</v>
      </c>
      <c r="BA3838">
        <v>60</v>
      </c>
      <c r="BE3838" t="str">
        <f>T("9791137018655")</f>
        <v>9791137018655</v>
      </c>
      <c r="BF3838" t="str">
        <f>T("k294792")</f>
        <v>k294792</v>
      </c>
      <c r="BG3838" t="str">
        <f>T("판타지 웹소설 &gt; 퓨전 판타지")</f>
        <v>판타지 웹소설 &gt; 퓨전 판타지</v>
      </c>
    </row>
    <row r="3839" spans="1:59">
      <c r="A3839" t="s">
        <v>60</v>
      </c>
      <c r="B3839" s="1">
        <v>46131</v>
      </c>
      <c r="C3839">
        <v>2378062653</v>
      </c>
      <c r="D3839">
        <v>2378065940</v>
      </c>
      <c r="E3839" t="str">
        <f>T("시한부라 은퇴합니다 170화")</f>
        <v>시한부라 은퇴합니다 170화</v>
      </c>
      <c r="F3839">
        <v>170</v>
      </c>
      <c r="G3839" t="str">
        <f>T("해달수")</f>
        <v>해달수</v>
      </c>
      <c r="J3839" t="str">
        <f>T("매드햇")</f>
        <v>매드햇</v>
      </c>
      <c r="K3839" t="str">
        <f>T("시한부라 은퇴합니다")</f>
        <v>시한부라 은퇴합니다</v>
      </c>
      <c r="L3839">
        <v>100</v>
      </c>
      <c r="M3839">
        <v>100</v>
      </c>
      <c r="N3839">
        <v>1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100</v>
      </c>
      <c r="AJ3839">
        <v>1</v>
      </c>
      <c r="AK3839">
        <v>0</v>
      </c>
      <c r="AL3839">
        <v>0</v>
      </c>
      <c r="AM3839">
        <v>100</v>
      </c>
      <c r="AN3839">
        <v>0</v>
      </c>
      <c r="AO3839">
        <v>0</v>
      </c>
      <c r="AP3839">
        <v>0</v>
      </c>
      <c r="AQ3839">
        <v>0</v>
      </c>
      <c r="AS3839">
        <v>0</v>
      </c>
      <c r="AT3839">
        <v>0</v>
      </c>
      <c r="AV3839">
        <v>0</v>
      </c>
      <c r="AW3839">
        <v>0</v>
      </c>
      <c r="AY3839">
        <v>0</v>
      </c>
      <c r="AZ3839">
        <v>0</v>
      </c>
      <c r="BA3839">
        <v>60</v>
      </c>
      <c r="BE3839" t="str">
        <f>T("9791137018655")</f>
        <v>9791137018655</v>
      </c>
      <c r="BF3839" t="str">
        <f>T("k294793")</f>
        <v>k294793</v>
      </c>
      <c r="BG3839" t="str">
        <f>T("판타지 웹소설 &gt; 퓨전 판타지")</f>
        <v>판타지 웹소설 &gt; 퓨전 판타지</v>
      </c>
    </row>
    <row r="3840" spans="1:59">
      <c r="A3840" t="s">
        <v>60</v>
      </c>
      <c r="B3840" s="1">
        <v>46131</v>
      </c>
      <c r="C3840">
        <v>2378062653</v>
      </c>
      <c r="D3840">
        <v>2378066138</v>
      </c>
      <c r="E3840" t="str">
        <f>T("시한부라 은퇴합니다 171화")</f>
        <v>시한부라 은퇴합니다 171화</v>
      </c>
      <c r="F3840">
        <v>171</v>
      </c>
      <c r="G3840" t="str">
        <f>T("해달수")</f>
        <v>해달수</v>
      </c>
      <c r="J3840" t="str">
        <f>T("매드햇")</f>
        <v>매드햇</v>
      </c>
      <c r="K3840" t="str">
        <f>T("시한부라 은퇴합니다")</f>
        <v>시한부라 은퇴합니다</v>
      </c>
      <c r="L3840">
        <v>100</v>
      </c>
      <c r="M3840">
        <v>100</v>
      </c>
      <c r="N3840">
        <v>1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100</v>
      </c>
      <c r="AJ3840">
        <v>1</v>
      </c>
      <c r="AK3840">
        <v>0</v>
      </c>
      <c r="AL3840">
        <v>0</v>
      </c>
      <c r="AM3840">
        <v>100</v>
      </c>
      <c r="AN3840">
        <v>0</v>
      </c>
      <c r="AO3840">
        <v>0</v>
      </c>
      <c r="AP3840">
        <v>0</v>
      </c>
      <c r="AQ3840">
        <v>0</v>
      </c>
      <c r="AS3840">
        <v>0</v>
      </c>
      <c r="AT3840">
        <v>0</v>
      </c>
      <c r="AV3840">
        <v>0</v>
      </c>
      <c r="AW3840">
        <v>0</v>
      </c>
      <c r="AY3840">
        <v>0</v>
      </c>
      <c r="AZ3840">
        <v>0</v>
      </c>
      <c r="BA3840">
        <v>60</v>
      </c>
      <c r="BE3840" t="str">
        <f>T("9791137018655")</f>
        <v>9791137018655</v>
      </c>
      <c r="BF3840" t="str">
        <f>T("k294794")</f>
        <v>k294794</v>
      </c>
      <c r="BG3840" t="str">
        <f>T("판타지 웹소설 &gt; 퓨전 판타지")</f>
        <v>판타지 웹소설 &gt; 퓨전 판타지</v>
      </c>
    </row>
    <row r="3841" spans="1:59">
      <c r="A3841" t="s">
        <v>60</v>
      </c>
      <c r="B3841" s="1">
        <v>46131</v>
      </c>
      <c r="C3841">
        <v>2378062653</v>
      </c>
      <c r="D3841">
        <v>2378066139</v>
      </c>
      <c r="E3841" t="str">
        <f>T("시한부라 은퇴합니다 172화")</f>
        <v>시한부라 은퇴합니다 172화</v>
      </c>
      <c r="F3841">
        <v>172</v>
      </c>
      <c r="G3841" t="str">
        <f>T("해달수")</f>
        <v>해달수</v>
      </c>
      <c r="J3841" t="str">
        <f>T("매드햇")</f>
        <v>매드햇</v>
      </c>
      <c r="K3841" t="str">
        <f>T("시한부라 은퇴합니다")</f>
        <v>시한부라 은퇴합니다</v>
      </c>
      <c r="L3841">
        <v>100</v>
      </c>
      <c r="M3841">
        <v>100</v>
      </c>
      <c r="N3841">
        <v>1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100</v>
      </c>
      <c r="AJ3841">
        <v>1</v>
      </c>
      <c r="AK3841">
        <v>0</v>
      </c>
      <c r="AL3841">
        <v>0</v>
      </c>
      <c r="AM3841">
        <v>100</v>
      </c>
      <c r="AN3841">
        <v>0</v>
      </c>
      <c r="AO3841">
        <v>0</v>
      </c>
      <c r="AP3841">
        <v>0</v>
      </c>
      <c r="AQ3841">
        <v>0</v>
      </c>
      <c r="AS3841">
        <v>0</v>
      </c>
      <c r="AT3841">
        <v>0</v>
      </c>
      <c r="AV3841">
        <v>0</v>
      </c>
      <c r="AW3841">
        <v>0</v>
      </c>
      <c r="AY3841">
        <v>0</v>
      </c>
      <c r="AZ3841">
        <v>0</v>
      </c>
      <c r="BA3841">
        <v>60</v>
      </c>
      <c r="BE3841" t="str">
        <f>T("9791137018655")</f>
        <v>9791137018655</v>
      </c>
      <c r="BF3841" t="str">
        <f>T("k296844")</f>
        <v>k296844</v>
      </c>
      <c r="BG3841" t="str">
        <f>T("판타지 웹소설 &gt; 퓨전 판타지")</f>
        <v>판타지 웹소설 &gt; 퓨전 판타지</v>
      </c>
    </row>
    <row r="3842" spans="1:59">
      <c r="A3842" t="s">
        <v>60</v>
      </c>
      <c r="B3842" s="1">
        <v>46131</v>
      </c>
      <c r="C3842">
        <v>2378062653</v>
      </c>
      <c r="D3842">
        <v>2378066140</v>
      </c>
      <c r="E3842" t="str">
        <f>T("시한부라 은퇴합니다 173화")</f>
        <v>시한부라 은퇴합니다 173화</v>
      </c>
      <c r="F3842">
        <v>173</v>
      </c>
      <c r="G3842" t="str">
        <f>T("해달수")</f>
        <v>해달수</v>
      </c>
      <c r="J3842" t="str">
        <f>T("매드햇")</f>
        <v>매드햇</v>
      </c>
      <c r="K3842" t="str">
        <f>T("시한부라 은퇴합니다")</f>
        <v>시한부라 은퇴합니다</v>
      </c>
      <c r="L3842">
        <v>100</v>
      </c>
      <c r="M3842">
        <v>100</v>
      </c>
      <c r="N3842">
        <v>1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100</v>
      </c>
      <c r="AJ3842">
        <v>1</v>
      </c>
      <c r="AK3842">
        <v>0</v>
      </c>
      <c r="AL3842">
        <v>0</v>
      </c>
      <c r="AM3842">
        <v>100</v>
      </c>
      <c r="AN3842">
        <v>0</v>
      </c>
      <c r="AO3842">
        <v>0</v>
      </c>
      <c r="AP3842">
        <v>0</v>
      </c>
      <c r="AQ3842">
        <v>0</v>
      </c>
      <c r="AS3842">
        <v>0</v>
      </c>
      <c r="AT3842">
        <v>0</v>
      </c>
      <c r="AV3842">
        <v>0</v>
      </c>
      <c r="AW3842">
        <v>0</v>
      </c>
      <c r="AY3842">
        <v>0</v>
      </c>
      <c r="AZ3842">
        <v>0</v>
      </c>
      <c r="BA3842">
        <v>60</v>
      </c>
      <c r="BE3842" t="str">
        <f>T("9791137018655")</f>
        <v>9791137018655</v>
      </c>
      <c r="BF3842" t="str">
        <f>T("k296845")</f>
        <v>k296845</v>
      </c>
      <c r="BG3842" t="str">
        <f>T("판타지 웹소설 &gt; 퓨전 판타지")</f>
        <v>판타지 웹소설 &gt; 퓨전 판타지</v>
      </c>
    </row>
    <row r="3843" spans="1:59">
      <c r="A3843" t="s">
        <v>60</v>
      </c>
      <c r="B3843" s="1">
        <v>46131</v>
      </c>
      <c r="C3843">
        <v>2378062653</v>
      </c>
      <c r="D3843">
        <v>2378066204</v>
      </c>
      <c r="E3843" t="str">
        <f>T("시한부라 은퇴합니다 174화")</f>
        <v>시한부라 은퇴합니다 174화</v>
      </c>
      <c r="F3843">
        <v>174</v>
      </c>
      <c r="G3843" t="str">
        <f>T("해달수")</f>
        <v>해달수</v>
      </c>
      <c r="J3843" t="str">
        <f>T("매드햇")</f>
        <v>매드햇</v>
      </c>
      <c r="K3843" t="str">
        <f>T("시한부라 은퇴합니다")</f>
        <v>시한부라 은퇴합니다</v>
      </c>
      <c r="L3843">
        <v>100</v>
      </c>
      <c r="M3843">
        <v>100</v>
      </c>
      <c r="N3843">
        <v>1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100</v>
      </c>
      <c r="AJ3843">
        <v>1</v>
      </c>
      <c r="AK3843">
        <v>0</v>
      </c>
      <c r="AL3843">
        <v>0</v>
      </c>
      <c r="AM3843">
        <v>100</v>
      </c>
      <c r="AN3843">
        <v>0</v>
      </c>
      <c r="AO3843">
        <v>0</v>
      </c>
      <c r="AP3843">
        <v>0</v>
      </c>
      <c r="AQ3843">
        <v>0</v>
      </c>
      <c r="AS3843">
        <v>0</v>
      </c>
      <c r="AT3843">
        <v>0</v>
      </c>
      <c r="AV3843">
        <v>0</v>
      </c>
      <c r="AW3843">
        <v>0</v>
      </c>
      <c r="AY3843">
        <v>0</v>
      </c>
      <c r="AZ3843">
        <v>0</v>
      </c>
      <c r="BA3843">
        <v>60</v>
      </c>
      <c r="BE3843" t="str">
        <f>T("9791137018655")</f>
        <v>9791137018655</v>
      </c>
      <c r="BF3843" t="str">
        <f>T("k296846")</f>
        <v>k296846</v>
      </c>
      <c r="BG3843" t="str">
        <f>T("판타지 웹소설 &gt; 퓨전 판타지")</f>
        <v>판타지 웹소설 &gt; 퓨전 판타지</v>
      </c>
    </row>
    <row r="3844" spans="1:59">
      <c r="A3844" t="s">
        <v>60</v>
      </c>
      <c r="B3844" s="1">
        <v>46131</v>
      </c>
      <c r="C3844">
        <v>2378062653</v>
      </c>
      <c r="D3844">
        <v>2378066205</v>
      </c>
      <c r="E3844" t="str">
        <f>T("시한부라 은퇴합니다 175화")</f>
        <v>시한부라 은퇴합니다 175화</v>
      </c>
      <c r="F3844">
        <v>175</v>
      </c>
      <c r="G3844" t="str">
        <f>T("해달수")</f>
        <v>해달수</v>
      </c>
      <c r="J3844" t="str">
        <f>T("매드햇")</f>
        <v>매드햇</v>
      </c>
      <c r="K3844" t="str">
        <f>T("시한부라 은퇴합니다")</f>
        <v>시한부라 은퇴합니다</v>
      </c>
      <c r="L3844">
        <v>100</v>
      </c>
      <c r="M3844">
        <v>100</v>
      </c>
      <c r="N3844">
        <v>1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100</v>
      </c>
      <c r="AJ3844">
        <v>1</v>
      </c>
      <c r="AK3844">
        <v>0</v>
      </c>
      <c r="AL3844">
        <v>0</v>
      </c>
      <c r="AM3844">
        <v>100</v>
      </c>
      <c r="AN3844">
        <v>0</v>
      </c>
      <c r="AO3844">
        <v>0</v>
      </c>
      <c r="AP3844">
        <v>0</v>
      </c>
      <c r="AQ3844">
        <v>0</v>
      </c>
      <c r="AS3844">
        <v>0</v>
      </c>
      <c r="AT3844">
        <v>0</v>
      </c>
      <c r="AV3844">
        <v>0</v>
      </c>
      <c r="AW3844">
        <v>0</v>
      </c>
      <c r="AY3844">
        <v>0</v>
      </c>
      <c r="AZ3844">
        <v>0</v>
      </c>
      <c r="BA3844">
        <v>60</v>
      </c>
      <c r="BE3844" t="str">
        <f>T("9791137018655")</f>
        <v>9791137018655</v>
      </c>
      <c r="BF3844" t="str">
        <f>T("k296847")</f>
        <v>k296847</v>
      </c>
      <c r="BG3844" t="str">
        <f>T("판타지 웹소설 &gt; 퓨전 판타지")</f>
        <v>판타지 웹소설 &gt; 퓨전 판타지</v>
      </c>
    </row>
    <row r="3845" spans="1:59">
      <c r="A3845" t="s">
        <v>60</v>
      </c>
      <c r="B3845" s="1">
        <v>46131</v>
      </c>
      <c r="C3845">
        <v>2378062653</v>
      </c>
      <c r="D3845">
        <v>2378066409</v>
      </c>
      <c r="E3845" t="str">
        <f>T("시한부라 은퇴합니다 176화")</f>
        <v>시한부라 은퇴합니다 176화</v>
      </c>
      <c r="F3845">
        <v>176</v>
      </c>
      <c r="G3845" t="str">
        <f>T("해달수")</f>
        <v>해달수</v>
      </c>
      <c r="J3845" t="str">
        <f>T("매드햇")</f>
        <v>매드햇</v>
      </c>
      <c r="K3845" t="str">
        <f>T("시한부라 은퇴합니다")</f>
        <v>시한부라 은퇴합니다</v>
      </c>
      <c r="L3845">
        <v>100</v>
      </c>
      <c r="M3845">
        <v>100</v>
      </c>
      <c r="N3845">
        <v>1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100</v>
      </c>
      <c r="AJ3845">
        <v>1</v>
      </c>
      <c r="AK3845">
        <v>0</v>
      </c>
      <c r="AL3845">
        <v>0</v>
      </c>
      <c r="AM3845">
        <v>100</v>
      </c>
      <c r="AN3845">
        <v>0</v>
      </c>
      <c r="AO3845">
        <v>0</v>
      </c>
      <c r="AP3845">
        <v>0</v>
      </c>
      <c r="AQ3845">
        <v>0</v>
      </c>
      <c r="AS3845">
        <v>0</v>
      </c>
      <c r="AT3845">
        <v>0</v>
      </c>
      <c r="AV3845">
        <v>0</v>
      </c>
      <c r="AW3845">
        <v>0</v>
      </c>
      <c r="AY3845">
        <v>0</v>
      </c>
      <c r="AZ3845">
        <v>0</v>
      </c>
      <c r="BA3845">
        <v>60</v>
      </c>
      <c r="BE3845" t="str">
        <f>T("9791137018655")</f>
        <v>9791137018655</v>
      </c>
      <c r="BF3845" t="str">
        <f>T("k296848")</f>
        <v>k296848</v>
      </c>
      <c r="BG3845" t="str">
        <f>T("판타지 웹소설 &gt; 퓨전 판타지")</f>
        <v>판타지 웹소설 &gt; 퓨전 판타지</v>
      </c>
    </row>
    <row r="3846" spans="1:59">
      <c r="A3846" t="s">
        <v>60</v>
      </c>
      <c r="B3846" s="1">
        <v>46131</v>
      </c>
      <c r="C3846">
        <v>2378062653</v>
      </c>
      <c r="D3846">
        <v>2378066410</v>
      </c>
      <c r="E3846" t="str">
        <f>T("시한부라 은퇴합니다 177화")</f>
        <v>시한부라 은퇴합니다 177화</v>
      </c>
      <c r="F3846">
        <v>177</v>
      </c>
      <c r="G3846" t="str">
        <f>T("해달수")</f>
        <v>해달수</v>
      </c>
      <c r="J3846" t="str">
        <f>T("매드햇")</f>
        <v>매드햇</v>
      </c>
      <c r="K3846" t="str">
        <f>T("시한부라 은퇴합니다")</f>
        <v>시한부라 은퇴합니다</v>
      </c>
      <c r="L3846">
        <v>100</v>
      </c>
      <c r="M3846">
        <v>100</v>
      </c>
      <c r="N3846">
        <v>1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100</v>
      </c>
      <c r="AJ3846">
        <v>1</v>
      </c>
      <c r="AK3846">
        <v>0</v>
      </c>
      <c r="AL3846">
        <v>0</v>
      </c>
      <c r="AM3846">
        <v>100</v>
      </c>
      <c r="AN3846">
        <v>0</v>
      </c>
      <c r="AO3846">
        <v>0</v>
      </c>
      <c r="AP3846">
        <v>0</v>
      </c>
      <c r="AQ3846">
        <v>0</v>
      </c>
      <c r="AS3846">
        <v>0</v>
      </c>
      <c r="AT3846">
        <v>0</v>
      </c>
      <c r="AV3846">
        <v>0</v>
      </c>
      <c r="AW3846">
        <v>0</v>
      </c>
      <c r="AY3846">
        <v>0</v>
      </c>
      <c r="AZ3846">
        <v>0</v>
      </c>
      <c r="BA3846">
        <v>60</v>
      </c>
      <c r="BE3846" t="str">
        <f>T("9791137018655")</f>
        <v>9791137018655</v>
      </c>
      <c r="BF3846" t="str">
        <f>T("k298287")</f>
        <v>k298287</v>
      </c>
      <c r="BG3846" t="str">
        <f>T("판타지 웹소설 &gt; 퓨전 판타지")</f>
        <v>판타지 웹소설 &gt; 퓨전 판타지</v>
      </c>
    </row>
    <row r="3847" spans="1:59">
      <c r="A3847" t="s">
        <v>60</v>
      </c>
      <c r="B3847" s="1">
        <v>46131</v>
      </c>
      <c r="C3847">
        <v>2378062653</v>
      </c>
      <c r="D3847">
        <v>2378066441</v>
      </c>
      <c r="E3847" t="str">
        <f>T("시한부라 은퇴합니다 178화")</f>
        <v>시한부라 은퇴합니다 178화</v>
      </c>
      <c r="F3847">
        <v>178</v>
      </c>
      <c r="G3847" t="str">
        <f>T("해달수")</f>
        <v>해달수</v>
      </c>
      <c r="J3847" t="str">
        <f>T("매드햇")</f>
        <v>매드햇</v>
      </c>
      <c r="K3847" t="str">
        <f>T("시한부라 은퇴합니다")</f>
        <v>시한부라 은퇴합니다</v>
      </c>
      <c r="L3847">
        <v>100</v>
      </c>
      <c r="M3847">
        <v>100</v>
      </c>
      <c r="N3847">
        <v>1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100</v>
      </c>
      <c r="AJ3847">
        <v>1</v>
      </c>
      <c r="AK3847">
        <v>0</v>
      </c>
      <c r="AL3847">
        <v>0</v>
      </c>
      <c r="AM3847">
        <v>100</v>
      </c>
      <c r="AN3847">
        <v>0</v>
      </c>
      <c r="AO3847">
        <v>0</v>
      </c>
      <c r="AP3847">
        <v>0</v>
      </c>
      <c r="AQ3847">
        <v>0</v>
      </c>
      <c r="AS3847">
        <v>0</v>
      </c>
      <c r="AT3847">
        <v>0</v>
      </c>
      <c r="AV3847">
        <v>0</v>
      </c>
      <c r="AW3847">
        <v>0</v>
      </c>
      <c r="AY3847">
        <v>0</v>
      </c>
      <c r="AZ3847">
        <v>0</v>
      </c>
      <c r="BA3847">
        <v>60</v>
      </c>
      <c r="BE3847" t="str">
        <f>T("9791137018655")</f>
        <v>9791137018655</v>
      </c>
      <c r="BF3847" t="str">
        <f>T("k298288")</f>
        <v>k298288</v>
      </c>
      <c r="BG3847" t="str">
        <f>T("판타지 웹소설 &gt; 퓨전 판타지")</f>
        <v>판타지 웹소설 &gt; 퓨전 판타지</v>
      </c>
    </row>
    <row r="3848" spans="1:59">
      <c r="A3848" t="s">
        <v>60</v>
      </c>
      <c r="B3848" s="1">
        <v>46131</v>
      </c>
      <c r="C3848">
        <v>2378062653</v>
      </c>
      <c r="D3848">
        <v>2378066442</v>
      </c>
      <c r="E3848" t="str">
        <f>T("시한부라 은퇴합니다 179화")</f>
        <v>시한부라 은퇴합니다 179화</v>
      </c>
      <c r="F3848">
        <v>179</v>
      </c>
      <c r="G3848" t="str">
        <f>T("해달수")</f>
        <v>해달수</v>
      </c>
      <c r="J3848" t="str">
        <f>T("매드햇")</f>
        <v>매드햇</v>
      </c>
      <c r="K3848" t="str">
        <f>T("시한부라 은퇴합니다")</f>
        <v>시한부라 은퇴합니다</v>
      </c>
      <c r="L3848">
        <v>100</v>
      </c>
      <c r="M3848">
        <v>100</v>
      </c>
      <c r="N3848">
        <v>1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100</v>
      </c>
      <c r="AJ3848">
        <v>1</v>
      </c>
      <c r="AK3848">
        <v>0</v>
      </c>
      <c r="AL3848">
        <v>0</v>
      </c>
      <c r="AM3848">
        <v>100</v>
      </c>
      <c r="AN3848">
        <v>0</v>
      </c>
      <c r="AO3848">
        <v>0</v>
      </c>
      <c r="AP3848">
        <v>0</v>
      </c>
      <c r="AQ3848">
        <v>0</v>
      </c>
      <c r="AS3848">
        <v>0</v>
      </c>
      <c r="AT3848">
        <v>0</v>
      </c>
      <c r="AV3848">
        <v>0</v>
      </c>
      <c r="AW3848">
        <v>0</v>
      </c>
      <c r="AY3848">
        <v>0</v>
      </c>
      <c r="AZ3848">
        <v>0</v>
      </c>
      <c r="BA3848">
        <v>60</v>
      </c>
      <c r="BE3848" t="str">
        <f>T("9791137018655")</f>
        <v>9791137018655</v>
      </c>
      <c r="BF3848" t="str">
        <f>T("k298289")</f>
        <v>k298289</v>
      </c>
      <c r="BG3848" t="str">
        <f>T("판타지 웹소설 &gt; 퓨전 판타지")</f>
        <v>판타지 웹소설 &gt; 퓨전 판타지</v>
      </c>
    </row>
    <row r="3849" spans="1:59">
      <c r="A3849" t="s">
        <v>60</v>
      </c>
      <c r="B3849" s="1">
        <v>46131</v>
      </c>
      <c r="C3849">
        <v>2378062653</v>
      </c>
      <c r="D3849">
        <v>2378066476</v>
      </c>
      <c r="E3849" t="str">
        <f>T("시한부라 은퇴합니다 180화")</f>
        <v>시한부라 은퇴합니다 180화</v>
      </c>
      <c r="F3849">
        <v>180</v>
      </c>
      <c r="G3849" t="str">
        <f>T("해달수")</f>
        <v>해달수</v>
      </c>
      <c r="J3849" t="str">
        <f>T("매드햇")</f>
        <v>매드햇</v>
      </c>
      <c r="K3849" t="str">
        <f>T("시한부라 은퇴합니다")</f>
        <v>시한부라 은퇴합니다</v>
      </c>
      <c r="L3849">
        <v>100</v>
      </c>
      <c r="M3849">
        <v>100</v>
      </c>
      <c r="N3849">
        <v>1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100</v>
      </c>
      <c r="AJ3849">
        <v>1</v>
      </c>
      <c r="AK3849">
        <v>0</v>
      </c>
      <c r="AL3849">
        <v>0</v>
      </c>
      <c r="AM3849">
        <v>100</v>
      </c>
      <c r="AN3849">
        <v>0</v>
      </c>
      <c r="AO3849">
        <v>0</v>
      </c>
      <c r="AP3849">
        <v>0</v>
      </c>
      <c r="AQ3849">
        <v>0</v>
      </c>
      <c r="AS3849">
        <v>0</v>
      </c>
      <c r="AT3849">
        <v>0</v>
      </c>
      <c r="AV3849">
        <v>0</v>
      </c>
      <c r="AW3849">
        <v>0</v>
      </c>
      <c r="AY3849">
        <v>0</v>
      </c>
      <c r="AZ3849">
        <v>0</v>
      </c>
      <c r="BA3849">
        <v>60</v>
      </c>
      <c r="BE3849" t="str">
        <f>T("9791137018655")</f>
        <v>9791137018655</v>
      </c>
      <c r="BF3849" t="str">
        <f>T("k298290")</f>
        <v>k298290</v>
      </c>
      <c r="BG3849" t="str">
        <f>T("판타지 웹소설 &gt; 퓨전 판타지")</f>
        <v>판타지 웹소설 &gt; 퓨전 판타지</v>
      </c>
    </row>
    <row r="3850" spans="1:59">
      <c r="A3850" t="s">
        <v>60</v>
      </c>
      <c r="B3850" s="1">
        <v>46131</v>
      </c>
      <c r="C3850">
        <v>2378062653</v>
      </c>
      <c r="D3850">
        <v>2378066477</v>
      </c>
      <c r="E3850" t="str">
        <f>T("시한부라 은퇴합니다 181화")</f>
        <v>시한부라 은퇴합니다 181화</v>
      </c>
      <c r="F3850">
        <v>181</v>
      </c>
      <c r="G3850" t="str">
        <f>T("해달수")</f>
        <v>해달수</v>
      </c>
      <c r="J3850" t="str">
        <f>T("매드햇")</f>
        <v>매드햇</v>
      </c>
      <c r="K3850" t="str">
        <f>T("시한부라 은퇴합니다")</f>
        <v>시한부라 은퇴합니다</v>
      </c>
      <c r="L3850">
        <v>100</v>
      </c>
      <c r="M3850">
        <v>100</v>
      </c>
      <c r="N3850">
        <v>1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100</v>
      </c>
      <c r="AJ3850">
        <v>1</v>
      </c>
      <c r="AK3850">
        <v>0</v>
      </c>
      <c r="AL3850">
        <v>0</v>
      </c>
      <c r="AM3850">
        <v>100</v>
      </c>
      <c r="AN3850">
        <v>0</v>
      </c>
      <c r="AO3850">
        <v>0</v>
      </c>
      <c r="AP3850">
        <v>0</v>
      </c>
      <c r="AQ3850">
        <v>0</v>
      </c>
      <c r="AS3850">
        <v>0</v>
      </c>
      <c r="AT3850">
        <v>0</v>
      </c>
      <c r="AV3850">
        <v>0</v>
      </c>
      <c r="AW3850">
        <v>0</v>
      </c>
      <c r="AY3850">
        <v>0</v>
      </c>
      <c r="AZ3850">
        <v>0</v>
      </c>
      <c r="BA3850">
        <v>60</v>
      </c>
      <c r="BE3850" t="str">
        <f>T("9791137018655")</f>
        <v>9791137018655</v>
      </c>
      <c r="BF3850" t="str">
        <f>T("k298291")</f>
        <v>k298291</v>
      </c>
      <c r="BG3850" t="str">
        <f>T("판타지 웹소설 &gt; 퓨전 판타지")</f>
        <v>판타지 웹소설 &gt; 퓨전 판타지</v>
      </c>
    </row>
    <row r="3851" spans="1:59">
      <c r="A3851" t="s">
        <v>60</v>
      </c>
      <c r="B3851" s="1">
        <v>46131</v>
      </c>
      <c r="C3851">
        <v>2378062653</v>
      </c>
      <c r="D3851">
        <v>2378066478</v>
      </c>
      <c r="E3851" t="str">
        <f>T("시한부라 은퇴합니다 182화")</f>
        <v>시한부라 은퇴합니다 182화</v>
      </c>
      <c r="F3851">
        <v>182</v>
      </c>
      <c r="G3851" t="str">
        <f>T("해달수")</f>
        <v>해달수</v>
      </c>
      <c r="J3851" t="str">
        <f>T("매드햇")</f>
        <v>매드햇</v>
      </c>
      <c r="K3851" t="str">
        <f>T("시한부라 은퇴합니다")</f>
        <v>시한부라 은퇴합니다</v>
      </c>
      <c r="L3851">
        <v>100</v>
      </c>
      <c r="M3851">
        <v>100</v>
      </c>
      <c r="N3851">
        <v>1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100</v>
      </c>
      <c r="AJ3851">
        <v>1</v>
      </c>
      <c r="AK3851">
        <v>0</v>
      </c>
      <c r="AL3851">
        <v>0</v>
      </c>
      <c r="AM3851">
        <v>100</v>
      </c>
      <c r="AN3851">
        <v>0</v>
      </c>
      <c r="AO3851">
        <v>0</v>
      </c>
      <c r="AP3851">
        <v>0</v>
      </c>
      <c r="AQ3851">
        <v>0</v>
      </c>
      <c r="AS3851">
        <v>0</v>
      </c>
      <c r="AT3851">
        <v>0</v>
      </c>
      <c r="AV3851">
        <v>0</v>
      </c>
      <c r="AW3851">
        <v>0</v>
      </c>
      <c r="AY3851">
        <v>0</v>
      </c>
      <c r="AZ3851">
        <v>0</v>
      </c>
      <c r="BA3851">
        <v>60</v>
      </c>
      <c r="BE3851" t="str">
        <f>T("9791137018655")</f>
        <v>9791137018655</v>
      </c>
      <c r="BF3851" t="str">
        <f>T("k300842")</f>
        <v>k300842</v>
      </c>
      <c r="BG3851" t="str">
        <f>T("판타지 웹소설 &gt; 퓨전 판타지")</f>
        <v>판타지 웹소설 &gt; 퓨전 판타지</v>
      </c>
    </row>
    <row r="3852" spans="1:59">
      <c r="A3852" t="s">
        <v>60</v>
      </c>
      <c r="B3852" s="1">
        <v>46131</v>
      </c>
      <c r="C3852">
        <v>2378062653</v>
      </c>
      <c r="D3852">
        <v>2378066567</v>
      </c>
      <c r="E3852" t="str">
        <f>T("시한부라 은퇴합니다 183화")</f>
        <v>시한부라 은퇴합니다 183화</v>
      </c>
      <c r="F3852">
        <v>183</v>
      </c>
      <c r="G3852" t="str">
        <f>T("해달수")</f>
        <v>해달수</v>
      </c>
      <c r="J3852" t="str">
        <f>T("매드햇")</f>
        <v>매드햇</v>
      </c>
      <c r="K3852" t="str">
        <f>T("시한부라 은퇴합니다")</f>
        <v>시한부라 은퇴합니다</v>
      </c>
      <c r="L3852">
        <v>100</v>
      </c>
      <c r="M3852">
        <v>100</v>
      </c>
      <c r="N3852">
        <v>1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100</v>
      </c>
      <c r="AJ3852">
        <v>1</v>
      </c>
      <c r="AK3852">
        <v>0</v>
      </c>
      <c r="AL3852">
        <v>0</v>
      </c>
      <c r="AM3852">
        <v>100</v>
      </c>
      <c r="AN3852">
        <v>0</v>
      </c>
      <c r="AO3852">
        <v>0</v>
      </c>
      <c r="AP3852">
        <v>0</v>
      </c>
      <c r="AQ3852">
        <v>0</v>
      </c>
      <c r="AS3852">
        <v>0</v>
      </c>
      <c r="AT3852">
        <v>0</v>
      </c>
      <c r="AV3852">
        <v>0</v>
      </c>
      <c r="AW3852">
        <v>0</v>
      </c>
      <c r="AY3852">
        <v>0</v>
      </c>
      <c r="AZ3852">
        <v>0</v>
      </c>
      <c r="BA3852">
        <v>60</v>
      </c>
      <c r="BE3852" t="str">
        <f>T("9791137018655")</f>
        <v>9791137018655</v>
      </c>
      <c r="BF3852" t="str">
        <f>T("k300843")</f>
        <v>k300843</v>
      </c>
      <c r="BG3852" t="str">
        <f>T("판타지 웹소설 &gt; 퓨전 판타지")</f>
        <v>판타지 웹소설 &gt; 퓨전 판타지</v>
      </c>
    </row>
    <row r="3853" spans="1:59">
      <c r="A3853" t="s">
        <v>60</v>
      </c>
      <c r="B3853" s="1">
        <v>46131</v>
      </c>
      <c r="C3853">
        <v>2378062653</v>
      </c>
      <c r="D3853">
        <v>2378066568</v>
      </c>
      <c r="E3853" t="str">
        <f>T("시한부라 은퇴합니다 184화")</f>
        <v>시한부라 은퇴합니다 184화</v>
      </c>
      <c r="F3853">
        <v>184</v>
      </c>
      <c r="G3853" t="str">
        <f>T("해달수")</f>
        <v>해달수</v>
      </c>
      <c r="J3853" t="str">
        <f>T("매드햇")</f>
        <v>매드햇</v>
      </c>
      <c r="K3853" t="str">
        <f>T("시한부라 은퇴합니다")</f>
        <v>시한부라 은퇴합니다</v>
      </c>
      <c r="L3853">
        <v>100</v>
      </c>
      <c r="M3853">
        <v>100</v>
      </c>
      <c r="N3853">
        <v>1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100</v>
      </c>
      <c r="AJ3853">
        <v>1</v>
      </c>
      <c r="AK3853">
        <v>0</v>
      </c>
      <c r="AL3853">
        <v>0</v>
      </c>
      <c r="AM3853">
        <v>100</v>
      </c>
      <c r="AN3853">
        <v>0</v>
      </c>
      <c r="AO3853">
        <v>0</v>
      </c>
      <c r="AP3853">
        <v>0</v>
      </c>
      <c r="AQ3853">
        <v>0</v>
      </c>
      <c r="AS3853">
        <v>0</v>
      </c>
      <c r="AT3853">
        <v>0</v>
      </c>
      <c r="AV3853">
        <v>0</v>
      </c>
      <c r="AW3853">
        <v>0</v>
      </c>
      <c r="AY3853">
        <v>0</v>
      </c>
      <c r="AZ3853">
        <v>0</v>
      </c>
      <c r="BA3853">
        <v>60</v>
      </c>
      <c r="BE3853" t="str">
        <f>T("9791137018655")</f>
        <v>9791137018655</v>
      </c>
      <c r="BF3853" t="str">
        <f>T("k300844")</f>
        <v>k300844</v>
      </c>
      <c r="BG3853" t="str">
        <f>T("판타지 웹소설 &gt; 퓨전 판타지")</f>
        <v>판타지 웹소설 &gt; 퓨전 판타지</v>
      </c>
    </row>
    <row r="3854" spans="1:59">
      <c r="A3854" t="s">
        <v>60</v>
      </c>
      <c r="B3854" s="1">
        <v>46131</v>
      </c>
      <c r="C3854">
        <v>2378062653</v>
      </c>
      <c r="D3854">
        <v>2378066569</v>
      </c>
      <c r="E3854" t="str">
        <f>T("시한부라 은퇴합니다 185화")</f>
        <v>시한부라 은퇴합니다 185화</v>
      </c>
      <c r="F3854">
        <v>185</v>
      </c>
      <c r="G3854" t="str">
        <f>T("해달수")</f>
        <v>해달수</v>
      </c>
      <c r="J3854" t="str">
        <f>T("매드햇")</f>
        <v>매드햇</v>
      </c>
      <c r="K3854" t="str">
        <f>T("시한부라 은퇴합니다")</f>
        <v>시한부라 은퇴합니다</v>
      </c>
      <c r="L3854">
        <v>100</v>
      </c>
      <c r="M3854">
        <v>100</v>
      </c>
      <c r="N3854">
        <v>1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100</v>
      </c>
      <c r="AJ3854">
        <v>1</v>
      </c>
      <c r="AK3854">
        <v>0</v>
      </c>
      <c r="AL3854">
        <v>0</v>
      </c>
      <c r="AM3854">
        <v>100</v>
      </c>
      <c r="AN3854">
        <v>0</v>
      </c>
      <c r="AO3854">
        <v>0</v>
      </c>
      <c r="AP3854">
        <v>0</v>
      </c>
      <c r="AQ3854">
        <v>0</v>
      </c>
      <c r="AS3854">
        <v>0</v>
      </c>
      <c r="AT3854">
        <v>0</v>
      </c>
      <c r="AV3854">
        <v>0</v>
      </c>
      <c r="AW3854">
        <v>0</v>
      </c>
      <c r="AY3854">
        <v>0</v>
      </c>
      <c r="AZ3854">
        <v>0</v>
      </c>
      <c r="BA3854">
        <v>60</v>
      </c>
      <c r="BE3854" t="str">
        <f>T("9791137018655")</f>
        <v>9791137018655</v>
      </c>
      <c r="BF3854" t="str">
        <f>T("k300845")</f>
        <v>k300845</v>
      </c>
      <c r="BG3854" t="str">
        <f>T("판타지 웹소설 &gt; 퓨전 판타지")</f>
        <v>판타지 웹소설 &gt; 퓨전 판타지</v>
      </c>
    </row>
    <row r="3855" spans="1:59">
      <c r="A3855" t="s">
        <v>60</v>
      </c>
      <c r="B3855" s="1">
        <v>46131</v>
      </c>
      <c r="C3855">
        <v>2378062653</v>
      </c>
      <c r="D3855">
        <v>2378066627</v>
      </c>
      <c r="E3855" t="str">
        <f>T("시한부라 은퇴합니다 186화")</f>
        <v>시한부라 은퇴합니다 186화</v>
      </c>
      <c r="F3855">
        <v>186</v>
      </c>
      <c r="G3855" t="str">
        <f>T("해달수")</f>
        <v>해달수</v>
      </c>
      <c r="J3855" t="str">
        <f>T("매드햇")</f>
        <v>매드햇</v>
      </c>
      <c r="K3855" t="str">
        <f>T("시한부라 은퇴합니다")</f>
        <v>시한부라 은퇴합니다</v>
      </c>
      <c r="L3855">
        <v>100</v>
      </c>
      <c r="M3855">
        <v>100</v>
      </c>
      <c r="N3855">
        <v>1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100</v>
      </c>
      <c r="AJ3855">
        <v>1</v>
      </c>
      <c r="AK3855">
        <v>0</v>
      </c>
      <c r="AL3855">
        <v>0</v>
      </c>
      <c r="AM3855">
        <v>100</v>
      </c>
      <c r="AN3855">
        <v>0</v>
      </c>
      <c r="AO3855">
        <v>0</v>
      </c>
      <c r="AP3855">
        <v>0</v>
      </c>
      <c r="AQ3855">
        <v>0</v>
      </c>
      <c r="AS3855">
        <v>0</v>
      </c>
      <c r="AT3855">
        <v>0</v>
      </c>
      <c r="AV3855">
        <v>0</v>
      </c>
      <c r="AW3855">
        <v>0</v>
      </c>
      <c r="AY3855">
        <v>0</v>
      </c>
      <c r="AZ3855">
        <v>0</v>
      </c>
      <c r="BA3855">
        <v>60</v>
      </c>
      <c r="BE3855" t="str">
        <f>T("9791137018655")</f>
        <v>9791137018655</v>
      </c>
      <c r="BF3855" t="str">
        <f>T("k300846")</f>
        <v>k300846</v>
      </c>
      <c r="BG3855" t="str">
        <f>T("판타지 웹소설 &gt; 퓨전 판타지")</f>
        <v>판타지 웹소설 &gt; 퓨전 판타지</v>
      </c>
    </row>
    <row r="3856" spans="1:59">
      <c r="A3856" t="s">
        <v>60</v>
      </c>
      <c r="B3856" s="1">
        <v>46131</v>
      </c>
      <c r="C3856">
        <v>2378062653</v>
      </c>
      <c r="D3856">
        <v>2378066628</v>
      </c>
      <c r="E3856" t="str">
        <f>T("시한부라 은퇴합니다 187화")</f>
        <v>시한부라 은퇴합니다 187화</v>
      </c>
      <c r="F3856">
        <v>187</v>
      </c>
      <c r="G3856" t="str">
        <f>T("해달수")</f>
        <v>해달수</v>
      </c>
      <c r="J3856" t="str">
        <f>T("매드햇")</f>
        <v>매드햇</v>
      </c>
      <c r="K3856" t="str">
        <f>T("시한부라 은퇴합니다")</f>
        <v>시한부라 은퇴합니다</v>
      </c>
      <c r="L3856">
        <v>100</v>
      </c>
      <c r="M3856">
        <v>100</v>
      </c>
      <c r="N3856">
        <v>1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100</v>
      </c>
      <c r="AJ3856">
        <v>1</v>
      </c>
      <c r="AK3856">
        <v>0</v>
      </c>
      <c r="AL3856">
        <v>0</v>
      </c>
      <c r="AM3856">
        <v>100</v>
      </c>
      <c r="AN3856">
        <v>0</v>
      </c>
      <c r="AO3856">
        <v>0</v>
      </c>
      <c r="AP3856">
        <v>0</v>
      </c>
      <c r="AQ3856">
        <v>0</v>
      </c>
      <c r="AS3856">
        <v>0</v>
      </c>
      <c r="AT3856">
        <v>0</v>
      </c>
      <c r="AV3856">
        <v>0</v>
      </c>
      <c r="AW3856">
        <v>0</v>
      </c>
      <c r="AY3856">
        <v>0</v>
      </c>
      <c r="AZ3856">
        <v>0</v>
      </c>
      <c r="BA3856">
        <v>60</v>
      </c>
      <c r="BE3856" t="str">
        <f>T("9791137018655")</f>
        <v>9791137018655</v>
      </c>
      <c r="BF3856" t="str">
        <f>T("k307461")</f>
        <v>k307461</v>
      </c>
      <c r="BG3856" t="str">
        <f>T("판타지 웹소설 &gt; 퓨전 판타지")</f>
        <v>판타지 웹소설 &gt; 퓨전 판타지</v>
      </c>
    </row>
    <row r="3857" spans="1:59">
      <c r="A3857" t="s">
        <v>60</v>
      </c>
      <c r="B3857" s="1">
        <v>46131</v>
      </c>
      <c r="C3857">
        <v>2378062653</v>
      </c>
      <c r="D3857">
        <v>2378066629</v>
      </c>
      <c r="E3857" t="str">
        <f>T("시한부라 은퇴합니다 188화")</f>
        <v>시한부라 은퇴합니다 188화</v>
      </c>
      <c r="F3857">
        <v>188</v>
      </c>
      <c r="G3857" t="str">
        <f>T("해달수")</f>
        <v>해달수</v>
      </c>
      <c r="J3857" t="str">
        <f>T("매드햇")</f>
        <v>매드햇</v>
      </c>
      <c r="K3857" t="str">
        <f>T("시한부라 은퇴합니다")</f>
        <v>시한부라 은퇴합니다</v>
      </c>
      <c r="L3857">
        <v>100</v>
      </c>
      <c r="M3857">
        <v>100</v>
      </c>
      <c r="N3857">
        <v>1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100</v>
      </c>
      <c r="AJ3857">
        <v>1</v>
      </c>
      <c r="AK3857">
        <v>0</v>
      </c>
      <c r="AL3857">
        <v>0</v>
      </c>
      <c r="AM3857">
        <v>100</v>
      </c>
      <c r="AN3857">
        <v>0</v>
      </c>
      <c r="AO3857">
        <v>0</v>
      </c>
      <c r="AP3857">
        <v>0</v>
      </c>
      <c r="AQ3857">
        <v>0</v>
      </c>
      <c r="AS3857">
        <v>0</v>
      </c>
      <c r="AT3857">
        <v>0</v>
      </c>
      <c r="AV3857">
        <v>0</v>
      </c>
      <c r="AW3857">
        <v>0</v>
      </c>
      <c r="AY3857">
        <v>0</v>
      </c>
      <c r="AZ3857">
        <v>0</v>
      </c>
      <c r="BA3857">
        <v>60</v>
      </c>
      <c r="BE3857" t="str">
        <f>T("9791137018655")</f>
        <v>9791137018655</v>
      </c>
      <c r="BF3857" t="str">
        <f>T("k307462")</f>
        <v>k307462</v>
      </c>
      <c r="BG3857" t="str">
        <f>T("판타지 웹소설 &gt; 퓨전 판타지")</f>
        <v>판타지 웹소설 &gt; 퓨전 판타지</v>
      </c>
    </row>
    <row r="3858" spans="1:59">
      <c r="A3858" t="s">
        <v>60</v>
      </c>
      <c r="B3858" s="1">
        <v>46131</v>
      </c>
      <c r="C3858">
        <v>2378062653</v>
      </c>
      <c r="D3858">
        <v>2378066630</v>
      </c>
      <c r="E3858" t="str">
        <f>T("시한부라 은퇴합니다 189화")</f>
        <v>시한부라 은퇴합니다 189화</v>
      </c>
      <c r="F3858">
        <v>189</v>
      </c>
      <c r="G3858" t="str">
        <f>T("해달수")</f>
        <v>해달수</v>
      </c>
      <c r="J3858" t="str">
        <f>T("매드햇")</f>
        <v>매드햇</v>
      </c>
      <c r="K3858" t="str">
        <f>T("시한부라 은퇴합니다")</f>
        <v>시한부라 은퇴합니다</v>
      </c>
      <c r="L3858">
        <v>100</v>
      </c>
      <c r="M3858">
        <v>100</v>
      </c>
      <c r="N3858">
        <v>1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100</v>
      </c>
      <c r="AJ3858">
        <v>1</v>
      </c>
      <c r="AK3858">
        <v>0</v>
      </c>
      <c r="AL3858">
        <v>0</v>
      </c>
      <c r="AM3858">
        <v>100</v>
      </c>
      <c r="AN3858">
        <v>0</v>
      </c>
      <c r="AO3858">
        <v>0</v>
      </c>
      <c r="AP3858">
        <v>0</v>
      </c>
      <c r="AQ3858">
        <v>0</v>
      </c>
      <c r="AS3858">
        <v>0</v>
      </c>
      <c r="AT3858">
        <v>0</v>
      </c>
      <c r="AV3858">
        <v>0</v>
      </c>
      <c r="AW3858">
        <v>0</v>
      </c>
      <c r="AY3858">
        <v>0</v>
      </c>
      <c r="AZ3858">
        <v>0</v>
      </c>
      <c r="BA3858">
        <v>60</v>
      </c>
      <c r="BE3858" t="str">
        <f>T("9791137018655")</f>
        <v>9791137018655</v>
      </c>
      <c r="BF3858" t="str">
        <f>T("k307463")</f>
        <v>k307463</v>
      </c>
      <c r="BG3858" t="str">
        <f>T("판타지 웹소설 &gt; 퓨전 판타지")</f>
        <v>판타지 웹소설 &gt; 퓨전 판타지</v>
      </c>
    </row>
    <row r="3859" spans="1:59">
      <c r="A3859" t="s">
        <v>60</v>
      </c>
      <c r="B3859" s="1">
        <v>46131</v>
      </c>
      <c r="C3859">
        <v>2378062653</v>
      </c>
      <c r="D3859">
        <v>2378066631</v>
      </c>
      <c r="E3859" t="str">
        <f>T("시한부라 은퇴합니다 190화")</f>
        <v>시한부라 은퇴합니다 190화</v>
      </c>
      <c r="F3859">
        <v>190</v>
      </c>
      <c r="G3859" t="str">
        <f>T("해달수")</f>
        <v>해달수</v>
      </c>
      <c r="J3859" t="str">
        <f>T("매드햇")</f>
        <v>매드햇</v>
      </c>
      <c r="K3859" t="str">
        <f>T("시한부라 은퇴합니다")</f>
        <v>시한부라 은퇴합니다</v>
      </c>
      <c r="L3859">
        <v>100</v>
      </c>
      <c r="M3859">
        <v>100</v>
      </c>
      <c r="N3859">
        <v>1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100</v>
      </c>
      <c r="AJ3859">
        <v>1</v>
      </c>
      <c r="AK3859">
        <v>0</v>
      </c>
      <c r="AL3859">
        <v>0</v>
      </c>
      <c r="AM3859">
        <v>100</v>
      </c>
      <c r="AN3859">
        <v>0</v>
      </c>
      <c r="AO3859">
        <v>0</v>
      </c>
      <c r="AP3859">
        <v>0</v>
      </c>
      <c r="AQ3859">
        <v>0</v>
      </c>
      <c r="AS3859">
        <v>0</v>
      </c>
      <c r="AT3859">
        <v>0</v>
      </c>
      <c r="AV3859">
        <v>0</v>
      </c>
      <c r="AW3859">
        <v>0</v>
      </c>
      <c r="AY3859">
        <v>0</v>
      </c>
      <c r="AZ3859">
        <v>0</v>
      </c>
      <c r="BA3859">
        <v>60</v>
      </c>
      <c r="BE3859" t="str">
        <f>T("9791137018655")</f>
        <v>9791137018655</v>
      </c>
      <c r="BF3859" t="str">
        <f>T("k307464")</f>
        <v>k307464</v>
      </c>
      <c r="BG3859" t="str">
        <f>T("판타지 웹소설 &gt; 퓨전 판타지")</f>
        <v>판타지 웹소설 &gt; 퓨전 판타지</v>
      </c>
    </row>
    <row r="3860" spans="1:59">
      <c r="A3860" t="s">
        <v>60</v>
      </c>
      <c r="B3860" s="1">
        <v>46131</v>
      </c>
      <c r="C3860">
        <v>2378062653</v>
      </c>
      <c r="D3860">
        <v>2378066655</v>
      </c>
      <c r="E3860" t="str">
        <f>T("시한부라 은퇴합니다 191화")</f>
        <v>시한부라 은퇴합니다 191화</v>
      </c>
      <c r="F3860">
        <v>191</v>
      </c>
      <c r="G3860" t="str">
        <f>T("해달수")</f>
        <v>해달수</v>
      </c>
      <c r="J3860" t="str">
        <f>T("매드햇")</f>
        <v>매드햇</v>
      </c>
      <c r="K3860" t="str">
        <f>T("시한부라 은퇴합니다")</f>
        <v>시한부라 은퇴합니다</v>
      </c>
      <c r="L3860">
        <v>100</v>
      </c>
      <c r="M3860">
        <v>100</v>
      </c>
      <c r="N3860">
        <v>1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100</v>
      </c>
      <c r="AJ3860">
        <v>1</v>
      </c>
      <c r="AK3860">
        <v>0</v>
      </c>
      <c r="AL3860">
        <v>0</v>
      </c>
      <c r="AM3860">
        <v>100</v>
      </c>
      <c r="AN3860">
        <v>0</v>
      </c>
      <c r="AO3860">
        <v>0</v>
      </c>
      <c r="AP3860">
        <v>0</v>
      </c>
      <c r="AQ3860">
        <v>0</v>
      </c>
      <c r="AS3860">
        <v>0</v>
      </c>
      <c r="AT3860">
        <v>0</v>
      </c>
      <c r="AV3860">
        <v>0</v>
      </c>
      <c r="AW3860">
        <v>0</v>
      </c>
      <c r="AY3860">
        <v>0</v>
      </c>
      <c r="AZ3860">
        <v>0</v>
      </c>
      <c r="BA3860">
        <v>60</v>
      </c>
      <c r="BE3860" t="str">
        <f>T("9791137018655")</f>
        <v>9791137018655</v>
      </c>
      <c r="BF3860" t="str">
        <f>T("k307465")</f>
        <v>k307465</v>
      </c>
      <c r="BG3860" t="str">
        <f>T("판타지 웹소설 &gt; 퓨전 판타지")</f>
        <v>판타지 웹소설 &gt; 퓨전 판타지</v>
      </c>
    </row>
    <row r="3861" spans="1:59">
      <c r="A3861" t="s">
        <v>60</v>
      </c>
      <c r="B3861" s="1">
        <v>46131</v>
      </c>
      <c r="C3861">
        <v>2378062653</v>
      </c>
      <c r="D3861">
        <v>2378066656</v>
      </c>
      <c r="E3861" t="str">
        <f>T("시한부라 은퇴합니다 192화")</f>
        <v>시한부라 은퇴합니다 192화</v>
      </c>
      <c r="F3861">
        <v>192</v>
      </c>
      <c r="G3861" t="str">
        <f>T("해달수")</f>
        <v>해달수</v>
      </c>
      <c r="J3861" t="str">
        <f>T("매드햇")</f>
        <v>매드햇</v>
      </c>
      <c r="K3861" t="str">
        <f>T("시한부라 은퇴합니다")</f>
        <v>시한부라 은퇴합니다</v>
      </c>
      <c r="L3861">
        <v>100</v>
      </c>
      <c r="M3861">
        <v>100</v>
      </c>
      <c r="N3861">
        <v>1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100</v>
      </c>
      <c r="AJ3861">
        <v>1</v>
      </c>
      <c r="AK3861">
        <v>0</v>
      </c>
      <c r="AL3861">
        <v>0</v>
      </c>
      <c r="AM3861">
        <v>100</v>
      </c>
      <c r="AN3861">
        <v>0</v>
      </c>
      <c r="AO3861">
        <v>0</v>
      </c>
      <c r="AP3861">
        <v>0</v>
      </c>
      <c r="AQ3861">
        <v>0</v>
      </c>
      <c r="AS3861">
        <v>0</v>
      </c>
      <c r="AT3861">
        <v>0</v>
      </c>
      <c r="AV3861">
        <v>0</v>
      </c>
      <c r="AW3861">
        <v>0</v>
      </c>
      <c r="AY3861">
        <v>0</v>
      </c>
      <c r="AZ3861">
        <v>0</v>
      </c>
      <c r="BA3861">
        <v>60</v>
      </c>
      <c r="BE3861" t="str">
        <f>T("9791137018655")</f>
        <v>9791137018655</v>
      </c>
      <c r="BF3861" t="str">
        <f>T("k307923")</f>
        <v>k307923</v>
      </c>
      <c r="BG3861" t="str">
        <f>T("판타지 웹소설 &gt; 퓨전 판타지")</f>
        <v>판타지 웹소설 &gt; 퓨전 판타지</v>
      </c>
    </row>
    <row r="3862" spans="1:59">
      <c r="A3862" t="s">
        <v>60</v>
      </c>
      <c r="B3862" s="1">
        <v>46131</v>
      </c>
      <c r="C3862">
        <v>2378062653</v>
      </c>
      <c r="D3862">
        <v>2378066657</v>
      </c>
      <c r="E3862" t="str">
        <f>T("시한부라 은퇴합니다 193화")</f>
        <v>시한부라 은퇴합니다 193화</v>
      </c>
      <c r="F3862">
        <v>193</v>
      </c>
      <c r="G3862" t="str">
        <f>T("해달수")</f>
        <v>해달수</v>
      </c>
      <c r="J3862" t="str">
        <f>T("매드햇")</f>
        <v>매드햇</v>
      </c>
      <c r="K3862" t="str">
        <f>T("시한부라 은퇴합니다")</f>
        <v>시한부라 은퇴합니다</v>
      </c>
      <c r="L3862">
        <v>100</v>
      </c>
      <c r="M3862">
        <v>100</v>
      </c>
      <c r="N3862">
        <v>1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100</v>
      </c>
      <c r="AJ3862">
        <v>1</v>
      </c>
      <c r="AK3862">
        <v>0</v>
      </c>
      <c r="AL3862">
        <v>0</v>
      </c>
      <c r="AM3862">
        <v>100</v>
      </c>
      <c r="AN3862">
        <v>0</v>
      </c>
      <c r="AO3862">
        <v>0</v>
      </c>
      <c r="AP3862">
        <v>0</v>
      </c>
      <c r="AQ3862">
        <v>0</v>
      </c>
      <c r="AS3862">
        <v>0</v>
      </c>
      <c r="AT3862">
        <v>0</v>
      </c>
      <c r="AV3862">
        <v>0</v>
      </c>
      <c r="AW3862">
        <v>0</v>
      </c>
      <c r="AY3862">
        <v>0</v>
      </c>
      <c r="AZ3862">
        <v>0</v>
      </c>
      <c r="BA3862">
        <v>60</v>
      </c>
      <c r="BE3862" t="str">
        <f>T("9791137018655")</f>
        <v>9791137018655</v>
      </c>
      <c r="BF3862" t="str">
        <f>T("k307924")</f>
        <v>k307924</v>
      </c>
      <c r="BG3862" t="str">
        <f>T("판타지 웹소설 &gt; 퓨전 판타지")</f>
        <v>판타지 웹소설 &gt; 퓨전 판타지</v>
      </c>
    </row>
    <row r="3863" spans="1:59">
      <c r="A3863" t="s">
        <v>60</v>
      </c>
      <c r="B3863" s="1">
        <v>46131</v>
      </c>
      <c r="C3863">
        <v>2378062653</v>
      </c>
      <c r="D3863">
        <v>2378066658</v>
      </c>
      <c r="E3863" t="str">
        <f>T("시한부라 은퇴합니다 194화")</f>
        <v>시한부라 은퇴합니다 194화</v>
      </c>
      <c r="F3863">
        <v>194</v>
      </c>
      <c r="G3863" t="str">
        <f>T("해달수")</f>
        <v>해달수</v>
      </c>
      <c r="J3863" t="str">
        <f>T("매드햇")</f>
        <v>매드햇</v>
      </c>
      <c r="K3863" t="str">
        <f>T("시한부라 은퇴합니다")</f>
        <v>시한부라 은퇴합니다</v>
      </c>
      <c r="L3863">
        <v>100</v>
      </c>
      <c r="M3863">
        <v>100</v>
      </c>
      <c r="N3863">
        <v>1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100</v>
      </c>
      <c r="AJ3863">
        <v>1</v>
      </c>
      <c r="AK3863">
        <v>0</v>
      </c>
      <c r="AL3863">
        <v>0</v>
      </c>
      <c r="AM3863">
        <v>100</v>
      </c>
      <c r="AN3863">
        <v>0</v>
      </c>
      <c r="AO3863">
        <v>0</v>
      </c>
      <c r="AP3863">
        <v>0</v>
      </c>
      <c r="AQ3863">
        <v>0</v>
      </c>
      <c r="AS3863">
        <v>0</v>
      </c>
      <c r="AT3863">
        <v>0</v>
      </c>
      <c r="AV3863">
        <v>0</v>
      </c>
      <c r="AW3863">
        <v>0</v>
      </c>
      <c r="AY3863">
        <v>0</v>
      </c>
      <c r="AZ3863">
        <v>0</v>
      </c>
      <c r="BA3863">
        <v>60</v>
      </c>
      <c r="BE3863" t="str">
        <f>T("9791137018655")</f>
        <v>9791137018655</v>
      </c>
      <c r="BF3863" t="str">
        <f>T("k307925")</f>
        <v>k307925</v>
      </c>
      <c r="BG3863" t="str">
        <f>T("판타지 웹소설 &gt; 퓨전 판타지")</f>
        <v>판타지 웹소설 &gt; 퓨전 판타지</v>
      </c>
    </row>
    <row r="3864" spans="1:59">
      <c r="A3864" t="s">
        <v>60</v>
      </c>
      <c r="B3864" s="1">
        <v>46131</v>
      </c>
      <c r="C3864">
        <v>2378062653</v>
      </c>
      <c r="D3864">
        <v>2378066659</v>
      </c>
      <c r="E3864" t="str">
        <f>T("시한부라 은퇴합니다 195화")</f>
        <v>시한부라 은퇴합니다 195화</v>
      </c>
      <c r="F3864">
        <v>195</v>
      </c>
      <c r="G3864" t="str">
        <f>T("해달수")</f>
        <v>해달수</v>
      </c>
      <c r="J3864" t="str">
        <f>T("매드햇")</f>
        <v>매드햇</v>
      </c>
      <c r="K3864" t="str">
        <f>T("시한부라 은퇴합니다")</f>
        <v>시한부라 은퇴합니다</v>
      </c>
      <c r="L3864">
        <v>100</v>
      </c>
      <c r="M3864">
        <v>100</v>
      </c>
      <c r="N3864">
        <v>1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100</v>
      </c>
      <c r="AJ3864">
        <v>1</v>
      </c>
      <c r="AK3864">
        <v>0</v>
      </c>
      <c r="AL3864">
        <v>0</v>
      </c>
      <c r="AM3864">
        <v>100</v>
      </c>
      <c r="AN3864">
        <v>0</v>
      </c>
      <c r="AO3864">
        <v>0</v>
      </c>
      <c r="AP3864">
        <v>0</v>
      </c>
      <c r="AQ3864">
        <v>0</v>
      </c>
      <c r="AS3864">
        <v>0</v>
      </c>
      <c r="AT3864">
        <v>0</v>
      </c>
      <c r="AV3864">
        <v>0</v>
      </c>
      <c r="AW3864">
        <v>0</v>
      </c>
      <c r="AY3864">
        <v>0</v>
      </c>
      <c r="AZ3864">
        <v>0</v>
      </c>
      <c r="BA3864">
        <v>60</v>
      </c>
      <c r="BE3864" t="str">
        <f>T("9791137018655")</f>
        <v>9791137018655</v>
      </c>
      <c r="BF3864" t="str">
        <f>T("k307926")</f>
        <v>k307926</v>
      </c>
      <c r="BG3864" t="str">
        <f>T("판타지 웹소설 &gt; 퓨전 판타지")</f>
        <v>판타지 웹소설 &gt; 퓨전 판타지</v>
      </c>
    </row>
    <row r="3865" spans="1:59">
      <c r="A3865" t="s">
        <v>60</v>
      </c>
      <c r="B3865" s="1">
        <v>46131</v>
      </c>
      <c r="C3865">
        <v>2378062653</v>
      </c>
      <c r="D3865">
        <v>2378066788</v>
      </c>
      <c r="E3865" t="str">
        <f>T("시한부라 은퇴합니다 196화")</f>
        <v>시한부라 은퇴합니다 196화</v>
      </c>
      <c r="F3865">
        <v>196</v>
      </c>
      <c r="G3865" t="str">
        <f>T("해달수")</f>
        <v>해달수</v>
      </c>
      <c r="J3865" t="str">
        <f>T("매드햇")</f>
        <v>매드햇</v>
      </c>
      <c r="K3865" t="str">
        <f>T("시한부라 은퇴합니다")</f>
        <v>시한부라 은퇴합니다</v>
      </c>
      <c r="L3865">
        <v>100</v>
      </c>
      <c r="M3865">
        <v>100</v>
      </c>
      <c r="N3865">
        <v>1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100</v>
      </c>
      <c r="AJ3865">
        <v>1</v>
      </c>
      <c r="AK3865">
        <v>0</v>
      </c>
      <c r="AL3865">
        <v>0</v>
      </c>
      <c r="AM3865">
        <v>100</v>
      </c>
      <c r="AN3865">
        <v>0</v>
      </c>
      <c r="AO3865">
        <v>0</v>
      </c>
      <c r="AP3865">
        <v>0</v>
      </c>
      <c r="AQ3865">
        <v>0</v>
      </c>
      <c r="AS3865">
        <v>0</v>
      </c>
      <c r="AT3865">
        <v>0</v>
      </c>
      <c r="AV3865">
        <v>0</v>
      </c>
      <c r="AW3865">
        <v>0</v>
      </c>
      <c r="AY3865">
        <v>0</v>
      </c>
      <c r="AZ3865">
        <v>0</v>
      </c>
      <c r="BA3865">
        <v>60</v>
      </c>
      <c r="BE3865" t="str">
        <f>T("9791137018655")</f>
        <v>9791137018655</v>
      </c>
      <c r="BF3865" t="str">
        <f>T("k307927")</f>
        <v>k307927</v>
      </c>
      <c r="BG3865" t="str">
        <f>T("판타지 웹소설 &gt; 퓨전 판타지")</f>
        <v>판타지 웹소설 &gt; 퓨전 판타지</v>
      </c>
    </row>
    <row r="3866" spans="1:59">
      <c r="A3866" t="s">
        <v>60</v>
      </c>
      <c r="B3866" s="1">
        <v>46131</v>
      </c>
      <c r="C3866">
        <v>2378062653</v>
      </c>
      <c r="D3866">
        <v>2378066789</v>
      </c>
      <c r="E3866" t="str">
        <f>T("시한부라 은퇴합니다 197화")</f>
        <v>시한부라 은퇴합니다 197화</v>
      </c>
      <c r="F3866">
        <v>197</v>
      </c>
      <c r="G3866" t="str">
        <f>T("해달수")</f>
        <v>해달수</v>
      </c>
      <c r="J3866" t="str">
        <f>T("매드햇")</f>
        <v>매드햇</v>
      </c>
      <c r="K3866" t="str">
        <f>T("시한부라 은퇴합니다")</f>
        <v>시한부라 은퇴합니다</v>
      </c>
      <c r="L3866">
        <v>100</v>
      </c>
      <c r="M3866">
        <v>100</v>
      </c>
      <c r="N3866">
        <v>1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100</v>
      </c>
      <c r="AJ3866">
        <v>1</v>
      </c>
      <c r="AK3866">
        <v>0</v>
      </c>
      <c r="AL3866">
        <v>0</v>
      </c>
      <c r="AM3866">
        <v>100</v>
      </c>
      <c r="AN3866">
        <v>0</v>
      </c>
      <c r="AO3866">
        <v>0</v>
      </c>
      <c r="AP3866">
        <v>0</v>
      </c>
      <c r="AQ3866">
        <v>0</v>
      </c>
      <c r="AS3866">
        <v>0</v>
      </c>
      <c r="AT3866">
        <v>0</v>
      </c>
      <c r="AV3866">
        <v>0</v>
      </c>
      <c r="AW3866">
        <v>0</v>
      </c>
      <c r="AY3866">
        <v>0</v>
      </c>
      <c r="AZ3866">
        <v>0</v>
      </c>
      <c r="BA3866">
        <v>60</v>
      </c>
      <c r="BE3866" t="str">
        <f>T("9791137018655")</f>
        <v>9791137018655</v>
      </c>
      <c r="BF3866" t="str">
        <f>T("k313575")</f>
        <v>k313575</v>
      </c>
      <c r="BG3866" t="str">
        <f>T("판타지 웹소설 &gt; 퓨전 판타지")</f>
        <v>판타지 웹소설 &gt; 퓨전 판타지</v>
      </c>
    </row>
    <row r="3867" spans="1:59">
      <c r="A3867" t="s">
        <v>60</v>
      </c>
      <c r="B3867" s="1">
        <v>46131</v>
      </c>
      <c r="C3867">
        <v>2378062653</v>
      </c>
      <c r="D3867">
        <v>2378066790</v>
      </c>
      <c r="E3867" t="str">
        <f>T("시한부라 은퇴합니다 198화")</f>
        <v>시한부라 은퇴합니다 198화</v>
      </c>
      <c r="F3867">
        <v>198</v>
      </c>
      <c r="G3867" t="str">
        <f>T("해달수")</f>
        <v>해달수</v>
      </c>
      <c r="J3867" t="str">
        <f>T("매드햇")</f>
        <v>매드햇</v>
      </c>
      <c r="K3867" t="str">
        <f>T("시한부라 은퇴합니다")</f>
        <v>시한부라 은퇴합니다</v>
      </c>
      <c r="L3867">
        <v>100</v>
      </c>
      <c r="M3867">
        <v>100</v>
      </c>
      <c r="N3867">
        <v>1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100</v>
      </c>
      <c r="AJ3867">
        <v>1</v>
      </c>
      <c r="AK3867">
        <v>0</v>
      </c>
      <c r="AL3867">
        <v>0</v>
      </c>
      <c r="AM3867">
        <v>100</v>
      </c>
      <c r="AN3867">
        <v>0</v>
      </c>
      <c r="AO3867">
        <v>0</v>
      </c>
      <c r="AP3867">
        <v>0</v>
      </c>
      <c r="AQ3867">
        <v>0</v>
      </c>
      <c r="AS3867">
        <v>0</v>
      </c>
      <c r="AT3867">
        <v>0</v>
      </c>
      <c r="AV3867">
        <v>0</v>
      </c>
      <c r="AW3867">
        <v>0</v>
      </c>
      <c r="AY3867">
        <v>0</v>
      </c>
      <c r="AZ3867">
        <v>0</v>
      </c>
      <c r="BA3867">
        <v>60</v>
      </c>
      <c r="BE3867" t="str">
        <f>T("9791137018655")</f>
        <v>9791137018655</v>
      </c>
      <c r="BF3867" t="str">
        <f>T("k313576")</f>
        <v>k313576</v>
      </c>
      <c r="BG3867" t="str">
        <f>T("판타지 웹소설 &gt; 퓨전 판타지")</f>
        <v>판타지 웹소설 &gt; 퓨전 판타지</v>
      </c>
    </row>
    <row r="3868" spans="1:59">
      <c r="A3868" t="s">
        <v>60</v>
      </c>
      <c r="B3868" s="1">
        <v>46131</v>
      </c>
      <c r="C3868">
        <v>2378062653</v>
      </c>
      <c r="D3868">
        <v>2378066791</v>
      </c>
      <c r="E3868" t="str">
        <f>T("시한부라 은퇴합니다 199화")</f>
        <v>시한부라 은퇴합니다 199화</v>
      </c>
      <c r="F3868">
        <v>199</v>
      </c>
      <c r="G3868" t="str">
        <f>T("해달수")</f>
        <v>해달수</v>
      </c>
      <c r="J3868" t="str">
        <f>T("매드햇")</f>
        <v>매드햇</v>
      </c>
      <c r="K3868" t="str">
        <f>T("시한부라 은퇴합니다")</f>
        <v>시한부라 은퇴합니다</v>
      </c>
      <c r="L3868">
        <v>100</v>
      </c>
      <c r="M3868">
        <v>100</v>
      </c>
      <c r="N3868">
        <v>1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100</v>
      </c>
      <c r="AJ3868">
        <v>1</v>
      </c>
      <c r="AK3868">
        <v>0</v>
      </c>
      <c r="AL3868">
        <v>0</v>
      </c>
      <c r="AM3868">
        <v>100</v>
      </c>
      <c r="AN3868">
        <v>0</v>
      </c>
      <c r="AO3868">
        <v>0</v>
      </c>
      <c r="AP3868">
        <v>0</v>
      </c>
      <c r="AQ3868">
        <v>0</v>
      </c>
      <c r="AS3868">
        <v>0</v>
      </c>
      <c r="AT3868">
        <v>0</v>
      </c>
      <c r="AV3868">
        <v>0</v>
      </c>
      <c r="AW3868">
        <v>0</v>
      </c>
      <c r="AY3868">
        <v>0</v>
      </c>
      <c r="AZ3868">
        <v>0</v>
      </c>
      <c r="BA3868">
        <v>60</v>
      </c>
      <c r="BE3868" t="str">
        <f>T("9791137018655")</f>
        <v>9791137018655</v>
      </c>
      <c r="BF3868" t="str">
        <f>T("k313577")</f>
        <v>k313577</v>
      </c>
      <c r="BG3868" t="str">
        <f>T("판타지 웹소설 &gt; 퓨전 판타지")</f>
        <v>판타지 웹소설 &gt; 퓨전 판타지</v>
      </c>
    </row>
    <row r="3869" spans="1:59">
      <c r="A3869" t="s">
        <v>60</v>
      </c>
      <c r="B3869" s="1">
        <v>46131</v>
      </c>
      <c r="C3869">
        <v>2378062653</v>
      </c>
      <c r="D3869">
        <v>2378066792</v>
      </c>
      <c r="E3869" t="str">
        <f>T("시한부라 은퇴합니다 200화")</f>
        <v>시한부라 은퇴합니다 200화</v>
      </c>
      <c r="F3869">
        <v>200</v>
      </c>
      <c r="G3869" t="str">
        <f>T("해달수")</f>
        <v>해달수</v>
      </c>
      <c r="J3869" t="str">
        <f>T("매드햇")</f>
        <v>매드햇</v>
      </c>
      <c r="K3869" t="str">
        <f>T("시한부라 은퇴합니다")</f>
        <v>시한부라 은퇴합니다</v>
      </c>
      <c r="L3869">
        <v>100</v>
      </c>
      <c r="M3869">
        <v>100</v>
      </c>
      <c r="N3869">
        <v>1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100</v>
      </c>
      <c r="AJ3869">
        <v>1</v>
      </c>
      <c r="AK3869">
        <v>0</v>
      </c>
      <c r="AL3869">
        <v>0</v>
      </c>
      <c r="AM3869">
        <v>100</v>
      </c>
      <c r="AN3869">
        <v>0</v>
      </c>
      <c r="AO3869">
        <v>0</v>
      </c>
      <c r="AP3869">
        <v>0</v>
      </c>
      <c r="AQ3869">
        <v>0</v>
      </c>
      <c r="AS3869">
        <v>0</v>
      </c>
      <c r="AT3869">
        <v>0</v>
      </c>
      <c r="AV3869">
        <v>0</v>
      </c>
      <c r="AW3869">
        <v>0</v>
      </c>
      <c r="AY3869">
        <v>0</v>
      </c>
      <c r="AZ3869">
        <v>0</v>
      </c>
      <c r="BA3869">
        <v>60</v>
      </c>
      <c r="BE3869" t="str">
        <f>T("9791137018655")</f>
        <v>9791137018655</v>
      </c>
      <c r="BF3869" t="str">
        <f>T("k313578")</f>
        <v>k313578</v>
      </c>
      <c r="BG3869" t="str">
        <f>T("판타지 웹소설 &gt; 퓨전 판타지")</f>
        <v>판타지 웹소설 &gt; 퓨전 판타지</v>
      </c>
    </row>
    <row r="3870" spans="1:59">
      <c r="A3870" t="s">
        <v>60</v>
      </c>
      <c r="B3870" s="1">
        <v>46131</v>
      </c>
      <c r="C3870">
        <v>2378062653</v>
      </c>
      <c r="D3870">
        <v>2378066997</v>
      </c>
      <c r="E3870" t="str">
        <f>T("시한부라 은퇴합니다 201화")</f>
        <v>시한부라 은퇴합니다 201화</v>
      </c>
      <c r="F3870">
        <v>201</v>
      </c>
      <c r="G3870" t="str">
        <f>T("해달수")</f>
        <v>해달수</v>
      </c>
      <c r="J3870" t="str">
        <f>T("매드햇")</f>
        <v>매드햇</v>
      </c>
      <c r="K3870" t="str">
        <f>T("시한부라 은퇴합니다")</f>
        <v>시한부라 은퇴합니다</v>
      </c>
      <c r="L3870">
        <v>100</v>
      </c>
      <c r="M3870">
        <v>100</v>
      </c>
      <c r="N3870">
        <v>1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100</v>
      </c>
      <c r="AJ3870">
        <v>1</v>
      </c>
      <c r="AK3870">
        <v>0</v>
      </c>
      <c r="AL3870">
        <v>0</v>
      </c>
      <c r="AM3870">
        <v>100</v>
      </c>
      <c r="AN3870">
        <v>0</v>
      </c>
      <c r="AO3870">
        <v>0</v>
      </c>
      <c r="AP3870">
        <v>0</v>
      </c>
      <c r="AQ3870">
        <v>0</v>
      </c>
      <c r="AS3870">
        <v>0</v>
      </c>
      <c r="AT3870">
        <v>0</v>
      </c>
      <c r="AV3870">
        <v>0</v>
      </c>
      <c r="AW3870">
        <v>0</v>
      </c>
      <c r="AY3870">
        <v>0</v>
      </c>
      <c r="AZ3870">
        <v>0</v>
      </c>
      <c r="BA3870">
        <v>60</v>
      </c>
      <c r="BE3870" t="str">
        <f>T("9791137018655")</f>
        <v>9791137018655</v>
      </c>
      <c r="BF3870" t="str">
        <f>T("k313579")</f>
        <v>k313579</v>
      </c>
      <c r="BG3870" t="str">
        <f>T("판타지 웹소설 &gt; 퓨전 판타지")</f>
        <v>판타지 웹소설 &gt; 퓨전 판타지</v>
      </c>
    </row>
    <row r="3871" spans="1:59">
      <c r="A3871" t="s">
        <v>60</v>
      </c>
      <c r="B3871" s="1">
        <v>46131</v>
      </c>
      <c r="C3871">
        <v>2378062653</v>
      </c>
      <c r="D3871">
        <v>2378066998</v>
      </c>
      <c r="E3871" t="str">
        <f>T("시한부라 은퇴합니다 202화")</f>
        <v>시한부라 은퇴합니다 202화</v>
      </c>
      <c r="F3871">
        <v>202</v>
      </c>
      <c r="G3871" t="str">
        <f>T("해달수")</f>
        <v>해달수</v>
      </c>
      <c r="J3871" t="str">
        <f>T("매드햇")</f>
        <v>매드햇</v>
      </c>
      <c r="K3871" t="str">
        <f>T("시한부라 은퇴합니다")</f>
        <v>시한부라 은퇴합니다</v>
      </c>
      <c r="L3871">
        <v>100</v>
      </c>
      <c r="M3871">
        <v>100</v>
      </c>
      <c r="N3871">
        <v>1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100</v>
      </c>
      <c r="AJ3871">
        <v>1</v>
      </c>
      <c r="AK3871">
        <v>0</v>
      </c>
      <c r="AL3871">
        <v>0</v>
      </c>
      <c r="AM3871">
        <v>100</v>
      </c>
      <c r="AN3871">
        <v>0</v>
      </c>
      <c r="AO3871">
        <v>0</v>
      </c>
      <c r="AP3871">
        <v>0</v>
      </c>
      <c r="AQ3871">
        <v>0</v>
      </c>
      <c r="AS3871">
        <v>0</v>
      </c>
      <c r="AT3871">
        <v>0</v>
      </c>
      <c r="AV3871">
        <v>0</v>
      </c>
      <c r="AW3871">
        <v>0</v>
      </c>
      <c r="AY3871">
        <v>0</v>
      </c>
      <c r="AZ3871">
        <v>0</v>
      </c>
      <c r="BA3871">
        <v>60</v>
      </c>
      <c r="BE3871" t="str">
        <f>T("9791137018655")</f>
        <v>9791137018655</v>
      </c>
      <c r="BF3871" t="str">
        <f>T("k316660")</f>
        <v>k316660</v>
      </c>
      <c r="BG3871" t="str">
        <f>T("판타지 웹소설 &gt; 퓨전 판타지")</f>
        <v>판타지 웹소설 &gt; 퓨전 판타지</v>
      </c>
    </row>
    <row r="3872" spans="1:59">
      <c r="A3872" t="s">
        <v>60</v>
      </c>
      <c r="B3872" s="1">
        <v>46131</v>
      </c>
      <c r="C3872">
        <v>2378062653</v>
      </c>
      <c r="D3872">
        <v>2378066999</v>
      </c>
      <c r="E3872" t="str">
        <f>T("시한부라 은퇴합니다 203화")</f>
        <v>시한부라 은퇴합니다 203화</v>
      </c>
      <c r="F3872">
        <v>203</v>
      </c>
      <c r="G3872" t="str">
        <f>T("해달수")</f>
        <v>해달수</v>
      </c>
      <c r="J3872" t="str">
        <f>T("매드햇")</f>
        <v>매드햇</v>
      </c>
      <c r="K3872" t="str">
        <f>T("시한부라 은퇴합니다")</f>
        <v>시한부라 은퇴합니다</v>
      </c>
      <c r="L3872">
        <v>100</v>
      </c>
      <c r="M3872">
        <v>100</v>
      </c>
      <c r="N3872">
        <v>1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100</v>
      </c>
      <c r="AJ3872">
        <v>1</v>
      </c>
      <c r="AK3872">
        <v>0</v>
      </c>
      <c r="AL3872">
        <v>0</v>
      </c>
      <c r="AM3872">
        <v>100</v>
      </c>
      <c r="AN3872">
        <v>0</v>
      </c>
      <c r="AO3872">
        <v>0</v>
      </c>
      <c r="AP3872">
        <v>0</v>
      </c>
      <c r="AQ3872">
        <v>0</v>
      </c>
      <c r="AS3872">
        <v>0</v>
      </c>
      <c r="AT3872">
        <v>0</v>
      </c>
      <c r="AV3872">
        <v>0</v>
      </c>
      <c r="AW3872">
        <v>0</v>
      </c>
      <c r="AY3872">
        <v>0</v>
      </c>
      <c r="AZ3872">
        <v>0</v>
      </c>
      <c r="BA3872">
        <v>60</v>
      </c>
      <c r="BE3872" t="str">
        <f>T("9791137018655")</f>
        <v>9791137018655</v>
      </c>
      <c r="BF3872" t="str">
        <f>T("k316661")</f>
        <v>k316661</v>
      </c>
      <c r="BG3872" t="str">
        <f>T("판타지 웹소설 &gt; 퓨전 판타지")</f>
        <v>판타지 웹소설 &gt; 퓨전 판타지</v>
      </c>
    </row>
    <row r="3873" spans="1:59">
      <c r="A3873" t="s">
        <v>60</v>
      </c>
      <c r="B3873" s="1">
        <v>46131</v>
      </c>
      <c r="C3873">
        <v>2378062653</v>
      </c>
      <c r="D3873">
        <v>2378067000</v>
      </c>
      <c r="E3873" t="str">
        <f>T("시한부라 은퇴합니다 204화")</f>
        <v>시한부라 은퇴합니다 204화</v>
      </c>
      <c r="F3873">
        <v>204</v>
      </c>
      <c r="G3873" t="str">
        <f>T("해달수")</f>
        <v>해달수</v>
      </c>
      <c r="J3873" t="str">
        <f>T("매드햇")</f>
        <v>매드햇</v>
      </c>
      <c r="K3873" t="str">
        <f>T("시한부라 은퇴합니다")</f>
        <v>시한부라 은퇴합니다</v>
      </c>
      <c r="L3873">
        <v>100</v>
      </c>
      <c r="M3873">
        <v>100</v>
      </c>
      <c r="N3873">
        <v>1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100</v>
      </c>
      <c r="AJ3873">
        <v>1</v>
      </c>
      <c r="AK3873">
        <v>0</v>
      </c>
      <c r="AL3873">
        <v>0</v>
      </c>
      <c r="AM3873">
        <v>100</v>
      </c>
      <c r="AN3873">
        <v>0</v>
      </c>
      <c r="AO3873">
        <v>0</v>
      </c>
      <c r="AP3873">
        <v>0</v>
      </c>
      <c r="AQ3873">
        <v>0</v>
      </c>
      <c r="AS3873">
        <v>0</v>
      </c>
      <c r="AT3873">
        <v>0</v>
      </c>
      <c r="AV3873">
        <v>0</v>
      </c>
      <c r="AW3873">
        <v>0</v>
      </c>
      <c r="AY3873">
        <v>0</v>
      </c>
      <c r="AZ3873">
        <v>0</v>
      </c>
      <c r="BA3873">
        <v>60</v>
      </c>
      <c r="BE3873" t="str">
        <f>T("9791137018655")</f>
        <v>9791137018655</v>
      </c>
      <c r="BF3873" t="str">
        <f>T("k316662")</f>
        <v>k316662</v>
      </c>
      <c r="BG3873" t="str">
        <f>T("판타지 웹소설 &gt; 퓨전 판타지")</f>
        <v>판타지 웹소설 &gt; 퓨전 판타지</v>
      </c>
    </row>
    <row r="3874" spans="1:59">
      <c r="A3874" t="s">
        <v>60</v>
      </c>
      <c r="B3874" s="1">
        <v>46131</v>
      </c>
      <c r="C3874">
        <v>2378062653</v>
      </c>
      <c r="D3874">
        <v>2378067001</v>
      </c>
      <c r="E3874" t="str">
        <f>T("시한부라 은퇴합니다 205화")</f>
        <v>시한부라 은퇴합니다 205화</v>
      </c>
      <c r="F3874">
        <v>205</v>
      </c>
      <c r="G3874" t="str">
        <f>T("해달수")</f>
        <v>해달수</v>
      </c>
      <c r="J3874" t="str">
        <f>T("매드햇")</f>
        <v>매드햇</v>
      </c>
      <c r="K3874" t="str">
        <f>T("시한부라 은퇴합니다")</f>
        <v>시한부라 은퇴합니다</v>
      </c>
      <c r="L3874">
        <v>100</v>
      </c>
      <c r="M3874">
        <v>100</v>
      </c>
      <c r="N3874">
        <v>1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100</v>
      </c>
      <c r="AJ3874">
        <v>1</v>
      </c>
      <c r="AK3874">
        <v>0</v>
      </c>
      <c r="AL3874">
        <v>0</v>
      </c>
      <c r="AM3874">
        <v>100</v>
      </c>
      <c r="AN3874">
        <v>0</v>
      </c>
      <c r="AO3874">
        <v>0</v>
      </c>
      <c r="AP3874">
        <v>0</v>
      </c>
      <c r="AQ3874">
        <v>0</v>
      </c>
      <c r="AS3874">
        <v>0</v>
      </c>
      <c r="AT3874">
        <v>0</v>
      </c>
      <c r="AV3874">
        <v>0</v>
      </c>
      <c r="AW3874">
        <v>0</v>
      </c>
      <c r="AY3874">
        <v>0</v>
      </c>
      <c r="AZ3874">
        <v>0</v>
      </c>
      <c r="BA3874">
        <v>60</v>
      </c>
      <c r="BE3874" t="str">
        <f>T("9791137018655")</f>
        <v>9791137018655</v>
      </c>
      <c r="BF3874" t="str">
        <f>T("k316663")</f>
        <v>k316663</v>
      </c>
      <c r="BG3874" t="str">
        <f>T("판타지 웹소설 &gt; 퓨전 판타지")</f>
        <v>판타지 웹소설 &gt; 퓨전 판타지</v>
      </c>
    </row>
    <row r="3875" spans="1:59">
      <c r="A3875" t="s">
        <v>60</v>
      </c>
      <c r="B3875" s="1">
        <v>46131</v>
      </c>
      <c r="C3875">
        <v>2378062653</v>
      </c>
      <c r="D3875">
        <v>2378067158</v>
      </c>
      <c r="E3875" t="str">
        <f>T("시한부라 은퇴합니다 206화")</f>
        <v>시한부라 은퇴합니다 206화</v>
      </c>
      <c r="F3875">
        <v>206</v>
      </c>
      <c r="G3875" t="str">
        <f>T("해달수")</f>
        <v>해달수</v>
      </c>
      <c r="J3875" t="str">
        <f>T("매드햇")</f>
        <v>매드햇</v>
      </c>
      <c r="K3875" t="str">
        <f>T("시한부라 은퇴합니다")</f>
        <v>시한부라 은퇴합니다</v>
      </c>
      <c r="L3875">
        <v>100</v>
      </c>
      <c r="M3875">
        <v>100</v>
      </c>
      <c r="N3875">
        <v>1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100</v>
      </c>
      <c r="AJ3875">
        <v>1</v>
      </c>
      <c r="AK3875">
        <v>0</v>
      </c>
      <c r="AL3875">
        <v>0</v>
      </c>
      <c r="AM3875">
        <v>100</v>
      </c>
      <c r="AN3875">
        <v>0</v>
      </c>
      <c r="AO3875">
        <v>0</v>
      </c>
      <c r="AP3875">
        <v>0</v>
      </c>
      <c r="AQ3875">
        <v>0</v>
      </c>
      <c r="AS3875">
        <v>0</v>
      </c>
      <c r="AT3875">
        <v>0</v>
      </c>
      <c r="AV3875">
        <v>0</v>
      </c>
      <c r="AW3875">
        <v>0</v>
      </c>
      <c r="AY3875">
        <v>0</v>
      </c>
      <c r="AZ3875">
        <v>0</v>
      </c>
      <c r="BA3875">
        <v>60</v>
      </c>
      <c r="BE3875" t="str">
        <f>T("9791137018655")</f>
        <v>9791137018655</v>
      </c>
      <c r="BF3875" t="str">
        <f>T("k316664")</f>
        <v>k316664</v>
      </c>
      <c r="BG3875" t="str">
        <f>T("판타지 웹소설 &gt; 퓨전 판타지")</f>
        <v>판타지 웹소설 &gt; 퓨전 판타지</v>
      </c>
    </row>
    <row r="3876" spans="1:59">
      <c r="A3876" t="s">
        <v>60</v>
      </c>
      <c r="B3876" s="1">
        <v>46131</v>
      </c>
      <c r="C3876">
        <v>2378062653</v>
      </c>
      <c r="D3876">
        <v>2378067159</v>
      </c>
      <c r="E3876" t="str">
        <f>T("시한부라 은퇴합니다 207화")</f>
        <v>시한부라 은퇴합니다 207화</v>
      </c>
      <c r="F3876">
        <v>207</v>
      </c>
      <c r="G3876" t="str">
        <f>T("해달수")</f>
        <v>해달수</v>
      </c>
      <c r="J3876" t="str">
        <f>T("매드햇")</f>
        <v>매드햇</v>
      </c>
      <c r="K3876" t="str">
        <f>T("시한부라 은퇴합니다")</f>
        <v>시한부라 은퇴합니다</v>
      </c>
      <c r="L3876">
        <v>100</v>
      </c>
      <c r="M3876">
        <v>100</v>
      </c>
      <c r="N3876">
        <v>1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100</v>
      </c>
      <c r="AJ3876">
        <v>1</v>
      </c>
      <c r="AK3876">
        <v>0</v>
      </c>
      <c r="AL3876">
        <v>0</v>
      </c>
      <c r="AM3876">
        <v>100</v>
      </c>
      <c r="AN3876">
        <v>0</v>
      </c>
      <c r="AO3876">
        <v>0</v>
      </c>
      <c r="AP3876">
        <v>0</v>
      </c>
      <c r="AQ3876">
        <v>0</v>
      </c>
      <c r="AS3876">
        <v>0</v>
      </c>
      <c r="AT3876">
        <v>0</v>
      </c>
      <c r="AV3876">
        <v>0</v>
      </c>
      <c r="AW3876">
        <v>0</v>
      </c>
      <c r="AY3876">
        <v>0</v>
      </c>
      <c r="AZ3876">
        <v>0</v>
      </c>
      <c r="BA3876">
        <v>60</v>
      </c>
      <c r="BE3876" t="str">
        <f>T("9791137018655")</f>
        <v>9791137018655</v>
      </c>
      <c r="BF3876" t="str">
        <f>T("k319398")</f>
        <v>k319398</v>
      </c>
      <c r="BG3876" t="str">
        <f>T("판타지 웹소설 &gt; 퓨전 판타지")</f>
        <v>판타지 웹소설 &gt; 퓨전 판타지</v>
      </c>
    </row>
    <row r="3877" spans="1:59">
      <c r="A3877" t="s">
        <v>60</v>
      </c>
      <c r="B3877" s="1">
        <v>46131</v>
      </c>
      <c r="C3877">
        <v>2378062653</v>
      </c>
      <c r="D3877">
        <v>2378067160</v>
      </c>
      <c r="E3877" t="str">
        <f>T("시한부라 은퇴합니다 208화")</f>
        <v>시한부라 은퇴합니다 208화</v>
      </c>
      <c r="F3877">
        <v>208</v>
      </c>
      <c r="G3877" t="str">
        <f>T("해달수")</f>
        <v>해달수</v>
      </c>
      <c r="J3877" t="str">
        <f>T("매드햇")</f>
        <v>매드햇</v>
      </c>
      <c r="K3877" t="str">
        <f>T("시한부라 은퇴합니다")</f>
        <v>시한부라 은퇴합니다</v>
      </c>
      <c r="L3877">
        <v>100</v>
      </c>
      <c r="M3877">
        <v>100</v>
      </c>
      <c r="N3877">
        <v>1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100</v>
      </c>
      <c r="AJ3877">
        <v>1</v>
      </c>
      <c r="AK3877">
        <v>0</v>
      </c>
      <c r="AL3877">
        <v>0</v>
      </c>
      <c r="AM3877">
        <v>100</v>
      </c>
      <c r="AN3877">
        <v>0</v>
      </c>
      <c r="AO3877">
        <v>0</v>
      </c>
      <c r="AP3877">
        <v>0</v>
      </c>
      <c r="AQ3877">
        <v>0</v>
      </c>
      <c r="AS3877">
        <v>0</v>
      </c>
      <c r="AT3877">
        <v>0</v>
      </c>
      <c r="AV3877">
        <v>0</v>
      </c>
      <c r="AW3877">
        <v>0</v>
      </c>
      <c r="AY3877">
        <v>0</v>
      </c>
      <c r="AZ3877">
        <v>0</v>
      </c>
      <c r="BA3877">
        <v>60</v>
      </c>
      <c r="BE3877" t="str">
        <f>T("9791137018655")</f>
        <v>9791137018655</v>
      </c>
      <c r="BF3877" t="str">
        <f>T("k319399")</f>
        <v>k319399</v>
      </c>
      <c r="BG3877" t="str">
        <f>T("판타지 웹소설 &gt; 퓨전 판타지")</f>
        <v>판타지 웹소설 &gt; 퓨전 판타지</v>
      </c>
    </row>
    <row r="3878" spans="1:59">
      <c r="A3878" t="s">
        <v>60</v>
      </c>
      <c r="B3878" s="1">
        <v>46131</v>
      </c>
      <c r="C3878">
        <v>2378062653</v>
      </c>
      <c r="D3878">
        <v>2378067161</v>
      </c>
      <c r="E3878" t="str">
        <f>T("시한부라 은퇴합니다 209화")</f>
        <v>시한부라 은퇴합니다 209화</v>
      </c>
      <c r="F3878">
        <v>209</v>
      </c>
      <c r="G3878" t="str">
        <f>T("해달수")</f>
        <v>해달수</v>
      </c>
      <c r="J3878" t="str">
        <f>T("매드햇")</f>
        <v>매드햇</v>
      </c>
      <c r="K3878" t="str">
        <f>T("시한부라 은퇴합니다")</f>
        <v>시한부라 은퇴합니다</v>
      </c>
      <c r="L3878">
        <v>100</v>
      </c>
      <c r="M3878">
        <v>100</v>
      </c>
      <c r="N3878">
        <v>1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100</v>
      </c>
      <c r="AJ3878">
        <v>1</v>
      </c>
      <c r="AK3878">
        <v>0</v>
      </c>
      <c r="AL3878">
        <v>0</v>
      </c>
      <c r="AM3878">
        <v>100</v>
      </c>
      <c r="AN3878">
        <v>0</v>
      </c>
      <c r="AO3878">
        <v>0</v>
      </c>
      <c r="AP3878">
        <v>0</v>
      </c>
      <c r="AQ3878">
        <v>0</v>
      </c>
      <c r="AS3878">
        <v>0</v>
      </c>
      <c r="AT3878">
        <v>0</v>
      </c>
      <c r="AV3878">
        <v>0</v>
      </c>
      <c r="AW3878">
        <v>0</v>
      </c>
      <c r="AY3878">
        <v>0</v>
      </c>
      <c r="AZ3878">
        <v>0</v>
      </c>
      <c r="BA3878">
        <v>60</v>
      </c>
      <c r="BE3878" t="str">
        <f>T("9791137018655")</f>
        <v>9791137018655</v>
      </c>
      <c r="BF3878" t="str">
        <f>T("k319400")</f>
        <v>k319400</v>
      </c>
      <c r="BG3878" t="str">
        <f>T("판타지 웹소설 &gt; 퓨전 판타지")</f>
        <v>판타지 웹소설 &gt; 퓨전 판타지</v>
      </c>
    </row>
    <row r="3879" spans="1:59">
      <c r="A3879" t="s">
        <v>60</v>
      </c>
      <c r="B3879" s="1">
        <v>46131</v>
      </c>
      <c r="C3879">
        <v>2378062653</v>
      </c>
      <c r="D3879">
        <v>2378067162</v>
      </c>
      <c r="E3879" t="str">
        <f>T("시한부라 은퇴합니다 210화")</f>
        <v>시한부라 은퇴합니다 210화</v>
      </c>
      <c r="F3879">
        <v>210</v>
      </c>
      <c r="G3879" t="str">
        <f>T("해달수")</f>
        <v>해달수</v>
      </c>
      <c r="J3879" t="str">
        <f>T("매드햇")</f>
        <v>매드햇</v>
      </c>
      <c r="K3879" t="str">
        <f>T("시한부라 은퇴합니다")</f>
        <v>시한부라 은퇴합니다</v>
      </c>
      <c r="L3879">
        <v>100</v>
      </c>
      <c r="M3879">
        <v>100</v>
      </c>
      <c r="N3879">
        <v>1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100</v>
      </c>
      <c r="AJ3879">
        <v>1</v>
      </c>
      <c r="AK3879">
        <v>0</v>
      </c>
      <c r="AL3879">
        <v>0</v>
      </c>
      <c r="AM3879">
        <v>100</v>
      </c>
      <c r="AN3879">
        <v>0</v>
      </c>
      <c r="AO3879">
        <v>0</v>
      </c>
      <c r="AP3879">
        <v>0</v>
      </c>
      <c r="AQ3879">
        <v>0</v>
      </c>
      <c r="AS3879">
        <v>0</v>
      </c>
      <c r="AT3879">
        <v>0</v>
      </c>
      <c r="AV3879">
        <v>0</v>
      </c>
      <c r="AW3879">
        <v>0</v>
      </c>
      <c r="AY3879">
        <v>0</v>
      </c>
      <c r="AZ3879">
        <v>0</v>
      </c>
      <c r="BA3879">
        <v>60</v>
      </c>
      <c r="BE3879" t="str">
        <f>T("9791137018655")</f>
        <v>9791137018655</v>
      </c>
      <c r="BF3879" t="str">
        <f>T("k319401")</f>
        <v>k319401</v>
      </c>
      <c r="BG3879" t="str">
        <f>T("판타지 웹소설 &gt; 퓨전 판타지")</f>
        <v>판타지 웹소설 &gt; 퓨전 판타지</v>
      </c>
    </row>
    <row r="3880" spans="1:59">
      <c r="A3880" t="s">
        <v>60</v>
      </c>
      <c r="B3880" s="1">
        <v>46131</v>
      </c>
      <c r="C3880">
        <v>2378062653</v>
      </c>
      <c r="D3880">
        <v>2378067216</v>
      </c>
      <c r="E3880" t="str">
        <f>T("시한부라 은퇴합니다 211화")</f>
        <v>시한부라 은퇴합니다 211화</v>
      </c>
      <c r="F3880">
        <v>211</v>
      </c>
      <c r="G3880" t="str">
        <f>T("해달수")</f>
        <v>해달수</v>
      </c>
      <c r="J3880" t="str">
        <f>T("매드햇")</f>
        <v>매드햇</v>
      </c>
      <c r="K3880" t="str">
        <f>T("시한부라 은퇴합니다")</f>
        <v>시한부라 은퇴합니다</v>
      </c>
      <c r="L3880">
        <v>100</v>
      </c>
      <c r="M3880">
        <v>100</v>
      </c>
      <c r="N3880">
        <v>1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100</v>
      </c>
      <c r="AJ3880">
        <v>1</v>
      </c>
      <c r="AK3880">
        <v>0</v>
      </c>
      <c r="AL3880">
        <v>0</v>
      </c>
      <c r="AM3880">
        <v>100</v>
      </c>
      <c r="AN3880">
        <v>0</v>
      </c>
      <c r="AO3880">
        <v>0</v>
      </c>
      <c r="AP3880">
        <v>0</v>
      </c>
      <c r="AQ3880">
        <v>0</v>
      </c>
      <c r="AS3880">
        <v>0</v>
      </c>
      <c r="AT3880">
        <v>0</v>
      </c>
      <c r="AV3880">
        <v>0</v>
      </c>
      <c r="AW3880">
        <v>0</v>
      </c>
      <c r="AY3880">
        <v>0</v>
      </c>
      <c r="AZ3880">
        <v>0</v>
      </c>
      <c r="BA3880">
        <v>60</v>
      </c>
      <c r="BE3880" t="str">
        <f>T("9791137018655")</f>
        <v>9791137018655</v>
      </c>
      <c r="BF3880" t="str">
        <f>T("k319402")</f>
        <v>k319402</v>
      </c>
      <c r="BG3880" t="str">
        <f>T("판타지 웹소설 &gt; 퓨전 판타지")</f>
        <v>판타지 웹소설 &gt; 퓨전 판타지</v>
      </c>
    </row>
    <row r="3881" spans="1:59">
      <c r="A3881" t="s">
        <v>60</v>
      </c>
      <c r="B3881" s="1">
        <v>46131</v>
      </c>
      <c r="C3881">
        <v>2378062653</v>
      </c>
      <c r="D3881">
        <v>2378067217</v>
      </c>
      <c r="E3881" t="str">
        <f>T("시한부라 은퇴합니다 212화")</f>
        <v>시한부라 은퇴합니다 212화</v>
      </c>
      <c r="F3881">
        <v>212</v>
      </c>
      <c r="G3881" t="str">
        <f>T("해달수")</f>
        <v>해달수</v>
      </c>
      <c r="J3881" t="str">
        <f>T("매드햇")</f>
        <v>매드햇</v>
      </c>
      <c r="K3881" t="str">
        <f>T("시한부라 은퇴합니다")</f>
        <v>시한부라 은퇴합니다</v>
      </c>
      <c r="L3881">
        <v>100</v>
      </c>
      <c r="M3881">
        <v>100</v>
      </c>
      <c r="N3881">
        <v>1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100</v>
      </c>
      <c r="AJ3881">
        <v>1</v>
      </c>
      <c r="AK3881">
        <v>0</v>
      </c>
      <c r="AL3881">
        <v>0</v>
      </c>
      <c r="AM3881">
        <v>100</v>
      </c>
      <c r="AN3881">
        <v>0</v>
      </c>
      <c r="AO3881">
        <v>0</v>
      </c>
      <c r="AP3881">
        <v>0</v>
      </c>
      <c r="AQ3881">
        <v>0</v>
      </c>
      <c r="AS3881">
        <v>0</v>
      </c>
      <c r="AT3881">
        <v>0</v>
      </c>
      <c r="AV3881">
        <v>0</v>
      </c>
      <c r="AW3881">
        <v>0</v>
      </c>
      <c r="AY3881">
        <v>0</v>
      </c>
      <c r="AZ3881">
        <v>0</v>
      </c>
      <c r="BA3881">
        <v>60</v>
      </c>
      <c r="BE3881" t="str">
        <f>T("9791137018655")</f>
        <v>9791137018655</v>
      </c>
      <c r="BF3881" t="str">
        <f>T("k326621")</f>
        <v>k326621</v>
      </c>
      <c r="BG3881" t="str">
        <f>T("판타지 웹소설 &gt; 퓨전 판타지")</f>
        <v>판타지 웹소설 &gt; 퓨전 판타지</v>
      </c>
    </row>
    <row r="3882" spans="1:59">
      <c r="A3882" t="s">
        <v>60</v>
      </c>
      <c r="B3882" s="1">
        <v>46131</v>
      </c>
      <c r="C3882">
        <v>2378062653</v>
      </c>
      <c r="D3882">
        <v>2378067218</v>
      </c>
      <c r="E3882" t="str">
        <f>T("시한부라 은퇴합니다 213화")</f>
        <v>시한부라 은퇴합니다 213화</v>
      </c>
      <c r="F3882">
        <v>213</v>
      </c>
      <c r="G3882" t="str">
        <f>T("해달수")</f>
        <v>해달수</v>
      </c>
      <c r="J3882" t="str">
        <f>T("매드햇")</f>
        <v>매드햇</v>
      </c>
      <c r="K3882" t="str">
        <f>T("시한부라 은퇴합니다")</f>
        <v>시한부라 은퇴합니다</v>
      </c>
      <c r="L3882">
        <v>100</v>
      </c>
      <c r="M3882">
        <v>100</v>
      </c>
      <c r="N3882">
        <v>1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100</v>
      </c>
      <c r="AJ3882">
        <v>1</v>
      </c>
      <c r="AK3882">
        <v>0</v>
      </c>
      <c r="AL3882">
        <v>0</v>
      </c>
      <c r="AM3882">
        <v>100</v>
      </c>
      <c r="AN3882">
        <v>0</v>
      </c>
      <c r="AO3882">
        <v>0</v>
      </c>
      <c r="AP3882">
        <v>0</v>
      </c>
      <c r="AQ3882">
        <v>0</v>
      </c>
      <c r="AS3882">
        <v>0</v>
      </c>
      <c r="AT3882">
        <v>0</v>
      </c>
      <c r="AV3882">
        <v>0</v>
      </c>
      <c r="AW3882">
        <v>0</v>
      </c>
      <c r="AY3882">
        <v>0</v>
      </c>
      <c r="AZ3882">
        <v>0</v>
      </c>
      <c r="BA3882">
        <v>60</v>
      </c>
      <c r="BE3882" t="str">
        <f>T("9791137018655")</f>
        <v>9791137018655</v>
      </c>
      <c r="BF3882" t="str">
        <f>T("k326622")</f>
        <v>k326622</v>
      </c>
      <c r="BG3882" t="str">
        <f>T("판타지 웹소설 &gt; 퓨전 판타지")</f>
        <v>판타지 웹소설 &gt; 퓨전 판타지</v>
      </c>
    </row>
    <row r="3883" spans="1:59">
      <c r="A3883" t="s">
        <v>60</v>
      </c>
      <c r="B3883" s="1">
        <v>46131</v>
      </c>
      <c r="C3883">
        <v>2378062653</v>
      </c>
      <c r="D3883">
        <v>2378067219</v>
      </c>
      <c r="E3883" t="str">
        <f>T("시한부라 은퇴합니다 214화")</f>
        <v>시한부라 은퇴합니다 214화</v>
      </c>
      <c r="F3883">
        <v>214</v>
      </c>
      <c r="G3883" t="str">
        <f>T("해달수")</f>
        <v>해달수</v>
      </c>
      <c r="J3883" t="str">
        <f>T("매드햇")</f>
        <v>매드햇</v>
      </c>
      <c r="K3883" t="str">
        <f>T("시한부라 은퇴합니다")</f>
        <v>시한부라 은퇴합니다</v>
      </c>
      <c r="L3883">
        <v>100</v>
      </c>
      <c r="M3883">
        <v>100</v>
      </c>
      <c r="N3883">
        <v>1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100</v>
      </c>
      <c r="AJ3883">
        <v>1</v>
      </c>
      <c r="AK3883">
        <v>0</v>
      </c>
      <c r="AL3883">
        <v>0</v>
      </c>
      <c r="AM3883">
        <v>100</v>
      </c>
      <c r="AN3883">
        <v>0</v>
      </c>
      <c r="AO3883">
        <v>0</v>
      </c>
      <c r="AP3883">
        <v>0</v>
      </c>
      <c r="AQ3883">
        <v>0</v>
      </c>
      <c r="AS3883">
        <v>0</v>
      </c>
      <c r="AT3883">
        <v>0</v>
      </c>
      <c r="AV3883">
        <v>0</v>
      </c>
      <c r="AW3883">
        <v>0</v>
      </c>
      <c r="AY3883">
        <v>0</v>
      </c>
      <c r="AZ3883">
        <v>0</v>
      </c>
      <c r="BA3883">
        <v>60</v>
      </c>
      <c r="BE3883" t="str">
        <f>T("9791137018655")</f>
        <v>9791137018655</v>
      </c>
      <c r="BF3883" t="str">
        <f>T("k326623")</f>
        <v>k326623</v>
      </c>
      <c r="BG3883" t="str">
        <f>T("판타지 웹소설 &gt; 퓨전 판타지")</f>
        <v>판타지 웹소설 &gt; 퓨전 판타지</v>
      </c>
    </row>
    <row r="3884" spans="1:59">
      <c r="A3884" t="s">
        <v>60</v>
      </c>
      <c r="B3884" s="1">
        <v>46131</v>
      </c>
      <c r="C3884">
        <v>2378062653</v>
      </c>
      <c r="D3884">
        <v>2378067220</v>
      </c>
      <c r="E3884" t="str">
        <f>T("시한부라 은퇴합니다 215화")</f>
        <v>시한부라 은퇴합니다 215화</v>
      </c>
      <c r="F3884">
        <v>215</v>
      </c>
      <c r="G3884" t="str">
        <f>T("해달수")</f>
        <v>해달수</v>
      </c>
      <c r="J3884" t="str">
        <f>T("매드햇")</f>
        <v>매드햇</v>
      </c>
      <c r="K3884" t="str">
        <f>T("시한부라 은퇴합니다")</f>
        <v>시한부라 은퇴합니다</v>
      </c>
      <c r="L3884">
        <v>100</v>
      </c>
      <c r="M3884">
        <v>100</v>
      </c>
      <c r="N3884">
        <v>1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100</v>
      </c>
      <c r="AJ3884">
        <v>1</v>
      </c>
      <c r="AK3884">
        <v>0</v>
      </c>
      <c r="AL3884">
        <v>0</v>
      </c>
      <c r="AM3884">
        <v>100</v>
      </c>
      <c r="AN3884">
        <v>0</v>
      </c>
      <c r="AO3884">
        <v>0</v>
      </c>
      <c r="AP3884">
        <v>0</v>
      </c>
      <c r="AQ3884">
        <v>0</v>
      </c>
      <c r="AS3884">
        <v>0</v>
      </c>
      <c r="AT3884">
        <v>0</v>
      </c>
      <c r="AV3884">
        <v>0</v>
      </c>
      <c r="AW3884">
        <v>0</v>
      </c>
      <c r="AY3884">
        <v>0</v>
      </c>
      <c r="AZ3884">
        <v>0</v>
      </c>
      <c r="BA3884">
        <v>60</v>
      </c>
      <c r="BE3884" t="str">
        <f>T("9791137018655")</f>
        <v>9791137018655</v>
      </c>
      <c r="BF3884" t="str">
        <f>T("k326624")</f>
        <v>k326624</v>
      </c>
      <c r="BG3884" t="str">
        <f>T("판타지 웹소설 &gt; 퓨전 판타지")</f>
        <v>판타지 웹소설 &gt; 퓨전 판타지</v>
      </c>
    </row>
    <row r="3885" spans="1:59">
      <c r="A3885" t="s">
        <v>60</v>
      </c>
      <c r="B3885" s="1">
        <v>46131</v>
      </c>
      <c r="C3885">
        <v>2378062653</v>
      </c>
      <c r="D3885">
        <v>2378067383</v>
      </c>
      <c r="E3885" t="str">
        <f>T("시한부라 은퇴합니다 216화")</f>
        <v>시한부라 은퇴합니다 216화</v>
      </c>
      <c r="F3885">
        <v>216</v>
      </c>
      <c r="G3885" t="str">
        <f>T("해달수")</f>
        <v>해달수</v>
      </c>
      <c r="J3885" t="str">
        <f>T("매드햇")</f>
        <v>매드햇</v>
      </c>
      <c r="K3885" t="str">
        <f>T("시한부라 은퇴합니다")</f>
        <v>시한부라 은퇴합니다</v>
      </c>
      <c r="L3885">
        <v>100</v>
      </c>
      <c r="M3885">
        <v>100</v>
      </c>
      <c r="N3885">
        <v>1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100</v>
      </c>
      <c r="AJ3885">
        <v>1</v>
      </c>
      <c r="AK3885">
        <v>0</v>
      </c>
      <c r="AL3885">
        <v>0</v>
      </c>
      <c r="AM3885">
        <v>100</v>
      </c>
      <c r="AN3885">
        <v>0</v>
      </c>
      <c r="AO3885">
        <v>0</v>
      </c>
      <c r="AP3885">
        <v>0</v>
      </c>
      <c r="AQ3885">
        <v>0</v>
      </c>
      <c r="AS3885">
        <v>0</v>
      </c>
      <c r="AT3885">
        <v>0</v>
      </c>
      <c r="AV3885">
        <v>0</v>
      </c>
      <c r="AW3885">
        <v>0</v>
      </c>
      <c r="AY3885">
        <v>0</v>
      </c>
      <c r="AZ3885">
        <v>0</v>
      </c>
      <c r="BA3885">
        <v>60</v>
      </c>
      <c r="BE3885" t="str">
        <f>T("9791137018655")</f>
        <v>9791137018655</v>
      </c>
      <c r="BF3885" t="str">
        <f>T("k326625")</f>
        <v>k326625</v>
      </c>
      <c r="BG3885" t="str">
        <f>T("판타지 웹소설 &gt; 퓨전 판타지")</f>
        <v>판타지 웹소설 &gt; 퓨전 판타지</v>
      </c>
    </row>
    <row r="3886" spans="1:59">
      <c r="A3886" t="s">
        <v>60</v>
      </c>
      <c r="B3886" s="1">
        <v>46131</v>
      </c>
      <c r="C3886">
        <v>2378062653</v>
      </c>
      <c r="D3886">
        <v>2378067384</v>
      </c>
      <c r="E3886" t="str">
        <f>T("시한부라 은퇴합니다 217화")</f>
        <v>시한부라 은퇴합니다 217화</v>
      </c>
      <c r="F3886">
        <v>217</v>
      </c>
      <c r="G3886" t="str">
        <f>T("해달수")</f>
        <v>해달수</v>
      </c>
      <c r="J3886" t="str">
        <f>T("매드햇")</f>
        <v>매드햇</v>
      </c>
      <c r="K3886" t="str">
        <f>T("시한부라 은퇴합니다")</f>
        <v>시한부라 은퇴합니다</v>
      </c>
      <c r="L3886">
        <v>100</v>
      </c>
      <c r="M3886">
        <v>100</v>
      </c>
      <c r="N3886">
        <v>1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100</v>
      </c>
      <c r="AJ3886">
        <v>1</v>
      </c>
      <c r="AK3886">
        <v>0</v>
      </c>
      <c r="AL3886">
        <v>0</v>
      </c>
      <c r="AM3886">
        <v>100</v>
      </c>
      <c r="AN3886">
        <v>0</v>
      </c>
      <c r="AO3886">
        <v>0</v>
      </c>
      <c r="AP3886">
        <v>0</v>
      </c>
      <c r="AQ3886">
        <v>0</v>
      </c>
      <c r="AS3886">
        <v>0</v>
      </c>
      <c r="AT3886">
        <v>0</v>
      </c>
      <c r="AV3886">
        <v>0</v>
      </c>
      <c r="AW3886">
        <v>0</v>
      </c>
      <c r="AY3886">
        <v>0</v>
      </c>
      <c r="AZ3886">
        <v>0</v>
      </c>
      <c r="BA3886">
        <v>60</v>
      </c>
      <c r="BE3886" t="str">
        <f>T("9791137018655")</f>
        <v>9791137018655</v>
      </c>
      <c r="BF3886" t="str">
        <f>T("k328876")</f>
        <v>k328876</v>
      </c>
      <c r="BG3886" t="str">
        <f>T("판타지 웹소설 &gt; 퓨전 판타지")</f>
        <v>판타지 웹소설 &gt; 퓨전 판타지</v>
      </c>
    </row>
    <row r="3887" spans="1:59">
      <c r="A3887" t="s">
        <v>60</v>
      </c>
      <c r="B3887" s="1">
        <v>46131</v>
      </c>
      <c r="C3887">
        <v>2378062653</v>
      </c>
      <c r="D3887">
        <v>2378067385</v>
      </c>
      <c r="E3887" t="str">
        <f>T("시한부라 은퇴합니다 218화")</f>
        <v>시한부라 은퇴합니다 218화</v>
      </c>
      <c r="F3887">
        <v>218</v>
      </c>
      <c r="G3887" t="str">
        <f>T("해달수")</f>
        <v>해달수</v>
      </c>
      <c r="J3887" t="str">
        <f>T("매드햇")</f>
        <v>매드햇</v>
      </c>
      <c r="K3887" t="str">
        <f>T("시한부라 은퇴합니다")</f>
        <v>시한부라 은퇴합니다</v>
      </c>
      <c r="L3887">
        <v>100</v>
      </c>
      <c r="M3887">
        <v>100</v>
      </c>
      <c r="N3887">
        <v>1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100</v>
      </c>
      <c r="AJ3887">
        <v>1</v>
      </c>
      <c r="AK3887">
        <v>0</v>
      </c>
      <c r="AL3887">
        <v>0</v>
      </c>
      <c r="AM3887">
        <v>100</v>
      </c>
      <c r="AN3887">
        <v>0</v>
      </c>
      <c r="AO3887">
        <v>0</v>
      </c>
      <c r="AP3887">
        <v>0</v>
      </c>
      <c r="AQ3887">
        <v>0</v>
      </c>
      <c r="AS3887">
        <v>0</v>
      </c>
      <c r="AT3887">
        <v>0</v>
      </c>
      <c r="AV3887">
        <v>0</v>
      </c>
      <c r="AW3887">
        <v>0</v>
      </c>
      <c r="AY3887">
        <v>0</v>
      </c>
      <c r="AZ3887">
        <v>0</v>
      </c>
      <c r="BA3887">
        <v>60</v>
      </c>
      <c r="BE3887" t="str">
        <f>T("9791137018655")</f>
        <v>9791137018655</v>
      </c>
      <c r="BF3887" t="str">
        <f>T("k328877")</f>
        <v>k328877</v>
      </c>
      <c r="BG3887" t="str">
        <f>T("판타지 웹소설 &gt; 퓨전 판타지")</f>
        <v>판타지 웹소설 &gt; 퓨전 판타지</v>
      </c>
    </row>
    <row r="3888" spans="1:59">
      <c r="A3888" t="s">
        <v>60</v>
      </c>
      <c r="B3888" s="1">
        <v>46131</v>
      </c>
      <c r="C3888">
        <v>2378062653</v>
      </c>
      <c r="D3888">
        <v>2378067386</v>
      </c>
      <c r="E3888" t="str">
        <f>T("시한부라 은퇴합니다 219화")</f>
        <v>시한부라 은퇴합니다 219화</v>
      </c>
      <c r="F3888">
        <v>219</v>
      </c>
      <c r="G3888" t="str">
        <f>T("해달수")</f>
        <v>해달수</v>
      </c>
      <c r="J3888" t="str">
        <f>T("매드햇")</f>
        <v>매드햇</v>
      </c>
      <c r="K3888" t="str">
        <f>T("시한부라 은퇴합니다")</f>
        <v>시한부라 은퇴합니다</v>
      </c>
      <c r="L3888">
        <v>100</v>
      </c>
      <c r="M3888">
        <v>100</v>
      </c>
      <c r="N3888">
        <v>1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100</v>
      </c>
      <c r="AJ3888">
        <v>1</v>
      </c>
      <c r="AK3888">
        <v>0</v>
      </c>
      <c r="AL3888">
        <v>0</v>
      </c>
      <c r="AM3888">
        <v>100</v>
      </c>
      <c r="AN3888">
        <v>0</v>
      </c>
      <c r="AO3888">
        <v>0</v>
      </c>
      <c r="AP3888">
        <v>0</v>
      </c>
      <c r="AQ3888">
        <v>0</v>
      </c>
      <c r="AS3888">
        <v>0</v>
      </c>
      <c r="AT3888">
        <v>0</v>
      </c>
      <c r="AV3888">
        <v>0</v>
      </c>
      <c r="AW3888">
        <v>0</v>
      </c>
      <c r="AY3888">
        <v>0</v>
      </c>
      <c r="AZ3888">
        <v>0</v>
      </c>
      <c r="BA3888">
        <v>60</v>
      </c>
      <c r="BE3888" t="str">
        <f>T("9791137018655")</f>
        <v>9791137018655</v>
      </c>
      <c r="BF3888" t="str">
        <f>T("k328878")</f>
        <v>k328878</v>
      </c>
      <c r="BG3888" t="str">
        <f>T("판타지 웹소설 &gt; 퓨전 판타지")</f>
        <v>판타지 웹소설 &gt; 퓨전 판타지</v>
      </c>
    </row>
    <row r="3889" spans="1:59">
      <c r="A3889" t="s">
        <v>60</v>
      </c>
      <c r="B3889" s="1">
        <v>46131</v>
      </c>
      <c r="C3889">
        <v>2378062653</v>
      </c>
      <c r="D3889">
        <v>2378067387</v>
      </c>
      <c r="E3889" t="str">
        <f>T("시한부라 은퇴합니다 220화")</f>
        <v>시한부라 은퇴합니다 220화</v>
      </c>
      <c r="F3889">
        <v>220</v>
      </c>
      <c r="G3889" t="str">
        <f>T("해달수")</f>
        <v>해달수</v>
      </c>
      <c r="J3889" t="str">
        <f>T("매드햇")</f>
        <v>매드햇</v>
      </c>
      <c r="K3889" t="str">
        <f>T("시한부라 은퇴합니다")</f>
        <v>시한부라 은퇴합니다</v>
      </c>
      <c r="L3889">
        <v>100</v>
      </c>
      <c r="M3889">
        <v>100</v>
      </c>
      <c r="N3889">
        <v>1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0</v>
      </c>
      <c r="AC3889">
        <v>0</v>
      </c>
      <c r="AD3889">
        <v>0</v>
      </c>
      <c r="AE3889">
        <v>0</v>
      </c>
      <c r="AF3889">
        <v>0</v>
      </c>
      <c r="AG3889">
        <v>0</v>
      </c>
      <c r="AH3889">
        <v>0</v>
      </c>
      <c r="AI3889">
        <v>100</v>
      </c>
      <c r="AJ3889">
        <v>1</v>
      </c>
      <c r="AK3889">
        <v>0</v>
      </c>
      <c r="AL3889">
        <v>0</v>
      </c>
      <c r="AM3889">
        <v>100</v>
      </c>
      <c r="AN3889">
        <v>0</v>
      </c>
      <c r="AO3889">
        <v>0</v>
      </c>
      <c r="AP3889">
        <v>0</v>
      </c>
      <c r="AQ3889">
        <v>0</v>
      </c>
      <c r="AS3889">
        <v>0</v>
      </c>
      <c r="AT3889">
        <v>0</v>
      </c>
      <c r="AV3889">
        <v>0</v>
      </c>
      <c r="AW3889">
        <v>0</v>
      </c>
      <c r="AY3889">
        <v>0</v>
      </c>
      <c r="AZ3889">
        <v>0</v>
      </c>
      <c r="BA3889">
        <v>60</v>
      </c>
      <c r="BE3889" t="str">
        <f>T("9791137018655")</f>
        <v>9791137018655</v>
      </c>
      <c r="BF3889" t="str">
        <f>T("k328879")</f>
        <v>k328879</v>
      </c>
      <c r="BG3889" t="str">
        <f>T("판타지 웹소설 &gt; 퓨전 판타지")</f>
        <v>판타지 웹소설 &gt; 퓨전 판타지</v>
      </c>
    </row>
    <row r="3890" spans="1:59">
      <c r="A3890" t="s">
        <v>60</v>
      </c>
      <c r="B3890" s="1">
        <v>46131</v>
      </c>
      <c r="C3890">
        <v>2378062653</v>
      </c>
      <c r="D3890">
        <v>2378067593</v>
      </c>
      <c r="E3890" t="str">
        <f>T("시한부라 은퇴합니다 221화")</f>
        <v>시한부라 은퇴합니다 221화</v>
      </c>
      <c r="F3890">
        <v>221</v>
      </c>
      <c r="G3890" t="str">
        <f>T("해달수")</f>
        <v>해달수</v>
      </c>
      <c r="J3890" t="str">
        <f>T("매드햇")</f>
        <v>매드햇</v>
      </c>
      <c r="K3890" t="str">
        <f>T("시한부라 은퇴합니다")</f>
        <v>시한부라 은퇴합니다</v>
      </c>
      <c r="L3890">
        <v>100</v>
      </c>
      <c r="M3890">
        <v>100</v>
      </c>
      <c r="N3890">
        <v>1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0</v>
      </c>
      <c r="AC3890">
        <v>0</v>
      </c>
      <c r="AD3890">
        <v>0</v>
      </c>
      <c r="AE3890">
        <v>0</v>
      </c>
      <c r="AF3890">
        <v>0</v>
      </c>
      <c r="AG3890">
        <v>0</v>
      </c>
      <c r="AH3890">
        <v>0</v>
      </c>
      <c r="AI3890">
        <v>100</v>
      </c>
      <c r="AJ3890">
        <v>1</v>
      </c>
      <c r="AK3890">
        <v>0</v>
      </c>
      <c r="AL3890">
        <v>0</v>
      </c>
      <c r="AM3890">
        <v>100</v>
      </c>
      <c r="AN3890">
        <v>0</v>
      </c>
      <c r="AO3890">
        <v>0</v>
      </c>
      <c r="AP3890">
        <v>0</v>
      </c>
      <c r="AQ3890">
        <v>0</v>
      </c>
      <c r="AS3890">
        <v>0</v>
      </c>
      <c r="AT3890">
        <v>0</v>
      </c>
      <c r="AV3890">
        <v>0</v>
      </c>
      <c r="AW3890">
        <v>0</v>
      </c>
      <c r="AY3890">
        <v>0</v>
      </c>
      <c r="AZ3890">
        <v>0</v>
      </c>
      <c r="BA3890">
        <v>60</v>
      </c>
      <c r="BE3890" t="str">
        <f>T("9791137018655")</f>
        <v>9791137018655</v>
      </c>
      <c r="BF3890" t="str">
        <f>T("k328880")</f>
        <v>k328880</v>
      </c>
      <c r="BG3890" t="str">
        <f>T("판타지 웹소설 &gt; 퓨전 판타지")</f>
        <v>판타지 웹소설 &gt; 퓨전 판타지</v>
      </c>
    </row>
    <row r="3891" spans="1:59">
      <c r="A3891" t="s">
        <v>60</v>
      </c>
      <c r="B3891" s="1">
        <v>46131</v>
      </c>
      <c r="C3891">
        <v>2378062653</v>
      </c>
      <c r="D3891">
        <v>2378067594</v>
      </c>
      <c r="E3891" t="str">
        <f>T("시한부라 은퇴합니다 222화")</f>
        <v>시한부라 은퇴합니다 222화</v>
      </c>
      <c r="F3891">
        <v>222</v>
      </c>
      <c r="G3891" t="str">
        <f>T("해달수")</f>
        <v>해달수</v>
      </c>
      <c r="J3891" t="str">
        <f>T("매드햇")</f>
        <v>매드햇</v>
      </c>
      <c r="K3891" t="str">
        <f>T("시한부라 은퇴합니다")</f>
        <v>시한부라 은퇴합니다</v>
      </c>
      <c r="L3891">
        <v>100</v>
      </c>
      <c r="M3891">
        <v>100</v>
      </c>
      <c r="N3891">
        <v>1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0</v>
      </c>
      <c r="AC3891">
        <v>0</v>
      </c>
      <c r="AD3891">
        <v>0</v>
      </c>
      <c r="AE3891">
        <v>0</v>
      </c>
      <c r="AF3891">
        <v>0</v>
      </c>
      <c r="AG3891">
        <v>0</v>
      </c>
      <c r="AH3891">
        <v>0</v>
      </c>
      <c r="AI3891">
        <v>100</v>
      </c>
      <c r="AJ3891">
        <v>1</v>
      </c>
      <c r="AK3891">
        <v>0</v>
      </c>
      <c r="AL3891">
        <v>0</v>
      </c>
      <c r="AM3891">
        <v>100</v>
      </c>
      <c r="AN3891">
        <v>0</v>
      </c>
      <c r="AO3891">
        <v>0</v>
      </c>
      <c r="AP3891">
        <v>0</v>
      </c>
      <c r="AQ3891">
        <v>0</v>
      </c>
      <c r="AS3891">
        <v>0</v>
      </c>
      <c r="AT3891">
        <v>0</v>
      </c>
      <c r="AV3891">
        <v>0</v>
      </c>
      <c r="AW3891">
        <v>0</v>
      </c>
      <c r="AY3891">
        <v>0</v>
      </c>
      <c r="AZ3891">
        <v>0</v>
      </c>
      <c r="BA3891">
        <v>60</v>
      </c>
      <c r="BE3891" t="str">
        <f>T("9791137018655")</f>
        <v>9791137018655</v>
      </c>
      <c r="BF3891" t="str">
        <f>T("k332723")</f>
        <v>k332723</v>
      </c>
      <c r="BG3891" t="str">
        <f>T("판타지 웹소설 &gt; 퓨전 판타지")</f>
        <v>판타지 웹소설 &gt; 퓨전 판타지</v>
      </c>
    </row>
    <row r="3892" spans="1:59">
      <c r="A3892" t="s">
        <v>60</v>
      </c>
      <c r="B3892" s="1">
        <v>46131</v>
      </c>
      <c r="C3892">
        <v>2378062653</v>
      </c>
      <c r="D3892">
        <v>2378067595</v>
      </c>
      <c r="E3892" t="str">
        <f>T("시한부라 은퇴합니다 223화")</f>
        <v>시한부라 은퇴합니다 223화</v>
      </c>
      <c r="F3892">
        <v>223</v>
      </c>
      <c r="G3892" t="str">
        <f>T("해달수")</f>
        <v>해달수</v>
      </c>
      <c r="J3892" t="str">
        <f>T("매드햇")</f>
        <v>매드햇</v>
      </c>
      <c r="K3892" t="str">
        <f>T("시한부라 은퇴합니다")</f>
        <v>시한부라 은퇴합니다</v>
      </c>
      <c r="L3892">
        <v>100</v>
      </c>
      <c r="M3892">
        <v>100</v>
      </c>
      <c r="N3892">
        <v>1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0</v>
      </c>
      <c r="AC3892">
        <v>0</v>
      </c>
      <c r="AD3892">
        <v>0</v>
      </c>
      <c r="AE3892">
        <v>0</v>
      </c>
      <c r="AF3892">
        <v>0</v>
      </c>
      <c r="AG3892">
        <v>0</v>
      </c>
      <c r="AH3892">
        <v>0</v>
      </c>
      <c r="AI3892">
        <v>100</v>
      </c>
      <c r="AJ3892">
        <v>1</v>
      </c>
      <c r="AK3892">
        <v>0</v>
      </c>
      <c r="AL3892">
        <v>0</v>
      </c>
      <c r="AM3892">
        <v>100</v>
      </c>
      <c r="AN3892">
        <v>0</v>
      </c>
      <c r="AO3892">
        <v>0</v>
      </c>
      <c r="AP3892">
        <v>0</v>
      </c>
      <c r="AQ3892">
        <v>0</v>
      </c>
      <c r="AS3892">
        <v>0</v>
      </c>
      <c r="AT3892">
        <v>0</v>
      </c>
      <c r="AV3892">
        <v>0</v>
      </c>
      <c r="AW3892">
        <v>0</v>
      </c>
      <c r="AY3892">
        <v>0</v>
      </c>
      <c r="AZ3892">
        <v>0</v>
      </c>
      <c r="BA3892">
        <v>60</v>
      </c>
      <c r="BE3892" t="str">
        <f>T("9791137018655")</f>
        <v>9791137018655</v>
      </c>
      <c r="BF3892" t="str">
        <f>T("k332724")</f>
        <v>k332724</v>
      </c>
      <c r="BG3892" t="str">
        <f>T("판타지 웹소설 &gt; 퓨전 판타지")</f>
        <v>판타지 웹소설 &gt; 퓨전 판타지</v>
      </c>
    </row>
    <row r="3893" spans="1:59">
      <c r="A3893" t="s">
        <v>60</v>
      </c>
      <c r="B3893" s="1">
        <v>46131</v>
      </c>
      <c r="C3893">
        <v>2378062653</v>
      </c>
      <c r="D3893">
        <v>2378067596</v>
      </c>
      <c r="E3893" t="str">
        <f>T("시한부라 은퇴합니다 224화")</f>
        <v>시한부라 은퇴합니다 224화</v>
      </c>
      <c r="F3893">
        <v>224</v>
      </c>
      <c r="G3893" t="str">
        <f>T("해달수")</f>
        <v>해달수</v>
      </c>
      <c r="J3893" t="str">
        <f>T("매드햇")</f>
        <v>매드햇</v>
      </c>
      <c r="K3893" t="str">
        <f>T("시한부라 은퇴합니다")</f>
        <v>시한부라 은퇴합니다</v>
      </c>
      <c r="L3893">
        <v>100</v>
      </c>
      <c r="M3893">
        <v>100</v>
      </c>
      <c r="N3893">
        <v>1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0</v>
      </c>
      <c r="AC3893">
        <v>0</v>
      </c>
      <c r="AD3893">
        <v>0</v>
      </c>
      <c r="AE3893">
        <v>0</v>
      </c>
      <c r="AF3893">
        <v>0</v>
      </c>
      <c r="AG3893">
        <v>0</v>
      </c>
      <c r="AH3893">
        <v>0</v>
      </c>
      <c r="AI3893">
        <v>100</v>
      </c>
      <c r="AJ3893">
        <v>1</v>
      </c>
      <c r="AK3893">
        <v>0</v>
      </c>
      <c r="AL3893">
        <v>0</v>
      </c>
      <c r="AM3893">
        <v>100</v>
      </c>
      <c r="AN3893">
        <v>0</v>
      </c>
      <c r="AO3893">
        <v>0</v>
      </c>
      <c r="AP3893">
        <v>0</v>
      </c>
      <c r="AQ3893">
        <v>0</v>
      </c>
      <c r="AS3893">
        <v>0</v>
      </c>
      <c r="AT3893">
        <v>0</v>
      </c>
      <c r="AV3893">
        <v>0</v>
      </c>
      <c r="AW3893">
        <v>0</v>
      </c>
      <c r="AY3893">
        <v>0</v>
      </c>
      <c r="AZ3893">
        <v>0</v>
      </c>
      <c r="BA3893">
        <v>60</v>
      </c>
      <c r="BE3893" t="str">
        <f>T("9791137018655")</f>
        <v>9791137018655</v>
      </c>
      <c r="BF3893" t="str">
        <f>T("k332725")</f>
        <v>k332725</v>
      </c>
      <c r="BG3893" t="str">
        <f>T("판타지 웹소설 &gt; 퓨전 판타지")</f>
        <v>판타지 웹소설 &gt; 퓨전 판타지</v>
      </c>
    </row>
    <row r="3894" spans="1:59">
      <c r="A3894" t="s">
        <v>60</v>
      </c>
      <c r="B3894" s="1">
        <v>46131</v>
      </c>
      <c r="C3894">
        <v>2378062653</v>
      </c>
      <c r="D3894">
        <v>2378067597</v>
      </c>
      <c r="E3894" t="str">
        <f>T("시한부라 은퇴합니다 225화")</f>
        <v>시한부라 은퇴합니다 225화</v>
      </c>
      <c r="F3894">
        <v>225</v>
      </c>
      <c r="G3894" t="str">
        <f>T("해달수")</f>
        <v>해달수</v>
      </c>
      <c r="J3894" t="str">
        <f>T("매드햇")</f>
        <v>매드햇</v>
      </c>
      <c r="K3894" t="str">
        <f>T("시한부라 은퇴합니다")</f>
        <v>시한부라 은퇴합니다</v>
      </c>
      <c r="L3894">
        <v>100</v>
      </c>
      <c r="M3894">
        <v>100</v>
      </c>
      <c r="N3894">
        <v>1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0</v>
      </c>
      <c r="AE3894">
        <v>0</v>
      </c>
      <c r="AF3894">
        <v>0</v>
      </c>
      <c r="AG3894">
        <v>0</v>
      </c>
      <c r="AH3894">
        <v>0</v>
      </c>
      <c r="AI3894">
        <v>100</v>
      </c>
      <c r="AJ3894">
        <v>1</v>
      </c>
      <c r="AK3894">
        <v>0</v>
      </c>
      <c r="AL3894">
        <v>0</v>
      </c>
      <c r="AM3894">
        <v>100</v>
      </c>
      <c r="AN3894">
        <v>0</v>
      </c>
      <c r="AO3894">
        <v>0</v>
      </c>
      <c r="AP3894">
        <v>0</v>
      </c>
      <c r="AQ3894">
        <v>0</v>
      </c>
      <c r="AS3894">
        <v>0</v>
      </c>
      <c r="AT3894">
        <v>0</v>
      </c>
      <c r="AV3894">
        <v>0</v>
      </c>
      <c r="AW3894">
        <v>0</v>
      </c>
      <c r="AY3894">
        <v>0</v>
      </c>
      <c r="AZ3894">
        <v>0</v>
      </c>
      <c r="BA3894">
        <v>60</v>
      </c>
      <c r="BE3894" t="str">
        <f>T("9791137018655")</f>
        <v>9791137018655</v>
      </c>
      <c r="BF3894" t="str">
        <f>T("k332726")</f>
        <v>k332726</v>
      </c>
      <c r="BG3894" t="str">
        <f>T("판타지 웹소설 &gt; 퓨전 판타지")</f>
        <v>판타지 웹소설 &gt; 퓨전 판타지</v>
      </c>
    </row>
    <row r="3895" spans="1:59">
      <c r="A3895" t="s">
        <v>60</v>
      </c>
      <c r="B3895" s="1">
        <v>46131</v>
      </c>
      <c r="C3895">
        <v>2378062653</v>
      </c>
      <c r="D3895">
        <v>2378067631</v>
      </c>
      <c r="E3895" t="str">
        <f>T("시한부라 은퇴합니다 226화")</f>
        <v>시한부라 은퇴합니다 226화</v>
      </c>
      <c r="F3895">
        <v>226</v>
      </c>
      <c r="G3895" t="str">
        <f>T("해달수")</f>
        <v>해달수</v>
      </c>
      <c r="J3895" t="str">
        <f>T("매드햇")</f>
        <v>매드햇</v>
      </c>
      <c r="K3895" t="str">
        <f>T("시한부라 은퇴합니다")</f>
        <v>시한부라 은퇴합니다</v>
      </c>
      <c r="L3895">
        <v>100</v>
      </c>
      <c r="M3895">
        <v>100</v>
      </c>
      <c r="N3895">
        <v>1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0</v>
      </c>
      <c r="AE3895">
        <v>0</v>
      </c>
      <c r="AF3895">
        <v>0</v>
      </c>
      <c r="AG3895">
        <v>0</v>
      </c>
      <c r="AH3895">
        <v>0</v>
      </c>
      <c r="AI3895">
        <v>100</v>
      </c>
      <c r="AJ3895">
        <v>1</v>
      </c>
      <c r="AK3895">
        <v>0</v>
      </c>
      <c r="AL3895">
        <v>0</v>
      </c>
      <c r="AM3895">
        <v>100</v>
      </c>
      <c r="AN3895">
        <v>0</v>
      </c>
      <c r="AO3895">
        <v>0</v>
      </c>
      <c r="AP3895">
        <v>0</v>
      </c>
      <c r="AQ3895">
        <v>0</v>
      </c>
      <c r="AS3895">
        <v>0</v>
      </c>
      <c r="AT3895">
        <v>0</v>
      </c>
      <c r="AV3895">
        <v>0</v>
      </c>
      <c r="AW3895">
        <v>0</v>
      </c>
      <c r="AY3895">
        <v>0</v>
      </c>
      <c r="AZ3895">
        <v>0</v>
      </c>
      <c r="BA3895">
        <v>60</v>
      </c>
      <c r="BE3895" t="str">
        <f>T("9791137018655")</f>
        <v>9791137018655</v>
      </c>
      <c r="BF3895" t="str">
        <f>T("k332727")</f>
        <v>k332727</v>
      </c>
      <c r="BG3895" t="str">
        <f>T("판타지 웹소설 &gt; 퓨전 판타지")</f>
        <v>판타지 웹소설 &gt; 퓨전 판타지</v>
      </c>
    </row>
    <row r="3896" spans="1:59">
      <c r="A3896" t="s">
        <v>60</v>
      </c>
      <c r="B3896" s="1">
        <v>46131</v>
      </c>
      <c r="C3896">
        <v>2378062653</v>
      </c>
      <c r="D3896">
        <v>2378067632</v>
      </c>
      <c r="E3896" t="str">
        <f>T("시한부라 은퇴합니다 227화")</f>
        <v>시한부라 은퇴합니다 227화</v>
      </c>
      <c r="F3896">
        <v>227</v>
      </c>
      <c r="G3896" t="str">
        <f>T("해달수")</f>
        <v>해달수</v>
      </c>
      <c r="J3896" t="str">
        <f>T("매드햇")</f>
        <v>매드햇</v>
      </c>
      <c r="K3896" t="str">
        <f>T("시한부라 은퇴합니다")</f>
        <v>시한부라 은퇴합니다</v>
      </c>
      <c r="L3896">
        <v>100</v>
      </c>
      <c r="M3896">
        <v>100</v>
      </c>
      <c r="N3896">
        <v>1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0</v>
      </c>
      <c r="AE3896">
        <v>0</v>
      </c>
      <c r="AF3896">
        <v>0</v>
      </c>
      <c r="AG3896">
        <v>0</v>
      </c>
      <c r="AH3896">
        <v>0</v>
      </c>
      <c r="AI3896">
        <v>100</v>
      </c>
      <c r="AJ3896">
        <v>1</v>
      </c>
      <c r="AK3896">
        <v>0</v>
      </c>
      <c r="AL3896">
        <v>0</v>
      </c>
      <c r="AM3896">
        <v>100</v>
      </c>
      <c r="AN3896">
        <v>0</v>
      </c>
      <c r="AO3896">
        <v>0</v>
      </c>
      <c r="AP3896">
        <v>0</v>
      </c>
      <c r="AQ3896">
        <v>0</v>
      </c>
      <c r="AS3896">
        <v>0</v>
      </c>
      <c r="AT3896">
        <v>0</v>
      </c>
      <c r="AV3896">
        <v>0</v>
      </c>
      <c r="AW3896">
        <v>0</v>
      </c>
      <c r="AY3896">
        <v>0</v>
      </c>
      <c r="AZ3896">
        <v>0</v>
      </c>
      <c r="BA3896">
        <v>60</v>
      </c>
      <c r="BE3896" t="str">
        <f>T("9791137018655")</f>
        <v>9791137018655</v>
      </c>
      <c r="BF3896" t="str">
        <f>T("k339923")</f>
        <v>k339923</v>
      </c>
      <c r="BG3896" t="str">
        <f>T("판타지 웹소설 &gt; 퓨전 판타지")</f>
        <v>판타지 웹소설 &gt; 퓨전 판타지</v>
      </c>
    </row>
    <row r="3897" spans="1:59">
      <c r="A3897" t="s">
        <v>60</v>
      </c>
      <c r="B3897" s="1">
        <v>46131</v>
      </c>
      <c r="C3897">
        <v>2378062653</v>
      </c>
      <c r="D3897">
        <v>2378067633</v>
      </c>
      <c r="E3897" t="str">
        <f>T("시한부라 은퇴합니다 228화")</f>
        <v>시한부라 은퇴합니다 228화</v>
      </c>
      <c r="F3897">
        <v>228</v>
      </c>
      <c r="G3897" t="str">
        <f>T("해달수")</f>
        <v>해달수</v>
      </c>
      <c r="J3897" t="str">
        <f>T("매드햇")</f>
        <v>매드햇</v>
      </c>
      <c r="K3897" t="str">
        <f>T("시한부라 은퇴합니다")</f>
        <v>시한부라 은퇴합니다</v>
      </c>
      <c r="L3897">
        <v>100</v>
      </c>
      <c r="M3897">
        <v>100</v>
      </c>
      <c r="N3897">
        <v>1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0</v>
      </c>
      <c r="AE3897">
        <v>0</v>
      </c>
      <c r="AF3897">
        <v>0</v>
      </c>
      <c r="AG3897">
        <v>0</v>
      </c>
      <c r="AH3897">
        <v>0</v>
      </c>
      <c r="AI3897">
        <v>100</v>
      </c>
      <c r="AJ3897">
        <v>1</v>
      </c>
      <c r="AK3897">
        <v>0</v>
      </c>
      <c r="AL3897">
        <v>0</v>
      </c>
      <c r="AM3897">
        <v>100</v>
      </c>
      <c r="AN3897">
        <v>0</v>
      </c>
      <c r="AO3897">
        <v>0</v>
      </c>
      <c r="AP3897">
        <v>0</v>
      </c>
      <c r="AQ3897">
        <v>0</v>
      </c>
      <c r="AS3897">
        <v>0</v>
      </c>
      <c r="AT3897">
        <v>0</v>
      </c>
      <c r="AV3897">
        <v>0</v>
      </c>
      <c r="AW3897">
        <v>0</v>
      </c>
      <c r="AY3897">
        <v>0</v>
      </c>
      <c r="AZ3897">
        <v>0</v>
      </c>
      <c r="BA3897">
        <v>60</v>
      </c>
      <c r="BE3897" t="str">
        <f>T("9791137018655")</f>
        <v>9791137018655</v>
      </c>
      <c r="BF3897" t="str">
        <f>T("k339924")</f>
        <v>k339924</v>
      </c>
      <c r="BG3897" t="str">
        <f>T("판타지 웹소설 &gt; 퓨전 판타지")</f>
        <v>판타지 웹소설 &gt; 퓨전 판타지</v>
      </c>
    </row>
    <row r="3898" spans="1:59">
      <c r="A3898" t="s">
        <v>60</v>
      </c>
      <c r="B3898" s="1">
        <v>46131</v>
      </c>
      <c r="C3898">
        <v>2378062653</v>
      </c>
      <c r="D3898">
        <v>2378067634</v>
      </c>
      <c r="E3898" t="str">
        <f>T("시한부라 은퇴합니다 229화")</f>
        <v>시한부라 은퇴합니다 229화</v>
      </c>
      <c r="F3898">
        <v>229</v>
      </c>
      <c r="G3898" t="str">
        <f>T("해달수")</f>
        <v>해달수</v>
      </c>
      <c r="J3898" t="str">
        <f>T("매드햇")</f>
        <v>매드햇</v>
      </c>
      <c r="K3898" t="str">
        <f>T("시한부라 은퇴합니다")</f>
        <v>시한부라 은퇴합니다</v>
      </c>
      <c r="L3898">
        <v>100</v>
      </c>
      <c r="M3898">
        <v>100</v>
      </c>
      <c r="N3898">
        <v>1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0</v>
      </c>
      <c r="AE3898">
        <v>0</v>
      </c>
      <c r="AF3898">
        <v>0</v>
      </c>
      <c r="AG3898">
        <v>0</v>
      </c>
      <c r="AH3898">
        <v>0</v>
      </c>
      <c r="AI3898">
        <v>100</v>
      </c>
      <c r="AJ3898">
        <v>1</v>
      </c>
      <c r="AK3898">
        <v>0</v>
      </c>
      <c r="AL3898">
        <v>0</v>
      </c>
      <c r="AM3898">
        <v>100</v>
      </c>
      <c r="AN3898">
        <v>0</v>
      </c>
      <c r="AO3898">
        <v>0</v>
      </c>
      <c r="AP3898">
        <v>0</v>
      </c>
      <c r="AQ3898">
        <v>0</v>
      </c>
      <c r="AS3898">
        <v>0</v>
      </c>
      <c r="AT3898">
        <v>0</v>
      </c>
      <c r="AV3898">
        <v>0</v>
      </c>
      <c r="AW3898">
        <v>0</v>
      </c>
      <c r="AY3898">
        <v>0</v>
      </c>
      <c r="AZ3898">
        <v>0</v>
      </c>
      <c r="BA3898">
        <v>60</v>
      </c>
      <c r="BE3898" t="str">
        <f>T("9791137018655")</f>
        <v>9791137018655</v>
      </c>
      <c r="BF3898" t="str">
        <f>T("k339925")</f>
        <v>k339925</v>
      </c>
      <c r="BG3898" t="str">
        <f>T("판타지 웹소설 &gt; 퓨전 판타지")</f>
        <v>판타지 웹소설 &gt; 퓨전 판타지</v>
      </c>
    </row>
    <row r="3899" spans="1:59">
      <c r="A3899" t="s">
        <v>60</v>
      </c>
      <c r="B3899" s="1">
        <v>46131</v>
      </c>
      <c r="C3899">
        <v>2378062653</v>
      </c>
      <c r="D3899">
        <v>2378067635</v>
      </c>
      <c r="E3899" t="str">
        <f>T("시한부라 은퇴합니다 230화")</f>
        <v>시한부라 은퇴합니다 230화</v>
      </c>
      <c r="F3899">
        <v>230</v>
      </c>
      <c r="G3899" t="str">
        <f>T("해달수")</f>
        <v>해달수</v>
      </c>
      <c r="J3899" t="str">
        <f>T("매드햇")</f>
        <v>매드햇</v>
      </c>
      <c r="K3899" t="str">
        <f>T("시한부라 은퇴합니다")</f>
        <v>시한부라 은퇴합니다</v>
      </c>
      <c r="L3899">
        <v>100</v>
      </c>
      <c r="M3899">
        <v>100</v>
      </c>
      <c r="N3899">
        <v>1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0</v>
      </c>
      <c r="AE3899">
        <v>0</v>
      </c>
      <c r="AF3899">
        <v>0</v>
      </c>
      <c r="AG3899">
        <v>0</v>
      </c>
      <c r="AH3899">
        <v>0</v>
      </c>
      <c r="AI3899">
        <v>100</v>
      </c>
      <c r="AJ3899">
        <v>1</v>
      </c>
      <c r="AK3899">
        <v>0</v>
      </c>
      <c r="AL3899">
        <v>0</v>
      </c>
      <c r="AM3899">
        <v>100</v>
      </c>
      <c r="AN3899">
        <v>0</v>
      </c>
      <c r="AO3899">
        <v>0</v>
      </c>
      <c r="AP3899">
        <v>0</v>
      </c>
      <c r="AQ3899">
        <v>0</v>
      </c>
      <c r="AS3899">
        <v>0</v>
      </c>
      <c r="AT3899">
        <v>0</v>
      </c>
      <c r="AV3899">
        <v>0</v>
      </c>
      <c r="AW3899">
        <v>0</v>
      </c>
      <c r="AY3899">
        <v>0</v>
      </c>
      <c r="AZ3899">
        <v>0</v>
      </c>
      <c r="BA3899">
        <v>60</v>
      </c>
      <c r="BE3899" t="str">
        <f>T("9791137018655")</f>
        <v>9791137018655</v>
      </c>
      <c r="BF3899" t="str">
        <f>T("k339926")</f>
        <v>k339926</v>
      </c>
      <c r="BG3899" t="str">
        <f>T("판타지 웹소설 &gt; 퓨전 판타지")</f>
        <v>판타지 웹소설 &gt; 퓨전 판타지</v>
      </c>
    </row>
    <row r="3900" spans="1:59">
      <c r="A3900" t="s">
        <v>60</v>
      </c>
      <c r="B3900" s="1">
        <v>46131</v>
      </c>
      <c r="C3900">
        <v>2378062653</v>
      </c>
      <c r="D3900">
        <v>2378067800</v>
      </c>
      <c r="E3900" t="str">
        <f>T("시한부라 은퇴합니다 231화")</f>
        <v>시한부라 은퇴합니다 231화</v>
      </c>
      <c r="F3900">
        <v>231</v>
      </c>
      <c r="G3900" t="str">
        <f>T("해달수")</f>
        <v>해달수</v>
      </c>
      <c r="J3900" t="str">
        <f>T("매드햇")</f>
        <v>매드햇</v>
      </c>
      <c r="K3900" t="str">
        <f>T("시한부라 은퇴합니다")</f>
        <v>시한부라 은퇴합니다</v>
      </c>
      <c r="L3900">
        <v>100</v>
      </c>
      <c r="M3900">
        <v>100</v>
      </c>
      <c r="N3900">
        <v>1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0</v>
      </c>
      <c r="AE3900">
        <v>0</v>
      </c>
      <c r="AF3900">
        <v>0</v>
      </c>
      <c r="AG3900">
        <v>0</v>
      </c>
      <c r="AH3900">
        <v>0</v>
      </c>
      <c r="AI3900">
        <v>100</v>
      </c>
      <c r="AJ3900">
        <v>1</v>
      </c>
      <c r="AK3900">
        <v>0</v>
      </c>
      <c r="AL3900">
        <v>0</v>
      </c>
      <c r="AM3900">
        <v>100</v>
      </c>
      <c r="AN3900">
        <v>0</v>
      </c>
      <c r="AO3900">
        <v>0</v>
      </c>
      <c r="AP3900">
        <v>0</v>
      </c>
      <c r="AQ3900">
        <v>0</v>
      </c>
      <c r="AS3900">
        <v>0</v>
      </c>
      <c r="AT3900">
        <v>0</v>
      </c>
      <c r="AV3900">
        <v>0</v>
      </c>
      <c r="AW3900">
        <v>0</v>
      </c>
      <c r="AY3900">
        <v>0</v>
      </c>
      <c r="AZ3900">
        <v>0</v>
      </c>
      <c r="BA3900">
        <v>60</v>
      </c>
      <c r="BE3900" t="str">
        <f>T("9791137018655")</f>
        <v>9791137018655</v>
      </c>
      <c r="BF3900" t="str">
        <f>T("k339927")</f>
        <v>k339927</v>
      </c>
      <c r="BG3900" t="str">
        <f>T("판타지 웹소설 &gt; 퓨전 판타지")</f>
        <v>판타지 웹소설 &gt; 퓨전 판타지</v>
      </c>
    </row>
    <row r="3901" spans="1:59">
      <c r="A3901" t="s">
        <v>60</v>
      </c>
      <c r="B3901" s="1">
        <v>46131</v>
      </c>
      <c r="C3901">
        <v>2378062653</v>
      </c>
      <c r="D3901">
        <v>2378067801</v>
      </c>
      <c r="E3901" t="str">
        <f>T("시한부라 은퇴합니다 232화")</f>
        <v>시한부라 은퇴합니다 232화</v>
      </c>
      <c r="F3901">
        <v>232</v>
      </c>
      <c r="G3901" t="str">
        <f>T("해달수")</f>
        <v>해달수</v>
      </c>
      <c r="J3901" t="str">
        <f>T("매드햇")</f>
        <v>매드햇</v>
      </c>
      <c r="K3901" t="str">
        <f>T("시한부라 은퇴합니다")</f>
        <v>시한부라 은퇴합니다</v>
      </c>
      <c r="L3901">
        <v>100</v>
      </c>
      <c r="M3901">
        <v>100</v>
      </c>
      <c r="N3901">
        <v>1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0</v>
      </c>
      <c r="AE3901">
        <v>0</v>
      </c>
      <c r="AF3901">
        <v>0</v>
      </c>
      <c r="AG3901">
        <v>0</v>
      </c>
      <c r="AH3901">
        <v>0</v>
      </c>
      <c r="AI3901">
        <v>100</v>
      </c>
      <c r="AJ3901">
        <v>1</v>
      </c>
      <c r="AK3901">
        <v>0</v>
      </c>
      <c r="AL3901">
        <v>0</v>
      </c>
      <c r="AM3901">
        <v>100</v>
      </c>
      <c r="AN3901">
        <v>0</v>
      </c>
      <c r="AO3901">
        <v>0</v>
      </c>
      <c r="AP3901">
        <v>0</v>
      </c>
      <c r="AQ3901">
        <v>0</v>
      </c>
      <c r="AS3901">
        <v>0</v>
      </c>
      <c r="AT3901">
        <v>0</v>
      </c>
      <c r="AV3901">
        <v>0</v>
      </c>
      <c r="AW3901">
        <v>0</v>
      </c>
      <c r="AY3901">
        <v>0</v>
      </c>
      <c r="AZ3901">
        <v>0</v>
      </c>
      <c r="BA3901">
        <v>60</v>
      </c>
      <c r="BE3901" t="str">
        <f>T("9791137018655")</f>
        <v>9791137018655</v>
      </c>
      <c r="BF3901" t="str">
        <f>T("k340003")</f>
        <v>k340003</v>
      </c>
      <c r="BG3901" t="str">
        <f>T("판타지 웹소설 &gt; 퓨전 판타지")</f>
        <v>판타지 웹소설 &gt; 퓨전 판타지</v>
      </c>
    </row>
    <row r="3902" spans="1:59">
      <c r="A3902" t="s">
        <v>60</v>
      </c>
      <c r="B3902" s="1">
        <v>46131</v>
      </c>
      <c r="C3902">
        <v>2378062653</v>
      </c>
      <c r="D3902">
        <v>2378067802</v>
      </c>
      <c r="E3902" t="str">
        <f>T("시한부라 은퇴합니다 233화")</f>
        <v>시한부라 은퇴합니다 233화</v>
      </c>
      <c r="F3902">
        <v>233</v>
      </c>
      <c r="G3902" t="str">
        <f>T("해달수")</f>
        <v>해달수</v>
      </c>
      <c r="J3902" t="str">
        <f>T("매드햇")</f>
        <v>매드햇</v>
      </c>
      <c r="K3902" t="str">
        <f>T("시한부라 은퇴합니다")</f>
        <v>시한부라 은퇴합니다</v>
      </c>
      <c r="L3902">
        <v>100</v>
      </c>
      <c r="M3902">
        <v>100</v>
      </c>
      <c r="N3902">
        <v>1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0</v>
      </c>
      <c r="AE3902">
        <v>0</v>
      </c>
      <c r="AF3902">
        <v>0</v>
      </c>
      <c r="AG3902">
        <v>0</v>
      </c>
      <c r="AH3902">
        <v>0</v>
      </c>
      <c r="AI3902">
        <v>100</v>
      </c>
      <c r="AJ3902">
        <v>1</v>
      </c>
      <c r="AK3902">
        <v>0</v>
      </c>
      <c r="AL3902">
        <v>0</v>
      </c>
      <c r="AM3902">
        <v>100</v>
      </c>
      <c r="AN3902">
        <v>0</v>
      </c>
      <c r="AO3902">
        <v>0</v>
      </c>
      <c r="AP3902">
        <v>0</v>
      </c>
      <c r="AQ3902">
        <v>0</v>
      </c>
      <c r="AS3902">
        <v>0</v>
      </c>
      <c r="AT3902">
        <v>0</v>
      </c>
      <c r="AV3902">
        <v>0</v>
      </c>
      <c r="AW3902">
        <v>0</v>
      </c>
      <c r="AY3902">
        <v>0</v>
      </c>
      <c r="AZ3902">
        <v>0</v>
      </c>
      <c r="BA3902">
        <v>60</v>
      </c>
      <c r="BE3902" t="str">
        <f>T("9791137018655")</f>
        <v>9791137018655</v>
      </c>
      <c r="BF3902" t="str">
        <f>T("k340004")</f>
        <v>k340004</v>
      </c>
      <c r="BG3902" t="str">
        <f>T("판타지 웹소설 &gt; 퓨전 판타지")</f>
        <v>판타지 웹소설 &gt; 퓨전 판타지</v>
      </c>
    </row>
    <row r="3903" spans="1:59">
      <c r="A3903" t="s">
        <v>60</v>
      </c>
      <c r="B3903" s="1">
        <v>46131</v>
      </c>
      <c r="C3903">
        <v>2378062653</v>
      </c>
      <c r="D3903">
        <v>2378067803</v>
      </c>
      <c r="E3903" t="str">
        <f>T("시한부라 은퇴합니다 234화")</f>
        <v>시한부라 은퇴합니다 234화</v>
      </c>
      <c r="F3903">
        <v>234</v>
      </c>
      <c r="G3903" t="str">
        <f>T("해달수")</f>
        <v>해달수</v>
      </c>
      <c r="J3903" t="str">
        <f>T("매드햇")</f>
        <v>매드햇</v>
      </c>
      <c r="K3903" t="str">
        <f>T("시한부라 은퇴합니다")</f>
        <v>시한부라 은퇴합니다</v>
      </c>
      <c r="L3903">
        <v>100</v>
      </c>
      <c r="M3903">
        <v>100</v>
      </c>
      <c r="N3903">
        <v>1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0</v>
      </c>
      <c r="AE3903">
        <v>0</v>
      </c>
      <c r="AF3903">
        <v>0</v>
      </c>
      <c r="AG3903">
        <v>0</v>
      </c>
      <c r="AH3903">
        <v>0</v>
      </c>
      <c r="AI3903">
        <v>100</v>
      </c>
      <c r="AJ3903">
        <v>1</v>
      </c>
      <c r="AK3903">
        <v>0</v>
      </c>
      <c r="AL3903">
        <v>0</v>
      </c>
      <c r="AM3903">
        <v>100</v>
      </c>
      <c r="AN3903">
        <v>0</v>
      </c>
      <c r="AO3903">
        <v>0</v>
      </c>
      <c r="AP3903">
        <v>0</v>
      </c>
      <c r="AQ3903">
        <v>0</v>
      </c>
      <c r="AS3903">
        <v>0</v>
      </c>
      <c r="AT3903">
        <v>0</v>
      </c>
      <c r="AV3903">
        <v>0</v>
      </c>
      <c r="AW3903">
        <v>0</v>
      </c>
      <c r="AY3903">
        <v>0</v>
      </c>
      <c r="AZ3903">
        <v>0</v>
      </c>
      <c r="BA3903">
        <v>60</v>
      </c>
      <c r="BE3903" t="str">
        <f>T("9791137018655")</f>
        <v>9791137018655</v>
      </c>
      <c r="BF3903" t="str">
        <f>T("k340005")</f>
        <v>k340005</v>
      </c>
      <c r="BG3903" t="str">
        <f>T("판타지 웹소설 &gt; 퓨전 판타지")</f>
        <v>판타지 웹소설 &gt; 퓨전 판타지</v>
      </c>
    </row>
    <row r="3904" spans="1:59">
      <c r="A3904" t="s">
        <v>60</v>
      </c>
      <c r="B3904" s="1">
        <v>46131</v>
      </c>
      <c r="C3904">
        <v>2378062653</v>
      </c>
      <c r="D3904">
        <v>2378067804</v>
      </c>
      <c r="E3904" t="str">
        <f>T("시한부라 은퇴합니다 235화")</f>
        <v>시한부라 은퇴합니다 235화</v>
      </c>
      <c r="F3904">
        <v>235</v>
      </c>
      <c r="G3904" t="str">
        <f>T("해달수")</f>
        <v>해달수</v>
      </c>
      <c r="J3904" t="str">
        <f>T("매드햇")</f>
        <v>매드햇</v>
      </c>
      <c r="K3904" t="str">
        <f>T("시한부라 은퇴합니다")</f>
        <v>시한부라 은퇴합니다</v>
      </c>
      <c r="L3904">
        <v>100</v>
      </c>
      <c r="M3904">
        <v>100</v>
      </c>
      <c r="N3904">
        <v>1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0</v>
      </c>
      <c r="AE3904">
        <v>0</v>
      </c>
      <c r="AF3904">
        <v>0</v>
      </c>
      <c r="AG3904">
        <v>0</v>
      </c>
      <c r="AH3904">
        <v>0</v>
      </c>
      <c r="AI3904">
        <v>100</v>
      </c>
      <c r="AJ3904">
        <v>1</v>
      </c>
      <c r="AK3904">
        <v>0</v>
      </c>
      <c r="AL3904">
        <v>0</v>
      </c>
      <c r="AM3904">
        <v>100</v>
      </c>
      <c r="AN3904">
        <v>0</v>
      </c>
      <c r="AO3904">
        <v>0</v>
      </c>
      <c r="AP3904">
        <v>0</v>
      </c>
      <c r="AQ3904">
        <v>0</v>
      </c>
      <c r="AS3904">
        <v>0</v>
      </c>
      <c r="AT3904">
        <v>0</v>
      </c>
      <c r="AV3904">
        <v>0</v>
      </c>
      <c r="AW3904">
        <v>0</v>
      </c>
      <c r="AY3904">
        <v>0</v>
      </c>
      <c r="AZ3904">
        <v>0</v>
      </c>
      <c r="BA3904">
        <v>60</v>
      </c>
      <c r="BE3904" t="str">
        <f>T("9791137018655")</f>
        <v>9791137018655</v>
      </c>
      <c r="BF3904" t="str">
        <f>T("k340006")</f>
        <v>k340006</v>
      </c>
      <c r="BG3904" t="str">
        <f>T("판타지 웹소설 &gt; 퓨전 판타지")</f>
        <v>판타지 웹소설 &gt; 퓨전 판타지</v>
      </c>
    </row>
    <row r="3905" spans="1:59">
      <c r="A3905" t="s">
        <v>60</v>
      </c>
      <c r="B3905" s="1">
        <v>46131</v>
      </c>
      <c r="C3905">
        <v>2378062653</v>
      </c>
      <c r="D3905">
        <v>2378067904</v>
      </c>
      <c r="E3905" t="str">
        <f>T("시한부라 은퇴합니다 236화")</f>
        <v>시한부라 은퇴합니다 236화</v>
      </c>
      <c r="F3905">
        <v>236</v>
      </c>
      <c r="G3905" t="str">
        <f>T("해달수")</f>
        <v>해달수</v>
      </c>
      <c r="J3905" t="str">
        <f>T("매드햇")</f>
        <v>매드햇</v>
      </c>
      <c r="K3905" t="str">
        <f>T("시한부라 은퇴합니다")</f>
        <v>시한부라 은퇴합니다</v>
      </c>
      <c r="L3905">
        <v>100</v>
      </c>
      <c r="M3905">
        <v>100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0</v>
      </c>
      <c r="AE3905">
        <v>0</v>
      </c>
      <c r="AF3905">
        <v>0</v>
      </c>
      <c r="AG3905">
        <v>0</v>
      </c>
      <c r="AH3905">
        <v>0</v>
      </c>
      <c r="AI3905">
        <v>100</v>
      </c>
      <c r="AJ3905">
        <v>1</v>
      </c>
      <c r="AK3905">
        <v>0</v>
      </c>
      <c r="AL3905">
        <v>0</v>
      </c>
      <c r="AM3905">
        <v>100</v>
      </c>
      <c r="AN3905">
        <v>0</v>
      </c>
      <c r="AO3905">
        <v>0</v>
      </c>
      <c r="AP3905">
        <v>0</v>
      </c>
      <c r="AQ3905">
        <v>0</v>
      </c>
      <c r="AS3905">
        <v>0</v>
      </c>
      <c r="AT3905">
        <v>0</v>
      </c>
      <c r="AV3905">
        <v>0</v>
      </c>
      <c r="AW3905">
        <v>0</v>
      </c>
      <c r="AY3905">
        <v>0</v>
      </c>
      <c r="AZ3905">
        <v>0</v>
      </c>
      <c r="BA3905">
        <v>60</v>
      </c>
      <c r="BE3905" t="str">
        <f>T("9791137018655")</f>
        <v>9791137018655</v>
      </c>
      <c r="BF3905" t="str">
        <f>T("k340007")</f>
        <v>k340007</v>
      </c>
      <c r="BG3905" t="str">
        <f>T("판타지 웹소설 &gt; 퓨전 판타지")</f>
        <v>판타지 웹소설 &gt; 퓨전 판타지</v>
      </c>
    </row>
    <row r="3906" spans="1:59">
      <c r="A3906" t="s">
        <v>60</v>
      </c>
      <c r="B3906" s="1">
        <v>46131</v>
      </c>
      <c r="C3906">
        <v>2378062653</v>
      </c>
      <c r="D3906">
        <v>2378067905</v>
      </c>
      <c r="E3906" t="str">
        <f>T("시한부라 은퇴합니다 237화")</f>
        <v>시한부라 은퇴합니다 237화</v>
      </c>
      <c r="F3906">
        <v>237</v>
      </c>
      <c r="G3906" t="str">
        <f>T("해달수")</f>
        <v>해달수</v>
      </c>
      <c r="J3906" t="str">
        <f>T("매드햇")</f>
        <v>매드햇</v>
      </c>
      <c r="K3906" t="str">
        <f>T("시한부라 은퇴합니다")</f>
        <v>시한부라 은퇴합니다</v>
      </c>
      <c r="L3906">
        <v>100</v>
      </c>
      <c r="M3906">
        <v>100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0</v>
      </c>
      <c r="AC3906">
        <v>0</v>
      </c>
      <c r="AD3906">
        <v>0</v>
      </c>
      <c r="AE3906">
        <v>0</v>
      </c>
      <c r="AF3906">
        <v>0</v>
      </c>
      <c r="AG3906">
        <v>0</v>
      </c>
      <c r="AH3906">
        <v>0</v>
      </c>
      <c r="AI3906">
        <v>100</v>
      </c>
      <c r="AJ3906">
        <v>1</v>
      </c>
      <c r="AK3906">
        <v>0</v>
      </c>
      <c r="AL3906">
        <v>0</v>
      </c>
      <c r="AM3906">
        <v>100</v>
      </c>
      <c r="AN3906">
        <v>0</v>
      </c>
      <c r="AO3906">
        <v>0</v>
      </c>
      <c r="AP3906">
        <v>0</v>
      </c>
      <c r="AQ3906">
        <v>0</v>
      </c>
      <c r="AS3906">
        <v>0</v>
      </c>
      <c r="AT3906">
        <v>0</v>
      </c>
      <c r="AV3906">
        <v>0</v>
      </c>
      <c r="AW3906">
        <v>0</v>
      </c>
      <c r="AY3906">
        <v>0</v>
      </c>
      <c r="AZ3906">
        <v>0</v>
      </c>
      <c r="BA3906">
        <v>60</v>
      </c>
      <c r="BE3906" t="str">
        <f>T("9791137018655")</f>
        <v>9791137018655</v>
      </c>
      <c r="BF3906" t="str">
        <f>T("k345081")</f>
        <v>k345081</v>
      </c>
      <c r="BG3906" t="str">
        <f>T("판타지 웹소설 &gt; 퓨전 판타지")</f>
        <v>판타지 웹소설 &gt; 퓨전 판타지</v>
      </c>
    </row>
    <row r="3907" spans="1:59">
      <c r="A3907" t="s">
        <v>60</v>
      </c>
      <c r="B3907" s="1">
        <v>46131</v>
      </c>
      <c r="C3907">
        <v>2378062653</v>
      </c>
      <c r="D3907">
        <v>2378067906</v>
      </c>
      <c r="E3907" t="str">
        <f>T("시한부라 은퇴합니다 238화")</f>
        <v>시한부라 은퇴합니다 238화</v>
      </c>
      <c r="F3907">
        <v>238</v>
      </c>
      <c r="G3907" t="str">
        <f>T("해달수")</f>
        <v>해달수</v>
      </c>
      <c r="J3907" t="str">
        <f>T("매드햇")</f>
        <v>매드햇</v>
      </c>
      <c r="K3907" t="str">
        <f>T("시한부라 은퇴합니다")</f>
        <v>시한부라 은퇴합니다</v>
      </c>
      <c r="L3907">
        <v>100</v>
      </c>
      <c r="M3907">
        <v>100</v>
      </c>
      <c r="N3907">
        <v>1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0</v>
      </c>
      <c r="AC3907">
        <v>0</v>
      </c>
      <c r="AD3907">
        <v>0</v>
      </c>
      <c r="AE3907">
        <v>0</v>
      </c>
      <c r="AF3907">
        <v>0</v>
      </c>
      <c r="AG3907">
        <v>0</v>
      </c>
      <c r="AH3907">
        <v>0</v>
      </c>
      <c r="AI3907">
        <v>100</v>
      </c>
      <c r="AJ3907">
        <v>1</v>
      </c>
      <c r="AK3907">
        <v>0</v>
      </c>
      <c r="AL3907">
        <v>0</v>
      </c>
      <c r="AM3907">
        <v>100</v>
      </c>
      <c r="AN3907">
        <v>0</v>
      </c>
      <c r="AO3907">
        <v>0</v>
      </c>
      <c r="AP3907">
        <v>0</v>
      </c>
      <c r="AQ3907">
        <v>0</v>
      </c>
      <c r="AS3907">
        <v>0</v>
      </c>
      <c r="AT3907">
        <v>0</v>
      </c>
      <c r="AV3907">
        <v>0</v>
      </c>
      <c r="AW3907">
        <v>0</v>
      </c>
      <c r="AY3907">
        <v>0</v>
      </c>
      <c r="AZ3907">
        <v>0</v>
      </c>
      <c r="BA3907">
        <v>60</v>
      </c>
      <c r="BE3907" t="str">
        <f>T("9791137018655")</f>
        <v>9791137018655</v>
      </c>
      <c r="BF3907" t="str">
        <f>T("k345082")</f>
        <v>k345082</v>
      </c>
      <c r="BG3907" t="str">
        <f>T("판타지 웹소설 &gt; 퓨전 판타지")</f>
        <v>판타지 웹소설 &gt; 퓨전 판타지</v>
      </c>
    </row>
    <row r="3908" spans="1:59">
      <c r="A3908" t="s">
        <v>60</v>
      </c>
      <c r="B3908" s="1">
        <v>46131</v>
      </c>
      <c r="C3908">
        <v>2378062653</v>
      </c>
      <c r="D3908">
        <v>2378067907</v>
      </c>
      <c r="E3908" t="str">
        <f>T("시한부라 은퇴합니다 239화")</f>
        <v>시한부라 은퇴합니다 239화</v>
      </c>
      <c r="F3908">
        <v>239</v>
      </c>
      <c r="G3908" t="str">
        <f>T("해달수")</f>
        <v>해달수</v>
      </c>
      <c r="J3908" t="str">
        <f>T("매드햇")</f>
        <v>매드햇</v>
      </c>
      <c r="K3908" t="str">
        <f>T("시한부라 은퇴합니다")</f>
        <v>시한부라 은퇴합니다</v>
      </c>
      <c r="L3908">
        <v>100</v>
      </c>
      <c r="M3908">
        <v>100</v>
      </c>
      <c r="N3908">
        <v>1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0</v>
      </c>
      <c r="AC3908">
        <v>0</v>
      </c>
      <c r="AD3908">
        <v>0</v>
      </c>
      <c r="AE3908">
        <v>0</v>
      </c>
      <c r="AF3908">
        <v>0</v>
      </c>
      <c r="AG3908">
        <v>0</v>
      </c>
      <c r="AH3908">
        <v>0</v>
      </c>
      <c r="AI3908">
        <v>100</v>
      </c>
      <c r="AJ3908">
        <v>1</v>
      </c>
      <c r="AK3908">
        <v>0</v>
      </c>
      <c r="AL3908">
        <v>0</v>
      </c>
      <c r="AM3908">
        <v>100</v>
      </c>
      <c r="AN3908">
        <v>0</v>
      </c>
      <c r="AO3908">
        <v>0</v>
      </c>
      <c r="AP3908">
        <v>0</v>
      </c>
      <c r="AQ3908">
        <v>0</v>
      </c>
      <c r="AS3908">
        <v>0</v>
      </c>
      <c r="AT3908">
        <v>0</v>
      </c>
      <c r="AV3908">
        <v>0</v>
      </c>
      <c r="AW3908">
        <v>0</v>
      </c>
      <c r="AY3908">
        <v>0</v>
      </c>
      <c r="AZ3908">
        <v>0</v>
      </c>
      <c r="BA3908">
        <v>60</v>
      </c>
      <c r="BE3908" t="str">
        <f>T("9791137018655")</f>
        <v>9791137018655</v>
      </c>
      <c r="BF3908" t="str">
        <f>T("k345083")</f>
        <v>k345083</v>
      </c>
      <c r="BG3908" t="str">
        <f>T("판타지 웹소설 &gt; 퓨전 판타지")</f>
        <v>판타지 웹소설 &gt; 퓨전 판타지</v>
      </c>
    </row>
    <row r="3909" spans="1:59">
      <c r="A3909" t="s">
        <v>60</v>
      </c>
      <c r="B3909" s="1">
        <v>46131</v>
      </c>
      <c r="C3909">
        <v>2378062653</v>
      </c>
      <c r="D3909">
        <v>2378067908</v>
      </c>
      <c r="E3909" t="str">
        <f>T("시한부라 은퇴합니다 240화")</f>
        <v>시한부라 은퇴합니다 240화</v>
      </c>
      <c r="F3909">
        <v>240</v>
      </c>
      <c r="G3909" t="str">
        <f>T("해달수")</f>
        <v>해달수</v>
      </c>
      <c r="J3909" t="str">
        <f>T("매드햇")</f>
        <v>매드햇</v>
      </c>
      <c r="K3909" t="str">
        <f>T("시한부라 은퇴합니다")</f>
        <v>시한부라 은퇴합니다</v>
      </c>
      <c r="L3909">
        <v>100</v>
      </c>
      <c r="M3909">
        <v>100</v>
      </c>
      <c r="N3909">
        <v>1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0</v>
      </c>
      <c r="AC3909">
        <v>0</v>
      </c>
      <c r="AD3909">
        <v>0</v>
      </c>
      <c r="AE3909">
        <v>0</v>
      </c>
      <c r="AF3909">
        <v>0</v>
      </c>
      <c r="AG3909">
        <v>0</v>
      </c>
      <c r="AH3909">
        <v>0</v>
      </c>
      <c r="AI3909">
        <v>100</v>
      </c>
      <c r="AJ3909">
        <v>1</v>
      </c>
      <c r="AK3909">
        <v>0</v>
      </c>
      <c r="AL3909">
        <v>0</v>
      </c>
      <c r="AM3909">
        <v>100</v>
      </c>
      <c r="AN3909">
        <v>0</v>
      </c>
      <c r="AO3909">
        <v>0</v>
      </c>
      <c r="AP3909">
        <v>0</v>
      </c>
      <c r="AQ3909">
        <v>0</v>
      </c>
      <c r="AS3909">
        <v>0</v>
      </c>
      <c r="AT3909">
        <v>0</v>
      </c>
      <c r="AV3909">
        <v>0</v>
      </c>
      <c r="AW3909">
        <v>0</v>
      </c>
      <c r="AY3909">
        <v>0</v>
      </c>
      <c r="AZ3909">
        <v>0</v>
      </c>
      <c r="BA3909">
        <v>60</v>
      </c>
      <c r="BE3909" t="str">
        <f>T("9791137018655")</f>
        <v>9791137018655</v>
      </c>
      <c r="BF3909" t="str">
        <f>T("k345084")</f>
        <v>k345084</v>
      </c>
      <c r="BG3909" t="str">
        <f>T("판타지 웹소설 &gt; 퓨전 판타지")</f>
        <v>판타지 웹소설 &gt; 퓨전 판타지</v>
      </c>
    </row>
    <row r="3910" spans="1:59">
      <c r="A3910" t="s">
        <v>60</v>
      </c>
      <c r="B3910" s="1">
        <v>46131</v>
      </c>
      <c r="C3910">
        <v>2378062653</v>
      </c>
      <c r="D3910">
        <v>2378068197</v>
      </c>
      <c r="E3910" t="str">
        <f>T("시한부라 은퇴합니다 241화")</f>
        <v>시한부라 은퇴합니다 241화</v>
      </c>
      <c r="F3910">
        <v>241</v>
      </c>
      <c r="G3910" t="str">
        <f>T("해달수")</f>
        <v>해달수</v>
      </c>
      <c r="J3910" t="str">
        <f>T("매드햇")</f>
        <v>매드햇</v>
      </c>
      <c r="K3910" t="str">
        <f>T("시한부라 은퇴합니다")</f>
        <v>시한부라 은퇴합니다</v>
      </c>
      <c r="L3910">
        <v>100</v>
      </c>
      <c r="M3910">
        <v>100</v>
      </c>
      <c r="N3910">
        <v>1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0</v>
      </c>
      <c r="AC3910">
        <v>0</v>
      </c>
      <c r="AD3910">
        <v>0</v>
      </c>
      <c r="AE3910">
        <v>0</v>
      </c>
      <c r="AF3910">
        <v>0</v>
      </c>
      <c r="AG3910">
        <v>0</v>
      </c>
      <c r="AH3910">
        <v>0</v>
      </c>
      <c r="AI3910">
        <v>100</v>
      </c>
      <c r="AJ3910">
        <v>1</v>
      </c>
      <c r="AK3910">
        <v>0</v>
      </c>
      <c r="AL3910">
        <v>0</v>
      </c>
      <c r="AM3910">
        <v>100</v>
      </c>
      <c r="AN3910">
        <v>0</v>
      </c>
      <c r="AO3910">
        <v>0</v>
      </c>
      <c r="AP3910">
        <v>0</v>
      </c>
      <c r="AQ3910">
        <v>0</v>
      </c>
      <c r="AS3910">
        <v>0</v>
      </c>
      <c r="AT3910">
        <v>0</v>
      </c>
      <c r="AV3910">
        <v>0</v>
      </c>
      <c r="AW3910">
        <v>0</v>
      </c>
      <c r="AY3910">
        <v>0</v>
      </c>
      <c r="AZ3910">
        <v>0</v>
      </c>
      <c r="BA3910">
        <v>60</v>
      </c>
      <c r="BE3910" t="str">
        <f>T("9791137018655")</f>
        <v>9791137018655</v>
      </c>
      <c r="BF3910" t="str">
        <f>T("k345085")</f>
        <v>k345085</v>
      </c>
      <c r="BG3910" t="str">
        <f>T("판타지 웹소설 &gt; 퓨전 판타지")</f>
        <v>판타지 웹소설 &gt; 퓨전 판타지</v>
      </c>
    </row>
    <row r="3911" spans="1:59">
      <c r="A3911" t="s">
        <v>60</v>
      </c>
      <c r="B3911" s="1">
        <v>46131</v>
      </c>
      <c r="C3911">
        <v>2378062653</v>
      </c>
      <c r="D3911">
        <v>2378068198</v>
      </c>
      <c r="E3911" t="str">
        <f>T("시한부라 은퇴합니다 242화")</f>
        <v>시한부라 은퇴합니다 242화</v>
      </c>
      <c r="F3911">
        <v>242</v>
      </c>
      <c r="G3911" t="str">
        <f>T("해달수")</f>
        <v>해달수</v>
      </c>
      <c r="J3911" t="str">
        <f>T("매드햇")</f>
        <v>매드햇</v>
      </c>
      <c r="K3911" t="str">
        <f>T("시한부라 은퇴합니다")</f>
        <v>시한부라 은퇴합니다</v>
      </c>
      <c r="L3911">
        <v>100</v>
      </c>
      <c r="M3911">
        <v>100</v>
      </c>
      <c r="N3911">
        <v>1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0</v>
      </c>
      <c r="AC3911">
        <v>0</v>
      </c>
      <c r="AD3911">
        <v>0</v>
      </c>
      <c r="AE3911">
        <v>0</v>
      </c>
      <c r="AF3911">
        <v>0</v>
      </c>
      <c r="AG3911">
        <v>0</v>
      </c>
      <c r="AH3911">
        <v>0</v>
      </c>
      <c r="AI3911">
        <v>100</v>
      </c>
      <c r="AJ3911">
        <v>1</v>
      </c>
      <c r="AK3911">
        <v>0</v>
      </c>
      <c r="AL3911">
        <v>0</v>
      </c>
      <c r="AM3911">
        <v>100</v>
      </c>
      <c r="AN3911">
        <v>0</v>
      </c>
      <c r="AO3911">
        <v>0</v>
      </c>
      <c r="AP3911">
        <v>0</v>
      </c>
      <c r="AQ3911">
        <v>0</v>
      </c>
      <c r="AS3911">
        <v>0</v>
      </c>
      <c r="AT3911">
        <v>0</v>
      </c>
      <c r="AV3911">
        <v>0</v>
      </c>
      <c r="AW3911">
        <v>0</v>
      </c>
      <c r="AY3911">
        <v>0</v>
      </c>
      <c r="AZ3911">
        <v>0</v>
      </c>
      <c r="BA3911">
        <v>60</v>
      </c>
      <c r="BE3911" t="str">
        <f>T("9791137018655")</f>
        <v>9791137018655</v>
      </c>
      <c r="BF3911" t="str">
        <f>T("k345954")</f>
        <v>k345954</v>
      </c>
      <c r="BG3911" t="str">
        <f>T("판타지 웹소설 &gt; 퓨전 판타지")</f>
        <v>판타지 웹소설 &gt; 퓨전 판타지</v>
      </c>
    </row>
    <row r="3912" spans="1:59">
      <c r="A3912" t="s">
        <v>60</v>
      </c>
      <c r="B3912" s="1">
        <v>46131</v>
      </c>
      <c r="C3912">
        <v>2378062653</v>
      </c>
      <c r="D3912">
        <v>2378068199</v>
      </c>
      <c r="E3912" t="str">
        <f>T("시한부라 은퇴합니다 243화")</f>
        <v>시한부라 은퇴합니다 243화</v>
      </c>
      <c r="F3912">
        <v>243</v>
      </c>
      <c r="G3912" t="str">
        <f>T("해달수")</f>
        <v>해달수</v>
      </c>
      <c r="J3912" t="str">
        <f>T("매드햇")</f>
        <v>매드햇</v>
      </c>
      <c r="K3912" t="str">
        <f>T("시한부라 은퇴합니다")</f>
        <v>시한부라 은퇴합니다</v>
      </c>
      <c r="L3912">
        <v>100</v>
      </c>
      <c r="M3912">
        <v>100</v>
      </c>
      <c r="N3912">
        <v>1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0</v>
      </c>
      <c r="AC3912">
        <v>0</v>
      </c>
      <c r="AD3912">
        <v>0</v>
      </c>
      <c r="AE3912">
        <v>0</v>
      </c>
      <c r="AF3912">
        <v>0</v>
      </c>
      <c r="AG3912">
        <v>0</v>
      </c>
      <c r="AH3912">
        <v>0</v>
      </c>
      <c r="AI3912">
        <v>100</v>
      </c>
      <c r="AJ3912">
        <v>1</v>
      </c>
      <c r="AK3912">
        <v>0</v>
      </c>
      <c r="AL3912">
        <v>0</v>
      </c>
      <c r="AM3912">
        <v>100</v>
      </c>
      <c r="AN3912">
        <v>0</v>
      </c>
      <c r="AO3912">
        <v>0</v>
      </c>
      <c r="AP3912">
        <v>0</v>
      </c>
      <c r="AQ3912">
        <v>0</v>
      </c>
      <c r="AS3912">
        <v>0</v>
      </c>
      <c r="AT3912">
        <v>0</v>
      </c>
      <c r="AV3912">
        <v>0</v>
      </c>
      <c r="AW3912">
        <v>0</v>
      </c>
      <c r="AY3912">
        <v>0</v>
      </c>
      <c r="AZ3912">
        <v>0</v>
      </c>
      <c r="BA3912">
        <v>60</v>
      </c>
      <c r="BE3912" t="str">
        <f>T("9791137018655")</f>
        <v>9791137018655</v>
      </c>
      <c r="BF3912" t="str">
        <f>T("k345955")</f>
        <v>k345955</v>
      </c>
      <c r="BG3912" t="str">
        <f>T("판타지 웹소설 &gt; 퓨전 판타지")</f>
        <v>판타지 웹소설 &gt; 퓨전 판타지</v>
      </c>
    </row>
    <row r="3913" spans="1:59">
      <c r="A3913" t="s">
        <v>60</v>
      </c>
      <c r="B3913" s="1">
        <v>46131</v>
      </c>
      <c r="C3913">
        <v>2378062653</v>
      </c>
      <c r="D3913">
        <v>2378068200</v>
      </c>
      <c r="E3913" t="str">
        <f>T("시한부라 은퇴합니다 244화")</f>
        <v>시한부라 은퇴합니다 244화</v>
      </c>
      <c r="F3913">
        <v>244</v>
      </c>
      <c r="G3913" t="str">
        <f>T("해달수")</f>
        <v>해달수</v>
      </c>
      <c r="J3913" t="str">
        <f>T("매드햇")</f>
        <v>매드햇</v>
      </c>
      <c r="K3913" t="str">
        <f>T("시한부라 은퇴합니다")</f>
        <v>시한부라 은퇴합니다</v>
      </c>
      <c r="L3913">
        <v>100</v>
      </c>
      <c r="M3913">
        <v>100</v>
      </c>
      <c r="N3913">
        <v>1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0</v>
      </c>
      <c r="AC3913">
        <v>0</v>
      </c>
      <c r="AD3913">
        <v>0</v>
      </c>
      <c r="AE3913">
        <v>0</v>
      </c>
      <c r="AF3913">
        <v>0</v>
      </c>
      <c r="AG3913">
        <v>0</v>
      </c>
      <c r="AH3913">
        <v>0</v>
      </c>
      <c r="AI3913">
        <v>100</v>
      </c>
      <c r="AJ3913">
        <v>1</v>
      </c>
      <c r="AK3913">
        <v>0</v>
      </c>
      <c r="AL3913">
        <v>0</v>
      </c>
      <c r="AM3913">
        <v>100</v>
      </c>
      <c r="AN3913">
        <v>0</v>
      </c>
      <c r="AO3913">
        <v>0</v>
      </c>
      <c r="AP3913">
        <v>0</v>
      </c>
      <c r="AQ3913">
        <v>0</v>
      </c>
      <c r="AS3913">
        <v>0</v>
      </c>
      <c r="AT3913">
        <v>0</v>
      </c>
      <c r="AV3913">
        <v>0</v>
      </c>
      <c r="AW3913">
        <v>0</v>
      </c>
      <c r="AY3913">
        <v>0</v>
      </c>
      <c r="AZ3913">
        <v>0</v>
      </c>
      <c r="BA3913">
        <v>60</v>
      </c>
      <c r="BE3913" t="str">
        <f>T("9791137018655")</f>
        <v>9791137018655</v>
      </c>
      <c r="BF3913" t="str">
        <f>T("k345956")</f>
        <v>k345956</v>
      </c>
      <c r="BG3913" t="str">
        <f>T("판타지 웹소설 &gt; 퓨전 판타지")</f>
        <v>판타지 웹소설 &gt; 퓨전 판타지</v>
      </c>
    </row>
    <row r="3914" spans="1:59">
      <c r="A3914" t="s">
        <v>60</v>
      </c>
      <c r="B3914" s="1">
        <v>46131</v>
      </c>
      <c r="C3914">
        <v>2378062653</v>
      </c>
      <c r="D3914">
        <v>2378068201</v>
      </c>
      <c r="E3914" t="str">
        <f>T("시한부라 은퇴합니다 245화")</f>
        <v>시한부라 은퇴합니다 245화</v>
      </c>
      <c r="F3914">
        <v>245</v>
      </c>
      <c r="G3914" t="str">
        <f>T("해달수")</f>
        <v>해달수</v>
      </c>
      <c r="J3914" t="str">
        <f>T("매드햇")</f>
        <v>매드햇</v>
      </c>
      <c r="K3914" t="str">
        <f>T("시한부라 은퇴합니다")</f>
        <v>시한부라 은퇴합니다</v>
      </c>
      <c r="L3914">
        <v>100</v>
      </c>
      <c r="M3914">
        <v>100</v>
      </c>
      <c r="N3914">
        <v>1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0</v>
      </c>
      <c r="AC3914">
        <v>0</v>
      </c>
      <c r="AD3914">
        <v>0</v>
      </c>
      <c r="AE3914">
        <v>0</v>
      </c>
      <c r="AF3914">
        <v>0</v>
      </c>
      <c r="AG3914">
        <v>0</v>
      </c>
      <c r="AH3914">
        <v>0</v>
      </c>
      <c r="AI3914">
        <v>100</v>
      </c>
      <c r="AJ3914">
        <v>1</v>
      </c>
      <c r="AK3914">
        <v>0</v>
      </c>
      <c r="AL3914">
        <v>0</v>
      </c>
      <c r="AM3914">
        <v>100</v>
      </c>
      <c r="AN3914">
        <v>0</v>
      </c>
      <c r="AO3914">
        <v>0</v>
      </c>
      <c r="AP3914">
        <v>0</v>
      </c>
      <c r="AQ3914">
        <v>0</v>
      </c>
      <c r="AS3914">
        <v>0</v>
      </c>
      <c r="AT3914">
        <v>0</v>
      </c>
      <c r="AV3914">
        <v>0</v>
      </c>
      <c r="AW3914">
        <v>0</v>
      </c>
      <c r="AY3914">
        <v>0</v>
      </c>
      <c r="AZ3914">
        <v>0</v>
      </c>
      <c r="BA3914">
        <v>60</v>
      </c>
      <c r="BE3914" t="str">
        <f>T("9791137018655")</f>
        <v>9791137018655</v>
      </c>
      <c r="BF3914" t="str">
        <f>T("k345957")</f>
        <v>k345957</v>
      </c>
      <c r="BG3914" t="str">
        <f>T("판타지 웹소설 &gt; 퓨전 판타지")</f>
        <v>판타지 웹소설 &gt; 퓨전 판타지</v>
      </c>
    </row>
    <row r="3915" spans="1:59">
      <c r="A3915" t="s">
        <v>60</v>
      </c>
      <c r="B3915" s="1">
        <v>46131</v>
      </c>
      <c r="C3915">
        <v>2378062653</v>
      </c>
      <c r="D3915">
        <v>2378068202</v>
      </c>
      <c r="E3915" t="str">
        <f>T("시한부라 은퇴합니다 246화 (완결)")</f>
        <v>시한부라 은퇴합니다 246화 (완결)</v>
      </c>
      <c r="F3915">
        <v>246</v>
      </c>
      <c r="G3915" t="str">
        <f>T("해달수")</f>
        <v>해달수</v>
      </c>
      <c r="J3915" t="str">
        <f>T("매드햇")</f>
        <v>매드햇</v>
      </c>
      <c r="K3915" t="str">
        <f>T("시한부라 은퇴합니다")</f>
        <v>시한부라 은퇴합니다</v>
      </c>
      <c r="L3915">
        <v>100</v>
      </c>
      <c r="M3915">
        <v>100</v>
      </c>
      <c r="N3915">
        <v>1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0</v>
      </c>
      <c r="AC3915">
        <v>0</v>
      </c>
      <c r="AD3915">
        <v>0</v>
      </c>
      <c r="AE3915">
        <v>0</v>
      </c>
      <c r="AF3915">
        <v>0</v>
      </c>
      <c r="AG3915">
        <v>0</v>
      </c>
      <c r="AH3915">
        <v>0</v>
      </c>
      <c r="AI3915">
        <v>100</v>
      </c>
      <c r="AJ3915">
        <v>1</v>
      </c>
      <c r="AK3915">
        <v>0</v>
      </c>
      <c r="AL3915">
        <v>0</v>
      </c>
      <c r="AM3915">
        <v>100</v>
      </c>
      <c r="AN3915">
        <v>0</v>
      </c>
      <c r="AO3915">
        <v>0</v>
      </c>
      <c r="AP3915">
        <v>0</v>
      </c>
      <c r="AQ3915">
        <v>0</v>
      </c>
      <c r="AS3915">
        <v>0</v>
      </c>
      <c r="AT3915">
        <v>0</v>
      </c>
      <c r="AV3915">
        <v>0</v>
      </c>
      <c r="AW3915">
        <v>0</v>
      </c>
      <c r="AY3915">
        <v>0</v>
      </c>
      <c r="AZ3915">
        <v>0</v>
      </c>
      <c r="BA3915">
        <v>60</v>
      </c>
      <c r="BE3915" t="str">
        <f>T("9791137018655")</f>
        <v>9791137018655</v>
      </c>
      <c r="BF3915" t="str">
        <f>T("k345958")</f>
        <v>k345958</v>
      </c>
      <c r="BG3915" t="str">
        <f>T("판타지 웹소설 &gt; 퓨전 판타지")</f>
        <v>판타지 웹소설 &gt; 퓨전 판타지</v>
      </c>
    </row>
    <row r="3916" spans="1:59">
      <c r="A3916" t="s">
        <v>60</v>
      </c>
      <c r="B3916" s="1">
        <v>46131</v>
      </c>
      <c r="C3916">
        <v>2378062653</v>
      </c>
      <c r="D3916">
        <v>2378068329</v>
      </c>
      <c r="E3916" t="str">
        <f>T("시한부라 은퇴합니다 외전 1화")</f>
        <v>시한부라 은퇴합니다 외전 1화</v>
      </c>
      <c r="F3916">
        <v>247</v>
      </c>
      <c r="G3916" t="str">
        <f>T("해달수")</f>
        <v>해달수</v>
      </c>
      <c r="J3916" t="str">
        <f>T("매드햇")</f>
        <v>매드햇</v>
      </c>
      <c r="K3916" t="str">
        <f>T("시한부라 은퇴합니다")</f>
        <v>시한부라 은퇴합니다</v>
      </c>
      <c r="L3916">
        <v>100</v>
      </c>
      <c r="M3916">
        <v>100</v>
      </c>
      <c r="N3916">
        <v>1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0</v>
      </c>
      <c r="AC3916">
        <v>0</v>
      </c>
      <c r="AD3916">
        <v>0</v>
      </c>
      <c r="AE3916">
        <v>0</v>
      </c>
      <c r="AF3916">
        <v>0</v>
      </c>
      <c r="AG3916">
        <v>0</v>
      </c>
      <c r="AH3916">
        <v>0</v>
      </c>
      <c r="AI3916">
        <v>100</v>
      </c>
      <c r="AJ3916">
        <v>1</v>
      </c>
      <c r="AK3916">
        <v>0</v>
      </c>
      <c r="AL3916">
        <v>0</v>
      </c>
      <c r="AM3916">
        <v>100</v>
      </c>
      <c r="AN3916">
        <v>0</v>
      </c>
      <c r="AO3916">
        <v>0</v>
      </c>
      <c r="AP3916">
        <v>0</v>
      </c>
      <c r="AQ3916">
        <v>0</v>
      </c>
      <c r="AS3916">
        <v>0</v>
      </c>
      <c r="AT3916">
        <v>0</v>
      </c>
      <c r="AV3916">
        <v>0</v>
      </c>
      <c r="AW3916">
        <v>0</v>
      </c>
      <c r="AY3916">
        <v>0</v>
      </c>
      <c r="AZ3916">
        <v>0</v>
      </c>
      <c r="BA3916">
        <v>60</v>
      </c>
      <c r="BE3916" t="str">
        <f>T("9791137018655")</f>
        <v>9791137018655</v>
      </c>
      <c r="BF3916" t="str">
        <f>T("k375717")</f>
        <v>k375717</v>
      </c>
      <c r="BG3916" t="str">
        <f>T("판타지 웹소설 &gt; 퓨전 판타지")</f>
        <v>판타지 웹소설 &gt; 퓨전 판타지</v>
      </c>
    </row>
    <row r="3917" spans="1:59">
      <c r="A3917" t="s">
        <v>60</v>
      </c>
      <c r="B3917" s="1">
        <v>46131</v>
      </c>
      <c r="C3917">
        <v>2378062653</v>
      </c>
      <c r="D3917">
        <v>2378068330</v>
      </c>
      <c r="E3917" t="str">
        <f>T("시한부라 은퇴합니다 외전 2화")</f>
        <v>시한부라 은퇴합니다 외전 2화</v>
      </c>
      <c r="F3917">
        <v>248</v>
      </c>
      <c r="G3917" t="str">
        <f>T("해달수")</f>
        <v>해달수</v>
      </c>
      <c r="J3917" t="str">
        <f>T("매드햇")</f>
        <v>매드햇</v>
      </c>
      <c r="K3917" t="str">
        <f>T("시한부라 은퇴합니다")</f>
        <v>시한부라 은퇴합니다</v>
      </c>
      <c r="L3917">
        <v>100</v>
      </c>
      <c r="M3917">
        <v>100</v>
      </c>
      <c r="N3917">
        <v>1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0</v>
      </c>
      <c r="AC3917">
        <v>0</v>
      </c>
      <c r="AD3917">
        <v>0</v>
      </c>
      <c r="AE3917">
        <v>0</v>
      </c>
      <c r="AF3917">
        <v>0</v>
      </c>
      <c r="AG3917">
        <v>0</v>
      </c>
      <c r="AH3917">
        <v>0</v>
      </c>
      <c r="AI3917">
        <v>100</v>
      </c>
      <c r="AJ3917">
        <v>1</v>
      </c>
      <c r="AK3917">
        <v>0</v>
      </c>
      <c r="AL3917">
        <v>0</v>
      </c>
      <c r="AM3917">
        <v>100</v>
      </c>
      <c r="AN3917">
        <v>0</v>
      </c>
      <c r="AO3917">
        <v>0</v>
      </c>
      <c r="AP3917">
        <v>0</v>
      </c>
      <c r="AQ3917">
        <v>0</v>
      </c>
      <c r="AS3917">
        <v>0</v>
      </c>
      <c r="AT3917">
        <v>0</v>
      </c>
      <c r="AV3917">
        <v>0</v>
      </c>
      <c r="AW3917">
        <v>0</v>
      </c>
      <c r="AY3917">
        <v>0</v>
      </c>
      <c r="AZ3917">
        <v>0</v>
      </c>
      <c r="BA3917">
        <v>60</v>
      </c>
      <c r="BE3917" t="str">
        <f>T("9791137018655")</f>
        <v>9791137018655</v>
      </c>
      <c r="BF3917" t="str">
        <f>T("k375718")</f>
        <v>k375718</v>
      </c>
      <c r="BG3917" t="str">
        <f>T("판타지 웹소설 &gt; 퓨전 판타지")</f>
        <v>판타지 웹소설 &gt; 퓨전 판타지</v>
      </c>
    </row>
    <row r="3918" spans="1:59">
      <c r="A3918" t="s">
        <v>60</v>
      </c>
      <c r="B3918" s="1">
        <v>46131</v>
      </c>
      <c r="C3918">
        <v>2378062653</v>
      </c>
      <c r="D3918">
        <v>2378068331</v>
      </c>
      <c r="E3918" t="str">
        <f>T("시한부라 은퇴합니다 외전 3화")</f>
        <v>시한부라 은퇴합니다 외전 3화</v>
      </c>
      <c r="F3918">
        <v>249</v>
      </c>
      <c r="G3918" t="str">
        <f>T("해달수")</f>
        <v>해달수</v>
      </c>
      <c r="J3918" t="str">
        <f>T("매드햇")</f>
        <v>매드햇</v>
      </c>
      <c r="K3918" t="str">
        <f>T("시한부라 은퇴합니다")</f>
        <v>시한부라 은퇴합니다</v>
      </c>
      <c r="L3918">
        <v>100</v>
      </c>
      <c r="M3918">
        <v>100</v>
      </c>
      <c r="N3918">
        <v>1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0</v>
      </c>
      <c r="AC3918">
        <v>0</v>
      </c>
      <c r="AD3918">
        <v>0</v>
      </c>
      <c r="AE3918">
        <v>0</v>
      </c>
      <c r="AF3918">
        <v>0</v>
      </c>
      <c r="AG3918">
        <v>0</v>
      </c>
      <c r="AH3918">
        <v>0</v>
      </c>
      <c r="AI3918">
        <v>100</v>
      </c>
      <c r="AJ3918">
        <v>1</v>
      </c>
      <c r="AK3918">
        <v>0</v>
      </c>
      <c r="AL3918">
        <v>0</v>
      </c>
      <c r="AM3918">
        <v>100</v>
      </c>
      <c r="AN3918">
        <v>0</v>
      </c>
      <c r="AO3918">
        <v>0</v>
      </c>
      <c r="AP3918">
        <v>0</v>
      </c>
      <c r="AQ3918">
        <v>0</v>
      </c>
      <c r="AS3918">
        <v>0</v>
      </c>
      <c r="AT3918">
        <v>0</v>
      </c>
      <c r="AV3918">
        <v>0</v>
      </c>
      <c r="AW3918">
        <v>0</v>
      </c>
      <c r="AY3918">
        <v>0</v>
      </c>
      <c r="AZ3918">
        <v>0</v>
      </c>
      <c r="BA3918">
        <v>60</v>
      </c>
      <c r="BE3918" t="str">
        <f>T("9791137018655")</f>
        <v>9791137018655</v>
      </c>
      <c r="BF3918" t="str">
        <f>T("k375719")</f>
        <v>k375719</v>
      </c>
      <c r="BG3918" t="str">
        <f>T("판타지 웹소설 &gt; 퓨전 판타지")</f>
        <v>판타지 웹소설 &gt; 퓨전 판타지</v>
      </c>
    </row>
    <row r="3919" spans="1:59">
      <c r="A3919" t="s">
        <v>60</v>
      </c>
      <c r="B3919" s="1">
        <v>46131</v>
      </c>
      <c r="C3919">
        <v>2378062653</v>
      </c>
      <c r="D3919">
        <v>2378068332</v>
      </c>
      <c r="E3919" t="str">
        <f>T("시한부라 은퇴합니다 외전 4화 (완결)")</f>
        <v>시한부라 은퇴합니다 외전 4화 (완결)</v>
      </c>
      <c r="F3919">
        <v>250</v>
      </c>
      <c r="G3919" t="str">
        <f>T("해달수")</f>
        <v>해달수</v>
      </c>
      <c r="J3919" t="str">
        <f>T("매드햇")</f>
        <v>매드햇</v>
      </c>
      <c r="K3919" t="str">
        <f>T("시한부라 은퇴합니다")</f>
        <v>시한부라 은퇴합니다</v>
      </c>
      <c r="L3919">
        <v>100</v>
      </c>
      <c r="M3919">
        <v>100</v>
      </c>
      <c r="N3919">
        <v>1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0</v>
      </c>
      <c r="AC3919">
        <v>0</v>
      </c>
      <c r="AD3919">
        <v>0</v>
      </c>
      <c r="AE3919">
        <v>0</v>
      </c>
      <c r="AF3919">
        <v>0</v>
      </c>
      <c r="AG3919">
        <v>0</v>
      </c>
      <c r="AH3919">
        <v>0</v>
      </c>
      <c r="AI3919">
        <v>100</v>
      </c>
      <c r="AJ3919">
        <v>1</v>
      </c>
      <c r="AK3919">
        <v>0</v>
      </c>
      <c r="AL3919">
        <v>0</v>
      </c>
      <c r="AM3919">
        <v>100</v>
      </c>
      <c r="AN3919">
        <v>0</v>
      </c>
      <c r="AO3919">
        <v>0</v>
      </c>
      <c r="AP3919">
        <v>0</v>
      </c>
      <c r="AQ3919">
        <v>0</v>
      </c>
      <c r="AS3919">
        <v>0</v>
      </c>
      <c r="AT3919">
        <v>0</v>
      </c>
      <c r="AV3919">
        <v>0</v>
      </c>
      <c r="AW3919">
        <v>0</v>
      </c>
      <c r="AY3919">
        <v>0</v>
      </c>
      <c r="AZ3919">
        <v>0</v>
      </c>
      <c r="BA3919">
        <v>60</v>
      </c>
      <c r="BE3919" t="str">
        <f>T("9791137018655")</f>
        <v>9791137018655</v>
      </c>
      <c r="BF3919" t="str">
        <f>T("k375720")</f>
        <v>k375720</v>
      </c>
      <c r="BG3919" t="str">
        <f>T("판타지 웹소설 &gt; 퓨전 판타지")</f>
        <v>판타지 웹소설 &gt; 퓨전 판타지</v>
      </c>
    </row>
    <row r="3920" spans="1:59">
      <c r="A3920" t="s">
        <v>60</v>
      </c>
      <c r="B3920" s="1">
        <v>46129</v>
      </c>
      <c r="C3920">
        <v>2378069473</v>
      </c>
      <c r="D3920">
        <v>2378069473</v>
      </c>
      <c r="E3920" t="str">
        <f>T("신라의 왕좌는 제 겁니다 1화")</f>
        <v>신라의 왕좌는 제 겁니다 1화</v>
      </c>
      <c r="F3920">
        <v>1</v>
      </c>
      <c r="G3920" t="str">
        <f>T("매운아몬드")</f>
        <v>매운아몬드</v>
      </c>
      <c r="J3920" t="str">
        <f>T("사이렌")</f>
        <v>사이렌</v>
      </c>
      <c r="K3920" t="str">
        <f>T("신라의 왕좌는 제 겁니다")</f>
        <v>신라의 왕좌는 제 겁니다</v>
      </c>
      <c r="L3920">
        <v>0</v>
      </c>
      <c r="M3920">
        <v>0</v>
      </c>
      <c r="N3920">
        <v>0</v>
      </c>
      <c r="O3920">
        <v>1</v>
      </c>
      <c r="P3920">
        <v>0</v>
      </c>
      <c r="Q3920">
        <v>0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0</v>
      </c>
      <c r="AC3920">
        <v>0</v>
      </c>
      <c r="AD3920">
        <v>0</v>
      </c>
      <c r="AE3920">
        <v>0</v>
      </c>
      <c r="AF3920">
        <v>0</v>
      </c>
      <c r="AG3920">
        <v>0</v>
      </c>
      <c r="AH3920">
        <v>0</v>
      </c>
      <c r="AI3920">
        <v>0</v>
      </c>
      <c r="AJ3920">
        <v>1</v>
      </c>
      <c r="AK3920">
        <v>0</v>
      </c>
      <c r="AL3920">
        <v>0</v>
      </c>
      <c r="AM3920">
        <v>0</v>
      </c>
      <c r="AN3920">
        <v>0</v>
      </c>
      <c r="AO3920">
        <v>0</v>
      </c>
      <c r="AP3920">
        <v>0</v>
      </c>
      <c r="AQ3920">
        <v>0</v>
      </c>
      <c r="AS3920">
        <v>0</v>
      </c>
      <c r="AT3920">
        <v>0</v>
      </c>
      <c r="AV3920">
        <v>0</v>
      </c>
      <c r="AW3920">
        <v>0</v>
      </c>
      <c r="AY3920">
        <v>0</v>
      </c>
      <c r="AZ3920">
        <v>0</v>
      </c>
      <c r="BA3920">
        <v>0</v>
      </c>
      <c r="BE3920" t="str">
        <f>T("9791172700263")</f>
        <v>9791172700263</v>
      </c>
      <c r="BF3920" t="str">
        <f>T("k407469")</f>
        <v>k407469</v>
      </c>
      <c r="BG3920" t="str">
        <f>T("판타지 웹소설 &gt; 퓨전 판타지")</f>
        <v>판타지 웹소설 &gt; 퓨전 판타지</v>
      </c>
    </row>
    <row r="3921" spans="1:59">
      <c r="A3921" t="s">
        <v>60</v>
      </c>
      <c r="B3921" s="1">
        <v>46129</v>
      </c>
      <c r="C3921">
        <v>2378069473</v>
      </c>
      <c r="D3921">
        <v>2378073193</v>
      </c>
      <c r="E3921" t="str">
        <f>T("신라의 왕좌는 제 겁니다 235화")</f>
        <v>신라의 왕좌는 제 겁니다 235화</v>
      </c>
      <c r="F3921">
        <v>235</v>
      </c>
      <c r="G3921" t="str">
        <f>T("매운아몬드")</f>
        <v>매운아몬드</v>
      </c>
      <c r="J3921" t="str">
        <f>T("사이렌")</f>
        <v>사이렌</v>
      </c>
      <c r="K3921" t="str">
        <f>T("신라의 왕좌는 제 겁니다")</f>
        <v>신라의 왕좌는 제 겁니다</v>
      </c>
      <c r="L3921">
        <v>100</v>
      </c>
      <c r="M3921">
        <v>100</v>
      </c>
      <c r="N3921">
        <v>1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0</v>
      </c>
      <c r="AE3921">
        <v>0</v>
      </c>
      <c r="AF3921">
        <v>0</v>
      </c>
      <c r="AG3921">
        <v>0</v>
      </c>
      <c r="AH3921">
        <v>0</v>
      </c>
      <c r="AI3921">
        <v>100</v>
      </c>
      <c r="AJ3921">
        <v>1</v>
      </c>
      <c r="AK3921">
        <v>0</v>
      </c>
      <c r="AL3921">
        <v>0</v>
      </c>
      <c r="AM3921">
        <v>100</v>
      </c>
      <c r="AN3921">
        <v>0</v>
      </c>
      <c r="AO3921">
        <v>0</v>
      </c>
      <c r="AP3921">
        <v>0</v>
      </c>
      <c r="AQ3921">
        <v>0</v>
      </c>
      <c r="AS3921">
        <v>0</v>
      </c>
      <c r="AT3921">
        <v>0</v>
      </c>
      <c r="AV3921">
        <v>0</v>
      </c>
      <c r="AW3921">
        <v>0</v>
      </c>
      <c r="AY3921">
        <v>0</v>
      </c>
      <c r="AZ3921">
        <v>0</v>
      </c>
      <c r="BA3921">
        <v>60</v>
      </c>
      <c r="BE3921" t="str">
        <f>T("9791172700263")</f>
        <v>9791172700263</v>
      </c>
      <c r="BF3921" t="str">
        <f>T("B012123")</f>
        <v>B012123</v>
      </c>
      <c r="BG3921" t="str">
        <f>T("판타지 웹소설 &gt; 퓨전 판타지")</f>
        <v>판타지 웹소설 &gt; 퓨전 판타지</v>
      </c>
    </row>
    <row r="3922" spans="1:59">
      <c r="A3922" t="s">
        <v>60</v>
      </c>
      <c r="B3922" s="1">
        <v>46130</v>
      </c>
      <c r="C3922">
        <v>2378069473</v>
      </c>
      <c r="D3922">
        <v>2378073194</v>
      </c>
      <c r="E3922" t="str">
        <f>T("신라의 왕좌는 제 겁니다 236화")</f>
        <v>신라의 왕좌는 제 겁니다 236화</v>
      </c>
      <c r="F3922">
        <v>236</v>
      </c>
      <c r="G3922" t="str">
        <f>T("매운아몬드")</f>
        <v>매운아몬드</v>
      </c>
      <c r="J3922" t="str">
        <f>T("사이렌")</f>
        <v>사이렌</v>
      </c>
      <c r="K3922" t="str">
        <f>T("신라의 왕좌는 제 겁니다")</f>
        <v>신라의 왕좌는 제 겁니다</v>
      </c>
      <c r="L3922">
        <v>100</v>
      </c>
      <c r="M3922">
        <v>100</v>
      </c>
      <c r="N3922">
        <v>1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0</v>
      </c>
      <c r="AE3922">
        <v>0</v>
      </c>
      <c r="AF3922">
        <v>0</v>
      </c>
      <c r="AG3922">
        <v>0</v>
      </c>
      <c r="AH3922">
        <v>0</v>
      </c>
      <c r="AI3922">
        <v>100</v>
      </c>
      <c r="AJ3922">
        <v>1</v>
      </c>
      <c r="AK3922">
        <v>0</v>
      </c>
      <c r="AL3922">
        <v>0</v>
      </c>
      <c r="AM3922">
        <v>100</v>
      </c>
      <c r="AN3922">
        <v>0</v>
      </c>
      <c r="AO3922">
        <v>0</v>
      </c>
      <c r="AP3922">
        <v>0</v>
      </c>
      <c r="AQ3922">
        <v>0</v>
      </c>
      <c r="AS3922">
        <v>0</v>
      </c>
      <c r="AT3922">
        <v>0</v>
      </c>
      <c r="AV3922">
        <v>0</v>
      </c>
      <c r="AW3922">
        <v>0</v>
      </c>
      <c r="AY3922">
        <v>0</v>
      </c>
      <c r="AZ3922">
        <v>0</v>
      </c>
      <c r="BA3922">
        <v>60</v>
      </c>
      <c r="BE3922" t="str">
        <f>T("9791172700263")</f>
        <v>9791172700263</v>
      </c>
      <c r="BF3922" t="str">
        <f>T("B012124")</f>
        <v>B012124</v>
      </c>
      <c r="BG3922" t="str">
        <f>T("판타지 웹소설 &gt; 퓨전 판타지")</f>
        <v>판타지 웹소설 &gt; 퓨전 판타지</v>
      </c>
    </row>
    <row r="3923" spans="1:59">
      <c r="A3923" t="s">
        <v>60</v>
      </c>
      <c r="B3923" s="1">
        <v>46130</v>
      </c>
      <c r="C3923">
        <v>2378069473</v>
      </c>
      <c r="D3923">
        <v>2378069545</v>
      </c>
      <c r="E3923" t="str">
        <f>T("신라의 왕좌는 제 겁니다 73화")</f>
        <v>신라의 왕좌는 제 겁니다 73화</v>
      </c>
      <c r="F3923">
        <v>73</v>
      </c>
      <c r="G3923" t="str">
        <f>T("매운아몬드")</f>
        <v>매운아몬드</v>
      </c>
      <c r="J3923" t="str">
        <f>T("사이렌")</f>
        <v>사이렌</v>
      </c>
      <c r="K3923" t="str">
        <f>T("신라의 왕좌는 제 겁니다")</f>
        <v>신라의 왕좌는 제 겁니다</v>
      </c>
      <c r="L3923">
        <v>100</v>
      </c>
      <c r="M3923">
        <v>100</v>
      </c>
      <c r="N3923">
        <v>1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0</v>
      </c>
      <c r="AE3923">
        <v>0</v>
      </c>
      <c r="AF3923">
        <v>0</v>
      </c>
      <c r="AG3923">
        <v>0</v>
      </c>
      <c r="AH3923">
        <v>0</v>
      </c>
      <c r="AI3923">
        <v>100</v>
      </c>
      <c r="AJ3923">
        <v>1</v>
      </c>
      <c r="AK3923">
        <v>0</v>
      </c>
      <c r="AL3923">
        <v>0</v>
      </c>
      <c r="AM3923">
        <v>0</v>
      </c>
      <c r="AN3923">
        <v>0</v>
      </c>
      <c r="AO3923">
        <v>120</v>
      </c>
      <c r="AP3923">
        <v>-36</v>
      </c>
      <c r="AQ3923">
        <v>0</v>
      </c>
      <c r="AR3923">
        <v>120</v>
      </c>
      <c r="AS3923">
        <v>-36</v>
      </c>
      <c r="AT3923">
        <v>0</v>
      </c>
      <c r="AV3923">
        <v>0</v>
      </c>
      <c r="AW3923">
        <v>0</v>
      </c>
      <c r="AY3923">
        <v>0</v>
      </c>
      <c r="AZ3923">
        <v>0</v>
      </c>
      <c r="BA3923">
        <v>50.4</v>
      </c>
      <c r="BE3923" t="str">
        <f>T("9791172700263")</f>
        <v>9791172700263</v>
      </c>
      <c r="BF3923" t="str">
        <f>T("k407541")</f>
        <v>k407541</v>
      </c>
      <c r="BG3923" t="str">
        <f>T("판타지 웹소설 &gt; 퓨전 판타지")</f>
        <v>판타지 웹소설 &gt; 퓨전 판타지</v>
      </c>
    </row>
    <row r="3924" spans="1:59">
      <c r="A3924" t="s">
        <v>60</v>
      </c>
      <c r="B3924" s="1">
        <v>46130</v>
      </c>
      <c r="C3924">
        <v>2378069473</v>
      </c>
      <c r="D3924">
        <v>2378069473</v>
      </c>
      <c r="E3924" t="str">
        <f>T("신라의 왕좌는 제 겁니다 1화")</f>
        <v>신라의 왕좌는 제 겁니다 1화</v>
      </c>
      <c r="F3924">
        <v>1</v>
      </c>
      <c r="G3924" t="str">
        <f>T("매운아몬드")</f>
        <v>매운아몬드</v>
      </c>
      <c r="J3924" t="str">
        <f>T("사이렌")</f>
        <v>사이렌</v>
      </c>
      <c r="K3924" t="str">
        <f>T("신라의 왕좌는 제 겁니다")</f>
        <v>신라의 왕좌는 제 겁니다</v>
      </c>
      <c r="L3924">
        <v>0</v>
      </c>
      <c r="M3924">
        <v>0</v>
      </c>
      <c r="N3924">
        <v>0</v>
      </c>
      <c r="O3924">
        <v>2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0</v>
      </c>
      <c r="AE3924">
        <v>0</v>
      </c>
      <c r="AF3924">
        <v>0</v>
      </c>
      <c r="AG3924">
        <v>0</v>
      </c>
      <c r="AH3924">
        <v>0</v>
      </c>
      <c r="AI3924">
        <v>0</v>
      </c>
      <c r="AJ3924">
        <v>2</v>
      </c>
      <c r="AK3924">
        <v>0</v>
      </c>
      <c r="AL3924">
        <v>0</v>
      </c>
      <c r="AM3924">
        <v>0</v>
      </c>
      <c r="AN3924">
        <v>0</v>
      </c>
      <c r="AO3924">
        <v>0</v>
      </c>
      <c r="AP3924">
        <v>0</v>
      </c>
      <c r="AQ3924">
        <v>0</v>
      </c>
      <c r="AS3924">
        <v>0</v>
      </c>
      <c r="AT3924">
        <v>0</v>
      </c>
      <c r="AV3924">
        <v>0</v>
      </c>
      <c r="AW3924">
        <v>0</v>
      </c>
      <c r="AY3924">
        <v>0</v>
      </c>
      <c r="AZ3924">
        <v>0</v>
      </c>
      <c r="BA3924">
        <v>0</v>
      </c>
      <c r="BE3924" t="str">
        <f>T("9791172700263")</f>
        <v>9791172700263</v>
      </c>
      <c r="BF3924" t="str">
        <f>T("k407469")</f>
        <v>k407469</v>
      </c>
      <c r="BG3924" t="str">
        <f>T("판타지 웹소설 &gt; 퓨전 판타지")</f>
        <v>판타지 웹소설 &gt; 퓨전 판타지</v>
      </c>
    </row>
    <row r="3925" spans="1:59">
      <c r="A3925" t="s">
        <v>60</v>
      </c>
      <c r="B3925" s="1">
        <v>46130</v>
      </c>
      <c r="C3925">
        <v>2378069473</v>
      </c>
      <c r="D3925">
        <v>2378069474</v>
      </c>
      <c r="E3925" t="str">
        <f>T("신라의 왕좌는 제 겁니다 2화")</f>
        <v>신라의 왕좌는 제 겁니다 2화</v>
      </c>
      <c r="F3925">
        <v>2</v>
      </c>
      <c r="G3925" t="str">
        <f>T("매운아몬드")</f>
        <v>매운아몬드</v>
      </c>
      <c r="J3925" t="str">
        <f>T("사이렌")</f>
        <v>사이렌</v>
      </c>
      <c r="K3925" t="str">
        <f>T("신라의 왕좌는 제 겁니다")</f>
        <v>신라의 왕좌는 제 겁니다</v>
      </c>
      <c r="L3925">
        <v>0</v>
      </c>
      <c r="M3925">
        <v>0</v>
      </c>
      <c r="N3925">
        <v>0</v>
      </c>
      <c r="O3925">
        <v>1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0</v>
      </c>
      <c r="AE3925">
        <v>0</v>
      </c>
      <c r="AF3925">
        <v>0</v>
      </c>
      <c r="AG3925">
        <v>0</v>
      </c>
      <c r="AH3925">
        <v>0</v>
      </c>
      <c r="AI3925">
        <v>0</v>
      </c>
      <c r="AJ3925">
        <v>1</v>
      </c>
      <c r="AK3925">
        <v>0</v>
      </c>
      <c r="AL3925">
        <v>0</v>
      </c>
      <c r="AM3925">
        <v>0</v>
      </c>
      <c r="AN3925">
        <v>0</v>
      </c>
      <c r="AO3925">
        <v>0</v>
      </c>
      <c r="AP3925">
        <v>0</v>
      </c>
      <c r="AQ3925">
        <v>0</v>
      </c>
      <c r="AS3925">
        <v>0</v>
      </c>
      <c r="AT3925">
        <v>0</v>
      </c>
      <c r="AV3925">
        <v>0</v>
      </c>
      <c r="AW3925">
        <v>0</v>
      </c>
      <c r="AY3925">
        <v>0</v>
      </c>
      <c r="AZ3925">
        <v>0</v>
      </c>
      <c r="BA3925">
        <v>0</v>
      </c>
      <c r="BE3925" t="str">
        <f>T("9791172700263")</f>
        <v>9791172700263</v>
      </c>
      <c r="BF3925" t="str">
        <f>T("k407470")</f>
        <v>k407470</v>
      </c>
      <c r="BG3925" t="str">
        <f>T("판타지 웹소설 &gt; 퓨전 판타지")</f>
        <v>판타지 웹소설 &gt; 퓨전 판타지</v>
      </c>
    </row>
    <row r="3926" spans="1:59">
      <c r="A3926" t="s">
        <v>60</v>
      </c>
      <c r="B3926" s="1">
        <v>46130</v>
      </c>
      <c r="C3926">
        <v>2378069473</v>
      </c>
      <c r="D3926">
        <v>2378069547</v>
      </c>
      <c r="E3926" t="str">
        <f>T("신라의 왕좌는 제 겁니다 75화")</f>
        <v>신라의 왕좌는 제 겁니다 75화</v>
      </c>
      <c r="F3926">
        <v>75</v>
      </c>
      <c r="G3926" t="str">
        <f>T("매운아몬드")</f>
        <v>매운아몬드</v>
      </c>
      <c r="J3926" t="str">
        <f>T("사이렌")</f>
        <v>사이렌</v>
      </c>
      <c r="K3926" t="str">
        <f>T("신라의 왕좌는 제 겁니다")</f>
        <v>신라의 왕좌는 제 겁니다</v>
      </c>
      <c r="L3926">
        <v>100</v>
      </c>
      <c r="M3926">
        <v>100</v>
      </c>
      <c r="N3926">
        <v>1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0</v>
      </c>
      <c r="AE3926">
        <v>0</v>
      </c>
      <c r="AF3926">
        <v>0</v>
      </c>
      <c r="AG3926">
        <v>0</v>
      </c>
      <c r="AH3926">
        <v>0</v>
      </c>
      <c r="AI3926">
        <v>100</v>
      </c>
      <c r="AJ3926">
        <v>1</v>
      </c>
      <c r="AK3926">
        <v>0</v>
      </c>
      <c r="AL3926">
        <v>0</v>
      </c>
      <c r="AM3926">
        <v>0</v>
      </c>
      <c r="AN3926">
        <v>0</v>
      </c>
      <c r="AO3926">
        <v>120</v>
      </c>
      <c r="AP3926">
        <v>-36</v>
      </c>
      <c r="AQ3926">
        <v>0</v>
      </c>
      <c r="AR3926">
        <v>120</v>
      </c>
      <c r="AS3926">
        <v>-36</v>
      </c>
      <c r="AT3926">
        <v>0</v>
      </c>
      <c r="AV3926">
        <v>0</v>
      </c>
      <c r="AW3926">
        <v>0</v>
      </c>
      <c r="AY3926">
        <v>0</v>
      </c>
      <c r="AZ3926">
        <v>0</v>
      </c>
      <c r="BA3926">
        <v>50.4</v>
      </c>
      <c r="BE3926" t="str">
        <f>T("9791172700263")</f>
        <v>9791172700263</v>
      </c>
      <c r="BF3926" t="str">
        <f>T("k407543")</f>
        <v>k407543</v>
      </c>
      <c r="BG3926" t="str">
        <f>T("판타지 웹소설 &gt; 퓨전 판타지")</f>
        <v>판타지 웹소설 &gt; 퓨전 판타지</v>
      </c>
    </row>
    <row r="3927" spans="1:59">
      <c r="A3927" t="s">
        <v>60</v>
      </c>
      <c r="B3927" s="1">
        <v>46130</v>
      </c>
      <c r="C3927">
        <v>2378069473</v>
      </c>
      <c r="D3927">
        <v>2378069548</v>
      </c>
      <c r="E3927" t="str">
        <f>T("신라의 왕좌는 제 겁니다 76화")</f>
        <v>신라의 왕좌는 제 겁니다 76화</v>
      </c>
      <c r="F3927">
        <v>76</v>
      </c>
      <c r="G3927" t="str">
        <f>T("매운아몬드")</f>
        <v>매운아몬드</v>
      </c>
      <c r="J3927" t="str">
        <f>T("사이렌")</f>
        <v>사이렌</v>
      </c>
      <c r="K3927" t="str">
        <f>T("신라의 왕좌는 제 겁니다")</f>
        <v>신라의 왕좌는 제 겁니다</v>
      </c>
      <c r="L3927">
        <v>100</v>
      </c>
      <c r="M3927">
        <v>100</v>
      </c>
      <c r="N3927">
        <v>1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0</v>
      </c>
      <c r="AE3927">
        <v>0</v>
      </c>
      <c r="AF3927">
        <v>0</v>
      </c>
      <c r="AG3927">
        <v>0</v>
      </c>
      <c r="AH3927">
        <v>0</v>
      </c>
      <c r="AI3927">
        <v>100</v>
      </c>
      <c r="AJ3927">
        <v>1</v>
      </c>
      <c r="AK3927">
        <v>0</v>
      </c>
      <c r="AL3927">
        <v>0</v>
      </c>
      <c r="AM3927">
        <v>0</v>
      </c>
      <c r="AN3927">
        <v>0</v>
      </c>
      <c r="AO3927">
        <v>120</v>
      </c>
      <c r="AP3927">
        <v>-36</v>
      </c>
      <c r="AQ3927">
        <v>0</v>
      </c>
      <c r="AR3927">
        <v>120</v>
      </c>
      <c r="AS3927">
        <v>-36</v>
      </c>
      <c r="AT3927">
        <v>0</v>
      </c>
      <c r="AV3927">
        <v>0</v>
      </c>
      <c r="AW3927">
        <v>0</v>
      </c>
      <c r="AY3927">
        <v>0</v>
      </c>
      <c r="AZ3927">
        <v>0</v>
      </c>
      <c r="BA3927">
        <v>50.4</v>
      </c>
      <c r="BE3927" t="str">
        <f>T("9791172700263")</f>
        <v>9791172700263</v>
      </c>
      <c r="BF3927" t="str">
        <f>T("k407544")</f>
        <v>k407544</v>
      </c>
      <c r="BG3927" t="str">
        <f>T("판타지 웹소설 &gt; 퓨전 판타지")</f>
        <v>판타지 웹소설 &gt; 퓨전 판타지</v>
      </c>
    </row>
    <row r="3928" spans="1:59">
      <c r="A3928" t="s">
        <v>60</v>
      </c>
      <c r="B3928" s="1">
        <v>46130</v>
      </c>
      <c r="C3928">
        <v>2378069473</v>
      </c>
      <c r="D3928">
        <v>2378069549</v>
      </c>
      <c r="E3928" t="str">
        <f>T("신라의 왕좌는 제 겁니다 77화")</f>
        <v>신라의 왕좌는 제 겁니다 77화</v>
      </c>
      <c r="F3928">
        <v>77</v>
      </c>
      <c r="G3928" t="str">
        <f>T("매운아몬드")</f>
        <v>매운아몬드</v>
      </c>
      <c r="J3928" t="str">
        <f>T("사이렌")</f>
        <v>사이렌</v>
      </c>
      <c r="K3928" t="str">
        <f>T("신라의 왕좌는 제 겁니다")</f>
        <v>신라의 왕좌는 제 겁니다</v>
      </c>
      <c r="L3928">
        <v>100</v>
      </c>
      <c r="M3928">
        <v>100</v>
      </c>
      <c r="N3928">
        <v>1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0</v>
      </c>
      <c r="AE3928">
        <v>0</v>
      </c>
      <c r="AF3928">
        <v>0</v>
      </c>
      <c r="AG3928">
        <v>0</v>
      </c>
      <c r="AH3928">
        <v>0</v>
      </c>
      <c r="AI3928">
        <v>100</v>
      </c>
      <c r="AJ3928">
        <v>1</v>
      </c>
      <c r="AK3928">
        <v>0</v>
      </c>
      <c r="AL3928">
        <v>0</v>
      </c>
      <c r="AM3928">
        <v>0</v>
      </c>
      <c r="AN3928">
        <v>0</v>
      </c>
      <c r="AO3928">
        <v>120</v>
      </c>
      <c r="AP3928">
        <v>-36</v>
      </c>
      <c r="AQ3928">
        <v>0</v>
      </c>
      <c r="AR3928">
        <v>120</v>
      </c>
      <c r="AS3928">
        <v>-36</v>
      </c>
      <c r="AT3928">
        <v>0</v>
      </c>
      <c r="AV3928">
        <v>0</v>
      </c>
      <c r="AW3928">
        <v>0</v>
      </c>
      <c r="AY3928">
        <v>0</v>
      </c>
      <c r="AZ3928">
        <v>0</v>
      </c>
      <c r="BA3928">
        <v>50.4</v>
      </c>
      <c r="BE3928" t="str">
        <f>T("9791172700263")</f>
        <v>9791172700263</v>
      </c>
      <c r="BF3928" t="str">
        <f>T("k407545")</f>
        <v>k407545</v>
      </c>
      <c r="BG3928" t="str">
        <f>T("판타지 웹소설 &gt; 퓨전 판타지")</f>
        <v>판타지 웹소설 &gt; 퓨전 판타지</v>
      </c>
    </row>
    <row r="3929" spans="1:59">
      <c r="A3929" t="s">
        <v>60</v>
      </c>
      <c r="B3929" s="1">
        <v>46130</v>
      </c>
      <c r="C3929">
        <v>2378069473</v>
      </c>
      <c r="D3929">
        <v>2378069550</v>
      </c>
      <c r="E3929" t="str">
        <f>T("신라의 왕좌는 제 겁니다 78화")</f>
        <v>신라의 왕좌는 제 겁니다 78화</v>
      </c>
      <c r="F3929">
        <v>78</v>
      </c>
      <c r="G3929" t="str">
        <f>T("매운아몬드")</f>
        <v>매운아몬드</v>
      </c>
      <c r="J3929" t="str">
        <f>T("사이렌")</f>
        <v>사이렌</v>
      </c>
      <c r="K3929" t="str">
        <f>T("신라의 왕좌는 제 겁니다")</f>
        <v>신라의 왕좌는 제 겁니다</v>
      </c>
      <c r="L3929">
        <v>100</v>
      </c>
      <c r="M3929">
        <v>100</v>
      </c>
      <c r="N3929">
        <v>1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0</v>
      </c>
      <c r="AE3929">
        <v>0</v>
      </c>
      <c r="AF3929">
        <v>0</v>
      </c>
      <c r="AG3929">
        <v>0</v>
      </c>
      <c r="AH3929">
        <v>0</v>
      </c>
      <c r="AI3929">
        <v>100</v>
      </c>
      <c r="AJ3929">
        <v>1</v>
      </c>
      <c r="AK3929">
        <v>0</v>
      </c>
      <c r="AL3929">
        <v>0</v>
      </c>
      <c r="AM3929">
        <v>0</v>
      </c>
      <c r="AN3929">
        <v>0</v>
      </c>
      <c r="AO3929">
        <v>120</v>
      </c>
      <c r="AP3929">
        <v>-36</v>
      </c>
      <c r="AQ3929">
        <v>0</v>
      </c>
      <c r="AR3929">
        <v>120</v>
      </c>
      <c r="AS3929">
        <v>-36</v>
      </c>
      <c r="AT3929">
        <v>0</v>
      </c>
      <c r="AV3929">
        <v>0</v>
      </c>
      <c r="AW3929">
        <v>0</v>
      </c>
      <c r="AY3929">
        <v>0</v>
      </c>
      <c r="AZ3929">
        <v>0</v>
      </c>
      <c r="BA3929">
        <v>50.4</v>
      </c>
      <c r="BE3929" t="str">
        <f>T("9791172700263")</f>
        <v>9791172700263</v>
      </c>
      <c r="BF3929" t="str">
        <f>T("k407546")</f>
        <v>k407546</v>
      </c>
      <c r="BG3929" t="str">
        <f>T("판타지 웹소설 &gt; 퓨전 판타지")</f>
        <v>판타지 웹소설 &gt; 퓨전 판타지</v>
      </c>
    </row>
    <row r="3930" spans="1:59">
      <c r="A3930" t="s">
        <v>60</v>
      </c>
      <c r="B3930" s="1">
        <v>46130</v>
      </c>
      <c r="C3930">
        <v>2378069473</v>
      </c>
      <c r="D3930">
        <v>2378069551</v>
      </c>
      <c r="E3930" t="str">
        <f>T("신라의 왕좌는 제 겁니다 79화")</f>
        <v>신라의 왕좌는 제 겁니다 79화</v>
      </c>
      <c r="F3930">
        <v>79</v>
      </c>
      <c r="G3930" t="str">
        <f>T("매운아몬드")</f>
        <v>매운아몬드</v>
      </c>
      <c r="J3930" t="str">
        <f>T("사이렌")</f>
        <v>사이렌</v>
      </c>
      <c r="K3930" t="str">
        <f>T("신라의 왕좌는 제 겁니다")</f>
        <v>신라의 왕좌는 제 겁니다</v>
      </c>
      <c r="L3930">
        <v>100</v>
      </c>
      <c r="M3930">
        <v>100</v>
      </c>
      <c r="N3930">
        <v>1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0</v>
      </c>
      <c r="AE3930">
        <v>0</v>
      </c>
      <c r="AF3930">
        <v>0</v>
      </c>
      <c r="AG3930">
        <v>0</v>
      </c>
      <c r="AH3930">
        <v>0</v>
      </c>
      <c r="AI3930">
        <v>100</v>
      </c>
      <c r="AJ3930">
        <v>1</v>
      </c>
      <c r="AK3930">
        <v>0</v>
      </c>
      <c r="AL3930">
        <v>0</v>
      </c>
      <c r="AM3930">
        <v>0</v>
      </c>
      <c r="AN3930">
        <v>0</v>
      </c>
      <c r="AO3930">
        <v>120</v>
      </c>
      <c r="AP3930">
        <v>-36</v>
      </c>
      <c r="AQ3930">
        <v>0</v>
      </c>
      <c r="AR3930">
        <v>120</v>
      </c>
      <c r="AS3930">
        <v>-36</v>
      </c>
      <c r="AT3930">
        <v>0</v>
      </c>
      <c r="AV3930">
        <v>0</v>
      </c>
      <c r="AW3930">
        <v>0</v>
      </c>
      <c r="AY3930">
        <v>0</v>
      </c>
      <c r="AZ3930">
        <v>0</v>
      </c>
      <c r="BA3930">
        <v>50.4</v>
      </c>
      <c r="BE3930" t="str">
        <f>T("9791172700263")</f>
        <v>9791172700263</v>
      </c>
      <c r="BF3930" t="str">
        <f>T("k407547")</f>
        <v>k407547</v>
      </c>
      <c r="BG3930" t="str">
        <f>T("판타지 웹소설 &gt; 퓨전 판타지")</f>
        <v>판타지 웹소설 &gt; 퓨전 판타지</v>
      </c>
    </row>
    <row r="3931" spans="1:59">
      <c r="A3931" t="s">
        <v>60</v>
      </c>
      <c r="B3931" s="1">
        <v>46130</v>
      </c>
      <c r="C3931">
        <v>2378069473</v>
      </c>
      <c r="D3931">
        <v>2378069552</v>
      </c>
      <c r="E3931" t="str">
        <f>T("신라의 왕좌는 제 겁니다 80화")</f>
        <v>신라의 왕좌는 제 겁니다 80화</v>
      </c>
      <c r="F3931">
        <v>80</v>
      </c>
      <c r="G3931" t="str">
        <f>T("매운아몬드")</f>
        <v>매운아몬드</v>
      </c>
      <c r="J3931" t="str">
        <f>T("사이렌")</f>
        <v>사이렌</v>
      </c>
      <c r="K3931" t="str">
        <f>T("신라의 왕좌는 제 겁니다")</f>
        <v>신라의 왕좌는 제 겁니다</v>
      </c>
      <c r="L3931">
        <v>100</v>
      </c>
      <c r="M3931">
        <v>100</v>
      </c>
      <c r="N3931">
        <v>1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0</v>
      </c>
      <c r="AE3931">
        <v>0</v>
      </c>
      <c r="AF3931">
        <v>0</v>
      </c>
      <c r="AG3931">
        <v>0</v>
      </c>
      <c r="AH3931">
        <v>0</v>
      </c>
      <c r="AI3931">
        <v>100</v>
      </c>
      <c r="AJ3931">
        <v>1</v>
      </c>
      <c r="AK3931">
        <v>0</v>
      </c>
      <c r="AL3931">
        <v>0</v>
      </c>
      <c r="AM3931">
        <v>0</v>
      </c>
      <c r="AN3931">
        <v>0</v>
      </c>
      <c r="AO3931">
        <v>120</v>
      </c>
      <c r="AP3931">
        <v>-36</v>
      </c>
      <c r="AQ3931">
        <v>0</v>
      </c>
      <c r="AR3931">
        <v>120</v>
      </c>
      <c r="AS3931">
        <v>-36</v>
      </c>
      <c r="AT3931">
        <v>0</v>
      </c>
      <c r="AV3931">
        <v>0</v>
      </c>
      <c r="AW3931">
        <v>0</v>
      </c>
      <c r="AY3931">
        <v>0</v>
      </c>
      <c r="AZ3931">
        <v>0</v>
      </c>
      <c r="BA3931">
        <v>50.4</v>
      </c>
      <c r="BE3931" t="str">
        <f>T("9791172700263")</f>
        <v>9791172700263</v>
      </c>
      <c r="BF3931" t="str">
        <f>T("k407548")</f>
        <v>k407548</v>
      </c>
      <c r="BG3931" t="str">
        <f>T("판타지 웹소설 &gt; 퓨전 판타지")</f>
        <v>판타지 웹소설 &gt; 퓨전 판타지</v>
      </c>
    </row>
    <row r="3932" spans="1:59">
      <c r="A3932" t="s">
        <v>60</v>
      </c>
      <c r="B3932" s="1">
        <v>46130</v>
      </c>
      <c r="C3932">
        <v>2378069473</v>
      </c>
      <c r="D3932">
        <v>2378069553</v>
      </c>
      <c r="E3932" t="str">
        <f>T("신라의 왕좌는 제 겁니다 81화")</f>
        <v>신라의 왕좌는 제 겁니다 81화</v>
      </c>
      <c r="F3932">
        <v>81</v>
      </c>
      <c r="G3932" t="str">
        <f>T("매운아몬드")</f>
        <v>매운아몬드</v>
      </c>
      <c r="J3932" t="str">
        <f>T("사이렌")</f>
        <v>사이렌</v>
      </c>
      <c r="K3932" t="str">
        <f>T("신라의 왕좌는 제 겁니다")</f>
        <v>신라의 왕좌는 제 겁니다</v>
      </c>
      <c r="L3932">
        <v>100</v>
      </c>
      <c r="M3932">
        <v>100</v>
      </c>
      <c r="N3932">
        <v>1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0</v>
      </c>
      <c r="AE3932">
        <v>0</v>
      </c>
      <c r="AF3932">
        <v>0</v>
      </c>
      <c r="AG3932">
        <v>0</v>
      </c>
      <c r="AH3932">
        <v>0</v>
      </c>
      <c r="AI3932">
        <v>100</v>
      </c>
      <c r="AJ3932">
        <v>1</v>
      </c>
      <c r="AK3932">
        <v>0</v>
      </c>
      <c r="AL3932">
        <v>0</v>
      </c>
      <c r="AM3932">
        <v>0</v>
      </c>
      <c r="AN3932">
        <v>0</v>
      </c>
      <c r="AO3932">
        <v>120</v>
      </c>
      <c r="AP3932">
        <v>-36</v>
      </c>
      <c r="AQ3932">
        <v>0</v>
      </c>
      <c r="AR3932">
        <v>120</v>
      </c>
      <c r="AS3932">
        <v>-36</v>
      </c>
      <c r="AT3932">
        <v>0</v>
      </c>
      <c r="AV3932">
        <v>0</v>
      </c>
      <c r="AW3932">
        <v>0</v>
      </c>
      <c r="AY3932">
        <v>0</v>
      </c>
      <c r="AZ3932">
        <v>0</v>
      </c>
      <c r="BA3932">
        <v>50.4</v>
      </c>
      <c r="BE3932" t="str">
        <f>T("9791172700263")</f>
        <v>9791172700263</v>
      </c>
      <c r="BF3932" t="str">
        <f>T("k407549")</f>
        <v>k407549</v>
      </c>
      <c r="BG3932" t="str">
        <f>T("판타지 웹소설 &gt; 퓨전 판타지")</f>
        <v>판타지 웹소설 &gt; 퓨전 판타지</v>
      </c>
    </row>
    <row r="3933" spans="1:59">
      <c r="A3933" t="s">
        <v>60</v>
      </c>
      <c r="B3933" s="1">
        <v>46130</v>
      </c>
      <c r="C3933">
        <v>2378069473</v>
      </c>
      <c r="D3933">
        <v>2378069554</v>
      </c>
      <c r="E3933" t="str">
        <f>T("신라의 왕좌는 제 겁니다 82화")</f>
        <v>신라의 왕좌는 제 겁니다 82화</v>
      </c>
      <c r="F3933">
        <v>82</v>
      </c>
      <c r="G3933" t="str">
        <f>T("매운아몬드")</f>
        <v>매운아몬드</v>
      </c>
      <c r="J3933" t="str">
        <f>T("사이렌")</f>
        <v>사이렌</v>
      </c>
      <c r="K3933" t="str">
        <f>T("신라의 왕좌는 제 겁니다")</f>
        <v>신라의 왕좌는 제 겁니다</v>
      </c>
      <c r="L3933">
        <v>100</v>
      </c>
      <c r="M3933">
        <v>100</v>
      </c>
      <c r="N3933">
        <v>1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0</v>
      </c>
      <c r="AC3933">
        <v>0</v>
      </c>
      <c r="AD3933">
        <v>0</v>
      </c>
      <c r="AE3933">
        <v>0</v>
      </c>
      <c r="AF3933">
        <v>0</v>
      </c>
      <c r="AG3933">
        <v>0</v>
      </c>
      <c r="AH3933">
        <v>0</v>
      </c>
      <c r="AI3933">
        <v>100</v>
      </c>
      <c r="AJ3933">
        <v>1</v>
      </c>
      <c r="AK3933">
        <v>0</v>
      </c>
      <c r="AL3933">
        <v>0</v>
      </c>
      <c r="AM3933">
        <v>0</v>
      </c>
      <c r="AN3933">
        <v>0</v>
      </c>
      <c r="AO3933">
        <v>120</v>
      </c>
      <c r="AP3933">
        <v>-36</v>
      </c>
      <c r="AQ3933">
        <v>0</v>
      </c>
      <c r="AR3933">
        <v>120</v>
      </c>
      <c r="AS3933">
        <v>-36</v>
      </c>
      <c r="AT3933">
        <v>0</v>
      </c>
      <c r="AV3933">
        <v>0</v>
      </c>
      <c r="AW3933">
        <v>0</v>
      </c>
      <c r="AY3933">
        <v>0</v>
      </c>
      <c r="AZ3933">
        <v>0</v>
      </c>
      <c r="BA3933">
        <v>50.4</v>
      </c>
      <c r="BE3933" t="str">
        <f>T("9791172700263")</f>
        <v>9791172700263</v>
      </c>
      <c r="BF3933" t="str">
        <f>T("k407550")</f>
        <v>k407550</v>
      </c>
      <c r="BG3933" t="str">
        <f>T("판타지 웹소설 &gt; 퓨전 판타지")</f>
        <v>판타지 웹소설 &gt; 퓨전 판타지</v>
      </c>
    </row>
    <row r="3934" spans="1:59">
      <c r="A3934" t="s">
        <v>60</v>
      </c>
      <c r="B3934" s="1">
        <v>46130</v>
      </c>
      <c r="C3934">
        <v>2378069473</v>
      </c>
      <c r="D3934">
        <v>2378069555</v>
      </c>
      <c r="E3934" t="str">
        <f>T("신라의 왕좌는 제 겁니다 83화")</f>
        <v>신라의 왕좌는 제 겁니다 83화</v>
      </c>
      <c r="F3934">
        <v>83</v>
      </c>
      <c r="G3934" t="str">
        <f>T("매운아몬드")</f>
        <v>매운아몬드</v>
      </c>
      <c r="J3934" t="str">
        <f>T("사이렌")</f>
        <v>사이렌</v>
      </c>
      <c r="K3934" t="str">
        <f>T("신라의 왕좌는 제 겁니다")</f>
        <v>신라의 왕좌는 제 겁니다</v>
      </c>
      <c r="L3934">
        <v>100</v>
      </c>
      <c r="M3934">
        <v>100</v>
      </c>
      <c r="N3934">
        <v>1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0</v>
      </c>
      <c r="AC3934">
        <v>0</v>
      </c>
      <c r="AD3934">
        <v>0</v>
      </c>
      <c r="AE3934">
        <v>0</v>
      </c>
      <c r="AF3934">
        <v>0</v>
      </c>
      <c r="AG3934">
        <v>0</v>
      </c>
      <c r="AH3934">
        <v>0</v>
      </c>
      <c r="AI3934">
        <v>100</v>
      </c>
      <c r="AJ3934">
        <v>1</v>
      </c>
      <c r="AK3934">
        <v>0</v>
      </c>
      <c r="AL3934">
        <v>0</v>
      </c>
      <c r="AM3934">
        <v>0</v>
      </c>
      <c r="AN3934">
        <v>0</v>
      </c>
      <c r="AO3934">
        <v>120</v>
      </c>
      <c r="AP3934">
        <v>-36</v>
      </c>
      <c r="AQ3934">
        <v>0</v>
      </c>
      <c r="AR3934">
        <v>120</v>
      </c>
      <c r="AS3934">
        <v>-36</v>
      </c>
      <c r="AT3934">
        <v>0</v>
      </c>
      <c r="AV3934">
        <v>0</v>
      </c>
      <c r="AW3934">
        <v>0</v>
      </c>
      <c r="AY3934">
        <v>0</v>
      </c>
      <c r="AZ3934">
        <v>0</v>
      </c>
      <c r="BA3934">
        <v>50.4</v>
      </c>
      <c r="BE3934" t="str">
        <f>T("9791172700263")</f>
        <v>9791172700263</v>
      </c>
      <c r="BF3934" t="str">
        <f>T("k407551")</f>
        <v>k407551</v>
      </c>
      <c r="BG3934" t="str">
        <f>T("판타지 웹소설 &gt; 퓨전 판타지")</f>
        <v>판타지 웹소설 &gt; 퓨전 판타지</v>
      </c>
    </row>
    <row r="3935" spans="1:59">
      <c r="A3935" t="s">
        <v>60</v>
      </c>
      <c r="B3935" s="1">
        <v>46130</v>
      </c>
      <c r="C3935">
        <v>2378069473</v>
      </c>
      <c r="D3935">
        <v>2378069556</v>
      </c>
      <c r="E3935" t="str">
        <f>T("신라의 왕좌는 제 겁니다 84화")</f>
        <v>신라의 왕좌는 제 겁니다 84화</v>
      </c>
      <c r="F3935">
        <v>84</v>
      </c>
      <c r="G3935" t="str">
        <f>T("매운아몬드")</f>
        <v>매운아몬드</v>
      </c>
      <c r="J3935" t="str">
        <f>T("사이렌")</f>
        <v>사이렌</v>
      </c>
      <c r="K3935" t="str">
        <f>T("신라의 왕좌는 제 겁니다")</f>
        <v>신라의 왕좌는 제 겁니다</v>
      </c>
      <c r="L3935">
        <v>100</v>
      </c>
      <c r="M3935">
        <v>100</v>
      </c>
      <c r="N3935">
        <v>1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0</v>
      </c>
      <c r="AC3935">
        <v>0</v>
      </c>
      <c r="AD3935">
        <v>0</v>
      </c>
      <c r="AE3935">
        <v>0</v>
      </c>
      <c r="AF3935">
        <v>0</v>
      </c>
      <c r="AG3935">
        <v>0</v>
      </c>
      <c r="AH3935">
        <v>0</v>
      </c>
      <c r="AI3935">
        <v>100</v>
      </c>
      <c r="AJ3935">
        <v>1</v>
      </c>
      <c r="AK3935">
        <v>0</v>
      </c>
      <c r="AL3935">
        <v>0</v>
      </c>
      <c r="AM3935">
        <v>0</v>
      </c>
      <c r="AN3935">
        <v>0</v>
      </c>
      <c r="AO3935">
        <v>120</v>
      </c>
      <c r="AP3935">
        <v>-36</v>
      </c>
      <c r="AQ3935">
        <v>0</v>
      </c>
      <c r="AR3935">
        <v>120</v>
      </c>
      <c r="AS3935">
        <v>-36</v>
      </c>
      <c r="AT3935">
        <v>0</v>
      </c>
      <c r="AV3935">
        <v>0</v>
      </c>
      <c r="AW3935">
        <v>0</v>
      </c>
      <c r="AY3935">
        <v>0</v>
      </c>
      <c r="AZ3935">
        <v>0</v>
      </c>
      <c r="BA3935">
        <v>50.4</v>
      </c>
      <c r="BE3935" t="str">
        <f>T("9791172700263")</f>
        <v>9791172700263</v>
      </c>
      <c r="BF3935" t="str">
        <f>T("k407552")</f>
        <v>k407552</v>
      </c>
      <c r="BG3935" t="str">
        <f>T("판타지 웹소설 &gt; 퓨전 판타지")</f>
        <v>판타지 웹소설 &gt; 퓨전 판타지</v>
      </c>
    </row>
    <row r="3936" spans="1:59">
      <c r="A3936" t="s">
        <v>60</v>
      </c>
      <c r="B3936" s="1">
        <v>46130</v>
      </c>
      <c r="C3936">
        <v>2378069473</v>
      </c>
      <c r="D3936">
        <v>2378069557</v>
      </c>
      <c r="E3936" t="str">
        <f>T("신라의 왕좌는 제 겁니다 85화")</f>
        <v>신라의 왕좌는 제 겁니다 85화</v>
      </c>
      <c r="F3936">
        <v>85</v>
      </c>
      <c r="G3936" t="str">
        <f>T("매운아몬드")</f>
        <v>매운아몬드</v>
      </c>
      <c r="J3936" t="str">
        <f>T("사이렌")</f>
        <v>사이렌</v>
      </c>
      <c r="K3936" t="str">
        <f>T("신라의 왕좌는 제 겁니다")</f>
        <v>신라의 왕좌는 제 겁니다</v>
      </c>
      <c r="L3936">
        <v>100</v>
      </c>
      <c r="M3936">
        <v>100</v>
      </c>
      <c r="N3936">
        <v>1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0</v>
      </c>
      <c r="AC3936">
        <v>0</v>
      </c>
      <c r="AD3936">
        <v>0</v>
      </c>
      <c r="AE3936">
        <v>0</v>
      </c>
      <c r="AF3936">
        <v>0</v>
      </c>
      <c r="AG3936">
        <v>0</v>
      </c>
      <c r="AH3936">
        <v>0</v>
      </c>
      <c r="AI3936">
        <v>100</v>
      </c>
      <c r="AJ3936">
        <v>1</v>
      </c>
      <c r="AK3936">
        <v>0</v>
      </c>
      <c r="AL3936">
        <v>0</v>
      </c>
      <c r="AM3936">
        <v>0</v>
      </c>
      <c r="AN3936">
        <v>0</v>
      </c>
      <c r="AO3936">
        <v>120</v>
      </c>
      <c r="AP3936">
        <v>-36</v>
      </c>
      <c r="AQ3936">
        <v>0</v>
      </c>
      <c r="AR3936">
        <v>120</v>
      </c>
      <c r="AS3936">
        <v>-36</v>
      </c>
      <c r="AT3936">
        <v>0</v>
      </c>
      <c r="AV3936">
        <v>0</v>
      </c>
      <c r="AW3936">
        <v>0</v>
      </c>
      <c r="AY3936">
        <v>0</v>
      </c>
      <c r="AZ3936">
        <v>0</v>
      </c>
      <c r="BA3936">
        <v>50.4</v>
      </c>
      <c r="BE3936" t="str">
        <f>T("9791172700263")</f>
        <v>9791172700263</v>
      </c>
      <c r="BF3936" t="str">
        <f>T("k407553")</f>
        <v>k407553</v>
      </c>
      <c r="BG3936" t="str">
        <f>T("판타지 웹소설 &gt; 퓨전 판타지")</f>
        <v>판타지 웹소설 &gt; 퓨전 판타지</v>
      </c>
    </row>
    <row r="3937" spans="1:59">
      <c r="A3937" t="s">
        <v>60</v>
      </c>
      <c r="B3937" s="1">
        <v>46130</v>
      </c>
      <c r="C3937">
        <v>2378069473</v>
      </c>
      <c r="D3937">
        <v>2378069558</v>
      </c>
      <c r="E3937" t="str">
        <f>T("신라의 왕좌는 제 겁니다 86화")</f>
        <v>신라의 왕좌는 제 겁니다 86화</v>
      </c>
      <c r="F3937">
        <v>86</v>
      </c>
      <c r="G3937" t="str">
        <f>T("매운아몬드")</f>
        <v>매운아몬드</v>
      </c>
      <c r="J3937" t="str">
        <f>T("사이렌")</f>
        <v>사이렌</v>
      </c>
      <c r="K3937" t="str">
        <f>T("신라의 왕좌는 제 겁니다")</f>
        <v>신라의 왕좌는 제 겁니다</v>
      </c>
      <c r="L3937">
        <v>100</v>
      </c>
      <c r="M3937">
        <v>100</v>
      </c>
      <c r="N3937">
        <v>1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0</v>
      </c>
      <c r="AC3937">
        <v>0</v>
      </c>
      <c r="AD3937">
        <v>0</v>
      </c>
      <c r="AE3937">
        <v>0</v>
      </c>
      <c r="AF3937">
        <v>0</v>
      </c>
      <c r="AG3937">
        <v>0</v>
      </c>
      <c r="AH3937">
        <v>0</v>
      </c>
      <c r="AI3937">
        <v>100</v>
      </c>
      <c r="AJ3937">
        <v>1</v>
      </c>
      <c r="AK3937">
        <v>0</v>
      </c>
      <c r="AL3937">
        <v>0</v>
      </c>
      <c r="AM3937">
        <v>0</v>
      </c>
      <c r="AN3937">
        <v>0</v>
      </c>
      <c r="AO3937">
        <v>120</v>
      </c>
      <c r="AP3937">
        <v>-36</v>
      </c>
      <c r="AQ3937">
        <v>0</v>
      </c>
      <c r="AR3937">
        <v>120</v>
      </c>
      <c r="AS3937">
        <v>-36</v>
      </c>
      <c r="AT3937">
        <v>0</v>
      </c>
      <c r="AV3937">
        <v>0</v>
      </c>
      <c r="AW3937">
        <v>0</v>
      </c>
      <c r="AY3937">
        <v>0</v>
      </c>
      <c r="AZ3937">
        <v>0</v>
      </c>
      <c r="BA3937">
        <v>50.4</v>
      </c>
      <c r="BE3937" t="str">
        <f>T("9791172700263")</f>
        <v>9791172700263</v>
      </c>
      <c r="BF3937" t="str">
        <f>T("k407554")</f>
        <v>k407554</v>
      </c>
      <c r="BG3937" t="str">
        <f>T("판타지 웹소설 &gt; 퓨전 판타지")</f>
        <v>판타지 웹소설 &gt; 퓨전 판타지</v>
      </c>
    </row>
    <row r="3938" spans="1:59">
      <c r="A3938" t="s">
        <v>60</v>
      </c>
      <c r="B3938" s="1">
        <v>46130</v>
      </c>
      <c r="C3938">
        <v>2378069473</v>
      </c>
      <c r="D3938">
        <v>2378069559</v>
      </c>
      <c r="E3938" t="str">
        <f>T("신라의 왕좌는 제 겁니다 87화")</f>
        <v>신라의 왕좌는 제 겁니다 87화</v>
      </c>
      <c r="F3938">
        <v>87</v>
      </c>
      <c r="G3938" t="str">
        <f>T("매운아몬드")</f>
        <v>매운아몬드</v>
      </c>
      <c r="J3938" t="str">
        <f>T("사이렌")</f>
        <v>사이렌</v>
      </c>
      <c r="K3938" t="str">
        <f>T("신라의 왕좌는 제 겁니다")</f>
        <v>신라의 왕좌는 제 겁니다</v>
      </c>
      <c r="L3938">
        <v>100</v>
      </c>
      <c r="M3938">
        <v>100</v>
      </c>
      <c r="N3938">
        <v>1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0</v>
      </c>
      <c r="AC3938">
        <v>0</v>
      </c>
      <c r="AD3938">
        <v>0</v>
      </c>
      <c r="AE3938">
        <v>0</v>
      </c>
      <c r="AF3938">
        <v>0</v>
      </c>
      <c r="AG3938">
        <v>0</v>
      </c>
      <c r="AH3938">
        <v>0</v>
      </c>
      <c r="AI3938">
        <v>100</v>
      </c>
      <c r="AJ3938">
        <v>1</v>
      </c>
      <c r="AK3938">
        <v>0</v>
      </c>
      <c r="AL3938">
        <v>0</v>
      </c>
      <c r="AM3938">
        <v>0</v>
      </c>
      <c r="AN3938">
        <v>0</v>
      </c>
      <c r="AO3938">
        <v>120</v>
      </c>
      <c r="AP3938">
        <v>-36</v>
      </c>
      <c r="AQ3938">
        <v>0</v>
      </c>
      <c r="AR3938">
        <v>120</v>
      </c>
      <c r="AS3938">
        <v>-36</v>
      </c>
      <c r="AT3938">
        <v>0</v>
      </c>
      <c r="AV3938">
        <v>0</v>
      </c>
      <c r="AW3938">
        <v>0</v>
      </c>
      <c r="AY3938">
        <v>0</v>
      </c>
      <c r="AZ3938">
        <v>0</v>
      </c>
      <c r="BA3938">
        <v>50.4</v>
      </c>
      <c r="BE3938" t="str">
        <f>T("9791172700263")</f>
        <v>9791172700263</v>
      </c>
      <c r="BF3938" t="str">
        <f>T("k407555")</f>
        <v>k407555</v>
      </c>
      <c r="BG3938" t="str">
        <f>T("판타지 웹소설 &gt; 퓨전 판타지")</f>
        <v>판타지 웹소설 &gt; 퓨전 판타지</v>
      </c>
    </row>
    <row r="3939" spans="1:59">
      <c r="A3939" t="s">
        <v>60</v>
      </c>
      <c r="B3939" s="1">
        <v>46130</v>
      </c>
      <c r="C3939">
        <v>2378069473</v>
      </c>
      <c r="D3939">
        <v>2378069560</v>
      </c>
      <c r="E3939" t="str">
        <f>T("신라의 왕좌는 제 겁니다 88화")</f>
        <v>신라의 왕좌는 제 겁니다 88화</v>
      </c>
      <c r="F3939">
        <v>88</v>
      </c>
      <c r="G3939" t="str">
        <f>T("매운아몬드")</f>
        <v>매운아몬드</v>
      </c>
      <c r="J3939" t="str">
        <f>T("사이렌")</f>
        <v>사이렌</v>
      </c>
      <c r="K3939" t="str">
        <f>T("신라의 왕좌는 제 겁니다")</f>
        <v>신라의 왕좌는 제 겁니다</v>
      </c>
      <c r="L3939">
        <v>100</v>
      </c>
      <c r="M3939">
        <v>100</v>
      </c>
      <c r="N3939">
        <v>1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0</v>
      </c>
      <c r="AC3939">
        <v>0</v>
      </c>
      <c r="AD3939">
        <v>0</v>
      </c>
      <c r="AE3939">
        <v>0</v>
      </c>
      <c r="AF3939">
        <v>0</v>
      </c>
      <c r="AG3939">
        <v>0</v>
      </c>
      <c r="AH3939">
        <v>0</v>
      </c>
      <c r="AI3939">
        <v>100</v>
      </c>
      <c r="AJ3939">
        <v>1</v>
      </c>
      <c r="AK3939">
        <v>0</v>
      </c>
      <c r="AL3939">
        <v>0</v>
      </c>
      <c r="AM3939">
        <v>0</v>
      </c>
      <c r="AN3939">
        <v>0</v>
      </c>
      <c r="AO3939">
        <v>120</v>
      </c>
      <c r="AP3939">
        <v>-36</v>
      </c>
      <c r="AQ3939">
        <v>0</v>
      </c>
      <c r="AR3939">
        <v>120</v>
      </c>
      <c r="AS3939">
        <v>-36</v>
      </c>
      <c r="AT3939">
        <v>0</v>
      </c>
      <c r="AV3939">
        <v>0</v>
      </c>
      <c r="AW3939">
        <v>0</v>
      </c>
      <c r="AY3939">
        <v>0</v>
      </c>
      <c r="AZ3939">
        <v>0</v>
      </c>
      <c r="BA3939">
        <v>50.4</v>
      </c>
      <c r="BE3939" t="str">
        <f>T("9791172700263")</f>
        <v>9791172700263</v>
      </c>
      <c r="BF3939" t="str">
        <f>T("k407556")</f>
        <v>k407556</v>
      </c>
      <c r="BG3939" t="str">
        <f>T("판타지 웹소설 &gt; 퓨전 판타지")</f>
        <v>판타지 웹소설 &gt; 퓨전 판타지</v>
      </c>
    </row>
    <row r="3940" spans="1:59">
      <c r="A3940" t="s">
        <v>60</v>
      </c>
      <c r="B3940" s="1">
        <v>46131</v>
      </c>
      <c r="C3940">
        <v>2378069473</v>
      </c>
      <c r="D3940">
        <v>2378069561</v>
      </c>
      <c r="E3940" t="str">
        <f>T("신라의 왕좌는 제 겁니다 89화")</f>
        <v>신라의 왕좌는 제 겁니다 89화</v>
      </c>
      <c r="F3940">
        <v>89</v>
      </c>
      <c r="G3940" t="str">
        <f>T("매운아몬드")</f>
        <v>매운아몬드</v>
      </c>
      <c r="J3940" t="str">
        <f>T("사이렌")</f>
        <v>사이렌</v>
      </c>
      <c r="K3940" t="str">
        <f>T("신라의 왕좌는 제 겁니다")</f>
        <v>신라의 왕좌는 제 겁니다</v>
      </c>
      <c r="L3940">
        <v>100</v>
      </c>
      <c r="M3940">
        <v>100</v>
      </c>
      <c r="N3940">
        <v>1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0</v>
      </c>
      <c r="AC3940">
        <v>0</v>
      </c>
      <c r="AD3940">
        <v>0</v>
      </c>
      <c r="AE3940">
        <v>0</v>
      </c>
      <c r="AF3940">
        <v>0</v>
      </c>
      <c r="AG3940">
        <v>0</v>
      </c>
      <c r="AH3940">
        <v>0</v>
      </c>
      <c r="AI3940">
        <v>100</v>
      </c>
      <c r="AJ3940">
        <v>1</v>
      </c>
      <c r="AK3940">
        <v>0</v>
      </c>
      <c r="AL3940">
        <v>0</v>
      </c>
      <c r="AM3940">
        <v>0</v>
      </c>
      <c r="AN3940">
        <v>0</v>
      </c>
      <c r="AO3940">
        <v>120</v>
      </c>
      <c r="AP3940">
        <v>-36</v>
      </c>
      <c r="AQ3940">
        <v>0</v>
      </c>
      <c r="AR3940">
        <v>120</v>
      </c>
      <c r="AS3940">
        <v>-36</v>
      </c>
      <c r="AT3940">
        <v>0</v>
      </c>
      <c r="AV3940">
        <v>0</v>
      </c>
      <c r="AW3940">
        <v>0</v>
      </c>
      <c r="AY3940">
        <v>0</v>
      </c>
      <c r="AZ3940">
        <v>0</v>
      </c>
      <c r="BA3940">
        <v>50.4</v>
      </c>
      <c r="BE3940" t="str">
        <f>T("9791172700263")</f>
        <v>9791172700263</v>
      </c>
      <c r="BF3940" t="str">
        <f>T("k407557")</f>
        <v>k407557</v>
      </c>
      <c r="BG3940" t="str">
        <f>T("판타지 웹소설 &gt; 퓨전 판타지")</f>
        <v>판타지 웹소설 &gt; 퓨전 판타지</v>
      </c>
    </row>
    <row r="3941" spans="1:59">
      <c r="A3941" t="s">
        <v>60</v>
      </c>
      <c r="B3941" s="1">
        <v>46131</v>
      </c>
      <c r="C3941">
        <v>2378069473</v>
      </c>
      <c r="D3941">
        <v>2378069562</v>
      </c>
      <c r="E3941" t="str">
        <f>T("신라의 왕좌는 제 겁니다 90화")</f>
        <v>신라의 왕좌는 제 겁니다 90화</v>
      </c>
      <c r="F3941">
        <v>90</v>
      </c>
      <c r="G3941" t="str">
        <f>T("매운아몬드")</f>
        <v>매운아몬드</v>
      </c>
      <c r="J3941" t="str">
        <f>T("사이렌")</f>
        <v>사이렌</v>
      </c>
      <c r="K3941" t="str">
        <f>T("신라의 왕좌는 제 겁니다")</f>
        <v>신라의 왕좌는 제 겁니다</v>
      </c>
      <c r="L3941">
        <v>100</v>
      </c>
      <c r="M3941">
        <v>100</v>
      </c>
      <c r="N3941">
        <v>1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0</v>
      </c>
      <c r="AC3941">
        <v>0</v>
      </c>
      <c r="AD3941">
        <v>0</v>
      </c>
      <c r="AE3941">
        <v>0</v>
      </c>
      <c r="AF3941">
        <v>0</v>
      </c>
      <c r="AG3941">
        <v>0</v>
      </c>
      <c r="AH3941">
        <v>0</v>
      </c>
      <c r="AI3941">
        <v>100</v>
      </c>
      <c r="AJ3941">
        <v>1</v>
      </c>
      <c r="AK3941">
        <v>0</v>
      </c>
      <c r="AL3941">
        <v>0</v>
      </c>
      <c r="AM3941">
        <v>0</v>
      </c>
      <c r="AN3941">
        <v>0</v>
      </c>
      <c r="AO3941">
        <v>120</v>
      </c>
      <c r="AP3941">
        <v>-36</v>
      </c>
      <c r="AQ3941">
        <v>0</v>
      </c>
      <c r="AR3941">
        <v>120</v>
      </c>
      <c r="AS3941">
        <v>-36</v>
      </c>
      <c r="AT3941">
        <v>0</v>
      </c>
      <c r="AV3941">
        <v>0</v>
      </c>
      <c r="AW3941">
        <v>0</v>
      </c>
      <c r="AY3941">
        <v>0</v>
      </c>
      <c r="AZ3941">
        <v>0</v>
      </c>
      <c r="BA3941">
        <v>50.4</v>
      </c>
      <c r="BE3941" t="str">
        <f>T("9791172700263")</f>
        <v>9791172700263</v>
      </c>
      <c r="BF3941" t="str">
        <f>T("k407558")</f>
        <v>k407558</v>
      </c>
      <c r="BG3941" t="str">
        <f>T("판타지 웹소설 &gt; 퓨전 판타지")</f>
        <v>판타지 웹소설 &gt; 퓨전 판타지</v>
      </c>
    </row>
    <row r="3942" spans="1:59">
      <c r="A3942" t="s">
        <v>60</v>
      </c>
      <c r="B3942" s="1">
        <v>46131</v>
      </c>
      <c r="C3942">
        <v>2378069473</v>
      </c>
      <c r="D3942">
        <v>2378069583</v>
      </c>
      <c r="E3942" t="str">
        <f>T("신라의 왕좌는 제 겁니다 101화")</f>
        <v>신라의 왕좌는 제 겁니다 101화</v>
      </c>
      <c r="F3942">
        <v>101</v>
      </c>
      <c r="G3942" t="str">
        <f>T("매운아몬드")</f>
        <v>매운아몬드</v>
      </c>
      <c r="J3942" t="str">
        <f>T("사이렌")</f>
        <v>사이렌</v>
      </c>
      <c r="K3942" t="str">
        <f>T("신라의 왕좌는 제 겁니다")</f>
        <v>신라의 왕좌는 제 겁니다</v>
      </c>
      <c r="L3942">
        <v>100</v>
      </c>
      <c r="M3942">
        <v>100</v>
      </c>
      <c r="N3942">
        <v>1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0</v>
      </c>
      <c r="AC3942">
        <v>0</v>
      </c>
      <c r="AD3942">
        <v>0</v>
      </c>
      <c r="AE3942">
        <v>0</v>
      </c>
      <c r="AF3942">
        <v>0</v>
      </c>
      <c r="AG3942">
        <v>0</v>
      </c>
      <c r="AH3942">
        <v>0</v>
      </c>
      <c r="AI3942">
        <v>100</v>
      </c>
      <c r="AJ3942">
        <v>1</v>
      </c>
      <c r="AK3942">
        <v>0</v>
      </c>
      <c r="AL3942">
        <v>0</v>
      </c>
      <c r="AM3942">
        <v>100</v>
      </c>
      <c r="AN3942">
        <v>0</v>
      </c>
      <c r="AO3942">
        <v>0</v>
      </c>
      <c r="AP3942">
        <v>0</v>
      </c>
      <c r="AQ3942">
        <v>0</v>
      </c>
      <c r="AS3942">
        <v>0</v>
      </c>
      <c r="AT3942">
        <v>0</v>
      </c>
      <c r="AV3942">
        <v>0</v>
      </c>
      <c r="AW3942">
        <v>0</v>
      </c>
      <c r="AY3942">
        <v>0</v>
      </c>
      <c r="AZ3942">
        <v>0</v>
      </c>
      <c r="BA3942">
        <v>60</v>
      </c>
      <c r="BE3942" t="str">
        <f>T("9791172700263")</f>
        <v>9791172700263</v>
      </c>
      <c r="BF3942" t="str">
        <f>T("k407569")</f>
        <v>k407569</v>
      </c>
      <c r="BG3942" t="str">
        <f>T("판타지 웹소설 &gt; 퓨전 판타지")</f>
        <v>판타지 웹소설 &gt; 퓨전 판타지</v>
      </c>
    </row>
    <row r="3943" spans="1:59">
      <c r="A3943" t="s">
        <v>60</v>
      </c>
      <c r="B3943" s="1">
        <v>46131</v>
      </c>
      <c r="C3943">
        <v>2378069473</v>
      </c>
      <c r="D3943">
        <v>2378069584</v>
      </c>
      <c r="E3943" t="str">
        <f>T("신라의 왕좌는 제 겁니다 102화")</f>
        <v>신라의 왕좌는 제 겁니다 102화</v>
      </c>
      <c r="F3943">
        <v>102</v>
      </c>
      <c r="G3943" t="str">
        <f>T("매운아몬드")</f>
        <v>매운아몬드</v>
      </c>
      <c r="J3943" t="str">
        <f>T("사이렌")</f>
        <v>사이렌</v>
      </c>
      <c r="K3943" t="str">
        <f>T("신라의 왕좌는 제 겁니다")</f>
        <v>신라의 왕좌는 제 겁니다</v>
      </c>
      <c r="L3943">
        <v>100</v>
      </c>
      <c r="M3943">
        <v>100</v>
      </c>
      <c r="N3943">
        <v>1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0</v>
      </c>
      <c r="AC3943">
        <v>0</v>
      </c>
      <c r="AD3943">
        <v>0</v>
      </c>
      <c r="AE3943">
        <v>0</v>
      </c>
      <c r="AF3943">
        <v>0</v>
      </c>
      <c r="AG3943">
        <v>0</v>
      </c>
      <c r="AH3943">
        <v>0</v>
      </c>
      <c r="AI3943">
        <v>100</v>
      </c>
      <c r="AJ3943">
        <v>1</v>
      </c>
      <c r="AK3943">
        <v>0</v>
      </c>
      <c r="AL3943">
        <v>0</v>
      </c>
      <c r="AM3943">
        <v>100</v>
      </c>
      <c r="AN3943">
        <v>0</v>
      </c>
      <c r="AO3943">
        <v>0</v>
      </c>
      <c r="AP3943">
        <v>0</v>
      </c>
      <c r="AQ3943">
        <v>0</v>
      </c>
      <c r="AS3943">
        <v>0</v>
      </c>
      <c r="AT3943">
        <v>0</v>
      </c>
      <c r="AV3943">
        <v>0</v>
      </c>
      <c r="AW3943">
        <v>0</v>
      </c>
      <c r="AY3943">
        <v>0</v>
      </c>
      <c r="AZ3943">
        <v>0</v>
      </c>
      <c r="BA3943">
        <v>60</v>
      </c>
      <c r="BE3943" t="str">
        <f>T("9791172700263")</f>
        <v>9791172700263</v>
      </c>
      <c r="BF3943" t="str">
        <f>T("k407570")</f>
        <v>k407570</v>
      </c>
      <c r="BG3943" t="str">
        <f>T("판타지 웹소설 &gt; 퓨전 판타지")</f>
        <v>판타지 웹소설 &gt; 퓨전 판타지</v>
      </c>
    </row>
    <row r="3944" spans="1:59">
      <c r="A3944" t="s">
        <v>60</v>
      </c>
      <c r="B3944" s="1">
        <v>46131</v>
      </c>
      <c r="C3944">
        <v>2378069473</v>
      </c>
      <c r="D3944">
        <v>2378069585</v>
      </c>
      <c r="E3944" t="str">
        <f>T("신라의 왕좌는 제 겁니다 103화")</f>
        <v>신라의 왕좌는 제 겁니다 103화</v>
      </c>
      <c r="F3944">
        <v>103</v>
      </c>
      <c r="G3944" t="str">
        <f>T("매운아몬드")</f>
        <v>매운아몬드</v>
      </c>
      <c r="J3944" t="str">
        <f>T("사이렌")</f>
        <v>사이렌</v>
      </c>
      <c r="K3944" t="str">
        <f>T("신라의 왕좌는 제 겁니다")</f>
        <v>신라의 왕좌는 제 겁니다</v>
      </c>
      <c r="L3944">
        <v>100</v>
      </c>
      <c r="M3944">
        <v>100</v>
      </c>
      <c r="N3944">
        <v>1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0</v>
      </c>
      <c r="AC3944">
        <v>0</v>
      </c>
      <c r="AD3944">
        <v>0</v>
      </c>
      <c r="AE3944">
        <v>0</v>
      </c>
      <c r="AF3944">
        <v>0</v>
      </c>
      <c r="AG3944">
        <v>0</v>
      </c>
      <c r="AH3944">
        <v>0</v>
      </c>
      <c r="AI3944">
        <v>100</v>
      </c>
      <c r="AJ3944">
        <v>1</v>
      </c>
      <c r="AK3944">
        <v>0</v>
      </c>
      <c r="AL3944">
        <v>0</v>
      </c>
      <c r="AM3944">
        <v>100</v>
      </c>
      <c r="AN3944">
        <v>0</v>
      </c>
      <c r="AO3944">
        <v>0</v>
      </c>
      <c r="AP3944">
        <v>0</v>
      </c>
      <c r="AQ3944">
        <v>0</v>
      </c>
      <c r="AS3944">
        <v>0</v>
      </c>
      <c r="AT3944">
        <v>0</v>
      </c>
      <c r="AV3944">
        <v>0</v>
      </c>
      <c r="AW3944">
        <v>0</v>
      </c>
      <c r="AY3944">
        <v>0</v>
      </c>
      <c r="AZ3944">
        <v>0</v>
      </c>
      <c r="BA3944">
        <v>60</v>
      </c>
      <c r="BE3944" t="str">
        <f>T("9791172700263")</f>
        <v>9791172700263</v>
      </c>
      <c r="BF3944" t="str">
        <f>T("k407571")</f>
        <v>k407571</v>
      </c>
      <c r="BG3944" t="str">
        <f>T("판타지 웹소설 &gt; 퓨전 판타지")</f>
        <v>판타지 웹소설 &gt; 퓨전 판타지</v>
      </c>
    </row>
    <row r="3945" spans="1:59">
      <c r="A3945" t="s">
        <v>60</v>
      </c>
      <c r="B3945" s="1">
        <v>46131</v>
      </c>
      <c r="C3945">
        <v>2378069473</v>
      </c>
      <c r="D3945">
        <v>2378069586</v>
      </c>
      <c r="E3945" t="str">
        <f>T("신라의 왕좌는 제 겁니다 104화")</f>
        <v>신라의 왕좌는 제 겁니다 104화</v>
      </c>
      <c r="F3945">
        <v>104</v>
      </c>
      <c r="G3945" t="str">
        <f>T("매운아몬드")</f>
        <v>매운아몬드</v>
      </c>
      <c r="J3945" t="str">
        <f>T("사이렌")</f>
        <v>사이렌</v>
      </c>
      <c r="K3945" t="str">
        <f>T("신라의 왕좌는 제 겁니다")</f>
        <v>신라의 왕좌는 제 겁니다</v>
      </c>
      <c r="L3945">
        <v>100</v>
      </c>
      <c r="M3945">
        <v>100</v>
      </c>
      <c r="N3945">
        <v>1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0</v>
      </c>
      <c r="AC3945">
        <v>0</v>
      </c>
      <c r="AD3945">
        <v>0</v>
      </c>
      <c r="AE3945">
        <v>0</v>
      </c>
      <c r="AF3945">
        <v>0</v>
      </c>
      <c r="AG3945">
        <v>0</v>
      </c>
      <c r="AH3945">
        <v>0</v>
      </c>
      <c r="AI3945">
        <v>100</v>
      </c>
      <c r="AJ3945">
        <v>1</v>
      </c>
      <c r="AK3945">
        <v>0</v>
      </c>
      <c r="AL3945">
        <v>0</v>
      </c>
      <c r="AM3945">
        <v>100</v>
      </c>
      <c r="AN3945">
        <v>0</v>
      </c>
      <c r="AO3945">
        <v>0</v>
      </c>
      <c r="AP3945">
        <v>0</v>
      </c>
      <c r="AQ3945">
        <v>0</v>
      </c>
      <c r="AS3945">
        <v>0</v>
      </c>
      <c r="AT3945">
        <v>0</v>
      </c>
      <c r="AV3945">
        <v>0</v>
      </c>
      <c r="AW3945">
        <v>0</v>
      </c>
      <c r="AY3945">
        <v>0</v>
      </c>
      <c r="AZ3945">
        <v>0</v>
      </c>
      <c r="BA3945">
        <v>60</v>
      </c>
      <c r="BE3945" t="str">
        <f>T("9791172700263")</f>
        <v>9791172700263</v>
      </c>
      <c r="BF3945" t="str">
        <f>T("k407572")</f>
        <v>k407572</v>
      </c>
      <c r="BG3945" t="str">
        <f>T("판타지 웹소설 &gt; 퓨전 판타지")</f>
        <v>판타지 웹소설 &gt; 퓨전 판타지</v>
      </c>
    </row>
    <row r="3946" spans="1:59">
      <c r="A3946" t="s">
        <v>60</v>
      </c>
      <c r="B3946" s="1">
        <v>46131</v>
      </c>
      <c r="C3946">
        <v>2378069473</v>
      </c>
      <c r="D3946">
        <v>2378069587</v>
      </c>
      <c r="E3946" t="str">
        <f>T("신라의 왕좌는 제 겁니다 105화")</f>
        <v>신라의 왕좌는 제 겁니다 105화</v>
      </c>
      <c r="F3946">
        <v>105</v>
      </c>
      <c r="G3946" t="str">
        <f>T("매운아몬드")</f>
        <v>매운아몬드</v>
      </c>
      <c r="J3946" t="str">
        <f>T("사이렌")</f>
        <v>사이렌</v>
      </c>
      <c r="K3946" t="str">
        <f>T("신라의 왕좌는 제 겁니다")</f>
        <v>신라의 왕좌는 제 겁니다</v>
      </c>
      <c r="L3946">
        <v>100</v>
      </c>
      <c r="M3946">
        <v>100</v>
      </c>
      <c r="N3946">
        <v>1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0</v>
      </c>
      <c r="AC3946">
        <v>0</v>
      </c>
      <c r="AD3946">
        <v>0</v>
      </c>
      <c r="AE3946">
        <v>0</v>
      </c>
      <c r="AF3946">
        <v>0</v>
      </c>
      <c r="AG3946">
        <v>0</v>
      </c>
      <c r="AH3946">
        <v>0</v>
      </c>
      <c r="AI3946">
        <v>100</v>
      </c>
      <c r="AJ3946">
        <v>1</v>
      </c>
      <c r="AK3946">
        <v>0</v>
      </c>
      <c r="AL3946">
        <v>0</v>
      </c>
      <c r="AM3946">
        <v>100</v>
      </c>
      <c r="AN3946">
        <v>0</v>
      </c>
      <c r="AO3946">
        <v>0</v>
      </c>
      <c r="AP3946">
        <v>0</v>
      </c>
      <c r="AQ3946">
        <v>0</v>
      </c>
      <c r="AS3946">
        <v>0</v>
      </c>
      <c r="AT3946">
        <v>0</v>
      </c>
      <c r="AV3946">
        <v>0</v>
      </c>
      <c r="AW3946">
        <v>0</v>
      </c>
      <c r="AY3946">
        <v>0</v>
      </c>
      <c r="AZ3946">
        <v>0</v>
      </c>
      <c r="BA3946">
        <v>60</v>
      </c>
      <c r="BE3946" t="str">
        <f>T("9791172700263")</f>
        <v>9791172700263</v>
      </c>
      <c r="BF3946" t="str">
        <f>T("k407573")</f>
        <v>k407573</v>
      </c>
      <c r="BG3946" t="str">
        <f>T("판타지 웹소설 &gt; 퓨전 판타지")</f>
        <v>판타지 웹소설 &gt; 퓨전 판타지</v>
      </c>
    </row>
    <row r="3947" spans="1:59">
      <c r="A3947" t="s">
        <v>60</v>
      </c>
      <c r="B3947" s="1">
        <v>46131</v>
      </c>
      <c r="C3947">
        <v>2378069473</v>
      </c>
      <c r="D3947">
        <v>2378069618</v>
      </c>
      <c r="E3947" t="str">
        <f>T("신라의 왕좌는 제 겁니다 106화")</f>
        <v>신라의 왕좌는 제 겁니다 106화</v>
      </c>
      <c r="F3947">
        <v>106</v>
      </c>
      <c r="G3947" t="str">
        <f>T("매운아몬드")</f>
        <v>매운아몬드</v>
      </c>
      <c r="J3947" t="str">
        <f>T("사이렌")</f>
        <v>사이렌</v>
      </c>
      <c r="K3947" t="str">
        <f>T("신라의 왕좌는 제 겁니다")</f>
        <v>신라의 왕좌는 제 겁니다</v>
      </c>
      <c r="L3947">
        <v>100</v>
      </c>
      <c r="M3947">
        <v>100</v>
      </c>
      <c r="N3947">
        <v>1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0</v>
      </c>
      <c r="AC3947">
        <v>0</v>
      </c>
      <c r="AD3947">
        <v>0</v>
      </c>
      <c r="AE3947">
        <v>0</v>
      </c>
      <c r="AF3947">
        <v>0</v>
      </c>
      <c r="AG3947">
        <v>0</v>
      </c>
      <c r="AH3947">
        <v>0</v>
      </c>
      <c r="AI3947">
        <v>100</v>
      </c>
      <c r="AJ3947">
        <v>1</v>
      </c>
      <c r="AK3947">
        <v>0</v>
      </c>
      <c r="AL3947">
        <v>0</v>
      </c>
      <c r="AM3947">
        <v>100</v>
      </c>
      <c r="AN3947">
        <v>0</v>
      </c>
      <c r="AO3947">
        <v>0</v>
      </c>
      <c r="AP3947">
        <v>0</v>
      </c>
      <c r="AQ3947">
        <v>0</v>
      </c>
      <c r="AS3947">
        <v>0</v>
      </c>
      <c r="AT3947">
        <v>0</v>
      </c>
      <c r="AV3947">
        <v>0</v>
      </c>
      <c r="AW3947">
        <v>0</v>
      </c>
      <c r="AY3947">
        <v>0</v>
      </c>
      <c r="AZ3947">
        <v>0</v>
      </c>
      <c r="BA3947">
        <v>60</v>
      </c>
      <c r="BE3947" t="str">
        <f>T("9791172700263")</f>
        <v>9791172700263</v>
      </c>
      <c r="BF3947" t="str">
        <f>T("k407574")</f>
        <v>k407574</v>
      </c>
      <c r="BG3947" t="str">
        <f>T("판타지 웹소설 &gt; 퓨전 판타지")</f>
        <v>판타지 웹소설 &gt; 퓨전 판타지</v>
      </c>
    </row>
    <row r="3948" spans="1:59">
      <c r="A3948" t="s">
        <v>60</v>
      </c>
      <c r="B3948" s="1">
        <v>46131</v>
      </c>
      <c r="C3948">
        <v>2378069473</v>
      </c>
      <c r="D3948">
        <v>2378069619</v>
      </c>
      <c r="E3948" t="str">
        <f>T("신라의 왕좌는 제 겁니다 107화")</f>
        <v>신라의 왕좌는 제 겁니다 107화</v>
      </c>
      <c r="F3948">
        <v>107</v>
      </c>
      <c r="G3948" t="str">
        <f>T("매운아몬드")</f>
        <v>매운아몬드</v>
      </c>
      <c r="J3948" t="str">
        <f>T("사이렌")</f>
        <v>사이렌</v>
      </c>
      <c r="K3948" t="str">
        <f>T("신라의 왕좌는 제 겁니다")</f>
        <v>신라의 왕좌는 제 겁니다</v>
      </c>
      <c r="L3948">
        <v>100</v>
      </c>
      <c r="M3948">
        <v>100</v>
      </c>
      <c r="N3948">
        <v>1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0</v>
      </c>
      <c r="AC3948">
        <v>0</v>
      </c>
      <c r="AD3948">
        <v>0</v>
      </c>
      <c r="AE3948">
        <v>0</v>
      </c>
      <c r="AF3948">
        <v>0</v>
      </c>
      <c r="AG3948">
        <v>0</v>
      </c>
      <c r="AH3948">
        <v>0</v>
      </c>
      <c r="AI3948">
        <v>100</v>
      </c>
      <c r="AJ3948">
        <v>1</v>
      </c>
      <c r="AK3948">
        <v>0</v>
      </c>
      <c r="AL3948">
        <v>0</v>
      </c>
      <c r="AM3948">
        <v>100</v>
      </c>
      <c r="AN3948">
        <v>0</v>
      </c>
      <c r="AO3948">
        <v>0</v>
      </c>
      <c r="AP3948">
        <v>0</v>
      </c>
      <c r="AQ3948">
        <v>0</v>
      </c>
      <c r="AS3948">
        <v>0</v>
      </c>
      <c r="AT3948">
        <v>0</v>
      </c>
      <c r="AV3948">
        <v>0</v>
      </c>
      <c r="AW3948">
        <v>0</v>
      </c>
      <c r="AY3948">
        <v>0</v>
      </c>
      <c r="AZ3948">
        <v>0</v>
      </c>
      <c r="BA3948">
        <v>60</v>
      </c>
      <c r="BE3948" t="str">
        <f>T("9791172700263")</f>
        <v>9791172700263</v>
      </c>
      <c r="BF3948" t="str">
        <f>T("k407575")</f>
        <v>k407575</v>
      </c>
      <c r="BG3948" t="str">
        <f>T("판타지 웹소설 &gt; 퓨전 판타지")</f>
        <v>판타지 웹소설 &gt; 퓨전 판타지</v>
      </c>
    </row>
    <row r="3949" spans="1:59">
      <c r="A3949" t="s">
        <v>60</v>
      </c>
      <c r="B3949" s="1">
        <v>46131</v>
      </c>
      <c r="C3949">
        <v>2378069473</v>
      </c>
      <c r="D3949">
        <v>2378069620</v>
      </c>
      <c r="E3949" t="str">
        <f>T("신라의 왕좌는 제 겁니다 108화")</f>
        <v>신라의 왕좌는 제 겁니다 108화</v>
      </c>
      <c r="F3949">
        <v>108</v>
      </c>
      <c r="G3949" t="str">
        <f>T("매운아몬드")</f>
        <v>매운아몬드</v>
      </c>
      <c r="J3949" t="str">
        <f>T("사이렌")</f>
        <v>사이렌</v>
      </c>
      <c r="K3949" t="str">
        <f>T("신라의 왕좌는 제 겁니다")</f>
        <v>신라의 왕좌는 제 겁니다</v>
      </c>
      <c r="L3949">
        <v>100</v>
      </c>
      <c r="M3949">
        <v>100</v>
      </c>
      <c r="N3949">
        <v>1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0</v>
      </c>
      <c r="AC3949">
        <v>0</v>
      </c>
      <c r="AD3949">
        <v>0</v>
      </c>
      <c r="AE3949">
        <v>0</v>
      </c>
      <c r="AF3949">
        <v>0</v>
      </c>
      <c r="AG3949">
        <v>0</v>
      </c>
      <c r="AH3949">
        <v>0</v>
      </c>
      <c r="AI3949">
        <v>100</v>
      </c>
      <c r="AJ3949">
        <v>1</v>
      </c>
      <c r="AK3949">
        <v>0</v>
      </c>
      <c r="AL3949">
        <v>0</v>
      </c>
      <c r="AM3949">
        <v>100</v>
      </c>
      <c r="AN3949">
        <v>0</v>
      </c>
      <c r="AO3949">
        <v>0</v>
      </c>
      <c r="AP3949">
        <v>0</v>
      </c>
      <c r="AQ3949">
        <v>0</v>
      </c>
      <c r="AS3949">
        <v>0</v>
      </c>
      <c r="AT3949">
        <v>0</v>
      </c>
      <c r="AV3949">
        <v>0</v>
      </c>
      <c r="AW3949">
        <v>0</v>
      </c>
      <c r="AY3949">
        <v>0</v>
      </c>
      <c r="AZ3949">
        <v>0</v>
      </c>
      <c r="BA3949">
        <v>60</v>
      </c>
      <c r="BE3949" t="str">
        <f>T("9791172700263")</f>
        <v>9791172700263</v>
      </c>
      <c r="BF3949" t="str">
        <f>T("k407576")</f>
        <v>k407576</v>
      </c>
      <c r="BG3949" t="str">
        <f>T("판타지 웹소설 &gt; 퓨전 판타지")</f>
        <v>판타지 웹소설 &gt; 퓨전 판타지</v>
      </c>
    </row>
    <row r="3950" spans="1:59">
      <c r="A3950" t="s">
        <v>60</v>
      </c>
      <c r="B3950" s="1">
        <v>46131</v>
      </c>
      <c r="C3950">
        <v>2378069473</v>
      </c>
      <c r="D3950">
        <v>2378069621</v>
      </c>
      <c r="E3950" t="str">
        <f>T("신라의 왕좌는 제 겁니다 109화")</f>
        <v>신라의 왕좌는 제 겁니다 109화</v>
      </c>
      <c r="F3950">
        <v>109</v>
      </c>
      <c r="G3950" t="str">
        <f>T("매운아몬드")</f>
        <v>매운아몬드</v>
      </c>
      <c r="J3950" t="str">
        <f>T("사이렌")</f>
        <v>사이렌</v>
      </c>
      <c r="K3950" t="str">
        <f>T("신라의 왕좌는 제 겁니다")</f>
        <v>신라의 왕좌는 제 겁니다</v>
      </c>
      <c r="L3950">
        <v>100</v>
      </c>
      <c r="M3950">
        <v>100</v>
      </c>
      <c r="N3950">
        <v>1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0</v>
      </c>
      <c r="AE3950">
        <v>0</v>
      </c>
      <c r="AF3950">
        <v>0</v>
      </c>
      <c r="AG3950">
        <v>0</v>
      </c>
      <c r="AH3950">
        <v>0</v>
      </c>
      <c r="AI3950">
        <v>100</v>
      </c>
      <c r="AJ3950">
        <v>1</v>
      </c>
      <c r="AK3950">
        <v>0</v>
      </c>
      <c r="AL3950">
        <v>0</v>
      </c>
      <c r="AM3950">
        <v>100</v>
      </c>
      <c r="AN3950">
        <v>0</v>
      </c>
      <c r="AO3950">
        <v>0</v>
      </c>
      <c r="AP3950">
        <v>0</v>
      </c>
      <c r="AQ3950">
        <v>0</v>
      </c>
      <c r="AS3950">
        <v>0</v>
      </c>
      <c r="AT3950">
        <v>0</v>
      </c>
      <c r="AV3950">
        <v>0</v>
      </c>
      <c r="AW3950">
        <v>0</v>
      </c>
      <c r="AY3950">
        <v>0</v>
      </c>
      <c r="AZ3950">
        <v>0</v>
      </c>
      <c r="BA3950">
        <v>60</v>
      </c>
      <c r="BE3950" t="str">
        <f>T("9791172700263")</f>
        <v>9791172700263</v>
      </c>
      <c r="BF3950" t="str">
        <f>T("k407577")</f>
        <v>k407577</v>
      </c>
      <c r="BG3950" t="str">
        <f>T("판타지 웹소설 &gt; 퓨전 판타지")</f>
        <v>판타지 웹소설 &gt; 퓨전 판타지</v>
      </c>
    </row>
    <row r="3951" spans="1:59">
      <c r="A3951" t="s">
        <v>60</v>
      </c>
      <c r="B3951" s="1">
        <v>46131</v>
      </c>
      <c r="C3951">
        <v>2378069473</v>
      </c>
      <c r="D3951">
        <v>2378069622</v>
      </c>
      <c r="E3951" t="str">
        <f>T("신라의 왕좌는 제 겁니다 110화")</f>
        <v>신라의 왕좌는 제 겁니다 110화</v>
      </c>
      <c r="F3951">
        <v>110</v>
      </c>
      <c r="G3951" t="str">
        <f>T("매운아몬드")</f>
        <v>매운아몬드</v>
      </c>
      <c r="J3951" t="str">
        <f>T("사이렌")</f>
        <v>사이렌</v>
      </c>
      <c r="K3951" t="str">
        <f>T("신라의 왕좌는 제 겁니다")</f>
        <v>신라의 왕좌는 제 겁니다</v>
      </c>
      <c r="L3951">
        <v>100</v>
      </c>
      <c r="M3951">
        <v>100</v>
      </c>
      <c r="N3951">
        <v>1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0</v>
      </c>
      <c r="AE3951">
        <v>0</v>
      </c>
      <c r="AF3951">
        <v>0</v>
      </c>
      <c r="AG3951">
        <v>0</v>
      </c>
      <c r="AH3951">
        <v>0</v>
      </c>
      <c r="AI3951">
        <v>100</v>
      </c>
      <c r="AJ3951">
        <v>1</v>
      </c>
      <c r="AK3951">
        <v>0</v>
      </c>
      <c r="AL3951">
        <v>0</v>
      </c>
      <c r="AM3951">
        <v>100</v>
      </c>
      <c r="AN3951">
        <v>0</v>
      </c>
      <c r="AO3951">
        <v>0</v>
      </c>
      <c r="AP3951">
        <v>0</v>
      </c>
      <c r="AQ3951">
        <v>0</v>
      </c>
      <c r="AS3951">
        <v>0</v>
      </c>
      <c r="AT3951">
        <v>0</v>
      </c>
      <c r="AV3951">
        <v>0</v>
      </c>
      <c r="AW3951">
        <v>0</v>
      </c>
      <c r="AY3951">
        <v>0</v>
      </c>
      <c r="AZ3951">
        <v>0</v>
      </c>
      <c r="BA3951">
        <v>60</v>
      </c>
      <c r="BE3951" t="str">
        <f>T("9791172700263")</f>
        <v>9791172700263</v>
      </c>
      <c r="BF3951" t="str">
        <f>T("k407578")</f>
        <v>k407578</v>
      </c>
      <c r="BG3951" t="str">
        <f>T("판타지 웹소설 &gt; 퓨전 판타지")</f>
        <v>판타지 웹소설 &gt; 퓨전 판타지</v>
      </c>
    </row>
    <row r="3952" spans="1:59">
      <c r="A3952" t="s">
        <v>60</v>
      </c>
      <c r="B3952" s="1">
        <v>46131</v>
      </c>
      <c r="C3952">
        <v>2378069473</v>
      </c>
      <c r="D3952">
        <v>2378069658</v>
      </c>
      <c r="E3952" t="str">
        <f>T("신라의 왕좌는 제 겁니다 111화")</f>
        <v>신라의 왕좌는 제 겁니다 111화</v>
      </c>
      <c r="F3952">
        <v>111</v>
      </c>
      <c r="G3952" t="str">
        <f>T("매운아몬드")</f>
        <v>매운아몬드</v>
      </c>
      <c r="J3952" t="str">
        <f>T("사이렌")</f>
        <v>사이렌</v>
      </c>
      <c r="K3952" t="str">
        <f>T("신라의 왕좌는 제 겁니다")</f>
        <v>신라의 왕좌는 제 겁니다</v>
      </c>
      <c r="L3952">
        <v>100</v>
      </c>
      <c r="M3952">
        <v>100</v>
      </c>
      <c r="N3952">
        <v>1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0</v>
      </c>
      <c r="AE3952">
        <v>0</v>
      </c>
      <c r="AF3952">
        <v>0</v>
      </c>
      <c r="AG3952">
        <v>0</v>
      </c>
      <c r="AH3952">
        <v>0</v>
      </c>
      <c r="AI3952">
        <v>100</v>
      </c>
      <c r="AJ3952">
        <v>1</v>
      </c>
      <c r="AK3952">
        <v>0</v>
      </c>
      <c r="AL3952">
        <v>0</v>
      </c>
      <c r="AM3952">
        <v>100</v>
      </c>
      <c r="AN3952">
        <v>0</v>
      </c>
      <c r="AO3952">
        <v>0</v>
      </c>
      <c r="AP3952">
        <v>0</v>
      </c>
      <c r="AQ3952">
        <v>0</v>
      </c>
      <c r="AS3952">
        <v>0</v>
      </c>
      <c r="AT3952">
        <v>0</v>
      </c>
      <c r="AV3952">
        <v>0</v>
      </c>
      <c r="AW3952">
        <v>0</v>
      </c>
      <c r="AY3952">
        <v>0</v>
      </c>
      <c r="AZ3952">
        <v>0</v>
      </c>
      <c r="BA3952">
        <v>60</v>
      </c>
      <c r="BE3952" t="str">
        <f>T("9791172700263")</f>
        <v>9791172700263</v>
      </c>
      <c r="BF3952" t="str">
        <f>T("k407579")</f>
        <v>k407579</v>
      </c>
      <c r="BG3952" t="str">
        <f>T("판타지 웹소설 &gt; 퓨전 판타지")</f>
        <v>판타지 웹소설 &gt; 퓨전 판타지</v>
      </c>
    </row>
    <row r="3953" spans="1:59">
      <c r="A3953" t="s">
        <v>60</v>
      </c>
      <c r="B3953" s="1">
        <v>46131</v>
      </c>
      <c r="C3953">
        <v>2378069473</v>
      </c>
      <c r="D3953">
        <v>2378069659</v>
      </c>
      <c r="E3953" t="str">
        <f>T("신라의 왕좌는 제 겁니다 112화")</f>
        <v>신라의 왕좌는 제 겁니다 112화</v>
      </c>
      <c r="F3953">
        <v>112</v>
      </c>
      <c r="G3953" t="str">
        <f>T("매운아몬드")</f>
        <v>매운아몬드</v>
      </c>
      <c r="J3953" t="str">
        <f>T("사이렌")</f>
        <v>사이렌</v>
      </c>
      <c r="K3953" t="str">
        <f>T("신라의 왕좌는 제 겁니다")</f>
        <v>신라의 왕좌는 제 겁니다</v>
      </c>
      <c r="L3953">
        <v>100</v>
      </c>
      <c r="M3953">
        <v>100</v>
      </c>
      <c r="N3953">
        <v>1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0</v>
      </c>
      <c r="AE3953">
        <v>0</v>
      </c>
      <c r="AF3953">
        <v>0</v>
      </c>
      <c r="AG3953">
        <v>0</v>
      </c>
      <c r="AH3953">
        <v>0</v>
      </c>
      <c r="AI3953">
        <v>100</v>
      </c>
      <c r="AJ3953">
        <v>1</v>
      </c>
      <c r="AK3953">
        <v>0</v>
      </c>
      <c r="AL3953">
        <v>0</v>
      </c>
      <c r="AM3953">
        <v>100</v>
      </c>
      <c r="AN3953">
        <v>0</v>
      </c>
      <c r="AO3953">
        <v>0</v>
      </c>
      <c r="AP3953">
        <v>0</v>
      </c>
      <c r="AQ3953">
        <v>0</v>
      </c>
      <c r="AS3953">
        <v>0</v>
      </c>
      <c r="AT3953">
        <v>0</v>
      </c>
      <c r="AV3953">
        <v>0</v>
      </c>
      <c r="AW3953">
        <v>0</v>
      </c>
      <c r="AY3953">
        <v>0</v>
      </c>
      <c r="AZ3953">
        <v>0</v>
      </c>
      <c r="BA3953">
        <v>60</v>
      </c>
      <c r="BE3953" t="str">
        <f>T("9791172700263")</f>
        <v>9791172700263</v>
      </c>
      <c r="BF3953" t="str">
        <f>T("k407580")</f>
        <v>k407580</v>
      </c>
      <c r="BG3953" t="str">
        <f>T("판타지 웹소설 &gt; 퓨전 판타지")</f>
        <v>판타지 웹소설 &gt; 퓨전 판타지</v>
      </c>
    </row>
    <row r="3954" spans="1:59">
      <c r="A3954" t="s">
        <v>60</v>
      </c>
      <c r="B3954" s="1">
        <v>46131</v>
      </c>
      <c r="C3954">
        <v>2378069473</v>
      </c>
      <c r="D3954">
        <v>2378069660</v>
      </c>
      <c r="E3954" t="str">
        <f>T("신라의 왕좌는 제 겁니다 113화")</f>
        <v>신라의 왕좌는 제 겁니다 113화</v>
      </c>
      <c r="F3954">
        <v>113</v>
      </c>
      <c r="G3954" t="str">
        <f>T("매운아몬드")</f>
        <v>매운아몬드</v>
      </c>
      <c r="J3954" t="str">
        <f>T("사이렌")</f>
        <v>사이렌</v>
      </c>
      <c r="K3954" t="str">
        <f>T("신라의 왕좌는 제 겁니다")</f>
        <v>신라의 왕좌는 제 겁니다</v>
      </c>
      <c r="L3954">
        <v>100</v>
      </c>
      <c r="M3954">
        <v>100</v>
      </c>
      <c r="N3954">
        <v>1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0</v>
      </c>
      <c r="AE3954">
        <v>0</v>
      </c>
      <c r="AF3954">
        <v>0</v>
      </c>
      <c r="AG3954">
        <v>0</v>
      </c>
      <c r="AH3954">
        <v>0</v>
      </c>
      <c r="AI3954">
        <v>100</v>
      </c>
      <c r="AJ3954">
        <v>1</v>
      </c>
      <c r="AK3954">
        <v>0</v>
      </c>
      <c r="AL3954">
        <v>0</v>
      </c>
      <c r="AM3954">
        <v>100</v>
      </c>
      <c r="AN3954">
        <v>0</v>
      </c>
      <c r="AO3954">
        <v>0</v>
      </c>
      <c r="AP3954">
        <v>0</v>
      </c>
      <c r="AQ3954">
        <v>0</v>
      </c>
      <c r="AS3954">
        <v>0</v>
      </c>
      <c r="AT3954">
        <v>0</v>
      </c>
      <c r="AV3954">
        <v>0</v>
      </c>
      <c r="AW3954">
        <v>0</v>
      </c>
      <c r="AY3954">
        <v>0</v>
      </c>
      <c r="AZ3954">
        <v>0</v>
      </c>
      <c r="BA3954">
        <v>60</v>
      </c>
      <c r="BE3954" t="str">
        <f>T("9791172700263")</f>
        <v>9791172700263</v>
      </c>
      <c r="BF3954" t="str">
        <f>T("k407581")</f>
        <v>k407581</v>
      </c>
      <c r="BG3954" t="str">
        <f>T("판타지 웹소설 &gt; 퓨전 판타지")</f>
        <v>판타지 웹소설 &gt; 퓨전 판타지</v>
      </c>
    </row>
    <row r="3955" spans="1:59">
      <c r="A3955" t="s">
        <v>60</v>
      </c>
      <c r="B3955" s="1">
        <v>46131</v>
      </c>
      <c r="C3955">
        <v>2378069473</v>
      </c>
      <c r="D3955">
        <v>2378069661</v>
      </c>
      <c r="E3955" t="str">
        <f>T("신라의 왕좌는 제 겁니다 114화")</f>
        <v>신라의 왕좌는 제 겁니다 114화</v>
      </c>
      <c r="F3955">
        <v>114</v>
      </c>
      <c r="G3955" t="str">
        <f>T("매운아몬드")</f>
        <v>매운아몬드</v>
      </c>
      <c r="J3955" t="str">
        <f>T("사이렌")</f>
        <v>사이렌</v>
      </c>
      <c r="K3955" t="str">
        <f>T("신라의 왕좌는 제 겁니다")</f>
        <v>신라의 왕좌는 제 겁니다</v>
      </c>
      <c r="L3955">
        <v>100</v>
      </c>
      <c r="M3955">
        <v>100</v>
      </c>
      <c r="N3955">
        <v>1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0</v>
      </c>
      <c r="AE3955">
        <v>0</v>
      </c>
      <c r="AF3955">
        <v>0</v>
      </c>
      <c r="AG3955">
        <v>0</v>
      </c>
      <c r="AH3955">
        <v>0</v>
      </c>
      <c r="AI3955">
        <v>100</v>
      </c>
      <c r="AJ3955">
        <v>1</v>
      </c>
      <c r="AK3955">
        <v>0</v>
      </c>
      <c r="AL3955">
        <v>0</v>
      </c>
      <c r="AM3955">
        <v>100</v>
      </c>
      <c r="AN3955">
        <v>0</v>
      </c>
      <c r="AO3955">
        <v>0</v>
      </c>
      <c r="AP3955">
        <v>0</v>
      </c>
      <c r="AQ3955">
        <v>0</v>
      </c>
      <c r="AS3955">
        <v>0</v>
      </c>
      <c r="AT3955">
        <v>0</v>
      </c>
      <c r="AV3955">
        <v>0</v>
      </c>
      <c r="AW3955">
        <v>0</v>
      </c>
      <c r="AY3955">
        <v>0</v>
      </c>
      <c r="AZ3955">
        <v>0</v>
      </c>
      <c r="BA3955">
        <v>60</v>
      </c>
      <c r="BE3955" t="str">
        <f>T("9791172700263")</f>
        <v>9791172700263</v>
      </c>
      <c r="BF3955" t="str">
        <f>T("k407582")</f>
        <v>k407582</v>
      </c>
      <c r="BG3955" t="str">
        <f>T("판타지 웹소설 &gt; 퓨전 판타지")</f>
        <v>판타지 웹소설 &gt; 퓨전 판타지</v>
      </c>
    </row>
    <row r="3956" spans="1:59">
      <c r="A3956" t="s">
        <v>60</v>
      </c>
      <c r="B3956" s="1">
        <v>46131</v>
      </c>
      <c r="C3956">
        <v>2378069473</v>
      </c>
      <c r="D3956">
        <v>2378069662</v>
      </c>
      <c r="E3956" t="str">
        <f>T("신라의 왕좌는 제 겁니다 115화")</f>
        <v>신라의 왕좌는 제 겁니다 115화</v>
      </c>
      <c r="F3956">
        <v>115</v>
      </c>
      <c r="G3956" t="str">
        <f>T("매운아몬드")</f>
        <v>매운아몬드</v>
      </c>
      <c r="J3956" t="str">
        <f>T("사이렌")</f>
        <v>사이렌</v>
      </c>
      <c r="K3956" t="str">
        <f>T("신라의 왕좌는 제 겁니다")</f>
        <v>신라의 왕좌는 제 겁니다</v>
      </c>
      <c r="L3956">
        <v>100</v>
      </c>
      <c r="M3956">
        <v>100</v>
      </c>
      <c r="N3956">
        <v>1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0</v>
      </c>
      <c r="AE3956">
        <v>0</v>
      </c>
      <c r="AF3956">
        <v>0</v>
      </c>
      <c r="AG3956">
        <v>0</v>
      </c>
      <c r="AH3956">
        <v>0</v>
      </c>
      <c r="AI3956">
        <v>100</v>
      </c>
      <c r="AJ3956">
        <v>1</v>
      </c>
      <c r="AK3956">
        <v>0</v>
      </c>
      <c r="AL3956">
        <v>0</v>
      </c>
      <c r="AM3956">
        <v>100</v>
      </c>
      <c r="AN3956">
        <v>0</v>
      </c>
      <c r="AO3956">
        <v>0</v>
      </c>
      <c r="AP3956">
        <v>0</v>
      </c>
      <c r="AQ3956">
        <v>0</v>
      </c>
      <c r="AS3956">
        <v>0</v>
      </c>
      <c r="AT3956">
        <v>0</v>
      </c>
      <c r="AV3956">
        <v>0</v>
      </c>
      <c r="AW3956">
        <v>0</v>
      </c>
      <c r="AY3956">
        <v>0</v>
      </c>
      <c r="AZ3956">
        <v>0</v>
      </c>
      <c r="BA3956">
        <v>60</v>
      </c>
      <c r="BE3956" t="str">
        <f>T("9791172700263")</f>
        <v>9791172700263</v>
      </c>
      <c r="BF3956" t="str">
        <f>T("k407583")</f>
        <v>k407583</v>
      </c>
      <c r="BG3956" t="str">
        <f>T("판타지 웹소설 &gt; 퓨전 판타지")</f>
        <v>판타지 웹소설 &gt; 퓨전 판타지</v>
      </c>
    </row>
    <row r="3957" spans="1:59">
      <c r="A3957" t="s">
        <v>60</v>
      </c>
      <c r="B3957" s="1">
        <v>46131</v>
      </c>
      <c r="C3957">
        <v>2378069473</v>
      </c>
      <c r="D3957">
        <v>2378069663</v>
      </c>
      <c r="E3957" t="str">
        <f>T("신라의 왕좌는 제 겁니다 116화")</f>
        <v>신라의 왕좌는 제 겁니다 116화</v>
      </c>
      <c r="F3957">
        <v>116</v>
      </c>
      <c r="G3957" t="str">
        <f>T("매운아몬드")</f>
        <v>매운아몬드</v>
      </c>
      <c r="J3957" t="str">
        <f>T("사이렌")</f>
        <v>사이렌</v>
      </c>
      <c r="K3957" t="str">
        <f>T("신라의 왕좌는 제 겁니다")</f>
        <v>신라의 왕좌는 제 겁니다</v>
      </c>
      <c r="L3957">
        <v>100</v>
      </c>
      <c r="M3957">
        <v>100</v>
      </c>
      <c r="N3957">
        <v>1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0</v>
      </c>
      <c r="AE3957">
        <v>0</v>
      </c>
      <c r="AF3957">
        <v>0</v>
      </c>
      <c r="AG3957">
        <v>0</v>
      </c>
      <c r="AH3957">
        <v>0</v>
      </c>
      <c r="AI3957">
        <v>100</v>
      </c>
      <c r="AJ3957">
        <v>1</v>
      </c>
      <c r="AK3957">
        <v>0</v>
      </c>
      <c r="AL3957">
        <v>0</v>
      </c>
      <c r="AM3957">
        <v>100</v>
      </c>
      <c r="AN3957">
        <v>0</v>
      </c>
      <c r="AO3957">
        <v>0</v>
      </c>
      <c r="AP3957">
        <v>0</v>
      </c>
      <c r="AQ3957">
        <v>0</v>
      </c>
      <c r="AS3957">
        <v>0</v>
      </c>
      <c r="AT3957">
        <v>0</v>
      </c>
      <c r="AV3957">
        <v>0</v>
      </c>
      <c r="AW3957">
        <v>0</v>
      </c>
      <c r="AY3957">
        <v>0</v>
      </c>
      <c r="AZ3957">
        <v>0</v>
      </c>
      <c r="BA3957">
        <v>60</v>
      </c>
      <c r="BE3957" t="str">
        <f>T("9791172700263")</f>
        <v>9791172700263</v>
      </c>
      <c r="BF3957" t="str">
        <f>T("k407584")</f>
        <v>k407584</v>
      </c>
      <c r="BG3957" t="str">
        <f>T("판타지 웹소설 &gt; 퓨전 판타지")</f>
        <v>판타지 웹소설 &gt; 퓨전 판타지</v>
      </c>
    </row>
    <row r="3958" spans="1:59">
      <c r="A3958" t="s">
        <v>60</v>
      </c>
      <c r="B3958" s="1">
        <v>46131</v>
      </c>
      <c r="C3958">
        <v>2378069473</v>
      </c>
      <c r="D3958">
        <v>2378070139</v>
      </c>
      <c r="E3958" t="str">
        <f>T("신라의 왕좌는 제 겁니다 117화")</f>
        <v>신라의 왕좌는 제 겁니다 117화</v>
      </c>
      <c r="F3958">
        <v>117</v>
      </c>
      <c r="G3958" t="str">
        <f>T("매운아몬드")</f>
        <v>매운아몬드</v>
      </c>
      <c r="J3958" t="str">
        <f>T("사이렌")</f>
        <v>사이렌</v>
      </c>
      <c r="K3958" t="str">
        <f>T("신라의 왕좌는 제 겁니다")</f>
        <v>신라의 왕좌는 제 겁니다</v>
      </c>
      <c r="L3958">
        <v>100</v>
      </c>
      <c r="M3958">
        <v>100</v>
      </c>
      <c r="N3958">
        <v>1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0</v>
      </c>
      <c r="AE3958">
        <v>0</v>
      </c>
      <c r="AF3958">
        <v>0</v>
      </c>
      <c r="AG3958">
        <v>0</v>
      </c>
      <c r="AH3958">
        <v>0</v>
      </c>
      <c r="AI3958">
        <v>100</v>
      </c>
      <c r="AJ3958">
        <v>1</v>
      </c>
      <c r="AK3958">
        <v>0</v>
      </c>
      <c r="AL3958">
        <v>0</v>
      </c>
      <c r="AM3958">
        <v>100</v>
      </c>
      <c r="AN3958">
        <v>0</v>
      </c>
      <c r="AO3958">
        <v>0</v>
      </c>
      <c r="AP3958">
        <v>0</v>
      </c>
      <c r="AQ3958">
        <v>0</v>
      </c>
      <c r="AS3958">
        <v>0</v>
      </c>
      <c r="AT3958">
        <v>0</v>
      </c>
      <c r="AV3958">
        <v>0</v>
      </c>
      <c r="AW3958">
        <v>0</v>
      </c>
      <c r="AY3958">
        <v>0</v>
      </c>
      <c r="AZ3958">
        <v>0</v>
      </c>
      <c r="BA3958">
        <v>60</v>
      </c>
      <c r="BE3958" t="str">
        <f>T("9791172700263")</f>
        <v>9791172700263</v>
      </c>
      <c r="BF3958" t="str">
        <f>T("k407585")</f>
        <v>k407585</v>
      </c>
      <c r="BG3958" t="str">
        <f>T("판타지 웹소설 &gt; 퓨전 판타지")</f>
        <v>판타지 웹소설 &gt; 퓨전 판타지</v>
      </c>
    </row>
    <row r="3959" spans="1:59">
      <c r="A3959" t="s">
        <v>60</v>
      </c>
      <c r="B3959" s="1">
        <v>46131</v>
      </c>
      <c r="C3959">
        <v>2378069473</v>
      </c>
      <c r="D3959">
        <v>2378070140</v>
      </c>
      <c r="E3959" t="str">
        <f>T("신라의 왕좌는 제 겁니다 118화")</f>
        <v>신라의 왕좌는 제 겁니다 118화</v>
      </c>
      <c r="F3959">
        <v>118</v>
      </c>
      <c r="G3959" t="str">
        <f>T("매운아몬드")</f>
        <v>매운아몬드</v>
      </c>
      <c r="J3959" t="str">
        <f>T("사이렌")</f>
        <v>사이렌</v>
      </c>
      <c r="K3959" t="str">
        <f>T("신라의 왕좌는 제 겁니다")</f>
        <v>신라의 왕좌는 제 겁니다</v>
      </c>
      <c r="L3959">
        <v>100</v>
      </c>
      <c r="M3959">
        <v>100</v>
      </c>
      <c r="N3959">
        <v>1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0</v>
      </c>
      <c r="AE3959">
        <v>0</v>
      </c>
      <c r="AF3959">
        <v>0</v>
      </c>
      <c r="AG3959">
        <v>0</v>
      </c>
      <c r="AH3959">
        <v>0</v>
      </c>
      <c r="AI3959">
        <v>100</v>
      </c>
      <c r="AJ3959">
        <v>1</v>
      </c>
      <c r="AK3959">
        <v>0</v>
      </c>
      <c r="AL3959">
        <v>0</v>
      </c>
      <c r="AM3959">
        <v>100</v>
      </c>
      <c r="AN3959">
        <v>0</v>
      </c>
      <c r="AO3959">
        <v>0</v>
      </c>
      <c r="AP3959">
        <v>0</v>
      </c>
      <c r="AQ3959">
        <v>0</v>
      </c>
      <c r="AS3959">
        <v>0</v>
      </c>
      <c r="AT3959">
        <v>0</v>
      </c>
      <c r="AV3959">
        <v>0</v>
      </c>
      <c r="AW3959">
        <v>0</v>
      </c>
      <c r="AY3959">
        <v>0</v>
      </c>
      <c r="AZ3959">
        <v>0</v>
      </c>
      <c r="BA3959">
        <v>60</v>
      </c>
      <c r="BE3959" t="str">
        <f>T("9791172700263")</f>
        <v>9791172700263</v>
      </c>
      <c r="BF3959" t="str">
        <f>T("k407586")</f>
        <v>k407586</v>
      </c>
      <c r="BG3959" t="str">
        <f>T("판타지 웹소설 &gt; 퓨전 판타지")</f>
        <v>판타지 웹소설 &gt; 퓨전 판타지</v>
      </c>
    </row>
    <row r="3960" spans="1:59">
      <c r="A3960" t="s">
        <v>60</v>
      </c>
      <c r="B3960" s="1">
        <v>46131</v>
      </c>
      <c r="C3960">
        <v>2378069473</v>
      </c>
      <c r="D3960">
        <v>2378070141</v>
      </c>
      <c r="E3960" t="str">
        <f>T("신라의 왕좌는 제 겁니다 119화")</f>
        <v>신라의 왕좌는 제 겁니다 119화</v>
      </c>
      <c r="F3960">
        <v>119</v>
      </c>
      <c r="G3960" t="str">
        <f>T("매운아몬드")</f>
        <v>매운아몬드</v>
      </c>
      <c r="J3960" t="str">
        <f>T("사이렌")</f>
        <v>사이렌</v>
      </c>
      <c r="K3960" t="str">
        <f>T("신라의 왕좌는 제 겁니다")</f>
        <v>신라의 왕좌는 제 겁니다</v>
      </c>
      <c r="L3960">
        <v>100</v>
      </c>
      <c r="M3960">
        <v>100</v>
      </c>
      <c r="N3960">
        <v>1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0</v>
      </c>
      <c r="AE3960">
        <v>0</v>
      </c>
      <c r="AF3960">
        <v>0</v>
      </c>
      <c r="AG3960">
        <v>0</v>
      </c>
      <c r="AH3960">
        <v>0</v>
      </c>
      <c r="AI3960">
        <v>100</v>
      </c>
      <c r="AJ3960">
        <v>1</v>
      </c>
      <c r="AK3960">
        <v>0</v>
      </c>
      <c r="AL3960">
        <v>0</v>
      </c>
      <c r="AM3960">
        <v>100</v>
      </c>
      <c r="AN3960">
        <v>0</v>
      </c>
      <c r="AO3960">
        <v>0</v>
      </c>
      <c r="AP3960">
        <v>0</v>
      </c>
      <c r="AQ3960">
        <v>0</v>
      </c>
      <c r="AS3960">
        <v>0</v>
      </c>
      <c r="AT3960">
        <v>0</v>
      </c>
      <c r="AV3960">
        <v>0</v>
      </c>
      <c r="AW3960">
        <v>0</v>
      </c>
      <c r="AY3960">
        <v>0</v>
      </c>
      <c r="AZ3960">
        <v>0</v>
      </c>
      <c r="BA3960">
        <v>60</v>
      </c>
      <c r="BE3960" t="str">
        <f>T("9791172700263")</f>
        <v>9791172700263</v>
      </c>
      <c r="BF3960" t="str">
        <f>T("k407587")</f>
        <v>k407587</v>
      </c>
      <c r="BG3960" t="str">
        <f>T("판타지 웹소설 &gt; 퓨전 판타지")</f>
        <v>판타지 웹소설 &gt; 퓨전 판타지</v>
      </c>
    </row>
    <row r="3961" spans="1:59">
      <c r="A3961" t="s">
        <v>60</v>
      </c>
      <c r="B3961" s="1">
        <v>46131</v>
      </c>
      <c r="C3961">
        <v>2378069473</v>
      </c>
      <c r="D3961">
        <v>2378070142</v>
      </c>
      <c r="E3961" t="str">
        <f>T("신라의 왕좌는 제 겁니다 120화")</f>
        <v>신라의 왕좌는 제 겁니다 120화</v>
      </c>
      <c r="F3961">
        <v>120</v>
      </c>
      <c r="G3961" t="str">
        <f>T("매운아몬드")</f>
        <v>매운아몬드</v>
      </c>
      <c r="J3961" t="str">
        <f>T("사이렌")</f>
        <v>사이렌</v>
      </c>
      <c r="K3961" t="str">
        <f>T("신라의 왕좌는 제 겁니다")</f>
        <v>신라의 왕좌는 제 겁니다</v>
      </c>
      <c r="L3961">
        <v>100</v>
      </c>
      <c r="M3961">
        <v>100</v>
      </c>
      <c r="N3961">
        <v>1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0</v>
      </c>
      <c r="AE3961">
        <v>0</v>
      </c>
      <c r="AF3961">
        <v>0</v>
      </c>
      <c r="AG3961">
        <v>0</v>
      </c>
      <c r="AH3961">
        <v>0</v>
      </c>
      <c r="AI3961">
        <v>100</v>
      </c>
      <c r="AJ3961">
        <v>1</v>
      </c>
      <c r="AK3961">
        <v>0</v>
      </c>
      <c r="AL3961">
        <v>0</v>
      </c>
      <c r="AM3961">
        <v>100</v>
      </c>
      <c r="AN3961">
        <v>0</v>
      </c>
      <c r="AO3961">
        <v>0</v>
      </c>
      <c r="AP3961">
        <v>0</v>
      </c>
      <c r="AQ3961">
        <v>0</v>
      </c>
      <c r="AS3961">
        <v>0</v>
      </c>
      <c r="AT3961">
        <v>0</v>
      </c>
      <c r="AV3961">
        <v>0</v>
      </c>
      <c r="AW3961">
        <v>0</v>
      </c>
      <c r="AY3961">
        <v>0</v>
      </c>
      <c r="AZ3961">
        <v>0</v>
      </c>
      <c r="BA3961">
        <v>60</v>
      </c>
      <c r="BE3961" t="str">
        <f>T("9791172700263")</f>
        <v>9791172700263</v>
      </c>
      <c r="BF3961" t="str">
        <f>T("k407588")</f>
        <v>k407588</v>
      </c>
      <c r="BG3961" t="str">
        <f>T("판타지 웹소설 &gt; 퓨전 판타지")</f>
        <v>판타지 웹소설 &gt; 퓨전 판타지</v>
      </c>
    </row>
    <row r="3962" spans="1:59">
      <c r="A3962" t="s">
        <v>60</v>
      </c>
      <c r="B3962" s="1">
        <v>46131</v>
      </c>
      <c r="C3962">
        <v>2378069473</v>
      </c>
      <c r="D3962">
        <v>2378070172</v>
      </c>
      <c r="E3962" t="str">
        <f>T("신라의 왕좌는 제 겁니다 121화")</f>
        <v>신라의 왕좌는 제 겁니다 121화</v>
      </c>
      <c r="F3962">
        <v>121</v>
      </c>
      <c r="G3962" t="str">
        <f>T("매운아몬드")</f>
        <v>매운아몬드</v>
      </c>
      <c r="J3962" t="str">
        <f>T("사이렌")</f>
        <v>사이렌</v>
      </c>
      <c r="K3962" t="str">
        <f>T("신라의 왕좌는 제 겁니다")</f>
        <v>신라의 왕좌는 제 겁니다</v>
      </c>
      <c r="L3962">
        <v>100</v>
      </c>
      <c r="M3962">
        <v>100</v>
      </c>
      <c r="N3962">
        <v>1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0</v>
      </c>
      <c r="AE3962">
        <v>0</v>
      </c>
      <c r="AF3962">
        <v>0</v>
      </c>
      <c r="AG3962">
        <v>0</v>
      </c>
      <c r="AH3962">
        <v>0</v>
      </c>
      <c r="AI3962">
        <v>100</v>
      </c>
      <c r="AJ3962">
        <v>1</v>
      </c>
      <c r="AK3962">
        <v>0</v>
      </c>
      <c r="AL3962">
        <v>0</v>
      </c>
      <c r="AM3962">
        <v>100</v>
      </c>
      <c r="AN3962">
        <v>0</v>
      </c>
      <c r="AO3962">
        <v>0</v>
      </c>
      <c r="AP3962">
        <v>0</v>
      </c>
      <c r="AQ3962">
        <v>0</v>
      </c>
      <c r="AS3962">
        <v>0</v>
      </c>
      <c r="AT3962">
        <v>0</v>
      </c>
      <c r="AV3962">
        <v>0</v>
      </c>
      <c r="AW3962">
        <v>0</v>
      </c>
      <c r="AY3962">
        <v>0</v>
      </c>
      <c r="AZ3962">
        <v>0</v>
      </c>
      <c r="BA3962">
        <v>60</v>
      </c>
      <c r="BE3962" t="str">
        <f>T("9791172700263")</f>
        <v>9791172700263</v>
      </c>
      <c r="BF3962" t="str">
        <f>T("k418922")</f>
        <v>k418922</v>
      </c>
      <c r="BG3962" t="str">
        <f>T("판타지 웹소설 &gt; 퓨전 판타지")</f>
        <v>판타지 웹소설 &gt; 퓨전 판타지</v>
      </c>
    </row>
    <row r="3963" spans="1:59">
      <c r="A3963" t="s">
        <v>60</v>
      </c>
      <c r="B3963" s="1">
        <v>46131</v>
      </c>
      <c r="C3963">
        <v>2378069473</v>
      </c>
      <c r="D3963">
        <v>2378070173</v>
      </c>
      <c r="E3963" t="str">
        <f>T("신라의 왕좌는 제 겁니다 122화")</f>
        <v>신라의 왕좌는 제 겁니다 122화</v>
      </c>
      <c r="F3963">
        <v>122</v>
      </c>
      <c r="G3963" t="str">
        <f>T("매운아몬드")</f>
        <v>매운아몬드</v>
      </c>
      <c r="J3963" t="str">
        <f>T("사이렌")</f>
        <v>사이렌</v>
      </c>
      <c r="K3963" t="str">
        <f>T("신라의 왕좌는 제 겁니다")</f>
        <v>신라의 왕좌는 제 겁니다</v>
      </c>
      <c r="L3963">
        <v>100</v>
      </c>
      <c r="M3963">
        <v>100</v>
      </c>
      <c r="N3963">
        <v>1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0</v>
      </c>
      <c r="AE3963">
        <v>0</v>
      </c>
      <c r="AF3963">
        <v>0</v>
      </c>
      <c r="AG3963">
        <v>0</v>
      </c>
      <c r="AH3963">
        <v>0</v>
      </c>
      <c r="AI3963">
        <v>100</v>
      </c>
      <c r="AJ3963">
        <v>1</v>
      </c>
      <c r="AK3963">
        <v>0</v>
      </c>
      <c r="AL3963">
        <v>0</v>
      </c>
      <c r="AM3963">
        <v>100</v>
      </c>
      <c r="AN3963">
        <v>0</v>
      </c>
      <c r="AO3963">
        <v>0</v>
      </c>
      <c r="AP3963">
        <v>0</v>
      </c>
      <c r="AQ3963">
        <v>0</v>
      </c>
      <c r="AS3963">
        <v>0</v>
      </c>
      <c r="AT3963">
        <v>0</v>
      </c>
      <c r="AV3963">
        <v>0</v>
      </c>
      <c r="AW3963">
        <v>0</v>
      </c>
      <c r="AY3963">
        <v>0</v>
      </c>
      <c r="AZ3963">
        <v>0</v>
      </c>
      <c r="BA3963">
        <v>60</v>
      </c>
      <c r="BE3963" t="str">
        <f>T("9791172700263")</f>
        <v>9791172700263</v>
      </c>
      <c r="BF3963" t="str">
        <f>T("k418923")</f>
        <v>k418923</v>
      </c>
      <c r="BG3963" t="str">
        <f>T("판타지 웹소설 &gt; 퓨전 판타지")</f>
        <v>판타지 웹소설 &gt; 퓨전 판타지</v>
      </c>
    </row>
    <row r="3964" spans="1:59">
      <c r="A3964" t="s">
        <v>60</v>
      </c>
      <c r="B3964" s="1">
        <v>46131</v>
      </c>
      <c r="C3964">
        <v>2378069473</v>
      </c>
      <c r="D3964">
        <v>2378070174</v>
      </c>
      <c r="E3964" t="str">
        <f>T("신라의 왕좌는 제 겁니다 123화")</f>
        <v>신라의 왕좌는 제 겁니다 123화</v>
      </c>
      <c r="F3964">
        <v>123</v>
      </c>
      <c r="G3964" t="str">
        <f>T("매운아몬드")</f>
        <v>매운아몬드</v>
      </c>
      <c r="J3964" t="str">
        <f>T("사이렌")</f>
        <v>사이렌</v>
      </c>
      <c r="K3964" t="str">
        <f>T("신라의 왕좌는 제 겁니다")</f>
        <v>신라의 왕좌는 제 겁니다</v>
      </c>
      <c r="L3964">
        <v>100</v>
      </c>
      <c r="M3964">
        <v>100</v>
      </c>
      <c r="N3964">
        <v>1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0</v>
      </c>
      <c r="AE3964">
        <v>0</v>
      </c>
      <c r="AF3964">
        <v>0</v>
      </c>
      <c r="AG3964">
        <v>0</v>
      </c>
      <c r="AH3964">
        <v>0</v>
      </c>
      <c r="AI3964">
        <v>100</v>
      </c>
      <c r="AJ3964">
        <v>1</v>
      </c>
      <c r="AK3964">
        <v>0</v>
      </c>
      <c r="AL3964">
        <v>0</v>
      </c>
      <c r="AM3964">
        <v>100</v>
      </c>
      <c r="AN3964">
        <v>0</v>
      </c>
      <c r="AO3964">
        <v>0</v>
      </c>
      <c r="AP3964">
        <v>0</v>
      </c>
      <c r="AQ3964">
        <v>0</v>
      </c>
      <c r="AS3964">
        <v>0</v>
      </c>
      <c r="AT3964">
        <v>0</v>
      </c>
      <c r="AV3964">
        <v>0</v>
      </c>
      <c r="AW3964">
        <v>0</v>
      </c>
      <c r="AY3964">
        <v>0</v>
      </c>
      <c r="AZ3964">
        <v>0</v>
      </c>
      <c r="BA3964">
        <v>60</v>
      </c>
      <c r="BE3964" t="str">
        <f>T("9791172700263")</f>
        <v>9791172700263</v>
      </c>
      <c r="BF3964" t="str">
        <f>T("k418924")</f>
        <v>k418924</v>
      </c>
      <c r="BG3964" t="str">
        <f>T("판타지 웹소설 &gt; 퓨전 판타지")</f>
        <v>판타지 웹소설 &gt; 퓨전 판타지</v>
      </c>
    </row>
    <row r="3965" spans="1:59">
      <c r="A3965" t="s">
        <v>60</v>
      </c>
      <c r="B3965" s="1">
        <v>46131</v>
      </c>
      <c r="C3965">
        <v>2378069473</v>
      </c>
      <c r="D3965">
        <v>2378070175</v>
      </c>
      <c r="E3965" t="str">
        <f>T("신라의 왕좌는 제 겁니다 124화")</f>
        <v>신라의 왕좌는 제 겁니다 124화</v>
      </c>
      <c r="F3965">
        <v>124</v>
      </c>
      <c r="G3965" t="str">
        <f>T("매운아몬드")</f>
        <v>매운아몬드</v>
      </c>
      <c r="J3965" t="str">
        <f>T("사이렌")</f>
        <v>사이렌</v>
      </c>
      <c r="K3965" t="str">
        <f>T("신라의 왕좌는 제 겁니다")</f>
        <v>신라의 왕좌는 제 겁니다</v>
      </c>
      <c r="L3965">
        <v>100</v>
      </c>
      <c r="M3965">
        <v>100</v>
      </c>
      <c r="N3965">
        <v>1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0</v>
      </c>
      <c r="AE3965">
        <v>0</v>
      </c>
      <c r="AF3965">
        <v>0</v>
      </c>
      <c r="AG3965">
        <v>0</v>
      </c>
      <c r="AH3965">
        <v>0</v>
      </c>
      <c r="AI3965">
        <v>100</v>
      </c>
      <c r="AJ3965">
        <v>1</v>
      </c>
      <c r="AK3965">
        <v>0</v>
      </c>
      <c r="AL3965">
        <v>0</v>
      </c>
      <c r="AM3965">
        <v>100</v>
      </c>
      <c r="AN3965">
        <v>0</v>
      </c>
      <c r="AO3965">
        <v>0</v>
      </c>
      <c r="AP3965">
        <v>0</v>
      </c>
      <c r="AQ3965">
        <v>0</v>
      </c>
      <c r="AS3965">
        <v>0</v>
      </c>
      <c r="AT3965">
        <v>0</v>
      </c>
      <c r="AV3965">
        <v>0</v>
      </c>
      <c r="AW3965">
        <v>0</v>
      </c>
      <c r="AY3965">
        <v>0</v>
      </c>
      <c r="AZ3965">
        <v>0</v>
      </c>
      <c r="BA3965">
        <v>60</v>
      </c>
      <c r="BE3965" t="str">
        <f>T("9791172700263")</f>
        <v>9791172700263</v>
      </c>
      <c r="BF3965" t="str">
        <f>T("k418925")</f>
        <v>k418925</v>
      </c>
      <c r="BG3965" t="str">
        <f>T("판타지 웹소설 &gt; 퓨전 판타지")</f>
        <v>판타지 웹소설 &gt; 퓨전 판타지</v>
      </c>
    </row>
    <row r="3966" spans="1:59">
      <c r="A3966" t="s">
        <v>60</v>
      </c>
      <c r="B3966" s="1">
        <v>46131</v>
      </c>
      <c r="C3966">
        <v>2378069473</v>
      </c>
      <c r="D3966">
        <v>2378070176</v>
      </c>
      <c r="E3966" t="str">
        <f>T("신라의 왕좌는 제 겁니다 125화")</f>
        <v>신라의 왕좌는 제 겁니다 125화</v>
      </c>
      <c r="F3966">
        <v>125</v>
      </c>
      <c r="G3966" t="str">
        <f>T("매운아몬드")</f>
        <v>매운아몬드</v>
      </c>
      <c r="J3966" t="str">
        <f>T("사이렌")</f>
        <v>사이렌</v>
      </c>
      <c r="K3966" t="str">
        <f>T("신라의 왕좌는 제 겁니다")</f>
        <v>신라의 왕좌는 제 겁니다</v>
      </c>
      <c r="L3966">
        <v>100</v>
      </c>
      <c r="M3966">
        <v>100</v>
      </c>
      <c r="N3966">
        <v>1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0</v>
      </c>
      <c r="AE3966">
        <v>0</v>
      </c>
      <c r="AF3966">
        <v>0</v>
      </c>
      <c r="AG3966">
        <v>0</v>
      </c>
      <c r="AH3966">
        <v>0</v>
      </c>
      <c r="AI3966">
        <v>100</v>
      </c>
      <c r="AJ3966">
        <v>1</v>
      </c>
      <c r="AK3966">
        <v>0</v>
      </c>
      <c r="AL3966">
        <v>0</v>
      </c>
      <c r="AM3966">
        <v>100</v>
      </c>
      <c r="AN3966">
        <v>0</v>
      </c>
      <c r="AO3966">
        <v>0</v>
      </c>
      <c r="AP3966">
        <v>0</v>
      </c>
      <c r="AQ3966">
        <v>0</v>
      </c>
      <c r="AS3966">
        <v>0</v>
      </c>
      <c r="AT3966">
        <v>0</v>
      </c>
      <c r="AV3966">
        <v>0</v>
      </c>
      <c r="AW3966">
        <v>0</v>
      </c>
      <c r="AY3966">
        <v>0</v>
      </c>
      <c r="AZ3966">
        <v>0</v>
      </c>
      <c r="BA3966">
        <v>60</v>
      </c>
      <c r="BE3966" t="str">
        <f>T("9791172700263")</f>
        <v>9791172700263</v>
      </c>
      <c r="BF3966" t="str">
        <f>T("k418926")</f>
        <v>k418926</v>
      </c>
      <c r="BG3966" t="str">
        <f>T("판타지 웹소설 &gt; 퓨전 판타지")</f>
        <v>판타지 웹소설 &gt; 퓨전 판타지</v>
      </c>
    </row>
    <row r="3967" spans="1:59">
      <c r="A3967" t="s">
        <v>60</v>
      </c>
      <c r="B3967" s="1">
        <v>46131</v>
      </c>
      <c r="C3967">
        <v>2378069473</v>
      </c>
      <c r="D3967">
        <v>2378070219</v>
      </c>
      <c r="E3967" t="str">
        <f>T("신라의 왕좌는 제 겁니다 126화")</f>
        <v>신라의 왕좌는 제 겁니다 126화</v>
      </c>
      <c r="F3967">
        <v>126</v>
      </c>
      <c r="G3967" t="str">
        <f>T("매운아몬드")</f>
        <v>매운아몬드</v>
      </c>
      <c r="J3967" t="str">
        <f>T("사이렌")</f>
        <v>사이렌</v>
      </c>
      <c r="K3967" t="str">
        <f>T("신라의 왕좌는 제 겁니다")</f>
        <v>신라의 왕좌는 제 겁니다</v>
      </c>
      <c r="L3967">
        <v>100</v>
      </c>
      <c r="M3967">
        <v>100</v>
      </c>
      <c r="N3967">
        <v>1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0</v>
      </c>
      <c r="AE3967">
        <v>0</v>
      </c>
      <c r="AF3967">
        <v>0</v>
      </c>
      <c r="AG3967">
        <v>0</v>
      </c>
      <c r="AH3967">
        <v>0</v>
      </c>
      <c r="AI3967">
        <v>100</v>
      </c>
      <c r="AJ3967">
        <v>1</v>
      </c>
      <c r="AK3967">
        <v>0</v>
      </c>
      <c r="AL3967">
        <v>0</v>
      </c>
      <c r="AM3967">
        <v>100</v>
      </c>
      <c r="AN3967">
        <v>0</v>
      </c>
      <c r="AO3967">
        <v>0</v>
      </c>
      <c r="AP3967">
        <v>0</v>
      </c>
      <c r="AQ3967">
        <v>0</v>
      </c>
      <c r="AS3967">
        <v>0</v>
      </c>
      <c r="AT3967">
        <v>0</v>
      </c>
      <c r="AV3967">
        <v>0</v>
      </c>
      <c r="AW3967">
        <v>0</v>
      </c>
      <c r="AY3967">
        <v>0</v>
      </c>
      <c r="AZ3967">
        <v>0</v>
      </c>
      <c r="BA3967">
        <v>60</v>
      </c>
      <c r="BE3967" t="str">
        <f>T("9791172700263")</f>
        <v>9791172700263</v>
      </c>
      <c r="BF3967" t="str">
        <f>T("k427096")</f>
        <v>k427096</v>
      </c>
      <c r="BG3967" t="str">
        <f>T("판타지 웹소설 &gt; 퓨전 판타지")</f>
        <v>판타지 웹소설 &gt; 퓨전 판타지</v>
      </c>
    </row>
    <row r="3968" spans="1:59">
      <c r="A3968" t="s">
        <v>60</v>
      </c>
      <c r="B3968" s="1">
        <v>46131</v>
      </c>
      <c r="C3968">
        <v>2378069473</v>
      </c>
      <c r="D3968">
        <v>2378070220</v>
      </c>
      <c r="E3968" t="str">
        <f>T("신라의 왕좌는 제 겁니다 127화")</f>
        <v>신라의 왕좌는 제 겁니다 127화</v>
      </c>
      <c r="F3968">
        <v>127</v>
      </c>
      <c r="G3968" t="str">
        <f>T("매운아몬드")</f>
        <v>매운아몬드</v>
      </c>
      <c r="J3968" t="str">
        <f>T("사이렌")</f>
        <v>사이렌</v>
      </c>
      <c r="K3968" t="str">
        <f>T("신라의 왕좌는 제 겁니다")</f>
        <v>신라의 왕좌는 제 겁니다</v>
      </c>
      <c r="L3968">
        <v>100</v>
      </c>
      <c r="M3968">
        <v>100</v>
      </c>
      <c r="N3968">
        <v>1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0</v>
      </c>
      <c r="AE3968">
        <v>0</v>
      </c>
      <c r="AF3968">
        <v>0</v>
      </c>
      <c r="AG3968">
        <v>0</v>
      </c>
      <c r="AH3968">
        <v>0</v>
      </c>
      <c r="AI3968">
        <v>100</v>
      </c>
      <c r="AJ3968">
        <v>1</v>
      </c>
      <c r="AK3968">
        <v>0</v>
      </c>
      <c r="AL3968">
        <v>0</v>
      </c>
      <c r="AM3968">
        <v>100</v>
      </c>
      <c r="AN3968">
        <v>0</v>
      </c>
      <c r="AO3968">
        <v>0</v>
      </c>
      <c r="AP3968">
        <v>0</v>
      </c>
      <c r="AQ3968">
        <v>0</v>
      </c>
      <c r="AS3968">
        <v>0</v>
      </c>
      <c r="AT3968">
        <v>0</v>
      </c>
      <c r="AV3968">
        <v>0</v>
      </c>
      <c r="AW3968">
        <v>0</v>
      </c>
      <c r="AY3968">
        <v>0</v>
      </c>
      <c r="AZ3968">
        <v>0</v>
      </c>
      <c r="BA3968">
        <v>60</v>
      </c>
      <c r="BE3968" t="str">
        <f>T("9791172700263")</f>
        <v>9791172700263</v>
      </c>
      <c r="BF3968" t="str">
        <f>T("k427097")</f>
        <v>k427097</v>
      </c>
      <c r="BG3968" t="str">
        <f>T("판타지 웹소설 &gt; 퓨전 판타지")</f>
        <v>판타지 웹소설 &gt; 퓨전 판타지</v>
      </c>
    </row>
    <row r="3969" spans="1:59">
      <c r="A3969" t="s">
        <v>60</v>
      </c>
      <c r="B3969" s="1">
        <v>46131</v>
      </c>
      <c r="C3969">
        <v>2378069473</v>
      </c>
      <c r="D3969">
        <v>2378070221</v>
      </c>
      <c r="E3969" t="str">
        <f>T("신라의 왕좌는 제 겁니다 128화")</f>
        <v>신라의 왕좌는 제 겁니다 128화</v>
      </c>
      <c r="F3969">
        <v>128</v>
      </c>
      <c r="G3969" t="str">
        <f>T("매운아몬드")</f>
        <v>매운아몬드</v>
      </c>
      <c r="J3969" t="str">
        <f>T("사이렌")</f>
        <v>사이렌</v>
      </c>
      <c r="K3969" t="str">
        <f>T("신라의 왕좌는 제 겁니다")</f>
        <v>신라의 왕좌는 제 겁니다</v>
      </c>
      <c r="L3969">
        <v>100</v>
      </c>
      <c r="M3969">
        <v>100</v>
      </c>
      <c r="N3969">
        <v>1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0</v>
      </c>
      <c r="AE3969">
        <v>0</v>
      </c>
      <c r="AF3969">
        <v>0</v>
      </c>
      <c r="AG3969">
        <v>0</v>
      </c>
      <c r="AH3969">
        <v>0</v>
      </c>
      <c r="AI3969">
        <v>100</v>
      </c>
      <c r="AJ3969">
        <v>1</v>
      </c>
      <c r="AK3969">
        <v>0</v>
      </c>
      <c r="AL3969">
        <v>0</v>
      </c>
      <c r="AM3969">
        <v>100</v>
      </c>
      <c r="AN3969">
        <v>0</v>
      </c>
      <c r="AO3969">
        <v>0</v>
      </c>
      <c r="AP3969">
        <v>0</v>
      </c>
      <c r="AQ3969">
        <v>0</v>
      </c>
      <c r="AS3969">
        <v>0</v>
      </c>
      <c r="AT3969">
        <v>0</v>
      </c>
      <c r="AV3969">
        <v>0</v>
      </c>
      <c r="AW3969">
        <v>0</v>
      </c>
      <c r="AY3969">
        <v>0</v>
      </c>
      <c r="AZ3969">
        <v>0</v>
      </c>
      <c r="BA3969">
        <v>60</v>
      </c>
      <c r="BE3969" t="str">
        <f>T("9791172700263")</f>
        <v>9791172700263</v>
      </c>
      <c r="BF3969" t="str">
        <f>T("k427098")</f>
        <v>k427098</v>
      </c>
      <c r="BG3969" t="str">
        <f>T("판타지 웹소설 &gt; 퓨전 판타지")</f>
        <v>판타지 웹소설 &gt; 퓨전 판타지</v>
      </c>
    </row>
    <row r="3970" spans="1:59">
      <c r="A3970" t="s">
        <v>60</v>
      </c>
      <c r="B3970" s="1">
        <v>46131</v>
      </c>
      <c r="C3970">
        <v>2378069473</v>
      </c>
      <c r="D3970">
        <v>2378070222</v>
      </c>
      <c r="E3970" t="str">
        <f>T("신라의 왕좌는 제 겁니다 129화")</f>
        <v>신라의 왕좌는 제 겁니다 129화</v>
      </c>
      <c r="F3970">
        <v>129</v>
      </c>
      <c r="G3970" t="str">
        <f>T("매운아몬드")</f>
        <v>매운아몬드</v>
      </c>
      <c r="J3970" t="str">
        <f>T("사이렌")</f>
        <v>사이렌</v>
      </c>
      <c r="K3970" t="str">
        <f>T("신라의 왕좌는 제 겁니다")</f>
        <v>신라의 왕좌는 제 겁니다</v>
      </c>
      <c r="L3970">
        <v>100</v>
      </c>
      <c r="M3970">
        <v>100</v>
      </c>
      <c r="N3970">
        <v>1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0</v>
      </c>
      <c r="AE3970">
        <v>0</v>
      </c>
      <c r="AF3970">
        <v>0</v>
      </c>
      <c r="AG3970">
        <v>0</v>
      </c>
      <c r="AH3970">
        <v>0</v>
      </c>
      <c r="AI3970">
        <v>100</v>
      </c>
      <c r="AJ3970">
        <v>1</v>
      </c>
      <c r="AK3970">
        <v>0</v>
      </c>
      <c r="AL3970">
        <v>0</v>
      </c>
      <c r="AM3970">
        <v>100</v>
      </c>
      <c r="AN3970">
        <v>0</v>
      </c>
      <c r="AO3970">
        <v>0</v>
      </c>
      <c r="AP3970">
        <v>0</v>
      </c>
      <c r="AQ3970">
        <v>0</v>
      </c>
      <c r="AS3970">
        <v>0</v>
      </c>
      <c r="AT3970">
        <v>0</v>
      </c>
      <c r="AV3970">
        <v>0</v>
      </c>
      <c r="AW3970">
        <v>0</v>
      </c>
      <c r="AY3970">
        <v>0</v>
      </c>
      <c r="AZ3970">
        <v>0</v>
      </c>
      <c r="BA3970">
        <v>60</v>
      </c>
      <c r="BE3970" t="str">
        <f>T("9791172700263")</f>
        <v>9791172700263</v>
      </c>
      <c r="BF3970" t="str">
        <f>T("k427099")</f>
        <v>k427099</v>
      </c>
      <c r="BG3970" t="str">
        <f>T("판타지 웹소설 &gt; 퓨전 판타지")</f>
        <v>판타지 웹소설 &gt; 퓨전 판타지</v>
      </c>
    </row>
    <row r="3971" spans="1:59">
      <c r="A3971" t="s">
        <v>60</v>
      </c>
      <c r="B3971" s="1">
        <v>46131</v>
      </c>
      <c r="C3971">
        <v>2378069473</v>
      </c>
      <c r="D3971">
        <v>2378070223</v>
      </c>
      <c r="E3971" t="str">
        <f>T("신라의 왕좌는 제 겁니다 130화")</f>
        <v>신라의 왕좌는 제 겁니다 130화</v>
      </c>
      <c r="F3971">
        <v>130</v>
      </c>
      <c r="G3971" t="str">
        <f>T("매운아몬드")</f>
        <v>매운아몬드</v>
      </c>
      <c r="J3971" t="str">
        <f>T("사이렌")</f>
        <v>사이렌</v>
      </c>
      <c r="K3971" t="str">
        <f>T("신라의 왕좌는 제 겁니다")</f>
        <v>신라의 왕좌는 제 겁니다</v>
      </c>
      <c r="L3971">
        <v>100</v>
      </c>
      <c r="M3971">
        <v>100</v>
      </c>
      <c r="N3971">
        <v>1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0</v>
      </c>
      <c r="AE3971">
        <v>0</v>
      </c>
      <c r="AF3971">
        <v>0</v>
      </c>
      <c r="AG3971">
        <v>0</v>
      </c>
      <c r="AH3971">
        <v>0</v>
      </c>
      <c r="AI3971">
        <v>100</v>
      </c>
      <c r="AJ3971">
        <v>1</v>
      </c>
      <c r="AK3971">
        <v>0</v>
      </c>
      <c r="AL3971">
        <v>0</v>
      </c>
      <c r="AM3971">
        <v>100</v>
      </c>
      <c r="AN3971">
        <v>0</v>
      </c>
      <c r="AO3971">
        <v>0</v>
      </c>
      <c r="AP3971">
        <v>0</v>
      </c>
      <c r="AQ3971">
        <v>0</v>
      </c>
      <c r="AS3971">
        <v>0</v>
      </c>
      <c r="AT3971">
        <v>0</v>
      </c>
      <c r="AV3971">
        <v>0</v>
      </c>
      <c r="AW3971">
        <v>0</v>
      </c>
      <c r="AY3971">
        <v>0</v>
      </c>
      <c r="AZ3971">
        <v>0</v>
      </c>
      <c r="BA3971">
        <v>60</v>
      </c>
      <c r="BE3971" t="str">
        <f>T("9791172700263")</f>
        <v>9791172700263</v>
      </c>
      <c r="BF3971" t="str">
        <f>T("k427100")</f>
        <v>k427100</v>
      </c>
      <c r="BG3971" t="str">
        <f>T("판타지 웹소설 &gt; 퓨전 판타지")</f>
        <v>판타지 웹소설 &gt; 퓨전 판타지</v>
      </c>
    </row>
    <row r="3972" spans="1:59">
      <c r="A3972" t="s">
        <v>60</v>
      </c>
      <c r="B3972" s="1">
        <v>46131</v>
      </c>
      <c r="C3972">
        <v>2378069473</v>
      </c>
      <c r="D3972">
        <v>2378070224</v>
      </c>
      <c r="E3972" t="str">
        <f>T("신라의 왕좌는 제 겁니다 131화")</f>
        <v>신라의 왕좌는 제 겁니다 131화</v>
      </c>
      <c r="F3972">
        <v>131</v>
      </c>
      <c r="G3972" t="str">
        <f>T("매운아몬드")</f>
        <v>매운아몬드</v>
      </c>
      <c r="J3972" t="str">
        <f>T("사이렌")</f>
        <v>사이렌</v>
      </c>
      <c r="K3972" t="str">
        <f>T("신라의 왕좌는 제 겁니다")</f>
        <v>신라의 왕좌는 제 겁니다</v>
      </c>
      <c r="L3972">
        <v>100</v>
      </c>
      <c r="M3972">
        <v>100</v>
      </c>
      <c r="N3972">
        <v>1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0</v>
      </c>
      <c r="AE3972">
        <v>0</v>
      </c>
      <c r="AF3972">
        <v>0</v>
      </c>
      <c r="AG3972">
        <v>0</v>
      </c>
      <c r="AH3972">
        <v>0</v>
      </c>
      <c r="AI3972">
        <v>100</v>
      </c>
      <c r="AJ3972">
        <v>1</v>
      </c>
      <c r="AK3972">
        <v>0</v>
      </c>
      <c r="AL3972">
        <v>0</v>
      </c>
      <c r="AM3972">
        <v>100</v>
      </c>
      <c r="AN3972">
        <v>0</v>
      </c>
      <c r="AO3972">
        <v>0</v>
      </c>
      <c r="AP3972">
        <v>0</v>
      </c>
      <c r="AQ3972">
        <v>0</v>
      </c>
      <c r="AS3972">
        <v>0</v>
      </c>
      <c r="AT3972">
        <v>0</v>
      </c>
      <c r="AV3972">
        <v>0</v>
      </c>
      <c r="AW3972">
        <v>0</v>
      </c>
      <c r="AY3972">
        <v>0</v>
      </c>
      <c r="AZ3972">
        <v>0</v>
      </c>
      <c r="BA3972">
        <v>60</v>
      </c>
      <c r="BE3972" t="str">
        <f>T("9791172700263")</f>
        <v>9791172700263</v>
      </c>
      <c r="BF3972" t="str">
        <f>T("k427112")</f>
        <v>k427112</v>
      </c>
      <c r="BG3972" t="str">
        <f>T("판타지 웹소설 &gt; 퓨전 판타지")</f>
        <v>판타지 웹소설 &gt; 퓨전 판타지</v>
      </c>
    </row>
    <row r="3973" spans="1:59">
      <c r="A3973" t="s">
        <v>60</v>
      </c>
      <c r="B3973" s="1">
        <v>46131</v>
      </c>
      <c r="C3973">
        <v>2378069473</v>
      </c>
      <c r="D3973">
        <v>2378070225</v>
      </c>
      <c r="E3973" t="str">
        <f>T("신라의 왕좌는 제 겁니다 132화")</f>
        <v>신라의 왕좌는 제 겁니다 132화</v>
      </c>
      <c r="F3973">
        <v>132</v>
      </c>
      <c r="G3973" t="str">
        <f>T("매운아몬드")</f>
        <v>매운아몬드</v>
      </c>
      <c r="J3973" t="str">
        <f>T("사이렌")</f>
        <v>사이렌</v>
      </c>
      <c r="K3973" t="str">
        <f>T("신라의 왕좌는 제 겁니다")</f>
        <v>신라의 왕좌는 제 겁니다</v>
      </c>
      <c r="L3973">
        <v>100</v>
      </c>
      <c r="M3973">
        <v>100</v>
      </c>
      <c r="N3973">
        <v>1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0</v>
      </c>
      <c r="AE3973">
        <v>0</v>
      </c>
      <c r="AF3973">
        <v>0</v>
      </c>
      <c r="AG3973">
        <v>0</v>
      </c>
      <c r="AH3973">
        <v>0</v>
      </c>
      <c r="AI3973">
        <v>100</v>
      </c>
      <c r="AJ3973">
        <v>1</v>
      </c>
      <c r="AK3973">
        <v>0</v>
      </c>
      <c r="AL3973">
        <v>0</v>
      </c>
      <c r="AM3973">
        <v>100</v>
      </c>
      <c r="AN3973">
        <v>0</v>
      </c>
      <c r="AO3973">
        <v>0</v>
      </c>
      <c r="AP3973">
        <v>0</v>
      </c>
      <c r="AQ3973">
        <v>0</v>
      </c>
      <c r="AS3973">
        <v>0</v>
      </c>
      <c r="AT3973">
        <v>0</v>
      </c>
      <c r="AV3973">
        <v>0</v>
      </c>
      <c r="AW3973">
        <v>0</v>
      </c>
      <c r="AY3973">
        <v>0</v>
      </c>
      <c r="AZ3973">
        <v>0</v>
      </c>
      <c r="BA3973">
        <v>60</v>
      </c>
      <c r="BE3973" t="str">
        <f>T("9791172700263")</f>
        <v>9791172700263</v>
      </c>
      <c r="BF3973" t="str">
        <f>T("k427113")</f>
        <v>k427113</v>
      </c>
      <c r="BG3973" t="str">
        <f>T("판타지 웹소설 &gt; 퓨전 판타지")</f>
        <v>판타지 웹소설 &gt; 퓨전 판타지</v>
      </c>
    </row>
    <row r="3974" spans="1:59">
      <c r="A3974" t="s">
        <v>60</v>
      </c>
      <c r="B3974" s="1">
        <v>46131</v>
      </c>
      <c r="C3974">
        <v>2378069473</v>
      </c>
      <c r="D3974">
        <v>2378070226</v>
      </c>
      <c r="E3974" t="str">
        <f>T("신라의 왕좌는 제 겁니다 133화")</f>
        <v>신라의 왕좌는 제 겁니다 133화</v>
      </c>
      <c r="F3974">
        <v>133</v>
      </c>
      <c r="G3974" t="str">
        <f>T("매운아몬드")</f>
        <v>매운아몬드</v>
      </c>
      <c r="J3974" t="str">
        <f>T("사이렌")</f>
        <v>사이렌</v>
      </c>
      <c r="K3974" t="str">
        <f>T("신라의 왕좌는 제 겁니다")</f>
        <v>신라의 왕좌는 제 겁니다</v>
      </c>
      <c r="L3974">
        <v>100</v>
      </c>
      <c r="M3974">
        <v>100</v>
      </c>
      <c r="N3974">
        <v>1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0</v>
      </c>
      <c r="AE3974">
        <v>0</v>
      </c>
      <c r="AF3974">
        <v>0</v>
      </c>
      <c r="AG3974">
        <v>0</v>
      </c>
      <c r="AH3974">
        <v>0</v>
      </c>
      <c r="AI3974">
        <v>100</v>
      </c>
      <c r="AJ3974">
        <v>1</v>
      </c>
      <c r="AK3974">
        <v>0</v>
      </c>
      <c r="AL3974">
        <v>0</v>
      </c>
      <c r="AM3974">
        <v>100</v>
      </c>
      <c r="AN3974">
        <v>0</v>
      </c>
      <c r="AO3974">
        <v>0</v>
      </c>
      <c r="AP3974">
        <v>0</v>
      </c>
      <c r="AQ3974">
        <v>0</v>
      </c>
      <c r="AS3974">
        <v>0</v>
      </c>
      <c r="AT3974">
        <v>0</v>
      </c>
      <c r="AV3974">
        <v>0</v>
      </c>
      <c r="AW3974">
        <v>0</v>
      </c>
      <c r="AY3974">
        <v>0</v>
      </c>
      <c r="AZ3974">
        <v>0</v>
      </c>
      <c r="BA3974">
        <v>60</v>
      </c>
      <c r="BE3974" t="str">
        <f>T("9791172700263")</f>
        <v>9791172700263</v>
      </c>
      <c r="BF3974" t="str">
        <f>T("k427114")</f>
        <v>k427114</v>
      </c>
      <c r="BG3974" t="str">
        <f>T("판타지 웹소설 &gt; 퓨전 판타지")</f>
        <v>판타지 웹소설 &gt; 퓨전 판타지</v>
      </c>
    </row>
    <row r="3975" spans="1:59">
      <c r="A3975" t="s">
        <v>60</v>
      </c>
      <c r="B3975" s="1">
        <v>46131</v>
      </c>
      <c r="C3975">
        <v>2378069473</v>
      </c>
      <c r="D3975">
        <v>2378070227</v>
      </c>
      <c r="E3975" t="str">
        <f>T("신라의 왕좌는 제 겁니다 134화")</f>
        <v>신라의 왕좌는 제 겁니다 134화</v>
      </c>
      <c r="F3975">
        <v>134</v>
      </c>
      <c r="G3975" t="str">
        <f>T("매운아몬드")</f>
        <v>매운아몬드</v>
      </c>
      <c r="J3975" t="str">
        <f>T("사이렌")</f>
        <v>사이렌</v>
      </c>
      <c r="K3975" t="str">
        <f>T("신라의 왕좌는 제 겁니다")</f>
        <v>신라의 왕좌는 제 겁니다</v>
      </c>
      <c r="L3975">
        <v>100</v>
      </c>
      <c r="M3975">
        <v>100</v>
      </c>
      <c r="N3975">
        <v>1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0</v>
      </c>
      <c r="AE3975">
        <v>0</v>
      </c>
      <c r="AF3975">
        <v>0</v>
      </c>
      <c r="AG3975">
        <v>0</v>
      </c>
      <c r="AH3975">
        <v>0</v>
      </c>
      <c r="AI3975">
        <v>100</v>
      </c>
      <c r="AJ3975">
        <v>1</v>
      </c>
      <c r="AK3975">
        <v>0</v>
      </c>
      <c r="AL3975">
        <v>0</v>
      </c>
      <c r="AM3975">
        <v>100</v>
      </c>
      <c r="AN3975">
        <v>0</v>
      </c>
      <c r="AO3975">
        <v>0</v>
      </c>
      <c r="AP3975">
        <v>0</v>
      </c>
      <c r="AQ3975">
        <v>0</v>
      </c>
      <c r="AS3975">
        <v>0</v>
      </c>
      <c r="AT3975">
        <v>0</v>
      </c>
      <c r="AV3975">
        <v>0</v>
      </c>
      <c r="AW3975">
        <v>0</v>
      </c>
      <c r="AY3975">
        <v>0</v>
      </c>
      <c r="AZ3975">
        <v>0</v>
      </c>
      <c r="BA3975">
        <v>60</v>
      </c>
      <c r="BE3975" t="str">
        <f>T("9791172700263")</f>
        <v>9791172700263</v>
      </c>
      <c r="BF3975" t="str">
        <f>T("k427115")</f>
        <v>k427115</v>
      </c>
      <c r="BG3975" t="str">
        <f>T("판타지 웹소설 &gt; 퓨전 판타지")</f>
        <v>판타지 웹소설 &gt; 퓨전 판타지</v>
      </c>
    </row>
    <row r="3976" spans="1:59">
      <c r="A3976" t="s">
        <v>60</v>
      </c>
      <c r="B3976" s="1">
        <v>46131</v>
      </c>
      <c r="C3976">
        <v>2378069473</v>
      </c>
      <c r="D3976">
        <v>2378070228</v>
      </c>
      <c r="E3976" t="str">
        <f>T("신라의 왕좌는 제 겁니다 135화")</f>
        <v>신라의 왕좌는 제 겁니다 135화</v>
      </c>
      <c r="F3976">
        <v>135</v>
      </c>
      <c r="G3976" t="str">
        <f>T("매운아몬드")</f>
        <v>매운아몬드</v>
      </c>
      <c r="J3976" t="str">
        <f>T("사이렌")</f>
        <v>사이렌</v>
      </c>
      <c r="K3976" t="str">
        <f>T("신라의 왕좌는 제 겁니다")</f>
        <v>신라의 왕좌는 제 겁니다</v>
      </c>
      <c r="L3976">
        <v>100</v>
      </c>
      <c r="M3976">
        <v>100</v>
      </c>
      <c r="N3976">
        <v>1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0</v>
      </c>
      <c r="AE3976">
        <v>0</v>
      </c>
      <c r="AF3976">
        <v>0</v>
      </c>
      <c r="AG3976">
        <v>0</v>
      </c>
      <c r="AH3976">
        <v>0</v>
      </c>
      <c r="AI3976">
        <v>100</v>
      </c>
      <c r="AJ3976">
        <v>1</v>
      </c>
      <c r="AK3976">
        <v>0</v>
      </c>
      <c r="AL3976">
        <v>0</v>
      </c>
      <c r="AM3976">
        <v>100</v>
      </c>
      <c r="AN3976">
        <v>0</v>
      </c>
      <c r="AO3976">
        <v>0</v>
      </c>
      <c r="AP3976">
        <v>0</v>
      </c>
      <c r="AQ3976">
        <v>0</v>
      </c>
      <c r="AS3976">
        <v>0</v>
      </c>
      <c r="AT3976">
        <v>0</v>
      </c>
      <c r="AV3976">
        <v>0</v>
      </c>
      <c r="AW3976">
        <v>0</v>
      </c>
      <c r="AY3976">
        <v>0</v>
      </c>
      <c r="AZ3976">
        <v>0</v>
      </c>
      <c r="BA3976">
        <v>60</v>
      </c>
      <c r="BE3976" t="str">
        <f>T("9791172700263")</f>
        <v>9791172700263</v>
      </c>
      <c r="BF3976" t="str">
        <f>T("k427116")</f>
        <v>k427116</v>
      </c>
      <c r="BG3976" t="str">
        <f>T("판타지 웹소설 &gt; 퓨전 판타지")</f>
        <v>판타지 웹소설 &gt; 퓨전 판타지</v>
      </c>
    </row>
    <row r="3977" spans="1:59">
      <c r="A3977" t="s">
        <v>60</v>
      </c>
      <c r="B3977" s="1">
        <v>46131</v>
      </c>
      <c r="C3977">
        <v>2378069473</v>
      </c>
      <c r="D3977">
        <v>2378070270</v>
      </c>
      <c r="E3977" t="str">
        <f>T("신라의 왕좌는 제 겁니다 136화")</f>
        <v>신라의 왕좌는 제 겁니다 136화</v>
      </c>
      <c r="F3977">
        <v>136</v>
      </c>
      <c r="G3977" t="str">
        <f>T("매운아몬드")</f>
        <v>매운아몬드</v>
      </c>
      <c r="J3977" t="str">
        <f>T("사이렌")</f>
        <v>사이렌</v>
      </c>
      <c r="K3977" t="str">
        <f>T("신라의 왕좌는 제 겁니다")</f>
        <v>신라의 왕좌는 제 겁니다</v>
      </c>
      <c r="L3977">
        <v>100</v>
      </c>
      <c r="M3977">
        <v>100</v>
      </c>
      <c r="N3977">
        <v>1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0</v>
      </c>
      <c r="AE3977">
        <v>0</v>
      </c>
      <c r="AF3977">
        <v>0</v>
      </c>
      <c r="AG3977">
        <v>0</v>
      </c>
      <c r="AH3977">
        <v>0</v>
      </c>
      <c r="AI3977">
        <v>100</v>
      </c>
      <c r="AJ3977">
        <v>1</v>
      </c>
      <c r="AK3977">
        <v>0</v>
      </c>
      <c r="AL3977">
        <v>0</v>
      </c>
      <c r="AM3977">
        <v>100</v>
      </c>
      <c r="AN3977">
        <v>0</v>
      </c>
      <c r="AO3977">
        <v>0</v>
      </c>
      <c r="AP3977">
        <v>0</v>
      </c>
      <c r="AQ3977">
        <v>0</v>
      </c>
      <c r="AS3977">
        <v>0</v>
      </c>
      <c r="AT3977">
        <v>0</v>
      </c>
      <c r="AV3977">
        <v>0</v>
      </c>
      <c r="AW3977">
        <v>0</v>
      </c>
      <c r="AY3977">
        <v>0</v>
      </c>
      <c r="AZ3977">
        <v>0</v>
      </c>
      <c r="BA3977">
        <v>60</v>
      </c>
      <c r="BE3977" t="str">
        <f>T("9791172700263")</f>
        <v>9791172700263</v>
      </c>
      <c r="BF3977" t="str">
        <f>T("k427117")</f>
        <v>k427117</v>
      </c>
      <c r="BG3977" t="str">
        <f>T("판타지 웹소설 &gt; 퓨전 판타지")</f>
        <v>판타지 웹소설 &gt; 퓨전 판타지</v>
      </c>
    </row>
    <row r="3978" spans="1:59">
      <c r="A3978" t="s">
        <v>60</v>
      </c>
      <c r="B3978" s="1">
        <v>46131</v>
      </c>
      <c r="C3978">
        <v>2378069473</v>
      </c>
      <c r="D3978">
        <v>2378070271</v>
      </c>
      <c r="E3978" t="str">
        <f>T("신라의 왕좌는 제 겁니다 137화")</f>
        <v>신라의 왕좌는 제 겁니다 137화</v>
      </c>
      <c r="F3978">
        <v>137</v>
      </c>
      <c r="G3978" t="str">
        <f>T("매운아몬드")</f>
        <v>매운아몬드</v>
      </c>
      <c r="J3978" t="str">
        <f>T("사이렌")</f>
        <v>사이렌</v>
      </c>
      <c r="K3978" t="str">
        <f>T("신라의 왕좌는 제 겁니다")</f>
        <v>신라의 왕좌는 제 겁니다</v>
      </c>
      <c r="L3978">
        <v>100</v>
      </c>
      <c r="M3978">
        <v>100</v>
      </c>
      <c r="N3978">
        <v>1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0</v>
      </c>
      <c r="AE3978">
        <v>0</v>
      </c>
      <c r="AF3978">
        <v>0</v>
      </c>
      <c r="AG3978">
        <v>0</v>
      </c>
      <c r="AH3978">
        <v>0</v>
      </c>
      <c r="AI3978">
        <v>100</v>
      </c>
      <c r="AJ3978">
        <v>1</v>
      </c>
      <c r="AK3978">
        <v>0</v>
      </c>
      <c r="AL3978">
        <v>0</v>
      </c>
      <c r="AM3978">
        <v>100</v>
      </c>
      <c r="AN3978">
        <v>0</v>
      </c>
      <c r="AO3978">
        <v>0</v>
      </c>
      <c r="AP3978">
        <v>0</v>
      </c>
      <c r="AQ3978">
        <v>0</v>
      </c>
      <c r="AS3978">
        <v>0</v>
      </c>
      <c r="AT3978">
        <v>0</v>
      </c>
      <c r="AV3978">
        <v>0</v>
      </c>
      <c r="AW3978">
        <v>0</v>
      </c>
      <c r="AY3978">
        <v>0</v>
      </c>
      <c r="AZ3978">
        <v>0</v>
      </c>
      <c r="BA3978">
        <v>60</v>
      </c>
      <c r="BE3978" t="str">
        <f>T("9791172700263")</f>
        <v>9791172700263</v>
      </c>
      <c r="BF3978" t="str">
        <f>T("k427118")</f>
        <v>k427118</v>
      </c>
      <c r="BG3978" t="str">
        <f>T("판타지 웹소설 &gt; 퓨전 판타지")</f>
        <v>판타지 웹소설 &gt; 퓨전 판타지</v>
      </c>
    </row>
    <row r="3979" spans="1:59">
      <c r="A3979" t="s">
        <v>60</v>
      </c>
      <c r="B3979" s="1">
        <v>46131</v>
      </c>
      <c r="C3979">
        <v>2378069473</v>
      </c>
      <c r="D3979">
        <v>2378070272</v>
      </c>
      <c r="E3979" t="str">
        <f>T("신라의 왕좌는 제 겁니다 138화")</f>
        <v>신라의 왕좌는 제 겁니다 138화</v>
      </c>
      <c r="F3979">
        <v>138</v>
      </c>
      <c r="G3979" t="str">
        <f>T("매운아몬드")</f>
        <v>매운아몬드</v>
      </c>
      <c r="J3979" t="str">
        <f>T("사이렌")</f>
        <v>사이렌</v>
      </c>
      <c r="K3979" t="str">
        <f>T("신라의 왕좌는 제 겁니다")</f>
        <v>신라의 왕좌는 제 겁니다</v>
      </c>
      <c r="L3979">
        <v>100</v>
      </c>
      <c r="M3979">
        <v>100</v>
      </c>
      <c r="N3979">
        <v>1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0</v>
      </c>
      <c r="AE3979">
        <v>0</v>
      </c>
      <c r="AF3979">
        <v>0</v>
      </c>
      <c r="AG3979">
        <v>0</v>
      </c>
      <c r="AH3979">
        <v>0</v>
      </c>
      <c r="AI3979">
        <v>100</v>
      </c>
      <c r="AJ3979">
        <v>1</v>
      </c>
      <c r="AK3979">
        <v>0</v>
      </c>
      <c r="AL3979">
        <v>0</v>
      </c>
      <c r="AM3979">
        <v>100</v>
      </c>
      <c r="AN3979">
        <v>0</v>
      </c>
      <c r="AO3979">
        <v>0</v>
      </c>
      <c r="AP3979">
        <v>0</v>
      </c>
      <c r="AQ3979">
        <v>0</v>
      </c>
      <c r="AS3979">
        <v>0</v>
      </c>
      <c r="AT3979">
        <v>0</v>
      </c>
      <c r="AV3979">
        <v>0</v>
      </c>
      <c r="AW3979">
        <v>0</v>
      </c>
      <c r="AY3979">
        <v>0</v>
      </c>
      <c r="AZ3979">
        <v>0</v>
      </c>
      <c r="BA3979">
        <v>60</v>
      </c>
      <c r="BE3979" t="str">
        <f>T("9791172700263")</f>
        <v>9791172700263</v>
      </c>
      <c r="BF3979" t="str">
        <f>T("k427119")</f>
        <v>k427119</v>
      </c>
      <c r="BG3979" t="str">
        <f>T("판타지 웹소설 &gt; 퓨전 판타지")</f>
        <v>판타지 웹소설 &gt; 퓨전 판타지</v>
      </c>
    </row>
    <row r="3980" spans="1:59">
      <c r="A3980" t="s">
        <v>60</v>
      </c>
      <c r="B3980" s="1">
        <v>46131</v>
      </c>
      <c r="C3980">
        <v>2378069473</v>
      </c>
      <c r="D3980">
        <v>2378070273</v>
      </c>
      <c r="E3980" t="str">
        <f>T("신라의 왕좌는 제 겁니다 139화")</f>
        <v>신라의 왕좌는 제 겁니다 139화</v>
      </c>
      <c r="F3980">
        <v>139</v>
      </c>
      <c r="G3980" t="str">
        <f>T("매운아몬드")</f>
        <v>매운아몬드</v>
      </c>
      <c r="J3980" t="str">
        <f>T("사이렌")</f>
        <v>사이렌</v>
      </c>
      <c r="K3980" t="str">
        <f>T("신라의 왕좌는 제 겁니다")</f>
        <v>신라의 왕좌는 제 겁니다</v>
      </c>
      <c r="L3980">
        <v>100</v>
      </c>
      <c r="M3980">
        <v>100</v>
      </c>
      <c r="N3980">
        <v>1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0</v>
      </c>
      <c r="AE3980">
        <v>0</v>
      </c>
      <c r="AF3980">
        <v>0</v>
      </c>
      <c r="AG3980">
        <v>0</v>
      </c>
      <c r="AH3980">
        <v>0</v>
      </c>
      <c r="AI3980">
        <v>100</v>
      </c>
      <c r="AJ3980">
        <v>1</v>
      </c>
      <c r="AK3980">
        <v>0</v>
      </c>
      <c r="AL3980">
        <v>0</v>
      </c>
      <c r="AM3980">
        <v>100</v>
      </c>
      <c r="AN3980">
        <v>0</v>
      </c>
      <c r="AO3980">
        <v>0</v>
      </c>
      <c r="AP3980">
        <v>0</v>
      </c>
      <c r="AQ3980">
        <v>0</v>
      </c>
      <c r="AS3980">
        <v>0</v>
      </c>
      <c r="AT3980">
        <v>0</v>
      </c>
      <c r="AV3980">
        <v>0</v>
      </c>
      <c r="AW3980">
        <v>0</v>
      </c>
      <c r="AY3980">
        <v>0</v>
      </c>
      <c r="AZ3980">
        <v>0</v>
      </c>
      <c r="BA3980">
        <v>60</v>
      </c>
      <c r="BE3980" t="str">
        <f>T("9791172700263")</f>
        <v>9791172700263</v>
      </c>
      <c r="BF3980" t="str">
        <f>T("k427120")</f>
        <v>k427120</v>
      </c>
      <c r="BG3980" t="str">
        <f>T("판타지 웹소설 &gt; 퓨전 판타지")</f>
        <v>판타지 웹소설 &gt; 퓨전 판타지</v>
      </c>
    </row>
    <row r="3981" spans="1:59">
      <c r="A3981" t="s">
        <v>60</v>
      </c>
      <c r="B3981" s="1">
        <v>46131</v>
      </c>
      <c r="C3981">
        <v>2378069473</v>
      </c>
      <c r="D3981">
        <v>2378070274</v>
      </c>
      <c r="E3981" t="str">
        <f>T("신라의 왕좌는 제 겁니다 140화")</f>
        <v>신라의 왕좌는 제 겁니다 140화</v>
      </c>
      <c r="F3981">
        <v>140</v>
      </c>
      <c r="G3981" t="str">
        <f>T("매운아몬드")</f>
        <v>매운아몬드</v>
      </c>
      <c r="J3981" t="str">
        <f>T("사이렌")</f>
        <v>사이렌</v>
      </c>
      <c r="K3981" t="str">
        <f>T("신라의 왕좌는 제 겁니다")</f>
        <v>신라의 왕좌는 제 겁니다</v>
      </c>
      <c r="L3981">
        <v>100</v>
      </c>
      <c r="M3981">
        <v>100</v>
      </c>
      <c r="N3981">
        <v>1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0</v>
      </c>
      <c r="AE3981">
        <v>0</v>
      </c>
      <c r="AF3981">
        <v>0</v>
      </c>
      <c r="AG3981">
        <v>0</v>
      </c>
      <c r="AH3981">
        <v>0</v>
      </c>
      <c r="AI3981">
        <v>100</v>
      </c>
      <c r="AJ3981">
        <v>1</v>
      </c>
      <c r="AK3981">
        <v>0</v>
      </c>
      <c r="AL3981">
        <v>0</v>
      </c>
      <c r="AM3981">
        <v>100</v>
      </c>
      <c r="AN3981">
        <v>0</v>
      </c>
      <c r="AO3981">
        <v>0</v>
      </c>
      <c r="AP3981">
        <v>0</v>
      </c>
      <c r="AQ3981">
        <v>0</v>
      </c>
      <c r="AS3981">
        <v>0</v>
      </c>
      <c r="AT3981">
        <v>0</v>
      </c>
      <c r="AV3981">
        <v>0</v>
      </c>
      <c r="AW3981">
        <v>0</v>
      </c>
      <c r="AY3981">
        <v>0</v>
      </c>
      <c r="AZ3981">
        <v>0</v>
      </c>
      <c r="BA3981">
        <v>60</v>
      </c>
      <c r="BE3981" t="str">
        <f>T("9791172700263")</f>
        <v>9791172700263</v>
      </c>
      <c r="BF3981" t="str">
        <f>T("k427121")</f>
        <v>k427121</v>
      </c>
      <c r="BG3981" t="str">
        <f>T("판타지 웹소설 &gt; 퓨전 판타지")</f>
        <v>판타지 웹소설 &gt; 퓨전 판타지</v>
      </c>
    </row>
    <row r="3982" spans="1:59">
      <c r="A3982" t="s">
        <v>60</v>
      </c>
      <c r="B3982" s="1">
        <v>46131</v>
      </c>
      <c r="C3982">
        <v>2378069473</v>
      </c>
      <c r="D3982">
        <v>2378070275</v>
      </c>
      <c r="E3982" t="str">
        <f>T("신라의 왕좌는 제 겁니다 141화")</f>
        <v>신라의 왕좌는 제 겁니다 141화</v>
      </c>
      <c r="F3982">
        <v>141</v>
      </c>
      <c r="G3982" t="str">
        <f>T("매운아몬드")</f>
        <v>매운아몬드</v>
      </c>
      <c r="J3982" t="str">
        <f>T("사이렌")</f>
        <v>사이렌</v>
      </c>
      <c r="K3982" t="str">
        <f>T("신라의 왕좌는 제 겁니다")</f>
        <v>신라의 왕좌는 제 겁니다</v>
      </c>
      <c r="L3982">
        <v>100</v>
      </c>
      <c r="M3982">
        <v>100</v>
      </c>
      <c r="N3982">
        <v>1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0</v>
      </c>
      <c r="AE3982">
        <v>0</v>
      </c>
      <c r="AF3982">
        <v>0</v>
      </c>
      <c r="AG3982">
        <v>0</v>
      </c>
      <c r="AH3982">
        <v>0</v>
      </c>
      <c r="AI3982">
        <v>100</v>
      </c>
      <c r="AJ3982">
        <v>1</v>
      </c>
      <c r="AK3982">
        <v>0</v>
      </c>
      <c r="AL3982">
        <v>0</v>
      </c>
      <c r="AM3982">
        <v>100</v>
      </c>
      <c r="AN3982">
        <v>0</v>
      </c>
      <c r="AO3982">
        <v>0</v>
      </c>
      <c r="AP3982">
        <v>0</v>
      </c>
      <c r="AQ3982">
        <v>0</v>
      </c>
      <c r="AS3982">
        <v>0</v>
      </c>
      <c r="AT3982">
        <v>0</v>
      </c>
      <c r="AV3982">
        <v>0</v>
      </c>
      <c r="AW3982">
        <v>0</v>
      </c>
      <c r="AY3982">
        <v>0</v>
      </c>
      <c r="AZ3982">
        <v>0</v>
      </c>
      <c r="BA3982">
        <v>60</v>
      </c>
      <c r="BE3982" t="str">
        <f>T("9791172700263")</f>
        <v>9791172700263</v>
      </c>
      <c r="BF3982" t="str">
        <f>T("k429567")</f>
        <v>k429567</v>
      </c>
      <c r="BG3982" t="str">
        <f>T("판타지 웹소설 &gt; 퓨전 판타지")</f>
        <v>판타지 웹소설 &gt; 퓨전 판타지</v>
      </c>
    </row>
    <row r="3983" spans="1:59">
      <c r="A3983" t="s">
        <v>60</v>
      </c>
      <c r="B3983" s="1">
        <v>46131</v>
      </c>
      <c r="C3983">
        <v>2378069473</v>
      </c>
      <c r="D3983">
        <v>2378070276</v>
      </c>
      <c r="E3983" t="str">
        <f>T("신라의 왕좌는 제 겁니다 142화")</f>
        <v>신라의 왕좌는 제 겁니다 142화</v>
      </c>
      <c r="F3983">
        <v>142</v>
      </c>
      <c r="G3983" t="str">
        <f>T("매운아몬드")</f>
        <v>매운아몬드</v>
      </c>
      <c r="J3983" t="str">
        <f>T("사이렌")</f>
        <v>사이렌</v>
      </c>
      <c r="K3983" t="str">
        <f>T("신라의 왕좌는 제 겁니다")</f>
        <v>신라의 왕좌는 제 겁니다</v>
      </c>
      <c r="L3983">
        <v>100</v>
      </c>
      <c r="M3983">
        <v>100</v>
      </c>
      <c r="N3983">
        <v>1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0</v>
      </c>
      <c r="AE3983">
        <v>0</v>
      </c>
      <c r="AF3983">
        <v>0</v>
      </c>
      <c r="AG3983">
        <v>0</v>
      </c>
      <c r="AH3983">
        <v>0</v>
      </c>
      <c r="AI3983">
        <v>100</v>
      </c>
      <c r="AJ3983">
        <v>1</v>
      </c>
      <c r="AK3983">
        <v>0</v>
      </c>
      <c r="AL3983">
        <v>0</v>
      </c>
      <c r="AM3983">
        <v>100</v>
      </c>
      <c r="AN3983">
        <v>0</v>
      </c>
      <c r="AO3983">
        <v>0</v>
      </c>
      <c r="AP3983">
        <v>0</v>
      </c>
      <c r="AQ3983">
        <v>0</v>
      </c>
      <c r="AS3983">
        <v>0</v>
      </c>
      <c r="AT3983">
        <v>0</v>
      </c>
      <c r="AV3983">
        <v>0</v>
      </c>
      <c r="AW3983">
        <v>0</v>
      </c>
      <c r="AY3983">
        <v>0</v>
      </c>
      <c r="AZ3983">
        <v>0</v>
      </c>
      <c r="BA3983">
        <v>60</v>
      </c>
      <c r="BE3983" t="str">
        <f>T("9791172700263")</f>
        <v>9791172700263</v>
      </c>
      <c r="BF3983" t="str">
        <f>T("k429568")</f>
        <v>k429568</v>
      </c>
      <c r="BG3983" t="str">
        <f>T("판타지 웹소설 &gt; 퓨전 판타지")</f>
        <v>판타지 웹소설 &gt; 퓨전 판타지</v>
      </c>
    </row>
    <row r="3984" spans="1:59">
      <c r="A3984" t="s">
        <v>60</v>
      </c>
      <c r="B3984" s="1">
        <v>46131</v>
      </c>
      <c r="C3984">
        <v>2378069473</v>
      </c>
      <c r="D3984">
        <v>2378070277</v>
      </c>
      <c r="E3984" t="str">
        <f>T("신라의 왕좌는 제 겁니다 143화")</f>
        <v>신라의 왕좌는 제 겁니다 143화</v>
      </c>
      <c r="F3984">
        <v>143</v>
      </c>
      <c r="G3984" t="str">
        <f>T("매운아몬드")</f>
        <v>매운아몬드</v>
      </c>
      <c r="J3984" t="str">
        <f>T("사이렌")</f>
        <v>사이렌</v>
      </c>
      <c r="K3984" t="str">
        <f>T("신라의 왕좌는 제 겁니다")</f>
        <v>신라의 왕좌는 제 겁니다</v>
      </c>
      <c r="L3984">
        <v>100</v>
      </c>
      <c r="M3984">
        <v>100</v>
      </c>
      <c r="N3984">
        <v>1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0</v>
      </c>
      <c r="AE3984">
        <v>0</v>
      </c>
      <c r="AF3984">
        <v>0</v>
      </c>
      <c r="AG3984">
        <v>0</v>
      </c>
      <c r="AH3984">
        <v>0</v>
      </c>
      <c r="AI3984">
        <v>100</v>
      </c>
      <c r="AJ3984">
        <v>1</v>
      </c>
      <c r="AK3984">
        <v>0</v>
      </c>
      <c r="AL3984">
        <v>0</v>
      </c>
      <c r="AM3984">
        <v>100</v>
      </c>
      <c r="AN3984">
        <v>0</v>
      </c>
      <c r="AO3984">
        <v>0</v>
      </c>
      <c r="AP3984">
        <v>0</v>
      </c>
      <c r="AQ3984">
        <v>0</v>
      </c>
      <c r="AS3984">
        <v>0</v>
      </c>
      <c r="AT3984">
        <v>0</v>
      </c>
      <c r="AV3984">
        <v>0</v>
      </c>
      <c r="AW3984">
        <v>0</v>
      </c>
      <c r="AY3984">
        <v>0</v>
      </c>
      <c r="AZ3984">
        <v>0</v>
      </c>
      <c r="BA3984">
        <v>60</v>
      </c>
      <c r="BE3984" t="str">
        <f>T("9791172700263")</f>
        <v>9791172700263</v>
      </c>
      <c r="BF3984" t="str">
        <f>T("k429569")</f>
        <v>k429569</v>
      </c>
      <c r="BG3984" t="str">
        <f>T("판타지 웹소설 &gt; 퓨전 판타지")</f>
        <v>판타지 웹소설 &gt; 퓨전 판타지</v>
      </c>
    </row>
    <row r="3985" spans="1:59">
      <c r="A3985" t="s">
        <v>60</v>
      </c>
      <c r="B3985" s="1">
        <v>46131</v>
      </c>
      <c r="C3985">
        <v>2378069473</v>
      </c>
      <c r="D3985">
        <v>2378070278</v>
      </c>
      <c r="E3985" t="str">
        <f>T("신라의 왕좌는 제 겁니다 144화")</f>
        <v>신라의 왕좌는 제 겁니다 144화</v>
      </c>
      <c r="F3985">
        <v>144</v>
      </c>
      <c r="G3985" t="str">
        <f>T("매운아몬드")</f>
        <v>매운아몬드</v>
      </c>
      <c r="J3985" t="str">
        <f>T("사이렌")</f>
        <v>사이렌</v>
      </c>
      <c r="K3985" t="str">
        <f>T("신라의 왕좌는 제 겁니다")</f>
        <v>신라의 왕좌는 제 겁니다</v>
      </c>
      <c r="L3985">
        <v>100</v>
      </c>
      <c r="M3985">
        <v>100</v>
      </c>
      <c r="N3985">
        <v>1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0</v>
      </c>
      <c r="AE3985">
        <v>0</v>
      </c>
      <c r="AF3985">
        <v>0</v>
      </c>
      <c r="AG3985">
        <v>0</v>
      </c>
      <c r="AH3985">
        <v>0</v>
      </c>
      <c r="AI3985">
        <v>100</v>
      </c>
      <c r="AJ3985">
        <v>1</v>
      </c>
      <c r="AK3985">
        <v>0</v>
      </c>
      <c r="AL3985">
        <v>0</v>
      </c>
      <c r="AM3985">
        <v>100</v>
      </c>
      <c r="AN3985">
        <v>0</v>
      </c>
      <c r="AO3985">
        <v>0</v>
      </c>
      <c r="AP3985">
        <v>0</v>
      </c>
      <c r="AQ3985">
        <v>0</v>
      </c>
      <c r="AS3985">
        <v>0</v>
      </c>
      <c r="AT3985">
        <v>0</v>
      </c>
      <c r="AV3985">
        <v>0</v>
      </c>
      <c r="AW3985">
        <v>0</v>
      </c>
      <c r="AY3985">
        <v>0</v>
      </c>
      <c r="AZ3985">
        <v>0</v>
      </c>
      <c r="BA3985">
        <v>60</v>
      </c>
      <c r="BE3985" t="str">
        <f>T("9791172700263")</f>
        <v>9791172700263</v>
      </c>
      <c r="BF3985" t="str">
        <f>T("k429570")</f>
        <v>k429570</v>
      </c>
      <c r="BG3985" t="str">
        <f>T("판타지 웹소설 &gt; 퓨전 판타지")</f>
        <v>판타지 웹소설 &gt; 퓨전 판타지</v>
      </c>
    </row>
    <row r="3986" spans="1:59">
      <c r="A3986" t="s">
        <v>60</v>
      </c>
      <c r="B3986" s="1">
        <v>46131</v>
      </c>
      <c r="C3986">
        <v>2378069473</v>
      </c>
      <c r="D3986">
        <v>2378070279</v>
      </c>
      <c r="E3986" t="str">
        <f>T("신라의 왕좌는 제 겁니다 145화")</f>
        <v>신라의 왕좌는 제 겁니다 145화</v>
      </c>
      <c r="F3986">
        <v>145</v>
      </c>
      <c r="G3986" t="str">
        <f>T("매운아몬드")</f>
        <v>매운아몬드</v>
      </c>
      <c r="J3986" t="str">
        <f>T("사이렌")</f>
        <v>사이렌</v>
      </c>
      <c r="K3986" t="str">
        <f>T("신라의 왕좌는 제 겁니다")</f>
        <v>신라의 왕좌는 제 겁니다</v>
      </c>
      <c r="L3986">
        <v>100</v>
      </c>
      <c r="M3986">
        <v>100</v>
      </c>
      <c r="N3986">
        <v>1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0</v>
      </c>
      <c r="AE3986">
        <v>0</v>
      </c>
      <c r="AF3986">
        <v>0</v>
      </c>
      <c r="AG3986">
        <v>0</v>
      </c>
      <c r="AH3986">
        <v>0</v>
      </c>
      <c r="AI3986">
        <v>100</v>
      </c>
      <c r="AJ3986">
        <v>1</v>
      </c>
      <c r="AK3986">
        <v>0</v>
      </c>
      <c r="AL3986">
        <v>0</v>
      </c>
      <c r="AM3986">
        <v>100</v>
      </c>
      <c r="AN3986">
        <v>0</v>
      </c>
      <c r="AO3986">
        <v>0</v>
      </c>
      <c r="AP3986">
        <v>0</v>
      </c>
      <c r="AQ3986">
        <v>0</v>
      </c>
      <c r="AS3986">
        <v>0</v>
      </c>
      <c r="AT3986">
        <v>0</v>
      </c>
      <c r="AV3986">
        <v>0</v>
      </c>
      <c r="AW3986">
        <v>0</v>
      </c>
      <c r="AY3986">
        <v>0</v>
      </c>
      <c r="AZ3986">
        <v>0</v>
      </c>
      <c r="BA3986">
        <v>60</v>
      </c>
      <c r="BE3986" t="str">
        <f>T("9791172700263")</f>
        <v>9791172700263</v>
      </c>
      <c r="BF3986" t="str">
        <f>T("k431013")</f>
        <v>k431013</v>
      </c>
      <c r="BG3986" t="str">
        <f>T("판타지 웹소설 &gt; 퓨전 판타지")</f>
        <v>판타지 웹소설 &gt; 퓨전 판타지</v>
      </c>
    </row>
    <row r="3987" spans="1:59">
      <c r="A3987" t="s">
        <v>60</v>
      </c>
      <c r="B3987" s="1">
        <v>46131</v>
      </c>
      <c r="C3987">
        <v>2378069473</v>
      </c>
      <c r="D3987">
        <v>2378070307</v>
      </c>
      <c r="E3987" t="str">
        <f>T("신라의 왕좌는 제 겁니다 146화")</f>
        <v>신라의 왕좌는 제 겁니다 146화</v>
      </c>
      <c r="F3987">
        <v>146</v>
      </c>
      <c r="G3987" t="str">
        <f>T("매운아몬드")</f>
        <v>매운아몬드</v>
      </c>
      <c r="J3987" t="str">
        <f>T("사이렌")</f>
        <v>사이렌</v>
      </c>
      <c r="K3987" t="str">
        <f>T("신라의 왕좌는 제 겁니다")</f>
        <v>신라의 왕좌는 제 겁니다</v>
      </c>
      <c r="L3987">
        <v>100</v>
      </c>
      <c r="M3987">
        <v>100</v>
      </c>
      <c r="N3987">
        <v>1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0</v>
      </c>
      <c r="AE3987">
        <v>0</v>
      </c>
      <c r="AF3987">
        <v>0</v>
      </c>
      <c r="AG3987">
        <v>0</v>
      </c>
      <c r="AH3987">
        <v>0</v>
      </c>
      <c r="AI3987">
        <v>100</v>
      </c>
      <c r="AJ3987">
        <v>1</v>
      </c>
      <c r="AK3987">
        <v>0</v>
      </c>
      <c r="AL3987">
        <v>0</v>
      </c>
      <c r="AM3987">
        <v>100</v>
      </c>
      <c r="AN3987">
        <v>0</v>
      </c>
      <c r="AO3987">
        <v>0</v>
      </c>
      <c r="AP3987">
        <v>0</v>
      </c>
      <c r="AQ3987">
        <v>0</v>
      </c>
      <c r="AS3987">
        <v>0</v>
      </c>
      <c r="AT3987">
        <v>0</v>
      </c>
      <c r="AV3987">
        <v>0</v>
      </c>
      <c r="AW3987">
        <v>0</v>
      </c>
      <c r="AY3987">
        <v>0</v>
      </c>
      <c r="AZ3987">
        <v>0</v>
      </c>
      <c r="BA3987">
        <v>60</v>
      </c>
      <c r="BE3987" t="str">
        <f>T("9791172700263")</f>
        <v>9791172700263</v>
      </c>
      <c r="BF3987" t="str">
        <f>T("k431014")</f>
        <v>k431014</v>
      </c>
      <c r="BG3987" t="str">
        <f>T("판타지 웹소설 &gt; 퓨전 판타지")</f>
        <v>판타지 웹소설 &gt; 퓨전 판타지</v>
      </c>
    </row>
    <row r="3988" spans="1:59">
      <c r="A3988" t="s">
        <v>60</v>
      </c>
      <c r="B3988" s="1">
        <v>46131</v>
      </c>
      <c r="C3988">
        <v>2378069473</v>
      </c>
      <c r="D3988">
        <v>2378070308</v>
      </c>
      <c r="E3988" t="str">
        <f>T("신라의 왕좌는 제 겁니다 147화")</f>
        <v>신라의 왕좌는 제 겁니다 147화</v>
      </c>
      <c r="F3988">
        <v>147</v>
      </c>
      <c r="G3988" t="str">
        <f>T("매운아몬드")</f>
        <v>매운아몬드</v>
      </c>
      <c r="J3988" t="str">
        <f>T("사이렌")</f>
        <v>사이렌</v>
      </c>
      <c r="K3988" t="str">
        <f>T("신라의 왕좌는 제 겁니다")</f>
        <v>신라의 왕좌는 제 겁니다</v>
      </c>
      <c r="L3988">
        <v>100</v>
      </c>
      <c r="M3988">
        <v>100</v>
      </c>
      <c r="N3988">
        <v>1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0</v>
      </c>
      <c r="AE3988">
        <v>0</v>
      </c>
      <c r="AF3988">
        <v>0</v>
      </c>
      <c r="AG3988">
        <v>0</v>
      </c>
      <c r="AH3988">
        <v>0</v>
      </c>
      <c r="AI3988">
        <v>100</v>
      </c>
      <c r="AJ3988">
        <v>1</v>
      </c>
      <c r="AK3988">
        <v>0</v>
      </c>
      <c r="AL3988">
        <v>0</v>
      </c>
      <c r="AM3988">
        <v>100</v>
      </c>
      <c r="AN3988">
        <v>0</v>
      </c>
      <c r="AO3988">
        <v>0</v>
      </c>
      <c r="AP3988">
        <v>0</v>
      </c>
      <c r="AQ3988">
        <v>0</v>
      </c>
      <c r="AS3988">
        <v>0</v>
      </c>
      <c r="AT3988">
        <v>0</v>
      </c>
      <c r="AV3988">
        <v>0</v>
      </c>
      <c r="AW3988">
        <v>0</v>
      </c>
      <c r="AY3988">
        <v>0</v>
      </c>
      <c r="AZ3988">
        <v>0</v>
      </c>
      <c r="BA3988">
        <v>60</v>
      </c>
      <c r="BE3988" t="str">
        <f>T("9791172700263")</f>
        <v>9791172700263</v>
      </c>
      <c r="BF3988" t="str">
        <f>T("k431015")</f>
        <v>k431015</v>
      </c>
      <c r="BG3988" t="str">
        <f>T("판타지 웹소설 &gt; 퓨전 판타지")</f>
        <v>판타지 웹소설 &gt; 퓨전 판타지</v>
      </c>
    </row>
    <row r="3989" spans="1:59">
      <c r="A3989" t="s">
        <v>60</v>
      </c>
      <c r="B3989" s="1">
        <v>46131</v>
      </c>
      <c r="C3989">
        <v>2378069473</v>
      </c>
      <c r="D3989">
        <v>2378070309</v>
      </c>
      <c r="E3989" t="str">
        <f>T("신라의 왕좌는 제 겁니다 148화")</f>
        <v>신라의 왕좌는 제 겁니다 148화</v>
      </c>
      <c r="F3989">
        <v>148</v>
      </c>
      <c r="G3989" t="str">
        <f>T("매운아몬드")</f>
        <v>매운아몬드</v>
      </c>
      <c r="J3989" t="str">
        <f>T("사이렌")</f>
        <v>사이렌</v>
      </c>
      <c r="K3989" t="str">
        <f>T("신라의 왕좌는 제 겁니다")</f>
        <v>신라의 왕좌는 제 겁니다</v>
      </c>
      <c r="L3989">
        <v>100</v>
      </c>
      <c r="M3989">
        <v>100</v>
      </c>
      <c r="N3989">
        <v>1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0</v>
      </c>
      <c r="AE3989">
        <v>0</v>
      </c>
      <c r="AF3989">
        <v>0</v>
      </c>
      <c r="AG3989">
        <v>0</v>
      </c>
      <c r="AH3989">
        <v>0</v>
      </c>
      <c r="AI3989">
        <v>100</v>
      </c>
      <c r="AJ3989">
        <v>1</v>
      </c>
      <c r="AK3989">
        <v>0</v>
      </c>
      <c r="AL3989">
        <v>0</v>
      </c>
      <c r="AM3989">
        <v>100</v>
      </c>
      <c r="AN3989">
        <v>0</v>
      </c>
      <c r="AO3989">
        <v>0</v>
      </c>
      <c r="AP3989">
        <v>0</v>
      </c>
      <c r="AQ3989">
        <v>0</v>
      </c>
      <c r="AS3989">
        <v>0</v>
      </c>
      <c r="AT3989">
        <v>0</v>
      </c>
      <c r="AV3989">
        <v>0</v>
      </c>
      <c r="AW3989">
        <v>0</v>
      </c>
      <c r="AY3989">
        <v>0</v>
      </c>
      <c r="AZ3989">
        <v>0</v>
      </c>
      <c r="BA3989">
        <v>60</v>
      </c>
      <c r="BE3989" t="str">
        <f>T("9791172700263")</f>
        <v>9791172700263</v>
      </c>
      <c r="BF3989" t="str">
        <f>T("k431016")</f>
        <v>k431016</v>
      </c>
      <c r="BG3989" t="str">
        <f>T("판타지 웹소설 &gt; 퓨전 판타지")</f>
        <v>판타지 웹소설 &gt; 퓨전 판타지</v>
      </c>
    </row>
    <row r="3990" spans="1:59">
      <c r="A3990" t="s">
        <v>60</v>
      </c>
      <c r="B3990" s="1">
        <v>46131</v>
      </c>
      <c r="C3990">
        <v>2378069473</v>
      </c>
      <c r="D3990">
        <v>2378070310</v>
      </c>
      <c r="E3990" t="str">
        <f>T("신라의 왕좌는 제 겁니다 149화")</f>
        <v>신라의 왕좌는 제 겁니다 149화</v>
      </c>
      <c r="F3990">
        <v>149</v>
      </c>
      <c r="G3990" t="str">
        <f>T("매운아몬드")</f>
        <v>매운아몬드</v>
      </c>
      <c r="J3990" t="str">
        <f>T("사이렌")</f>
        <v>사이렌</v>
      </c>
      <c r="K3990" t="str">
        <f>T("신라의 왕좌는 제 겁니다")</f>
        <v>신라의 왕좌는 제 겁니다</v>
      </c>
      <c r="L3990">
        <v>100</v>
      </c>
      <c r="M3990">
        <v>100</v>
      </c>
      <c r="N3990">
        <v>1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0</v>
      </c>
      <c r="AE3990">
        <v>0</v>
      </c>
      <c r="AF3990">
        <v>0</v>
      </c>
      <c r="AG3990">
        <v>0</v>
      </c>
      <c r="AH3990">
        <v>0</v>
      </c>
      <c r="AI3990">
        <v>100</v>
      </c>
      <c r="AJ3990">
        <v>1</v>
      </c>
      <c r="AK3990">
        <v>0</v>
      </c>
      <c r="AL3990">
        <v>0</v>
      </c>
      <c r="AM3990">
        <v>100</v>
      </c>
      <c r="AN3990">
        <v>0</v>
      </c>
      <c r="AO3990">
        <v>0</v>
      </c>
      <c r="AP3990">
        <v>0</v>
      </c>
      <c r="AQ3990">
        <v>0</v>
      </c>
      <c r="AS3990">
        <v>0</v>
      </c>
      <c r="AT3990">
        <v>0</v>
      </c>
      <c r="AV3990">
        <v>0</v>
      </c>
      <c r="AW3990">
        <v>0</v>
      </c>
      <c r="AY3990">
        <v>0</v>
      </c>
      <c r="AZ3990">
        <v>0</v>
      </c>
      <c r="BA3990">
        <v>60</v>
      </c>
      <c r="BE3990" t="str">
        <f>T("9791172700263")</f>
        <v>9791172700263</v>
      </c>
      <c r="BF3990" t="str">
        <f>T("k431017")</f>
        <v>k431017</v>
      </c>
      <c r="BG3990" t="str">
        <f>T("판타지 웹소설 &gt; 퓨전 판타지")</f>
        <v>판타지 웹소설 &gt; 퓨전 판타지</v>
      </c>
    </row>
    <row r="3991" spans="1:59">
      <c r="A3991" t="s">
        <v>60</v>
      </c>
      <c r="B3991" s="1">
        <v>46131</v>
      </c>
      <c r="C3991">
        <v>2378069473</v>
      </c>
      <c r="D3991">
        <v>2378070311</v>
      </c>
      <c r="E3991" t="str">
        <f>T("신라의 왕좌는 제 겁니다 150화")</f>
        <v>신라의 왕좌는 제 겁니다 150화</v>
      </c>
      <c r="F3991">
        <v>150</v>
      </c>
      <c r="G3991" t="str">
        <f>T("매운아몬드")</f>
        <v>매운아몬드</v>
      </c>
      <c r="J3991" t="str">
        <f>T("사이렌")</f>
        <v>사이렌</v>
      </c>
      <c r="K3991" t="str">
        <f>T("신라의 왕좌는 제 겁니다")</f>
        <v>신라의 왕좌는 제 겁니다</v>
      </c>
      <c r="L3991">
        <v>100</v>
      </c>
      <c r="M3991">
        <v>100</v>
      </c>
      <c r="N3991">
        <v>1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0</v>
      </c>
      <c r="AE3991">
        <v>0</v>
      </c>
      <c r="AF3991">
        <v>0</v>
      </c>
      <c r="AG3991">
        <v>0</v>
      </c>
      <c r="AH3991">
        <v>0</v>
      </c>
      <c r="AI3991">
        <v>100</v>
      </c>
      <c r="AJ3991">
        <v>1</v>
      </c>
      <c r="AK3991">
        <v>0</v>
      </c>
      <c r="AL3991">
        <v>0</v>
      </c>
      <c r="AM3991">
        <v>100</v>
      </c>
      <c r="AN3991">
        <v>0</v>
      </c>
      <c r="AO3991">
        <v>0</v>
      </c>
      <c r="AP3991">
        <v>0</v>
      </c>
      <c r="AQ3991">
        <v>0</v>
      </c>
      <c r="AS3991">
        <v>0</v>
      </c>
      <c r="AT3991">
        <v>0</v>
      </c>
      <c r="AV3991">
        <v>0</v>
      </c>
      <c r="AW3991">
        <v>0</v>
      </c>
      <c r="AY3991">
        <v>0</v>
      </c>
      <c r="AZ3991">
        <v>0</v>
      </c>
      <c r="BA3991">
        <v>60</v>
      </c>
      <c r="BE3991" t="str">
        <f>T("9791172700263")</f>
        <v>9791172700263</v>
      </c>
      <c r="BF3991" t="str">
        <f>T("k434434")</f>
        <v>k434434</v>
      </c>
      <c r="BG3991" t="str">
        <f>T("판타지 웹소설 &gt; 퓨전 판타지")</f>
        <v>판타지 웹소설 &gt; 퓨전 판타지</v>
      </c>
    </row>
    <row r="3992" spans="1:59">
      <c r="A3992" t="s">
        <v>60</v>
      </c>
      <c r="B3992" s="1">
        <v>46131</v>
      </c>
      <c r="C3992">
        <v>2378069473</v>
      </c>
      <c r="D3992">
        <v>2378070851</v>
      </c>
      <c r="E3992" t="str">
        <f>T("신라의 왕좌는 제 겁니다 151화")</f>
        <v>신라의 왕좌는 제 겁니다 151화</v>
      </c>
      <c r="F3992">
        <v>151</v>
      </c>
      <c r="G3992" t="str">
        <f>T("매운아몬드")</f>
        <v>매운아몬드</v>
      </c>
      <c r="J3992" t="str">
        <f>T("사이렌")</f>
        <v>사이렌</v>
      </c>
      <c r="K3992" t="str">
        <f>T("신라의 왕좌는 제 겁니다")</f>
        <v>신라의 왕좌는 제 겁니다</v>
      </c>
      <c r="L3992">
        <v>100</v>
      </c>
      <c r="M3992">
        <v>100</v>
      </c>
      <c r="N3992">
        <v>1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0</v>
      </c>
      <c r="AE3992">
        <v>0</v>
      </c>
      <c r="AF3992">
        <v>0</v>
      </c>
      <c r="AG3992">
        <v>0</v>
      </c>
      <c r="AH3992">
        <v>0</v>
      </c>
      <c r="AI3992">
        <v>100</v>
      </c>
      <c r="AJ3992">
        <v>1</v>
      </c>
      <c r="AK3992">
        <v>0</v>
      </c>
      <c r="AL3992">
        <v>0</v>
      </c>
      <c r="AM3992">
        <v>100</v>
      </c>
      <c r="AN3992">
        <v>0</v>
      </c>
      <c r="AO3992">
        <v>0</v>
      </c>
      <c r="AP3992">
        <v>0</v>
      </c>
      <c r="AQ3992">
        <v>0</v>
      </c>
      <c r="AS3992">
        <v>0</v>
      </c>
      <c r="AT3992">
        <v>0</v>
      </c>
      <c r="AV3992">
        <v>0</v>
      </c>
      <c r="AW3992">
        <v>0</v>
      </c>
      <c r="AY3992">
        <v>0</v>
      </c>
      <c r="AZ3992">
        <v>0</v>
      </c>
      <c r="BA3992">
        <v>60</v>
      </c>
      <c r="BE3992" t="str">
        <f>T("9791172700263")</f>
        <v>9791172700263</v>
      </c>
      <c r="BF3992" t="str">
        <f>T("k434435")</f>
        <v>k434435</v>
      </c>
      <c r="BG3992" t="str">
        <f>T("판타지 웹소설 &gt; 퓨전 판타지")</f>
        <v>판타지 웹소설 &gt; 퓨전 판타지</v>
      </c>
    </row>
    <row r="3993" spans="1:59">
      <c r="A3993" t="s">
        <v>60</v>
      </c>
      <c r="B3993" s="1">
        <v>46131</v>
      </c>
      <c r="C3993">
        <v>2378069473</v>
      </c>
      <c r="D3993">
        <v>2378070852</v>
      </c>
      <c r="E3993" t="str">
        <f>T("신라의 왕좌는 제 겁니다 152화")</f>
        <v>신라의 왕좌는 제 겁니다 152화</v>
      </c>
      <c r="F3993">
        <v>152</v>
      </c>
      <c r="G3993" t="str">
        <f>T("매운아몬드")</f>
        <v>매운아몬드</v>
      </c>
      <c r="J3993" t="str">
        <f>T("사이렌")</f>
        <v>사이렌</v>
      </c>
      <c r="K3993" t="str">
        <f>T("신라의 왕좌는 제 겁니다")</f>
        <v>신라의 왕좌는 제 겁니다</v>
      </c>
      <c r="L3993">
        <v>100</v>
      </c>
      <c r="M3993">
        <v>100</v>
      </c>
      <c r="N3993">
        <v>1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0</v>
      </c>
      <c r="AE3993">
        <v>0</v>
      </c>
      <c r="AF3993">
        <v>0</v>
      </c>
      <c r="AG3993">
        <v>0</v>
      </c>
      <c r="AH3993">
        <v>0</v>
      </c>
      <c r="AI3993">
        <v>100</v>
      </c>
      <c r="AJ3993">
        <v>1</v>
      </c>
      <c r="AK3993">
        <v>0</v>
      </c>
      <c r="AL3993">
        <v>0</v>
      </c>
      <c r="AM3993">
        <v>100</v>
      </c>
      <c r="AN3993">
        <v>0</v>
      </c>
      <c r="AO3993">
        <v>0</v>
      </c>
      <c r="AP3993">
        <v>0</v>
      </c>
      <c r="AQ3993">
        <v>0</v>
      </c>
      <c r="AS3993">
        <v>0</v>
      </c>
      <c r="AT3993">
        <v>0</v>
      </c>
      <c r="AV3993">
        <v>0</v>
      </c>
      <c r="AW3993">
        <v>0</v>
      </c>
      <c r="AY3993">
        <v>0</v>
      </c>
      <c r="AZ3993">
        <v>0</v>
      </c>
      <c r="BA3993">
        <v>60</v>
      </c>
      <c r="BE3993" t="str">
        <f>T("9791172700263")</f>
        <v>9791172700263</v>
      </c>
      <c r="BF3993" t="str">
        <f>T("k434436")</f>
        <v>k434436</v>
      </c>
      <c r="BG3993" t="str">
        <f>T("판타지 웹소설 &gt; 퓨전 판타지")</f>
        <v>판타지 웹소설 &gt; 퓨전 판타지</v>
      </c>
    </row>
    <row r="3994" spans="1:59">
      <c r="A3994" t="s">
        <v>60</v>
      </c>
      <c r="B3994" s="1">
        <v>46131</v>
      </c>
      <c r="C3994">
        <v>2378069473</v>
      </c>
      <c r="D3994">
        <v>2378070853</v>
      </c>
      <c r="E3994" t="str">
        <f>T("신라의 왕좌는 제 겁니다 153화")</f>
        <v>신라의 왕좌는 제 겁니다 153화</v>
      </c>
      <c r="F3994">
        <v>153</v>
      </c>
      <c r="G3994" t="str">
        <f>T("매운아몬드")</f>
        <v>매운아몬드</v>
      </c>
      <c r="J3994" t="str">
        <f>T("사이렌")</f>
        <v>사이렌</v>
      </c>
      <c r="K3994" t="str">
        <f>T("신라의 왕좌는 제 겁니다")</f>
        <v>신라의 왕좌는 제 겁니다</v>
      </c>
      <c r="L3994">
        <v>100</v>
      </c>
      <c r="M3994">
        <v>100</v>
      </c>
      <c r="N3994">
        <v>1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0</v>
      </c>
      <c r="AE3994">
        <v>0</v>
      </c>
      <c r="AF3994">
        <v>0</v>
      </c>
      <c r="AG3994">
        <v>0</v>
      </c>
      <c r="AH3994">
        <v>0</v>
      </c>
      <c r="AI3994">
        <v>100</v>
      </c>
      <c r="AJ3994">
        <v>1</v>
      </c>
      <c r="AK3994">
        <v>0</v>
      </c>
      <c r="AL3994">
        <v>0</v>
      </c>
      <c r="AM3994">
        <v>100</v>
      </c>
      <c r="AN3994">
        <v>0</v>
      </c>
      <c r="AO3994">
        <v>0</v>
      </c>
      <c r="AP3994">
        <v>0</v>
      </c>
      <c r="AQ3994">
        <v>0</v>
      </c>
      <c r="AS3994">
        <v>0</v>
      </c>
      <c r="AT3994">
        <v>0</v>
      </c>
      <c r="AV3994">
        <v>0</v>
      </c>
      <c r="AW3994">
        <v>0</v>
      </c>
      <c r="AY3994">
        <v>0</v>
      </c>
      <c r="AZ3994">
        <v>0</v>
      </c>
      <c r="BA3994">
        <v>60</v>
      </c>
      <c r="BE3994" t="str">
        <f>T("9791172700263")</f>
        <v>9791172700263</v>
      </c>
      <c r="BF3994" t="str">
        <f>T("k434437")</f>
        <v>k434437</v>
      </c>
      <c r="BG3994" t="str">
        <f>T("판타지 웹소설 &gt; 퓨전 판타지")</f>
        <v>판타지 웹소설 &gt; 퓨전 판타지</v>
      </c>
    </row>
    <row r="3995" spans="1:59">
      <c r="A3995" t="s">
        <v>60</v>
      </c>
      <c r="B3995" s="1">
        <v>46131</v>
      </c>
      <c r="C3995">
        <v>2378069473</v>
      </c>
      <c r="D3995">
        <v>2378070854</v>
      </c>
      <c r="E3995" t="str">
        <f>T("신라의 왕좌는 제 겁니다 154화")</f>
        <v>신라의 왕좌는 제 겁니다 154화</v>
      </c>
      <c r="F3995">
        <v>154</v>
      </c>
      <c r="G3995" t="str">
        <f>T("매운아몬드")</f>
        <v>매운아몬드</v>
      </c>
      <c r="J3995" t="str">
        <f>T("사이렌")</f>
        <v>사이렌</v>
      </c>
      <c r="K3995" t="str">
        <f>T("신라의 왕좌는 제 겁니다")</f>
        <v>신라의 왕좌는 제 겁니다</v>
      </c>
      <c r="L3995">
        <v>100</v>
      </c>
      <c r="M3995">
        <v>100</v>
      </c>
      <c r="N3995">
        <v>1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0</v>
      </c>
      <c r="AE3995">
        <v>0</v>
      </c>
      <c r="AF3995">
        <v>0</v>
      </c>
      <c r="AG3995">
        <v>0</v>
      </c>
      <c r="AH3995">
        <v>0</v>
      </c>
      <c r="AI3995">
        <v>100</v>
      </c>
      <c r="AJ3995">
        <v>1</v>
      </c>
      <c r="AK3995">
        <v>0</v>
      </c>
      <c r="AL3995">
        <v>0</v>
      </c>
      <c r="AM3995">
        <v>100</v>
      </c>
      <c r="AN3995">
        <v>0</v>
      </c>
      <c r="AO3995">
        <v>0</v>
      </c>
      <c r="AP3995">
        <v>0</v>
      </c>
      <c r="AQ3995">
        <v>0</v>
      </c>
      <c r="AS3995">
        <v>0</v>
      </c>
      <c r="AT3995">
        <v>0</v>
      </c>
      <c r="AV3995">
        <v>0</v>
      </c>
      <c r="AW3995">
        <v>0</v>
      </c>
      <c r="AY3995">
        <v>0</v>
      </c>
      <c r="AZ3995">
        <v>0</v>
      </c>
      <c r="BA3995">
        <v>60</v>
      </c>
      <c r="BE3995" t="str">
        <f>T("9791172700263")</f>
        <v>9791172700263</v>
      </c>
      <c r="BF3995" t="str">
        <f>T("k440293")</f>
        <v>k440293</v>
      </c>
      <c r="BG3995" t="str">
        <f>T("판타지 웹소설 &gt; 퓨전 판타지")</f>
        <v>판타지 웹소설 &gt; 퓨전 판타지</v>
      </c>
    </row>
    <row r="3996" spans="1:59">
      <c r="A3996" t="s">
        <v>60</v>
      </c>
      <c r="B3996" s="1">
        <v>46131</v>
      </c>
      <c r="C3996">
        <v>2378069473</v>
      </c>
      <c r="D3996">
        <v>2378070855</v>
      </c>
      <c r="E3996" t="str">
        <f>T("신라의 왕좌는 제 겁니다 155화")</f>
        <v>신라의 왕좌는 제 겁니다 155화</v>
      </c>
      <c r="F3996">
        <v>155</v>
      </c>
      <c r="G3996" t="str">
        <f>T("매운아몬드")</f>
        <v>매운아몬드</v>
      </c>
      <c r="J3996" t="str">
        <f>T("사이렌")</f>
        <v>사이렌</v>
      </c>
      <c r="K3996" t="str">
        <f>T("신라의 왕좌는 제 겁니다")</f>
        <v>신라의 왕좌는 제 겁니다</v>
      </c>
      <c r="L3996">
        <v>100</v>
      </c>
      <c r="M3996">
        <v>100</v>
      </c>
      <c r="N3996">
        <v>1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0</v>
      </c>
      <c r="AE3996">
        <v>0</v>
      </c>
      <c r="AF3996">
        <v>0</v>
      </c>
      <c r="AG3996">
        <v>0</v>
      </c>
      <c r="AH3996">
        <v>0</v>
      </c>
      <c r="AI3996">
        <v>100</v>
      </c>
      <c r="AJ3996">
        <v>1</v>
      </c>
      <c r="AK3996">
        <v>0</v>
      </c>
      <c r="AL3996">
        <v>0</v>
      </c>
      <c r="AM3996">
        <v>100</v>
      </c>
      <c r="AN3996">
        <v>0</v>
      </c>
      <c r="AO3996">
        <v>0</v>
      </c>
      <c r="AP3996">
        <v>0</v>
      </c>
      <c r="AQ3996">
        <v>0</v>
      </c>
      <c r="AS3996">
        <v>0</v>
      </c>
      <c r="AT3996">
        <v>0</v>
      </c>
      <c r="AV3996">
        <v>0</v>
      </c>
      <c r="AW3996">
        <v>0</v>
      </c>
      <c r="AY3996">
        <v>0</v>
      </c>
      <c r="AZ3996">
        <v>0</v>
      </c>
      <c r="BA3996">
        <v>60</v>
      </c>
      <c r="BE3996" t="str">
        <f>T("9791172700263")</f>
        <v>9791172700263</v>
      </c>
      <c r="BF3996" t="str">
        <f>T("k440294")</f>
        <v>k440294</v>
      </c>
      <c r="BG3996" t="str">
        <f>T("판타지 웹소설 &gt; 퓨전 판타지")</f>
        <v>판타지 웹소설 &gt; 퓨전 판타지</v>
      </c>
    </row>
    <row r="3997" spans="1:59">
      <c r="A3997" t="s">
        <v>60</v>
      </c>
      <c r="B3997" s="1">
        <v>46131</v>
      </c>
      <c r="C3997">
        <v>2378069473</v>
      </c>
      <c r="D3997">
        <v>2378070887</v>
      </c>
      <c r="E3997" t="str">
        <f>T("신라의 왕좌는 제 겁니다 156화")</f>
        <v>신라의 왕좌는 제 겁니다 156화</v>
      </c>
      <c r="F3997">
        <v>156</v>
      </c>
      <c r="G3997" t="str">
        <f>T("매운아몬드")</f>
        <v>매운아몬드</v>
      </c>
      <c r="J3997" t="str">
        <f>T("사이렌")</f>
        <v>사이렌</v>
      </c>
      <c r="K3997" t="str">
        <f>T("신라의 왕좌는 제 겁니다")</f>
        <v>신라의 왕좌는 제 겁니다</v>
      </c>
      <c r="L3997">
        <v>100</v>
      </c>
      <c r="M3997">
        <v>100</v>
      </c>
      <c r="N3997">
        <v>1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0</v>
      </c>
      <c r="AE3997">
        <v>0</v>
      </c>
      <c r="AF3997">
        <v>0</v>
      </c>
      <c r="AG3997">
        <v>0</v>
      </c>
      <c r="AH3997">
        <v>0</v>
      </c>
      <c r="AI3997">
        <v>100</v>
      </c>
      <c r="AJ3997">
        <v>1</v>
      </c>
      <c r="AK3997">
        <v>0</v>
      </c>
      <c r="AL3997">
        <v>0</v>
      </c>
      <c r="AM3997">
        <v>100</v>
      </c>
      <c r="AN3997">
        <v>0</v>
      </c>
      <c r="AO3997">
        <v>0</v>
      </c>
      <c r="AP3997">
        <v>0</v>
      </c>
      <c r="AQ3997">
        <v>0</v>
      </c>
      <c r="AS3997">
        <v>0</v>
      </c>
      <c r="AT3997">
        <v>0</v>
      </c>
      <c r="AV3997">
        <v>0</v>
      </c>
      <c r="AW3997">
        <v>0</v>
      </c>
      <c r="AY3997">
        <v>0</v>
      </c>
      <c r="AZ3997">
        <v>0</v>
      </c>
      <c r="BA3997">
        <v>60</v>
      </c>
      <c r="BE3997" t="str">
        <f>T("9791172700263")</f>
        <v>9791172700263</v>
      </c>
      <c r="BF3997" t="str">
        <f>T("k440295")</f>
        <v>k440295</v>
      </c>
      <c r="BG3997" t="str">
        <f>T("판타지 웹소설 &gt; 퓨전 판타지")</f>
        <v>판타지 웹소설 &gt; 퓨전 판타지</v>
      </c>
    </row>
    <row r="3998" spans="1:59">
      <c r="A3998" t="s">
        <v>60</v>
      </c>
      <c r="B3998" s="1">
        <v>46131</v>
      </c>
      <c r="C3998">
        <v>2378069473</v>
      </c>
      <c r="D3998">
        <v>2378070888</v>
      </c>
      <c r="E3998" t="str">
        <f>T("신라의 왕좌는 제 겁니다 157화")</f>
        <v>신라의 왕좌는 제 겁니다 157화</v>
      </c>
      <c r="F3998">
        <v>157</v>
      </c>
      <c r="G3998" t="str">
        <f>T("매운아몬드")</f>
        <v>매운아몬드</v>
      </c>
      <c r="J3998" t="str">
        <f>T("사이렌")</f>
        <v>사이렌</v>
      </c>
      <c r="K3998" t="str">
        <f>T("신라의 왕좌는 제 겁니다")</f>
        <v>신라의 왕좌는 제 겁니다</v>
      </c>
      <c r="L3998">
        <v>100</v>
      </c>
      <c r="M3998">
        <v>100</v>
      </c>
      <c r="N3998">
        <v>1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0</v>
      </c>
      <c r="AE3998">
        <v>0</v>
      </c>
      <c r="AF3998">
        <v>0</v>
      </c>
      <c r="AG3998">
        <v>0</v>
      </c>
      <c r="AH3998">
        <v>0</v>
      </c>
      <c r="AI3998">
        <v>100</v>
      </c>
      <c r="AJ3998">
        <v>1</v>
      </c>
      <c r="AK3998">
        <v>0</v>
      </c>
      <c r="AL3998">
        <v>0</v>
      </c>
      <c r="AM3998">
        <v>100</v>
      </c>
      <c r="AN3998">
        <v>0</v>
      </c>
      <c r="AO3998">
        <v>0</v>
      </c>
      <c r="AP3998">
        <v>0</v>
      </c>
      <c r="AQ3998">
        <v>0</v>
      </c>
      <c r="AS3998">
        <v>0</v>
      </c>
      <c r="AT3998">
        <v>0</v>
      </c>
      <c r="AV3998">
        <v>0</v>
      </c>
      <c r="AW3998">
        <v>0</v>
      </c>
      <c r="AY3998">
        <v>0</v>
      </c>
      <c r="AZ3998">
        <v>0</v>
      </c>
      <c r="BA3998">
        <v>60</v>
      </c>
      <c r="BE3998" t="str">
        <f>T("9791172700263")</f>
        <v>9791172700263</v>
      </c>
      <c r="BF3998" t="str">
        <f>T("k440296")</f>
        <v>k440296</v>
      </c>
      <c r="BG3998" t="str">
        <f>T("판타지 웹소설 &gt; 퓨전 판타지")</f>
        <v>판타지 웹소설 &gt; 퓨전 판타지</v>
      </c>
    </row>
    <row r="3999" spans="1:59">
      <c r="A3999" t="s">
        <v>60</v>
      </c>
      <c r="B3999" s="1">
        <v>46131</v>
      </c>
      <c r="C3999">
        <v>2378069473</v>
      </c>
      <c r="D3999">
        <v>2378070889</v>
      </c>
      <c r="E3999" t="str">
        <f>T("신라의 왕좌는 제 겁니다 158화")</f>
        <v>신라의 왕좌는 제 겁니다 158화</v>
      </c>
      <c r="F3999">
        <v>158</v>
      </c>
      <c r="G3999" t="str">
        <f>T("매운아몬드")</f>
        <v>매운아몬드</v>
      </c>
      <c r="J3999" t="str">
        <f>T("사이렌")</f>
        <v>사이렌</v>
      </c>
      <c r="K3999" t="str">
        <f>T("신라의 왕좌는 제 겁니다")</f>
        <v>신라의 왕좌는 제 겁니다</v>
      </c>
      <c r="L3999">
        <v>100</v>
      </c>
      <c r="M3999">
        <v>100</v>
      </c>
      <c r="N3999">
        <v>1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0</v>
      </c>
      <c r="AE3999">
        <v>0</v>
      </c>
      <c r="AF3999">
        <v>0</v>
      </c>
      <c r="AG3999">
        <v>0</v>
      </c>
      <c r="AH3999">
        <v>0</v>
      </c>
      <c r="AI3999">
        <v>100</v>
      </c>
      <c r="AJ3999">
        <v>1</v>
      </c>
      <c r="AK3999">
        <v>0</v>
      </c>
      <c r="AL3999">
        <v>0</v>
      </c>
      <c r="AM3999">
        <v>100</v>
      </c>
      <c r="AN3999">
        <v>0</v>
      </c>
      <c r="AO3999">
        <v>0</v>
      </c>
      <c r="AP3999">
        <v>0</v>
      </c>
      <c r="AQ3999">
        <v>0</v>
      </c>
      <c r="AS3999">
        <v>0</v>
      </c>
      <c r="AT3999">
        <v>0</v>
      </c>
      <c r="AV3999">
        <v>0</v>
      </c>
      <c r="AW3999">
        <v>0</v>
      </c>
      <c r="AY3999">
        <v>0</v>
      </c>
      <c r="AZ3999">
        <v>0</v>
      </c>
      <c r="BA3999">
        <v>60</v>
      </c>
      <c r="BE3999" t="str">
        <f>T("9791172700263")</f>
        <v>9791172700263</v>
      </c>
      <c r="BF3999" t="str">
        <f>T("k440297")</f>
        <v>k440297</v>
      </c>
      <c r="BG3999" t="str">
        <f>T("판타지 웹소설 &gt; 퓨전 판타지")</f>
        <v>판타지 웹소설 &gt; 퓨전 판타지</v>
      </c>
    </row>
    <row r="4000" spans="1:59">
      <c r="A4000" t="s">
        <v>60</v>
      </c>
      <c r="B4000" s="1">
        <v>46131</v>
      </c>
      <c r="C4000">
        <v>2378069473</v>
      </c>
      <c r="D4000">
        <v>2378070890</v>
      </c>
      <c r="E4000" t="str">
        <f>T("신라의 왕좌는 제 겁니다 159화")</f>
        <v>신라의 왕좌는 제 겁니다 159화</v>
      </c>
      <c r="F4000">
        <v>159</v>
      </c>
      <c r="G4000" t="str">
        <f>T("매운아몬드")</f>
        <v>매운아몬드</v>
      </c>
      <c r="J4000" t="str">
        <f>T("사이렌")</f>
        <v>사이렌</v>
      </c>
      <c r="K4000" t="str">
        <f>T("신라의 왕좌는 제 겁니다")</f>
        <v>신라의 왕좌는 제 겁니다</v>
      </c>
      <c r="L4000">
        <v>100</v>
      </c>
      <c r="M4000">
        <v>100</v>
      </c>
      <c r="N4000">
        <v>1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0</v>
      </c>
      <c r="AE4000">
        <v>0</v>
      </c>
      <c r="AF4000">
        <v>0</v>
      </c>
      <c r="AG4000">
        <v>0</v>
      </c>
      <c r="AH4000">
        <v>0</v>
      </c>
      <c r="AI4000">
        <v>100</v>
      </c>
      <c r="AJ4000">
        <v>1</v>
      </c>
      <c r="AK4000">
        <v>0</v>
      </c>
      <c r="AL4000">
        <v>0</v>
      </c>
      <c r="AM4000">
        <v>100</v>
      </c>
      <c r="AN4000">
        <v>0</v>
      </c>
      <c r="AO4000">
        <v>0</v>
      </c>
      <c r="AP4000">
        <v>0</v>
      </c>
      <c r="AQ4000">
        <v>0</v>
      </c>
      <c r="AS4000">
        <v>0</v>
      </c>
      <c r="AT4000">
        <v>0</v>
      </c>
      <c r="AV4000">
        <v>0</v>
      </c>
      <c r="AW4000">
        <v>0</v>
      </c>
      <c r="AY4000">
        <v>0</v>
      </c>
      <c r="AZ4000">
        <v>0</v>
      </c>
      <c r="BA4000">
        <v>60</v>
      </c>
      <c r="BE4000" t="str">
        <f>T("9791172700263")</f>
        <v>9791172700263</v>
      </c>
      <c r="BF4000" t="str">
        <f>T("k440298")</f>
        <v>k440298</v>
      </c>
      <c r="BG4000" t="str">
        <f>T("판타지 웹소설 &gt; 퓨전 판타지")</f>
        <v>판타지 웹소설 &gt; 퓨전 판타지</v>
      </c>
    </row>
    <row r="4001" spans="1:59">
      <c r="A4001" t="s">
        <v>60</v>
      </c>
      <c r="B4001" s="1">
        <v>46131</v>
      </c>
      <c r="C4001">
        <v>2378069473</v>
      </c>
      <c r="D4001">
        <v>2378070891</v>
      </c>
      <c r="E4001" t="str">
        <f>T("신라의 왕좌는 제 겁니다 160화")</f>
        <v>신라의 왕좌는 제 겁니다 160화</v>
      </c>
      <c r="F4001">
        <v>160</v>
      </c>
      <c r="G4001" t="str">
        <f>T("매운아몬드")</f>
        <v>매운아몬드</v>
      </c>
      <c r="J4001" t="str">
        <f>T("사이렌")</f>
        <v>사이렌</v>
      </c>
      <c r="K4001" t="str">
        <f>T("신라의 왕좌는 제 겁니다")</f>
        <v>신라의 왕좌는 제 겁니다</v>
      </c>
      <c r="L4001">
        <v>100</v>
      </c>
      <c r="M4001">
        <v>100</v>
      </c>
      <c r="N4001">
        <v>1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0</v>
      </c>
      <c r="AE4001">
        <v>0</v>
      </c>
      <c r="AF4001">
        <v>0</v>
      </c>
      <c r="AG4001">
        <v>0</v>
      </c>
      <c r="AH4001">
        <v>0</v>
      </c>
      <c r="AI4001">
        <v>100</v>
      </c>
      <c r="AJ4001">
        <v>1</v>
      </c>
      <c r="AK4001">
        <v>0</v>
      </c>
      <c r="AL4001">
        <v>0</v>
      </c>
      <c r="AM4001">
        <v>100</v>
      </c>
      <c r="AN4001">
        <v>0</v>
      </c>
      <c r="AO4001">
        <v>0</v>
      </c>
      <c r="AP4001">
        <v>0</v>
      </c>
      <c r="AQ4001">
        <v>0</v>
      </c>
      <c r="AS4001">
        <v>0</v>
      </c>
      <c r="AT4001">
        <v>0</v>
      </c>
      <c r="AV4001">
        <v>0</v>
      </c>
      <c r="AW4001">
        <v>0</v>
      </c>
      <c r="AY4001">
        <v>0</v>
      </c>
      <c r="AZ4001">
        <v>0</v>
      </c>
      <c r="BA4001">
        <v>60</v>
      </c>
      <c r="BE4001" t="str">
        <f>T("9791172700263")</f>
        <v>9791172700263</v>
      </c>
      <c r="BF4001" t="str">
        <f>T("k440299")</f>
        <v>k440299</v>
      </c>
      <c r="BG4001" t="str">
        <f>T("판타지 웹소설 &gt; 퓨전 판타지")</f>
        <v>판타지 웹소설 &gt; 퓨전 판타지</v>
      </c>
    </row>
    <row r="4002" spans="1:59">
      <c r="A4002" t="s">
        <v>60</v>
      </c>
      <c r="B4002" s="1">
        <v>46131</v>
      </c>
      <c r="C4002">
        <v>2378069473</v>
      </c>
      <c r="D4002">
        <v>2378070892</v>
      </c>
      <c r="E4002" t="str">
        <f>T("신라의 왕좌는 제 겁니다 161화")</f>
        <v>신라의 왕좌는 제 겁니다 161화</v>
      </c>
      <c r="F4002">
        <v>161</v>
      </c>
      <c r="G4002" t="str">
        <f>T("매운아몬드")</f>
        <v>매운아몬드</v>
      </c>
      <c r="J4002" t="str">
        <f>T("사이렌")</f>
        <v>사이렌</v>
      </c>
      <c r="K4002" t="str">
        <f>T("신라의 왕좌는 제 겁니다")</f>
        <v>신라의 왕좌는 제 겁니다</v>
      </c>
      <c r="L4002">
        <v>100</v>
      </c>
      <c r="M4002">
        <v>100</v>
      </c>
      <c r="N4002">
        <v>1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0</v>
      </c>
      <c r="AE4002">
        <v>0</v>
      </c>
      <c r="AF4002">
        <v>0</v>
      </c>
      <c r="AG4002">
        <v>0</v>
      </c>
      <c r="AH4002">
        <v>0</v>
      </c>
      <c r="AI4002">
        <v>100</v>
      </c>
      <c r="AJ4002">
        <v>1</v>
      </c>
      <c r="AK4002">
        <v>0</v>
      </c>
      <c r="AL4002">
        <v>0</v>
      </c>
      <c r="AM4002">
        <v>100</v>
      </c>
      <c r="AN4002">
        <v>0</v>
      </c>
      <c r="AO4002">
        <v>0</v>
      </c>
      <c r="AP4002">
        <v>0</v>
      </c>
      <c r="AQ4002">
        <v>0</v>
      </c>
      <c r="AS4002">
        <v>0</v>
      </c>
      <c r="AT4002">
        <v>0</v>
      </c>
      <c r="AV4002">
        <v>0</v>
      </c>
      <c r="AW4002">
        <v>0</v>
      </c>
      <c r="AY4002">
        <v>0</v>
      </c>
      <c r="AZ4002">
        <v>0</v>
      </c>
      <c r="BA4002">
        <v>60</v>
      </c>
      <c r="BE4002" t="str">
        <f>T("9791172700263")</f>
        <v>9791172700263</v>
      </c>
      <c r="BF4002" t="str">
        <f>T("k441838")</f>
        <v>k441838</v>
      </c>
      <c r="BG4002" t="str">
        <f>T("판타지 웹소설 &gt; 퓨전 판타지")</f>
        <v>판타지 웹소설 &gt; 퓨전 판타지</v>
      </c>
    </row>
    <row r="4003" spans="1:59">
      <c r="A4003" t="s">
        <v>60</v>
      </c>
      <c r="B4003" s="1">
        <v>46131</v>
      </c>
      <c r="C4003">
        <v>2378069473</v>
      </c>
      <c r="D4003">
        <v>2378070893</v>
      </c>
      <c r="E4003" t="str">
        <f>T("신라의 왕좌는 제 겁니다 162화")</f>
        <v>신라의 왕좌는 제 겁니다 162화</v>
      </c>
      <c r="F4003">
        <v>162</v>
      </c>
      <c r="G4003" t="str">
        <f>T("매운아몬드")</f>
        <v>매운아몬드</v>
      </c>
      <c r="J4003" t="str">
        <f>T("사이렌")</f>
        <v>사이렌</v>
      </c>
      <c r="K4003" t="str">
        <f>T("신라의 왕좌는 제 겁니다")</f>
        <v>신라의 왕좌는 제 겁니다</v>
      </c>
      <c r="L4003">
        <v>100</v>
      </c>
      <c r="M4003">
        <v>100</v>
      </c>
      <c r="N4003">
        <v>1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0</v>
      </c>
      <c r="AE4003">
        <v>0</v>
      </c>
      <c r="AF4003">
        <v>0</v>
      </c>
      <c r="AG4003">
        <v>0</v>
      </c>
      <c r="AH4003">
        <v>0</v>
      </c>
      <c r="AI4003">
        <v>100</v>
      </c>
      <c r="AJ4003">
        <v>1</v>
      </c>
      <c r="AK4003">
        <v>0</v>
      </c>
      <c r="AL4003">
        <v>0</v>
      </c>
      <c r="AM4003">
        <v>100</v>
      </c>
      <c r="AN4003">
        <v>0</v>
      </c>
      <c r="AO4003">
        <v>0</v>
      </c>
      <c r="AP4003">
        <v>0</v>
      </c>
      <c r="AQ4003">
        <v>0</v>
      </c>
      <c r="AS4003">
        <v>0</v>
      </c>
      <c r="AT4003">
        <v>0</v>
      </c>
      <c r="AV4003">
        <v>0</v>
      </c>
      <c r="AW4003">
        <v>0</v>
      </c>
      <c r="AY4003">
        <v>0</v>
      </c>
      <c r="AZ4003">
        <v>0</v>
      </c>
      <c r="BA4003">
        <v>60</v>
      </c>
      <c r="BE4003" t="str">
        <f>T("9791172700263")</f>
        <v>9791172700263</v>
      </c>
      <c r="BF4003" t="str">
        <f>T("k441839")</f>
        <v>k441839</v>
      </c>
      <c r="BG4003" t="str">
        <f>T("판타지 웹소설 &gt; 퓨전 판타지")</f>
        <v>판타지 웹소설 &gt; 퓨전 판타지</v>
      </c>
    </row>
    <row r="4004" spans="1:59">
      <c r="A4004" t="s">
        <v>60</v>
      </c>
      <c r="B4004" s="1">
        <v>46131</v>
      </c>
      <c r="C4004">
        <v>2378069473</v>
      </c>
      <c r="D4004">
        <v>2378070894</v>
      </c>
      <c r="E4004" t="str">
        <f>T("신라의 왕좌는 제 겁니다 163화")</f>
        <v>신라의 왕좌는 제 겁니다 163화</v>
      </c>
      <c r="F4004">
        <v>163</v>
      </c>
      <c r="G4004" t="str">
        <f>T("매운아몬드")</f>
        <v>매운아몬드</v>
      </c>
      <c r="J4004" t="str">
        <f>T("사이렌")</f>
        <v>사이렌</v>
      </c>
      <c r="K4004" t="str">
        <f>T("신라의 왕좌는 제 겁니다")</f>
        <v>신라의 왕좌는 제 겁니다</v>
      </c>
      <c r="L4004">
        <v>100</v>
      </c>
      <c r="M4004">
        <v>100</v>
      </c>
      <c r="N4004">
        <v>1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0</v>
      </c>
      <c r="AE4004">
        <v>0</v>
      </c>
      <c r="AF4004">
        <v>0</v>
      </c>
      <c r="AG4004">
        <v>0</v>
      </c>
      <c r="AH4004">
        <v>0</v>
      </c>
      <c r="AI4004">
        <v>100</v>
      </c>
      <c r="AJ4004">
        <v>1</v>
      </c>
      <c r="AK4004">
        <v>0</v>
      </c>
      <c r="AL4004">
        <v>0</v>
      </c>
      <c r="AM4004">
        <v>100</v>
      </c>
      <c r="AN4004">
        <v>0</v>
      </c>
      <c r="AO4004">
        <v>0</v>
      </c>
      <c r="AP4004">
        <v>0</v>
      </c>
      <c r="AQ4004">
        <v>0</v>
      </c>
      <c r="AS4004">
        <v>0</v>
      </c>
      <c r="AT4004">
        <v>0</v>
      </c>
      <c r="AV4004">
        <v>0</v>
      </c>
      <c r="AW4004">
        <v>0</v>
      </c>
      <c r="AY4004">
        <v>0</v>
      </c>
      <c r="AZ4004">
        <v>0</v>
      </c>
      <c r="BA4004">
        <v>60</v>
      </c>
      <c r="BE4004" t="str">
        <f>T("9791172700263")</f>
        <v>9791172700263</v>
      </c>
      <c r="BF4004" t="str">
        <f>T("k441840")</f>
        <v>k441840</v>
      </c>
      <c r="BG4004" t="str">
        <f>T("판타지 웹소설 &gt; 퓨전 판타지")</f>
        <v>판타지 웹소설 &gt; 퓨전 판타지</v>
      </c>
    </row>
    <row r="4005" spans="1:59">
      <c r="A4005" t="s">
        <v>60</v>
      </c>
      <c r="B4005" s="1">
        <v>46131</v>
      </c>
      <c r="C4005">
        <v>2378069473</v>
      </c>
      <c r="D4005">
        <v>2378070895</v>
      </c>
      <c r="E4005" t="str">
        <f>T("신라의 왕좌는 제 겁니다 164화")</f>
        <v>신라의 왕좌는 제 겁니다 164화</v>
      </c>
      <c r="F4005">
        <v>164</v>
      </c>
      <c r="G4005" t="str">
        <f>T("매운아몬드")</f>
        <v>매운아몬드</v>
      </c>
      <c r="J4005" t="str">
        <f>T("사이렌")</f>
        <v>사이렌</v>
      </c>
      <c r="K4005" t="str">
        <f>T("신라의 왕좌는 제 겁니다")</f>
        <v>신라의 왕좌는 제 겁니다</v>
      </c>
      <c r="L4005">
        <v>100</v>
      </c>
      <c r="M4005">
        <v>100</v>
      </c>
      <c r="N4005">
        <v>1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0</v>
      </c>
      <c r="AE4005">
        <v>0</v>
      </c>
      <c r="AF4005">
        <v>0</v>
      </c>
      <c r="AG4005">
        <v>0</v>
      </c>
      <c r="AH4005">
        <v>0</v>
      </c>
      <c r="AI4005">
        <v>100</v>
      </c>
      <c r="AJ4005">
        <v>1</v>
      </c>
      <c r="AK4005">
        <v>0</v>
      </c>
      <c r="AL4005">
        <v>0</v>
      </c>
      <c r="AM4005">
        <v>100</v>
      </c>
      <c r="AN4005">
        <v>0</v>
      </c>
      <c r="AO4005">
        <v>0</v>
      </c>
      <c r="AP4005">
        <v>0</v>
      </c>
      <c r="AQ4005">
        <v>0</v>
      </c>
      <c r="AS4005">
        <v>0</v>
      </c>
      <c r="AT4005">
        <v>0</v>
      </c>
      <c r="AV4005">
        <v>0</v>
      </c>
      <c r="AW4005">
        <v>0</v>
      </c>
      <c r="AY4005">
        <v>0</v>
      </c>
      <c r="AZ4005">
        <v>0</v>
      </c>
      <c r="BA4005">
        <v>60</v>
      </c>
      <c r="BE4005" t="str">
        <f>T("9791172700263")</f>
        <v>9791172700263</v>
      </c>
      <c r="BF4005" t="str">
        <f>T("k441841")</f>
        <v>k441841</v>
      </c>
      <c r="BG4005" t="str">
        <f>T("판타지 웹소설 &gt; 퓨전 판타지")</f>
        <v>판타지 웹소설 &gt; 퓨전 판타지</v>
      </c>
    </row>
    <row r="4006" spans="1:59">
      <c r="A4006" t="s">
        <v>60</v>
      </c>
      <c r="B4006" s="1">
        <v>46131</v>
      </c>
      <c r="C4006">
        <v>2378069473</v>
      </c>
      <c r="D4006">
        <v>2378070896</v>
      </c>
      <c r="E4006" t="str">
        <f>T("신라의 왕좌는 제 겁니다 165화")</f>
        <v>신라의 왕좌는 제 겁니다 165화</v>
      </c>
      <c r="F4006">
        <v>165</v>
      </c>
      <c r="G4006" t="str">
        <f>T("매운아몬드")</f>
        <v>매운아몬드</v>
      </c>
      <c r="J4006" t="str">
        <f>T("사이렌")</f>
        <v>사이렌</v>
      </c>
      <c r="K4006" t="str">
        <f>T("신라의 왕좌는 제 겁니다")</f>
        <v>신라의 왕좌는 제 겁니다</v>
      </c>
      <c r="L4006">
        <v>100</v>
      </c>
      <c r="M4006">
        <v>100</v>
      </c>
      <c r="N4006">
        <v>1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0</v>
      </c>
      <c r="AE4006">
        <v>0</v>
      </c>
      <c r="AF4006">
        <v>0</v>
      </c>
      <c r="AG4006">
        <v>0</v>
      </c>
      <c r="AH4006">
        <v>0</v>
      </c>
      <c r="AI4006">
        <v>100</v>
      </c>
      <c r="AJ4006">
        <v>1</v>
      </c>
      <c r="AK4006">
        <v>0</v>
      </c>
      <c r="AL4006">
        <v>0</v>
      </c>
      <c r="AM4006">
        <v>100</v>
      </c>
      <c r="AN4006">
        <v>0</v>
      </c>
      <c r="AO4006">
        <v>0</v>
      </c>
      <c r="AP4006">
        <v>0</v>
      </c>
      <c r="AQ4006">
        <v>0</v>
      </c>
      <c r="AS4006">
        <v>0</v>
      </c>
      <c r="AT4006">
        <v>0</v>
      </c>
      <c r="AV4006">
        <v>0</v>
      </c>
      <c r="AW4006">
        <v>0</v>
      </c>
      <c r="AY4006">
        <v>0</v>
      </c>
      <c r="AZ4006">
        <v>0</v>
      </c>
      <c r="BA4006">
        <v>60</v>
      </c>
      <c r="BE4006" t="str">
        <f>T("9791172700263")</f>
        <v>9791172700263</v>
      </c>
      <c r="BF4006" t="str">
        <f>T("k441842")</f>
        <v>k441842</v>
      </c>
      <c r="BG4006" t="str">
        <f>T("판타지 웹소설 &gt; 퓨전 판타지")</f>
        <v>판타지 웹소설 &gt; 퓨전 판타지</v>
      </c>
    </row>
    <row r="4007" spans="1:59">
      <c r="A4007" t="s">
        <v>60</v>
      </c>
      <c r="B4007" s="1">
        <v>46131</v>
      </c>
      <c r="C4007">
        <v>2378069473</v>
      </c>
      <c r="D4007">
        <v>2378070958</v>
      </c>
      <c r="E4007" t="str">
        <f>T("신라의 왕좌는 제 겁니다 166화")</f>
        <v>신라의 왕좌는 제 겁니다 166화</v>
      </c>
      <c r="F4007">
        <v>166</v>
      </c>
      <c r="G4007" t="str">
        <f>T("매운아몬드")</f>
        <v>매운아몬드</v>
      </c>
      <c r="J4007" t="str">
        <f>T("사이렌")</f>
        <v>사이렌</v>
      </c>
      <c r="K4007" t="str">
        <f>T("신라의 왕좌는 제 겁니다")</f>
        <v>신라의 왕좌는 제 겁니다</v>
      </c>
      <c r="L4007">
        <v>100</v>
      </c>
      <c r="M4007">
        <v>100</v>
      </c>
      <c r="N4007">
        <v>1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0</v>
      </c>
      <c r="AE4007">
        <v>0</v>
      </c>
      <c r="AF4007">
        <v>0</v>
      </c>
      <c r="AG4007">
        <v>0</v>
      </c>
      <c r="AH4007">
        <v>0</v>
      </c>
      <c r="AI4007">
        <v>100</v>
      </c>
      <c r="AJ4007">
        <v>1</v>
      </c>
      <c r="AK4007">
        <v>0</v>
      </c>
      <c r="AL4007">
        <v>0</v>
      </c>
      <c r="AM4007">
        <v>100</v>
      </c>
      <c r="AN4007">
        <v>0</v>
      </c>
      <c r="AO4007">
        <v>0</v>
      </c>
      <c r="AP4007">
        <v>0</v>
      </c>
      <c r="AQ4007">
        <v>0</v>
      </c>
      <c r="AS4007">
        <v>0</v>
      </c>
      <c r="AT4007">
        <v>0</v>
      </c>
      <c r="AV4007">
        <v>0</v>
      </c>
      <c r="AW4007">
        <v>0</v>
      </c>
      <c r="AY4007">
        <v>0</v>
      </c>
      <c r="AZ4007">
        <v>0</v>
      </c>
      <c r="BA4007">
        <v>60</v>
      </c>
      <c r="BE4007" t="str">
        <f>T("9791172700263")</f>
        <v>9791172700263</v>
      </c>
      <c r="BF4007" t="str">
        <f>T("k441843")</f>
        <v>k441843</v>
      </c>
      <c r="BG4007" t="str">
        <f>T("판타지 웹소설 &gt; 퓨전 판타지")</f>
        <v>판타지 웹소설 &gt; 퓨전 판타지</v>
      </c>
    </row>
    <row r="4008" spans="1:59">
      <c r="A4008" t="s">
        <v>60</v>
      </c>
      <c r="B4008" s="1">
        <v>46131</v>
      </c>
      <c r="C4008">
        <v>2378069473</v>
      </c>
      <c r="D4008">
        <v>2378070959</v>
      </c>
      <c r="E4008" t="str">
        <f>T("신라의 왕좌는 제 겁니다 167화")</f>
        <v>신라의 왕좌는 제 겁니다 167화</v>
      </c>
      <c r="F4008">
        <v>167</v>
      </c>
      <c r="G4008" t="str">
        <f>T("매운아몬드")</f>
        <v>매운아몬드</v>
      </c>
      <c r="J4008" t="str">
        <f>T("사이렌")</f>
        <v>사이렌</v>
      </c>
      <c r="K4008" t="str">
        <f>T("신라의 왕좌는 제 겁니다")</f>
        <v>신라의 왕좌는 제 겁니다</v>
      </c>
      <c r="L4008">
        <v>100</v>
      </c>
      <c r="M4008">
        <v>100</v>
      </c>
      <c r="N4008">
        <v>1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0</v>
      </c>
      <c r="AE4008">
        <v>0</v>
      </c>
      <c r="AF4008">
        <v>0</v>
      </c>
      <c r="AG4008">
        <v>0</v>
      </c>
      <c r="AH4008">
        <v>0</v>
      </c>
      <c r="AI4008">
        <v>100</v>
      </c>
      <c r="AJ4008">
        <v>1</v>
      </c>
      <c r="AK4008">
        <v>0</v>
      </c>
      <c r="AL4008">
        <v>0</v>
      </c>
      <c r="AM4008">
        <v>100</v>
      </c>
      <c r="AN4008">
        <v>0</v>
      </c>
      <c r="AO4008">
        <v>0</v>
      </c>
      <c r="AP4008">
        <v>0</v>
      </c>
      <c r="AQ4008">
        <v>0</v>
      </c>
      <c r="AS4008">
        <v>0</v>
      </c>
      <c r="AT4008">
        <v>0</v>
      </c>
      <c r="AV4008">
        <v>0</v>
      </c>
      <c r="AW4008">
        <v>0</v>
      </c>
      <c r="AY4008">
        <v>0</v>
      </c>
      <c r="AZ4008">
        <v>0</v>
      </c>
      <c r="BA4008">
        <v>60</v>
      </c>
      <c r="BE4008" t="str">
        <f>T("9791172700263")</f>
        <v>9791172700263</v>
      </c>
      <c r="BF4008" t="str">
        <f>T("k441844")</f>
        <v>k441844</v>
      </c>
      <c r="BG4008" t="str">
        <f>T("판타지 웹소설 &gt; 퓨전 판타지")</f>
        <v>판타지 웹소설 &gt; 퓨전 판타지</v>
      </c>
    </row>
    <row r="4009" spans="1:59">
      <c r="A4009" t="s">
        <v>60</v>
      </c>
      <c r="B4009" s="1">
        <v>46131</v>
      </c>
      <c r="C4009">
        <v>2378069473</v>
      </c>
      <c r="D4009">
        <v>2378070960</v>
      </c>
      <c r="E4009" t="str">
        <f>T("신라의 왕좌는 제 겁니다 168화")</f>
        <v>신라의 왕좌는 제 겁니다 168화</v>
      </c>
      <c r="F4009">
        <v>168</v>
      </c>
      <c r="G4009" t="str">
        <f>T("매운아몬드")</f>
        <v>매운아몬드</v>
      </c>
      <c r="J4009" t="str">
        <f>T("사이렌")</f>
        <v>사이렌</v>
      </c>
      <c r="K4009" t="str">
        <f>T("신라의 왕좌는 제 겁니다")</f>
        <v>신라의 왕좌는 제 겁니다</v>
      </c>
      <c r="L4009">
        <v>100</v>
      </c>
      <c r="M4009">
        <v>100</v>
      </c>
      <c r="N4009">
        <v>1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0</v>
      </c>
      <c r="AE4009">
        <v>0</v>
      </c>
      <c r="AF4009">
        <v>0</v>
      </c>
      <c r="AG4009">
        <v>0</v>
      </c>
      <c r="AH4009">
        <v>0</v>
      </c>
      <c r="AI4009">
        <v>100</v>
      </c>
      <c r="AJ4009">
        <v>1</v>
      </c>
      <c r="AK4009">
        <v>0</v>
      </c>
      <c r="AL4009">
        <v>0</v>
      </c>
      <c r="AM4009">
        <v>100</v>
      </c>
      <c r="AN4009">
        <v>0</v>
      </c>
      <c r="AO4009">
        <v>0</v>
      </c>
      <c r="AP4009">
        <v>0</v>
      </c>
      <c r="AQ4009">
        <v>0</v>
      </c>
      <c r="AS4009">
        <v>0</v>
      </c>
      <c r="AT4009">
        <v>0</v>
      </c>
      <c r="AV4009">
        <v>0</v>
      </c>
      <c r="AW4009">
        <v>0</v>
      </c>
      <c r="AY4009">
        <v>0</v>
      </c>
      <c r="AZ4009">
        <v>0</v>
      </c>
      <c r="BA4009">
        <v>60</v>
      </c>
      <c r="BE4009" t="str">
        <f>T("9791172700263")</f>
        <v>9791172700263</v>
      </c>
      <c r="BF4009" t="str">
        <f>T("k441845")</f>
        <v>k441845</v>
      </c>
      <c r="BG4009" t="str">
        <f>T("판타지 웹소설 &gt; 퓨전 판타지")</f>
        <v>판타지 웹소설 &gt; 퓨전 판타지</v>
      </c>
    </row>
    <row r="4010" spans="1:59">
      <c r="A4010" t="s">
        <v>60</v>
      </c>
      <c r="B4010" s="1">
        <v>46131</v>
      </c>
      <c r="C4010">
        <v>2378069473</v>
      </c>
      <c r="D4010">
        <v>2378070961</v>
      </c>
      <c r="E4010" t="str">
        <f>T("신라의 왕좌는 제 겁니다 169화")</f>
        <v>신라의 왕좌는 제 겁니다 169화</v>
      </c>
      <c r="F4010">
        <v>169</v>
      </c>
      <c r="G4010" t="str">
        <f>T("매운아몬드")</f>
        <v>매운아몬드</v>
      </c>
      <c r="J4010" t="str">
        <f>T("사이렌")</f>
        <v>사이렌</v>
      </c>
      <c r="K4010" t="str">
        <f>T("신라의 왕좌는 제 겁니다")</f>
        <v>신라의 왕좌는 제 겁니다</v>
      </c>
      <c r="L4010">
        <v>100</v>
      </c>
      <c r="M4010">
        <v>100</v>
      </c>
      <c r="N4010">
        <v>1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0</v>
      </c>
      <c r="AE4010">
        <v>0</v>
      </c>
      <c r="AF4010">
        <v>0</v>
      </c>
      <c r="AG4010">
        <v>0</v>
      </c>
      <c r="AH4010">
        <v>0</v>
      </c>
      <c r="AI4010">
        <v>100</v>
      </c>
      <c r="AJ4010">
        <v>1</v>
      </c>
      <c r="AK4010">
        <v>0</v>
      </c>
      <c r="AL4010">
        <v>0</v>
      </c>
      <c r="AM4010">
        <v>100</v>
      </c>
      <c r="AN4010">
        <v>0</v>
      </c>
      <c r="AO4010">
        <v>0</v>
      </c>
      <c r="AP4010">
        <v>0</v>
      </c>
      <c r="AQ4010">
        <v>0</v>
      </c>
      <c r="AS4010">
        <v>0</v>
      </c>
      <c r="AT4010">
        <v>0</v>
      </c>
      <c r="AV4010">
        <v>0</v>
      </c>
      <c r="AW4010">
        <v>0</v>
      </c>
      <c r="AY4010">
        <v>0</v>
      </c>
      <c r="AZ4010">
        <v>0</v>
      </c>
      <c r="BA4010">
        <v>60</v>
      </c>
      <c r="BE4010" t="str">
        <f>T("9791172700263")</f>
        <v>9791172700263</v>
      </c>
      <c r="BF4010" t="str">
        <f>T("k441846")</f>
        <v>k441846</v>
      </c>
      <c r="BG4010" t="str">
        <f>T("판타지 웹소설 &gt; 퓨전 판타지")</f>
        <v>판타지 웹소설 &gt; 퓨전 판타지</v>
      </c>
    </row>
    <row r="4011" spans="1:59">
      <c r="A4011" t="s">
        <v>60</v>
      </c>
      <c r="B4011" s="1">
        <v>46131</v>
      </c>
      <c r="C4011">
        <v>2378069473</v>
      </c>
      <c r="D4011">
        <v>2378070962</v>
      </c>
      <c r="E4011" t="str">
        <f>T("신라의 왕좌는 제 겁니다 170화")</f>
        <v>신라의 왕좌는 제 겁니다 170화</v>
      </c>
      <c r="F4011">
        <v>170</v>
      </c>
      <c r="G4011" t="str">
        <f>T("매운아몬드")</f>
        <v>매운아몬드</v>
      </c>
      <c r="J4011" t="str">
        <f>T("사이렌")</f>
        <v>사이렌</v>
      </c>
      <c r="K4011" t="str">
        <f>T("신라의 왕좌는 제 겁니다")</f>
        <v>신라의 왕좌는 제 겁니다</v>
      </c>
      <c r="L4011">
        <v>100</v>
      </c>
      <c r="M4011">
        <v>100</v>
      </c>
      <c r="N4011">
        <v>1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0</v>
      </c>
      <c r="AE4011">
        <v>0</v>
      </c>
      <c r="AF4011">
        <v>0</v>
      </c>
      <c r="AG4011">
        <v>0</v>
      </c>
      <c r="AH4011">
        <v>0</v>
      </c>
      <c r="AI4011">
        <v>100</v>
      </c>
      <c r="AJ4011">
        <v>1</v>
      </c>
      <c r="AK4011">
        <v>0</v>
      </c>
      <c r="AL4011">
        <v>0</v>
      </c>
      <c r="AM4011">
        <v>100</v>
      </c>
      <c r="AN4011">
        <v>0</v>
      </c>
      <c r="AO4011">
        <v>0</v>
      </c>
      <c r="AP4011">
        <v>0</v>
      </c>
      <c r="AQ4011">
        <v>0</v>
      </c>
      <c r="AS4011">
        <v>0</v>
      </c>
      <c r="AT4011">
        <v>0</v>
      </c>
      <c r="AV4011">
        <v>0</v>
      </c>
      <c r="AW4011">
        <v>0</v>
      </c>
      <c r="AY4011">
        <v>0</v>
      </c>
      <c r="AZ4011">
        <v>0</v>
      </c>
      <c r="BA4011">
        <v>60</v>
      </c>
      <c r="BE4011" t="str">
        <f>T("9791172700263")</f>
        <v>9791172700263</v>
      </c>
      <c r="BF4011" t="str">
        <f>T("k441847")</f>
        <v>k441847</v>
      </c>
      <c r="BG4011" t="str">
        <f>T("판타지 웹소설 &gt; 퓨전 판타지")</f>
        <v>판타지 웹소설 &gt; 퓨전 판타지</v>
      </c>
    </row>
    <row r="4012" spans="1:59">
      <c r="A4012" t="s">
        <v>60</v>
      </c>
      <c r="B4012" s="1">
        <v>46131</v>
      </c>
      <c r="C4012">
        <v>2378069473</v>
      </c>
      <c r="D4012">
        <v>2378070964</v>
      </c>
      <c r="E4012" t="str">
        <f>T("신라의 왕좌는 제 겁니다 171화")</f>
        <v>신라의 왕좌는 제 겁니다 171화</v>
      </c>
      <c r="F4012">
        <v>171</v>
      </c>
      <c r="G4012" t="str">
        <f>T("매운아몬드")</f>
        <v>매운아몬드</v>
      </c>
      <c r="J4012" t="str">
        <f>T("사이렌")</f>
        <v>사이렌</v>
      </c>
      <c r="K4012" t="str">
        <f>T("신라의 왕좌는 제 겁니다")</f>
        <v>신라의 왕좌는 제 겁니다</v>
      </c>
      <c r="L4012">
        <v>100</v>
      </c>
      <c r="M4012">
        <v>100</v>
      </c>
      <c r="N4012">
        <v>1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0</v>
      </c>
      <c r="AE4012">
        <v>0</v>
      </c>
      <c r="AF4012">
        <v>0</v>
      </c>
      <c r="AG4012">
        <v>0</v>
      </c>
      <c r="AH4012">
        <v>0</v>
      </c>
      <c r="AI4012">
        <v>100</v>
      </c>
      <c r="AJ4012">
        <v>1</v>
      </c>
      <c r="AK4012">
        <v>0</v>
      </c>
      <c r="AL4012">
        <v>0</v>
      </c>
      <c r="AM4012">
        <v>100</v>
      </c>
      <c r="AN4012">
        <v>0</v>
      </c>
      <c r="AO4012">
        <v>0</v>
      </c>
      <c r="AP4012">
        <v>0</v>
      </c>
      <c r="AQ4012">
        <v>0</v>
      </c>
      <c r="AS4012">
        <v>0</v>
      </c>
      <c r="AT4012">
        <v>0</v>
      </c>
      <c r="AV4012">
        <v>0</v>
      </c>
      <c r="AW4012">
        <v>0</v>
      </c>
      <c r="AY4012">
        <v>0</v>
      </c>
      <c r="AZ4012">
        <v>0</v>
      </c>
      <c r="BA4012">
        <v>60</v>
      </c>
      <c r="BE4012" t="str">
        <f>T("9791172700263")</f>
        <v>9791172700263</v>
      </c>
      <c r="BF4012" t="str">
        <f>T("k441848")</f>
        <v>k441848</v>
      </c>
      <c r="BG4012" t="str">
        <f>T("판타지 웹소설 &gt; 퓨전 판타지")</f>
        <v>판타지 웹소설 &gt; 퓨전 판타지</v>
      </c>
    </row>
    <row r="4013" spans="1:59">
      <c r="A4013" t="s">
        <v>60</v>
      </c>
      <c r="B4013" s="1">
        <v>46131</v>
      </c>
      <c r="C4013">
        <v>2378069473</v>
      </c>
      <c r="D4013">
        <v>2378070965</v>
      </c>
      <c r="E4013" t="str">
        <f>T("신라의 왕좌는 제 겁니다 172화")</f>
        <v>신라의 왕좌는 제 겁니다 172화</v>
      </c>
      <c r="F4013">
        <v>172</v>
      </c>
      <c r="G4013" t="str">
        <f>T("매운아몬드")</f>
        <v>매운아몬드</v>
      </c>
      <c r="J4013" t="str">
        <f>T("사이렌")</f>
        <v>사이렌</v>
      </c>
      <c r="K4013" t="str">
        <f>T("신라의 왕좌는 제 겁니다")</f>
        <v>신라의 왕좌는 제 겁니다</v>
      </c>
      <c r="L4013">
        <v>100</v>
      </c>
      <c r="M4013">
        <v>100</v>
      </c>
      <c r="N4013">
        <v>1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0</v>
      </c>
      <c r="AE4013">
        <v>0</v>
      </c>
      <c r="AF4013">
        <v>0</v>
      </c>
      <c r="AG4013">
        <v>0</v>
      </c>
      <c r="AH4013">
        <v>0</v>
      </c>
      <c r="AI4013">
        <v>100</v>
      </c>
      <c r="AJ4013">
        <v>1</v>
      </c>
      <c r="AK4013">
        <v>0</v>
      </c>
      <c r="AL4013">
        <v>0</v>
      </c>
      <c r="AM4013">
        <v>100</v>
      </c>
      <c r="AN4013">
        <v>0</v>
      </c>
      <c r="AO4013">
        <v>0</v>
      </c>
      <c r="AP4013">
        <v>0</v>
      </c>
      <c r="AQ4013">
        <v>0</v>
      </c>
      <c r="AS4013">
        <v>0</v>
      </c>
      <c r="AT4013">
        <v>0</v>
      </c>
      <c r="AV4013">
        <v>0</v>
      </c>
      <c r="AW4013">
        <v>0</v>
      </c>
      <c r="AY4013">
        <v>0</v>
      </c>
      <c r="AZ4013">
        <v>0</v>
      </c>
      <c r="BA4013">
        <v>60</v>
      </c>
      <c r="BE4013" t="str">
        <f>T("9791172700263")</f>
        <v>9791172700263</v>
      </c>
      <c r="BF4013" t="str">
        <f>T("k441849")</f>
        <v>k441849</v>
      </c>
      <c r="BG4013" t="str">
        <f>T("판타지 웹소설 &gt; 퓨전 판타지")</f>
        <v>판타지 웹소설 &gt; 퓨전 판타지</v>
      </c>
    </row>
    <row r="4014" spans="1:59">
      <c r="A4014" t="s">
        <v>60</v>
      </c>
      <c r="B4014" s="1">
        <v>46131</v>
      </c>
      <c r="C4014">
        <v>2378069473</v>
      </c>
      <c r="D4014">
        <v>2378070966</v>
      </c>
      <c r="E4014" t="str">
        <f>T("신라의 왕좌는 제 겁니다 173화")</f>
        <v>신라의 왕좌는 제 겁니다 173화</v>
      </c>
      <c r="F4014">
        <v>173</v>
      </c>
      <c r="G4014" t="str">
        <f>T("매운아몬드")</f>
        <v>매운아몬드</v>
      </c>
      <c r="J4014" t="str">
        <f>T("사이렌")</f>
        <v>사이렌</v>
      </c>
      <c r="K4014" t="str">
        <f>T("신라의 왕좌는 제 겁니다")</f>
        <v>신라의 왕좌는 제 겁니다</v>
      </c>
      <c r="L4014">
        <v>100</v>
      </c>
      <c r="M4014">
        <v>100</v>
      </c>
      <c r="N4014">
        <v>1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0</v>
      </c>
      <c r="AE4014">
        <v>0</v>
      </c>
      <c r="AF4014">
        <v>0</v>
      </c>
      <c r="AG4014">
        <v>0</v>
      </c>
      <c r="AH4014">
        <v>0</v>
      </c>
      <c r="AI4014">
        <v>100</v>
      </c>
      <c r="AJ4014">
        <v>1</v>
      </c>
      <c r="AK4014">
        <v>0</v>
      </c>
      <c r="AL4014">
        <v>0</v>
      </c>
      <c r="AM4014">
        <v>100</v>
      </c>
      <c r="AN4014">
        <v>0</v>
      </c>
      <c r="AO4014">
        <v>0</v>
      </c>
      <c r="AP4014">
        <v>0</v>
      </c>
      <c r="AQ4014">
        <v>0</v>
      </c>
      <c r="AS4014">
        <v>0</v>
      </c>
      <c r="AT4014">
        <v>0</v>
      </c>
      <c r="AV4014">
        <v>0</v>
      </c>
      <c r="AW4014">
        <v>0</v>
      </c>
      <c r="AY4014">
        <v>0</v>
      </c>
      <c r="AZ4014">
        <v>0</v>
      </c>
      <c r="BA4014">
        <v>60</v>
      </c>
      <c r="BE4014" t="str">
        <f>T("9791172700263")</f>
        <v>9791172700263</v>
      </c>
      <c r="BF4014" t="str">
        <f>T("k441850")</f>
        <v>k441850</v>
      </c>
      <c r="BG4014" t="str">
        <f>T("판타지 웹소설 &gt; 퓨전 판타지")</f>
        <v>판타지 웹소설 &gt; 퓨전 판타지</v>
      </c>
    </row>
    <row r="4015" spans="1:59">
      <c r="A4015" t="s">
        <v>60</v>
      </c>
      <c r="B4015" s="1">
        <v>46131</v>
      </c>
      <c r="C4015">
        <v>2378069473</v>
      </c>
      <c r="D4015">
        <v>2378070967</v>
      </c>
      <c r="E4015" t="str">
        <f>T("신라의 왕좌는 제 겁니다 174화")</f>
        <v>신라의 왕좌는 제 겁니다 174화</v>
      </c>
      <c r="F4015">
        <v>174</v>
      </c>
      <c r="G4015" t="str">
        <f>T("매운아몬드")</f>
        <v>매운아몬드</v>
      </c>
      <c r="J4015" t="str">
        <f>T("사이렌")</f>
        <v>사이렌</v>
      </c>
      <c r="K4015" t="str">
        <f>T("신라의 왕좌는 제 겁니다")</f>
        <v>신라의 왕좌는 제 겁니다</v>
      </c>
      <c r="L4015">
        <v>100</v>
      </c>
      <c r="M4015">
        <v>100</v>
      </c>
      <c r="N4015">
        <v>1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0</v>
      </c>
      <c r="AE4015">
        <v>0</v>
      </c>
      <c r="AF4015">
        <v>0</v>
      </c>
      <c r="AG4015">
        <v>0</v>
      </c>
      <c r="AH4015">
        <v>0</v>
      </c>
      <c r="AI4015">
        <v>100</v>
      </c>
      <c r="AJ4015">
        <v>1</v>
      </c>
      <c r="AK4015">
        <v>0</v>
      </c>
      <c r="AL4015">
        <v>0</v>
      </c>
      <c r="AM4015">
        <v>100</v>
      </c>
      <c r="AN4015">
        <v>0</v>
      </c>
      <c r="AO4015">
        <v>0</v>
      </c>
      <c r="AP4015">
        <v>0</v>
      </c>
      <c r="AQ4015">
        <v>0</v>
      </c>
      <c r="AS4015">
        <v>0</v>
      </c>
      <c r="AT4015">
        <v>0</v>
      </c>
      <c r="AV4015">
        <v>0</v>
      </c>
      <c r="AW4015">
        <v>0</v>
      </c>
      <c r="AY4015">
        <v>0</v>
      </c>
      <c r="AZ4015">
        <v>0</v>
      </c>
      <c r="BA4015">
        <v>60</v>
      </c>
      <c r="BE4015" t="str">
        <f>T("9791172700263")</f>
        <v>9791172700263</v>
      </c>
      <c r="BF4015" t="str">
        <f>T("k441851")</f>
        <v>k441851</v>
      </c>
      <c r="BG4015" t="str">
        <f>T("판타지 웹소설 &gt; 퓨전 판타지")</f>
        <v>판타지 웹소설 &gt; 퓨전 판타지</v>
      </c>
    </row>
    <row r="4016" spans="1:59">
      <c r="A4016" t="s">
        <v>60</v>
      </c>
      <c r="B4016" s="1">
        <v>46131</v>
      </c>
      <c r="C4016">
        <v>2378069473</v>
      </c>
      <c r="D4016">
        <v>2378070968</v>
      </c>
      <c r="E4016" t="str">
        <f>T("신라의 왕좌는 제 겁니다 175화")</f>
        <v>신라의 왕좌는 제 겁니다 175화</v>
      </c>
      <c r="F4016">
        <v>175</v>
      </c>
      <c r="G4016" t="str">
        <f>T("매운아몬드")</f>
        <v>매운아몬드</v>
      </c>
      <c r="J4016" t="str">
        <f>T("사이렌")</f>
        <v>사이렌</v>
      </c>
      <c r="K4016" t="str">
        <f>T("신라의 왕좌는 제 겁니다")</f>
        <v>신라의 왕좌는 제 겁니다</v>
      </c>
      <c r="L4016">
        <v>100</v>
      </c>
      <c r="M4016">
        <v>100</v>
      </c>
      <c r="N4016">
        <v>1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0</v>
      </c>
      <c r="AE4016">
        <v>0</v>
      </c>
      <c r="AF4016">
        <v>0</v>
      </c>
      <c r="AG4016">
        <v>0</v>
      </c>
      <c r="AH4016">
        <v>0</v>
      </c>
      <c r="AI4016">
        <v>100</v>
      </c>
      <c r="AJ4016">
        <v>1</v>
      </c>
      <c r="AK4016">
        <v>0</v>
      </c>
      <c r="AL4016">
        <v>0</v>
      </c>
      <c r="AM4016">
        <v>100</v>
      </c>
      <c r="AN4016">
        <v>0</v>
      </c>
      <c r="AO4016">
        <v>0</v>
      </c>
      <c r="AP4016">
        <v>0</v>
      </c>
      <c r="AQ4016">
        <v>0</v>
      </c>
      <c r="AS4016">
        <v>0</v>
      </c>
      <c r="AT4016">
        <v>0</v>
      </c>
      <c r="AV4016">
        <v>0</v>
      </c>
      <c r="AW4016">
        <v>0</v>
      </c>
      <c r="AY4016">
        <v>0</v>
      </c>
      <c r="AZ4016">
        <v>0</v>
      </c>
      <c r="BA4016">
        <v>60</v>
      </c>
      <c r="BE4016" t="str">
        <f>T("9791172700263")</f>
        <v>9791172700263</v>
      </c>
      <c r="BF4016" t="str">
        <f>T("k441852")</f>
        <v>k441852</v>
      </c>
      <c r="BG4016" t="str">
        <f>T("판타지 웹소설 &gt; 퓨전 판타지")</f>
        <v>판타지 웹소설 &gt; 퓨전 판타지</v>
      </c>
    </row>
    <row r="4017" spans="1:59">
      <c r="A4017" t="s">
        <v>60</v>
      </c>
      <c r="B4017" s="1">
        <v>46131</v>
      </c>
      <c r="C4017">
        <v>2378069473</v>
      </c>
      <c r="D4017">
        <v>2378071425</v>
      </c>
      <c r="E4017" t="str">
        <f>T("신라의 왕좌는 제 겁니다 176화")</f>
        <v>신라의 왕좌는 제 겁니다 176화</v>
      </c>
      <c r="F4017">
        <v>176</v>
      </c>
      <c r="G4017" t="str">
        <f>T("매운아몬드")</f>
        <v>매운아몬드</v>
      </c>
      <c r="J4017" t="str">
        <f>T("사이렌")</f>
        <v>사이렌</v>
      </c>
      <c r="K4017" t="str">
        <f>T("신라의 왕좌는 제 겁니다")</f>
        <v>신라의 왕좌는 제 겁니다</v>
      </c>
      <c r="L4017">
        <v>100</v>
      </c>
      <c r="M4017">
        <v>100</v>
      </c>
      <c r="N4017">
        <v>1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0</v>
      </c>
      <c r="AE4017">
        <v>0</v>
      </c>
      <c r="AF4017">
        <v>0</v>
      </c>
      <c r="AG4017">
        <v>0</v>
      </c>
      <c r="AH4017">
        <v>0</v>
      </c>
      <c r="AI4017">
        <v>100</v>
      </c>
      <c r="AJ4017">
        <v>1</v>
      </c>
      <c r="AK4017">
        <v>0</v>
      </c>
      <c r="AL4017">
        <v>0</v>
      </c>
      <c r="AM4017">
        <v>100</v>
      </c>
      <c r="AN4017">
        <v>0</v>
      </c>
      <c r="AO4017">
        <v>0</v>
      </c>
      <c r="AP4017">
        <v>0</v>
      </c>
      <c r="AQ4017">
        <v>0</v>
      </c>
      <c r="AS4017">
        <v>0</v>
      </c>
      <c r="AT4017">
        <v>0</v>
      </c>
      <c r="AV4017">
        <v>0</v>
      </c>
      <c r="AW4017">
        <v>0</v>
      </c>
      <c r="AY4017">
        <v>0</v>
      </c>
      <c r="AZ4017">
        <v>0</v>
      </c>
      <c r="BA4017">
        <v>60</v>
      </c>
      <c r="BE4017" t="str">
        <f>T("9791172700263")</f>
        <v>9791172700263</v>
      </c>
      <c r="BF4017" t="str">
        <f>T("k441853")</f>
        <v>k441853</v>
      </c>
      <c r="BG4017" t="str">
        <f>T("판타지 웹소설 &gt; 퓨전 판타지")</f>
        <v>판타지 웹소설 &gt; 퓨전 판타지</v>
      </c>
    </row>
    <row r="4018" spans="1:59">
      <c r="A4018" t="s">
        <v>60</v>
      </c>
      <c r="B4018" s="1">
        <v>46131</v>
      </c>
      <c r="C4018">
        <v>2378069473</v>
      </c>
      <c r="D4018">
        <v>2378071426</v>
      </c>
      <c r="E4018" t="str">
        <f>T("신라의 왕좌는 제 겁니다 177화")</f>
        <v>신라의 왕좌는 제 겁니다 177화</v>
      </c>
      <c r="F4018">
        <v>177</v>
      </c>
      <c r="G4018" t="str">
        <f>T("매운아몬드")</f>
        <v>매운아몬드</v>
      </c>
      <c r="J4018" t="str">
        <f>T("사이렌")</f>
        <v>사이렌</v>
      </c>
      <c r="K4018" t="str">
        <f>T("신라의 왕좌는 제 겁니다")</f>
        <v>신라의 왕좌는 제 겁니다</v>
      </c>
      <c r="L4018">
        <v>100</v>
      </c>
      <c r="M4018">
        <v>100</v>
      </c>
      <c r="N4018">
        <v>1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0</v>
      </c>
      <c r="AE4018">
        <v>0</v>
      </c>
      <c r="AF4018">
        <v>0</v>
      </c>
      <c r="AG4018">
        <v>0</v>
      </c>
      <c r="AH4018">
        <v>0</v>
      </c>
      <c r="AI4018">
        <v>100</v>
      </c>
      <c r="AJ4018">
        <v>1</v>
      </c>
      <c r="AK4018">
        <v>0</v>
      </c>
      <c r="AL4018">
        <v>0</v>
      </c>
      <c r="AM4018">
        <v>100</v>
      </c>
      <c r="AN4018">
        <v>0</v>
      </c>
      <c r="AO4018">
        <v>0</v>
      </c>
      <c r="AP4018">
        <v>0</v>
      </c>
      <c r="AQ4018">
        <v>0</v>
      </c>
      <c r="AS4018">
        <v>0</v>
      </c>
      <c r="AT4018">
        <v>0</v>
      </c>
      <c r="AV4018">
        <v>0</v>
      </c>
      <c r="AW4018">
        <v>0</v>
      </c>
      <c r="AY4018">
        <v>0</v>
      </c>
      <c r="AZ4018">
        <v>0</v>
      </c>
      <c r="BA4018">
        <v>60</v>
      </c>
      <c r="BE4018" t="str">
        <f>T("9791172700263")</f>
        <v>9791172700263</v>
      </c>
      <c r="BF4018" t="str">
        <f>T("k441854")</f>
        <v>k441854</v>
      </c>
      <c r="BG4018" t="str">
        <f>T("판타지 웹소설 &gt; 퓨전 판타지")</f>
        <v>판타지 웹소설 &gt; 퓨전 판타지</v>
      </c>
    </row>
    <row r="4019" spans="1:59">
      <c r="A4019" t="s">
        <v>60</v>
      </c>
      <c r="B4019" s="1">
        <v>46131</v>
      </c>
      <c r="C4019">
        <v>2378069473</v>
      </c>
      <c r="D4019">
        <v>2378071427</v>
      </c>
      <c r="E4019" t="str">
        <f>T("신라의 왕좌는 제 겁니다 178화")</f>
        <v>신라의 왕좌는 제 겁니다 178화</v>
      </c>
      <c r="F4019">
        <v>178</v>
      </c>
      <c r="G4019" t="str">
        <f>T("매운아몬드")</f>
        <v>매운아몬드</v>
      </c>
      <c r="J4019" t="str">
        <f>T("사이렌")</f>
        <v>사이렌</v>
      </c>
      <c r="K4019" t="str">
        <f>T("신라의 왕좌는 제 겁니다")</f>
        <v>신라의 왕좌는 제 겁니다</v>
      </c>
      <c r="L4019">
        <v>100</v>
      </c>
      <c r="M4019">
        <v>100</v>
      </c>
      <c r="N4019">
        <v>1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0</v>
      </c>
      <c r="AE4019">
        <v>0</v>
      </c>
      <c r="AF4019">
        <v>0</v>
      </c>
      <c r="AG4019">
        <v>0</v>
      </c>
      <c r="AH4019">
        <v>0</v>
      </c>
      <c r="AI4019">
        <v>100</v>
      </c>
      <c r="AJ4019">
        <v>1</v>
      </c>
      <c r="AK4019">
        <v>0</v>
      </c>
      <c r="AL4019">
        <v>0</v>
      </c>
      <c r="AM4019">
        <v>100</v>
      </c>
      <c r="AN4019">
        <v>0</v>
      </c>
      <c r="AO4019">
        <v>0</v>
      </c>
      <c r="AP4019">
        <v>0</v>
      </c>
      <c r="AQ4019">
        <v>0</v>
      </c>
      <c r="AS4019">
        <v>0</v>
      </c>
      <c r="AT4019">
        <v>0</v>
      </c>
      <c r="AV4019">
        <v>0</v>
      </c>
      <c r="AW4019">
        <v>0</v>
      </c>
      <c r="AY4019">
        <v>0</v>
      </c>
      <c r="AZ4019">
        <v>0</v>
      </c>
      <c r="BA4019">
        <v>60</v>
      </c>
      <c r="BE4019" t="str">
        <f>T("9791172700263")</f>
        <v>9791172700263</v>
      </c>
      <c r="BF4019" t="str">
        <f>T("k441855")</f>
        <v>k441855</v>
      </c>
      <c r="BG4019" t="str">
        <f>T("판타지 웹소설 &gt; 퓨전 판타지")</f>
        <v>판타지 웹소설 &gt; 퓨전 판타지</v>
      </c>
    </row>
    <row r="4020" spans="1:59">
      <c r="A4020" t="s">
        <v>60</v>
      </c>
      <c r="B4020" s="1">
        <v>46131</v>
      </c>
      <c r="C4020">
        <v>2378069473</v>
      </c>
      <c r="D4020">
        <v>2378071428</v>
      </c>
      <c r="E4020" t="str">
        <f>T("신라의 왕좌는 제 겁니다 179화")</f>
        <v>신라의 왕좌는 제 겁니다 179화</v>
      </c>
      <c r="F4020">
        <v>179</v>
      </c>
      <c r="G4020" t="str">
        <f>T("매운아몬드")</f>
        <v>매운아몬드</v>
      </c>
      <c r="J4020" t="str">
        <f>T("사이렌")</f>
        <v>사이렌</v>
      </c>
      <c r="K4020" t="str">
        <f>T("신라의 왕좌는 제 겁니다")</f>
        <v>신라의 왕좌는 제 겁니다</v>
      </c>
      <c r="L4020">
        <v>100</v>
      </c>
      <c r="M4020">
        <v>100</v>
      </c>
      <c r="N4020">
        <v>1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0</v>
      </c>
      <c r="AE4020">
        <v>0</v>
      </c>
      <c r="AF4020">
        <v>0</v>
      </c>
      <c r="AG4020">
        <v>0</v>
      </c>
      <c r="AH4020">
        <v>0</v>
      </c>
      <c r="AI4020">
        <v>100</v>
      </c>
      <c r="AJ4020">
        <v>1</v>
      </c>
      <c r="AK4020">
        <v>0</v>
      </c>
      <c r="AL4020">
        <v>0</v>
      </c>
      <c r="AM4020">
        <v>100</v>
      </c>
      <c r="AN4020">
        <v>0</v>
      </c>
      <c r="AO4020">
        <v>0</v>
      </c>
      <c r="AP4020">
        <v>0</v>
      </c>
      <c r="AQ4020">
        <v>0</v>
      </c>
      <c r="AS4020">
        <v>0</v>
      </c>
      <c r="AT4020">
        <v>0</v>
      </c>
      <c r="AV4020">
        <v>0</v>
      </c>
      <c r="AW4020">
        <v>0</v>
      </c>
      <c r="AY4020">
        <v>0</v>
      </c>
      <c r="AZ4020">
        <v>0</v>
      </c>
      <c r="BA4020">
        <v>60</v>
      </c>
      <c r="BE4020" t="str">
        <f>T("9791172700263")</f>
        <v>9791172700263</v>
      </c>
      <c r="BF4020" t="str">
        <f>T("k441856")</f>
        <v>k441856</v>
      </c>
      <c r="BG4020" t="str">
        <f>T("판타지 웹소설 &gt; 퓨전 판타지")</f>
        <v>판타지 웹소설 &gt; 퓨전 판타지</v>
      </c>
    </row>
    <row r="4021" spans="1:59">
      <c r="A4021" t="s">
        <v>60</v>
      </c>
      <c r="B4021" s="1">
        <v>46131</v>
      </c>
      <c r="C4021">
        <v>2378069473</v>
      </c>
      <c r="D4021">
        <v>2378071429</v>
      </c>
      <c r="E4021" t="str">
        <f>T("신라의 왕좌는 제 겁니다 180화")</f>
        <v>신라의 왕좌는 제 겁니다 180화</v>
      </c>
      <c r="F4021">
        <v>180</v>
      </c>
      <c r="G4021" t="str">
        <f>T("매운아몬드")</f>
        <v>매운아몬드</v>
      </c>
      <c r="J4021" t="str">
        <f>T("사이렌")</f>
        <v>사이렌</v>
      </c>
      <c r="K4021" t="str">
        <f>T("신라의 왕좌는 제 겁니다")</f>
        <v>신라의 왕좌는 제 겁니다</v>
      </c>
      <c r="L4021">
        <v>100</v>
      </c>
      <c r="M4021">
        <v>100</v>
      </c>
      <c r="N4021">
        <v>1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0</v>
      </c>
      <c r="AE4021">
        <v>0</v>
      </c>
      <c r="AF4021">
        <v>0</v>
      </c>
      <c r="AG4021">
        <v>0</v>
      </c>
      <c r="AH4021">
        <v>0</v>
      </c>
      <c r="AI4021">
        <v>100</v>
      </c>
      <c r="AJ4021">
        <v>1</v>
      </c>
      <c r="AK4021">
        <v>0</v>
      </c>
      <c r="AL4021">
        <v>0</v>
      </c>
      <c r="AM4021">
        <v>100</v>
      </c>
      <c r="AN4021">
        <v>0</v>
      </c>
      <c r="AO4021">
        <v>0</v>
      </c>
      <c r="AP4021">
        <v>0</v>
      </c>
      <c r="AQ4021">
        <v>0</v>
      </c>
      <c r="AS4021">
        <v>0</v>
      </c>
      <c r="AT4021">
        <v>0</v>
      </c>
      <c r="AV4021">
        <v>0</v>
      </c>
      <c r="AW4021">
        <v>0</v>
      </c>
      <c r="AY4021">
        <v>0</v>
      </c>
      <c r="AZ4021">
        <v>0</v>
      </c>
      <c r="BA4021">
        <v>60</v>
      </c>
      <c r="BE4021" t="str">
        <f>T("9791172700263")</f>
        <v>9791172700263</v>
      </c>
      <c r="BF4021" t="str">
        <f>T("k441857")</f>
        <v>k441857</v>
      </c>
      <c r="BG4021" t="str">
        <f>T("판타지 웹소설 &gt; 퓨전 판타지")</f>
        <v>판타지 웹소설 &gt; 퓨전 판타지</v>
      </c>
    </row>
    <row r="4022" spans="1:59">
      <c r="A4022" t="s">
        <v>60</v>
      </c>
      <c r="B4022" s="1">
        <v>46131</v>
      </c>
      <c r="C4022">
        <v>2378069473</v>
      </c>
      <c r="D4022">
        <v>2378071430</v>
      </c>
      <c r="E4022" t="str">
        <f>T("신라의 왕좌는 제 겁니다 181화")</f>
        <v>신라의 왕좌는 제 겁니다 181화</v>
      </c>
      <c r="F4022">
        <v>181</v>
      </c>
      <c r="G4022" t="str">
        <f>T("매운아몬드")</f>
        <v>매운아몬드</v>
      </c>
      <c r="J4022" t="str">
        <f>T("사이렌")</f>
        <v>사이렌</v>
      </c>
      <c r="K4022" t="str">
        <f>T("신라의 왕좌는 제 겁니다")</f>
        <v>신라의 왕좌는 제 겁니다</v>
      </c>
      <c r="L4022">
        <v>100</v>
      </c>
      <c r="M4022">
        <v>100</v>
      </c>
      <c r="N4022">
        <v>1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0</v>
      </c>
      <c r="AE4022">
        <v>0</v>
      </c>
      <c r="AF4022">
        <v>0</v>
      </c>
      <c r="AG4022">
        <v>0</v>
      </c>
      <c r="AH4022">
        <v>0</v>
      </c>
      <c r="AI4022">
        <v>100</v>
      </c>
      <c r="AJ4022">
        <v>1</v>
      </c>
      <c r="AK4022">
        <v>0</v>
      </c>
      <c r="AL4022">
        <v>0</v>
      </c>
      <c r="AM4022">
        <v>100</v>
      </c>
      <c r="AN4022">
        <v>0</v>
      </c>
      <c r="AO4022">
        <v>0</v>
      </c>
      <c r="AP4022">
        <v>0</v>
      </c>
      <c r="AQ4022">
        <v>0</v>
      </c>
      <c r="AS4022">
        <v>0</v>
      </c>
      <c r="AT4022">
        <v>0</v>
      </c>
      <c r="AV4022">
        <v>0</v>
      </c>
      <c r="AW4022">
        <v>0</v>
      </c>
      <c r="AY4022">
        <v>0</v>
      </c>
      <c r="AZ4022">
        <v>0</v>
      </c>
      <c r="BA4022">
        <v>60</v>
      </c>
      <c r="BE4022" t="str">
        <f>T("9791172700263")</f>
        <v>9791172700263</v>
      </c>
      <c r="BF4022" t="str">
        <f>T("k447791")</f>
        <v>k447791</v>
      </c>
      <c r="BG4022" t="str">
        <f>T("판타지 웹소설 &gt; 퓨전 판타지")</f>
        <v>판타지 웹소설 &gt; 퓨전 판타지</v>
      </c>
    </row>
    <row r="4023" spans="1:59">
      <c r="A4023" t="s">
        <v>60</v>
      </c>
      <c r="B4023" s="1">
        <v>46131</v>
      </c>
      <c r="C4023">
        <v>2378069473</v>
      </c>
      <c r="D4023">
        <v>2378071431</v>
      </c>
      <c r="E4023" t="str">
        <f>T("신라의 왕좌는 제 겁니다 182화")</f>
        <v>신라의 왕좌는 제 겁니다 182화</v>
      </c>
      <c r="F4023">
        <v>182</v>
      </c>
      <c r="G4023" t="str">
        <f>T("매운아몬드")</f>
        <v>매운아몬드</v>
      </c>
      <c r="J4023" t="str">
        <f>T("사이렌")</f>
        <v>사이렌</v>
      </c>
      <c r="K4023" t="str">
        <f>T("신라의 왕좌는 제 겁니다")</f>
        <v>신라의 왕좌는 제 겁니다</v>
      </c>
      <c r="L4023">
        <v>100</v>
      </c>
      <c r="M4023">
        <v>100</v>
      </c>
      <c r="N4023">
        <v>1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0</v>
      </c>
      <c r="AE4023">
        <v>0</v>
      </c>
      <c r="AF4023">
        <v>0</v>
      </c>
      <c r="AG4023">
        <v>0</v>
      </c>
      <c r="AH4023">
        <v>0</v>
      </c>
      <c r="AI4023">
        <v>100</v>
      </c>
      <c r="AJ4023">
        <v>1</v>
      </c>
      <c r="AK4023">
        <v>0</v>
      </c>
      <c r="AL4023">
        <v>0</v>
      </c>
      <c r="AM4023">
        <v>100</v>
      </c>
      <c r="AN4023">
        <v>0</v>
      </c>
      <c r="AO4023">
        <v>0</v>
      </c>
      <c r="AP4023">
        <v>0</v>
      </c>
      <c r="AQ4023">
        <v>0</v>
      </c>
      <c r="AS4023">
        <v>0</v>
      </c>
      <c r="AT4023">
        <v>0</v>
      </c>
      <c r="AV4023">
        <v>0</v>
      </c>
      <c r="AW4023">
        <v>0</v>
      </c>
      <c r="AY4023">
        <v>0</v>
      </c>
      <c r="AZ4023">
        <v>0</v>
      </c>
      <c r="BA4023">
        <v>60</v>
      </c>
      <c r="BE4023" t="str">
        <f>T("9791172700263")</f>
        <v>9791172700263</v>
      </c>
      <c r="BF4023" t="str">
        <f>T("k447792")</f>
        <v>k447792</v>
      </c>
      <c r="BG4023" t="str">
        <f>T("판타지 웹소설 &gt; 퓨전 판타지")</f>
        <v>판타지 웹소설 &gt; 퓨전 판타지</v>
      </c>
    </row>
    <row r="4024" spans="1:59">
      <c r="A4024" t="s">
        <v>60</v>
      </c>
      <c r="B4024" s="1">
        <v>46131</v>
      </c>
      <c r="C4024">
        <v>2378069473</v>
      </c>
      <c r="D4024">
        <v>2378071432</v>
      </c>
      <c r="E4024" t="str">
        <f>T("신라의 왕좌는 제 겁니다 183화")</f>
        <v>신라의 왕좌는 제 겁니다 183화</v>
      </c>
      <c r="F4024">
        <v>183</v>
      </c>
      <c r="G4024" t="str">
        <f>T("매운아몬드")</f>
        <v>매운아몬드</v>
      </c>
      <c r="J4024" t="str">
        <f>T("사이렌")</f>
        <v>사이렌</v>
      </c>
      <c r="K4024" t="str">
        <f>T("신라의 왕좌는 제 겁니다")</f>
        <v>신라의 왕좌는 제 겁니다</v>
      </c>
      <c r="L4024">
        <v>100</v>
      </c>
      <c r="M4024">
        <v>100</v>
      </c>
      <c r="N4024">
        <v>1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0</v>
      </c>
      <c r="AE4024">
        <v>0</v>
      </c>
      <c r="AF4024">
        <v>0</v>
      </c>
      <c r="AG4024">
        <v>0</v>
      </c>
      <c r="AH4024">
        <v>0</v>
      </c>
      <c r="AI4024">
        <v>100</v>
      </c>
      <c r="AJ4024">
        <v>1</v>
      </c>
      <c r="AK4024">
        <v>0</v>
      </c>
      <c r="AL4024">
        <v>0</v>
      </c>
      <c r="AM4024">
        <v>100</v>
      </c>
      <c r="AN4024">
        <v>0</v>
      </c>
      <c r="AO4024">
        <v>0</v>
      </c>
      <c r="AP4024">
        <v>0</v>
      </c>
      <c r="AQ4024">
        <v>0</v>
      </c>
      <c r="AS4024">
        <v>0</v>
      </c>
      <c r="AT4024">
        <v>0</v>
      </c>
      <c r="AV4024">
        <v>0</v>
      </c>
      <c r="AW4024">
        <v>0</v>
      </c>
      <c r="AY4024">
        <v>0</v>
      </c>
      <c r="AZ4024">
        <v>0</v>
      </c>
      <c r="BA4024">
        <v>60</v>
      </c>
      <c r="BE4024" t="str">
        <f>T("9791172700263")</f>
        <v>9791172700263</v>
      </c>
      <c r="BF4024" t="str">
        <f>T("k447793")</f>
        <v>k447793</v>
      </c>
      <c r="BG4024" t="str">
        <f>T("판타지 웹소설 &gt; 퓨전 판타지")</f>
        <v>판타지 웹소설 &gt; 퓨전 판타지</v>
      </c>
    </row>
    <row r="4025" spans="1:59">
      <c r="A4025" t="s">
        <v>60</v>
      </c>
      <c r="B4025" s="1">
        <v>46131</v>
      </c>
      <c r="C4025">
        <v>2378069473</v>
      </c>
      <c r="D4025">
        <v>2378071433</v>
      </c>
      <c r="E4025" t="str">
        <f>T("신라의 왕좌는 제 겁니다 184화")</f>
        <v>신라의 왕좌는 제 겁니다 184화</v>
      </c>
      <c r="F4025">
        <v>184</v>
      </c>
      <c r="G4025" t="str">
        <f>T("매운아몬드")</f>
        <v>매운아몬드</v>
      </c>
      <c r="J4025" t="str">
        <f>T("사이렌")</f>
        <v>사이렌</v>
      </c>
      <c r="K4025" t="str">
        <f>T("신라의 왕좌는 제 겁니다")</f>
        <v>신라의 왕좌는 제 겁니다</v>
      </c>
      <c r="L4025">
        <v>100</v>
      </c>
      <c r="M4025">
        <v>100</v>
      </c>
      <c r="N4025">
        <v>1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0</v>
      </c>
      <c r="AE4025">
        <v>0</v>
      </c>
      <c r="AF4025">
        <v>0</v>
      </c>
      <c r="AG4025">
        <v>0</v>
      </c>
      <c r="AH4025">
        <v>0</v>
      </c>
      <c r="AI4025">
        <v>100</v>
      </c>
      <c r="AJ4025">
        <v>1</v>
      </c>
      <c r="AK4025">
        <v>0</v>
      </c>
      <c r="AL4025">
        <v>0</v>
      </c>
      <c r="AM4025">
        <v>100</v>
      </c>
      <c r="AN4025">
        <v>0</v>
      </c>
      <c r="AO4025">
        <v>0</v>
      </c>
      <c r="AP4025">
        <v>0</v>
      </c>
      <c r="AQ4025">
        <v>0</v>
      </c>
      <c r="AS4025">
        <v>0</v>
      </c>
      <c r="AT4025">
        <v>0</v>
      </c>
      <c r="AV4025">
        <v>0</v>
      </c>
      <c r="AW4025">
        <v>0</v>
      </c>
      <c r="AY4025">
        <v>0</v>
      </c>
      <c r="AZ4025">
        <v>0</v>
      </c>
      <c r="BA4025">
        <v>60</v>
      </c>
      <c r="BE4025" t="str">
        <f>T("9791172700263")</f>
        <v>9791172700263</v>
      </c>
      <c r="BF4025" t="str">
        <f>T("k447794")</f>
        <v>k447794</v>
      </c>
      <c r="BG4025" t="str">
        <f>T("판타지 웹소설 &gt; 퓨전 판타지")</f>
        <v>판타지 웹소설 &gt; 퓨전 판타지</v>
      </c>
    </row>
    <row r="4026" spans="1:59">
      <c r="A4026" t="s">
        <v>60</v>
      </c>
      <c r="B4026" s="1">
        <v>46131</v>
      </c>
      <c r="C4026">
        <v>2378069473</v>
      </c>
      <c r="D4026">
        <v>2378071434</v>
      </c>
      <c r="E4026" t="str">
        <f>T("신라의 왕좌는 제 겁니다 185화")</f>
        <v>신라의 왕좌는 제 겁니다 185화</v>
      </c>
      <c r="F4026">
        <v>185</v>
      </c>
      <c r="G4026" t="str">
        <f>T("매운아몬드")</f>
        <v>매운아몬드</v>
      </c>
      <c r="J4026" t="str">
        <f>T("사이렌")</f>
        <v>사이렌</v>
      </c>
      <c r="K4026" t="str">
        <f>T("신라의 왕좌는 제 겁니다")</f>
        <v>신라의 왕좌는 제 겁니다</v>
      </c>
      <c r="L4026">
        <v>100</v>
      </c>
      <c r="M4026">
        <v>100</v>
      </c>
      <c r="N4026">
        <v>1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0</v>
      </c>
      <c r="AE4026">
        <v>0</v>
      </c>
      <c r="AF4026">
        <v>0</v>
      </c>
      <c r="AG4026">
        <v>0</v>
      </c>
      <c r="AH4026">
        <v>0</v>
      </c>
      <c r="AI4026">
        <v>100</v>
      </c>
      <c r="AJ4026">
        <v>1</v>
      </c>
      <c r="AK4026">
        <v>0</v>
      </c>
      <c r="AL4026">
        <v>0</v>
      </c>
      <c r="AM4026">
        <v>100</v>
      </c>
      <c r="AN4026">
        <v>0</v>
      </c>
      <c r="AO4026">
        <v>0</v>
      </c>
      <c r="AP4026">
        <v>0</v>
      </c>
      <c r="AQ4026">
        <v>0</v>
      </c>
      <c r="AS4026">
        <v>0</v>
      </c>
      <c r="AT4026">
        <v>0</v>
      </c>
      <c r="AV4026">
        <v>0</v>
      </c>
      <c r="AW4026">
        <v>0</v>
      </c>
      <c r="AY4026">
        <v>0</v>
      </c>
      <c r="AZ4026">
        <v>0</v>
      </c>
      <c r="BA4026">
        <v>60</v>
      </c>
      <c r="BE4026" t="str">
        <f>T("9791172700263")</f>
        <v>9791172700263</v>
      </c>
      <c r="BF4026" t="str">
        <f>T("k447795")</f>
        <v>k447795</v>
      </c>
      <c r="BG4026" t="str">
        <f>T("판타지 웹소설 &gt; 퓨전 판타지")</f>
        <v>판타지 웹소설 &gt; 퓨전 판타지</v>
      </c>
    </row>
    <row r="4027" spans="1:59">
      <c r="A4027" t="s">
        <v>60</v>
      </c>
      <c r="B4027" s="1">
        <v>46131</v>
      </c>
      <c r="C4027">
        <v>2378069473</v>
      </c>
      <c r="D4027">
        <v>2378072173</v>
      </c>
      <c r="E4027" t="str">
        <f>T("신라의 왕좌는 제 겁니다 186화")</f>
        <v>신라의 왕좌는 제 겁니다 186화</v>
      </c>
      <c r="F4027">
        <v>186</v>
      </c>
      <c r="G4027" t="str">
        <f>T("매운아몬드")</f>
        <v>매운아몬드</v>
      </c>
      <c r="J4027" t="str">
        <f>T("사이렌")</f>
        <v>사이렌</v>
      </c>
      <c r="K4027" t="str">
        <f>T("신라의 왕좌는 제 겁니다")</f>
        <v>신라의 왕좌는 제 겁니다</v>
      </c>
      <c r="L4027">
        <v>100</v>
      </c>
      <c r="M4027">
        <v>100</v>
      </c>
      <c r="N4027">
        <v>1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0</v>
      </c>
      <c r="AE4027">
        <v>0</v>
      </c>
      <c r="AF4027">
        <v>0</v>
      </c>
      <c r="AG4027">
        <v>0</v>
      </c>
      <c r="AH4027">
        <v>0</v>
      </c>
      <c r="AI4027">
        <v>100</v>
      </c>
      <c r="AJ4027">
        <v>1</v>
      </c>
      <c r="AK4027">
        <v>0</v>
      </c>
      <c r="AL4027">
        <v>0</v>
      </c>
      <c r="AM4027">
        <v>100</v>
      </c>
      <c r="AN4027">
        <v>0</v>
      </c>
      <c r="AO4027">
        <v>0</v>
      </c>
      <c r="AP4027">
        <v>0</v>
      </c>
      <c r="AQ4027">
        <v>0</v>
      </c>
      <c r="AS4027">
        <v>0</v>
      </c>
      <c r="AT4027">
        <v>0</v>
      </c>
      <c r="AV4027">
        <v>0</v>
      </c>
      <c r="AW4027">
        <v>0</v>
      </c>
      <c r="AY4027">
        <v>0</v>
      </c>
      <c r="AZ4027">
        <v>0</v>
      </c>
      <c r="BA4027">
        <v>60</v>
      </c>
      <c r="BE4027" t="str">
        <f>T("9791172700263")</f>
        <v>9791172700263</v>
      </c>
      <c r="BF4027" t="str">
        <f>T("k447796")</f>
        <v>k447796</v>
      </c>
      <c r="BG4027" t="str">
        <f>T("판타지 웹소설 &gt; 퓨전 판타지")</f>
        <v>판타지 웹소설 &gt; 퓨전 판타지</v>
      </c>
    </row>
    <row r="4028" spans="1:59">
      <c r="A4028" t="s">
        <v>60</v>
      </c>
      <c r="B4028" s="1">
        <v>46131</v>
      </c>
      <c r="C4028">
        <v>2378069473</v>
      </c>
      <c r="D4028">
        <v>2378072174</v>
      </c>
      <c r="E4028" t="str">
        <f>T("신라의 왕좌는 제 겁니다 187화")</f>
        <v>신라의 왕좌는 제 겁니다 187화</v>
      </c>
      <c r="F4028">
        <v>187</v>
      </c>
      <c r="G4028" t="str">
        <f>T("매운아몬드")</f>
        <v>매운아몬드</v>
      </c>
      <c r="J4028" t="str">
        <f>T("사이렌")</f>
        <v>사이렌</v>
      </c>
      <c r="K4028" t="str">
        <f>T("신라의 왕좌는 제 겁니다")</f>
        <v>신라의 왕좌는 제 겁니다</v>
      </c>
      <c r="L4028">
        <v>100</v>
      </c>
      <c r="M4028">
        <v>100</v>
      </c>
      <c r="N4028">
        <v>1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0</v>
      </c>
      <c r="AE4028">
        <v>0</v>
      </c>
      <c r="AF4028">
        <v>0</v>
      </c>
      <c r="AG4028">
        <v>0</v>
      </c>
      <c r="AH4028">
        <v>0</v>
      </c>
      <c r="AI4028">
        <v>100</v>
      </c>
      <c r="AJ4028">
        <v>1</v>
      </c>
      <c r="AK4028">
        <v>0</v>
      </c>
      <c r="AL4028">
        <v>0</v>
      </c>
      <c r="AM4028">
        <v>100</v>
      </c>
      <c r="AN4028">
        <v>0</v>
      </c>
      <c r="AO4028">
        <v>0</v>
      </c>
      <c r="AP4028">
        <v>0</v>
      </c>
      <c r="AQ4028">
        <v>0</v>
      </c>
      <c r="AS4028">
        <v>0</v>
      </c>
      <c r="AT4028">
        <v>0</v>
      </c>
      <c r="AV4028">
        <v>0</v>
      </c>
      <c r="AW4028">
        <v>0</v>
      </c>
      <c r="AY4028">
        <v>0</v>
      </c>
      <c r="AZ4028">
        <v>0</v>
      </c>
      <c r="BA4028">
        <v>60</v>
      </c>
      <c r="BE4028" t="str">
        <f>T("9791172700263")</f>
        <v>9791172700263</v>
      </c>
      <c r="BF4028" t="str">
        <f>T("k447797")</f>
        <v>k447797</v>
      </c>
      <c r="BG4028" t="str">
        <f>T("판타지 웹소설 &gt; 퓨전 판타지")</f>
        <v>판타지 웹소설 &gt; 퓨전 판타지</v>
      </c>
    </row>
    <row r="4029" spans="1:59">
      <c r="A4029" t="s">
        <v>60</v>
      </c>
      <c r="B4029" s="1">
        <v>46131</v>
      </c>
      <c r="C4029">
        <v>2378069473</v>
      </c>
      <c r="D4029">
        <v>2378072175</v>
      </c>
      <c r="E4029" t="str">
        <f>T("신라의 왕좌는 제 겁니다 188화")</f>
        <v>신라의 왕좌는 제 겁니다 188화</v>
      </c>
      <c r="F4029">
        <v>188</v>
      </c>
      <c r="G4029" t="str">
        <f>T("매운아몬드")</f>
        <v>매운아몬드</v>
      </c>
      <c r="J4029" t="str">
        <f>T("사이렌")</f>
        <v>사이렌</v>
      </c>
      <c r="K4029" t="str">
        <f>T("신라의 왕좌는 제 겁니다")</f>
        <v>신라의 왕좌는 제 겁니다</v>
      </c>
      <c r="L4029">
        <v>100</v>
      </c>
      <c r="M4029">
        <v>100</v>
      </c>
      <c r="N4029">
        <v>1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0</v>
      </c>
      <c r="AE4029">
        <v>0</v>
      </c>
      <c r="AF4029">
        <v>0</v>
      </c>
      <c r="AG4029">
        <v>0</v>
      </c>
      <c r="AH4029">
        <v>0</v>
      </c>
      <c r="AI4029">
        <v>100</v>
      </c>
      <c r="AJ4029">
        <v>1</v>
      </c>
      <c r="AK4029">
        <v>0</v>
      </c>
      <c r="AL4029">
        <v>0</v>
      </c>
      <c r="AM4029">
        <v>100</v>
      </c>
      <c r="AN4029">
        <v>0</v>
      </c>
      <c r="AO4029">
        <v>0</v>
      </c>
      <c r="AP4029">
        <v>0</v>
      </c>
      <c r="AQ4029">
        <v>0</v>
      </c>
      <c r="AS4029">
        <v>0</v>
      </c>
      <c r="AT4029">
        <v>0</v>
      </c>
      <c r="AV4029">
        <v>0</v>
      </c>
      <c r="AW4029">
        <v>0</v>
      </c>
      <c r="AY4029">
        <v>0</v>
      </c>
      <c r="AZ4029">
        <v>0</v>
      </c>
      <c r="BA4029">
        <v>60</v>
      </c>
      <c r="BE4029" t="str">
        <f>T("9791172700263")</f>
        <v>9791172700263</v>
      </c>
      <c r="BF4029" t="str">
        <f>T("k447798")</f>
        <v>k447798</v>
      </c>
      <c r="BG4029" t="str">
        <f>T("판타지 웹소설 &gt; 퓨전 판타지")</f>
        <v>판타지 웹소설 &gt; 퓨전 판타지</v>
      </c>
    </row>
    <row r="4030" spans="1:59">
      <c r="A4030" t="s">
        <v>60</v>
      </c>
      <c r="B4030" s="1">
        <v>46131</v>
      </c>
      <c r="C4030">
        <v>2378069473</v>
      </c>
      <c r="D4030">
        <v>2378072176</v>
      </c>
      <c r="E4030" t="str">
        <f>T("신라의 왕좌는 제 겁니다 189화")</f>
        <v>신라의 왕좌는 제 겁니다 189화</v>
      </c>
      <c r="F4030">
        <v>189</v>
      </c>
      <c r="G4030" t="str">
        <f>T("매운아몬드")</f>
        <v>매운아몬드</v>
      </c>
      <c r="J4030" t="str">
        <f>T("사이렌")</f>
        <v>사이렌</v>
      </c>
      <c r="K4030" t="str">
        <f>T("신라의 왕좌는 제 겁니다")</f>
        <v>신라의 왕좌는 제 겁니다</v>
      </c>
      <c r="L4030">
        <v>100</v>
      </c>
      <c r="M4030">
        <v>100</v>
      </c>
      <c r="N4030">
        <v>1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0</v>
      </c>
      <c r="AE4030">
        <v>0</v>
      </c>
      <c r="AF4030">
        <v>0</v>
      </c>
      <c r="AG4030">
        <v>0</v>
      </c>
      <c r="AH4030">
        <v>0</v>
      </c>
      <c r="AI4030">
        <v>100</v>
      </c>
      <c r="AJ4030">
        <v>1</v>
      </c>
      <c r="AK4030">
        <v>0</v>
      </c>
      <c r="AL4030">
        <v>0</v>
      </c>
      <c r="AM4030">
        <v>100</v>
      </c>
      <c r="AN4030">
        <v>0</v>
      </c>
      <c r="AO4030">
        <v>0</v>
      </c>
      <c r="AP4030">
        <v>0</v>
      </c>
      <c r="AQ4030">
        <v>0</v>
      </c>
      <c r="AS4030">
        <v>0</v>
      </c>
      <c r="AT4030">
        <v>0</v>
      </c>
      <c r="AV4030">
        <v>0</v>
      </c>
      <c r="AW4030">
        <v>0</v>
      </c>
      <c r="AY4030">
        <v>0</v>
      </c>
      <c r="AZ4030">
        <v>0</v>
      </c>
      <c r="BA4030">
        <v>60</v>
      </c>
      <c r="BE4030" t="str">
        <f>T("9791172700263")</f>
        <v>9791172700263</v>
      </c>
      <c r="BF4030" t="str">
        <f>T("k447799")</f>
        <v>k447799</v>
      </c>
      <c r="BG4030" t="str">
        <f>T("판타지 웹소설 &gt; 퓨전 판타지")</f>
        <v>판타지 웹소설 &gt; 퓨전 판타지</v>
      </c>
    </row>
    <row r="4031" spans="1:59">
      <c r="A4031" t="s">
        <v>60</v>
      </c>
      <c r="B4031" s="1">
        <v>46131</v>
      </c>
      <c r="C4031">
        <v>2378069473</v>
      </c>
      <c r="D4031">
        <v>2378072177</v>
      </c>
      <c r="E4031" t="str">
        <f>T("신라의 왕좌는 제 겁니다 190화")</f>
        <v>신라의 왕좌는 제 겁니다 190화</v>
      </c>
      <c r="F4031">
        <v>190</v>
      </c>
      <c r="G4031" t="str">
        <f>T("매운아몬드")</f>
        <v>매운아몬드</v>
      </c>
      <c r="J4031" t="str">
        <f>T("사이렌")</f>
        <v>사이렌</v>
      </c>
      <c r="K4031" t="str">
        <f>T("신라의 왕좌는 제 겁니다")</f>
        <v>신라의 왕좌는 제 겁니다</v>
      </c>
      <c r="L4031">
        <v>100</v>
      </c>
      <c r="M4031">
        <v>100</v>
      </c>
      <c r="N4031">
        <v>1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0</v>
      </c>
      <c r="AE4031">
        <v>0</v>
      </c>
      <c r="AF4031">
        <v>0</v>
      </c>
      <c r="AG4031">
        <v>0</v>
      </c>
      <c r="AH4031">
        <v>0</v>
      </c>
      <c r="AI4031">
        <v>100</v>
      </c>
      <c r="AJ4031">
        <v>1</v>
      </c>
      <c r="AK4031">
        <v>0</v>
      </c>
      <c r="AL4031">
        <v>0</v>
      </c>
      <c r="AM4031">
        <v>100</v>
      </c>
      <c r="AN4031">
        <v>0</v>
      </c>
      <c r="AO4031">
        <v>0</v>
      </c>
      <c r="AP4031">
        <v>0</v>
      </c>
      <c r="AQ4031">
        <v>0</v>
      </c>
      <c r="AS4031">
        <v>0</v>
      </c>
      <c r="AT4031">
        <v>0</v>
      </c>
      <c r="AV4031">
        <v>0</v>
      </c>
      <c r="AW4031">
        <v>0</v>
      </c>
      <c r="AY4031">
        <v>0</v>
      </c>
      <c r="AZ4031">
        <v>0</v>
      </c>
      <c r="BA4031">
        <v>60</v>
      </c>
      <c r="BE4031" t="str">
        <f>T("9791172700263")</f>
        <v>9791172700263</v>
      </c>
      <c r="BF4031" t="str">
        <f>T("k447800")</f>
        <v>k447800</v>
      </c>
      <c r="BG4031" t="str">
        <f>T("판타지 웹소설 &gt; 퓨전 판타지")</f>
        <v>판타지 웹소설 &gt; 퓨전 판타지</v>
      </c>
    </row>
    <row r="4032" spans="1:59">
      <c r="A4032" t="s">
        <v>60</v>
      </c>
      <c r="B4032" s="1">
        <v>46131</v>
      </c>
      <c r="C4032">
        <v>2378069473</v>
      </c>
      <c r="D4032">
        <v>2378072178</v>
      </c>
      <c r="E4032" t="str">
        <f>T("신라의 왕좌는 제 겁니다 191화")</f>
        <v>신라의 왕좌는 제 겁니다 191화</v>
      </c>
      <c r="F4032">
        <v>191</v>
      </c>
      <c r="G4032" t="str">
        <f>T("매운아몬드")</f>
        <v>매운아몬드</v>
      </c>
      <c r="J4032" t="str">
        <f>T("사이렌")</f>
        <v>사이렌</v>
      </c>
      <c r="K4032" t="str">
        <f>T("신라의 왕좌는 제 겁니다")</f>
        <v>신라의 왕좌는 제 겁니다</v>
      </c>
      <c r="L4032">
        <v>100</v>
      </c>
      <c r="M4032">
        <v>100</v>
      </c>
      <c r="N4032">
        <v>1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0</v>
      </c>
      <c r="AE4032">
        <v>0</v>
      </c>
      <c r="AF4032">
        <v>0</v>
      </c>
      <c r="AG4032">
        <v>0</v>
      </c>
      <c r="AH4032">
        <v>0</v>
      </c>
      <c r="AI4032">
        <v>100</v>
      </c>
      <c r="AJ4032">
        <v>1</v>
      </c>
      <c r="AK4032">
        <v>0</v>
      </c>
      <c r="AL4032">
        <v>0</v>
      </c>
      <c r="AM4032">
        <v>100</v>
      </c>
      <c r="AN4032">
        <v>0</v>
      </c>
      <c r="AO4032">
        <v>0</v>
      </c>
      <c r="AP4032">
        <v>0</v>
      </c>
      <c r="AQ4032">
        <v>0</v>
      </c>
      <c r="AS4032">
        <v>0</v>
      </c>
      <c r="AT4032">
        <v>0</v>
      </c>
      <c r="AV4032">
        <v>0</v>
      </c>
      <c r="AW4032">
        <v>0</v>
      </c>
      <c r="AY4032">
        <v>0</v>
      </c>
      <c r="AZ4032">
        <v>0</v>
      </c>
      <c r="BA4032">
        <v>60</v>
      </c>
      <c r="BE4032" t="str">
        <f>T("9791172700263")</f>
        <v>9791172700263</v>
      </c>
      <c r="BF4032" t="str">
        <f>T("k448223")</f>
        <v>k448223</v>
      </c>
      <c r="BG4032" t="str">
        <f>T("판타지 웹소설 &gt; 퓨전 판타지")</f>
        <v>판타지 웹소설 &gt; 퓨전 판타지</v>
      </c>
    </row>
    <row r="4033" spans="1:59">
      <c r="A4033" t="s">
        <v>60</v>
      </c>
      <c r="B4033" s="1">
        <v>46131</v>
      </c>
      <c r="C4033">
        <v>2378069473</v>
      </c>
      <c r="D4033">
        <v>2378072179</v>
      </c>
      <c r="E4033" t="str">
        <f>T("신라의 왕좌는 제 겁니다 192화")</f>
        <v>신라의 왕좌는 제 겁니다 192화</v>
      </c>
      <c r="F4033">
        <v>192</v>
      </c>
      <c r="G4033" t="str">
        <f>T("매운아몬드")</f>
        <v>매운아몬드</v>
      </c>
      <c r="J4033" t="str">
        <f>T("사이렌")</f>
        <v>사이렌</v>
      </c>
      <c r="K4033" t="str">
        <f>T("신라의 왕좌는 제 겁니다")</f>
        <v>신라의 왕좌는 제 겁니다</v>
      </c>
      <c r="L4033">
        <v>100</v>
      </c>
      <c r="M4033">
        <v>100</v>
      </c>
      <c r="N4033">
        <v>1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0</v>
      </c>
      <c r="AE4033">
        <v>0</v>
      </c>
      <c r="AF4033">
        <v>0</v>
      </c>
      <c r="AG4033">
        <v>0</v>
      </c>
      <c r="AH4033">
        <v>0</v>
      </c>
      <c r="AI4033">
        <v>100</v>
      </c>
      <c r="AJ4033">
        <v>1</v>
      </c>
      <c r="AK4033">
        <v>0</v>
      </c>
      <c r="AL4033">
        <v>0</v>
      </c>
      <c r="AM4033">
        <v>100</v>
      </c>
      <c r="AN4033">
        <v>0</v>
      </c>
      <c r="AO4033">
        <v>0</v>
      </c>
      <c r="AP4033">
        <v>0</v>
      </c>
      <c r="AQ4033">
        <v>0</v>
      </c>
      <c r="AS4033">
        <v>0</v>
      </c>
      <c r="AT4033">
        <v>0</v>
      </c>
      <c r="AV4033">
        <v>0</v>
      </c>
      <c r="AW4033">
        <v>0</v>
      </c>
      <c r="AY4033">
        <v>0</v>
      </c>
      <c r="AZ4033">
        <v>0</v>
      </c>
      <c r="BA4033">
        <v>60</v>
      </c>
      <c r="BE4033" t="str">
        <f>T("9791172700263")</f>
        <v>9791172700263</v>
      </c>
      <c r="BF4033" t="str">
        <f>T("k448224")</f>
        <v>k448224</v>
      </c>
      <c r="BG4033" t="str">
        <f>T("판타지 웹소설 &gt; 퓨전 판타지")</f>
        <v>판타지 웹소설 &gt; 퓨전 판타지</v>
      </c>
    </row>
    <row r="4034" spans="1:59">
      <c r="A4034" t="s">
        <v>60</v>
      </c>
      <c r="B4034" s="1">
        <v>46131</v>
      </c>
      <c r="C4034">
        <v>2378069473</v>
      </c>
      <c r="D4034">
        <v>2378072180</v>
      </c>
      <c r="E4034" t="str">
        <f>T("신라의 왕좌는 제 겁니다 193화")</f>
        <v>신라의 왕좌는 제 겁니다 193화</v>
      </c>
      <c r="F4034">
        <v>193</v>
      </c>
      <c r="G4034" t="str">
        <f>T("매운아몬드")</f>
        <v>매운아몬드</v>
      </c>
      <c r="J4034" t="str">
        <f>T("사이렌")</f>
        <v>사이렌</v>
      </c>
      <c r="K4034" t="str">
        <f>T("신라의 왕좌는 제 겁니다")</f>
        <v>신라의 왕좌는 제 겁니다</v>
      </c>
      <c r="L4034">
        <v>100</v>
      </c>
      <c r="M4034">
        <v>100</v>
      </c>
      <c r="N4034">
        <v>1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0</v>
      </c>
      <c r="AE4034">
        <v>0</v>
      </c>
      <c r="AF4034">
        <v>0</v>
      </c>
      <c r="AG4034">
        <v>0</v>
      </c>
      <c r="AH4034">
        <v>0</v>
      </c>
      <c r="AI4034">
        <v>100</v>
      </c>
      <c r="AJ4034">
        <v>1</v>
      </c>
      <c r="AK4034">
        <v>0</v>
      </c>
      <c r="AL4034">
        <v>0</v>
      </c>
      <c r="AM4034">
        <v>100</v>
      </c>
      <c r="AN4034">
        <v>0</v>
      </c>
      <c r="AO4034">
        <v>0</v>
      </c>
      <c r="AP4034">
        <v>0</v>
      </c>
      <c r="AQ4034">
        <v>0</v>
      </c>
      <c r="AS4034">
        <v>0</v>
      </c>
      <c r="AT4034">
        <v>0</v>
      </c>
      <c r="AV4034">
        <v>0</v>
      </c>
      <c r="AW4034">
        <v>0</v>
      </c>
      <c r="AY4034">
        <v>0</v>
      </c>
      <c r="AZ4034">
        <v>0</v>
      </c>
      <c r="BA4034">
        <v>60</v>
      </c>
      <c r="BE4034" t="str">
        <f>T("9791172700263")</f>
        <v>9791172700263</v>
      </c>
      <c r="BF4034" t="str">
        <f>T("k448225")</f>
        <v>k448225</v>
      </c>
      <c r="BG4034" t="str">
        <f>T("판타지 웹소설 &gt; 퓨전 판타지")</f>
        <v>판타지 웹소설 &gt; 퓨전 판타지</v>
      </c>
    </row>
    <row r="4035" spans="1:59">
      <c r="A4035" t="s">
        <v>60</v>
      </c>
      <c r="B4035" s="1">
        <v>46131</v>
      </c>
      <c r="C4035">
        <v>2378069473</v>
      </c>
      <c r="D4035">
        <v>2378072181</v>
      </c>
      <c r="E4035" t="str">
        <f>T("신라의 왕좌는 제 겁니다 194화")</f>
        <v>신라의 왕좌는 제 겁니다 194화</v>
      </c>
      <c r="F4035">
        <v>194</v>
      </c>
      <c r="G4035" t="str">
        <f>T("매운아몬드")</f>
        <v>매운아몬드</v>
      </c>
      <c r="J4035" t="str">
        <f>T("사이렌")</f>
        <v>사이렌</v>
      </c>
      <c r="K4035" t="str">
        <f>T("신라의 왕좌는 제 겁니다")</f>
        <v>신라의 왕좌는 제 겁니다</v>
      </c>
      <c r="L4035">
        <v>100</v>
      </c>
      <c r="M4035">
        <v>100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0</v>
      </c>
      <c r="AE4035">
        <v>0</v>
      </c>
      <c r="AF4035">
        <v>0</v>
      </c>
      <c r="AG4035">
        <v>0</v>
      </c>
      <c r="AH4035">
        <v>0</v>
      </c>
      <c r="AI4035">
        <v>100</v>
      </c>
      <c r="AJ4035">
        <v>1</v>
      </c>
      <c r="AK4035">
        <v>0</v>
      </c>
      <c r="AL4035">
        <v>0</v>
      </c>
      <c r="AM4035">
        <v>100</v>
      </c>
      <c r="AN4035">
        <v>0</v>
      </c>
      <c r="AO4035">
        <v>0</v>
      </c>
      <c r="AP4035">
        <v>0</v>
      </c>
      <c r="AQ4035">
        <v>0</v>
      </c>
      <c r="AS4035">
        <v>0</v>
      </c>
      <c r="AT4035">
        <v>0</v>
      </c>
      <c r="AV4035">
        <v>0</v>
      </c>
      <c r="AW4035">
        <v>0</v>
      </c>
      <c r="AY4035">
        <v>0</v>
      </c>
      <c r="AZ4035">
        <v>0</v>
      </c>
      <c r="BA4035">
        <v>60</v>
      </c>
      <c r="BE4035" t="str">
        <f>T("9791172700263")</f>
        <v>9791172700263</v>
      </c>
      <c r="BF4035" t="str">
        <f>T("k448226")</f>
        <v>k448226</v>
      </c>
      <c r="BG4035" t="str">
        <f>T("판타지 웹소설 &gt; 퓨전 판타지")</f>
        <v>판타지 웹소설 &gt; 퓨전 판타지</v>
      </c>
    </row>
    <row r="4036" spans="1:59">
      <c r="A4036" t="s">
        <v>60</v>
      </c>
      <c r="B4036" s="1">
        <v>46131</v>
      </c>
      <c r="C4036">
        <v>2378069473</v>
      </c>
      <c r="D4036">
        <v>2378072182</v>
      </c>
      <c r="E4036" t="str">
        <f>T("신라의 왕좌는 제 겁니다 195화")</f>
        <v>신라의 왕좌는 제 겁니다 195화</v>
      </c>
      <c r="F4036">
        <v>195</v>
      </c>
      <c r="G4036" t="str">
        <f>T("매운아몬드")</f>
        <v>매운아몬드</v>
      </c>
      <c r="J4036" t="str">
        <f>T("사이렌")</f>
        <v>사이렌</v>
      </c>
      <c r="K4036" t="str">
        <f>T("신라의 왕좌는 제 겁니다")</f>
        <v>신라의 왕좌는 제 겁니다</v>
      </c>
      <c r="L4036">
        <v>100</v>
      </c>
      <c r="M4036">
        <v>100</v>
      </c>
      <c r="N4036">
        <v>1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0</v>
      </c>
      <c r="AE4036">
        <v>0</v>
      </c>
      <c r="AF4036">
        <v>0</v>
      </c>
      <c r="AG4036">
        <v>0</v>
      </c>
      <c r="AH4036">
        <v>0</v>
      </c>
      <c r="AI4036">
        <v>100</v>
      </c>
      <c r="AJ4036">
        <v>1</v>
      </c>
      <c r="AK4036">
        <v>0</v>
      </c>
      <c r="AL4036">
        <v>0</v>
      </c>
      <c r="AM4036">
        <v>100</v>
      </c>
      <c r="AN4036">
        <v>0</v>
      </c>
      <c r="AO4036">
        <v>0</v>
      </c>
      <c r="AP4036">
        <v>0</v>
      </c>
      <c r="AQ4036">
        <v>0</v>
      </c>
      <c r="AS4036">
        <v>0</v>
      </c>
      <c r="AT4036">
        <v>0</v>
      </c>
      <c r="AV4036">
        <v>0</v>
      </c>
      <c r="AW4036">
        <v>0</v>
      </c>
      <c r="AY4036">
        <v>0</v>
      </c>
      <c r="AZ4036">
        <v>0</v>
      </c>
      <c r="BA4036">
        <v>60</v>
      </c>
      <c r="BE4036" t="str">
        <f>T("9791172700263")</f>
        <v>9791172700263</v>
      </c>
      <c r="BF4036" t="str">
        <f>T("k448227")</f>
        <v>k448227</v>
      </c>
      <c r="BG4036" t="str">
        <f>T("판타지 웹소설 &gt; 퓨전 판타지")</f>
        <v>판타지 웹소설 &gt; 퓨전 판타지</v>
      </c>
    </row>
    <row r="4037" spans="1:59">
      <c r="A4037" t="s">
        <v>60</v>
      </c>
      <c r="B4037" s="1">
        <v>46131</v>
      </c>
      <c r="C4037">
        <v>2378069473</v>
      </c>
      <c r="D4037">
        <v>2378072216</v>
      </c>
      <c r="E4037" t="str">
        <f>T("신라의 왕좌는 제 겁니다 196화")</f>
        <v>신라의 왕좌는 제 겁니다 196화</v>
      </c>
      <c r="F4037">
        <v>196</v>
      </c>
      <c r="G4037" t="str">
        <f>T("매운아몬드")</f>
        <v>매운아몬드</v>
      </c>
      <c r="J4037" t="str">
        <f>T("사이렌")</f>
        <v>사이렌</v>
      </c>
      <c r="K4037" t="str">
        <f>T("신라의 왕좌는 제 겁니다")</f>
        <v>신라의 왕좌는 제 겁니다</v>
      </c>
      <c r="L4037">
        <v>100</v>
      </c>
      <c r="M4037">
        <v>100</v>
      </c>
      <c r="N4037">
        <v>1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0</v>
      </c>
      <c r="AE4037">
        <v>0</v>
      </c>
      <c r="AF4037">
        <v>0</v>
      </c>
      <c r="AG4037">
        <v>0</v>
      </c>
      <c r="AH4037">
        <v>0</v>
      </c>
      <c r="AI4037">
        <v>100</v>
      </c>
      <c r="AJ4037">
        <v>1</v>
      </c>
      <c r="AK4037">
        <v>0</v>
      </c>
      <c r="AL4037">
        <v>0</v>
      </c>
      <c r="AM4037">
        <v>100</v>
      </c>
      <c r="AN4037">
        <v>0</v>
      </c>
      <c r="AO4037">
        <v>0</v>
      </c>
      <c r="AP4037">
        <v>0</v>
      </c>
      <c r="AQ4037">
        <v>0</v>
      </c>
      <c r="AS4037">
        <v>0</v>
      </c>
      <c r="AT4037">
        <v>0</v>
      </c>
      <c r="AV4037">
        <v>0</v>
      </c>
      <c r="AW4037">
        <v>0</v>
      </c>
      <c r="AY4037">
        <v>0</v>
      </c>
      <c r="AZ4037">
        <v>0</v>
      </c>
      <c r="BA4037">
        <v>60</v>
      </c>
      <c r="BE4037" t="str">
        <f>T("9791172700263")</f>
        <v>9791172700263</v>
      </c>
      <c r="BF4037" t="str">
        <f>T("k448228")</f>
        <v>k448228</v>
      </c>
      <c r="BG4037" t="str">
        <f>T("판타지 웹소설 &gt; 퓨전 판타지")</f>
        <v>판타지 웹소설 &gt; 퓨전 판타지</v>
      </c>
    </row>
    <row r="4038" spans="1:59">
      <c r="A4038" t="s">
        <v>60</v>
      </c>
      <c r="B4038" s="1">
        <v>46131</v>
      </c>
      <c r="C4038">
        <v>2378069473</v>
      </c>
      <c r="D4038">
        <v>2378072217</v>
      </c>
      <c r="E4038" t="str">
        <f>T("신라의 왕좌는 제 겁니다 197화")</f>
        <v>신라의 왕좌는 제 겁니다 197화</v>
      </c>
      <c r="F4038">
        <v>197</v>
      </c>
      <c r="G4038" t="str">
        <f>T("매운아몬드")</f>
        <v>매운아몬드</v>
      </c>
      <c r="J4038" t="str">
        <f>T("사이렌")</f>
        <v>사이렌</v>
      </c>
      <c r="K4038" t="str">
        <f>T("신라의 왕좌는 제 겁니다")</f>
        <v>신라의 왕좌는 제 겁니다</v>
      </c>
      <c r="L4038">
        <v>100</v>
      </c>
      <c r="M4038">
        <v>100</v>
      </c>
      <c r="N4038">
        <v>1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0</v>
      </c>
      <c r="AE4038">
        <v>0</v>
      </c>
      <c r="AF4038">
        <v>0</v>
      </c>
      <c r="AG4038">
        <v>0</v>
      </c>
      <c r="AH4038">
        <v>0</v>
      </c>
      <c r="AI4038">
        <v>100</v>
      </c>
      <c r="AJ4038">
        <v>1</v>
      </c>
      <c r="AK4038">
        <v>0</v>
      </c>
      <c r="AL4038">
        <v>0</v>
      </c>
      <c r="AM4038">
        <v>100</v>
      </c>
      <c r="AN4038">
        <v>0</v>
      </c>
      <c r="AO4038">
        <v>0</v>
      </c>
      <c r="AP4038">
        <v>0</v>
      </c>
      <c r="AQ4038">
        <v>0</v>
      </c>
      <c r="AS4038">
        <v>0</v>
      </c>
      <c r="AT4038">
        <v>0</v>
      </c>
      <c r="AV4038">
        <v>0</v>
      </c>
      <c r="AW4038">
        <v>0</v>
      </c>
      <c r="AY4038">
        <v>0</v>
      </c>
      <c r="AZ4038">
        <v>0</v>
      </c>
      <c r="BA4038">
        <v>60</v>
      </c>
      <c r="BE4038" t="str">
        <f>T("9791172700263")</f>
        <v>9791172700263</v>
      </c>
      <c r="BF4038" t="str">
        <f>T("k448229")</f>
        <v>k448229</v>
      </c>
      <c r="BG4038" t="str">
        <f>T("판타지 웹소설 &gt; 퓨전 판타지")</f>
        <v>판타지 웹소설 &gt; 퓨전 판타지</v>
      </c>
    </row>
    <row r="4039" spans="1:59">
      <c r="A4039" t="s">
        <v>60</v>
      </c>
      <c r="B4039" s="1">
        <v>46131</v>
      </c>
      <c r="C4039">
        <v>2378069473</v>
      </c>
      <c r="D4039">
        <v>2378072218</v>
      </c>
      <c r="E4039" t="str">
        <f>T("신라의 왕좌는 제 겁니다 198화")</f>
        <v>신라의 왕좌는 제 겁니다 198화</v>
      </c>
      <c r="F4039">
        <v>198</v>
      </c>
      <c r="G4039" t="str">
        <f>T("매운아몬드")</f>
        <v>매운아몬드</v>
      </c>
      <c r="J4039" t="str">
        <f>T("사이렌")</f>
        <v>사이렌</v>
      </c>
      <c r="K4039" t="str">
        <f>T("신라의 왕좌는 제 겁니다")</f>
        <v>신라의 왕좌는 제 겁니다</v>
      </c>
      <c r="L4039">
        <v>100</v>
      </c>
      <c r="M4039">
        <v>100</v>
      </c>
      <c r="N4039">
        <v>1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0</v>
      </c>
      <c r="AE4039">
        <v>0</v>
      </c>
      <c r="AF4039">
        <v>0</v>
      </c>
      <c r="AG4039">
        <v>0</v>
      </c>
      <c r="AH4039">
        <v>0</v>
      </c>
      <c r="AI4039">
        <v>100</v>
      </c>
      <c r="AJ4039">
        <v>1</v>
      </c>
      <c r="AK4039">
        <v>0</v>
      </c>
      <c r="AL4039">
        <v>0</v>
      </c>
      <c r="AM4039">
        <v>100</v>
      </c>
      <c r="AN4039">
        <v>0</v>
      </c>
      <c r="AO4039">
        <v>0</v>
      </c>
      <c r="AP4039">
        <v>0</v>
      </c>
      <c r="AQ4039">
        <v>0</v>
      </c>
      <c r="AS4039">
        <v>0</v>
      </c>
      <c r="AT4039">
        <v>0</v>
      </c>
      <c r="AV4039">
        <v>0</v>
      </c>
      <c r="AW4039">
        <v>0</v>
      </c>
      <c r="AY4039">
        <v>0</v>
      </c>
      <c r="AZ4039">
        <v>0</v>
      </c>
      <c r="BA4039">
        <v>60</v>
      </c>
      <c r="BE4039" t="str">
        <f>T("9791172700263")</f>
        <v>9791172700263</v>
      </c>
      <c r="BF4039" t="str">
        <f>T("k448230")</f>
        <v>k448230</v>
      </c>
      <c r="BG4039" t="str">
        <f>T("판타지 웹소설 &gt; 퓨전 판타지")</f>
        <v>판타지 웹소설 &gt; 퓨전 판타지</v>
      </c>
    </row>
    <row r="4040" spans="1:59">
      <c r="A4040" t="s">
        <v>60</v>
      </c>
      <c r="B4040" s="1">
        <v>46131</v>
      </c>
      <c r="C4040">
        <v>2378069473</v>
      </c>
      <c r="D4040">
        <v>2378072219</v>
      </c>
      <c r="E4040" t="str">
        <f>T("신라의 왕좌는 제 겁니다 199화")</f>
        <v>신라의 왕좌는 제 겁니다 199화</v>
      </c>
      <c r="F4040">
        <v>199</v>
      </c>
      <c r="G4040" t="str">
        <f>T("매운아몬드")</f>
        <v>매운아몬드</v>
      </c>
      <c r="J4040" t="str">
        <f>T("사이렌")</f>
        <v>사이렌</v>
      </c>
      <c r="K4040" t="str">
        <f>T("신라의 왕좌는 제 겁니다")</f>
        <v>신라의 왕좌는 제 겁니다</v>
      </c>
      <c r="L4040">
        <v>100</v>
      </c>
      <c r="M4040">
        <v>100</v>
      </c>
      <c r="N4040">
        <v>1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0</v>
      </c>
      <c r="AE4040">
        <v>0</v>
      </c>
      <c r="AF4040">
        <v>0</v>
      </c>
      <c r="AG4040">
        <v>0</v>
      </c>
      <c r="AH4040">
        <v>0</v>
      </c>
      <c r="AI4040">
        <v>100</v>
      </c>
      <c r="AJ4040">
        <v>1</v>
      </c>
      <c r="AK4040">
        <v>0</v>
      </c>
      <c r="AL4040">
        <v>0</v>
      </c>
      <c r="AM4040">
        <v>100</v>
      </c>
      <c r="AN4040">
        <v>0</v>
      </c>
      <c r="AO4040">
        <v>0</v>
      </c>
      <c r="AP4040">
        <v>0</v>
      </c>
      <c r="AQ4040">
        <v>0</v>
      </c>
      <c r="AS4040">
        <v>0</v>
      </c>
      <c r="AT4040">
        <v>0</v>
      </c>
      <c r="AV4040">
        <v>0</v>
      </c>
      <c r="AW4040">
        <v>0</v>
      </c>
      <c r="AY4040">
        <v>0</v>
      </c>
      <c r="AZ4040">
        <v>0</v>
      </c>
      <c r="BA4040">
        <v>60</v>
      </c>
      <c r="BE4040" t="str">
        <f>T("9791172700263")</f>
        <v>9791172700263</v>
      </c>
      <c r="BF4040" t="str">
        <f>T("k448231")</f>
        <v>k448231</v>
      </c>
      <c r="BG4040" t="str">
        <f>T("판타지 웹소설 &gt; 퓨전 판타지")</f>
        <v>판타지 웹소설 &gt; 퓨전 판타지</v>
      </c>
    </row>
    <row r="4041" spans="1:59">
      <c r="A4041" t="s">
        <v>60</v>
      </c>
      <c r="B4041" s="1">
        <v>46131</v>
      </c>
      <c r="C4041">
        <v>2378069473</v>
      </c>
      <c r="D4041">
        <v>2378072220</v>
      </c>
      <c r="E4041" t="str">
        <f>T("신라의 왕좌는 제 겁니다 200화")</f>
        <v>신라의 왕좌는 제 겁니다 200화</v>
      </c>
      <c r="F4041">
        <v>200</v>
      </c>
      <c r="G4041" t="str">
        <f>T("매운아몬드")</f>
        <v>매운아몬드</v>
      </c>
      <c r="J4041" t="str">
        <f>T("사이렌")</f>
        <v>사이렌</v>
      </c>
      <c r="K4041" t="str">
        <f>T("신라의 왕좌는 제 겁니다")</f>
        <v>신라의 왕좌는 제 겁니다</v>
      </c>
      <c r="L4041">
        <v>100</v>
      </c>
      <c r="M4041">
        <v>100</v>
      </c>
      <c r="N4041">
        <v>1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0</v>
      </c>
      <c r="AE4041">
        <v>0</v>
      </c>
      <c r="AF4041">
        <v>0</v>
      </c>
      <c r="AG4041">
        <v>0</v>
      </c>
      <c r="AH4041">
        <v>0</v>
      </c>
      <c r="AI4041">
        <v>100</v>
      </c>
      <c r="AJ4041">
        <v>1</v>
      </c>
      <c r="AK4041">
        <v>0</v>
      </c>
      <c r="AL4041">
        <v>0</v>
      </c>
      <c r="AM4041">
        <v>100</v>
      </c>
      <c r="AN4041">
        <v>0</v>
      </c>
      <c r="AO4041">
        <v>0</v>
      </c>
      <c r="AP4041">
        <v>0</v>
      </c>
      <c r="AQ4041">
        <v>0</v>
      </c>
      <c r="AS4041">
        <v>0</v>
      </c>
      <c r="AT4041">
        <v>0</v>
      </c>
      <c r="AV4041">
        <v>0</v>
      </c>
      <c r="AW4041">
        <v>0</v>
      </c>
      <c r="AY4041">
        <v>0</v>
      </c>
      <c r="AZ4041">
        <v>0</v>
      </c>
      <c r="BA4041">
        <v>60</v>
      </c>
      <c r="BE4041" t="str">
        <f>T("9791172700263")</f>
        <v>9791172700263</v>
      </c>
      <c r="BF4041" t="str">
        <f>T("k448232")</f>
        <v>k448232</v>
      </c>
      <c r="BG4041" t="str">
        <f>T("판타지 웹소설 &gt; 퓨전 판타지")</f>
        <v>판타지 웹소설 &gt; 퓨전 판타지</v>
      </c>
    </row>
    <row r="4042" spans="1:59">
      <c r="A4042" t="s">
        <v>60</v>
      </c>
      <c r="B4042" s="1">
        <v>46131</v>
      </c>
      <c r="C4042">
        <v>2378069473</v>
      </c>
      <c r="D4042">
        <v>2378072221</v>
      </c>
      <c r="E4042" t="str">
        <f>T("신라의 왕좌는 제 겁니다 201화")</f>
        <v>신라의 왕좌는 제 겁니다 201화</v>
      </c>
      <c r="F4042">
        <v>201</v>
      </c>
      <c r="G4042" t="str">
        <f>T("매운아몬드")</f>
        <v>매운아몬드</v>
      </c>
      <c r="J4042" t="str">
        <f>T("사이렌")</f>
        <v>사이렌</v>
      </c>
      <c r="K4042" t="str">
        <f>T("신라의 왕좌는 제 겁니다")</f>
        <v>신라의 왕좌는 제 겁니다</v>
      </c>
      <c r="L4042">
        <v>100</v>
      </c>
      <c r="M4042">
        <v>100</v>
      </c>
      <c r="N4042">
        <v>1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0</v>
      </c>
      <c r="AE4042">
        <v>0</v>
      </c>
      <c r="AF4042">
        <v>0</v>
      </c>
      <c r="AG4042">
        <v>0</v>
      </c>
      <c r="AH4042">
        <v>0</v>
      </c>
      <c r="AI4042">
        <v>100</v>
      </c>
      <c r="AJ4042">
        <v>1</v>
      </c>
      <c r="AK4042">
        <v>0</v>
      </c>
      <c r="AL4042">
        <v>0</v>
      </c>
      <c r="AM4042">
        <v>100</v>
      </c>
      <c r="AN4042">
        <v>0</v>
      </c>
      <c r="AO4042">
        <v>0</v>
      </c>
      <c r="AP4042">
        <v>0</v>
      </c>
      <c r="AQ4042">
        <v>0</v>
      </c>
      <c r="AS4042">
        <v>0</v>
      </c>
      <c r="AT4042">
        <v>0</v>
      </c>
      <c r="AV4042">
        <v>0</v>
      </c>
      <c r="AW4042">
        <v>0</v>
      </c>
      <c r="AY4042">
        <v>0</v>
      </c>
      <c r="AZ4042">
        <v>0</v>
      </c>
      <c r="BA4042">
        <v>60</v>
      </c>
      <c r="BE4042" t="str">
        <f>T("9791172700263")</f>
        <v>9791172700263</v>
      </c>
      <c r="BF4042" t="str">
        <f>T("B000292")</f>
        <v>B000292</v>
      </c>
      <c r="BG4042" t="str">
        <f>T("판타지 웹소설 &gt; 퓨전 판타지")</f>
        <v>판타지 웹소설 &gt; 퓨전 판타지</v>
      </c>
    </row>
    <row r="4043" spans="1:59">
      <c r="A4043" t="s">
        <v>60</v>
      </c>
      <c r="B4043" s="1">
        <v>46131</v>
      </c>
      <c r="C4043">
        <v>2378069473</v>
      </c>
      <c r="D4043">
        <v>2378072222</v>
      </c>
      <c r="E4043" t="str">
        <f>T("신라의 왕좌는 제 겁니다 202화")</f>
        <v>신라의 왕좌는 제 겁니다 202화</v>
      </c>
      <c r="F4043">
        <v>202</v>
      </c>
      <c r="G4043" t="str">
        <f>T("매운아몬드")</f>
        <v>매운아몬드</v>
      </c>
      <c r="J4043" t="str">
        <f>T("사이렌")</f>
        <v>사이렌</v>
      </c>
      <c r="K4043" t="str">
        <f>T("신라의 왕좌는 제 겁니다")</f>
        <v>신라의 왕좌는 제 겁니다</v>
      </c>
      <c r="L4043">
        <v>100</v>
      </c>
      <c r="M4043">
        <v>100</v>
      </c>
      <c r="N4043">
        <v>1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0</v>
      </c>
      <c r="AE4043">
        <v>0</v>
      </c>
      <c r="AF4043">
        <v>0</v>
      </c>
      <c r="AG4043">
        <v>0</v>
      </c>
      <c r="AH4043">
        <v>0</v>
      </c>
      <c r="AI4043">
        <v>100</v>
      </c>
      <c r="AJ4043">
        <v>1</v>
      </c>
      <c r="AK4043">
        <v>0</v>
      </c>
      <c r="AL4043">
        <v>0</v>
      </c>
      <c r="AM4043">
        <v>100</v>
      </c>
      <c r="AN4043">
        <v>0</v>
      </c>
      <c r="AO4043">
        <v>0</v>
      </c>
      <c r="AP4043">
        <v>0</v>
      </c>
      <c r="AQ4043">
        <v>0</v>
      </c>
      <c r="AS4043">
        <v>0</v>
      </c>
      <c r="AT4043">
        <v>0</v>
      </c>
      <c r="AV4043">
        <v>0</v>
      </c>
      <c r="AW4043">
        <v>0</v>
      </c>
      <c r="AY4043">
        <v>0</v>
      </c>
      <c r="AZ4043">
        <v>0</v>
      </c>
      <c r="BA4043">
        <v>60</v>
      </c>
      <c r="BE4043" t="str">
        <f>T("9791172700263")</f>
        <v>9791172700263</v>
      </c>
      <c r="BF4043" t="str">
        <f>T("B000293")</f>
        <v>B000293</v>
      </c>
      <c r="BG4043" t="str">
        <f>T("판타지 웹소설 &gt; 퓨전 판타지")</f>
        <v>판타지 웹소설 &gt; 퓨전 판타지</v>
      </c>
    </row>
    <row r="4044" spans="1:59">
      <c r="A4044" t="s">
        <v>60</v>
      </c>
      <c r="B4044" s="1">
        <v>46131</v>
      </c>
      <c r="C4044">
        <v>2378069473</v>
      </c>
      <c r="D4044">
        <v>2378072223</v>
      </c>
      <c r="E4044" t="str">
        <f>T("신라의 왕좌는 제 겁니다 203화")</f>
        <v>신라의 왕좌는 제 겁니다 203화</v>
      </c>
      <c r="F4044">
        <v>203</v>
      </c>
      <c r="G4044" t="str">
        <f>T("매운아몬드")</f>
        <v>매운아몬드</v>
      </c>
      <c r="J4044" t="str">
        <f>T("사이렌")</f>
        <v>사이렌</v>
      </c>
      <c r="K4044" t="str">
        <f>T("신라의 왕좌는 제 겁니다")</f>
        <v>신라의 왕좌는 제 겁니다</v>
      </c>
      <c r="L4044">
        <v>100</v>
      </c>
      <c r="M4044">
        <v>100</v>
      </c>
      <c r="N4044">
        <v>1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0</v>
      </c>
      <c r="AE4044">
        <v>0</v>
      </c>
      <c r="AF4044">
        <v>0</v>
      </c>
      <c r="AG4044">
        <v>0</v>
      </c>
      <c r="AH4044">
        <v>0</v>
      </c>
      <c r="AI4044">
        <v>100</v>
      </c>
      <c r="AJ4044">
        <v>1</v>
      </c>
      <c r="AK4044">
        <v>0</v>
      </c>
      <c r="AL4044">
        <v>0</v>
      </c>
      <c r="AM4044">
        <v>100</v>
      </c>
      <c r="AN4044">
        <v>0</v>
      </c>
      <c r="AO4044">
        <v>0</v>
      </c>
      <c r="AP4044">
        <v>0</v>
      </c>
      <c r="AQ4044">
        <v>0</v>
      </c>
      <c r="AS4044">
        <v>0</v>
      </c>
      <c r="AT4044">
        <v>0</v>
      </c>
      <c r="AV4044">
        <v>0</v>
      </c>
      <c r="AW4044">
        <v>0</v>
      </c>
      <c r="AY4044">
        <v>0</v>
      </c>
      <c r="AZ4044">
        <v>0</v>
      </c>
      <c r="BA4044">
        <v>60</v>
      </c>
      <c r="BE4044" t="str">
        <f>T("9791172700263")</f>
        <v>9791172700263</v>
      </c>
      <c r="BF4044" t="str">
        <f>T("B000294")</f>
        <v>B000294</v>
      </c>
      <c r="BG4044" t="str">
        <f>T("판타지 웹소설 &gt; 퓨전 판타지")</f>
        <v>판타지 웹소설 &gt; 퓨전 판타지</v>
      </c>
    </row>
    <row r="4045" spans="1:59">
      <c r="A4045" t="s">
        <v>60</v>
      </c>
      <c r="B4045" s="1">
        <v>46131</v>
      </c>
      <c r="C4045">
        <v>2378069473</v>
      </c>
      <c r="D4045">
        <v>2378072224</v>
      </c>
      <c r="E4045" t="str">
        <f>T("신라의 왕좌는 제 겁니다 204화")</f>
        <v>신라의 왕좌는 제 겁니다 204화</v>
      </c>
      <c r="F4045">
        <v>204</v>
      </c>
      <c r="G4045" t="str">
        <f>T("매운아몬드")</f>
        <v>매운아몬드</v>
      </c>
      <c r="J4045" t="str">
        <f>T("사이렌")</f>
        <v>사이렌</v>
      </c>
      <c r="K4045" t="str">
        <f>T("신라의 왕좌는 제 겁니다")</f>
        <v>신라의 왕좌는 제 겁니다</v>
      </c>
      <c r="L4045">
        <v>100</v>
      </c>
      <c r="M4045">
        <v>100</v>
      </c>
      <c r="N4045">
        <v>1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0</v>
      </c>
      <c r="AE4045">
        <v>0</v>
      </c>
      <c r="AF4045">
        <v>0</v>
      </c>
      <c r="AG4045">
        <v>0</v>
      </c>
      <c r="AH4045">
        <v>0</v>
      </c>
      <c r="AI4045">
        <v>100</v>
      </c>
      <c r="AJ4045">
        <v>1</v>
      </c>
      <c r="AK4045">
        <v>0</v>
      </c>
      <c r="AL4045">
        <v>0</v>
      </c>
      <c r="AM4045">
        <v>100</v>
      </c>
      <c r="AN4045">
        <v>0</v>
      </c>
      <c r="AO4045">
        <v>0</v>
      </c>
      <c r="AP4045">
        <v>0</v>
      </c>
      <c r="AQ4045">
        <v>0</v>
      </c>
      <c r="AS4045">
        <v>0</v>
      </c>
      <c r="AT4045">
        <v>0</v>
      </c>
      <c r="AV4045">
        <v>0</v>
      </c>
      <c r="AW4045">
        <v>0</v>
      </c>
      <c r="AY4045">
        <v>0</v>
      </c>
      <c r="AZ4045">
        <v>0</v>
      </c>
      <c r="BA4045">
        <v>60</v>
      </c>
      <c r="BE4045" t="str">
        <f>T("9791172700263")</f>
        <v>9791172700263</v>
      </c>
      <c r="BF4045" t="str">
        <f>T("B000295")</f>
        <v>B000295</v>
      </c>
      <c r="BG4045" t="str">
        <f>T("판타지 웹소설 &gt; 퓨전 판타지")</f>
        <v>판타지 웹소설 &gt; 퓨전 판타지</v>
      </c>
    </row>
    <row r="4046" spans="1:59">
      <c r="A4046" t="s">
        <v>60</v>
      </c>
      <c r="B4046" s="1">
        <v>46131</v>
      </c>
      <c r="C4046">
        <v>2378069473</v>
      </c>
      <c r="D4046">
        <v>2378072225</v>
      </c>
      <c r="E4046" t="str">
        <f>T("신라의 왕좌는 제 겁니다 205화")</f>
        <v>신라의 왕좌는 제 겁니다 205화</v>
      </c>
      <c r="F4046">
        <v>205</v>
      </c>
      <c r="G4046" t="str">
        <f>T("매운아몬드")</f>
        <v>매운아몬드</v>
      </c>
      <c r="J4046" t="str">
        <f>T("사이렌")</f>
        <v>사이렌</v>
      </c>
      <c r="K4046" t="str">
        <f>T("신라의 왕좌는 제 겁니다")</f>
        <v>신라의 왕좌는 제 겁니다</v>
      </c>
      <c r="L4046">
        <v>100</v>
      </c>
      <c r="M4046">
        <v>100</v>
      </c>
      <c r="N4046">
        <v>1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0</v>
      </c>
      <c r="AE4046">
        <v>0</v>
      </c>
      <c r="AF4046">
        <v>0</v>
      </c>
      <c r="AG4046">
        <v>0</v>
      </c>
      <c r="AH4046">
        <v>0</v>
      </c>
      <c r="AI4046">
        <v>100</v>
      </c>
      <c r="AJ4046">
        <v>1</v>
      </c>
      <c r="AK4046">
        <v>0</v>
      </c>
      <c r="AL4046">
        <v>0</v>
      </c>
      <c r="AM4046">
        <v>100</v>
      </c>
      <c r="AN4046">
        <v>0</v>
      </c>
      <c r="AO4046">
        <v>0</v>
      </c>
      <c r="AP4046">
        <v>0</v>
      </c>
      <c r="AQ4046">
        <v>0</v>
      </c>
      <c r="AS4046">
        <v>0</v>
      </c>
      <c r="AT4046">
        <v>0</v>
      </c>
      <c r="AV4046">
        <v>0</v>
      </c>
      <c r="AW4046">
        <v>0</v>
      </c>
      <c r="AY4046">
        <v>0</v>
      </c>
      <c r="AZ4046">
        <v>0</v>
      </c>
      <c r="BA4046">
        <v>60</v>
      </c>
      <c r="BE4046" t="str">
        <f>T("9791172700263")</f>
        <v>9791172700263</v>
      </c>
      <c r="BF4046" t="str">
        <f>T("B000296")</f>
        <v>B000296</v>
      </c>
      <c r="BG4046" t="str">
        <f>T("판타지 웹소설 &gt; 퓨전 판타지")</f>
        <v>판타지 웹소설 &gt; 퓨전 판타지</v>
      </c>
    </row>
    <row r="4047" spans="1:59">
      <c r="A4047" t="s">
        <v>60</v>
      </c>
      <c r="B4047" s="1">
        <v>46131</v>
      </c>
      <c r="C4047">
        <v>2378069473</v>
      </c>
      <c r="D4047">
        <v>2378072278</v>
      </c>
      <c r="E4047" t="str">
        <f>T("신라의 왕좌는 제 겁니다 206화")</f>
        <v>신라의 왕좌는 제 겁니다 206화</v>
      </c>
      <c r="F4047">
        <v>206</v>
      </c>
      <c r="G4047" t="str">
        <f>T("매운아몬드")</f>
        <v>매운아몬드</v>
      </c>
      <c r="J4047" t="str">
        <f>T("사이렌")</f>
        <v>사이렌</v>
      </c>
      <c r="K4047" t="str">
        <f>T("신라의 왕좌는 제 겁니다")</f>
        <v>신라의 왕좌는 제 겁니다</v>
      </c>
      <c r="L4047">
        <v>100</v>
      </c>
      <c r="M4047">
        <v>100</v>
      </c>
      <c r="N4047">
        <v>1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0</v>
      </c>
      <c r="AE4047">
        <v>0</v>
      </c>
      <c r="AF4047">
        <v>0</v>
      </c>
      <c r="AG4047">
        <v>0</v>
      </c>
      <c r="AH4047">
        <v>0</v>
      </c>
      <c r="AI4047">
        <v>100</v>
      </c>
      <c r="AJ4047">
        <v>1</v>
      </c>
      <c r="AK4047">
        <v>0</v>
      </c>
      <c r="AL4047">
        <v>0</v>
      </c>
      <c r="AM4047">
        <v>100</v>
      </c>
      <c r="AN4047">
        <v>0</v>
      </c>
      <c r="AO4047">
        <v>0</v>
      </c>
      <c r="AP4047">
        <v>0</v>
      </c>
      <c r="AQ4047">
        <v>0</v>
      </c>
      <c r="AS4047">
        <v>0</v>
      </c>
      <c r="AT4047">
        <v>0</v>
      </c>
      <c r="AV4047">
        <v>0</v>
      </c>
      <c r="AW4047">
        <v>0</v>
      </c>
      <c r="AY4047">
        <v>0</v>
      </c>
      <c r="AZ4047">
        <v>0</v>
      </c>
      <c r="BA4047">
        <v>60</v>
      </c>
      <c r="BE4047" t="str">
        <f>T("9791172700263")</f>
        <v>9791172700263</v>
      </c>
      <c r="BF4047" t="str">
        <f>T("B000297")</f>
        <v>B000297</v>
      </c>
      <c r="BG4047" t="str">
        <f>T("판타지 웹소설 &gt; 퓨전 판타지")</f>
        <v>판타지 웹소설 &gt; 퓨전 판타지</v>
      </c>
    </row>
    <row r="4048" spans="1:59">
      <c r="A4048" t="s">
        <v>60</v>
      </c>
      <c r="B4048" s="1">
        <v>46131</v>
      </c>
      <c r="C4048">
        <v>2378069473</v>
      </c>
      <c r="D4048">
        <v>2378072279</v>
      </c>
      <c r="E4048" t="str">
        <f>T("신라의 왕좌는 제 겁니다 207화")</f>
        <v>신라의 왕좌는 제 겁니다 207화</v>
      </c>
      <c r="F4048">
        <v>207</v>
      </c>
      <c r="G4048" t="str">
        <f>T("매운아몬드")</f>
        <v>매운아몬드</v>
      </c>
      <c r="J4048" t="str">
        <f>T("사이렌")</f>
        <v>사이렌</v>
      </c>
      <c r="K4048" t="str">
        <f>T("신라의 왕좌는 제 겁니다")</f>
        <v>신라의 왕좌는 제 겁니다</v>
      </c>
      <c r="L4048">
        <v>100</v>
      </c>
      <c r="M4048">
        <v>100</v>
      </c>
      <c r="N4048">
        <v>1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0</v>
      </c>
      <c r="AE4048">
        <v>0</v>
      </c>
      <c r="AF4048">
        <v>0</v>
      </c>
      <c r="AG4048">
        <v>0</v>
      </c>
      <c r="AH4048">
        <v>0</v>
      </c>
      <c r="AI4048">
        <v>100</v>
      </c>
      <c r="AJ4048">
        <v>1</v>
      </c>
      <c r="AK4048">
        <v>0</v>
      </c>
      <c r="AL4048">
        <v>0</v>
      </c>
      <c r="AM4048">
        <v>100</v>
      </c>
      <c r="AN4048">
        <v>0</v>
      </c>
      <c r="AO4048">
        <v>0</v>
      </c>
      <c r="AP4048">
        <v>0</v>
      </c>
      <c r="AQ4048">
        <v>0</v>
      </c>
      <c r="AS4048">
        <v>0</v>
      </c>
      <c r="AT4048">
        <v>0</v>
      </c>
      <c r="AV4048">
        <v>0</v>
      </c>
      <c r="AW4048">
        <v>0</v>
      </c>
      <c r="AY4048">
        <v>0</v>
      </c>
      <c r="AZ4048">
        <v>0</v>
      </c>
      <c r="BA4048">
        <v>60</v>
      </c>
      <c r="BE4048" t="str">
        <f>T("9791172700263")</f>
        <v>9791172700263</v>
      </c>
      <c r="BF4048" t="str">
        <f>T("B000298")</f>
        <v>B000298</v>
      </c>
      <c r="BG4048" t="str">
        <f>T("판타지 웹소설 &gt; 퓨전 판타지")</f>
        <v>판타지 웹소설 &gt; 퓨전 판타지</v>
      </c>
    </row>
    <row r="4049" spans="1:59">
      <c r="A4049" t="s">
        <v>60</v>
      </c>
      <c r="B4049" s="1">
        <v>46131</v>
      </c>
      <c r="C4049">
        <v>2378069473</v>
      </c>
      <c r="D4049">
        <v>2378072280</v>
      </c>
      <c r="E4049" t="str">
        <f>T("신라의 왕좌는 제 겁니다 208화")</f>
        <v>신라의 왕좌는 제 겁니다 208화</v>
      </c>
      <c r="F4049">
        <v>208</v>
      </c>
      <c r="G4049" t="str">
        <f>T("매운아몬드")</f>
        <v>매운아몬드</v>
      </c>
      <c r="J4049" t="str">
        <f>T("사이렌")</f>
        <v>사이렌</v>
      </c>
      <c r="K4049" t="str">
        <f>T("신라의 왕좌는 제 겁니다")</f>
        <v>신라의 왕좌는 제 겁니다</v>
      </c>
      <c r="L4049">
        <v>100</v>
      </c>
      <c r="M4049">
        <v>100</v>
      </c>
      <c r="N4049">
        <v>1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0</v>
      </c>
      <c r="AE4049">
        <v>0</v>
      </c>
      <c r="AF4049">
        <v>0</v>
      </c>
      <c r="AG4049">
        <v>0</v>
      </c>
      <c r="AH4049">
        <v>0</v>
      </c>
      <c r="AI4049">
        <v>100</v>
      </c>
      <c r="AJ4049">
        <v>1</v>
      </c>
      <c r="AK4049">
        <v>0</v>
      </c>
      <c r="AL4049">
        <v>0</v>
      </c>
      <c r="AM4049">
        <v>100</v>
      </c>
      <c r="AN4049">
        <v>0</v>
      </c>
      <c r="AO4049">
        <v>0</v>
      </c>
      <c r="AP4049">
        <v>0</v>
      </c>
      <c r="AQ4049">
        <v>0</v>
      </c>
      <c r="AS4049">
        <v>0</v>
      </c>
      <c r="AT4049">
        <v>0</v>
      </c>
      <c r="AV4049">
        <v>0</v>
      </c>
      <c r="AW4049">
        <v>0</v>
      </c>
      <c r="AY4049">
        <v>0</v>
      </c>
      <c r="AZ4049">
        <v>0</v>
      </c>
      <c r="BA4049">
        <v>60</v>
      </c>
      <c r="BE4049" t="str">
        <f>T("9791172700263")</f>
        <v>9791172700263</v>
      </c>
      <c r="BF4049" t="str">
        <f>T("B000299")</f>
        <v>B000299</v>
      </c>
      <c r="BG4049" t="str">
        <f>T("판타지 웹소설 &gt; 퓨전 판타지")</f>
        <v>판타지 웹소설 &gt; 퓨전 판타지</v>
      </c>
    </row>
    <row r="4050" spans="1:59">
      <c r="A4050" t="s">
        <v>60</v>
      </c>
      <c r="B4050" s="1">
        <v>46131</v>
      </c>
      <c r="C4050">
        <v>2378069473</v>
      </c>
      <c r="D4050">
        <v>2378072281</v>
      </c>
      <c r="E4050" t="str">
        <f>T("신라의 왕좌는 제 겁니다 209화")</f>
        <v>신라의 왕좌는 제 겁니다 209화</v>
      </c>
      <c r="F4050">
        <v>209</v>
      </c>
      <c r="G4050" t="str">
        <f>T("매운아몬드")</f>
        <v>매운아몬드</v>
      </c>
      <c r="J4050" t="str">
        <f>T("사이렌")</f>
        <v>사이렌</v>
      </c>
      <c r="K4050" t="str">
        <f>T("신라의 왕좌는 제 겁니다")</f>
        <v>신라의 왕좌는 제 겁니다</v>
      </c>
      <c r="L4050">
        <v>100</v>
      </c>
      <c r="M4050">
        <v>100</v>
      </c>
      <c r="N4050">
        <v>1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0</v>
      </c>
      <c r="AE4050">
        <v>0</v>
      </c>
      <c r="AF4050">
        <v>0</v>
      </c>
      <c r="AG4050">
        <v>0</v>
      </c>
      <c r="AH4050">
        <v>0</v>
      </c>
      <c r="AI4050">
        <v>100</v>
      </c>
      <c r="AJ4050">
        <v>1</v>
      </c>
      <c r="AK4050">
        <v>0</v>
      </c>
      <c r="AL4050">
        <v>0</v>
      </c>
      <c r="AM4050">
        <v>100</v>
      </c>
      <c r="AN4050">
        <v>0</v>
      </c>
      <c r="AO4050">
        <v>0</v>
      </c>
      <c r="AP4050">
        <v>0</v>
      </c>
      <c r="AQ4050">
        <v>0</v>
      </c>
      <c r="AS4050">
        <v>0</v>
      </c>
      <c r="AT4050">
        <v>0</v>
      </c>
      <c r="AV4050">
        <v>0</v>
      </c>
      <c r="AW4050">
        <v>0</v>
      </c>
      <c r="AY4050">
        <v>0</v>
      </c>
      <c r="AZ4050">
        <v>0</v>
      </c>
      <c r="BA4050">
        <v>60</v>
      </c>
      <c r="BE4050" t="str">
        <f>T("9791172700263")</f>
        <v>9791172700263</v>
      </c>
      <c r="BF4050" t="str">
        <f>T("B000300")</f>
        <v>B000300</v>
      </c>
      <c r="BG4050" t="str">
        <f>T("판타지 웹소설 &gt; 퓨전 판타지")</f>
        <v>판타지 웹소설 &gt; 퓨전 판타지</v>
      </c>
    </row>
    <row r="4051" spans="1:59">
      <c r="A4051" t="s">
        <v>60</v>
      </c>
      <c r="B4051" s="1">
        <v>46131</v>
      </c>
      <c r="C4051">
        <v>2378069473</v>
      </c>
      <c r="D4051">
        <v>2378072282</v>
      </c>
      <c r="E4051" t="str">
        <f>T("신라의 왕좌는 제 겁니다 210화")</f>
        <v>신라의 왕좌는 제 겁니다 210화</v>
      </c>
      <c r="F4051">
        <v>210</v>
      </c>
      <c r="G4051" t="str">
        <f>T("매운아몬드")</f>
        <v>매운아몬드</v>
      </c>
      <c r="J4051" t="str">
        <f>T("사이렌")</f>
        <v>사이렌</v>
      </c>
      <c r="K4051" t="str">
        <f>T("신라의 왕좌는 제 겁니다")</f>
        <v>신라의 왕좌는 제 겁니다</v>
      </c>
      <c r="L4051">
        <v>100</v>
      </c>
      <c r="M4051">
        <v>100</v>
      </c>
      <c r="N4051">
        <v>1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0</v>
      </c>
      <c r="AE4051">
        <v>0</v>
      </c>
      <c r="AF4051">
        <v>0</v>
      </c>
      <c r="AG4051">
        <v>0</v>
      </c>
      <c r="AH4051">
        <v>0</v>
      </c>
      <c r="AI4051">
        <v>100</v>
      </c>
      <c r="AJ4051">
        <v>1</v>
      </c>
      <c r="AK4051">
        <v>0</v>
      </c>
      <c r="AL4051">
        <v>0</v>
      </c>
      <c r="AM4051">
        <v>100</v>
      </c>
      <c r="AN4051">
        <v>0</v>
      </c>
      <c r="AO4051">
        <v>0</v>
      </c>
      <c r="AP4051">
        <v>0</v>
      </c>
      <c r="AQ4051">
        <v>0</v>
      </c>
      <c r="AS4051">
        <v>0</v>
      </c>
      <c r="AT4051">
        <v>0</v>
      </c>
      <c r="AV4051">
        <v>0</v>
      </c>
      <c r="AW4051">
        <v>0</v>
      </c>
      <c r="AY4051">
        <v>0</v>
      </c>
      <c r="AZ4051">
        <v>0</v>
      </c>
      <c r="BA4051">
        <v>60</v>
      </c>
      <c r="BE4051" t="str">
        <f>T("9791172700263")</f>
        <v>9791172700263</v>
      </c>
      <c r="BF4051" t="str">
        <f>T("B000301")</f>
        <v>B000301</v>
      </c>
      <c r="BG4051" t="str">
        <f>T("판타지 웹소설 &gt; 퓨전 판타지")</f>
        <v>판타지 웹소설 &gt; 퓨전 판타지</v>
      </c>
    </row>
    <row r="4052" spans="1:59">
      <c r="A4052" t="s">
        <v>60</v>
      </c>
      <c r="B4052" s="1">
        <v>46131</v>
      </c>
      <c r="C4052">
        <v>2378069473</v>
      </c>
      <c r="D4052">
        <v>2378072283</v>
      </c>
      <c r="E4052" t="str">
        <f>T("신라의 왕좌는 제 겁니다 211화")</f>
        <v>신라의 왕좌는 제 겁니다 211화</v>
      </c>
      <c r="F4052">
        <v>211</v>
      </c>
      <c r="G4052" t="str">
        <f>T("매운아몬드")</f>
        <v>매운아몬드</v>
      </c>
      <c r="J4052" t="str">
        <f>T("사이렌")</f>
        <v>사이렌</v>
      </c>
      <c r="K4052" t="str">
        <f>T("신라의 왕좌는 제 겁니다")</f>
        <v>신라의 왕좌는 제 겁니다</v>
      </c>
      <c r="L4052">
        <v>100</v>
      </c>
      <c r="M4052">
        <v>100</v>
      </c>
      <c r="N4052">
        <v>1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0</v>
      </c>
      <c r="AE4052">
        <v>0</v>
      </c>
      <c r="AF4052">
        <v>0</v>
      </c>
      <c r="AG4052">
        <v>0</v>
      </c>
      <c r="AH4052">
        <v>0</v>
      </c>
      <c r="AI4052">
        <v>100</v>
      </c>
      <c r="AJ4052">
        <v>1</v>
      </c>
      <c r="AK4052">
        <v>0</v>
      </c>
      <c r="AL4052">
        <v>0</v>
      </c>
      <c r="AM4052">
        <v>100</v>
      </c>
      <c r="AN4052">
        <v>0</v>
      </c>
      <c r="AO4052">
        <v>0</v>
      </c>
      <c r="AP4052">
        <v>0</v>
      </c>
      <c r="AQ4052">
        <v>0</v>
      </c>
      <c r="AS4052">
        <v>0</v>
      </c>
      <c r="AT4052">
        <v>0</v>
      </c>
      <c r="AV4052">
        <v>0</v>
      </c>
      <c r="AW4052">
        <v>0</v>
      </c>
      <c r="AY4052">
        <v>0</v>
      </c>
      <c r="AZ4052">
        <v>0</v>
      </c>
      <c r="BA4052">
        <v>60</v>
      </c>
      <c r="BE4052" t="str">
        <f>T("9791172700263")</f>
        <v>9791172700263</v>
      </c>
      <c r="BF4052" t="str">
        <f>T("B004627")</f>
        <v>B004627</v>
      </c>
      <c r="BG4052" t="str">
        <f>T("판타지 웹소설 &gt; 퓨전 판타지")</f>
        <v>판타지 웹소설 &gt; 퓨전 판타지</v>
      </c>
    </row>
    <row r="4053" spans="1:59">
      <c r="A4053" t="s">
        <v>60</v>
      </c>
      <c r="B4053" s="1">
        <v>46131</v>
      </c>
      <c r="C4053">
        <v>2378069473</v>
      </c>
      <c r="D4053">
        <v>2378072284</v>
      </c>
      <c r="E4053" t="str">
        <f>T("신라의 왕좌는 제 겁니다 212화")</f>
        <v>신라의 왕좌는 제 겁니다 212화</v>
      </c>
      <c r="F4053">
        <v>212</v>
      </c>
      <c r="G4053" t="str">
        <f>T("매운아몬드")</f>
        <v>매운아몬드</v>
      </c>
      <c r="J4053" t="str">
        <f>T("사이렌")</f>
        <v>사이렌</v>
      </c>
      <c r="K4053" t="str">
        <f>T("신라의 왕좌는 제 겁니다")</f>
        <v>신라의 왕좌는 제 겁니다</v>
      </c>
      <c r="L4053">
        <v>100</v>
      </c>
      <c r="M4053">
        <v>100</v>
      </c>
      <c r="N4053">
        <v>1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0</v>
      </c>
      <c r="AE4053">
        <v>0</v>
      </c>
      <c r="AF4053">
        <v>0</v>
      </c>
      <c r="AG4053">
        <v>0</v>
      </c>
      <c r="AH4053">
        <v>0</v>
      </c>
      <c r="AI4053">
        <v>100</v>
      </c>
      <c r="AJ4053">
        <v>1</v>
      </c>
      <c r="AK4053">
        <v>0</v>
      </c>
      <c r="AL4053">
        <v>0</v>
      </c>
      <c r="AM4053">
        <v>100</v>
      </c>
      <c r="AN4053">
        <v>0</v>
      </c>
      <c r="AO4053">
        <v>0</v>
      </c>
      <c r="AP4053">
        <v>0</v>
      </c>
      <c r="AQ4053">
        <v>0</v>
      </c>
      <c r="AS4053">
        <v>0</v>
      </c>
      <c r="AT4053">
        <v>0</v>
      </c>
      <c r="AV4053">
        <v>0</v>
      </c>
      <c r="AW4053">
        <v>0</v>
      </c>
      <c r="AY4053">
        <v>0</v>
      </c>
      <c r="AZ4053">
        <v>0</v>
      </c>
      <c r="BA4053">
        <v>60</v>
      </c>
      <c r="BE4053" t="str">
        <f>T("9791172700263")</f>
        <v>9791172700263</v>
      </c>
      <c r="BF4053" t="str">
        <f>T("B004628")</f>
        <v>B004628</v>
      </c>
      <c r="BG4053" t="str">
        <f>T("판타지 웹소설 &gt; 퓨전 판타지")</f>
        <v>판타지 웹소설 &gt; 퓨전 판타지</v>
      </c>
    </row>
    <row r="4054" spans="1:59">
      <c r="A4054" t="s">
        <v>60</v>
      </c>
      <c r="B4054" s="1">
        <v>46131</v>
      </c>
      <c r="C4054">
        <v>2378069473</v>
      </c>
      <c r="D4054">
        <v>2378072285</v>
      </c>
      <c r="E4054" t="str">
        <f>T("신라의 왕좌는 제 겁니다 213화")</f>
        <v>신라의 왕좌는 제 겁니다 213화</v>
      </c>
      <c r="F4054">
        <v>213</v>
      </c>
      <c r="G4054" t="str">
        <f>T("매운아몬드")</f>
        <v>매운아몬드</v>
      </c>
      <c r="J4054" t="str">
        <f>T("사이렌")</f>
        <v>사이렌</v>
      </c>
      <c r="K4054" t="str">
        <f>T("신라의 왕좌는 제 겁니다")</f>
        <v>신라의 왕좌는 제 겁니다</v>
      </c>
      <c r="L4054">
        <v>100</v>
      </c>
      <c r="M4054">
        <v>100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0</v>
      </c>
      <c r="AE4054">
        <v>0</v>
      </c>
      <c r="AF4054">
        <v>0</v>
      </c>
      <c r="AG4054">
        <v>0</v>
      </c>
      <c r="AH4054">
        <v>0</v>
      </c>
      <c r="AI4054">
        <v>100</v>
      </c>
      <c r="AJ4054">
        <v>1</v>
      </c>
      <c r="AK4054">
        <v>0</v>
      </c>
      <c r="AL4054">
        <v>0</v>
      </c>
      <c r="AM4054">
        <v>100</v>
      </c>
      <c r="AN4054">
        <v>0</v>
      </c>
      <c r="AO4054">
        <v>0</v>
      </c>
      <c r="AP4054">
        <v>0</v>
      </c>
      <c r="AQ4054">
        <v>0</v>
      </c>
      <c r="AS4054">
        <v>0</v>
      </c>
      <c r="AT4054">
        <v>0</v>
      </c>
      <c r="AV4054">
        <v>0</v>
      </c>
      <c r="AW4054">
        <v>0</v>
      </c>
      <c r="AY4054">
        <v>0</v>
      </c>
      <c r="AZ4054">
        <v>0</v>
      </c>
      <c r="BA4054">
        <v>60</v>
      </c>
      <c r="BE4054" t="str">
        <f>T("9791172700263")</f>
        <v>9791172700263</v>
      </c>
      <c r="BF4054" t="str">
        <f>T("B004629")</f>
        <v>B004629</v>
      </c>
      <c r="BG4054" t="str">
        <f>T("판타지 웹소설 &gt; 퓨전 판타지")</f>
        <v>판타지 웹소설 &gt; 퓨전 판타지</v>
      </c>
    </row>
    <row r="4055" spans="1:59">
      <c r="A4055" t="s">
        <v>60</v>
      </c>
      <c r="B4055" s="1">
        <v>46131</v>
      </c>
      <c r="C4055">
        <v>2378039225</v>
      </c>
      <c r="D4055">
        <v>2378039225</v>
      </c>
      <c r="E4055" t="str">
        <f>T("신이 된 짐꾼 1화")</f>
        <v>신이 된 짐꾼 1화</v>
      </c>
      <c r="F4055">
        <v>1</v>
      </c>
      <c r="G4055" t="str">
        <f>T("법화")</f>
        <v>법화</v>
      </c>
      <c r="J4055" t="str">
        <f>T("오쉬컴퍼니")</f>
        <v>오쉬컴퍼니</v>
      </c>
      <c r="K4055" t="str">
        <f>T("신이 된 짐꾼")</f>
        <v>신이 된 짐꾼</v>
      </c>
      <c r="L4055">
        <v>0</v>
      </c>
      <c r="M4055">
        <v>0</v>
      </c>
      <c r="N4055">
        <v>0</v>
      </c>
      <c r="O4055">
        <v>1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0</v>
      </c>
      <c r="AE4055">
        <v>0</v>
      </c>
      <c r="AF4055">
        <v>0</v>
      </c>
      <c r="AG4055">
        <v>0</v>
      </c>
      <c r="AH4055">
        <v>0</v>
      </c>
      <c r="AI4055">
        <v>0</v>
      </c>
      <c r="AJ4055">
        <v>1</v>
      </c>
      <c r="AK4055">
        <v>0</v>
      </c>
      <c r="AL4055">
        <v>0</v>
      </c>
      <c r="AM4055">
        <v>0</v>
      </c>
      <c r="AN4055">
        <v>0</v>
      </c>
      <c r="AO4055">
        <v>0</v>
      </c>
      <c r="AP4055">
        <v>0</v>
      </c>
      <c r="AQ4055">
        <v>0</v>
      </c>
      <c r="AS4055">
        <v>0</v>
      </c>
      <c r="AT4055">
        <v>0</v>
      </c>
      <c r="AV4055">
        <v>0</v>
      </c>
      <c r="AW4055">
        <v>0</v>
      </c>
      <c r="AY4055">
        <v>0</v>
      </c>
      <c r="AZ4055">
        <v>0</v>
      </c>
      <c r="BA4055">
        <v>0</v>
      </c>
      <c r="BE4055" t="str">
        <f>T("9791168280182")</f>
        <v>9791168280182</v>
      </c>
      <c r="BF4055" t="str">
        <f>T("N161671")</f>
        <v>N161671</v>
      </c>
      <c r="BG4055" t="str">
        <f>T("판타지 웹소설 &gt; 현대 판타지")</f>
        <v>판타지 웹소설 &gt; 현대 판타지</v>
      </c>
    </row>
    <row r="4056" spans="1:59">
      <c r="A4056" t="s">
        <v>60</v>
      </c>
      <c r="B4056" s="1">
        <v>46131</v>
      </c>
      <c r="C4056">
        <v>2378039225</v>
      </c>
      <c r="D4056">
        <v>2378039226</v>
      </c>
      <c r="E4056" t="str">
        <f>T("신이 된 짐꾼 2화")</f>
        <v>신이 된 짐꾼 2화</v>
      </c>
      <c r="F4056">
        <v>2</v>
      </c>
      <c r="G4056" t="str">
        <f>T("법화")</f>
        <v>법화</v>
      </c>
      <c r="J4056" t="str">
        <f>T("오쉬컴퍼니")</f>
        <v>오쉬컴퍼니</v>
      </c>
      <c r="K4056" t="str">
        <f>T("신이 된 짐꾼")</f>
        <v>신이 된 짐꾼</v>
      </c>
      <c r="L4056">
        <v>0</v>
      </c>
      <c r="M4056">
        <v>0</v>
      </c>
      <c r="N4056">
        <v>0</v>
      </c>
      <c r="O4056">
        <v>1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0</v>
      </c>
      <c r="AE4056">
        <v>0</v>
      </c>
      <c r="AF4056">
        <v>0</v>
      </c>
      <c r="AG4056">
        <v>0</v>
      </c>
      <c r="AH4056">
        <v>0</v>
      </c>
      <c r="AI4056">
        <v>0</v>
      </c>
      <c r="AJ4056">
        <v>1</v>
      </c>
      <c r="AK4056">
        <v>0</v>
      </c>
      <c r="AL4056">
        <v>0</v>
      </c>
      <c r="AM4056">
        <v>0</v>
      </c>
      <c r="AN4056">
        <v>0</v>
      </c>
      <c r="AO4056">
        <v>0</v>
      </c>
      <c r="AP4056">
        <v>0</v>
      </c>
      <c r="AQ4056">
        <v>0</v>
      </c>
      <c r="AS4056">
        <v>0</v>
      </c>
      <c r="AT4056">
        <v>0</v>
      </c>
      <c r="AV4056">
        <v>0</v>
      </c>
      <c r="AW4056">
        <v>0</v>
      </c>
      <c r="AY4056">
        <v>0</v>
      </c>
      <c r="AZ4056">
        <v>0</v>
      </c>
      <c r="BA4056">
        <v>0</v>
      </c>
      <c r="BE4056" t="str">
        <f>T("9791168280182")</f>
        <v>9791168280182</v>
      </c>
      <c r="BF4056" t="str">
        <f>T("N161672")</f>
        <v>N161672</v>
      </c>
      <c r="BG4056" t="str">
        <f>T("판타지 웹소설 &gt; 현대 판타지")</f>
        <v>판타지 웹소설 &gt; 현대 판타지</v>
      </c>
    </row>
    <row r="4057" spans="1:59">
      <c r="A4057" t="s">
        <v>60</v>
      </c>
      <c r="B4057" s="1">
        <v>46131</v>
      </c>
      <c r="C4057">
        <v>2378050930</v>
      </c>
      <c r="D4057">
        <v>2378050930</v>
      </c>
      <c r="E4057" t="str">
        <f>T("아저씨 왔다 1화")</f>
        <v>아저씨 왔다 1화</v>
      </c>
      <c r="F4057">
        <v>1</v>
      </c>
      <c r="G4057" t="str">
        <f>T("김기세")</f>
        <v>김기세</v>
      </c>
      <c r="J4057" t="str">
        <f>T("매드햇")</f>
        <v>매드햇</v>
      </c>
      <c r="K4057" t="str">
        <f>T("아저씨 왔다")</f>
        <v>아저씨 왔다</v>
      </c>
      <c r="L4057">
        <v>0</v>
      </c>
      <c r="M4057">
        <v>0</v>
      </c>
      <c r="N4057">
        <v>0</v>
      </c>
      <c r="O4057">
        <v>1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0</v>
      </c>
      <c r="AE4057">
        <v>0</v>
      </c>
      <c r="AF4057">
        <v>0</v>
      </c>
      <c r="AG4057">
        <v>0</v>
      </c>
      <c r="AH4057">
        <v>0</v>
      </c>
      <c r="AI4057">
        <v>0</v>
      </c>
      <c r="AJ4057">
        <v>1</v>
      </c>
      <c r="AK4057">
        <v>0</v>
      </c>
      <c r="AL4057">
        <v>0</v>
      </c>
      <c r="AM4057">
        <v>0</v>
      </c>
      <c r="AN4057">
        <v>0</v>
      </c>
      <c r="AO4057">
        <v>0</v>
      </c>
      <c r="AP4057">
        <v>0</v>
      </c>
      <c r="AQ4057">
        <v>0</v>
      </c>
      <c r="AS4057">
        <v>0</v>
      </c>
      <c r="AT4057">
        <v>0</v>
      </c>
      <c r="AV4057">
        <v>0</v>
      </c>
      <c r="AW4057">
        <v>0</v>
      </c>
      <c r="AY4057">
        <v>0</v>
      </c>
      <c r="AZ4057">
        <v>0</v>
      </c>
      <c r="BA4057">
        <v>0</v>
      </c>
      <c r="BE4057" t="str">
        <f>T("9791137015159")</f>
        <v>9791137015159</v>
      </c>
      <c r="BF4057" t="str">
        <f>T("k067824")</f>
        <v>k067824</v>
      </c>
      <c r="BG4057" t="str">
        <f>T("판타지 웹소설 &gt; 현대 판타지")</f>
        <v>판타지 웹소설 &gt; 현대 판타지</v>
      </c>
    </row>
    <row r="4058" spans="1:59">
      <c r="A4058" t="s">
        <v>60</v>
      </c>
      <c r="B4058" s="1">
        <v>46131</v>
      </c>
      <c r="C4058">
        <v>2378050930</v>
      </c>
      <c r="D4058">
        <v>2378050931</v>
      </c>
      <c r="E4058" t="str">
        <f>T("아저씨 왔다 2화")</f>
        <v>아저씨 왔다 2화</v>
      </c>
      <c r="F4058">
        <v>2</v>
      </c>
      <c r="G4058" t="str">
        <f>T("김기세")</f>
        <v>김기세</v>
      </c>
      <c r="J4058" t="str">
        <f>T("매드햇")</f>
        <v>매드햇</v>
      </c>
      <c r="K4058" t="str">
        <f>T("아저씨 왔다")</f>
        <v>아저씨 왔다</v>
      </c>
      <c r="L4058">
        <v>0</v>
      </c>
      <c r="M4058">
        <v>0</v>
      </c>
      <c r="N4058">
        <v>0</v>
      </c>
      <c r="O4058">
        <v>1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0</v>
      </c>
      <c r="AE4058">
        <v>0</v>
      </c>
      <c r="AF4058">
        <v>0</v>
      </c>
      <c r="AG4058">
        <v>0</v>
      </c>
      <c r="AH4058">
        <v>0</v>
      </c>
      <c r="AI4058">
        <v>0</v>
      </c>
      <c r="AJ4058">
        <v>1</v>
      </c>
      <c r="AK4058">
        <v>0</v>
      </c>
      <c r="AL4058">
        <v>0</v>
      </c>
      <c r="AM4058">
        <v>0</v>
      </c>
      <c r="AN4058">
        <v>0</v>
      </c>
      <c r="AO4058">
        <v>0</v>
      </c>
      <c r="AP4058">
        <v>0</v>
      </c>
      <c r="AQ4058">
        <v>0</v>
      </c>
      <c r="AS4058">
        <v>0</v>
      </c>
      <c r="AT4058">
        <v>0</v>
      </c>
      <c r="AV4058">
        <v>0</v>
      </c>
      <c r="AW4058">
        <v>0</v>
      </c>
      <c r="AY4058">
        <v>0</v>
      </c>
      <c r="AZ4058">
        <v>0</v>
      </c>
      <c r="BA4058">
        <v>0</v>
      </c>
      <c r="BE4058" t="str">
        <f>T("9791137015159")</f>
        <v>9791137015159</v>
      </c>
      <c r="BF4058" t="str">
        <f>T("k067825")</f>
        <v>k067825</v>
      </c>
      <c r="BG4058" t="str">
        <f>T("판타지 웹소설 &gt; 현대 판타지")</f>
        <v>판타지 웹소설 &gt; 현대 판타지</v>
      </c>
    </row>
    <row r="4059" spans="1:59">
      <c r="A4059" t="s">
        <v>60</v>
      </c>
      <c r="B4059" s="1">
        <v>46131</v>
      </c>
      <c r="C4059">
        <v>2378050930</v>
      </c>
      <c r="D4059">
        <v>2378050932</v>
      </c>
      <c r="E4059" t="str">
        <f>T("아저씨 왔다 3화")</f>
        <v>아저씨 왔다 3화</v>
      </c>
      <c r="F4059">
        <v>3</v>
      </c>
      <c r="G4059" t="str">
        <f>T("김기세")</f>
        <v>김기세</v>
      </c>
      <c r="J4059" t="str">
        <f>T("매드햇")</f>
        <v>매드햇</v>
      </c>
      <c r="K4059" t="str">
        <f>T("아저씨 왔다")</f>
        <v>아저씨 왔다</v>
      </c>
      <c r="L4059">
        <v>0</v>
      </c>
      <c r="M4059">
        <v>0</v>
      </c>
      <c r="N4059">
        <v>0</v>
      </c>
      <c r="O4059">
        <v>1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0</v>
      </c>
      <c r="AE4059">
        <v>0</v>
      </c>
      <c r="AF4059">
        <v>0</v>
      </c>
      <c r="AG4059">
        <v>0</v>
      </c>
      <c r="AH4059">
        <v>0</v>
      </c>
      <c r="AI4059">
        <v>0</v>
      </c>
      <c r="AJ4059">
        <v>1</v>
      </c>
      <c r="AK4059">
        <v>0</v>
      </c>
      <c r="AL4059">
        <v>0</v>
      </c>
      <c r="AM4059">
        <v>0</v>
      </c>
      <c r="AN4059">
        <v>0</v>
      </c>
      <c r="AO4059">
        <v>0</v>
      </c>
      <c r="AP4059">
        <v>0</v>
      </c>
      <c r="AQ4059">
        <v>0</v>
      </c>
      <c r="AS4059">
        <v>0</v>
      </c>
      <c r="AT4059">
        <v>0</v>
      </c>
      <c r="AV4059">
        <v>0</v>
      </c>
      <c r="AW4059">
        <v>0</v>
      </c>
      <c r="AY4059">
        <v>0</v>
      </c>
      <c r="AZ4059">
        <v>0</v>
      </c>
      <c r="BA4059">
        <v>0</v>
      </c>
      <c r="BE4059" t="str">
        <f>T("9791137015159")</f>
        <v>9791137015159</v>
      </c>
      <c r="BF4059" t="str">
        <f>T("k067826")</f>
        <v>k067826</v>
      </c>
      <c r="BG4059" t="str">
        <f>T("판타지 웹소설 &gt; 현대 판타지")</f>
        <v>판타지 웹소설 &gt; 현대 판타지</v>
      </c>
    </row>
    <row r="4060" spans="1:59">
      <c r="A4060" t="s">
        <v>60</v>
      </c>
      <c r="B4060" s="1">
        <v>46129</v>
      </c>
      <c r="C4060">
        <v>2378059085</v>
      </c>
      <c r="D4060">
        <v>2378081200</v>
      </c>
      <c r="E4060" t="str">
        <f>T("아카데미 악역 엑스트라로 사는 법 595화")</f>
        <v>아카데미 악역 엑스트라로 사는 법 595화</v>
      </c>
      <c r="F4060">
        <v>596</v>
      </c>
      <c r="G4060" t="str">
        <f>T("김서건")</f>
        <v>김서건</v>
      </c>
      <c r="J4060" t="str">
        <f>T("매드햇")</f>
        <v>매드햇</v>
      </c>
      <c r="K4060" t="str">
        <f>T("아카데미 악역 엑스트라로 사는 법")</f>
        <v>아카데미 악역 엑스트라로 사는 법</v>
      </c>
      <c r="L4060">
        <v>100</v>
      </c>
      <c r="M4060">
        <v>100</v>
      </c>
      <c r="N4060">
        <v>1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0</v>
      </c>
      <c r="AE4060">
        <v>0</v>
      </c>
      <c r="AF4060">
        <v>0</v>
      </c>
      <c r="AG4060">
        <v>0</v>
      </c>
      <c r="AH4060">
        <v>0</v>
      </c>
      <c r="AI4060">
        <v>100</v>
      </c>
      <c r="AJ4060">
        <v>1</v>
      </c>
      <c r="AK4060">
        <v>0</v>
      </c>
      <c r="AL4060">
        <v>0</v>
      </c>
      <c r="AM4060">
        <v>100</v>
      </c>
      <c r="AN4060">
        <v>0</v>
      </c>
      <c r="AO4060">
        <v>0</v>
      </c>
      <c r="AP4060">
        <v>0</v>
      </c>
      <c r="AQ4060">
        <v>0</v>
      </c>
      <c r="AS4060">
        <v>0</v>
      </c>
      <c r="AT4060">
        <v>0</v>
      </c>
      <c r="AV4060">
        <v>0</v>
      </c>
      <c r="AW4060">
        <v>0</v>
      </c>
      <c r="AY4060">
        <v>0</v>
      </c>
      <c r="AZ4060">
        <v>0</v>
      </c>
      <c r="BA4060">
        <v>60</v>
      </c>
      <c r="BE4060" t="str">
        <f>T("9791137017818")</f>
        <v>9791137017818</v>
      </c>
      <c r="BF4060" t="str">
        <f>T("D227212")</f>
        <v>D227212</v>
      </c>
      <c r="BG4060" t="str">
        <f>T("판타지 웹소설 &gt; 퓨전 판타지")</f>
        <v>판타지 웹소설 &gt; 퓨전 판타지</v>
      </c>
    </row>
    <row r="4061" spans="1:59">
      <c r="A4061" t="s">
        <v>60</v>
      </c>
      <c r="B4061" s="1">
        <v>46129</v>
      </c>
      <c r="C4061">
        <v>2378059085</v>
      </c>
      <c r="D4061">
        <v>2378081219</v>
      </c>
      <c r="E4061" t="str">
        <f>T("아카데미 악역 엑스트라로 사는 법 596화")</f>
        <v>아카데미 악역 엑스트라로 사는 법 596화</v>
      </c>
      <c r="F4061">
        <v>597</v>
      </c>
      <c r="G4061" t="str">
        <f>T("김서건")</f>
        <v>김서건</v>
      </c>
      <c r="J4061" t="str">
        <f>T("매드햇")</f>
        <v>매드햇</v>
      </c>
      <c r="K4061" t="str">
        <f>T("아카데미 악역 엑스트라로 사는 법")</f>
        <v>아카데미 악역 엑스트라로 사는 법</v>
      </c>
      <c r="L4061">
        <v>100</v>
      </c>
      <c r="M4061">
        <v>200</v>
      </c>
      <c r="N4061">
        <v>2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0</v>
      </c>
      <c r="AE4061">
        <v>0</v>
      </c>
      <c r="AF4061">
        <v>0</v>
      </c>
      <c r="AG4061">
        <v>0</v>
      </c>
      <c r="AH4061">
        <v>0</v>
      </c>
      <c r="AI4061">
        <v>200</v>
      </c>
      <c r="AJ4061">
        <v>2</v>
      </c>
      <c r="AK4061">
        <v>0</v>
      </c>
      <c r="AL4061">
        <v>0</v>
      </c>
      <c r="AM4061">
        <v>200</v>
      </c>
      <c r="AN4061">
        <v>0</v>
      </c>
      <c r="AO4061">
        <v>0</v>
      </c>
      <c r="AP4061">
        <v>0</v>
      </c>
      <c r="AQ4061">
        <v>0</v>
      </c>
      <c r="AS4061">
        <v>0</v>
      </c>
      <c r="AT4061">
        <v>0</v>
      </c>
      <c r="AV4061">
        <v>0</v>
      </c>
      <c r="AW4061">
        <v>0</v>
      </c>
      <c r="AY4061">
        <v>0</v>
      </c>
      <c r="AZ4061">
        <v>0</v>
      </c>
      <c r="BA4061">
        <v>120</v>
      </c>
      <c r="BE4061" t="str">
        <f>T("9791137017818")</f>
        <v>9791137017818</v>
      </c>
      <c r="BF4061" t="str">
        <f>T("D227213")</f>
        <v>D227213</v>
      </c>
      <c r="BG4061" t="str">
        <f>T("판타지 웹소설 &gt; 퓨전 판타지")</f>
        <v>판타지 웹소설 &gt; 퓨전 판타지</v>
      </c>
    </row>
    <row r="4062" spans="1:59">
      <c r="A4062" t="s">
        <v>60</v>
      </c>
      <c r="B4062" s="1">
        <v>46129</v>
      </c>
      <c r="C4062">
        <v>2378059085</v>
      </c>
      <c r="D4062">
        <v>2378081223</v>
      </c>
      <c r="E4062" t="str">
        <f>T("아카데미 악역 엑스트라로 사는 법 597화")</f>
        <v>아카데미 악역 엑스트라로 사는 법 597화</v>
      </c>
      <c r="F4062">
        <v>598</v>
      </c>
      <c r="G4062" t="str">
        <f>T("김서건")</f>
        <v>김서건</v>
      </c>
      <c r="J4062" t="str">
        <f>T("매드햇")</f>
        <v>매드햇</v>
      </c>
      <c r="K4062" t="str">
        <f>T("아카데미 악역 엑스트라로 사는 법")</f>
        <v>아카데미 악역 엑스트라로 사는 법</v>
      </c>
      <c r="L4062">
        <v>100</v>
      </c>
      <c r="M4062">
        <v>100</v>
      </c>
      <c r="N4062">
        <v>1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0</v>
      </c>
      <c r="AE4062">
        <v>0</v>
      </c>
      <c r="AF4062">
        <v>0</v>
      </c>
      <c r="AG4062">
        <v>0</v>
      </c>
      <c r="AH4062">
        <v>0</v>
      </c>
      <c r="AI4062">
        <v>100</v>
      </c>
      <c r="AJ4062">
        <v>1</v>
      </c>
      <c r="AK4062">
        <v>0</v>
      </c>
      <c r="AL4062">
        <v>0</v>
      </c>
      <c r="AM4062">
        <v>100</v>
      </c>
      <c r="AN4062">
        <v>0</v>
      </c>
      <c r="AO4062">
        <v>0</v>
      </c>
      <c r="AP4062">
        <v>0</v>
      </c>
      <c r="AQ4062">
        <v>0</v>
      </c>
      <c r="AS4062">
        <v>0</v>
      </c>
      <c r="AT4062">
        <v>0</v>
      </c>
      <c r="AV4062">
        <v>0</v>
      </c>
      <c r="AW4062">
        <v>0</v>
      </c>
      <c r="AY4062">
        <v>0</v>
      </c>
      <c r="AZ4062">
        <v>0</v>
      </c>
      <c r="BA4062">
        <v>60</v>
      </c>
      <c r="BE4062" t="str">
        <f>T("9791137017818")</f>
        <v>9791137017818</v>
      </c>
      <c r="BF4062" t="str">
        <f>T("D227214")</f>
        <v>D227214</v>
      </c>
      <c r="BG4062" t="str">
        <f>T("판타지 웹소설 &gt; 퓨전 판타지")</f>
        <v>판타지 웹소설 &gt; 퓨전 판타지</v>
      </c>
    </row>
    <row r="4063" spans="1:59">
      <c r="A4063" t="s">
        <v>60</v>
      </c>
      <c r="B4063" s="1">
        <v>46129</v>
      </c>
      <c r="C4063">
        <v>2378059085</v>
      </c>
      <c r="D4063">
        <v>2378081225</v>
      </c>
      <c r="E4063" t="str">
        <f>T("아카데미 악역 엑스트라로 사는 법 598화")</f>
        <v>아카데미 악역 엑스트라로 사는 법 598화</v>
      </c>
      <c r="F4063">
        <v>599</v>
      </c>
      <c r="G4063" t="str">
        <f>T("김서건")</f>
        <v>김서건</v>
      </c>
      <c r="J4063" t="str">
        <f>T("매드햇")</f>
        <v>매드햇</v>
      </c>
      <c r="K4063" t="str">
        <f>T("아카데미 악역 엑스트라로 사는 법")</f>
        <v>아카데미 악역 엑스트라로 사는 법</v>
      </c>
      <c r="L4063">
        <v>100</v>
      </c>
      <c r="M4063">
        <v>100</v>
      </c>
      <c r="N4063">
        <v>1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0</v>
      </c>
      <c r="AE4063">
        <v>0</v>
      </c>
      <c r="AF4063">
        <v>0</v>
      </c>
      <c r="AG4063">
        <v>0</v>
      </c>
      <c r="AH4063">
        <v>0</v>
      </c>
      <c r="AI4063">
        <v>100</v>
      </c>
      <c r="AJ4063">
        <v>1</v>
      </c>
      <c r="AK4063">
        <v>0</v>
      </c>
      <c r="AL4063">
        <v>0</v>
      </c>
      <c r="AM4063">
        <v>100</v>
      </c>
      <c r="AN4063">
        <v>0</v>
      </c>
      <c r="AO4063">
        <v>0</v>
      </c>
      <c r="AP4063">
        <v>0</v>
      </c>
      <c r="AQ4063">
        <v>0</v>
      </c>
      <c r="AS4063">
        <v>0</v>
      </c>
      <c r="AT4063">
        <v>0</v>
      </c>
      <c r="AV4063">
        <v>0</v>
      </c>
      <c r="AW4063">
        <v>0</v>
      </c>
      <c r="AY4063">
        <v>0</v>
      </c>
      <c r="AZ4063">
        <v>0</v>
      </c>
      <c r="BA4063">
        <v>60</v>
      </c>
      <c r="BE4063" t="str">
        <f>T("9791137017818")</f>
        <v>9791137017818</v>
      </c>
      <c r="BF4063" t="str">
        <f>T("D227215")</f>
        <v>D227215</v>
      </c>
      <c r="BG4063" t="str">
        <f>T("판타지 웹소설 &gt; 퓨전 판타지")</f>
        <v>판타지 웹소설 &gt; 퓨전 판타지</v>
      </c>
    </row>
    <row r="4064" spans="1:59">
      <c r="A4064" t="s">
        <v>60</v>
      </c>
      <c r="B4064" s="1">
        <v>46129</v>
      </c>
      <c r="C4064">
        <v>2378059085</v>
      </c>
      <c r="D4064">
        <v>2378081236</v>
      </c>
      <c r="E4064" t="str">
        <f>T("아카데미 악역 엑스트라로 사는 법 599화")</f>
        <v>아카데미 악역 엑스트라로 사는 법 599화</v>
      </c>
      <c r="F4064">
        <v>600</v>
      </c>
      <c r="G4064" t="str">
        <f>T("김서건")</f>
        <v>김서건</v>
      </c>
      <c r="J4064" t="str">
        <f>T("매드햇")</f>
        <v>매드햇</v>
      </c>
      <c r="K4064" t="str">
        <f>T("아카데미 악역 엑스트라로 사는 법")</f>
        <v>아카데미 악역 엑스트라로 사는 법</v>
      </c>
      <c r="L4064">
        <v>100</v>
      </c>
      <c r="M4064">
        <v>100</v>
      </c>
      <c r="N4064">
        <v>1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0</v>
      </c>
      <c r="AE4064">
        <v>0</v>
      </c>
      <c r="AF4064">
        <v>0</v>
      </c>
      <c r="AG4064">
        <v>0</v>
      </c>
      <c r="AH4064">
        <v>0</v>
      </c>
      <c r="AI4064">
        <v>100</v>
      </c>
      <c r="AJ4064">
        <v>1</v>
      </c>
      <c r="AK4064">
        <v>0</v>
      </c>
      <c r="AL4064">
        <v>0</v>
      </c>
      <c r="AM4064">
        <v>100</v>
      </c>
      <c r="AN4064">
        <v>0</v>
      </c>
      <c r="AO4064">
        <v>0</v>
      </c>
      <c r="AP4064">
        <v>0</v>
      </c>
      <c r="AQ4064">
        <v>0</v>
      </c>
      <c r="AS4064">
        <v>0</v>
      </c>
      <c r="AT4064">
        <v>0</v>
      </c>
      <c r="AV4064">
        <v>0</v>
      </c>
      <c r="AW4064">
        <v>0</v>
      </c>
      <c r="AY4064">
        <v>0</v>
      </c>
      <c r="AZ4064">
        <v>0</v>
      </c>
      <c r="BA4064">
        <v>60</v>
      </c>
      <c r="BE4064" t="str">
        <f>T("9791137017818")</f>
        <v>9791137017818</v>
      </c>
      <c r="BF4064" t="str">
        <f>T("D227216")</f>
        <v>D227216</v>
      </c>
      <c r="BG4064" t="str">
        <f>T("판타지 웹소설 &gt; 퓨전 판타지")</f>
        <v>판타지 웹소설 &gt; 퓨전 판타지</v>
      </c>
    </row>
    <row r="4065" spans="1:59">
      <c r="A4065" t="s">
        <v>60</v>
      </c>
      <c r="B4065" s="1">
        <v>46129</v>
      </c>
      <c r="C4065">
        <v>2378059085</v>
      </c>
      <c r="D4065">
        <v>2378081237</v>
      </c>
      <c r="E4065" t="str">
        <f>T("아카데미 악역 엑스트라로 사는 법 600화")</f>
        <v>아카데미 악역 엑스트라로 사는 법 600화</v>
      </c>
      <c r="F4065">
        <v>601</v>
      </c>
      <c r="G4065" t="str">
        <f>T("김서건")</f>
        <v>김서건</v>
      </c>
      <c r="J4065" t="str">
        <f>T("매드햇")</f>
        <v>매드햇</v>
      </c>
      <c r="K4065" t="str">
        <f>T("아카데미 악역 엑스트라로 사는 법")</f>
        <v>아카데미 악역 엑스트라로 사는 법</v>
      </c>
      <c r="L4065">
        <v>100</v>
      </c>
      <c r="M4065">
        <v>100</v>
      </c>
      <c r="N4065">
        <v>1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0</v>
      </c>
      <c r="AE4065">
        <v>0</v>
      </c>
      <c r="AF4065">
        <v>0</v>
      </c>
      <c r="AG4065">
        <v>0</v>
      </c>
      <c r="AH4065">
        <v>0</v>
      </c>
      <c r="AI4065">
        <v>100</v>
      </c>
      <c r="AJ4065">
        <v>1</v>
      </c>
      <c r="AK4065">
        <v>0</v>
      </c>
      <c r="AL4065">
        <v>0</v>
      </c>
      <c r="AM4065">
        <v>100</v>
      </c>
      <c r="AN4065">
        <v>0</v>
      </c>
      <c r="AO4065">
        <v>0</v>
      </c>
      <c r="AP4065">
        <v>0</v>
      </c>
      <c r="AQ4065">
        <v>0</v>
      </c>
      <c r="AS4065">
        <v>0</v>
      </c>
      <c r="AT4065">
        <v>0</v>
      </c>
      <c r="AV4065">
        <v>0</v>
      </c>
      <c r="AW4065">
        <v>0</v>
      </c>
      <c r="AY4065">
        <v>0</v>
      </c>
      <c r="AZ4065">
        <v>0</v>
      </c>
      <c r="BA4065">
        <v>60</v>
      </c>
      <c r="BE4065" t="str">
        <f>T("9791137017818")</f>
        <v>9791137017818</v>
      </c>
      <c r="BF4065" t="str">
        <f>T("D227217")</f>
        <v>D227217</v>
      </c>
      <c r="BG4065" t="str">
        <f>T("판타지 웹소설 &gt; 퓨전 판타지")</f>
        <v>판타지 웹소설 &gt; 퓨전 판타지</v>
      </c>
    </row>
    <row r="4066" spans="1:59">
      <c r="A4066" t="s">
        <v>60</v>
      </c>
      <c r="B4066" s="1">
        <v>46129</v>
      </c>
      <c r="C4066">
        <v>2378059085</v>
      </c>
      <c r="D4066">
        <v>2378081243</v>
      </c>
      <c r="E4066" t="str">
        <f>T("아카데미 악역 엑스트라로 사는 법 601화")</f>
        <v>아카데미 악역 엑스트라로 사는 법 601화</v>
      </c>
      <c r="F4066">
        <v>602</v>
      </c>
      <c r="G4066" t="str">
        <f>T("김서건")</f>
        <v>김서건</v>
      </c>
      <c r="J4066" t="str">
        <f>T("매드햇")</f>
        <v>매드햇</v>
      </c>
      <c r="K4066" t="str">
        <f>T("아카데미 악역 엑스트라로 사는 법")</f>
        <v>아카데미 악역 엑스트라로 사는 법</v>
      </c>
      <c r="L4066">
        <v>100</v>
      </c>
      <c r="M4066">
        <v>200</v>
      </c>
      <c r="N4066">
        <v>2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0</v>
      </c>
      <c r="AE4066">
        <v>0</v>
      </c>
      <c r="AF4066">
        <v>0</v>
      </c>
      <c r="AG4066">
        <v>0</v>
      </c>
      <c r="AH4066">
        <v>0</v>
      </c>
      <c r="AI4066">
        <v>200</v>
      </c>
      <c r="AJ4066">
        <v>2</v>
      </c>
      <c r="AK4066">
        <v>0</v>
      </c>
      <c r="AL4066">
        <v>0</v>
      </c>
      <c r="AM4066">
        <v>200</v>
      </c>
      <c r="AN4066">
        <v>0</v>
      </c>
      <c r="AO4066">
        <v>0</v>
      </c>
      <c r="AP4066">
        <v>0</v>
      </c>
      <c r="AQ4066">
        <v>0</v>
      </c>
      <c r="AS4066">
        <v>0</v>
      </c>
      <c r="AT4066">
        <v>0</v>
      </c>
      <c r="AV4066">
        <v>0</v>
      </c>
      <c r="AW4066">
        <v>0</v>
      </c>
      <c r="AY4066">
        <v>0</v>
      </c>
      <c r="AZ4066">
        <v>0</v>
      </c>
      <c r="BA4066">
        <v>120</v>
      </c>
      <c r="BE4066" t="str">
        <f>T("9791137017818")</f>
        <v>9791137017818</v>
      </c>
      <c r="BF4066" t="str">
        <f>T("D268917")</f>
        <v>D268917</v>
      </c>
      <c r="BG4066" t="str">
        <f>T("판타지 웹소설 &gt; 퓨전 판타지")</f>
        <v>판타지 웹소설 &gt; 퓨전 판타지</v>
      </c>
    </row>
    <row r="4067" spans="1:59">
      <c r="A4067" t="s">
        <v>60</v>
      </c>
      <c r="B4067" s="1">
        <v>46129</v>
      </c>
      <c r="C4067">
        <v>2378059085</v>
      </c>
      <c r="D4067">
        <v>2378081247</v>
      </c>
      <c r="E4067" t="str">
        <f>T("아카데미 악역 엑스트라로 사는 법 602화")</f>
        <v>아카데미 악역 엑스트라로 사는 법 602화</v>
      </c>
      <c r="F4067">
        <v>603</v>
      </c>
      <c r="G4067" t="str">
        <f>T("김서건")</f>
        <v>김서건</v>
      </c>
      <c r="J4067" t="str">
        <f>T("매드햇")</f>
        <v>매드햇</v>
      </c>
      <c r="K4067" t="str">
        <f>T("아카데미 악역 엑스트라로 사는 법")</f>
        <v>아카데미 악역 엑스트라로 사는 법</v>
      </c>
      <c r="L4067">
        <v>100</v>
      </c>
      <c r="M4067">
        <v>600</v>
      </c>
      <c r="N4067">
        <v>6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0</v>
      </c>
      <c r="AE4067">
        <v>0</v>
      </c>
      <c r="AF4067">
        <v>0</v>
      </c>
      <c r="AG4067">
        <v>0</v>
      </c>
      <c r="AH4067">
        <v>0</v>
      </c>
      <c r="AI4067">
        <v>600</v>
      </c>
      <c r="AJ4067">
        <v>6</v>
      </c>
      <c r="AK4067">
        <v>0</v>
      </c>
      <c r="AL4067">
        <v>0</v>
      </c>
      <c r="AM4067">
        <v>600</v>
      </c>
      <c r="AN4067">
        <v>0</v>
      </c>
      <c r="AO4067">
        <v>0</v>
      </c>
      <c r="AP4067">
        <v>0</v>
      </c>
      <c r="AQ4067">
        <v>0</v>
      </c>
      <c r="AS4067">
        <v>0</v>
      </c>
      <c r="AT4067">
        <v>0</v>
      </c>
      <c r="AV4067">
        <v>0</v>
      </c>
      <c r="AW4067">
        <v>0</v>
      </c>
      <c r="AY4067">
        <v>0</v>
      </c>
      <c r="AZ4067">
        <v>0</v>
      </c>
      <c r="BA4067">
        <v>360</v>
      </c>
      <c r="BE4067" t="str">
        <f>T("9791137017818")</f>
        <v>9791137017818</v>
      </c>
      <c r="BF4067" t="str">
        <f>T("D268918")</f>
        <v>D268918</v>
      </c>
      <c r="BG4067" t="str">
        <f>T("판타지 웹소설 &gt; 퓨전 판타지")</f>
        <v>판타지 웹소설 &gt; 퓨전 판타지</v>
      </c>
    </row>
    <row r="4068" spans="1:59">
      <c r="A4068" t="s">
        <v>60</v>
      </c>
      <c r="B4068" s="1">
        <v>46129</v>
      </c>
      <c r="C4068">
        <v>2378059085</v>
      </c>
      <c r="D4068">
        <v>2378059085</v>
      </c>
      <c r="E4068" t="str">
        <f>T("아카데미 악역 엑스트라로 사는 법 1화")</f>
        <v>아카데미 악역 엑스트라로 사는 법 1화</v>
      </c>
      <c r="F4068">
        <v>1</v>
      </c>
      <c r="G4068" t="str">
        <f>T("김서건")</f>
        <v>김서건</v>
      </c>
      <c r="J4068" t="str">
        <f>T("매드햇")</f>
        <v>매드햇</v>
      </c>
      <c r="K4068" t="str">
        <f>T("아카데미 악역 엑스트라로 사는 법")</f>
        <v>아카데미 악역 엑스트라로 사는 법</v>
      </c>
      <c r="L4068">
        <v>0</v>
      </c>
      <c r="M4068">
        <v>0</v>
      </c>
      <c r="N4068">
        <v>0</v>
      </c>
      <c r="O4068">
        <v>1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0</v>
      </c>
      <c r="AE4068">
        <v>0</v>
      </c>
      <c r="AF4068">
        <v>0</v>
      </c>
      <c r="AG4068">
        <v>0</v>
      </c>
      <c r="AH4068">
        <v>0</v>
      </c>
      <c r="AI4068">
        <v>0</v>
      </c>
      <c r="AJ4068">
        <v>1</v>
      </c>
      <c r="AK4068">
        <v>0</v>
      </c>
      <c r="AL4068">
        <v>0</v>
      </c>
      <c r="AM4068">
        <v>0</v>
      </c>
      <c r="AN4068">
        <v>0</v>
      </c>
      <c r="AO4068">
        <v>0</v>
      </c>
      <c r="AP4068">
        <v>0</v>
      </c>
      <c r="AQ4068">
        <v>0</v>
      </c>
      <c r="AS4068">
        <v>0</v>
      </c>
      <c r="AT4068">
        <v>0</v>
      </c>
      <c r="AV4068">
        <v>0</v>
      </c>
      <c r="AW4068">
        <v>0</v>
      </c>
      <c r="AY4068">
        <v>0</v>
      </c>
      <c r="AZ4068">
        <v>0</v>
      </c>
      <c r="BA4068">
        <v>0</v>
      </c>
      <c r="BE4068" t="str">
        <f>T("9791137017818")</f>
        <v>9791137017818</v>
      </c>
      <c r="BF4068" t="str">
        <f>T("k196847")</f>
        <v>k196847</v>
      </c>
      <c r="BG4068" t="str">
        <f>T("판타지 웹소설 &gt; 퓨전 판타지")</f>
        <v>판타지 웹소설 &gt; 퓨전 판타지</v>
      </c>
    </row>
    <row r="4069" spans="1:59">
      <c r="A4069" t="s">
        <v>60</v>
      </c>
      <c r="B4069" s="1">
        <v>46129</v>
      </c>
      <c r="C4069">
        <v>2378059085</v>
      </c>
      <c r="D4069">
        <v>2378059086</v>
      </c>
      <c r="E4069" t="str">
        <f>T("아카데미 악역 엑스트라로 사는 법 2화")</f>
        <v>아카데미 악역 엑스트라로 사는 법 2화</v>
      </c>
      <c r="F4069">
        <v>2</v>
      </c>
      <c r="G4069" t="str">
        <f>T("김서건")</f>
        <v>김서건</v>
      </c>
      <c r="J4069" t="str">
        <f>T("매드햇")</f>
        <v>매드햇</v>
      </c>
      <c r="K4069" t="str">
        <f>T("아카데미 악역 엑스트라로 사는 법")</f>
        <v>아카데미 악역 엑스트라로 사는 법</v>
      </c>
      <c r="L4069">
        <v>0</v>
      </c>
      <c r="M4069">
        <v>0</v>
      </c>
      <c r="N4069">
        <v>0</v>
      </c>
      <c r="O4069">
        <v>1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0</v>
      </c>
      <c r="AE4069">
        <v>0</v>
      </c>
      <c r="AF4069">
        <v>0</v>
      </c>
      <c r="AG4069">
        <v>0</v>
      </c>
      <c r="AH4069">
        <v>0</v>
      </c>
      <c r="AI4069">
        <v>0</v>
      </c>
      <c r="AJ4069">
        <v>1</v>
      </c>
      <c r="AK4069">
        <v>0</v>
      </c>
      <c r="AL4069">
        <v>0</v>
      </c>
      <c r="AM4069">
        <v>0</v>
      </c>
      <c r="AN4069">
        <v>0</v>
      </c>
      <c r="AO4069">
        <v>0</v>
      </c>
      <c r="AP4069">
        <v>0</v>
      </c>
      <c r="AQ4069">
        <v>0</v>
      </c>
      <c r="AS4069">
        <v>0</v>
      </c>
      <c r="AT4069">
        <v>0</v>
      </c>
      <c r="AV4069">
        <v>0</v>
      </c>
      <c r="AW4069">
        <v>0</v>
      </c>
      <c r="AY4069">
        <v>0</v>
      </c>
      <c r="AZ4069">
        <v>0</v>
      </c>
      <c r="BA4069">
        <v>0</v>
      </c>
      <c r="BE4069" t="str">
        <f>T("9791137017818")</f>
        <v>9791137017818</v>
      </c>
      <c r="BF4069" t="str">
        <f>T("k196848")</f>
        <v>k196848</v>
      </c>
      <c r="BG4069" t="str">
        <f>T("판타지 웹소설 &gt; 퓨전 판타지")</f>
        <v>판타지 웹소설 &gt; 퓨전 판타지</v>
      </c>
    </row>
    <row r="4070" spans="1:59">
      <c r="A4070" t="s">
        <v>60</v>
      </c>
      <c r="B4070" s="1">
        <v>46129</v>
      </c>
      <c r="C4070">
        <v>2378059085</v>
      </c>
      <c r="D4070">
        <v>2378059087</v>
      </c>
      <c r="E4070" t="str">
        <f>T("아카데미 악역 엑스트라로 사는 법 3화")</f>
        <v>아카데미 악역 엑스트라로 사는 법 3화</v>
      </c>
      <c r="F4070">
        <v>3</v>
      </c>
      <c r="G4070" t="str">
        <f>T("김서건")</f>
        <v>김서건</v>
      </c>
      <c r="J4070" t="str">
        <f>T("매드햇")</f>
        <v>매드햇</v>
      </c>
      <c r="K4070" t="str">
        <f>T("아카데미 악역 엑스트라로 사는 법")</f>
        <v>아카데미 악역 엑스트라로 사는 법</v>
      </c>
      <c r="L4070">
        <v>0</v>
      </c>
      <c r="M4070">
        <v>0</v>
      </c>
      <c r="N4070">
        <v>0</v>
      </c>
      <c r="O4070">
        <v>1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0</v>
      </c>
      <c r="AE4070">
        <v>0</v>
      </c>
      <c r="AF4070">
        <v>0</v>
      </c>
      <c r="AG4070">
        <v>0</v>
      </c>
      <c r="AH4070">
        <v>0</v>
      </c>
      <c r="AI4070">
        <v>0</v>
      </c>
      <c r="AJ4070">
        <v>1</v>
      </c>
      <c r="AK4070">
        <v>0</v>
      </c>
      <c r="AL4070">
        <v>0</v>
      </c>
      <c r="AM4070">
        <v>0</v>
      </c>
      <c r="AN4070">
        <v>0</v>
      </c>
      <c r="AO4070">
        <v>0</v>
      </c>
      <c r="AP4070">
        <v>0</v>
      </c>
      <c r="AQ4070">
        <v>0</v>
      </c>
      <c r="AS4070">
        <v>0</v>
      </c>
      <c r="AT4070">
        <v>0</v>
      </c>
      <c r="AV4070">
        <v>0</v>
      </c>
      <c r="AW4070">
        <v>0</v>
      </c>
      <c r="AY4070">
        <v>0</v>
      </c>
      <c r="AZ4070">
        <v>0</v>
      </c>
      <c r="BA4070">
        <v>0</v>
      </c>
      <c r="BE4070" t="str">
        <f>T("9791137017818")</f>
        <v>9791137017818</v>
      </c>
      <c r="BF4070" t="str">
        <f>T("k196849")</f>
        <v>k196849</v>
      </c>
      <c r="BG4070" t="str">
        <f>T("판타지 웹소설 &gt; 퓨전 판타지")</f>
        <v>판타지 웹소설 &gt; 퓨전 판타지</v>
      </c>
    </row>
    <row r="4071" spans="1:59">
      <c r="A4071" t="s">
        <v>60</v>
      </c>
      <c r="B4071" s="1">
        <v>46129</v>
      </c>
      <c r="C4071">
        <v>2378059085</v>
      </c>
      <c r="D4071">
        <v>2378059088</v>
      </c>
      <c r="E4071" t="str">
        <f>T("아카데미 악역 엑스트라로 사는 법 4화")</f>
        <v>아카데미 악역 엑스트라로 사는 법 4화</v>
      </c>
      <c r="F4071">
        <v>4</v>
      </c>
      <c r="G4071" t="str">
        <f>T("김서건")</f>
        <v>김서건</v>
      </c>
      <c r="J4071" t="str">
        <f>T("매드햇")</f>
        <v>매드햇</v>
      </c>
      <c r="K4071" t="str">
        <f>T("아카데미 악역 엑스트라로 사는 법")</f>
        <v>아카데미 악역 엑스트라로 사는 법</v>
      </c>
      <c r="L4071">
        <v>0</v>
      </c>
      <c r="M4071">
        <v>0</v>
      </c>
      <c r="N4071">
        <v>0</v>
      </c>
      <c r="O4071">
        <v>1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0</v>
      </c>
      <c r="AE4071">
        <v>0</v>
      </c>
      <c r="AF4071">
        <v>0</v>
      </c>
      <c r="AG4071">
        <v>0</v>
      </c>
      <c r="AH4071">
        <v>0</v>
      </c>
      <c r="AI4071">
        <v>0</v>
      </c>
      <c r="AJ4071">
        <v>1</v>
      </c>
      <c r="AK4071">
        <v>0</v>
      </c>
      <c r="AL4071">
        <v>0</v>
      </c>
      <c r="AM4071">
        <v>0</v>
      </c>
      <c r="AN4071">
        <v>0</v>
      </c>
      <c r="AO4071">
        <v>0</v>
      </c>
      <c r="AP4071">
        <v>0</v>
      </c>
      <c r="AQ4071">
        <v>0</v>
      </c>
      <c r="AS4071">
        <v>0</v>
      </c>
      <c r="AT4071">
        <v>0</v>
      </c>
      <c r="AV4071">
        <v>0</v>
      </c>
      <c r="AW4071">
        <v>0</v>
      </c>
      <c r="AY4071">
        <v>0</v>
      </c>
      <c r="AZ4071">
        <v>0</v>
      </c>
      <c r="BA4071">
        <v>0</v>
      </c>
      <c r="BE4071" t="str">
        <f>T("9791137017818")</f>
        <v>9791137017818</v>
      </c>
      <c r="BF4071" t="str">
        <f>T("k196850")</f>
        <v>k196850</v>
      </c>
      <c r="BG4071" t="str">
        <f>T("판타지 웹소설 &gt; 퓨전 판타지")</f>
        <v>판타지 웹소설 &gt; 퓨전 판타지</v>
      </c>
    </row>
    <row r="4072" spans="1:59">
      <c r="A4072" t="s">
        <v>60</v>
      </c>
      <c r="B4072" s="1">
        <v>46129</v>
      </c>
      <c r="C4072">
        <v>2378059085</v>
      </c>
      <c r="D4072">
        <v>2378059089</v>
      </c>
      <c r="E4072" t="str">
        <f>T("아카데미 악역 엑스트라로 사는 법 5화")</f>
        <v>아카데미 악역 엑스트라로 사는 법 5화</v>
      </c>
      <c r="F4072">
        <v>5</v>
      </c>
      <c r="G4072" t="str">
        <f>T("김서건")</f>
        <v>김서건</v>
      </c>
      <c r="J4072" t="str">
        <f>T("매드햇")</f>
        <v>매드햇</v>
      </c>
      <c r="K4072" t="str">
        <f>T("아카데미 악역 엑스트라로 사는 법")</f>
        <v>아카데미 악역 엑스트라로 사는 법</v>
      </c>
      <c r="L4072">
        <v>0</v>
      </c>
      <c r="M4072">
        <v>0</v>
      </c>
      <c r="N4072">
        <v>0</v>
      </c>
      <c r="O4072">
        <v>1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0</v>
      </c>
      <c r="AE4072">
        <v>0</v>
      </c>
      <c r="AF4072">
        <v>0</v>
      </c>
      <c r="AG4072">
        <v>0</v>
      </c>
      <c r="AH4072">
        <v>0</v>
      </c>
      <c r="AI4072">
        <v>0</v>
      </c>
      <c r="AJ4072">
        <v>1</v>
      </c>
      <c r="AK4072">
        <v>0</v>
      </c>
      <c r="AL4072">
        <v>0</v>
      </c>
      <c r="AM4072">
        <v>0</v>
      </c>
      <c r="AN4072">
        <v>0</v>
      </c>
      <c r="AO4072">
        <v>0</v>
      </c>
      <c r="AP4072">
        <v>0</v>
      </c>
      <c r="AQ4072">
        <v>0</v>
      </c>
      <c r="AS4072">
        <v>0</v>
      </c>
      <c r="AT4072">
        <v>0</v>
      </c>
      <c r="AV4072">
        <v>0</v>
      </c>
      <c r="AW4072">
        <v>0</v>
      </c>
      <c r="AY4072">
        <v>0</v>
      </c>
      <c r="AZ4072">
        <v>0</v>
      </c>
      <c r="BA4072">
        <v>0</v>
      </c>
      <c r="BE4072" t="str">
        <f>T("9791137017818")</f>
        <v>9791137017818</v>
      </c>
      <c r="BF4072" t="str">
        <f>T("k196851")</f>
        <v>k196851</v>
      </c>
      <c r="BG4072" t="str">
        <f>T("판타지 웹소설 &gt; 퓨전 판타지")</f>
        <v>판타지 웹소설 &gt; 퓨전 판타지</v>
      </c>
    </row>
    <row r="4073" spans="1:59">
      <c r="A4073" t="s">
        <v>60</v>
      </c>
      <c r="B4073" s="1">
        <v>46129</v>
      </c>
      <c r="C4073">
        <v>2378059085</v>
      </c>
      <c r="D4073">
        <v>2378059090</v>
      </c>
      <c r="E4073" t="str">
        <f>T("아카데미 악역 엑스트라로 사는 법 6화")</f>
        <v>아카데미 악역 엑스트라로 사는 법 6화</v>
      </c>
      <c r="F4073">
        <v>6</v>
      </c>
      <c r="G4073" t="str">
        <f>T("김서건")</f>
        <v>김서건</v>
      </c>
      <c r="J4073" t="str">
        <f>T("매드햇")</f>
        <v>매드햇</v>
      </c>
      <c r="K4073" t="str">
        <f>T("아카데미 악역 엑스트라로 사는 법")</f>
        <v>아카데미 악역 엑스트라로 사는 법</v>
      </c>
      <c r="L4073">
        <v>0</v>
      </c>
      <c r="M4073">
        <v>0</v>
      </c>
      <c r="N4073">
        <v>0</v>
      </c>
      <c r="O4073">
        <v>1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0</v>
      </c>
      <c r="AE4073">
        <v>0</v>
      </c>
      <c r="AF4073">
        <v>0</v>
      </c>
      <c r="AG4073">
        <v>0</v>
      </c>
      <c r="AH4073">
        <v>0</v>
      </c>
      <c r="AI4073">
        <v>0</v>
      </c>
      <c r="AJ4073">
        <v>1</v>
      </c>
      <c r="AK4073">
        <v>0</v>
      </c>
      <c r="AL4073">
        <v>0</v>
      </c>
      <c r="AM4073">
        <v>0</v>
      </c>
      <c r="AN4073">
        <v>0</v>
      </c>
      <c r="AO4073">
        <v>0</v>
      </c>
      <c r="AP4073">
        <v>0</v>
      </c>
      <c r="AQ4073">
        <v>0</v>
      </c>
      <c r="AS4073">
        <v>0</v>
      </c>
      <c r="AT4073">
        <v>0</v>
      </c>
      <c r="AV4073">
        <v>0</v>
      </c>
      <c r="AW4073">
        <v>0</v>
      </c>
      <c r="AY4073">
        <v>0</v>
      </c>
      <c r="AZ4073">
        <v>0</v>
      </c>
      <c r="BA4073">
        <v>0</v>
      </c>
      <c r="BE4073" t="str">
        <f>T("9791137017818")</f>
        <v>9791137017818</v>
      </c>
      <c r="BF4073" t="str">
        <f>T("k196852")</f>
        <v>k196852</v>
      </c>
      <c r="BG4073" t="str">
        <f>T("판타지 웹소설 &gt; 퓨전 판타지")</f>
        <v>판타지 웹소설 &gt; 퓨전 판타지</v>
      </c>
    </row>
    <row r="4074" spans="1:59">
      <c r="A4074" t="s">
        <v>60</v>
      </c>
      <c r="B4074" s="1">
        <v>46129</v>
      </c>
      <c r="C4074">
        <v>2378059085</v>
      </c>
      <c r="D4074">
        <v>2378059091</v>
      </c>
      <c r="E4074" t="str">
        <f>T("아카데미 악역 엑스트라로 사는 법 7화")</f>
        <v>아카데미 악역 엑스트라로 사는 법 7화</v>
      </c>
      <c r="F4074">
        <v>7</v>
      </c>
      <c r="G4074" t="str">
        <f>T("김서건")</f>
        <v>김서건</v>
      </c>
      <c r="J4074" t="str">
        <f>T("매드햇")</f>
        <v>매드햇</v>
      </c>
      <c r="K4074" t="str">
        <f>T("아카데미 악역 엑스트라로 사는 법")</f>
        <v>아카데미 악역 엑스트라로 사는 법</v>
      </c>
      <c r="L4074">
        <v>0</v>
      </c>
      <c r="M4074">
        <v>0</v>
      </c>
      <c r="N4074">
        <v>0</v>
      </c>
      <c r="O4074">
        <v>1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0</v>
      </c>
      <c r="AE4074">
        <v>0</v>
      </c>
      <c r="AF4074">
        <v>0</v>
      </c>
      <c r="AG4074">
        <v>0</v>
      </c>
      <c r="AH4074">
        <v>0</v>
      </c>
      <c r="AI4074">
        <v>0</v>
      </c>
      <c r="AJ4074">
        <v>1</v>
      </c>
      <c r="AK4074">
        <v>0</v>
      </c>
      <c r="AL4074">
        <v>0</v>
      </c>
      <c r="AM4074">
        <v>0</v>
      </c>
      <c r="AN4074">
        <v>0</v>
      </c>
      <c r="AO4074">
        <v>0</v>
      </c>
      <c r="AP4074">
        <v>0</v>
      </c>
      <c r="AQ4074">
        <v>0</v>
      </c>
      <c r="AS4074">
        <v>0</v>
      </c>
      <c r="AT4074">
        <v>0</v>
      </c>
      <c r="AV4074">
        <v>0</v>
      </c>
      <c r="AW4074">
        <v>0</v>
      </c>
      <c r="AY4074">
        <v>0</v>
      </c>
      <c r="AZ4074">
        <v>0</v>
      </c>
      <c r="BA4074">
        <v>0</v>
      </c>
      <c r="BE4074" t="str">
        <f>T("9791137017818")</f>
        <v>9791137017818</v>
      </c>
      <c r="BF4074" t="str">
        <f>T("k196853")</f>
        <v>k196853</v>
      </c>
      <c r="BG4074" t="str">
        <f>T("판타지 웹소설 &gt; 퓨전 판타지")</f>
        <v>판타지 웹소설 &gt; 퓨전 판타지</v>
      </c>
    </row>
    <row r="4075" spans="1:59">
      <c r="A4075" t="s">
        <v>60</v>
      </c>
      <c r="B4075" s="1">
        <v>46129</v>
      </c>
      <c r="C4075">
        <v>2378059085</v>
      </c>
      <c r="D4075">
        <v>2378059092</v>
      </c>
      <c r="E4075" t="str">
        <f>T("아카데미 악역 엑스트라로 사는 법 8화")</f>
        <v>아카데미 악역 엑스트라로 사는 법 8화</v>
      </c>
      <c r="F4075">
        <v>8</v>
      </c>
      <c r="G4075" t="str">
        <f>T("김서건")</f>
        <v>김서건</v>
      </c>
      <c r="J4075" t="str">
        <f>T("매드햇")</f>
        <v>매드햇</v>
      </c>
      <c r="K4075" t="str">
        <f>T("아카데미 악역 엑스트라로 사는 법")</f>
        <v>아카데미 악역 엑스트라로 사는 법</v>
      </c>
      <c r="L4075">
        <v>0</v>
      </c>
      <c r="M4075">
        <v>0</v>
      </c>
      <c r="N4075">
        <v>0</v>
      </c>
      <c r="O4075">
        <v>1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0</v>
      </c>
      <c r="AE4075">
        <v>0</v>
      </c>
      <c r="AF4075">
        <v>0</v>
      </c>
      <c r="AG4075">
        <v>0</v>
      </c>
      <c r="AH4075">
        <v>0</v>
      </c>
      <c r="AI4075">
        <v>0</v>
      </c>
      <c r="AJ4075">
        <v>1</v>
      </c>
      <c r="AK4075">
        <v>0</v>
      </c>
      <c r="AL4075">
        <v>0</v>
      </c>
      <c r="AM4075">
        <v>0</v>
      </c>
      <c r="AN4075">
        <v>0</v>
      </c>
      <c r="AO4075">
        <v>0</v>
      </c>
      <c r="AP4075">
        <v>0</v>
      </c>
      <c r="AQ4075">
        <v>0</v>
      </c>
      <c r="AS4075">
        <v>0</v>
      </c>
      <c r="AT4075">
        <v>0</v>
      </c>
      <c r="AV4075">
        <v>0</v>
      </c>
      <c r="AW4075">
        <v>0</v>
      </c>
      <c r="AY4075">
        <v>0</v>
      </c>
      <c r="AZ4075">
        <v>0</v>
      </c>
      <c r="BA4075">
        <v>0</v>
      </c>
      <c r="BE4075" t="str">
        <f>T("9791137017818")</f>
        <v>9791137017818</v>
      </c>
      <c r="BF4075" t="str">
        <f>T("k196854")</f>
        <v>k196854</v>
      </c>
      <c r="BG4075" t="str">
        <f>T("판타지 웹소설 &gt; 퓨전 판타지")</f>
        <v>판타지 웹소설 &gt; 퓨전 판타지</v>
      </c>
    </row>
    <row r="4076" spans="1:59">
      <c r="A4076" t="s">
        <v>60</v>
      </c>
      <c r="B4076" s="1">
        <v>46129</v>
      </c>
      <c r="C4076">
        <v>2378059085</v>
      </c>
      <c r="D4076">
        <v>2378059093</v>
      </c>
      <c r="E4076" t="str">
        <f>T("아카데미 악역 엑스트라로 사는 법 9화")</f>
        <v>아카데미 악역 엑스트라로 사는 법 9화</v>
      </c>
      <c r="F4076">
        <v>9</v>
      </c>
      <c r="G4076" t="str">
        <f>T("김서건")</f>
        <v>김서건</v>
      </c>
      <c r="J4076" t="str">
        <f>T("매드햇")</f>
        <v>매드햇</v>
      </c>
      <c r="K4076" t="str">
        <f>T("아카데미 악역 엑스트라로 사는 법")</f>
        <v>아카데미 악역 엑스트라로 사는 법</v>
      </c>
      <c r="L4076">
        <v>0</v>
      </c>
      <c r="M4076">
        <v>0</v>
      </c>
      <c r="N4076">
        <v>0</v>
      </c>
      <c r="O4076">
        <v>1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0</v>
      </c>
      <c r="AE4076">
        <v>0</v>
      </c>
      <c r="AF4076">
        <v>0</v>
      </c>
      <c r="AG4076">
        <v>0</v>
      </c>
      <c r="AH4076">
        <v>0</v>
      </c>
      <c r="AI4076">
        <v>0</v>
      </c>
      <c r="AJ4076">
        <v>1</v>
      </c>
      <c r="AK4076">
        <v>0</v>
      </c>
      <c r="AL4076">
        <v>0</v>
      </c>
      <c r="AM4076">
        <v>0</v>
      </c>
      <c r="AN4076">
        <v>0</v>
      </c>
      <c r="AO4076">
        <v>0</v>
      </c>
      <c r="AP4076">
        <v>0</v>
      </c>
      <c r="AQ4076">
        <v>0</v>
      </c>
      <c r="AS4076">
        <v>0</v>
      </c>
      <c r="AT4076">
        <v>0</v>
      </c>
      <c r="AV4076">
        <v>0</v>
      </c>
      <c r="AW4076">
        <v>0</v>
      </c>
      <c r="AY4076">
        <v>0</v>
      </c>
      <c r="AZ4076">
        <v>0</v>
      </c>
      <c r="BA4076">
        <v>0</v>
      </c>
      <c r="BE4076" t="str">
        <f>T("9791137017818")</f>
        <v>9791137017818</v>
      </c>
      <c r="BF4076" t="str">
        <f>T("k196855")</f>
        <v>k196855</v>
      </c>
      <c r="BG4076" t="str">
        <f>T("판타지 웹소설 &gt; 퓨전 판타지")</f>
        <v>판타지 웹소설 &gt; 퓨전 판타지</v>
      </c>
    </row>
    <row r="4077" spans="1:59">
      <c r="A4077" t="s">
        <v>60</v>
      </c>
      <c r="B4077" s="1">
        <v>46129</v>
      </c>
      <c r="C4077">
        <v>2378059085</v>
      </c>
      <c r="D4077">
        <v>2378059094</v>
      </c>
      <c r="E4077" t="str">
        <f>T("아카데미 악역 엑스트라로 사는 법 10화")</f>
        <v>아카데미 악역 엑스트라로 사는 법 10화</v>
      </c>
      <c r="F4077">
        <v>10</v>
      </c>
      <c r="G4077" t="str">
        <f>T("김서건")</f>
        <v>김서건</v>
      </c>
      <c r="J4077" t="str">
        <f>T("매드햇")</f>
        <v>매드햇</v>
      </c>
      <c r="K4077" t="str">
        <f>T("아카데미 악역 엑스트라로 사는 법")</f>
        <v>아카데미 악역 엑스트라로 사는 법</v>
      </c>
      <c r="L4077">
        <v>0</v>
      </c>
      <c r="M4077">
        <v>0</v>
      </c>
      <c r="N4077">
        <v>0</v>
      </c>
      <c r="O4077">
        <v>1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0</v>
      </c>
      <c r="AE4077">
        <v>0</v>
      </c>
      <c r="AF4077">
        <v>0</v>
      </c>
      <c r="AG4077">
        <v>0</v>
      </c>
      <c r="AH4077">
        <v>0</v>
      </c>
      <c r="AI4077">
        <v>0</v>
      </c>
      <c r="AJ4077">
        <v>1</v>
      </c>
      <c r="AK4077">
        <v>0</v>
      </c>
      <c r="AL4077">
        <v>0</v>
      </c>
      <c r="AM4077">
        <v>0</v>
      </c>
      <c r="AN4077">
        <v>0</v>
      </c>
      <c r="AO4077">
        <v>0</v>
      </c>
      <c r="AP4077">
        <v>0</v>
      </c>
      <c r="AQ4077">
        <v>0</v>
      </c>
      <c r="AS4077">
        <v>0</v>
      </c>
      <c r="AT4077">
        <v>0</v>
      </c>
      <c r="AV4077">
        <v>0</v>
      </c>
      <c r="AW4077">
        <v>0</v>
      </c>
      <c r="AY4077">
        <v>0</v>
      </c>
      <c r="AZ4077">
        <v>0</v>
      </c>
      <c r="BA4077">
        <v>0</v>
      </c>
      <c r="BE4077" t="str">
        <f>T("9791137017818")</f>
        <v>9791137017818</v>
      </c>
      <c r="BF4077" t="str">
        <f>T("k196856")</f>
        <v>k196856</v>
      </c>
      <c r="BG4077" t="str">
        <f>T("판타지 웹소설 &gt; 퓨전 판타지")</f>
        <v>판타지 웹소설 &gt; 퓨전 판타지</v>
      </c>
    </row>
    <row r="4078" spans="1:59">
      <c r="A4078" t="s">
        <v>60</v>
      </c>
      <c r="B4078" s="1">
        <v>46129</v>
      </c>
      <c r="C4078">
        <v>2378059085</v>
      </c>
      <c r="D4078">
        <v>2378059095</v>
      </c>
      <c r="E4078" t="str">
        <f>T("아카데미 악역 엑스트라로 사는 법 11화")</f>
        <v>아카데미 악역 엑스트라로 사는 법 11화</v>
      </c>
      <c r="F4078">
        <v>11</v>
      </c>
      <c r="G4078" t="str">
        <f>T("김서건")</f>
        <v>김서건</v>
      </c>
      <c r="J4078" t="str">
        <f>T("매드햇")</f>
        <v>매드햇</v>
      </c>
      <c r="K4078" t="str">
        <f>T("아카데미 악역 엑스트라로 사는 법")</f>
        <v>아카데미 악역 엑스트라로 사는 법</v>
      </c>
      <c r="L4078">
        <v>0</v>
      </c>
      <c r="M4078">
        <v>0</v>
      </c>
      <c r="N4078">
        <v>0</v>
      </c>
      <c r="O4078">
        <v>1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0</v>
      </c>
      <c r="AE4078">
        <v>0</v>
      </c>
      <c r="AF4078">
        <v>0</v>
      </c>
      <c r="AG4078">
        <v>0</v>
      </c>
      <c r="AH4078">
        <v>0</v>
      </c>
      <c r="AI4078">
        <v>0</v>
      </c>
      <c r="AJ4078">
        <v>1</v>
      </c>
      <c r="AK4078">
        <v>0</v>
      </c>
      <c r="AL4078">
        <v>0</v>
      </c>
      <c r="AM4078">
        <v>0</v>
      </c>
      <c r="AN4078">
        <v>0</v>
      </c>
      <c r="AO4078">
        <v>0</v>
      </c>
      <c r="AP4078">
        <v>0</v>
      </c>
      <c r="AQ4078">
        <v>0</v>
      </c>
      <c r="AS4078">
        <v>0</v>
      </c>
      <c r="AT4078">
        <v>0</v>
      </c>
      <c r="AV4078">
        <v>0</v>
      </c>
      <c r="AW4078">
        <v>0</v>
      </c>
      <c r="AY4078">
        <v>0</v>
      </c>
      <c r="AZ4078">
        <v>0</v>
      </c>
      <c r="BA4078">
        <v>0</v>
      </c>
      <c r="BE4078" t="str">
        <f>T("9791137017818")</f>
        <v>9791137017818</v>
      </c>
      <c r="BF4078" t="str">
        <f>T("k196857")</f>
        <v>k196857</v>
      </c>
      <c r="BG4078" t="str">
        <f>T("판타지 웹소설 &gt; 퓨전 판타지")</f>
        <v>판타지 웹소설 &gt; 퓨전 판타지</v>
      </c>
    </row>
    <row r="4079" spans="1:59">
      <c r="A4079" t="s">
        <v>60</v>
      </c>
      <c r="B4079" s="1">
        <v>46129</v>
      </c>
      <c r="C4079">
        <v>2378059085</v>
      </c>
      <c r="D4079">
        <v>2378059096</v>
      </c>
      <c r="E4079" t="str">
        <f>T("아카데미 악역 엑스트라로 사는 법 12화")</f>
        <v>아카데미 악역 엑스트라로 사는 법 12화</v>
      </c>
      <c r="F4079">
        <v>12</v>
      </c>
      <c r="G4079" t="str">
        <f>T("김서건")</f>
        <v>김서건</v>
      </c>
      <c r="J4079" t="str">
        <f>T("매드햇")</f>
        <v>매드햇</v>
      </c>
      <c r="K4079" t="str">
        <f>T("아카데미 악역 엑스트라로 사는 법")</f>
        <v>아카데미 악역 엑스트라로 사는 법</v>
      </c>
      <c r="L4079">
        <v>0</v>
      </c>
      <c r="M4079">
        <v>0</v>
      </c>
      <c r="N4079">
        <v>0</v>
      </c>
      <c r="O4079">
        <v>1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0</v>
      </c>
      <c r="AE4079">
        <v>0</v>
      </c>
      <c r="AF4079">
        <v>0</v>
      </c>
      <c r="AG4079">
        <v>0</v>
      </c>
      <c r="AH4079">
        <v>0</v>
      </c>
      <c r="AI4079">
        <v>0</v>
      </c>
      <c r="AJ4079">
        <v>1</v>
      </c>
      <c r="AK4079">
        <v>0</v>
      </c>
      <c r="AL4079">
        <v>0</v>
      </c>
      <c r="AM4079">
        <v>0</v>
      </c>
      <c r="AN4079">
        <v>0</v>
      </c>
      <c r="AO4079">
        <v>0</v>
      </c>
      <c r="AP4079">
        <v>0</v>
      </c>
      <c r="AQ4079">
        <v>0</v>
      </c>
      <c r="AS4079">
        <v>0</v>
      </c>
      <c r="AT4079">
        <v>0</v>
      </c>
      <c r="AV4079">
        <v>0</v>
      </c>
      <c r="AW4079">
        <v>0</v>
      </c>
      <c r="AY4079">
        <v>0</v>
      </c>
      <c r="AZ4079">
        <v>0</v>
      </c>
      <c r="BA4079">
        <v>0</v>
      </c>
      <c r="BE4079" t="str">
        <f>T("9791137017818")</f>
        <v>9791137017818</v>
      </c>
      <c r="BF4079" t="str">
        <f>T("k196858")</f>
        <v>k196858</v>
      </c>
      <c r="BG4079" t="str">
        <f>T("판타지 웹소설 &gt; 퓨전 판타지")</f>
        <v>판타지 웹소설 &gt; 퓨전 판타지</v>
      </c>
    </row>
    <row r="4080" spans="1:59">
      <c r="A4080" t="s">
        <v>60</v>
      </c>
      <c r="B4080" s="1">
        <v>46129</v>
      </c>
      <c r="C4080">
        <v>2378059085</v>
      </c>
      <c r="D4080">
        <v>2378059097</v>
      </c>
      <c r="E4080" t="str">
        <f>T("아카데미 악역 엑스트라로 사는 법 13화")</f>
        <v>아카데미 악역 엑스트라로 사는 법 13화</v>
      </c>
      <c r="F4080">
        <v>13</v>
      </c>
      <c r="G4080" t="str">
        <f>T("김서건")</f>
        <v>김서건</v>
      </c>
      <c r="J4080" t="str">
        <f>T("매드햇")</f>
        <v>매드햇</v>
      </c>
      <c r="K4080" t="str">
        <f>T("아카데미 악역 엑스트라로 사는 법")</f>
        <v>아카데미 악역 엑스트라로 사는 법</v>
      </c>
      <c r="L4080">
        <v>0</v>
      </c>
      <c r="M4080">
        <v>0</v>
      </c>
      <c r="N4080">
        <v>0</v>
      </c>
      <c r="O4080">
        <v>1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0</v>
      </c>
      <c r="AE4080">
        <v>0</v>
      </c>
      <c r="AF4080">
        <v>0</v>
      </c>
      <c r="AG4080">
        <v>0</v>
      </c>
      <c r="AH4080">
        <v>0</v>
      </c>
      <c r="AI4080">
        <v>0</v>
      </c>
      <c r="AJ4080">
        <v>1</v>
      </c>
      <c r="AK4080">
        <v>0</v>
      </c>
      <c r="AL4080">
        <v>0</v>
      </c>
      <c r="AM4080">
        <v>0</v>
      </c>
      <c r="AN4080">
        <v>0</v>
      </c>
      <c r="AO4080">
        <v>0</v>
      </c>
      <c r="AP4080">
        <v>0</v>
      </c>
      <c r="AQ4080">
        <v>0</v>
      </c>
      <c r="AS4080">
        <v>0</v>
      </c>
      <c r="AT4080">
        <v>0</v>
      </c>
      <c r="AV4080">
        <v>0</v>
      </c>
      <c r="AW4080">
        <v>0</v>
      </c>
      <c r="AY4080">
        <v>0</v>
      </c>
      <c r="AZ4080">
        <v>0</v>
      </c>
      <c r="BA4080">
        <v>0</v>
      </c>
      <c r="BE4080" t="str">
        <f>T("9791137017818")</f>
        <v>9791137017818</v>
      </c>
      <c r="BF4080" t="str">
        <f>T("k196859")</f>
        <v>k196859</v>
      </c>
      <c r="BG4080" t="str">
        <f>T("판타지 웹소설 &gt; 퓨전 판타지")</f>
        <v>판타지 웹소설 &gt; 퓨전 판타지</v>
      </c>
    </row>
    <row r="4081" spans="1:59">
      <c r="A4081" t="s">
        <v>60</v>
      </c>
      <c r="B4081" s="1">
        <v>46129</v>
      </c>
      <c r="C4081">
        <v>2378059085</v>
      </c>
      <c r="D4081">
        <v>2378059098</v>
      </c>
      <c r="E4081" t="str">
        <f>T("아카데미 악역 엑스트라로 사는 법 14화")</f>
        <v>아카데미 악역 엑스트라로 사는 법 14화</v>
      </c>
      <c r="F4081">
        <v>14</v>
      </c>
      <c r="G4081" t="str">
        <f>T("김서건")</f>
        <v>김서건</v>
      </c>
      <c r="J4081" t="str">
        <f>T("매드햇")</f>
        <v>매드햇</v>
      </c>
      <c r="K4081" t="str">
        <f>T("아카데미 악역 엑스트라로 사는 법")</f>
        <v>아카데미 악역 엑스트라로 사는 법</v>
      </c>
      <c r="L4081">
        <v>0</v>
      </c>
      <c r="M4081">
        <v>0</v>
      </c>
      <c r="N4081">
        <v>0</v>
      </c>
      <c r="O4081">
        <v>1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0</v>
      </c>
      <c r="AE4081">
        <v>0</v>
      </c>
      <c r="AF4081">
        <v>0</v>
      </c>
      <c r="AG4081">
        <v>0</v>
      </c>
      <c r="AH4081">
        <v>0</v>
      </c>
      <c r="AI4081">
        <v>0</v>
      </c>
      <c r="AJ4081">
        <v>1</v>
      </c>
      <c r="AK4081">
        <v>0</v>
      </c>
      <c r="AL4081">
        <v>0</v>
      </c>
      <c r="AM4081">
        <v>0</v>
      </c>
      <c r="AN4081">
        <v>0</v>
      </c>
      <c r="AO4081">
        <v>0</v>
      </c>
      <c r="AP4081">
        <v>0</v>
      </c>
      <c r="AQ4081">
        <v>0</v>
      </c>
      <c r="AS4081">
        <v>0</v>
      </c>
      <c r="AT4081">
        <v>0</v>
      </c>
      <c r="AV4081">
        <v>0</v>
      </c>
      <c r="AW4081">
        <v>0</v>
      </c>
      <c r="AY4081">
        <v>0</v>
      </c>
      <c r="AZ4081">
        <v>0</v>
      </c>
      <c r="BA4081">
        <v>0</v>
      </c>
      <c r="BE4081" t="str">
        <f>T("9791137017818")</f>
        <v>9791137017818</v>
      </c>
      <c r="BF4081" t="str">
        <f>T("k196860")</f>
        <v>k196860</v>
      </c>
      <c r="BG4081" t="str">
        <f>T("판타지 웹소설 &gt; 퓨전 판타지")</f>
        <v>판타지 웹소설 &gt; 퓨전 판타지</v>
      </c>
    </row>
    <row r="4082" spans="1:59">
      <c r="A4082" t="s">
        <v>60</v>
      </c>
      <c r="B4082" s="1">
        <v>46129</v>
      </c>
      <c r="C4082">
        <v>2378059085</v>
      </c>
      <c r="D4082">
        <v>2378059099</v>
      </c>
      <c r="E4082" t="str">
        <f>T("아카데미 악역 엑스트라로 사는 법 15화")</f>
        <v>아카데미 악역 엑스트라로 사는 법 15화</v>
      </c>
      <c r="F4082">
        <v>15</v>
      </c>
      <c r="G4082" t="str">
        <f>T("김서건")</f>
        <v>김서건</v>
      </c>
      <c r="J4082" t="str">
        <f>T("매드햇")</f>
        <v>매드햇</v>
      </c>
      <c r="K4082" t="str">
        <f>T("아카데미 악역 엑스트라로 사는 법")</f>
        <v>아카데미 악역 엑스트라로 사는 법</v>
      </c>
      <c r="L4082">
        <v>0</v>
      </c>
      <c r="M4082">
        <v>0</v>
      </c>
      <c r="N4082">
        <v>0</v>
      </c>
      <c r="O4082">
        <v>1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0</v>
      </c>
      <c r="AE4082">
        <v>0</v>
      </c>
      <c r="AF4082">
        <v>0</v>
      </c>
      <c r="AG4082">
        <v>0</v>
      </c>
      <c r="AH4082">
        <v>0</v>
      </c>
      <c r="AI4082">
        <v>0</v>
      </c>
      <c r="AJ4082">
        <v>1</v>
      </c>
      <c r="AK4082">
        <v>0</v>
      </c>
      <c r="AL4082">
        <v>0</v>
      </c>
      <c r="AM4082">
        <v>0</v>
      </c>
      <c r="AN4082">
        <v>0</v>
      </c>
      <c r="AO4082">
        <v>0</v>
      </c>
      <c r="AP4082">
        <v>0</v>
      </c>
      <c r="AQ4082">
        <v>0</v>
      </c>
      <c r="AS4082">
        <v>0</v>
      </c>
      <c r="AT4082">
        <v>0</v>
      </c>
      <c r="AV4082">
        <v>0</v>
      </c>
      <c r="AW4082">
        <v>0</v>
      </c>
      <c r="AY4082">
        <v>0</v>
      </c>
      <c r="AZ4082">
        <v>0</v>
      </c>
      <c r="BA4082">
        <v>0</v>
      </c>
      <c r="BE4082" t="str">
        <f>T("9791137017818")</f>
        <v>9791137017818</v>
      </c>
      <c r="BF4082" t="str">
        <f>T("k196861")</f>
        <v>k196861</v>
      </c>
      <c r="BG4082" t="str">
        <f>T("판타지 웹소설 &gt; 퓨전 판타지")</f>
        <v>판타지 웹소설 &gt; 퓨전 판타지</v>
      </c>
    </row>
    <row r="4083" spans="1:59">
      <c r="A4083" t="s">
        <v>60</v>
      </c>
      <c r="B4083" s="1">
        <v>46129</v>
      </c>
      <c r="C4083">
        <v>2378059085</v>
      </c>
      <c r="D4083">
        <v>2378059100</v>
      </c>
      <c r="E4083" t="str">
        <f>T("아카데미 악역 엑스트라로 사는 법 16화")</f>
        <v>아카데미 악역 엑스트라로 사는 법 16화</v>
      </c>
      <c r="F4083">
        <v>16</v>
      </c>
      <c r="G4083" t="str">
        <f>T("김서건")</f>
        <v>김서건</v>
      </c>
      <c r="J4083" t="str">
        <f>T("매드햇")</f>
        <v>매드햇</v>
      </c>
      <c r="K4083" t="str">
        <f>T("아카데미 악역 엑스트라로 사는 법")</f>
        <v>아카데미 악역 엑스트라로 사는 법</v>
      </c>
      <c r="L4083">
        <v>0</v>
      </c>
      <c r="M4083">
        <v>0</v>
      </c>
      <c r="N4083">
        <v>0</v>
      </c>
      <c r="O4083">
        <v>1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0</v>
      </c>
      <c r="AE4083">
        <v>0</v>
      </c>
      <c r="AF4083">
        <v>0</v>
      </c>
      <c r="AG4083">
        <v>0</v>
      </c>
      <c r="AH4083">
        <v>0</v>
      </c>
      <c r="AI4083">
        <v>0</v>
      </c>
      <c r="AJ4083">
        <v>1</v>
      </c>
      <c r="AK4083">
        <v>0</v>
      </c>
      <c r="AL4083">
        <v>0</v>
      </c>
      <c r="AM4083">
        <v>0</v>
      </c>
      <c r="AN4083">
        <v>0</v>
      </c>
      <c r="AO4083">
        <v>0</v>
      </c>
      <c r="AP4083">
        <v>0</v>
      </c>
      <c r="AQ4083">
        <v>0</v>
      </c>
      <c r="AS4083">
        <v>0</v>
      </c>
      <c r="AT4083">
        <v>0</v>
      </c>
      <c r="AV4083">
        <v>0</v>
      </c>
      <c r="AW4083">
        <v>0</v>
      </c>
      <c r="AY4083">
        <v>0</v>
      </c>
      <c r="AZ4083">
        <v>0</v>
      </c>
      <c r="BA4083">
        <v>0</v>
      </c>
      <c r="BE4083" t="str">
        <f>T("9791137017818")</f>
        <v>9791137017818</v>
      </c>
      <c r="BF4083" t="str">
        <f>T("k196862")</f>
        <v>k196862</v>
      </c>
      <c r="BG4083" t="str">
        <f>T("판타지 웹소설 &gt; 퓨전 판타지")</f>
        <v>판타지 웹소설 &gt; 퓨전 판타지</v>
      </c>
    </row>
    <row r="4084" spans="1:59">
      <c r="A4084" t="s">
        <v>60</v>
      </c>
      <c r="B4084" s="1">
        <v>46129</v>
      </c>
      <c r="C4084">
        <v>2378059085</v>
      </c>
      <c r="D4084">
        <v>2378059101</v>
      </c>
      <c r="E4084" t="str">
        <f>T("아카데미 악역 엑스트라로 사는 법 17화")</f>
        <v>아카데미 악역 엑스트라로 사는 법 17화</v>
      </c>
      <c r="F4084">
        <v>17</v>
      </c>
      <c r="G4084" t="str">
        <f>T("김서건")</f>
        <v>김서건</v>
      </c>
      <c r="J4084" t="str">
        <f>T("매드햇")</f>
        <v>매드햇</v>
      </c>
      <c r="K4084" t="str">
        <f>T("아카데미 악역 엑스트라로 사는 법")</f>
        <v>아카데미 악역 엑스트라로 사는 법</v>
      </c>
      <c r="L4084">
        <v>0</v>
      </c>
      <c r="M4084">
        <v>0</v>
      </c>
      <c r="N4084">
        <v>0</v>
      </c>
      <c r="O4084">
        <v>1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0</v>
      </c>
      <c r="AE4084">
        <v>0</v>
      </c>
      <c r="AF4084">
        <v>0</v>
      </c>
      <c r="AG4084">
        <v>0</v>
      </c>
      <c r="AH4084">
        <v>0</v>
      </c>
      <c r="AI4084">
        <v>0</v>
      </c>
      <c r="AJ4084">
        <v>1</v>
      </c>
      <c r="AK4084">
        <v>0</v>
      </c>
      <c r="AL4084">
        <v>0</v>
      </c>
      <c r="AM4084">
        <v>0</v>
      </c>
      <c r="AN4084">
        <v>0</v>
      </c>
      <c r="AO4084">
        <v>0</v>
      </c>
      <c r="AP4084">
        <v>0</v>
      </c>
      <c r="AQ4084">
        <v>0</v>
      </c>
      <c r="AS4084">
        <v>0</v>
      </c>
      <c r="AT4084">
        <v>0</v>
      </c>
      <c r="AV4084">
        <v>0</v>
      </c>
      <c r="AW4084">
        <v>0</v>
      </c>
      <c r="AY4084">
        <v>0</v>
      </c>
      <c r="AZ4084">
        <v>0</v>
      </c>
      <c r="BA4084">
        <v>0</v>
      </c>
      <c r="BE4084" t="str">
        <f>T("9791137017818")</f>
        <v>9791137017818</v>
      </c>
      <c r="BF4084" t="str">
        <f>T("k196863")</f>
        <v>k196863</v>
      </c>
      <c r="BG4084" t="str">
        <f>T("판타지 웹소설 &gt; 퓨전 판타지")</f>
        <v>판타지 웹소설 &gt; 퓨전 판타지</v>
      </c>
    </row>
    <row r="4085" spans="1:59">
      <c r="A4085" t="s">
        <v>60</v>
      </c>
      <c r="B4085" s="1">
        <v>46129</v>
      </c>
      <c r="C4085">
        <v>2378059085</v>
      </c>
      <c r="D4085">
        <v>2378059102</v>
      </c>
      <c r="E4085" t="str">
        <f>T("아카데미 악역 엑스트라로 사는 법 18화")</f>
        <v>아카데미 악역 엑스트라로 사는 법 18화</v>
      </c>
      <c r="F4085">
        <v>18</v>
      </c>
      <c r="G4085" t="str">
        <f>T("김서건")</f>
        <v>김서건</v>
      </c>
      <c r="J4085" t="str">
        <f>T("매드햇")</f>
        <v>매드햇</v>
      </c>
      <c r="K4085" t="str">
        <f>T("아카데미 악역 엑스트라로 사는 법")</f>
        <v>아카데미 악역 엑스트라로 사는 법</v>
      </c>
      <c r="L4085">
        <v>0</v>
      </c>
      <c r="M4085">
        <v>0</v>
      </c>
      <c r="N4085">
        <v>0</v>
      </c>
      <c r="O4085">
        <v>1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0</v>
      </c>
      <c r="AE4085">
        <v>0</v>
      </c>
      <c r="AF4085">
        <v>0</v>
      </c>
      <c r="AG4085">
        <v>0</v>
      </c>
      <c r="AH4085">
        <v>0</v>
      </c>
      <c r="AI4085">
        <v>0</v>
      </c>
      <c r="AJ4085">
        <v>1</v>
      </c>
      <c r="AK4085">
        <v>0</v>
      </c>
      <c r="AL4085">
        <v>0</v>
      </c>
      <c r="AM4085">
        <v>0</v>
      </c>
      <c r="AN4085">
        <v>0</v>
      </c>
      <c r="AO4085">
        <v>0</v>
      </c>
      <c r="AP4085">
        <v>0</v>
      </c>
      <c r="AQ4085">
        <v>0</v>
      </c>
      <c r="AS4085">
        <v>0</v>
      </c>
      <c r="AT4085">
        <v>0</v>
      </c>
      <c r="AV4085">
        <v>0</v>
      </c>
      <c r="AW4085">
        <v>0</v>
      </c>
      <c r="AY4085">
        <v>0</v>
      </c>
      <c r="AZ4085">
        <v>0</v>
      </c>
      <c r="BA4085">
        <v>0</v>
      </c>
      <c r="BE4085" t="str">
        <f>T("9791137017818")</f>
        <v>9791137017818</v>
      </c>
      <c r="BF4085" t="str">
        <f>T("k196864")</f>
        <v>k196864</v>
      </c>
      <c r="BG4085" t="str">
        <f>T("판타지 웹소설 &gt; 퓨전 판타지")</f>
        <v>판타지 웹소설 &gt; 퓨전 판타지</v>
      </c>
    </row>
    <row r="4086" spans="1:59">
      <c r="A4086" t="s">
        <v>60</v>
      </c>
      <c r="B4086" s="1">
        <v>46129</v>
      </c>
      <c r="C4086">
        <v>2378059085</v>
      </c>
      <c r="D4086">
        <v>2378059103</v>
      </c>
      <c r="E4086" t="str">
        <f>T("아카데미 악역 엑스트라로 사는 법 19화")</f>
        <v>아카데미 악역 엑스트라로 사는 법 19화</v>
      </c>
      <c r="F4086">
        <v>19</v>
      </c>
      <c r="G4086" t="str">
        <f>T("김서건")</f>
        <v>김서건</v>
      </c>
      <c r="J4086" t="str">
        <f>T("매드햇")</f>
        <v>매드햇</v>
      </c>
      <c r="K4086" t="str">
        <f>T("아카데미 악역 엑스트라로 사는 법")</f>
        <v>아카데미 악역 엑스트라로 사는 법</v>
      </c>
      <c r="L4086">
        <v>0</v>
      </c>
      <c r="M4086">
        <v>0</v>
      </c>
      <c r="N4086">
        <v>0</v>
      </c>
      <c r="O4086">
        <v>1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0</v>
      </c>
      <c r="AE4086">
        <v>0</v>
      </c>
      <c r="AF4086">
        <v>0</v>
      </c>
      <c r="AG4086">
        <v>0</v>
      </c>
      <c r="AH4086">
        <v>0</v>
      </c>
      <c r="AI4086">
        <v>0</v>
      </c>
      <c r="AJ4086">
        <v>1</v>
      </c>
      <c r="AK4086">
        <v>0</v>
      </c>
      <c r="AL4086">
        <v>0</v>
      </c>
      <c r="AM4086">
        <v>0</v>
      </c>
      <c r="AN4086">
        <v>0</v>
      </c>
      <c r="AO4086">
        <v>0</v>
      </c>
      <c r="AP4086">
        <v>0</v>
      </c>
      <c r="AQ4086">
        <v>0</v>
      </c>
      <c r="AS4086">
        <v>0</v>
      </c>
      <c r="AT4086">
        <v>0</v>
      </c>
      <c r="AV4086">
        <v>0</v>
      </c>
      <c r="AW4086">
        <v>0</v>
      </c>
      <c r="AY4086">
        <v>0</v>
      </c>
      <c r="AZ4086">
        <v>0</v>
      </c>
      <c r="BA4086">
        <v>0</v>
      </c>
      <c r="BE4086" t="str">
        <f>T("9791137017818")</f>
        <v>9791137017818</v>
      </c>
      <c r="BF4086" t="str">
        <f>T("k196865")</f>
        <v>k196865</v>
      </c>
      <c r="BG4086" t="str">
        <f>T("판타지 웹소설 &gt; 퓨전 판타지")</f>
        <v>판타지 웹소설 &gt; 퓨전 판타지</v>
      </c>
    </row>
    <row r="4087" spans="1:59">
      <c r="A4087" t="s">
        <v>60</v>
      </c>
      <c r="B4087" s="1">
        <v>46129</v>
      </c>
      <c r="C4087">
        <v>2378059085</v>
      </c>
      <c r="D4087">
        <v>2378059104</v>
      </c>
      <c r="E4087" t="str">
        <f>T("아카데미 악역 엑스트라로 사는 법 20화")</f>
        <v>아카데미 악역 엑스트라로 사는 법 20화</v>
      </c>
      <c r="F4087">
        <v>20</v>
      </c>
      <c r="G4087" t="str">
        <f>T("김서건")</f>
        <v>김서건</v>
      </c>
      <c r="J4087" t="str">
        <f>T("매드햇")</f>
        <v>매드햇</v>
      </c>
      <c r="K4087" t="str">
        <f>T("아카데미 악역 엑스트라로 사는 법")</f>
        <v>아카데미 악역 엑스트라로 사는 법</v>
      </c>
      <c r="L4087">
        <v>0</v>
      </c>
      <c r="M4087">
        <v>0</v>
      </c>
      <c r="N4087">
        <v>0</v>
      </c>
      <c r="O4087">
        <v>1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0</v>
      </c>
      <c r="AE4087">
        <v>0</v>
      </c>
      <c r="AF4087">
        <v>0</v>
      </c>
      <c r="AG4087">
        <v>0</v>
      </c>
      <c r="AH4087">
        <v>0</v>
      </c>
      <c r="AI4087">
        <v>0</v>
      </c>
      <c r="AJ4087">
        <v>1</v>
      </c>
      <c r="AK4087">
        <v>0</v>
      </c>
      <c r="AL4087">
        <v>0</v>
      </c>
      <c r="AM4087">
        <v>0</v>
      </c>
      <c r="AN4087">
        <v>0</v>
      </c>
      <c r="AO4087">
        <v>0</v>
      </c>
      <c r="AP4087">
        <v>0</v>
      </c>
      <c r="AQ4087">
        <v>0</v>
      </c>
      <c r="AS4087">
        <v>0</v>
      </c>
      <c r="AT4087">
        <v>0</v>
      </c>
      <c r="AV4087">
        <v>0</v>
      </c>
      <c r="AW4087">
        <v>0</v>
      </c>
      <c r="AY4087">
        <v>0</v>
      </c>
      <c r="AZ4087">
        <v>0</v>
      </c>
      <c r="BA4087">
        <v>0</v>
      </c>
      <c r="BE4087" t="str">
        <f>T("9791137017818")</f>
        <v>9791137017818</v>
      </c>
      <c r="BF4087" t="str">
        <f>T("k196866")</f>
        <v>k196866</v>
      </c>
      <c r="BG4087" t="str">
        <f>T("판타지 웹소설 &gt; 퓨전 판타지")</f>
        <v>판타지 웹소설 &gt; 퓨전 판타지</v>
      </c>
    </row>
    <row r="4088" spans="1:59">
      <c r="A4088" t="s">
        <v>60</v>
      </c>
      <c r="B4088" s="1">
        <v>46129</v>
      </c>
      <c r="C4088">
        <v>2378059085</v>
      </c>
      <c r="D4088">
        <v>2378059130</v>
      </c>
      <c r="E4088" t="str">
        <f>T("아카데미 악역 엑스트라로 사는 법 46화")</f>
        <v>아카데미 악역 엑스트라로 사는 법 46화</v>
      </c>
      <c r="F4088">
        <v>46</v>
      </c>
      <c r="G4088" t="str">
        <f>T("김서건")</f>
        <v>김서건</v>
      </c>
      <c r="J4088" t="str">
        <f>T("매드햇")</f>
        <v>매드햇</v>
      </c>
      <c r="K4088" t="str">
        <f>T("아카데미 악역 엑스트라로 사는 법")</f>
        <v>아카데미 악역 엑스트라로 사는 법</v>
      </c>
      <c r="L4088">
        <v>100</v>
      </c>
      <c r="M4088">
        <v>100</v>
      </c>
      <c r="N4088">
        <v>1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0</v>
      </c>
      <c r="AE4088">
        <v>0</v>
      </c>
      <c r="AF4088">
        <v>0</v>
      </c>
      <c r="AG4088">
        <v>0</v>
      </c>
      <c r="AH4088">
        <v>0</v>
      </c>
      <c r="AI4088">
        <v>100</v>
      </c>
      <c r="AJ4088">
        <v>1</v>
      </c>
      <c r="AK4088">
        <v>0</v>
      </c>
      <c r="AL4088">
        <v>0</v>
      </c>
      <c r="AM4088">
        <v>100</v>
      </c>
      <c r="AN4088">
        <v>0</v>
      </c>
      <c r="AO4088">
        <v>0</v>
      </c>
      <c r="AP4088">
        <v>0</v>
      </c>
      <c r="AQ4088">
        <v>0</v>
      </c>
      <c r="AS4088">
        <v>0</v>
      </c>
      <c r="AT4088">
        <v>0</v>
      </c>
      <c r="AV4088">
        <v>0</v>
      </c>
      <c r="AW4088">
        <v>0</v>
      </c>
      <c r="AY4088">
        <v>0</v>
      </c>
      <c r="AZ4088">
        <v>0</v>
      </c>
      <c r="BA4088">
        <v>60</v>
      </c>
      <c r="BE4088" t="str">
        <f>T("9791137017818")</f>
        <v>9791137017818</v>
      </c>
      <c r="BF4088" t="str">
        <f>T("k196892")</f>
        <v>k196892</v>
      </c>
      <c r="BG4088" t="str">
        <f>T("판타지 웹소설 &gt; 퓨전 판타지")</f>
        <v>판타지 웹소설 &gt; 퓨전 판타지</v>
      </c>
    </row>
    <row r="4089" spans="1:59">
      <c r="A4089" t="s">
        <v>60</v>
      </c>
      <c r="B4089" s="1">
        <v>46129</v>
      </c>
      <c r="C4089">
        <v>2378059085</v>
      </c>
      <c r="D4089">
        <v>2378060471</v>
      </c>
      <c r="E4089" t="str">
        <f>T("아카데미 악역 엑스트라로 사는 법 118화")</f>
        <v>아카데미 악역 엑스트라로 사는 법 118화</v>
      </c>
      <c r="F4089">
        <v>118</v>
      </c>
      <c r="G4089" t="str">
        <f>T("김서건")</f>
        <v>김서건</v>
      </c>
      <c r="J4089" t="str">
        <f>T("매드햇")</f>
        <v>매드햇</v>
      </c>
      <c r="K4089" t="str">
        <f>T("아카데미 악역 엑스트라로 사는 법")</f>
        <v>아카데미 악역 엑스트라로 사는 법</v>
      </c>
      <c r="L4089">
        <v>100</v>
      </c>
      <c r="M4089">
        <v>100</v>
      </c>
      <c r="N4089">
        <v>1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0</v>
      </c>
      <c r="AE4089">
        <v>0</v>
      </c>
      <c r="AF4089">
        <v>0</v>
      </c>
      <c r="AG4089">
        <v>0</v>
      </c>
      <c r="AH4089">
        <v>0</v>
      </c>
      <c r="AI4089">
        <v>100</v>
      </c>
      <c r="AJ4089">
        <v>1</v>
      </c>
      <c r="AK4089">
        <v>0</v>
      </c>
      <c r="AL4089">
        <v>0</v>
      </c>
      <c r="AM4089">
        <v>100</v>
      </c>
      <c r="AN4089">
        <v>0</v>
      </c>
      <c r="AO4089">
        <v>0</v>
      </c>
      <c r="AP4089">
        <v>0</v>
      </c>
      <c r="AQ4089">
        <v>0</v>
      </c>
      <c r="AS4089">
        <v>0</v>
      </c>
      <c r="AT4089">
        <v>0</v>
      </c>
      <c r="AV4089">
        <v>0</v>
      </c>
      <c r="AW4089">
        <v>0</v>
      </c>
      <c r="AY4089">
        <v>0</v>
      </c>
      <c r="AZ4089">
        <v>0</v>
      </c>
      <c r="BA4089">
        <v>60</v>
      </c>
      <c r="BE4089" t="str">
        <f>T("9791137017818")</f>
        <v>9791137017818</v>
      </c>
      <c r="BF4089" t="str">
        <f>T("k196964")</f>
        <v>k196964</v>
      </c>
      <c r="BG4089" t="str">
        <f>T("판타지 웹소설 &gt; 퓨전 판타지")</f>
        <v>판타지 웹소설 &gt; 퓨전 판타지</v>
      </c>
    </row>
    <row r="4090" spans="1:59">
      <c r="A4090" t="s">
        <v>60</v>
      </c>
      <c r="B4090" s="1">
        <v>46129</v>
      </c>
      <c r="C4090">
        <v>2378059085</v>
      </c>
      <c r="D4090">
        <v>2378066695</v>
      </c>
      <c r="E4090" t="str">
        <f>T("아카데미 악역 엑스트라로 사는 법 213화")</f>
        <v>아카데미 악역 엑스트라로 사는 법 213화</v>
      </c>
      <c r="F4090">
        <v>213</v>
      </c>
      <c r="G4090" t="str">
        <f>T("김서건")</f>
        <v>김서건</v>
      </c>
      <c r="J4090" t="str">
        <f>T("매드햇")</f>
        <v>매드햇</v>
      </c>
      <c r="K4090" t="str">
        <f>T("아카데미 악역 엑스트라로 사는 법")</f>
        <v>아카데미 악역 엑스트라로 사는 법</v>
      </c>
      <c r="L4090">
        <v>100</v>
      </c>
      <c r="M4090">
        <v>100</v>
      </c>
      <c r="N4090">
        <v>1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0</v>
      </c>
      <c r="AE4090">
        <v>0</v>
      </c>
      <c r="AF4090">
        <v>0</v>
      </c>
      <c r="AG4090">
        <v>0</v>
      </c>
      <c r="AH4090">
        <v>0</v>
      </c>
      <c r="AI4090">
        <v>100</v>
      </c>
      <c r="AJ4090">
        <v>1</v>
      </c>
      <c r="AK4090">
        <v>0</v>
      </c>
      <c r="AL4090">
        <v>0</v>
      </c>
      <c r="AM4090">
        <v>100</v>
      </c>
      <c r="AN4090">
        <v>0</v>
      </c>
      <c r="AO4090">
        <v>0</v>
      </c>
      <c r="AP4090">
        <v>0</v>
      </c>
      <c r="AQ4090">
        <v>0</v>
      </c>
      <c r="AS4090">
        <v>0</v>
      </c>
      <c r="AT4090">
        <v>0</v>
      </c>
      <c r="AV4090">
        <v>0</v>
      </c>
      <c r="AW4090">
        <v>0</v>
      </c>
      <c r="AY4090">
        <v>0</v>
      </c>
      <c r="AZ4090">
        <v>0</v>
      </c>
      <c r="BA4090">
        <v>60</v>
      </c>
      <c r="BE4090" t="str">
        <f>T("9791137017818")</f>
        <v>9791137017818</v>
      </c>
      <c r="BF4090" t="str">
        <f>T("k307467")</f>
        <v>k307467</v>
      </c>
      <c r="BG4090" t="str">
        <f>T("판타지 웹소설 &gt; 퓨전 판타지")</f>
        <v>판타지 웹소설 &gt; 퓨전 판타지</v>
      </c>
    </row>
    <row r="4091" spans="1:59">
      <c r="A4091" t="s">
        <v>60</v>
      </c>
      <c r="B4091" s="1">
        <v>46130</v>
      </c>
      <c r="C4091">
        <v>2378059085</v>
      </c>
      <c r="D4091">
        <v>2378081083</v>
      </c>
      <c r="E4091" t="str">
        <f>T("아카데미 악역 엑스트라로 사는 법 590화")</f>
        <v>아카데미 악역 엑스트라로 사는 법 590화</v>
      </c>
      <c r="F4091">
        <v>591</v>
      </c>
      <c r="G4091" t="str">
        <f>T("김서건")</f>
        <v>김서건</v>
      </c>
      <c r="J4091" t="str">
        <f>T("매드햇")</f>
        <v>매드햇</v>
      </c>
      <c r="K4091" t="str">
        <f>T("아카데미 악역 엑스트라로 사는 법")</f>
        <v>아카데미 악역 엑스트라로 사는 법</v>
      </c>
      <c r="L4091">
        <v>100</v>
      </c>
      <c r="M4091">
        <v>100</v>
      </c>
      <c r="N4091">
        <v>1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0</v>
      </c>
      <c r="AE4091">
        <v>0</v>
      </c>
      <c r="AF4091">
        <v>0</v>
      </c>
      <c r="AG4091">
        <v>0</v>
      </c>
      <c r="AH4091">
        <v>0</v>
      </c>
      <c r="AI4091">
        <v>100</v>
      </c>
      <c r="AJ4091">
        <v>1</v>
      </c>
      <c r="AK4091">
        <v>0</v>
      </c>
      <c r="AL4091">
        <v>0</v>
      </c>
      <c r="AM4091">
        <v>100</v>
      </c>
      <c r="AN4091">
        <v>0</v>
      </c>
      <c r="AO4091">
        <v>0</v>
      </c>
      <c r="AP4091">
        <v>0</v>
      </c>
      <c r="AQ4091">
        <v>0</v>
      </c>
      <c r="AS4091">
        <v>0</v>
      </c>
      <c r="AT4091">
        <v>0</v>
      </c>
      <c r="AV4091">
        <v>0</v>
      </c>
      <c r="AW4091">
        <v>0</v>
      </c>
      <c r="AY4091">
        <v>0</v>
      </c>
      <c r="AZ4091">
        <v>0</v>
      </c>
      <c r="BA4091">
        <v>60</v>
      </c>
      <c r="BE4091" t="str">
        <f>T("9791137017818")</f>
        <v>9791137017818</v>
      </c>
      <c r="BF4091" t="str">
        <f>T("D227207")</f>
        <v>D227207</v>
      </c>
      <c r="BG4091" t="str">
        <f>T("판타지 웹소설 &gt; 퓨전 판타지")</f>
        <v>판타지 웹소설 &gt; 퓨전 판타지</v>
      </c>
    </row>
    <row r="4092" spans="1:59">
      <c r="A4092" t="s">
        <v>60</v>
      </c>
      <c r="B4092" s="1">
        <v>46130</v>
      </c>
      <c r="C4092">
        <v>2378059085</v>
      </c>
      <c r="D4092">
        <v>2378081084</v>
      </c>
      <c r="E4092" t="str">
        <f>T("아카데미 악역 엑스트라로 사는 법 591화")</f>
        <v>아카데미 악역 엑스트라로 사는 법 591화</v>
      </c>
      <c r="F4092">
        <v>592</v>
      </c>
      <c r="G4092" t="str">
        <f>T("김서건")</f>
        <v>김서건</v>
      </c>
      <c r="J4092" t="str">
        <f>T("매드햇")</f>
        <v>매드햇</v>
      </c>
      <c r="K4092" t="str">
        <f>T("아카데미 악역 엑스트라로 사는 법")</f>
        <v>아카데미 악역 엑스트라로 사는 법</v>
      </c>
      <c r="L4092">
        <v>100</v>
      </c>
      <c r="M4092">
        <v>100</v>
      </c>
      <c r="N4092">
        <v>1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0</v>
      </c>
      <c r="AE4092">
        <v>0</v>
      </c>
      <c r="AF4092">
        <v>0</v>
      </c>
      <c r="AG4092">
        <v>0</v>
      </c>
      <c r="AH4092">
        <v>0</v>
      </c>
      <c r="AI4092">
        <v>100</v>
      </c>
      <c r="AJ4092">
        <v>1</v>
      </c>
      <c r="AK4092">
        <v>0</v>
      </c>
      <c r="AL4092">
        <v>0</v>
      </c>
      <c r="AM4092">
        <v>100</v>
      </c>
      <c r="AN4092">
        <v>0</v>
      </c>
      <c r="AO4092">
        <v>0</v>
      </c>
      <c r="AP4092">
        <v>0</v>
      </c>
      <c r="AQ4092">
        <v>0</v>
      </c>
      <c r="AS4092">
        <v>0</v>
      </c>
      <c r="AT4092">
        <v>0</v>
      </c>
      <c r="AV4092">
        <v>0</v>
      </c>
      <c r="AW4092">
        <v>0</v>
      </c>
      <c r="AY4092">
        <v>0</v>
      </c>
      <c r="AZ4092">
        <v>0</v>
      </c>
      <c r="BA4092">
        <v>60</v>
      </c>
      <c r="BE4092" t="str">
        <f>T("9791137017818")</f>
        <v>9791137017818</v>
      </c>
      <c r="BF4092" t="str">
        <f>T("D227208")</f>
        <v>D227208</v>
      </c>
      <c r="BG4092" t="str">
        <f>T("판타지 웹소설 &gt; 퓨전 판타지")</f>
        <v>판타지 웹소설 &gt; 퓨전 판타지</v>
      </c>
    </row>
    <row r="4093" spans="1:59">
      <c r="A4093" t="s">
        <v>60</v>
      </c>
      <c r="B4093" s="1">
        <v>46130</v>
      </c>
      <c r="C4093">
        <v>2378059085</v>
      </c>
      <c r="D4093">
        <v>2378081101</v>
      </c>
      <c r="E4093" t="str">
        <f>T("아카데미 악역 엑스트라로 사는 법 592화")</f>
        <v>아카데미 악역 엑스트라로 사는 법 592화</v>
      </c>
      <c r="F4093">
        <v>593</v>
      </c>
      <c r="G4093" t="str">
        <f>T("김서건")</f>
        <v>김서건</v>
      </c>
      <c r="J4093" t="str">
        <f>T("매드햇")</f>
        <v>매드햇</v>
      </c>
      <c r="K4093" t="str">
        <f>T("아카데미 악역 엑스트라로 사는 법")</f>
        <v>아카데미 악역 엑스트라로 사는 법</v>
      </c>
      <c r="L4093">
        <v>100</v>
      </c>
      <c r="M4093">
        <v>100</v>
      </c>
      <c r="N4093">
        <v>1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0</v>
      </c>
      <c r="AE4093">
        <v>0</v>
      </c>
      <c r="AF4093">
        <v>0</v>
      </c>
      <c r="AG4093">
        <v>0</v>
      </c>
      <c r="AH4093">
        <v>0</v>
      </c>
      <c r="AI4093">
        <v>100</v>
      </c>
      <c r="AJ4093">
        <v>1</v>
      </c>
      <c r="AK4093">
        <v>0</v>
      </c>
      <c r="AL4093">
        <v>0</v>
      </c>
      <c r="AM4093">
        <v>100</v>
      </c>
      <c r="AN4093">
        <v>0</v>
      </c>
      <c r="AO4093">
        <v>0</v>
      </c>
      <c r="AP4093">
        <v>0</v>
      </c>
      <c r="AQ4093">
        <v>0</v>
      </c>
      <c r="AS4093">
        <v>0</v>
      </c>
      <c r="AT4093">
        <v>0</v>
      </c>
      <c r="AV4093">
        <v>0</v>
      </c>
      <c r="AW4093">
        <v>0</v>
      </c>
      <c r="AY4093">
        <v>0</v>
      </c>
      <c r="AZ4093">
        <v>0</v>
      </c>
      <c r="BA4093">
        <v>60</v>
      </c>
      <c r="BE4093" t="str">
        <f>T("9791137017818")</f>
        <v>9791137017818</v>
      </c>
      <c r="BF4093" t="str">
        <f>T("D227209")</f>
        <v>D227209</v>
      </c>
      <c r="BG4093" t="str">
        <f>T("판타지 웹소설 &gt; 퓨전 판타지")</f>
        <v>판타지 웹소설 &gt; 퓨전 판타지</v>
      </c>
    </row>
    <row r="4094" spans="1:59">
      <c r="A4094" t="s">
        <v>60</v>
      </c>
      <c r="B4094" s="1">
        <v>46130</v>
      </c>
      <c r="C4094">
        <v>2378059085</v>
      </c>
      <c r="D4094">
        <v>2378059085</v>
      </c>
      <c r="E4094" t="str">
        <f>T("아카데미 악역 엑스트라로 사는 법 1화")</f>
        <v>아카데미 악역 엑스트라로 사는 법 1화</v>
      </c>
      <c r="F4094">
        <v>1</v>
      </c>
      <c r="G4094" t="str">
        <f>T("김서건")</f>
        <v>김서건</v>
      </c>
      <c r="J4094" t="str">
        <f>T("매드햇")</f>
        <v>매드햇</v>
      </c>
      <c r="K4094" t="str">
        <f>T("아카데미 악역 엑스트라로 사는 법")</f>
        <v>아카데미 악역 엑스트라로 사는 법</v>
      </c>
      <c r="L4094">
        <v>0</v>
      </c>
      <c r="M4094">
        <v>0</v>
      </c>
      <c r="N4094">
        <v>0</v>
      </c>
      <c r="O4094">
        <v>2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0</v>
      </c>
      <c r="AE4094">
        <v>0</v>
      </c>
      <c r="AF4094">
        <v>0</v>
      </c>
      <c r="AG4094">
        <v>0</v>
      </c>
      <c r="AH4094">
        <v>0</v>
      </c>
      <c r="AI4094">
        <v>0</v>
      </c>
      <c r="AJ4094">
        <v>2</v>
      </c>
      <c r="AK4094">
        <v>0</v>
      </c>
      <c r="AL4094">
        <v>0</v>
      </c>
      <c r="AM4094">
        <v>0</v>
      </c>
      <c r="AN4094">
        <v>0</v>
      </c>
      <c r="AO4094">
        <v>0</v>
      </c>
      <c r="AP4094">
        <v>0</v>
      </c>
      <c r="AQ4094">
        <v>0</v>
      </c>
      <c r="AS4094">
        <v>0</v>
      </c>
      <c r="AT4094">
        <v>0</v>
      </c>
      <c r="AV4094">
        <v>0</v>
      </c>
      <c r="AW4094">
        <v>0</v>
      </c>
      <c r="AY4094">
        <v>0</v>
      </c>
      <c r="AZ4094">
        <v>0</v>
      </c>
      <c r="BA4094">
        <v>0</v>
      </c>
      <c r="BE4094" t="str">
        <f>T("9791137017818")</f>
        <v>9791137017818</v>
      </c>
      <c r="BF4094" t="str">
        <f>T("k196847")</f>
        <v>k196847</v>
      </c>
      <c r="BG4094" t="str">
        <f>T("판타지 웹소설 &gt; 퓨전 판타지")</f>
        <v>판타지 웹소설 &gt; 퓨전 판타지</v>
      </c>
    </row>
    <row r="4095" spans="1:59">
      <c r="A4095" t="s">
        <v>60</v>
      </c>
      <c r="B4095" s="1">
        <v>46130</v>
      </c>
      <c r="C4095">
        <v>2378059085</v>
      </c>
      <c r="D4095">
        <v>2378073212</v>
      </c>
      <c r="E4095" t="str">
        <f>T("아카데미 악역 엑스트라로 사는 법 369화")</f>
        <v>아카데미 악역 엑스트라로 사는 법 369화</v>
      </c>
      <c r="F4095">
        <v>369</v>
      </c>
      <c r="G4095" t="str">
        <f>T("김서건")</f>
        <v>김서건</v>
      </c>
      <c r="J4095" t="str">
        <f>T("매드햇")</f>
        <v>매드햇</v>
      </c>
      <c r="K4095" t="str">
        <f>T("아카데미 악역 엑스트라로 사는 법")</f>
        <v>아카데미 악역 엑스트라로 사는 법</v>
      </c>
      <c r="L4095">
        <v>100</v>
      </c>
      <c r="M4095">
        <v>100</v>
      </c>
      <c r="N4095">
        <v>1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0</v>
      </c>
      <c r="AE4095">
        <v>0</v>
      </c>
      <c r="AF4095">
        <v>0</v>
      </c>
      <c r="AG4095">
        <v>0</v>
      </c>
      <c r="AH4095">
        <v>0</v>
      </c>
      <c r="AI4095">
        <v>100</v>
      </c>
      <c r="AJ4095">
        <v>1</v>
      </c>
      <c r="AK4095">
        <v>0</v>
      </c>
      <c r="AL4095">
        <v>0</v>
      </c>
      <c r="AM4095">
        <v>100</v>
      </c>
      <c r="AN4095">
        <v>0</v>
      </c>
      <c r="AO4095">
        <v>0</v>
      </c>
      <c r="AP4095">
        <v>0</v>
      </c>
      <c r="AQ4095">
        <v>0</v>
      </c>
      <c r="AS4095">
        <v>0</v>
      </c>
      <c r="AT4095">
        <v>0</v>
      </c>
      <c r="AV4095">
        <v>0</v>
      </c>
      <c r="AW4095">
        <v>0</v>
      </c>
      <c r="AY4095">
        <v>0</v>
      </c>
      <c r="AZ4095">
        <v>0</v>
      </c>
      <c r="BA4095">
        <v>60</v>
      </c>
      <c r="BE4095" t="str">
        <f>T("9791137017818")</f>
        <v>9791137017818</v>
      </c>
      <c r="BF4095" t="str">
        <f>T("B010167")</f>
        <v>B010167</v>
      </c>
      <c r="BG4095" t="str">
        <f>T("판타지 웹소설 &gt; 퓨전 판타지")</f>
        <v>판타지 웹소설 &gt; 퓨전 판타지</v>
      </c>
    </row>
    <row r="4096" spans="1:59">
      <c r="A4096" t="s">
        <v>60</v>
      </c>
      <c r="B4096" s="1">
        <v>46130</v>
      </c>
      <c r="C4096">
        <v>2378059085</v>
      </c>
      <c r="D4096">
        <v>2378081223</v>
      </c>
      <c r="E4096" t="str">
        <f>T("아카데미 악역 엑스트라로 사는 법 597화")</f>
        <v>아카데미 악역 엑스트라로 사는 법 597화</v>
      </c>
      <c r="F4096">
        <v>598</v>
      </c>
      <c r="G4096" t="str">
        <f>T("김서건")</f>
        <v>김서건</v>
      </c>
      <c r="J4096" t="str">
        <f>T("매드햇")</f>
        <v>매드햇</v>
      </c>
      <c r="K4096" t="str">
        <f>T("아카데미 악역 엑스트라로 사는 법")</f>
        <v>아카데미 악역 엑스트라로 사는 법</v>
      </c>
      <c r="L4096">
        <v>100</v>
      </c>
      <c r="M4096">
        <v>100</v>
      </c>
      <c r="N4096">
        <v>1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0</v>
      </c>
      <c r="AE4096">
        <v>0</v>
      </c>
      <c r="AF4096">
        <v>0</v>
      </c>
      <c r="AG4096">
        <v>0</v>
      </c>
      <c r="AH4096">
        <v>0</v>
      </c>
      <c r="AI4096">
        <v>100</v>
      </c>
      <c r="AJ4096">
        <v>1</v>
      </c>
      <c r="AK4096">
        <v>0</v>
      </c>
      <c r="AL4096">
        <v>0</v>
      </c>
      <c r="AM4096">
        <v>100</v>
      </c>
      <c r="AN4096">
        <v>0</v>
      </c>
      <c r="AO4096">
        <v>0</v>
      </c>
      <c r="AP4096">
        <v>0</v>
      </c>
      <c r="AQ4096">
        <v>0</v>
      </c>
      <c r="AS4096">
        <v>0</v>
      </c>
      <c r="AT4096">
        <v>0</v>
      </c>
      <c r="AV4096">
        <v>0</v>
      </c>
      <c r="AW4096">
        <v>0</v>
      </c>
      <c r="AY4096">
        <v>0</v>
      </c>
      <c r="AZ4096">
        <v>0</v>
      </c>
      <c r="BA4096">
        <v>60</v>
      </c>
      <c r="BE4096" t="str">
        <f>T("9791137017818")</f>
        <v>9791137017818</v>
      </c>
      <c r="BF4096" t="str">
        <f>T("D227214")</f>
        <v>D227214</v>
      </c>
      <c r="BG4096" t="str">
        <f>T("판타지 웹소설 &gt; 퓨전 판타지")</f>
        <v>판타지 웹소설 &gt; 퓨전 판타지</v>
      </c>
    </row>
    <row r="4097" spans="1:59">
      <c r="A4097" t="s">
        <v>60</v>
      </c>
      <c r="B4097" s="1">
        <v>46130</v>
      </c>
      <c r="C4097">
        <v>2378059085</v>
      </c>
      <c r="D4097">
        <v>2378059155</v>
      </c>
      <c r="E4097" t="str">
        <f>T("아카데미 악역 엑스트라로 사는 법 71화")</f>
        <v>아카데미 악역 엑스트라로 사는 법 71화</v>
      </c>
      <c r="F4097">
        <v>71</v>
      </c>
      <c r="G4097" t="str">
        <f>T("김서건")</f>
        <v>김서건</v>
      </c>
      <c r="J4097" t="str">
        <f>T("매드햇")</f>
        <v>매드햇</v>
      </c>
      <c r="K4097" t="str">
        <f>T("아카데미 악역 엑스트라로 사는 법")</f>
        <v>아카데미 악역 엑스트라로 사는 법</v>
      </c>
      <c r="L4097">
        <v>100</v>
      </c>
      <c r="M4097">
        <v>100</v>
      </c>
      <c r="N4097">
        <v>1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0</v>
      </c>
      <c r="AE4097">
        <v>0</v>
      </c>
      <c r="AF4097">
        <v>0</v>
      </c>
      <c r="AG4097">
        <v>0</v>
      </c>
      <c r="AH4097">
        <v>0</v>
      </c>
      <c r="AI4097">
        <v>100</v>
      </c>
      <c r="AJ4097">
        <v>1</v>
      </c>
      <c r="AK4097">
        <v>0</v>
      </c>
      <c r="AL4097">
        <v>0</v>
      </c>
      <c r="AM4097">
        <v>100</v>
      </c>
      <c r="AN4097">
        <v>0</v>
      </c>
      <c r="AO4097">
        <v>0</v>
      </c>
      <c r="AP4097">
        <v>0</v>
      </c>
      <c r="AQ4097">
        <v>0</v>
      </c>
      <c r="AS4097">
        <v>0</v>
      </c>
      <c r="AT4097">
        <v>0</v>
      </c>
      <c r="AV4097">
        <v>0</v>
      </c>
      <c r="AW4097">
        <v>0</v>
      </c>
      <c r="AY4097">
        <v>0</v>
      </c>
      <c r="AZ4097">
        <v>0</v>
      </c>
      <c r="BA4097">
        <v>60</v>
      </c>
      <c r="BE4097" t="str">
        <f>T("9791137017818")</f>
        <v>9791137017818</v>
      </c>
      <c r="BF4097" t="str">
        <f>T("k196917")</f>
        <v>k196917</v>
      </c>
      <c r="BG4097" t="str">
        <f>T("판타지 웹소설 &gt; 퓨전 판타지")</f>
        <v>판타지 웹소설 &gt; 퓨전 판타지</v>
      </c>
    </row>
    <row r="4098" spans="1:59">
      <c r="A4098" t="s">
        <v>60</v>
      </c>
      <c r="B4098" s="1">
        <v>46130</v>
      </c>
      <c r="C4098">
        <v>2378059085</v>
      </c>
      <c r="D4098">
        <v>2378066713</v>
      </c>
      <c r="E4098" t="str">
        <f>T("아카데미 악역 엑스트라로 사는 법 214화")</f>
        <v>아카데미 악역 엑스트라로 사는 법 214화</v>
      </c>
      <c r="F4098">
        <v>214</v>
      </c>
      <c r="G4098" t="str">
        <f>T("김서건")</f>
        <v>김서건</v>
      </c>
      <c r="J4098" t="str">
        <f>T("매드햇")</f>
        <v>매드햇</v>
      </c>
      <c r="K4098" t="str">
        <f>T("아카데미 악역 엑스트라로 사는 법")</f>
        <v>아카데미 악역 엑스트라로 사는 법</v>
      </c>
      <c r="L4098">
        <v>100</v>
      </c>
      <c r="M4098">
        <v>100</v>
      </c>
      <c r="N4098">
        <v>1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0</v>
      </c>
      <c r="AE4098">
        <v>0</v>
      </c>
      <c r="AF4098">
        <v>0</v>
      </c>
      <c r="AG4098">
        <v>0</v>
      </c>
      <c r="AH4098">
        <v>0</v>
      </c>
      <c r="AI4098">
        <v>100</v>
      </c>
      <c r="AJ4098">
        <v>1</v>
      </c>
      <c r="AK4098">
        <v>0</v>
      </c>
      <c r="AL4098">
        <v>0</v>
      </c>
      <c r="AM4098">
        <v>100</v>
      </c>
      <c r="AN4098">
        <v>0</v>
      </c>
      <c r="AO4098">
        <v>0</v>
      </c>
      <c r="AP4098">
        <v>0</v>
      </c>
      <c r="AQ4098">
        <v>0</v>
      </c>
      <c r="AS4098">
        <v>0</v>
      </c>
      <c r="AT4098">
        <v>0</v>
      </c>
      <c r="AV4098">
        <v>0</v>
      </c>
      <c r="AW4098">
        <v>0</v>
      </c>
      <c r="AY4098">
        <v>0</v>
      </c>
      <c r="AZ4098">
        <v>0</v>
      </c>
      <c r="BA4098">
        <v>60</v>
      </c>
      <c r="BE4098" t="str">
        <f>T("9791137017818")</f>
        <v>9791137017818</v>
      </c>
      <c r="BF4098" t="str">
        <f>T("k307468")</f>
        <v>k307468</v>
      </c>
      <c r="BG4098" t="str">
        <f>T("판타지 웹소설 &gt; 퓨전 판타지")</f>
        <v>판타지 웹소설 &gt; 퓨전 판타지</v>
      </c>
    </row>
    <row r="4099" spans="1:59">
      <c r="A4099" t="s">
        <v>60</v>
      </c>
      <c r="B4099" s="1">
        <v>46131</v>
      </c>
      <c r="C4099">
        <v>2378059085</v>
      </c>
      <c r="D4099">
        <v>2378061702</v>
      </c>
      <c r="E4099" t="str">
        <f>T("아카데미 악역 엑스트라로 사는 법 130화")</f>
        <v>아카데미 악역 엑스트라로 사는 법 130화</v>
      </c>
      <c r="F4099">
        <v>130</v>
      </c>
      <c r="G4099" t="str">
        <f>T("김서건")</f>
        <v>김서건</v>
      </c>
      <c r="J4099" t="str">
        <f>T("매드햇")</f>
        <v>매드햇</v>
      </c>
      <c r="K4099" t="str">
        <f>T("아카데미 악역 엑스트라로 사는 법")</f>
        <v>아카데미 악역 엑스트라로 사는 법</v>
      </c>
      <c r="L4099">
        <v>100</v>
      </c>
      <c r="M4099">
        <v>100</v>
      </c>
      <c r="N4099">
        <v>1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0</v>
      </c>
      <c r="AE4099">
        <v>0</v>
      </c>
      <c r="AF4099">
        <v>0</v>
      </c>
      <c r="AG4099">
        <v>0</v>
      </c>
      <c r="AH4099">
        <v>0</v>
      </c>
      <c r="AI4099">
        <v>100</v>
      </c>
      <c r="AJ4099">
        <v>1</v>
      </c>
      <c r="AK4099">
        <v>0</v>
      </c>
      <c r="AL4099">
        <v>0</v>
      </c>
      <c r="AM4099">
        <v>100</v>
      </c>
      <c r="AN4099">
        <v>0</v>
      </c>
      <c r="AO4099">
        <v>0</v>
      </c>
      <c r="AP4099">
        <v>0</v>
      </c>
      <c r="AQ4099">
        <v>0</v>
      </c>
      <c r="AS4099">
        <v>0</v>
      </c>
      <c r="AT4099">
        <v>0</v>
      </c>
      <c r="AV4099">
        <v>0</v>
      </c>
      <c r="AW4099">
        <v>0</v>
      </c>
      <c r="AY4099">
        <v>0</v>
      </c>
      <c r="AZ4099">
        <v>0</v>
      </c>
      <c r="BA4099">
        <v>60</v>
      </c>
      <c r="BE4099" t="str">
        <f>T("9791137017818")</f>
        <v>9791137017818</v>
      </c>
      <c r="BF4099" t="str">
        <f>T("k212758")</f>
        <v>k212758</v>
      </c>
      <c r="BG4099" t="str">
        <f>T("판타지 웹소설 &gt; 퓨전 판타지")</f>
        <v>판타지 웹소설 &gt; 퓨전 판타지</v>
      </c>
    </row>
    <row r="4100" spans="1:59">
      <c r="A4100" t="s">
        <v>60</v>
      </c>
      <c r="B4100" s="1">
        <v>46131</v>
      </c>
      <c r="C4100">
        <v>2378059085</v>
      </c>
      <c r="D4100">
        <v>2378061998</v>
      </c>
      <c r="E4100" t="str">
        <f>T("아카데미 악역 엑스트라로 사는 법 141화")</f>
        <v>아카데미 악역 엑스트라로 사는 법 141화</v>
      </c>
      <c r="F4100">
        <v>141</v>
      </c>
      <c r="G4100" t="str">
        <f>T("김서건")</f>
        <v>김서건</v>
      </c>
      <c r="J4100" t="str">
        <f>T("매드햇")</f>
        <v>매드햇</v>
      </c>
      <c r="K4100" t="str">
        <f>T("아카데미 악역 엑스트라로 사는 법")</f>
        <v>아카데미 악역 엑스트라로 사는 법</v>
      </c>
      <c r="L4100">
        <v>100</v>
      </c>
      <c r="M4100">
        <v>100</v>
      </c>
      <c r="N4100">
        <v>1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0</v>
      </c>
      <c r="AE4100">
        <v>0</v>
      </c>
      <c r="AF4100">
        <v>0</v>
      </c>
      <c r="AG4100">
        <v>0</v>
      </c>
      <c r="AH4100">
        <v>0</v>
      </c>
      <c r="AI4100">
        <v>100</v>
      </c>
      <c r="AJ4100">
        <v>1</v>
      </c>
      <c r="AK4100">
        <v>0</v>
      </c>
      <c r="AL4100">
        <v>0</v>
      </c>
      <c r="AM4100">
        <v>100</v>
      </c>
      <c r="AN4100">
        <v>0</v>
      </c>
      <c r="AO4100">
        <v>0</v>
      </c>
      <c r="AP4100">
        <v>0</v>
      </c>
      <c r="AQ4100">
        <v>0</v>
      </c>
      <c r="AS4100">
        <v>0</v>
      </c>
      <c r="AT4100">
        <v>0</v>
      </c>
      <c r="AV4100">
        <v>0</v>
      </c>
      <c r="AW4100">
        <v>0</v>
      </c>
      <c r="AY4100">
        <v>0</v>
      </c>
      <c r="AZ4100">
        <v>0</v>
      </c>
      <c r="BA4100">
        <v>60</v>
      </c>
      <c r="BE4100" t="str">
        <f>T("9791137017818")</f>
        <v>9791137017818</v>
      </c>
      <c r="BF4100" t="str">
        <f>T("k225228")</f>
        <v>k225228</v>
      </c>
      <c r="BG4100" t="str">
        <f>T("판타지 웹소설 &gt; 퓨전 판타지")</f>
        <v>판타지 웹소설 &gt; 퓨전 판타지</v>
      </c>
    </row>
    <row r="4101" spans="1:59">
      <c r="A4101" t="s">
        <v>60</v>
      </c>
      <c r="B4101" s="1">
        <v>46131</v>
      </c>
      <c r="C4101">
        <v>2378059085</v>
      </c>
      <c r="D4101">
        <v>2378061970</v>
      </c>
      <c r="E4101" t="str">
        <f>T("아카데미 악역 엑스트라로 사는 법 140화")</f>
        <v>아카데미 악역 엑스트라로 사는 법 140화</v>
      </c>
      <c r="F4101">
        <v>140</v>
      </c>
      <c r="G4101" t="str">
        <f>T("김서건")</f>
        <v>김서건</v>
      </c>
      <c r="J4101" t="str">
        <f>T("매드햇")</f>
        <v>매드햇</v>
      </c>
      <c r="K4101" t="str">
        <f>T("아카데미 악역 엑스트라로 사는 법")</f>
        <v>아카데미 악역 엑스트라로 사는 법</v>
      </c>
      <c r="L4101">
        <v>100</v>
      </c>
      <c r="M4101">
        <v>100</v>
      </c>
      <c r="N4101">
        <v>1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0</v>
      </c>
      <c r="AE4101">
        <v>0</v>
      </c>
      <c r="AF4101">
        <v>0</v>
      </c>
      <c r="AG4101">
        <v>0</v>
      </c>
      <c r="AH4101">
        <v>0</v>
      </c>
      <c r="AI4101">
        <v>100</v>
      </c>
      <c r="AJ4101">
        <v>1</v>
      </c>
      <c r="AK4101">
        <v>0</v>
      </c>
      <c r="AL4101">
        <v>0</v>
      </c>
      <c r="AM4101">
        <v>100</v>
      </c>
      <c r="AN4101">
        <v>0</v>
      </c>
      <c r="AO4101">
        <v>0</v>
      </c>
      <c r="AP4101">
        <v>0</v>
      </c>
      <c r="AQ4101">
        <v>0</v>
      </c>
      <c r="AS4101">
        <v>0</v>
      </c>
      <c r="AT4101">
        <v>0</v>
      </c>
      <c r="AV4101">
        <v>0</v>
      </c>
      <c r="AW4101">
        <v>0</v>
      </c>
      <c r="AY4101">
        <v>0</v>
      </c>
      <c r="AZ4101">
        <v>0</v>
      </c>
      <c r="BA4101">
        <v>60</v>
      </c>
      <c r="BE4101" t="str">
        <f>T("9791137017818")</f>
        <v>9791137017818</v>
      </c>
      <c r="BF4101" t="str">
        <f>T("k225227")</f>
        <v>k225227</v>
      </c>
      <c r="BG4101" t="str">
        <f>T("판타지 웹소설 &gt; 퓨전 판타지")</f>
        <v>판타지 웹소설 &gt; 퓨전 판타지</v>
      </c>
    </row>
    <row r="4102" spans="1:59">
      <c r="A4102" t="s">
        <v>60</v>
      </c>
      <c r="B4102" s="1">
        <v>46131</v>
      </c>
      <c r="C4102">
        <v>2378059085</v>
      </c>
      <c r="D4102">
        <v>2378061948</v>
      </c>
      <c r="E4102" t="str">
        <f>T("아카데미 악역 엑스트라로 사는 법 139화")</f>
        <v>아카데미 악역 엑스트라로 사는 법 139화</v>
      </c>
      <c r="F4102">
        <v>139</v>
      </c>
      <c r="G4102" t="str">
        <f>T("김서건")</f>
        <v>김서건</v>
      </c>
      <c r="J4102" t="str">
        <f>T("매드햇")</f>
        <v>매드햇</v>
      </c>
      <c r="K4102" t="str">
        <f>T("아카데미 악역 엑스트라로 사는 법")</f>
        <v>아카데미 악역 엑스트라로 사는 법</v>
      </c>
      <c r="L4102">
        <v>100</v>
      </c>
      <c r="M4102">
        <v>100</v>
      </c>
      <c r="N4102">
        <v>1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0</v>
      </c>
      <c r="AE4102">
        <v>0</v>
      </c>
      <c r="AF4102">
        <v>0</v>
      </c>
      <c r="AG4102">
        <v>0</v>
      </c>
      <c r="AH4102">
        <v>0</v>
      </c>
      <c r="AI4102">
        <v>100</v>
      </c>
      <c r="AJ4102">
        <v>1</v>
      </c>
      <c r="AK4102">
        <v>0</v>
      </c>
      <c r="AL4102">
        <v>0</v>
      </c>
      <c r="AM4102">
        <v>100</v>
      </c>
      <c r="AN4102">
        <v>0</v>
      </c>
      <c r="AO4102">
        <v>0</v>
      </c>
      <c r="AP4102">
        <v>0</v>
      </c>
      <c r="AQ4102">
        <v>0</v>
      </c>
      <c r="AS4102">
        <v>0</v>
      </c>
      <c r="AT4102">
        <v>0</v>
      </c>
      <c r="AV4102">
        <v>0</v>
      </c>
      <c r="AW4102">
        <v>0</v>
      </c>
      <c r="AY4102">
        <v>0</v>
      </c>
      <c r="AZ4102">
        <v>0</v>
      </c>
      <c r="BA4102">
        <v>60</v>
      </c>
      <c r="BE4102" t="str">
        <f>T("9791137017818")</f>
        <v>9791137017818</v>
      </c>
      <c r="BF4102" t="str">
        <f>T("k225226")</f>
        <v>k225226</v>
      </c>
      <c r="BG4102" t="str">
        <f>T("판타지 웹소설 &gt; 퓨전 판타지")</f>
        <v>판타지 웹소설 &gt; 퓨전 판타지</v>
      </c>
    </row>
    <row r="4103" spans="1:59">
      <c r="A4103" t="s">
        <v>60</v>
      </c>
      <c r="B4103" s="1">
        <v>46131</v>
      </c>
      <c r="C4103">
        <v>2378059085</v>
      </c>
      <c r="D4103">
        <v>2378061918</v>
      </c>
      <c r="E4103" t="str">
        <f>T("아카데미 악역 엑스트라로 사는 법 138화")</f>
        <v>아카데미 악역 엑스트라로 사는 법 138화</v>
      </c>
      <c r="F4103">
        <v>138</v>
      </c>
      <c r="G4103" t="str">
        <f>T("김서건")</f>
        <v>김서건</v>
      </c>
      <c r="J4103" t="str">
        <f>T("매드햇")</f>
        <v>매드햇</v>
      </c>
      <c r="K4103" t="str">
        <f>T("아카데미 악역 엑스트라로 사는 법")</f>
        <v>아카데미 악역 엑스트라로 사는 법</v>
      </c>
      <c r="L4103">
        <v>100</v>
      </c>
      <c r="M4103">
        <v>100</v>
      </c>
      <c r="N4103">
        <v>1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0</v>
      </c>
      <c r="AE4103">
        <v>0</v>
      </c>
      <c r="AF4103">
        <v>0</v>
      </c>
      <c r="AG4103">
        <v>0</v>
      </c>
      <c r="AH4103">
        <v>0</v>
      </c>
      <c r="AI4103">
        <v>100</v>
      </c>
      <c r="AJ4103">
        <v>1</v>
      </c>
      <c r="AK4103">
        <v>0</v>
      </c>
      <c r="AL4103">
        <v>0</v>
      </c>
      <c r="AM4103">
        <v>100</v>
      </c>
      <c r="AN4103">
        <v>0</v>
      </c>
      <c r="AO4103">
        <v>0</v>
      </c>
      <c r="AP4103">
        <v>0</v>
      </c>
      <c r="AQ4103">
        <v>0</v>
      </c>
      <c r="AS4103">
        <v>0</v>
      </c>
      <c r="AT4103">
        <v>0</v>
      </c>
      <c r="AV4103">
        <v>0</v>
      </c>
      <c r="AW4103">
        <v>0</v>
      </c>
      <c r="AY4103">
        <v>0</v>
      </c>
      <c r="AZ4103">
        <v>0</v>
      </c>
      <c r="BA4103">
        <v>60</v>
      </c>
      <c r="BE4103" t="str">
        <f>T("9791137017818")</f>
        <v>9791137017818</v>
      </c>
      <c r="BF4103" t="str">
        <f>T("k225225")</f>
        <v>k225225</v>
      </c>
      <c r="BG4103" t="str">
        <f>T("판타지 웹소설 &gt; 퓨전 판타지")</f>
        <v>판타지 웹소설 &gt; 퓨전 판타지</v>
      </c>
    </row>
    <row r="4104" spans="1:59">
      <c r="A4104" t="s">
        <v>60</v>
      </c>
      <c r="B4104" s="1">
        <v>46131</v>
      </c>
      <c r="C4104">
        <v>2378059085</v>
      </c>
      <c r="D4104">
        <v>2378061898</v>
      </c>
      <c r="E4104" t="str">
        <f>T("아카데미 악역 엑스트라로 사는 법 137화")</f>
        <v>아카데미 악역 엑스트라로 사는 법 137화</v>
      </c>
      <c r="F4104">
        <v>137</v>
      </c>
      <c r="G4104" t="str">
        <f>T("김서건")</f>
        <v>김서건</v>
      </c>
      <c r="J4104" t="str">
        <f>T("매드햇")</f>
        <v>매드햇</v>
      </c>
      <c r="K4104" t="str">
        <f>T("아카데미 악역 엑스트라로 사는 법")</f>
        <v>아카데미 악역 엑스트라로 사는 법</v>
      </c>
      <c r="L4104">
        <v>100</v>
      </c>
      <c r="M4104">
        <v>100</v>
      </c>
      <c r="N4104">
        <v>1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0</v>
      </c>
      <c r="AE4104">
        <v>0</v>
      </c>
      <c r="AF4104">
        <v>0</v>
      </c>
      <c r="AG4104">
        <v>0</v>
      </c>
      <c r="AH4104">
        <v>0</v>
      </c>
      <c r="AI4104">
        <v>100</v>
      </c>
      <c r="AJ4104">
        <v>1</v>
      </c>
      <c r="AK4104">
        <v>0</v>
      </c>
      <c r="AL4104">
        <v>0</v>
      </c>
      <c r="AM4104">
        <v>100</v>
      </c>
      <c r="AN4104">
        <v>0</v>
      </c>
      <c r="AO4104">
        <v>0</v>
      </c>
      <c r="AP4104">
        <v>0</v>
      </c>
      <c r="AQ4104">
        <v>0</v>
      </c>
      <c r="AS4104">
        <v>0</v>
      </c>
      <c r="AT4104">
        <v>0</v>
      </c>
      <c r="AV4104">
        <v>0</v>
      </c>
      <c r="AW4104">
        <v>0</v>
      </c>
      <c r="AY4104">
        <v>0</v>
      </c>
      <c r="AZ4104">
        <v>0</v>
      </c>
      <c r="BA4104">
        <v>60</v>
      </c>
      <c r="BE4104" t="str">
        <f>T("9791137017818")</f>
        <v>9791137017818</v>
      </c>
      <c r="BF4104" t="str">
        <f>T("k225224")</f>
        <v>k225224</v>
      </c>
      <c r="BG4104" t="str">
        <f>T("판타지 웹소설 &gt; 퓨전 판타지")</f>
        <v>판타지 웹소설 &gt; 퓨전 판타지</v>
      </c>
    </row>
    <row r="4105" spans="1:59">
      <c r="A4105" t="s">
        <v>60</v>
      </c>
      <c r="B4105" s="1">
        <v>46131</v>
      </c>
      <c r="C4105">
        <v>2378059085</v>
      </c>
      <c r="D4105">
        <v>2378061877</v>
      </c>
      <c r="E4105" t="str">
        <f>T("아카데미 악역 엑스트라로 사는 법 136화")</f>
        <v>아카데미 악역 엑스트라로 사는 법 136화</v>
      </c>
      <c r="F4105">
        <v>136</v>
      </c>
      <c r="G4105" t="str">
        <f>T("김서건")</f>
        <v>김서건</v>
      </c>
      <c r="J4105" t="str">
        <f>T("매드햇")</f>
        <v>매드햇</v>
      </c>
      <c r="K4105" t="str">
        <f>T("아카데미 악역 엑스트라로 사는 법")</f>
        <v>아카데미 악역 엑스트라로 사는 법</v>
      </c>
      <c r="L4105">
        <v>100</v>
      </c>
      <c r="M4105">
        <v>100</v>
      </c>
      <c r="N4105">
        <v>1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0</v>
      </c>
      <c r="AE4105">
        <v>0</v>
      </c>
      <c r="AF4105">
        <v>0</v>
      </c>
      <c r="AG4105">
        <v>0</v>
      </c>
      <c r="AH4105">
        <v>0</v>
      </c>
      <c r="AI4105">
        <v>100</v>
      </c>
      <c r="AJ4105">
        <v>1</v>
      </c>
      <c r="AK4105">
        <v>0</v>
      </c>
      <c r="AL4105">
        <v>0</v>
      </c>
      <c r="AM4105">
        <v>100</v>
      </c>
      <c r="AN4105">
        <v>0</v>
      </c>
      <c r="AO4105">
        <v>0</v>
      </c>
      <c r="AP4105">
        <v>0</v>
      </c>
      <c r="AQ4105">
        <v>0</v>
      </c>
      <c r="AS4105">
        <v>0</v>
      </c>
      <c r="AT4105">
        <v>0</v>
      </c>
      <c r="AV4105">
        <v>0</v>
      </c>
      <c r="AW4105">
        <v>0</v>
      </c>
      <c r="AY4105">
        <v>0</v>
      </c>
      <c r="AZ4105">
        <v>0</v>
      </c>
      <c r="BA4105">
        <v>60</v>
      </c>
      <c r="BE4105" t="str">
        <f>T("9791137017818")</f>
        <v>9791137017818</v>
      </c>
      <c r="BF4105" t="str">
        <f>T("k217746")</f>
        <v>k217746</v>
      </c>
      <c r="BG4105" t="str">
        <f>T("판타지 웹소설 &gt; 퓨전 판타지")</f>
        <v>판타지 웹소설 &gt; 퓨전 판타지</v>
      </c>
    </row>
    <row r="4106" spans="1:59">
      <c r="A4106" t="s">
        <v>60</v>
      </c>
      <c r="B4106" s="1">
        <v>46131</v>
      </c>
      <c r="C4106">
        <v>2378059085</v>
      </c>
      <c r="D4106">
        <v>2378061847</v>
      </c>
      <c r="E4106" t="str">
        <f>T("아카데미 악역 엑스트라로 사는 법 135화")</f>
        <v>아카데미 악역 엑스트라로 사는 법 135화</v>
      </c>
      <c r="F4106">
        <v>135</v>
      </c>
      <c r="G4106" t="str">
        <f>T("김서건")</f>
        <v>김서건</v>
      </c>
      <c r="J4106" t="str">
        <f>T("매드햇")</f>
        <v>매드햇</v>
      </c>
      <c r="K4106" t="str">
        <f>T("아카데미 악역 엑스트라로 사는 법")</f>
        <v>아카데미 악역 엑스트라로 사는 법</v>
      </c>
      <c r="L4106">
        <v>100</v>
      </c>
      <c r="M4106">
        <v>100</v>
      </c>
      <c r="N4106">
        <v>1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0</v>
      </c>
      <c r="AE4106">
        <v>0</v>
      </c>
      <c r="AF4106">
        <v>0</v>
      </c>
      <c r="AG4106">
        <v>0</v>
      </c>
      <c r="AH4106">
        <v>0</v>
      </c>
      <c r="AI4106">
        <v>100</v>
      </c>
      <c r="AJ4106">
        <v>1</v>
      </c>
      <c r="AK4106">
        <v>0</v>
      </c>
      <c r="AL4106">
        <v>0</v>
      </c>
      <c r="AM4106">
        <v>100</v>
      </c>
      <c r="AN4106">
        <v>0</v>
      </c>
      <c r="AO4106">
        <v>0</v>
      </c>
      <c r="AP4106">
        <v>0</v>
      </c>
      <c r="AQ4106">
        <v>0</v>
      </c>
      <c r="AS4106">
        <v>0</v>
      </c>
      <c r="AT4106">
        <v>0</v>
      </c>
      <c r="AV4106">
        <v>0</v>
      </c>
      <c r="AW4106">
        <v>0</v>
      </c>
      <c r="AY4106">
        <v>0</v>
      </c>
      <c r="AZ4106">
        <v>0</v>
      </c>
      <c r="BA4106">
        <v>60</v>
      </c>
      <c r="BE4106" t="str">
        <f>T("9791137017818")</f>
        <v>9791137017818</v>
      </c>
      <c r="BF4106" t="str">
        <f>T("k217745")</f>
        <v>k217745</v>
      </c>
      <c r="BG4106" t="str">
        <f>T("판타지 웹소설 &gt; 퓨전 판타지")</f>
        <v>판타지 웹소설 &gt; 퓨전 판타지</v>
      </c>
    </row>
    <row r="4107" spans="1:59">
      <c r="A4107" t="s">
        <v>60</v>
      </c>
      <c r="B4107" s="1">
        <v>46131</v>
      </c>
      <c r="C4107">
        <v>2378059085</v>
      </c>
      <c r="D4107">
        <v>2378061809</v>
      </c>
      <c r="E4107" t="str">
        <f>T("아카데미 악역 엑스트라로 사는 법 134화")</f>
        <v>아카데미 악역 엑스트라로 사는 법 134화</v>
      </c>
      <c r="F4107">
        <v>134</v>
      </c>
      <c r="G4107" t="str">
        <f>T("김서건")</f>
        <v>김서건</v>
      </c>
      <c r="J4107" t="str">
        <f>T("매드햇")</f>
        <v>매드햇</v>
      </c>
      <c r="K4107" t="str">
        <f>T("아카데미 악역 엑스트라로 사는 법")</f>
        <v>아카데미 악역 엑스트라로 사는 법</v>
      </c>
      <c r="L4107">
        <v>100</v>
      </c>
      <c r="M4107">
        <v>100</v>
      </c>
      <c r="N4107">
        <v>1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0</v>
      </c>
      <c r="AE4107">
        <v>0</v>
      </c>
      <c r="AF4107">
        <v>0</v>
      </c>
      <c r="AG4107">
        <v>0</v>
      </c>
      <c r="AH4107">
        <v>0</v>
      </c>
      <c r="AI4107">
        <v>100</v>
      </c>
      <c r="AJ4107">
        <v>1</v>
      </c>
      <c r="AK4107">
        <v>0</v>
      </c>
      <c r="AL4107">
        <v>0</v>
      </c>
      <c r="AM4107">
        <v>100</v>
      </c>
      <c r="AN4107">
        <v>0</v>
      </c>
      <c r="AO4107">
        <v>0</v>
      </c>
      <c r="AP4107">
        <v>0</v>
      </c>
      <c r="AQ4107">
        <v>0</v>
      </c>
      <c r="AS4107">
        <v>0</v>
      </c>
      <c r="AT4107">
        <v>0</v>
      </c>
      <c r="AV4107">
        <v>0</v>
      </c>
      <c r="AW4107">
        <v>0</v>
      </c>
      <c r="AY4107">
        <v>0</v>
      </c>
      <c r="AZ4107">
        <v>0</v>
      </c>
      <c r="BA4107">
        <v>60</v>
      </c>
      <c r="BE4107" t="str">
        <f>T("9791137017818")</f>
        <v>9791137017818</v>
      </c>
      <c r="BF4107" t="str">
        <f>T("k217744")</f>
        <v>k217744</v>
      </c>
      <c r="BG4107" t="str">
        <f>T("판타지 웹소설 &gt; 퓨전 판타지")</f>
        <v>판타지 웹소설 &gt; 퓨전 판타지</v>
      </c>
    </row>
    <row r="4108" spans="1:59">
      <c r="A4108" t="s">
        <v>60</v>
      </c>
      <c r="B4108" s="1">
        <v>46131</v>
      </c>
      <c r="C4108">
        <v>2378059085</v>
      </c>
      <c r="D4108">
        <v>2378061786</v>
      </c>
      <c r="E4108" t="str">
        <f>T("아카데미 악역 엑스트라로 사는 법 133화")</f>
        <v>아카데미 악역 엑스트라로 사는 법 133화</v>
      </c>
      <c r="F4108">
        <v>133</v>
      </c>
      <c r="G4108" t="str">
        <f>T("김서건")</f>
        <v>김서건</v>
      </c>
      <c r="J4108" t="str">
        <f>T("매드햇")</f>
        <v>매드햇</v>
      </c>
      <c r="K4108" t="str">
        <f>T("아카데미 악역 엑스트라로 사는 법")</f>
        <v>아카데미 악역 엑스트라로 사는 법</v>
      </c>
      <c r="L4108">
        <v>100</v>
      </c>
      <c r="M4108">
        <v>100</v>
      </c>
      <c r="N4108">
        <v>1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0</v>
      </c>
      <c r="AE4108">
        <v>0</v>
      </c>
      <c r="AF4108">
        <v>0</v>
      </c>
      <c r="AG4108">
        <v>0</v>
      </c>
      <c r="AH4108">
        <v>0</v>
      </c>
      <c r="AI4108">
        <v>100</v>
      </c>
      <c r="AJ4108">
        <v>1</v>
      </c>
      <c r="AK4108">
        <v>0</v>
      </c>
      <c r="AL4108">
        <v>0</v>
      </c>
      <c r="AM4108">
        <v>100</v>
      </c>
      <c r="AN4108">
        <v>0</v>
      </c>
      <c r="AO4108">
        <v>0</v>
      </c>
      <c r="AP4108">
        <v>0</v>
      </c>
      <c r="AQ4108">
        <v>0</v>
      </c>
      <c r="AS4108">
        <v>0</v>
      </c>
      <c r="AT4108">
        <v>0</v>
      </c>
      <c r="AV4108">
        <v>0</v>
      </c>
      <c r="AW4108">
        <v>0</v>
      </c>
      <c r="AY4108">
        <v>0</v>
      </c>
      <c r="AZ4108">
        <v>0</v>
      </c>
      <c r="BA4108">
        <v>60</v>
      </c>
      <c r="BE4108" t="str">
        <f>T("9791137017818")</f>
        <v>9791137017818</v>
      </c>
      <c r="BF4108" t="str">
        <f>T("k217743")</f>
        <v>k217743</v>
      </c>
      <c r="BG4108" t="str">
        <f>T("판타지 웹소설 &gt; 퓨전 판타지")</f>
        <v>판타지 웹소설 &gt; 퓨전 판타지</v>
      </c>
    </row>
    <row r="4109" spans="1:59">
      <c r="A4109" t="s">
        <v>60</v>
      </c>
      <c r="B4109" s="1">
        <v>46131</v>
      </c>
      <c r="C4109">
        <v>2378059085</v>
      </c>
      <c r="D4109">
        <v>2378061750</v>
      </c>
      <c r="E4109" t="str">
        <f>T("아카데미 악역 엑스트라로 사는 법 132화")</f>
        <v>아카데미 악역 엑스트라로 사는 법 132화</v>
      </c>
      <c r="F4109">
        <v>132</v>
      </c>
      <c r="G4109" t="str">
        <f>T("김서건")</f>
        <v>김서건</v>
      </c>
      <c r="J4109" t="str">
        <f>T("매드햇")</f>
        <v>매드햇</v>
      </c>
      <c r="K4109" t="str">
        <f>T("아카데미 악역 엑스트라로 사는 법")</f>
        <v>아카데미 악역 엑스트라로 사는 법</v>
      </c>
      <c r="L4109">
        <v>100</v>
      </c>
      <c r="M4109">
        <v>100</v>
      </c>
      <c r="N4109">
        <v>1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0</v>
      </c>
      <c r="AE4109">
        <v>0</v>
      </c>
      <c r="AF4109">
        <v>0</v>
      </c>
      <c r="AG4109">
        <v>0</v>
      </c>
      <c r="AH4109">
        <v>0</v>
      </c>
      <c r="AI4109">
        <v>100</v>
      </c>
      <c r="AJ4109">
        <v>1</v>
      </c>
      <c r="AK4109">
        <v>0</v>
      </c>
      <c r="AL4109">
        <v>0</v>
      </c>
      <c r="AM4109">
        <v>100</v>
      </c>
      <c r="AN4109">
        <v>0</v>
      </c>
      <c r="AO4109">
        <v>0</v>
      </c>
      <c r="AP4109">
        <v>0</v>
      </c>
      <c r="AQ4109">
        <v>0</v>
      </c>
      <c r="AS4109">
        <v>0</v>
      </c>
      <c r="AT4109">
        <v>0</v>
      </c>
      <c r="AV4109">
        <v>0</v>
      </c>
      <c r="AW4109">
        <v>0</v>
      </c>
      <c r="AY4109">
        <v>0</v>
      </c>
      <c r="AZ4109">
        <v>0</v>
      </c>
      <c r="BA4109">
        <v>60</v>
      </c>
      <c r="BE4109" t="str">
        <f>T("9791137017818")</f>
        <v>9791137017818</v>
      </c>
      <c r="BF4109" t="str">
        <f>T("k217742")</f>
        <v>k217742</v>
      </c>
      <c r="BG4109" t="str">
        <f>T("판타지 웹소설 &gt; 퓨전 판타지")</f>
        <v>판타지 웹소설 &gt; 퓨전 판타지</v>
      </c>
    </row>
    <row r="4110" spans="1:59">
      <c r="A4110" t="s">
        <v>60</v>
      </c>
      <c r="B4110" s="1">
        <v>46131</v>
      </c>
      <c r="C4110">
        <v>2378059085</v>
      </c>
      <c r="D4110">
        <v>2378061734</v>
      </c>
      <c r="E4110" t="str">
        <f>T("아카데미 악역 엑스트라로 사는 법 131화")</f>
        <v>아카데미 악역 엑스트라로 사는 법 131화</v>
      </c>
      <c r="F4110">
        <v>131</v>
      </c>
      <c r="G4110" t="str">
        <f>T("김서건")</f>
        <v>김서건</v>
      </c>
      <c r="J4110" t="str">
        <f>T("매드햇")</f>
        <v>매드햇</v>
      </c>
      <c r="K4110" t="str">
        <f>T("아카데미 악역 엑스트라로 사는 법")</f>
        <v>아카데미 악역 엑스트라로 사는 법</v>
      </c>
      <c r="L4110">
        <v>100</v>
      </c>
      <c r="M4110">
        <v>100</v>
      </c>
      <c r="N4110">
        <v>1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0</v>
      </c>
      <c r="AE4110">
        <v>0</v>
      </c>
      <c r="AF4110">
        <v>0</v>
      </c>
      <c r="AG4110">
        <v>0</v>
      </c>
      <c r="AH4110">
        <v>0</v>
      </c>
      <c r="AI4110">
        <v>100</v>
      </c>
      <c r="AJ4110">
        <v>1</v>
      </c>
      <c r="AK4110">
        <v>0</v>
      </c>
      <c r="AL4110">
        <v>0</v>
      </c>
      <c r="AM4110">
        <v>100</v>
      </c>
      <c r="AN4110">
        <v>0</v>
      </c>
      <c r="AO4110">
        <v>0</v>
      </c>
      <c r="AP4110">
        <v>0</v>
      </c>
      <c r="AQ4110">
        <v>0</v>
      </c>
      <c r="AS4110">
        <v>0</v>
      </c>
      <c r="AT4110">
        <v>0</v>
      </c>
      <c r="AV4110">
        <v>0</v>
      </c>
      <c r="AW4110">
        <v>0</v>
      </c>
      <c r="AY4110">
        <v>0</v>
      </c>
      <c r="AZ4110">
        <v>0</v>
      </c>
      <c r="BA4110">
        <v>60</v>
      </c>
      <c r="BE4110" t="str">
        <f>T("9791137017818")</f>
        <v>9791137017818</v>
      </c>
      <c r="BF4110" t="str">
        <f>T("k212759")</f>
        <v>k212759</v>
      </c>
      <c r="BG4110" t="str">
        <f>T("판타지 웹소설 &gt; 퓨전 판타지")</f>
        <v>판타지 웹소설 &gt; 퓨전 판타지</v>
      </c>
    </row>
    <row r="4111" spans="1:59">
      <c r="A4111" t="s">
        <v>60</v>
      </c>
      <c r="B4111" s="1">
        <v>46131</v>
      </c>
      <c r="C4111">
        <v>2378059085</v>
      </c>
      <c r="D4111">
        <v>2378062135</v>
      </c>
      <c r="E4111" t="str">
        <f>T("아카데미 악역 엑스트라로 사는 법 142화")</f>
        <v>아카데미 악역 엑스트라로 사는 법 142화</v>
      </c>
      <c r="F4111">
        <v>142</v>
      </c>
      <c r="G4111" t="str">
        <f>T("김서건")</f>
        <v>김서건</v>
      </c>
      <c r="J4111" t="str">
        <f>T("매드햇")</f>
        <v>매드햇</v>
      </c>
      <c r="K4111" t="str">
        <f>T("아카데미 악역 엑스트라로 사는 법")</f>
        <v>아카데미 악역 엑스트라로 사는 법</v>
      </c>
      <c r="L4111">
        <v>100</v>
      </c>
      <c r="M4111">
        <v>100</v>
      </c>
      <c r="N4111">
        <v>1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0</v>
      </c>
      <c r="AE4111">
        <v>0</v>
      </c>
      <c r="AF4111">
        <v>0</v>
      </c>
      <c r="AG4111">
        <v>0</v>
      </c>
      <c r="AH4111">
        <v>0</v>
      </c>
      <c r="AI4111">
        <v>100</v>
      </c>
      <c r="AJ4111">
        <v>1</v>
      </c>
      <c r="AK4111">
        <v>0</v>
      </c>
      <c r="AL4111">
        <v>0</v>
      </c>
      <c r="AM4111">
        <v>100</v>
      </c>
      <c r="AN4111">
        <v>0</v>
      </c>
      <c r="AO4111">
        <v>0</v>
      </c>
      <c r="AP4111">
        <v>0</v>
      </c>
      <c r="AQ4111">
        <v>0</v>
      </c>
      <c r="AS4111">
        <v>0</v>
      </c>
      <c r="AT4111">
        <v>0</v>
      </c>
      <c r="AV4111">
        <v>0</v>
      </c>
      <c r="AW4111">
        <v>0</v>
      </c>
      <c r="AY4111">
        <v>0</v>
      </c>
      <c r="AZ4111">
        <v>0</v>
      </c>
      <c r="BA4111">
        <v>60</v>
      </c>
      <c r="BE4111" t="str">
        <f>T("9791137017818")</f>
        <v>9791137017818</v>
      </c>
      <c r="BF4111" t="str">
        <f>T("k239513")</f>
        <v>k239513</v>
      </c>
      <c r="BG4111" t="str">
        <f>T("판타지 웹소설 &gt; 퓨전 판타지")</f>
        <v>판타지 웹소설 &gt; 퓨전 판타지</v>
      </c>
    </row>
    <row r="4112" spans="1:59">
      <c r="A4112" t="s">
        <v>60</v>
      </c>
      <c r="B4112" s="1">
        <v>46131</v>
      </c>
      <c r="C4112">
        <v>2378059085</v>
      </c>
      <c r="D4112">
        <v>2378061530</v>
      </c>
      <c r="E4112" t="str">
        <f>T("아카데미 악역 엑스트라로 사는 법 129화")</f>
        <v>아카데미 악역 엑스트라로 사는 법 129화</v>
      </c>
      <c r="F4112">
        <v>129</v>
      </c>
      <c r="G4112" t="str">
        <f>T("김서건")</f>
        <v>김서건</v>
      </c>
      <c r="J4112" t="str">
        <f>T("매드햇")</f>
        <v>매드햇</v>
      </c>
      <c r="K4112" t="str">
        <f>T("아카데미 악역 엑스트라로 사는 법")</f>
        <v>아카데미 악역 엑스트라로 사는 법</v>
      </c>
      <c r="L4112">
        <v>100</v>
      </c>
      <c r="M4112">
        <v>100</v>
      </c>
      <c r="N4112">
        <v>1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0</v>
      </c>
      <c r="AE4112">
        <v>0</v>
      </c>
      <c r="AF4112">
        <v>0</v>
      </c>
      <c r="AG4112">
        <v>0</v>
      </c>
      <c r="AH4112">
        <v>0</v>
      </c>
      <c r="AI4112">
        <v>100</v>
      </c>
      <c r="AJ4112">
        <v>1</v>
      </c>
      <c r="AK4112">
        <v>0</v>
      </c>
      <c r="AL4112">
        <v>0</v>
      </c>
      <c r="AM4112">
        <v>100</v>
      </c>
      <c r="AN4112">
        <v>0</v>
      </c>
      <c r="AO4112">
        <v>0</v>
      </c>
      <c r="AP4112">
        <v>0</v>
      </c>
      <c r="AQ4112">
        <v>0</v>
      </c>
      <c r="AS4112">
        <v>0</v>
      </c>
      <c r="AT4112">
        <v>0</v>
      </c>
      <c r="AV4112">
        <v>0</v>
      </c>
      <c r="AW4112">
        <v>0</v>
      </c>
      <c r="AY4112">
        <v>0</v>
      </c>
      <c r="AZ4112">
        <v>0</v>
      </c>
      <c r="BA4112">
        <v>60</v>
      </c>
      <c r="BE4112" t="str">
        <f>T("9791137017818")</f>
        <v>9791137017818</v>
      </c>
      <c r="BF4112" t="str">
        <f>T("k212757")</f>
        <v>k212757</v>
      </c>
      <c r="BG4112" t="str">
        <f>T("판타지 웹소설 &gt; 퓨전 판타지")</f>
        <v>판타지 웹소설 &gt; 퓨전 판타지</v>
      </c>
    </row>
    <row r="4113" spans="1:59">
      <c r="A4113" t="s">
        <v>60</v>
      </c>
      <c r="B4113" s="1">
        <v>46131</v>
      </c>
      <c r="C4113">
        <v>2378059085</v>
      </c>
      <c r="D4113">
        <v>2378061507</v>
      </c>
      <c r="E4113" t="str">
        <f>T("아카데미 악역 엑스트라로 사는 법 128화")</f>
        <v>아카데미 악역 엑스트라로 사는 법 128화</v>
      </c>
      <c r="F4113">
        <v>128</v>
      </c>
      <c r="G4113" t="str">
        <f>T("김서건")</f>
        <v>김서건</v>
      </c>
      <c r="J4113" t="str">
        <f>T("매드햇")</f>
        <v>매드햇</v>
      </c>
      <c r="K4113" t="str">
        <f>T("아카데미 악역 엑스트라로 사는 법")</f>
        <v>아카데미 악역 엑스트라로 사는 법</v>
      </c>
      <c r="L4113">
        <v>100</v>
      </c>
      <c r="M4113">
        <v>100</v>
      </c>
      <c r="N4113">
        <v>1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0</v>
      </c>
      <c r="AE4113">
        <v>0</v>
      </c>
      <c r="AF4113">
        <v>0</v>
      </c>
      <c r="AG4113">
        <v>0</v>
      </c>
      <c r="AH4113">
        <v>0</v>
      </c>
      <c r="AI4113">
        <v>100</v>
      </c>
      <c r="AJ4113">
        <v>1</v>
      </c>
      <c r="AK4113">
        <v>0</v>
      </c>
      <c r="AL4113">
        <v>0</v>
      </c>
      <c r="AM4113">
        <v>100</v>
      </c>
      <c r="AN4113">
        <v>0</v>
      </c>
      <c r="AO4113">
        <v>0</v>
      </c>
      <c r="AP4113">
        <v>0</v>
      </c>
      <c r="AQ4113">
        <v>0</v>
      </c>
      <c r="AS4113">
        <v>0</v>
      </c>
      <c r="AT4113">
        <v>0</v>
      </c>
      <c r="AV4113">
        <v>0</v>
      </c>
      <c r="AW4113">
        <v>0</v>
      </c>
      <c r="AY4113">
        <v>0</v>
      </c>
      <c r="AZ4113">
        <v>0</v>
      </c>
      <c r="BA4113">
        <v>60</v>
      </c>
      <c r="BE4113" t="str">
        <f>T("9791137017818")</f>
        <v>9791137017818</v>
      </c>
      <c r="BF4113" t="str">
        <f>T("k209681")</f>
        <v>k209681</v>
      </c>
      <c r="BG4113" t="str">
        <f>T("판타지 웹소설 &gt; 퓨전 판타지")</f>
        <v>판타지 웹소설 &gt; 퓨전 판타지</v>
      </c>
    </row>
    <row r="4114" spans="1:59">
      <c r="A4114" t="s">
        <v>60</v>
      </c>
      <c r="B4114" s="1">
        <v>46131</v>
      </c>
      <c r="C4114">
        <v>2378059085</v>
      </c>
      <c r="D4114">
        <v>2378061493</v>
      </c>
      <c r="E4114" t="str">
        <f>T("아카데미 악역 엑스트라로 사는 법 127화")</f>
        <v>아카데미 악역 엑스트라로 사는 법 127화</v>
      </c>
      <c r="F4114">
        <v>127</v>
      </c>
      <c r="G4114" t="str">
        <f>T("김서건")</f>
        <v>김서건</v>
      </c>
      <c r="J4114" t="str">
        <f>T("매드햇")</f>
        <v>매드햇</v>
      </c>
      <c r="K4114" t="str">
        <f>T("아카데미 악역 엑스트라로 사는 법")</f>
        <v>아카데미 악역 엑스트라로 사는 법</v>
      </c>
      <c r="L4114">
        <v>100</v>
      </c>
      <c r="M4114">
        <v>100</v>
      </c>
      <c r="N4114">
        <v>1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0</v>
      </c>
      <c r="AE4114">
        <v>0</v>
      </c>
      <c r="AF4114">
        <v>0</v>
      </c>
      <c r="AG4114">
        <v>0</v>
      </c>
      <c r="AH4114">
        <v>0</v>
      </c>
      <c r="AI4114">
        <v>100</v>
      </c>
      <c r="AJ4114">
        <v>1</v>
      </c>
      <c r="AK4114">
        <v>0</v>
      </c>
      <c r="AL4114">
        <v>0</v>
      </c>
      <c r="AM4114">
        <v>100</v>
      </c>
      <c r="AN4114">
        <v>0</v>
      </c>
      <c r="AO4114">
        <v>0</v>
      </c>
      <c r="AP4114">
        <v>0</v>
      </c>
      <c r="AQ4114">
        <v>0</v>
      </c>
      <c r="AS4114">
        <v>0</v>
      </c>
      <c r="AT4114">
        <v>0</v>
      </c>
      <c r="AV4114">
        <v>0</v>
      </c>
      <c r="AW4114">
        <v>0</v>
      </c>
      <c r="AY4114">
        <v>0</v>
      </c>
      <c r="AZ4114">
        <v>0</v>
      </c>
      <c r="BA4114">
        <v>60</v>
      </c>
      <c r="BE4114" t="str">
        <f>T("9791137017818")</f>
        <v>9791137017818</v>
      </c>
      <c r="BF4114" t="str">
        <f>T("k209680")</f>
        <v>k209680</v>
      </c>
      <c r="BG4114" t="str">
        <f>T("판타지 웹소설 &gt; 퓨전 판타지")</f>
        <v>판타지 웹소설 &gt; 퓨전 판타지</v>
      </c>
    </row>
    <row r="4115" spans="1:59">
      <c r="A4115" t="s">
        <v>60</v>
      </c>
      <c r="B4115" s="1">
        <v>46131</v>
      </c>
      <c r="C4115">
        <v>2378059085</v>
      </c>
      <c r="D4115">
        <v>2378061454</v>
      </c>
      <c r="E4115" t="str">
        <f>T("아카데미 악역 엑스트라로 사는 법 126화")</f>
        <v>아카데미 악역 엑스트라로 사는 법 126화</v>
      </c>
      <c r="F4115">
        <v>126</v>
      </c>
      <c r="G4115" t="str">
        <f>T("김서건")</f>
        <v>김서건</v>
      </c>
      <c r="J4115" t="str">
        <f>T("매드햇")</f>
        <v>매드햇</v>
      </c>
      <c r="K4115" t="str">
        <f>T("아카데미 악역 엑스트라로 사는 법")</f>
        <v>아카데미 악역 엑스트라로 사는 법</v>
      </c>
      <c r="L4115">
        <v>100</v>
      </c>
      <c r="M4115">
        <v>100</v>
      </c>
      <c r="N4115">
        <v>1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0</v>
      </c>
      <c r="AE4115">
        <v>0</v>
      </c>
      <c r="AF4115">
        <v>0</v>
      </c>
      <c r="AG4115">
        <v>0</v>
      </c>
      <c r="AH4115">
        <v>0</v>
      </c>
      <c r="AI4115">
        <v>100</v>
      </c>
      <c r="AJ4115">
        <v>1</v>
      </c>
      <c r="AK4115">
        <v>0</v>
      </c>
      <c r="AL4115">
        <v>0</v>
      </c>
      <c r="AM4115">
        <v>100</v>
      </c>
      <c r="AN4115">
        <v>0</v>
      </c>
      <c r="AO4115">
        <v>0</v>
      </c>
      <c r="AP4115">
        <v>0</v>
      </c>
      <c r="AQ4115">
        <v>0</v>
      </c>
      <c r="AS4115">
        <v>0</v>
      </c>
      <c r="AT4115">
        <v>0</v>
      </c>
      <c r="AV4115">
        <v>0</v>
      </c>
      <c r="AW4115">
        <v>0</v>
      </c>
      <c r="AY4115">
        <v>0</v>
      </c>
      <c r="AZ4115">
        <v>0</v>
      </c>
      <c r="BA4115">
        <v>60</v>
      </c>
      <c r="BE4115" t="str">
        <f>T("9791137017818")</f>
        <v>9791137017818</v>
      </c>
      <c r="BF4115" t="str">
        <f>T("k209679")</f>
        <v>k209679</v>
      </c>
      <c r="BG4115" t="str">
        <f>T("판타지 웹소설 &gt; 퓨전 판타지")</f>
        <v>판타지 웹소설 &gt; 퓨전 판타지</v>
      </c>
    </row>
    <row r="4116" spans="1:59">
      <c r="A4116" t="s">
        <v>60</v>
      </c>
      <c r="B4116" s="1">
        <v>46131</v>
      </c>
      <c r="C4116">
        <v>2378059085</v>
      </c>
      <c r="D4116">
        <v>2378060710</v>
      </c>
      <c r="E4116" t="str">
        <f>T("아카데미 악역 엑스트라로 사는 법 125화")</f>
        <v>아카데미 악역 엑스트라로 사는 법 125화</v>
      </c>
      <c r="F4116">
        <v>125</v>
      </c>
      <c r="G4116" t="str">
        <f>T("김서건")</f>
        <v>김서건</v>
      </c>
      <c r="J4116" t="str">
        <f>T("매드햇")</f>
        <v>매드햇</v>
      </c>
      <c r="K4116" t="str">
        <f>T("아카데미 악역 엑스트라로 사는 법")</f>
        <v>아카데미 악역 엑스트라로 사는 법</v>
      </c>
      <c r="L4116">
        <v>100</v>
      </c>
      <c r="M4116">
        <v>100</v>
      </c>
      <c r="N4116">
        <v>1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0</v>
      </c>
      <c r="AE4116">
        <v>0</v>
      </c>
      <c r="AF4116">
        <v>0</v>
      </c>
      <c r="AG4116">
        <v>0</v>
      </c>
      <c r="AH4116">
        <v>0</v>
      </c>
      <c r="AI4116">
        <v>100</v>
      </c>
      <c r="AJ4116">
        <v>1</v>
      </c>
      <c r="AK4116">
        <v>0</v>
      </c>
      <c r="AL4116">
        <v>0</v>
      </c>
      <c r="AM4116">
        <v>100</v>
      </c>
      <c r="AN4116">
        <v>0</v>
      </c>
      <c r="AO4116">
        <v>0</v>
      </c>
      <c r="AP4116">
        <v>0</v>
      </c>
      <c r="AQ4116">
        <v>0</v>
      </c>
      <c r="AS4116">
        <v>0</v>
      </c>
      <c r="AT4116">
        <v>0</v>
      </c>
      <c r="AV4116">
        <v>0</v>
      </c>
      <c r="AW4116">
        <v>0</v>
      </c>
      <c r="AY4116">
        <v>0</v>
      </c>
      <c r="AZ4116">
        <v>0</v>
      </c>
      <c r="BA4116">
        <v>60</v>
      </c>
      <c r="BE4116" t="str">
        <f>T("9791137017818")</f>
        <v>9791137017818</v>
      </c>
      <c r="BF4116" t="str">
        <f>T("k209678")</f>
        <v>k209678</v>
      </c>
      <c r="BG4116" t="str">
        <f>T("판타지 웹소설 &gt; 퓨전 판타지")</f>
        <v>판타지 웹소설 &gt; 퓨전 판타지</v>
      </c>
    </row>
    <row r="4117" spans="1:59">
      <c r="A4117" t="s">
        <v>60</v>
      </c>
      <c r="B4117" s="1">
        <v>46131</v>
      </c>
      <c r="C4117">
        <v>2378059085</v>
      </c>
      <c r="D4117">
        <v>2378060593</v>
      </c>
      <c r="E4117" t="str">
        <f>T("아카데미 악역 엑스트라로 사는 법 124화")</f>
        <v>아카데미 악역 엑스트라로 사는 법 124화</v>
      </c>
      <c r="F4117">
        <v>124</v>
      </c>
      <c r="G4117" t="str">
        <f>T("김서건")</f>
        <v>김서건</v>
      </c>
      <c r="J4117" t="str">
        <f>T("매드햇")</f>
        <v>매드햇</v>
      </c>
      <c r="K4117" t="str">
        <f>T("아카데미 악역 엑스트라로 사는 법")</f>
        <v>아카데미 악역 엑스트라로 사는 법</v>
      </c>
      <c r="L4117">
        <v>100</v>
      </c>
      <c r="M4117">
        <v>100</v>
      </c>
      <c r="N4117">
        <v>1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0</v>
      </c>
      <c r="AE4117">
        <v>0</v>
      </c>
      <c r="AF4117">
        <v>0</v>
      </c>
      <c r="AG4117">
        <v>0</v>
      </c>
      <c r="AH4117">
        <v>0</v>
      </c>
      <c r="AI4117">
        <v>100</v>
      </c>
      <c r="AJ4117">
        <v>1</v>
      </c>
      <c r="AK4117">
        <v>0</v>
      </c>
      <c r="AL4117">
        <v>0</v>
      </c>
      <c r="AM4117">
        <v>100</v>
      </c>
      <c r="AN4117">
        <v>0</v>
      </c>
      <c r="AO4117">
        <v>0</v>
      </c>
      <c r="AP4117">
        <v>0</v>
      </c>
      <c r="AQ4117">
        <v>0</v>
      </c>
      <c r="AS4117">
        <v>0</v>
      </c>
      <c r="AT4117">
        <v>0</v>
      </c>
      <c r="AV4117">
        <v>0</v>
      </c>
      <c r="AW4117">
        <v>0</v>
      </c>
      <c r="AY4117">
        <v>0</v>
      </c>
      <c r="AZ4117">
        <v>0</v>
      </c>
      <c r="BA4117">
        <v>60</v>
      </c>
      <c r="BE4117" t="str">
        <f>T("9791137017818")</f>
        <v>9791137017818</v>
      </c>
      <c r="BF4117" t="str">
        <f>T("k209677")</f>
        <v>k209677</v>
      </c>
      <c r="BG4117" t="str">
        <f>T("판타지 웹소설 &gt; 퓨전 판타지")</f>
        <v>판타지 웹소설 &gt; 퓨전 판타지</v>
      </c>
    </row>
    <row r="4118" spans="1:59">
      <c r="A4118" t="s">
        <v>60</v>
      </c>
      <c r="B4118" s="1">
        <v>46131</v>
      </c>
      <c r="C4118">
        <v>2378059085</v>
      </c>
      <c r="D4118">
        <v>2378060592</v>
      </c>
      <c r="E4118" t="str">
        <f>T("아카데미 악역 엑스트라로 사는 법 123화")</f>
        <v>아카데미 악역 엑스트라로 사는 법 123화</v>
      </c>
      <c r="F4118">
        <v>123</v>
      </c>
      <c r="G4118" t="str">
        <f>T("김서건")</f>
        <v>김서건</v>
      </c>
      <c r="J4118" t="str">
        <f>T("매드햇")</f>
        <v>매드햇</v>
      </c>
      <c r="K4118" t="str">
        <f>T("아카데미 악역 엑스트라로 사는 법")</f>
        <v>아카데미 악역 엑스트라로 사는 법</v>
      </c>
      <c r="L4118">
        <v>100</v>
      </c>
      <c r="M4118">
        <v>100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0</v>
      </c>
      <c r="AE4118">
        <v>0</v>
      </c>
      <c r="AF4118">
        <v>0</v>
      </c>
      <c r="AG4118">
        <v>0</v>
      </c>
      <c r="AH4118">
        <v>0</v>
      </c>
      <c r="AI4118">
        <v>100</v>
      </c>
      <c r="AJ4118">
        <v>1</v>
      </c>
      <c r="AK4118">
        <v>0</v>
      </c>
      <c r="AL4118">
        <v>0</v>
      </c>
      <c r="AM4118">
        <v>100</v>
      </c>
      <c r="AN4118">
        <v>0</v>
      </c>
      <c r="AO4118">
        <v>0</v>
      </c>
      <c r="AP4118">
        <v>0</v>
      </c>
      <c r="AQ4118">
        <v>0</v>
      </c>
      <c r="AS4118">
        <v>0</v>
      </c>
      <c r="AT4118">
        <v>0</v>
      </c>
      <c r="AV4118">
        <v>0</v>
      </c>
      <c r="AW4118">
        <v>0</v>
      </c>
      <c r="AY4118">
        <v>0</v>
      </c>
      <c r="AZ4118">
        <v>0</v>
      </c>
      <c r="BA4118">
        <v>60</v>
      </c>
      <c r="BE4118" t="str">
        <f>T("9791137017818")</f>
        <v>9791137017818</v>
      </c>
      <c r="BF4118" t="str">
        <f>T("k207415")</f>
        <v>k207415</v>
      </c>
      <c r="BG4118" t="str">
        <f>T("판타지 웹소설 &gt; 퓨전 판타지")</f>
        <v>판타지 웹소설 &gt; 퓨전 판타지</v>
      </c>
    </row>
    <row r="4119" spans="1:59">
      <c r="A4119" t="s">
        <v>60</v>
      </c>
      <c r="B4119" s="1">
        <v>46131</v>
      </c>
      <c r="C4119">
        <v>2378059085</v>
      </c>
      <c r="D4119">
        <v>2378060538</v>
      </c>
      <c r="E4119" t="str">
        <f>T("아카데미 악역 엑스트라로 사는 법 121화")</f>
        <v>아카데미 악역 엑스트라로 사는 법 121화</v>
      </c>
      <c r="F4119">
        <v>121</v>
      </c>
      <c r="G4119" t="str">
        <f>T("김서건")</f>
        <v>김서건</v>
      </c>
      <c r="J4119" t="str">
        <f>T("매드햇")</f>
        <v>매드햇</v>
      </c>
      <c r="K4119" t="str">
        <f>T("아카데미 악역 엑스트라로 사는 법")</f>
        <v>아카데미 악역 엑스트라로 사는 법</v>
      </c>
      <c r="L4119">
        <v>100</v>
      </c>
      <c r="M4119">
        <v>100</v>
      </c>
      <c r="N4119">
        <v>1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0</v>
      </c>
      <c r="AE4119">
        <v>0</v>
      </c>
      <c r="AF4119">
        <v>0</v>
      </c>
      <c r="AG4119">
        <v>0</v>
      </c>
      <c r="AH4119">
        <v>0</v>
      </c>
      <c r="AI4119">
        <v>100</v>
      </c>
      <c r="AJ4119">
        <v>1</v>
      </c>
      <c r="AK4119">
        <v>0</v>
      </c>
      <c r="AL4119">
        <v>0</v>
      </c>
      <c r="AM4119">
        <v>100</v>
      </c>
      <c r="AN4119">
        <v>0</v>
      </c>
      <c r="AO4119">
        <v>0</v>
      </c>
      <c r="AP4119">
        <v>0</v>
      </c>
      <c r="AQ4119">
        <v>0</v>
      </c>
      <c r="AS4119">
        <v>0</v>
      </c>
      <c r="AT4119">
        <v>0</v>
      </c>
      <c r="AV4119">
        <v>0</v>
      </c>
      <c r="AW4119">
        <v>0</v>
      </c>
      <c r="AY4119">
        <v>0</v>
      </c>
      <c r="AZ4119">
        <v>0</v>
      </c>
      <c r="BA4119">
        <v>60</v>
      </c>
      <c r="BE4119" t="str">
        <f>T("9791137017818")</f>
        <v>9791137017818</v>
      </c>
      <c r="BF4119" t="str">
        <f>T("k207413")</f>
        <v>k207413</v>
      </c>
      <c r="BG4119" t="str">
        <f>T("판타지 웹소설 &gt; 퓨전 판타지")</f>
        <v>판타지 웹소설 &gt; 퓨전 판타지</v>
      </c>
    </row>
    <row r="4120" spans="1:59">
      <c r="A4120" t="s">
        <v>60</v>
      </c>
      <c r="B4120" s="1">
        <v>46131</v>
      </c>
      <c r="C4120">
        <v>2378059085</v>
      </c>
      <c r="D4120">
        <v>2378060512</v>
      </c>
      <c r="E4120" t="str">
        <f>T("아카데미 악역 엑스트라로 사는 법 120화")</f>
        <v>아카데미 악역 엑스트라로 사는 법 120화</v>
      </c>
      <c r="F4120">
        <v>120</v>
      </c>
      <c r="G4120" t="str">
        <f>T("김서건")</f>
        <v>김서건</v>
      </c>
      <c r="J4120" t="str">
        <f>T("매드햇")</f>
        <v>매드햇</v>
      </c>
      <c r="K4120" t="str">
        <f>T("아카데미 악역 엑스트라로 사는 법")</f>
        <v>아카데미 악역 엑스트라로 사는 법</v>
      </c>
      <c r="L4120">
        <v>100</v>
      </c>
      <c r="M4120">
        <v>100</v>
      </c>
      <c r="N4120">
        <v>1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0</v>
      </c>
      <c r="AE4120">
        <v>0</v>
      </c>
      <c r="AF4120">
        <v>0</v>
      </c>
      <c r="AG4120">
        <v>0</v>
      </c>
      <c r="AH4120">
        <v>0</v>
      </c>
      <c r="AI4120">
        <v>100</v>
      </c>
      <c r="AJ4120">
        <v>1</v>
      </c>
      <c r="AK4120">
        <v>0</v>
      </c>
      <c r="AL4120">
        <v>0</v>
      </c>
      <c r="AM4120">
        <v>100</v>
      </c>
      <c r="AN4120">
        <v>0</v>
      </c>
      <c r="AO4120">
        <v>0</v>
      </c>
      <c r="AP4120">
        <v>0</v>
      </c>
      <c r="AQ4120">
        <v>0</v>
      </c>
      <c r="AS4120">
        <v>0</v>
      </c>
      <c r="AT4120">
        <v>0</v>
      </c>
      <c r="AV4120">
        <v>0</v>
      </c>
      <c r="AW4120">
        <v>0</v>
      </c>
      <c r="AY4120">
        <v>0</v>
      </c>
      <c r="AZ4120">
        <v>0</v>
      </c>
      <c r="BA4120">
        <v>60</v>
      </c>
      <c r="BE4120" t="str">
        <f>T("9791137017818")</f>
        <v>9791137017818</v>
      </c>
      <c r="BF4120" t="str">
        <f>T("k196966")</f>
        <v>k196966</v>
      </c>
      <c r="BG4120" t="str">
        <f>T("판타지 웹소설 &gt; 퓨전 판타지")</f>
        <v>판타지 웹소설 &gt; 퓨전 판타지</v>
      </c>
    </row>
    <row r="4121" spans="1:59">
      <c r="A4121" t="s">
        <v>60</v>
      </c>
      <c r="B4121" s="1">
        <v>46131</v>
      </c>
      <c r="C4121">
        <v>2378059085</v>
      </c>
      <c r="D4121">
        <v>2378060493</v>
      </c>
      <c r="E4121" t="str">
        <f>T("아카데미 악역 엑스트라로 사는 법 119화")</f>
        <v>아카데미 악역 엑스트라로 사는 법 119화</v>
      </c>
      <c r="F4121">
        <v>119</v>
      </c>
      <c r="G4121" t="str">
        <f>T("김서건")</f>
        <v>김서건</v>
      </c>
      <c r="J4121" t="str">
        <f>T("매드햇")</f>
        <v>매드햇</v>
      </c>
      <c r="K4121" t="str">
        <f>T("아카데미 악역 엑스트라로 사는 법")</f>
        <v>아카데미 악역 엑스트라로 사는 법</v>
      </c>
      <c r="L4121">
        <v>100</v>
      </c>
      <c r="M4121">
        <v>100</v>
      </c>
      <c r="N4121">
        <v>1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0</v>
      </c>
      <c r="AE4121">
        <v>0</v>
      </c>
      <c r="AF4121">
        <v>0</v>
      </c>
      <c r="AG4121">
        <v>0</v>
      </c>
      <c r="AH4121">
        <v>0</v>
      </c>
      <c r="AI4121">
        <v>100</v>
      </c>
      <c r="AJ4121">
        <v>1</v>
      </c>
      <c r="AK4121">
        <v>0</v>
      </c>
      <c r="AL4121">
        <v>0</v>
      </c>
      <c r="AM4121">
        <v>100</v>
      </c>
      <c r="AN4121">
        <v>0</v>
      </c>
      <c r="AO4121">
        <v>0</v>
      </c>
      <c r="AP4121">
        <v>0</v>
      </c>
      <c r="AQ4121">
        <v>0</v>
      </c>
      <c r="AS4121">
        <v>0</v>
      </c>
      <c r="AT4121">
        <v>0</v>
      </c>
      <c r="AV4121">
        <v>0</v>
      </c>
      <c r="AW4121">
        <v>0</v>
      </c>
      <c r="AY4121">
        <v>0</v>
      </c>
      <c r="AZ4121">
        <v>0</v>
      </c>
      <c r="BA4121">
        <v>60</v>
      </c>
      <c r="BE4121" t="str">
        <f>T("9791137017818")</f>
        <v>9791137017818</v>
      </c>
      <c r="BF4121" t="str">
        <f>T("k196965")</f>
        <v>k196965</v>
      </c>
      <c r="BG4121" t="str">
        <f>T("판타지 웹소설 &gt; 퓨전 판타지")</f>
        <v>판타지 웹소설 &gt; 퓨전 판타지</v>
      </c>
    </row>
    <row r="4122" spans="1:59">
      <c r="A4122" t="s">
        <v>60</v>
      </c>
      <c r="B4122" s="1">
        <v>46131</v>
      </c>
      <c r="C4122">
        <v>2378059085</v>
      </c>
      <c r="D4122">
        <v>2378060471</v>
      </c>
      <c r="E4122" t="str">
        <f>T("아카데미 악역 엑스트라로 사는 법 118화")</f>
        <v>아카데미 악역 엑스트라로 사는 법 118화</v>
      </c>
      <c r="F4122">
        <v>118</v>
      </c>
      <c r="G4122" t="str">
        <f>T("김서건")</f>
        <v>김서건</v>
      </c>
      <c r="J4122" t="str">
        <f>T("매드햇")</f>
        <v>매드햇</v>
      </c>
      <c r="K4122" t="str">
        <f>T("아카데미 악역 엑스트라로 사는 법")</f>
        <v>아카데미 악역 엑스트라로 사는 법</v>
      </c>
      <c r="L4122">
        <v>100</v>
      </c>
      <c r="M4122">
        <v>100</v>
      </c>
      <c r="N4122">
        <v>1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0</v>
      </c>
      <c r="AE4122">
        <v>0</v>
      </c>
      <c r="AF4122">
        <v>0</v>
      </c>
      <c r="AG4122">
        <v>0</v>
      </c>
      <c r="AH4122">
        <v>0</v>
      </c>
      <c r="AI4122">
        <v>100</v>
      </c>
      <c r="AJ4122">
        <v>1</v>
      </c>
      <c r="AK4122">
        <v>0</v>
      </c>
      <c r="AL4122">
        <v>0</v>
      </c>
      <c r="AM4122">
        <v>100</v>
      </c>
      <c r="AN4122">
        <v>0</v>
      </c>
      <c r="AO4122">
        <v>0</v>
      </c>
      <c r="AP4122">
        <v>0</v>
      </c>
      <c r="AQ4122">
        <v>0</v>
      </c>
      <c r="AS4122">
        <v>0</v>
      </c>
      <c r="AT4122">
        <v>0</v>
      </c>
      <c r="AV4122">
        <v>0</v>
      </c>
      <c r="AW4122">
        <v>0</v>
      </c>
      <c r="AY4122">
        <v>0</v>
      </c>
      <c r="AZ4122">
        <v>0</v>
      </c>
      <c r="BA4122">
        <v>60</v>
      </c>
      <c r="BE4122" t="str">
        <f>T("9791137017818")</f>
        <v>9791137017818</v>
      </c>
      <c r="BF4122" t="str">
        <f>T("k196964")</f>
        <v>k196964</v>
      </c>
      <c r="BG4122" t="str">
        <f>T("판타지 웹소설 &gt; 퓨전 판타지")</f>
        <v>판타지 웹소설 &gt; 퓨전 판타지</v>
      </c>
    </row>
    <row r="4123" spans="1:59">
      <c r="A4123" t="s">
        <v>60</v>
      </c>
      <c r="B4123" s="1">
        <v>46131</v>
      </c>
      <c r="C4123">
        <v>2378059085</v>
      </c>
      <c r="D4123">
        <v>2378060452</v>
      </c>
      <c r="E4123" t="str">
        <f>T("아카데미 악역 엑스트라로 사는 법 117화")</f>
        <v>아카데미 악역 엑스트라로 사는 법 117화</v>
      </c>
      <c r="F4123">
        <v>117</v>
      </c>
      <c r="G4123" t="str">
        <f>T("김서건")</f>
        <v>김서건</v>
      </c>
      <c r="J4123" t="str">
        <f>T("매드햇")</f>
        <v>매드햇</v>
      </c>
      <c r="K4123" t="str">
        <f>T("아카데미 악역 엑스트라로 사는 법")</f>
        <v>아카데미 악역 엑스트라로 사는 법</v>
      </c>
      <c r="L4123">
        <v>100</v>
      </c>
      <c r="M4123">
        <v>100</v>
      </c>
      <c r="N4123">
        <v>1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0</v>
      </c>
      <c r="AE4123">
        <v>0</v>
      </c>
      <c r="AF4123">
        <v>0</v>
      </c>
      <c r="AG4123">
        <v>0</v>
      </c>
      <c r="AH4123">
        <v>0</v>
      </c>
      <c r="AI4123">
        <v>100</v>
      </c>
      <c r="AJ4123">
        <v>1</v>
      </c>
      <c r="AK4123">
        <v>0</v>
      </c>
      <c r="AL4123">
        <v>0</v>
      </c>
      <c r="AM4123">
        <v>100</v>
      </c>
      <c r="AN4123">
        <v>0</v>
      </c>
      <c r="AO4123">
        <v>0</v>
      </c>
      <c r="AP4123">
        <v>0</v>
      </c>
      <c r="AQ4123">
        <v>0</v>
      </c>
      <c r="AS4123">
        <v>0</v>
      </c>
      <c r="AT4123">
        <v>0</v>
      </c>
      <c r="AV4123">
        <v>0</v>
      </c>
      <c r="AW4123">
        <v>0</v>
      </c>
      <c r="AY4123">
        <v>0</v>
      </c>
      <c r="AZ4123">
        <v>0</v>
      </c>
      <c r="BA4123">
        <v>60</v>
      </c>
      <c r="BE4123" t="str">
        <f>T("9791137017818")</f>
        <v>9791137017818</v>
      </c>
      <c r="BF4123" t="str">
        <f>T("k196963")</f>
        <v>k196963</v>
      </c>
      <c r="BG4123" t="str">
        <f>T("판타지 웹소설 &gt; 퓨전 판타지")</f>
        <v>판타지 웹소설 &gt; 퓨전 판타지</v>
      </c>
    </row>
    <row r="4124" spans="1:59">
      <c r="A4124" t="s">
        <v>60</v>
      </c>
      <c r="B4124" s="1">
        <v>46131</v>
      </c>
      <c r="C4124">
        <v>2378059085</v>
      </c>
      <c r="D4124">
        <v>2378059090</v>
      </c>
      <c r="E4124" t="str">
        <f>T("아카데미 악역 엑스트라로 사는 법 6화")</f>
        <v>아카데미 악역 엑스트라로 사는 법 6화</v>
      </c>
      <c r="F4124">
        <v>6</v>
      </c>
      <c r="G4124" t="str">
        <f>T("김서건")</f>
        <v>김서건</v>
      </c>
      <c r="J4124" t="str">
        <f>T("매드햇")</f>
        <v>매드햇</v>
      </c>
      <c r="K4124" t="str">
        <f>T("아카데미 악역 엑스트라로 사는 법")</f>
        <v>아카데미 악역 엑스트라로 사는 법</v>
      </c>
      <c r="L4124">
        <v>0</v>
      </c>
      <c r="M4124">
        <v>0</v>
      </c>
      <c r="N4124">
        <v>0</v>
      </c>
      <c r="O4124">
        <v>1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0</v>
      </c>
      <c r="AE4124">
        <v>0</v>
      </c>
      <c r="AF4124">
        <v>0</v>
      </c>
      <c r="AG4124">
        <v>0</v>
      </c>
      <c r="AH4124">
        <v>0</v>
      </c>
      <c r="AI4124">
        <v>0</v>
      </c>
      <c r="AJ4124">
        <v>1</v>
      </c>
      <c r="AK4124">
        <v>0</v>
      </c>
      <c r="AL4124">
        <v>0</v>
      </c>
      <c r="AM4124">
        <v>0</v>
      </c>
      <c r="AN4124">
        <v>0</v>
      </c>
      <c r="AO4124">
        <v>0</v>
      </c>
      <c r="AP4124">
        <v>0</v>
      </c>
      <c r="AQ4124">
        <v>0</v>
      </c>
      <c r="AS4124">
        <v>0</v>
      </c>
      <c r="AT4124">
        <v>0</v>
      </c>
      <c r="AV4124">
        <v>0</v>
      </c>
      <c r="AW4124">
        <v>0</v>
      </c>
      <c r="AY4124">
        <v>0</v>
      </c>
      <c r="AZ4124">
        <v>0</v>
      </c>
      <c r="BA4124">
        <v>0</v>
      </c>
      <c r="BE4124" t="str">
        <f>T("9791137017818")</f>
        <v>9791137017818</v>
      </c>
      <c r="BF4124" t="str">
        <f>T("k196852")</f>
        <v>k196852</v>
      </c>
      <c r="BG4124" t="str">
        <f>T("판타지 웹소설 &gt; 퓨전 판타지")</f>
        <v>판타지 웹소설 &gt; 퓨전 판타지</v>
      </c>
    </row>
    <row r="4125" spans="1:59">
      <c r="A4125" t="s">
        <v>60</v>
      </c>
      <c r="B4125" s="1">
        <v>46131</v>
      </c>
      <c r="C4125">
        <v>2378059085</v>
      </c>
      <c r="D4125">
        <v>2378062777</v>
      </c>
      <c r="E4125" t="str">
        <f>T("아카데미 악역 엑스트라로 사는 법 151화")</f>
        <v>아카데미 악역 엑스트라로 사는 법 151화</v>
      </c>
      <c r="F4125">
        <v>151</v>
      </c>
      <c r="G4125" t="str">
        <f>T("김서건")</f>
        <v>김서건</v>
      </c>
      <c r="J4125" t="str">
        <f>T("매드햇")</f>
        <v>매드햇</v>
      </c>
      <c r="K4125" t="str">
        <f>T("아카데미 악역 엑스트라로 사는 법")</f>
        <v>아카데미 악역 엑스트라로 사는 법</v>
      </c>
      <c r="L4125">
        <v>100</v>
      </c>
      <c r="M4125">
        <v>100</v>
      </c>
      <c r="N4125">
        <v>1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0</v>
      </c>
      <c r="AE4125">
        <v>0</v>
      </c>
      <c r="AF4125">
        <v>0</v>
      </c>
      <c r="AG4125">
        <v>0</v>
      </c>
      <c r="AH4125">
        <v>0</v>
      </c>
      <c r="AI4125">
        <v>100</v>
      </c>
      <c r="AJ4125">
        <v>1</v>
      </c>
      <c r="AK4125">
        <v>0</v>
      </c>
      <c r="AL4125">
        <v>0</v>
      </c>
      <c r="AM4125">
        <v>100</v>
      </c>
      <c r="AN4125">
        <v>0</v>
      </c>
      <c r="AO4125">
        <v>0</v>
      </c>
      <c r="AP4125">
        <v>0</v>
      </c>
      <c r="AQ4125">
        <v>0</v>
      </c>
      <c r="AS4125">
        <v>0</v>
      </c>
      <c r="AT4125">
        <v>0</v>
      </c>
      <c r="AV4125">
        <v>0</v>
      </c>
      <c r="AW4125">
        <v>0</v>
      </c>
      <c r="AY4125">
        <v>0</v>
      </c>
      <c r="AZ4125">
        <v>0</v>
      </c>
      <c r="BA4125">
        <v>60</v>
      </c>
      <c r="BE4125" t="str">
        <f>T("9791137017818")</f>
        <v>9791137017818</v>
      </c>
      <c r="BF4125" t="str">
        <f>T("k244244")</f>
        <v>k244244</v>
      </c>
      <c r="BG4125" t="str">
        <f>T("판타지 웹소설 &gt; 퓨전 판타지")</f>
        <v>판타지 웹소설 &gt; 퓨전 판타지</v>
      </c>
    </row>
    <row r="4126" spans="1:59">
      <c r="A4126" t="s">
        <v>60</v>
      </c>
      <c r="B4126" s="1">
        <v>46131</v>
      </c>
      <c r="C4126">
        <v>2378059085</v>
      </c>
      <c r="D4126">
        <v>2378062643</v>
      </c>
      <c r="E4126" t="str">
        <f>T("아카데미 악역 엑스트라로 사는 법 150화")</f>
        <v>아카데미 악역 엑스트라로 사는 법 150화</v>
      </c>
      <c r="F4126">
        <v>150</v>
      </c>
      <c r="G4126" t="str">
        <f>T("김서건")</f>
        <v>김서건</v>
      </c>
      <c r="J4126" t="str">
        <f>T("매드햇")</f>
        <v>매드햇</v>
      </c>
      <c r="K4126" t="str">
        <f>T("아카데미 악역 엑스트라로 사는 법")</f>
        <v>아카데미 악역 엑스트라로 사는 법</v>
      </c>
      <c r="L4126">
        <v>100</v>
      </c>
      <c r="M4126">
        <v>100</v>
      </c>
      <c r="N4126">
        <v>1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0</v>
      </c>
      <c r="AE4126">
        <v>0</v>
      </c>
      <c r="AF4126">
        <v>0</v>
      </c>
      <c r="AG4126">
        <v>0</v>
      </c>
      <c r="AH4126">
        <v>0</v>
      </c>
      <c r="AI4126">
        <v>100</v>
      </c>
      <c r="AJ4126">
        <v>1</v>
      </c>
      <c r="AK4126">
        <v>0</v>
      </c>
      <c r="AL4126">
        <v>0</v>
      </c>
      <c r="AM4126">
        <v>100</v>
      </c>
      <c r="AN4126">
        <v>0</v>
      </c>
      <c r="AO4126">
        <v>0</v>
      </c>
      <c r="AP4126">
        <v>0</v>
      </c>
      <c r="AQ4126">
        <v>0</v>
      </c>
      <c r="AS4126">
        <v>0</v>
      </c>
      <c r="AT4126">
        <v>0</v>
      </c>
      <c r="AV4126">
        <v>0</v>
      </c>
      <c r="AW4126">
        <v>0</v>
      </c>
      <c r="AY4126">
        <v>0</v>
      </c>
      <c r="AZ4126">
        <v>0</v>
      </c>
      <c r="BA4126">
        <v>60</v>
      </c>
      <c r="BE4126" t="str">
        <f>T("9791137017818")</f>
        <v>9791137017818</v>
      </c>
      <c r="BF4126" t="str">
        <f>T("k239951")</f>
        <v>k239951</v>
      </c>
      <c r="BG4126" t="str">
        <f>T("판타지 웹소설 &gt; 퓨전 판타지")</f>
        <v>판타지 웹소설 &gt; 퓨전 판타지</v>
      </c>
    </row>
    <row r="4127" spans="1:59">
      <c r="A4127" t="s">
        <v>60</v>
      </c>
      <c r="B4127" s="1">
        <v>46131</v>
      </c>
      <c r="C4127">
        <v>2378059085</v>
      </c>
      <c r="D4127">
        <v>2378062631</v>
      </c>
      <c r="E4127" t="str">
        <f>T("아카데미 악역 엑스트라로 사는 법 149화")</f>
        <v>아카데미 악역 엑스트라로 사는 법 149화</v>
      </c>
      <c r="F4127">
        <v>149</v>
      </c>
      <c r="G4127" t="str">
        <f>T("김서건")</f>
        <v>김서건</v>
      </c>
      <c r="J4127" t="str">
        <f>T("매드햇")</f>
        <v>매드햇</v>
      </c>
      <c r="K4127" t="str">
        <f>T("아카데미 악역 엑스트라로 사는 법")</f>
        <v>아카데미 악역 엑스트라로 사는 법</v>
      </c>
      <c r="L4127">
        <v>100</v>
      </c>
      <c r="M4127">
        <v>100</v>
      </c>
      <c r="N4127">
        <v>1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0</v>
      </c>
      <c r="AE4127">
        <v>0</v>
      </c>
      <c r="AF4127">
        <v>0</v>
      </c>
      <c r="AG4127">
        <v>0</v>
      </c>
      <c r="AH4127">
        <v>0</v>
      </c>
      <c r="AI4127">
        <v>100</v>
      </c>
      <c r="AJ4127">
        <v>1</v>
      </c>
      <c r="AK4127">
        <v>0</v>
      </c>
      <c r="AL4127">
        <v>0</v>
      </c>
      <c r="AM4127">
        <v>100</v>
      </c>
      <c r="AN4127">
        <v>0</v>
      </c>
      <c r="AO4127">
        <v>0</v>
      </c>
      <c r="AP4127">
        <v>0</v>
      </c>
      <c r="AQ4127">
        <v>0</v>
      </c>
      <c r="AS4127">
        <v>0</v>
      </c>
      <c r="AT4127">
        <v>0</v>
      </c>
      <c r="AV4127">
        <v>0</v>
      </c>
      <c r="AW4127">
        <v>0</v>
      </c>
      <c r="AY4127">
        <v>0</v>
      </c>
      <c r="AZ4127">
        <v>0</v>
      </c>
      <c r="BA4127">
        <v>60</v>
      </c>
      <c r="BE4127" t="str">
        <f>T("9791137017818")</f>
        <v>9791137017818</v>
      </c>
      <c r="BF4127" t="str">
        <f>T("k239950")</f>
        <v>k239950</v>
      </c>
      <c r="BG4127" t="str">
        <f>T("판타지 웹소설 &gt; 퓨전 판타지")</f>
        <v>판타지 웹소설 &gt; 퓨전 판타지</v>
      </c>
    </row>
    <row r="4128" spans="1:59">
      <c r="A4128" t="s">
        <v>60</v>
      </c>
      <c r="B4128" s="1">
        <v>46131</v>
      </c>
      <c r="C4128">
        <v>2378059085</v>
      </c>
      <c r="D4128">
        <v>2378062581</v>
      </c>
      <c r="E4128" t="str">
        <f>T("아카데미 악역 엑스트라로 사는 법 148화")</f>
        <v>아카데미 악역 엑스트라로 사는 법 148화</v>
      </c>
      <c r="F4128">
        <v>148</v>
      </c>
      <c r="G4128" t="str">
        <f>T("김서건")</f>
        <v>김서건</v>
      </c>
      <c r="J4128" t="str">
        <f>T("매드햇")</f>
        <v>매드햇</v>
      </c>
      <c r="K4128" t="str">
        <f>T("아카데미 악역 엑스트라로 사는 법")</f>
        <v>아카데미 악역 엑스트라로 사는 법</v>
      </c>
      <c r="L4128">
        <v>100</v>
      </c>
      <c r="M4128">
        <v>100</v>
      </c>
      <c r="N4128">
        <v>1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0</v>
      </c>
      <c r="AE4128">
        <v>0</v>
      </c>
      <c r="AF4128">
        <v>0</v>
      </c>
      <c r="AG4128">
        <v>0</v>
      </c>
      <c r="AH4128">
        <v>0</v>
      </c>
      <c r="AI4128">
        <v>100</v>
      </c>
      <c r="AJ4128">
        <v>1</v>
      </c>
      <c r="AK4128">
        <v>0</v>
      </c>
      <c r="AL4128">
        <v>0</v>
      </c>
      <c r="AM4128">
        <v>100</v>
      </c>
      <c r="AN4128">
        <v>0</v>
      </c>
      <c r="AO4128">
        <v>0</v>
      </c>
      <c r="AP4128">
        <v>0</v>
      </c>
      <c r="AQ4128">
        <v>0</v>
      </c>
      <c r="AS4128">
        <v>0</v>
      </c>
      <c r="AT4128">
        <v>0</v>
      </c>
      <c r="AV4128">
        <v>0</v>
      </c>
      <c r="AW4128">
        <v>0</v>
      </c>
      <c r="AY4128">
        <v>0</v>
      </c>
      <c r="AZ4128">
        <v>0</v>
      </c>
      <c r="BA4128">
        <v>60</v>
      </c>
      <c r="BE4128" t="str">
        <f>T("9791137017818")</f>
        <v>9791137017818</v>
      </c>
      <c r="BF4128" t="str">
        <f>T("k239949")</f>
        <v>k239949</v>
      </c>
      <c r="BG4128" t="str">
        <f>T("판타지 웹소설 &gt; 퓨전 판타지")</f>
        <v>판타지 웹소설 &gt; 퓨전 판타지</v>
      </c>
    </row>
    <row r="4129" spans="1:59">
      <c r="A4129" t="s">
        <v>60</v>
      </c>
      <c r="B4129" s="1">
        <v>46131</v>
      </c>
      <c r="C4129">
        <v>2378059085</v>
      </c>
      <c r="D4129">
        <v>2378062563</v>
      </c>
      <c r="E4129" t="str">
        <f>T("아카데미 악역 엑스트라로 사는 법 147화")</f>
        <v>아카데미 악역 엑스트라로 사는 법 147화</v>
      </c>
      <c r="F4129">
        <v>147</v>
      </c>
      <c r="G4129" t="str">
        <f>T("김서건")</f>
        <v>김서건</v>
      </c>
      <c r="J4129" t="str">
        <f>T("매드햇")</f>
        <v>매드햇</v>
      </c>
      <c r="K4129" t="str">
        <f>T("아카데미 악역 엑스트라로 사는 법")</f>
        <v>아카데미 악역 엑스트라로 사는 법</v>
      </c>
      <c r="L4129">
        <v>100</v>
      </c>
      <c r="M4129">
        <v>100</v>
      </c>
      <c r="N4129">
        <v>1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0</v>
      </c>
      <c r="AE4129">
        <v>0</v>
      </c>
      <c r="AF4129">
        <v>0</v>
      </c>
      <c r="AG4129">
        <v>0</v>
      </c>
      <c r="AH4129">
        <v>0</v>
      </c>
      <c r="AI4129">
        <v>100</v>
      </c>
      <c r="AJ4129">
        <v>1</v>
      </c>
      <c r="AK4129">
        <v>0</v>
      </c>
      <c r="AL4129">
        <v>0</v>
      </c>
      <c r="AM4129">
        <v>100</v>
      </c>
      <c r="AN4129">
        <v>0</v>
      </c>
      <c r="AO4129">
        <v>0</v>
      </c>
      <c r="AP4129">
        <v>0</v>
      </c>
      <c r="AQ4129">
        <v>0</v>
      </c>
      <c r="AS4129">
        <v>0</v>
      </c>
      <c r="AT4129">
        <v>0</v>
      </c>
      <c r="AV4129">
        <v>0</v>
      </c>
      <c r="AW4129">
        <v>0</v>
      </c>
      <c r="AY4129">
        <v>0</v>
      </c>
      <c r="AZ4129">
        <v>0</v>
      </c>
      <c r="BA4129">
        <v>60</v>
      </c>
      <c r="BE4129" t="str">
        <f>T("9791137017818")</f>
        <v>9791137017818</v>
      </c>
      <c r="BF4129" t="str">
        <f>T("k239948")</f>
        <v>k239948</v>
      </c>
      <c r="BG4129" t="str">
        <f>T("판타지 웹소설 &gt; 퓨전 판타지")</f>
        <v>판타지 웹소설 &gt; 퓨전 판타지</v>
      </c>
    </row>
    <row r="4130" spans="1:59">
      <c r="A4130" t="s">
        <v>60</v>
      </c>
      <c r="B4130" s="1">
        <v>46131</v>
      </c>
      <c r="C4130">
        <v>2378059085</v>
      </c>
      <c r="D4130">
        <v>2378062241</v>
      </c>
      <c r="E4130" t="str">
        <f>T("아카데미 악역 엑스트라로 사는 법 146화")</f>
        <v>아카데미 악역 엑스트라로 사는 법 146화</v>
      </c>
      <c r="F4130">
        <v>146</v>
      </c>
      <c r="G4130" t="str">
        <f>T("김서건")</f>
        <v>김서건</v>
      </c>
      <c r="J4130" t="str">
        <f>T("매드햇")</f>
        <v>매드햇</v>
      </c>
      <c r="K4130" t="str">
        <f>T("아카데미 악역 엑스트라로 사는 법")</f>
        <v>아카데미 악역 엑스트라로 사는 법</v>
      </c>
      <c r="L4130">
        <v>100</v>
      </c>
      <c r="M4130">
        <v>100</v>
      </c>
      <c r="N4130">
        <v>1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0</v>
      </c>
      <c r="AE4130">
        <v>0</v>
      </c>
      <c r="AF4130">
        <v>0</v>
      </c>
      <c r="AG4130">
        <v>0</v>
      </c>
      <c r="AH4130">
        <v>0</v>
      </c>
      <c r="AI4130">
        <v>100</v>
      </c>
      <c r="AJ4130">
        <v>1</v>
      </c>
      <c r="AK4130">
        <v>0</v>
      </c>
      <c r="AL4130">
        <v>0</v>
      </c>
      <c r="AM4130">
        <v>100</v>
      </c>
      <c r="AN4130">
        <v>0</v>
      </c>
      <c r="AO4130">
        <v>0</v>
      </c>
      <c r="AP4130">
        <v>0</v>
      </c>
      <c r="AQ4130">
        <v>0</v>
      </c>
      <c r="AS4130">
        <v>0</v>
      </c>
      <c r="AT4130">
        <v>0</v>
      </c>
      <c r="AV4130">
        <v>0</v>
      </c>
      <c r="AW4130">
        <v>0</v>
      </c>
      <c r="AY4130">
        <v>0</v>
      </c>
      <c r="AZ4130">
        <v>0</v>
      </c>
      <c r="BA4130">
        <v>60</v>
      </c>
      <c r="BE4130" t="str">
        <f>T("9791137017818")</f>
        <v>9791137017818</v>
      </c>
      <c r="BF4130" t="str">
        <f>T("k239947")</f>
        <v>k239947</v>
      </c>
      <c r="BG4130" t="str">
        <f>T("판타지 웹소설 &gt; 퓨전 판타지")</f>
        <v>판타지 웹소설 &gt; 퓨전 판타지</v>
      </c>
    </row>
    <row r="4131" spans="1:59">
      <c r="A4131" t="s">
        <v>60</v>
      </c>
      <c r="B4131" s="1">
        <v>46131</v>
      </c>
      <c r="C4131">
        <v>2378059085</v>
      </c>
      <c r="D4131">
        <v>2378062219</v>
      </c>
      <c r="E4131" t="str">
        <f>T("아카데미 악역 엑스트라로 사는 법 145화")</f>
        <v>아카데미 악역 엑스트라로 사는 법 145화</v>
      </c>
      <c r="F4131">
        <v>145</v>
      </c>
      <c r="G4131" t="str">
        <f>T("김서건")</f>
        <v>김서건</v>
      </c>
      <c r="J4131" t="str">
        <f>T("매드햇")</f>
        <v>매드햇</v>
      </c>
      <c r="K4131" t="str">
        <f>T("아카데미 악역 엑스트라로 사는 법")</f>
        <v>아카데미 악역 엑스트라로 사는 법</v>
      </c>
      <c r="L4131">
        <v>100</v>
      </c>
      <c r="M4131">
        <v>100</v>
      </c>
      <c r="N4131">
        <v>1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0</v>
      </c>
      <c r="AE4131">
        <v>0</v>
      </c>
      <c r="AF4131">
        <v>0</v>
      </c>
      <c r="AG4131">
        <v>0</v>
      </c>
      <c r="AH4131">
        <v>0</v>
      </c>
      <c r="AI4131">
        <v>100</v>
      </c>
      <c r="AJ4131">
        <v>1</v>
      </c>
      <c r="AK4131">
        <v>0</v>
      </c>
      <c r="AL4131">
        <v>0</v>
      </c>
      <c r="AM4131">
        <v>100</v>
      </c>
      <c r="AN4131">
        <v>0</v>
      </c>
      <c r="AO4131">
        <v>0</v>
      </c>
      <c r="AP4131">
        <v>0</v>
      </c>
      <c r="AQ4131">
        <v>0</v>
      </c>
      <c r="AS4131">
        <v>0</v>
      </c>
      <c r="AT4131">
        <v>0</v>
      </c>
      <c r="AV4131">
        <v>0</v>
      </c>
      <c r="AW4131">
        <v>0</v>
      </c>
      <c r="AY4131">
        <v>0</v>
      </c>
      <c r="AZ4131">
        <v>0</v>
      </c>
      <c r="BA4131">
        <v>60</v>
      </c>
      <c r="BE4131" t="str">
        <f>T("9791137017818")</f>
        <v>9791137017818</v>
      </c>
      <c r="BF4131" t="str">
        <f>T("k239516")</f>
        <v>k239516</v>
      </c>
      <c r="BG4131" t="str">
        <f>T("판타지 웹소설 &gt; 퓨전 판타지")</f>
        <v>판타지 웹소설 &gt; 퓨전 판타지</v>
      </c>
    </row>
    <row r="4132" spans="1:59">
      <c r="A4132" t="s">
        <v>60</v>
      </c>
      <c r="B4132" s="1">
        <v>46131</v>
      </c>
      <c r="C4132">
        <v>2378059085</v>
      </c>
      <c r="D4132">
        <v>2378062186</v>
      </c>
      <c r="E4132" t="str">
        <f>T("아카데미 악역 엑스트라로 사는 법 144화")</f>
        <v>아카데미 악역 엑스트라로 사는 법 144화</v>
      </c>
      <c r="F4132">
        <v>144</v>
      </c>
      <c r="G4132" t="str">
        <f>T("김서건")</f>
        <v>김서건</v>
      </c>
      <c r="J4132" t="str">
        <f>T("매드햇")</f>
        <v>매드햇</v>
      </c>
      <c r="K4132" t="str">
        <f>T("아카데미 악역 엑스트라로 사는 법")</f>
        <v>아카데미 악역 엑스트라로 사는 법</v>
      </c>
      <c r="L4132">
        <v>100</v>
      </c>
      <c r="M4132">
        <v>100</v>
      </c>
      <c r="N4132">
        <v>1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0</v>
      </c>
      <c r="AE4132">
        <v>0</v>
      </c>
      <c r="AF4132">
        <v>0</v>
      </c>
      <c r="AG4132">
        <v>0</v>
      </c>
      <c r="AH4132">
        <v>0</v>
      </c>
      <c r="AI4132">
        <v>100</v>
      </c>
      <c r="AJ4132">
        <v>1</v>
      </c>
      <c r="AK4132">
        <v>0</v>
      </c>
      <c r="AL4132">
        <v>0</v>
      </c>
      <c r="AM4132">
        <v>100</v>
      </c>
      <c r="AN4132">
        <v>0</v>
      </c>
      <c r="AO4132">
        <v>0</v>
      </c>
      <c r="AP4132">
        <v>0</v>
      </c>
      <c r="AQ4132">
        <v>0</v>
      </c>
      <c r="AS4132">
        <v>0</v>
      </c>
      <c r="AT4132">
        <v>0</v>
      </c>
      <c r="AV4132">
        <v>0</v>
      </c>
      <c r="AW4132">
        <v>0</v>
      </c>
      <c r="AY4132">
        <v>0</v>
      </c>
      <c r="AZ4132">
        <v>0</v>
      </c>
      <c r="BA4132">
        <v>60</v>
      </c>
      <c r="BE4132" t="str">
        <f>T("9791137017818")</f>
        <v>9791137017818</v>
      </c>
      <c r="BF4132" t="str">
        <f>T("k239515")</f>
        <v>k239515</v>
      </c>
      <c r="BG4132" t="str">
        <f>T("판타지 웹소설 &gt; 퓨전 판타지")</f>
        <v>판타지 웹소설 &gt; 퓨전 판타지</v>
      </c>
    </row>
    <row r="4133" spans="1:59">
      <c r="A4133" t="s">
        <v>60</v>
      </c>
      <c r="B4133" s="1">
        <v>46131</v>
      </c>
      <c r="C4133">
        <v>2378059085</v>
      </c>
      <c r="D4133">
        <v>2378062167</v>
      </c>
      <c r="E4133" t="str">
        <f>T("아카데미 악역 엑스트라로 사는 법 143화")</f>
        <v>아카데미 악역 엑스트라로 사는 법 143화</v>
      </c>
      <c r="F4133">
        <v>143</v>
      </c>
      <c r="G4133" t="str">
        <f>T("김서건")</f>
        <v>김서건</v>
      </c>
      <c r="J4133" t="str">
        <f>T("매드햇")</f>
        <v>매드햇</v>
      </c>
      <c r="K4133" t="str">
        <f>T("아카데미 악역 엑스트라로 사는 법")</f>
        <v>아카데미 악역 엑스트라로 사는 법</v>
      </c>
      <c r="L4133">
        <v>100</v>
      </c>
      <c r="M4133">
        <v>100</v>
      </c>
      <c r="N4133">
        <v>1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0</v>
      </c>
      <c r="AE4133">
        <v>0</v>
      </c>
      <c r="AF4133">
        <v>0</v>
      </c>
      <c r="AG4133">
        <v>0</v>
      </c>
      <c r="AH4133">
        <v>0</v>
      </c>
      <c r="AI4133">
        <v>100</v>
      </c>
      <c r="AJ4133">
        <v>1</v>
      </c>
      <c r="AK4133">
        <v>0</v>
      </c>
      <c r="AL4133">
        <v>0</v>
      </c>
      <c r="AM4133">
        <v>100</v>
      </c>
      <c r="AN4133">
        <v>0</v>
      </c>
      <c r="AO4133">
        <v>0</v>
      </c>
      <c r="AP4133">
        <v>0</v>
      </c>
      <c r="AQ4133">
        <v>0</v>
      </c>
      <c r="AS4133">
        <v>0</v>
      </c>
      <c r="AT4133">
        <v>0</v>
      </c>
      <c r="AV4133">
        <v>0</v>
      </c>
      <c r="AW4133">
        <v>0</v>
      </c>
      <c r="AY4133">
        <v>0</v>
      </c>
      <c r="AZ4133">
        <v>0</v>
      </c>
      <c r="BA4133">
        <v>60</v>
      </c>
      <c r="BE4133" t="str">
        <f>T("9791137017818")</f>
        <v>9791137017818</v>
      </c>
      <c r="BF4133" t="str">
        <f>T("k239514")</f>
        <v>k239514</v>
      </c>
      <c r="BG4133" t="str">
        <f>T("판타지 웹소설 &gt; 퓨전 판타지")</f>
        <v>판타지 웹소설 &gt; 퓨전 판타지</v>
      </c>
    </row>
    <row r="4134" spans="1:59">
      <c r="A4134" t="s">
        <v>60</v>
      </c>
      <c r="B4134" s="1">
        <v>46131</v>
      </c>
      <c r="C4134">
        <v>2378059085</v>
      </c>
      <c r="D4134">
        <v>2378059165</v>
      </c>
      <c r="E4134" t="str">
        <f>T("아카데미 악역 엑스트라로 사는 법 81화")</f>
        <v>아카데미 악역 엑스트라로 사는 법 81화</v>
      </c>
      <c r="F4134">
        <v>81</v>
      </c>
      <c r="G4134" t="str">
        <f>T("김서건")</f>
        <v>김서건</v>
      </c>
      <c r="J4134" t="str">
        <f>T("매드햇")</f>
        <v>매드햇</v>
      </c>
      <c r="K4134" t="str">
        <f>T("아카데미 악역 엑스트라로 사는 법")</f>
        <v>아카데미 악역 엑스트라로 사는 법</v>
      </c>
      <c r="L4134">
        <v>100</v>
      </c>
      <c r="M4134">
        <v>100</v>
      </c>
      <c r="N4134">
        <v>1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0</v>
      </c>
      <c r="AE4134">
        <v>0</v>
      </c>
      <c r="AF4134">
        <v>0</v>
      </c>
      <c r="AG4134">
        <v>0</v>
      </c>
      <c r="AH4134">
        <v>0</v>
      </c>
      <c r="AI4134">
        <v>100</v>
      </c>
      <c r="AJ4134">
        <v>1</v>
      </c>
      <c r="AK4134">
        <v>0</v>
      </c>
      <c r="AL4134">
        <v>0</v>
      </c>
      <c r="AM4134">
        <v>100</v>
      </c>
      <c r="AN4134">
        <v>0</v>
      </c>
      <c r="AO4134">
        <v>0</v>
      </c>
      <c r="AP4134">
        <v>0</v>
      </c>
      <c r="AQ4134">
        <v>0</v>
      </c>
      <c r="AS4134">
        <v>0</v>
      </c>
      <c r="AT4134">
        <v>0</v>
      </c>
      <c r="AV4134">
        <v>0</v>
      </c>
      <c r="AW4134">
        <v>0</v>
      </c>
      <c r="AY4134">
        <v>0</v>
      </c>
      <c r="AZ4134">
        <v>0</v>
      </c>
      <c r="BA4134">
        <v>60</v>
      </c>
      <c r="BE4134" t="str">
        <f>T("9791137017818")</f>
        <v>9791137017818</v>
      </c>
      <c r="BF4134" t="str">
        <f>T("k196927")</f>
        <v>k196927</v>
      </c>
      <c r="BG4134" t="str">
        <f>T("판타지 웹소설 &gt; 퓨전 판타지")</f>
        <v>판타지 웹소설 &gt; 퓨전 판타지</v>
      </c>
    </row>
    <row r="4135" spans="1:59">
      <c r="A4135" t="s">
        <v>60</v>
      </c>
      <c r="B4135" s="1">
        <v>46131</v>
      </c>
      <c r="C4135">
        <v>2378059085</v>
      </c>
      <c r="D4135">
        <v>2378059242</v>
      </c>
      <c r="E4135" t="str">
        <f>T("아카데미 악역 엑스트라로 사는 법 92화")</f>
        <v>아카데미 악역 엑스트라로 사는 법 92화</v>
      </c>
      <c r="F4135">
        <v>92</v>
      </c>
      <c r="G4135" t="str">
        <f>T("김서건")</f>
        <v>김서건</v>
      </c>
      <c r="J4135" t="str">
        <f>T("매드햇")</f>
        <v>매드햇</v>
      </c>
      <c r="K4135" t="str">
        <f>T("아카데미 악역 엑스트라로 사는 법")</f>
        <v>아카데미 악역 엑스트라로 사는 법</v>
      </c>
      <c r="L4135">
        <v>100</v>
      </c>
      <c r="M4135">
        <v>100</v>
      </c>
      <c r="N4135">
        <v>1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0</v>
      </c>
      <c r="AE4135">
        <v>0</v>
      </c>
      <c r="AF4135">
        <v>0</v>
      </c>
      <c r="AG4135">
        <v>0</v>
      </c>
      <c r="AH4135">
        <v>0</v>
      </c>
      <c r="AI4135">
        <v>100</v>
      </c>
      <c r="AJ4135">
        <v>1</v>
      </c>
      <c r="AK4135">
        <v>0</v>
      </c>
      <c r="AL4135">
        <v>0</v>
      </c>
      <c r="AM4135">
        <v>100</v>
      </c>
      <c r="AN4135">
        <v>0</v>
      </c>
      <c r="AO4135">
        <v>0</v>
      </c>
      <c r="AP4135">
        <v>0</v>
      </c>
      <c r="AQ4135">
        <v>0</v>
      </c>
      <c r="AS4135">
        <v>0</v>
      </c>
      <c r="AT4135">
        <v>0</v>
      </c>
      <c r="AV4135">
        <v>0</v>
      </c>
      <c r="AW4135">
        <v>0</v>
      </c>
      <c r="AY4135">
        <v>0</v>
      </c>
      <c r="AZ4135">
        <v>0</v>
      </c>
      <c r="BA4135">
        <v>60</v>
      </c>
      <c r="BE4135" t="str">
        <f>T("9791137017818")</f>
        <v>9791137017818</v>
      </c>
      <c r="BF4135" t="str">
        <f>T("k196938")</f>
        <v>k196938</v>
      </c>
      <c r="BG4135" t="str">
        <f>T("판타지 웹소설 &gt; 퓨전 판타지")</f>
        <v>판타지 웹소설 &gt; 퓨전 판타지</v>
      </c>
    </row>
    <row r="4136" spans="1:59">
      <c r="A4136" t="s">
        <v>60</v>
      </c>
      <c r="B4136" s="1">
        <v>46131</v>
      </c>
      <c r="C4136">
        <v>2378059085</v>
      </c>
      <c r="D4136">
        <v>2378059241</v>
      </c>
      <c r="E4136" t="str">
        <f>T("아카데미 악역 엑스트라로 사는 법 91화")</f>
        <v>아카데미 악역 엑스트라로 사는 법 91화</v>
      </c>
      <c r="F4136">
        <v>91</v>
      </c>
      <c r="G4136" t="str">
        <f>T("김서건")</f>
        <v>김서건</v>
      </c>
      <c r="J4136" t="str">
        <f>T("매드햇")</f>
        <v>매드햇</v>
      </c>
      <c r="K4136" t="str">
        <f>T("아카데미 악역 엑스트라로 사는 법")</f>
        <v>아카데미 악역 엑스트라로 사는 법</v>
      </c>
      <c r="L4136">
        <v>100</v>
      </c>
      <c r="M4136">
        <v>100</v>
      </c>
      <c r="N4136">
        <v>1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0</v>
      </c>
      <c r="AE4136">
        <v>0</v>
      </c>
      <c r="AF4136">
        <v>0</v>
      </c>
      <c r="AG4136">
        <v>0</v>
      </c>
      <c r="AH4136">
        <v>0</v>
      </c>
      <c r="AI4136">
        <v>100</v>
      </c>
      <c r="AJ4136">
        <v>1</v>
      </c>
      <c r="AK4136">
        <v>0</v>
      </c>
      <c r="AL4136">
        <v>0</v>
      </c>
      <c r="AM4136">
        <v>100</v>
      </c>
      <c r="AN4136">
        <v>0</v>
      </c>
      <c r="AO4136">
        <v>0</v>
      </c>
      <c r="AP4136">
        <v>0</v>
      </c>
      <c r="AQ4136">
        <v>0</v>
      </c>
      <c r="AS4136">
        <v>0</v>
      </c>
      <c r="AT4136">
        <v>0</v>
      </c>
      <c r="AV4136">
        <v>0</v>
      </c>
      <c r="AW4136">
        <v>0</v>
      </c>
      <c r="AY4136">
        <v>0</v>
      </c>
      <c r="AZ4136">
        <v>0</v>
      </c>
      <c r="BA4136">
        <v>60</v>
      </c>
      <c r="BE4136" t="str">
        <f>T("9791137017818")</f>
        <v>9791137017818</v>
      </c>
      <c r="BF4136" t="str">
        <f>T("k196937")</f>
        <v>k196937</v>
      </c>
      <c r="BG4136" t="str">
        <f>T("판타지 웹소설 &gt; 퓨전 판타지")</f>
        <v>판타지 웹소설 &gt; 퓨전 판타지</v>
      </c>
    </row>
    <row r="4137" spans="1:59">
      <c r="A4137" t="s">
        <v>60</v>
      </c>
      <c r="B4137" s="1">
        <v>46131</v>
      </c>
      <c r="C4137">
        <v>2378059085</v>
      </c>
      <c r="D4137">
        <v>2378059240</v>
      </c>
      <c r="E4137" t="str">
        <f>T("아카데미 악역 엑스트라로 사는 법 90화")</f>
        <v>아카데미 악역 엑스트라로 사는 법 90화</v>
      </c>
      <c r="F4137">
        <v>90</v>
      </c>
      <c r="G4137" t="str">
        <f>T("김서건")</f>
        <v>김서건</v>
      </c>
      <c r="J4137" t="str">
        <f>T("매드햇")</f>
        <v>매드햇</v>
      </c>
      <c r="K4137" t="str">
        <f>T("아카데미 악역 엑스트라로 사는 법")</f>
        <v>아카데미 악역 엑스트라로 사는 법</v>
      </c>
      <c r="L4137">
        <v>100</v>
      </c>
      <c r="M4137">
        <v>100</v>
      </c>
      <c r="N4137">
        <v>1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0</v>
      </c>
      <c r="AE4137">
        <v>0</v>
      </c>
      <c r="AF4137">
        <v>0</v>
      </c>
      <c r="AG4137">
        <v>0</v>
      </c>
      <c r="AH4137">
        <v>0</v>
      </c>
      <c r="AI4137">
        <v>100</v>
      </c>
      <c r="AJ4137">
        <v>1</v>
      </c>
      <c r="AK4137">
        <v>0</v>
      </c>
      <c r="AL4137">
        <v>0</v>
      </c>
      <c r="AM4137">
        <v>100</v>
      </c>
      <c r="AN4137">
        <v>0</v>
      </c>
      <c r="AO4137">
        <v>0</v>
      </c>
      <c r="AP4137">
        <v>0</v>
      </c>
      <c r="AQ4137">
        <v>0</v>
      </c>
      <c r="AS4137">
        <v>0</v>
      </c>
      <c r="AT4137">
        <v>0</v>
      </c>
      <c r="AV4137">
        <v>0</v>
      </c>
      <c r="AW4137">
        <v>0</v>
      </c>
      <c r="AY4137">
        <v>0</v>
      </c>
      <c r="AZ4137">
        <v>0</v>
      </c>
      <c r="BA4137">
        <v>60</v>
      </c>
      <c r="BE4137" t="str">
        <f>T("9791137017818")</f>
        <v>9791137017818</v>
      </c>
      <c r="BF4137" t="str">
        <f>T("k196936")</f>
        <v>k196936</v>
      </c>
      <c r="BG4137" t="str">
        <f>T("판타지 웹소설 &gt; 퓨전 판타지")</f>
        <v>판타지 웹소설 &gt; 퓨전 판타지</v>
      </c>
    </row>
    <row r="4138" spans="1:59">
      <c r="A4138" t="s">
        <v>60</v>
      </c>
      <c r="B4138" s="1">
        <v>46131</v>
      </c>
      <c r="C4138">
        <v>2378059085</v>
      </c>
      <c r="D4138">
        <v>2378059227</v>
      </c>
      <c r="E4138" t="str">
        <f>T("아카데미 악역 엑스트라로 사는 법 89화")</f>
        <v>아카데미 악역 엑스트라로 사는 법 89화</v>
      </c>
      <c r="F4138">
        <v>89</v>
      </c>
      <c r="G4138" t="str">
        <f>T("김서건")</f>
        <v>김서건</v>
      </c>
      <c r="J4138" t="str">
        <f>T("매드햇")</f>
        <v>매드햇</v>
      </c>
      <c r="K4138" t="str">
        <f>T("아카데미 악역 엑스트라로 사는 법")</f>
        <v>아카데미 악역 엑스트라로 사는 법</v>
      </c>
      <c r="L4138">
        <v>100</v>
      </c>
      <c r="M4138">
        <v>100</v>
      </c>
      <c r="N4138">
        <v>1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0</v>
      </c>
      <c r="AE4138">
        <v>0</v>
      </c>
      <c r="AF4138">
        <v>0</v>
      </c>
      <c r="AG4138">
        <v>0</v>
      </c>
      <c r="AH4138">
        <v>0</v>
      </c>
      <c r="AI4138">
        <v>100</v>
      </c>
      <c r="AJ4138">
        <v>1</v>
      </c>
      <c r="AK4138">
        <v>0</v>
      </c>
      <c r="AL4138">
        <v>0</v>
      </c>
      <c r="AM4138">
        <v>100</v>
      </c>
      <c r="AN4138">
        <v>0</v>
      </c>
      <c r="AO4138">
        <v>0</v>
      </c>
      <c r="AP4138">
        <v>0</v>
      </c>
      <c r="AQ4138">
        <v>0</v>
      </c>
      <c r="AS4138">
        <v>0</v>
      </c>
      <c r="AT4138">
        <v>0</v>
      </c>
      <c r="AV4138">
        <v>0</v>
      </c>
      <c r="AW4138">
        <v>0</v>
      </c>
      <c r="AY4138">
        <v>0</v>
      </c>
      <c r="AZ4138">
        <v>0</v>
      </c>
      <c r="BA4138">
        <v>60</v>
      </c>
      <c r="BE4138" t="str">
        <f>T("9791137017818")</f>
        <v>9791137017818</v>
      </c>
      <c r="BF4138" t="str">
        <f>T("k196935")</f>
        <v>k196935</v>
      </c>
      <c r="BG4138" t="str">
        <f>T("판타지 웹소설 &gt; 퓨전 판타지")</f>
        <v>판타지 웹소설 &gt; 퓨전 판타지</v>
      </c>
    </row>
    <row r="4139" spans="1:59">
      <c r="A4139" t="s">
        <v>60</v>
      </c>
      <c r="B4139" s="1">
        <v>46131</v>
      </c>
      <c r="C4139">
        <v>2378059085</v>
      </c>
      <c r="D4139">
        <v>2378059226</v>
      </c>
      <c r="E4139" t="str">
        <f>T("아카데미 악역 엑스트라로 사는 법 88화")</f>
        <v>아카데미 악역 엑스트라로 사는 법 88화</v>
      </c>
      <c r="F4139">
        <v>88</v>
      </c>
      <c r="G4139" t="str">
        <f>T("김서건")</f>
        <v>김서건</v>
      </c>
      <c r="J4139" t="str">
        <f>T("매드햇")</f>
        <v>매드햇</v>
      </c>
      <c r="K4139" t="str">
        <f>T("아카데미 악역 엑스트라로 사는 법")</f>
        <v>아카데미 악역 엑스트라로 사는 법</v>
      </c>
      <c r="L4139">
        <v>100</v>
      </c>
      <c r="M4139">
        <v>100</v>
      </c>
      <c r="N4139">
        <v>1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0</v>
      </c>
      <c r="AE4139">
        <v>0</v>
      </c>
      <c r="AF4139">
        <v>0</v>
      </c>
      <c r="AG4139">
        <v>0</v>
      </c>
      <c r="AH4139">
        <v>0</v>
      </c>
      <c r="AI4139">
        <v>100</v>
      </c>
      <c r="AJ4139">
        <v>1</v>
      </c>
      <c r="AK4139">
        <v>0</v>
      </c>
      <c r="AL4139">
        <v>0</v>
      </c>
      <c r="AM4139">
        <v>100</v>
      </c>
      <c r="AN4139">
        <v>0</v>
      </c>
      <c r="AO4139">
        <v>0</v>
      </c>
      <c r="AP4139">
        <v>0</v>
      </c>
      <c r="AQ4139">
        <v>0</v>
      </c>
      <c r="AS4139">
        <v>0</v>
      </c>
      <c r="AT4139">
        <v>0</v>
      </c>
      <c r="AV4139">
        <v>0</v>
      </c>
      <c r="AW4139">
        <v>0</v>
      </c>
      <c r="AY4139">
        <v>0</v>
      </c>
      <c r="AZ4139">
        <v>0</v>
      </c>
      <c r="BA4139">
        <v>60</v>
      </c>
      <c r="BE4139" t="str">
        <f>T("9791137017818")</f>
        <v>9791137017818</v>
      </c>
      <c r="BF4139" t="str">
        <f>T("k196934")</f>
        <v>k196934</v>
      </c>
      <c r="BG4139" t="str">
        <f>T("판타지 웹소설 &gt; 퓨전 판타지")</f>
        <v>판타지 웹소설 &gt; 퓨전 판타지</v>
      </c>
    </row>
    <row r="4140" spans="1:59">
      <c r="A4140" t="s">
        <v>60</v>
      </c>
      <c r="B4140" s="1">
        <v>46131</v>
      </c>
      <c r="C4140">
        <v>2378059085</v>
      </c>
      <c r="D4140">
        <v>2378059225</v>
      </c>
      <c r="E4140" t="str">
        <f>T("아카데미 악역 엑스트라로 사는 법 87화")</f>
        <v>아카데미 악역 엑스트라로 사는 법 87화</v>
      </c>
      <c r="F4140">
        <v>87</v>
      </c>
      <c r="G4140" t="str">
        <f>T("김서건")</f>
        <v>김서건</v>
      </c>
      <c r="J4140" t="str">
        <f>T("매드햇")</f>
        <v>매드햇</v>
      </c>
      <c r="K4140" t="str">
        <f>T("아카데미 악역 엑스트라로 사는 법")</f>
        <v>아카데미 악역 엑스트라로 사는 법</v>
      </c>
      <c r="L4140">
        <v>100</v>
      </c>
      <c r="M4140">
        <v>100</v>
      </c>
      <c r="N4140">
        <v>1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0</v>
      </c>
      <c r="AE4140">
        <v>0</v>
      </c>
      <c r="AF4140">
        <v>0</v>
      </c>
      <c r="AG4140">
        <v>0</v>
      </c>
      <c r="AH4140">
        <v>0</v>
      </c>
      <c r="AI4140">
        <v>100</v>
      </c>
      <c r="AJ4140">
        <v>1</v>
      </c>
      <c r="AK4140">
        <v>0</v>
      </c>
      <c r="AL4140">
        <v>0</v>
      </c>
      <c r="AM4140">
        <v>100</v>
      </c>
      <c r="AN4140">
        <v>0</v>
      </c>
      <c r="AO4140">
        <v>0</v>
      </c>
      <c r="AP4140">
        <v>0</v>
      </c>
      <c r="AQ4140">
        <v>0</v>
      </c>
      <c r="AS4140">
        <v>0</v>
      </c>
      <c r="AT4140">
        <v>0</v>
      </c>
      <c r="AV4140">
        <v>0</v>
      </c>
      <c r="AW4140">
        <v>0</v>
      </c>
      <c r="AY4140">
        <v>0</v>
      </c>
      <c r="AZ4140">
        <v>0</v>
      </c>
      <c r="BA4140">
        <v>60</v>
      </c>
      <c r="BE4140" t="str">
        <f>T("9791137017818")</f>
        <v>9791137017818</v>
      </c>
      <c r="BF4140" t="str">
        <f>T("k196933")</f>
        <v>k196933</v>
      </c>
      <c r="BG4140" t="str">
        <f>T("판타지 웹소설 &gt; 퓨전 판타지")</f>
        <v>판타지 웹소설 &gt; 퓨전 판타지</v>
      </c>
    </row>
    <row r="4141" spans="1:59">
      <c r="A4141" t="s">
        <v>60</v>
      </c>
      <c r="B4141" s="1">
        <v>46131</v>
      </c>
      <c r="C4141">
        <v>2378059085</v>
      </c>
      <c r="D4141">
        <v>2378059170</v>
      </c>
      <c r="E4141" t="str">
        <f>T("아카데미 악역 엑스트라로 사는 법 86화")</f>
        <v>아카데미 악역 엑스트라로 사는 법 86화</v>
      </c>
      <c r="F4141">
        <v>86</v>
      </c>
      <c r="G4141" t="str">
        <f>T("김서건")</f>
        <v>김서건</v>
      </c>
      <c r="J4141" t="str">
        <f>T("매드햇")</f>
        <v>매드햇</v>
      </c>
      <c r="K4141" t="str">
        <f>T("아카데미 악역 엑스트라로 사는 법")</f>
        <v>아카데미 악역 엑스트라로 사는 법</v>
      </c>
      <c r="L4141">
        <v>100</v>
      </c>
      <c r="M4141">
        <v>100</v>
      </c>
      <c r="N4141">
        <v>1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0</v>
      </c>
      <c r="AE4141">
        <v>0</v>
      </c>
      <c r="AF4141">
        <v>0</v>
      </c>
      <c r="AG4141">
        <v>0</v>
      </c>
      <c r="AH4141">
        <v>0</v>
      </c>
      <c r="AI4141">
        <v>100</v>
      </c>
      <c r="AJ4141">
        <v>1</v>
      </c>
      <c r="AK4141">
        <v>0</v>
      </c>
      <c r="AL4141">
        <v>0</v>
      </c>
      <c r="AM4141">
        <v>100</v>
      </c>
      <c r="AN4141">
        <v>0</v>
      </c>
      <c r="AO4141">
        <v>0</v>
      </c>
      <c r="AP4141">
        <v>0</v>
      </c>
      <c r="AQ4141">
        <v>0</v>
      </c>
      <c r="AS4141">
        <v>0</v>
      </c>
      <c r="AT4141">
        <v>0</v>
      </c>
      <c r="AV4141">
        <v>0</v>
      </c>
      <c r="AW4141">
        <v>0</v>
      </c>
      <c r="AY4141">
        <v>0</v>
      </c>
      <c r="AZ4141">
        <v>0</v>
      </c>
      <c r="BA4141">
        <v>60</v>
      </c>
      <c r="BE4141" t="str">
        <f>T("9791137017818")</f>
        <v>9791137017818</v>
      </c>
      <c r="BF4141" t="str">
        <f>T("k196932")</f>
        <v>k196932</v>
      </c>
      <c r="BG4141" t="str">
        <f>T("판타지 웹소설 &gt; 퓨전 판타지")</f>
        <v>판타지 웹소설 &gt; 퓨전 판타지</v>
      </c>
    </row>
    <row r="4142" spans="1:59">
      <c r="A4142" t="s">
        <v>60</v>
      </c>
      <c r="B4142" s="1">
        <v>46131</v>
      </c>
      <c r="C4142">
        <v>2378059085</v>
      </c>
      <c r="D4142">
        <v>2378059169</v>
      </c>
      <c r="E4142" t="str">
        <f>T("아카데미 악역 엑스트라로 사는 법 85화")</f>
        <v>아카데미 악역 엑스트라로 사는 법 85화</v>
      </c>
      <c r="F4142">
        <v>85</v>
      </c>
      <c r="G4142" t="str">
        <f>T("김서건")</f>
        <v>김서건</v>
      </c>
      <c r="J4142" t="str">
        <f>T("매드햇")</f>
        <v>매드햇</v>
      </c>
      <c r="K4142" t="str">
        <f>T("아카데미 악역 엑스트라로 사는 법")</f>
        <v>아카데미 악역 엑스트라로 사는 법</v>
      </c>
      <c r="L4142">
        <v>100</v>
      </c>
      <c r="M4142">
        <v>100</v>
      </c>
      <c r="N4142">
        <v>1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0</v>
      </c>
      <c r="AE4142">
        <v>0</v>
      </c>
      <c r="AF4142">
        <v>0</v>
      </c>
      <c r="AG4142">
        <v>0</v>
      </c>
      <c r="AH4142">
        <v>0</v>
      </c>
      <c r="AI4142">
        <v>100</v>
      </c>
      <c r="AJ4142">
        <v>1</v>
      </c>
      <c r="AK4142">
        <v>0</v>
      </c>
      <c r="AL4142">
        <v>0</v>
      </c>
      <c r="AM4142">
        <v>100</v>
      </c>
      <c r="AN4142">
        <v>0</v>
      </c>
      <c r="AO4142">
        <v>0</v>
      </c>
      <c r="AP4142">
        <v>0</v>
      </c>
      <c r="AQ4142">
        <v>0</v>
      </c>
      <c r="AS4142">
        <v>0</v>
      </c>
      <c r="AT4142">
        <v>0</v>
      </c>
      <c r="AV4142">
        <v>0</v>
      </c>
      <c r="AW4142">
        <v>0</v>
      </c>
      <c r="AY4142">
        <v>0</v>
      </c>
      <c r="AZ4142">
        <v>0</v>
      </c>
      <c r="BA4142">
        <v>60</v>
      </c>
      <c r="BE4142" t="str">
        <f>T("9791137017818")</f>
        <v>9791137017818</v>
      </c>
      <c r="BF4142" t="str">
        <f>T("k196931")</f>
        <v>k196931</v>
      </c>
      <c r="BG4142" t="str">
        <f>T("판타지 웹소설 &gt; 퓨전 판타지")</f>
        <v>판타지 웹소설 &gt; 퓨전 판타지</v>
      </c>
    </row>
    <row r="4143" spans="1:59">
      <c r="A4143" t="s">
        <v>60</v>
      </c>
      <c r="B4143" s="1">
        <v>46131</v>
      </c>
      <c r="C4143">
        <v>2378059085</v>
      </c>
      <c r="D4143">
        <v>2378059168</v>
      </c>
      <c r="E4143" t="str">
        <f>T("아카데미 악역 엑스트라로 사는 법 84화")</f>
        <v>아카데미 악역 엑스트라로 사는 법 84화</v>
      </c>
      <c r="F4143">
        <v>84</v>
      </c>
      <c r="G4143" t="str">
        <f>T("김서건")</f>
        <v>김서건</v>
      </c>
      <c r="J4143" t="str">
        <f>T("매드햇")</f>
        <v>매드햇</v>
      </c>
      <c r="K4143" t="str">
        <f>T("아카데미 악역 엑스트라로 사는 법")</f>
        <v>아카데미 악역 엑스트라로 사는 법</v>
      </c>
      <c r="L4143">
        <v>100</v>
      </c>
      <c r="M4143">
        <v>100</v>
      </c>
      <c r="N4143">
        <v>1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0</v>
      </c>
      <c r="AE4143">
        <v>0</v>
      </c>
      <c r="AF4143">
        <v>0</v>
      </c>
      <c r="AG4143">
        <v>0</v>
      </c>
      <c r="AH4143">
        <v>0</v>
      </c>
      <c r="AI4143">
        <v>100</v>
      </c>
      <c r="AJ4143">
        <v>1</v>
      </c>
      <c r="AK4143">
        <v>0</v>
      </c>
      <c r="AL4143">
        <v>0</v>
      </c>
      <c r="AM4143">
        <v>100</v>
      </c>
      <c r="AN4143">
        <v>0</v>
      </c>
      <c r="AO4143">
        <v>0</v>
      </c>
      <c r="AP4143">
        <v>0</v>
      </c>
      <c r="AQ4143">
        <v>0</v>
      </c>
      <c r="AS4143">
        <v>0</v>
      </c>
      <c r="AT4143">
        <v>0</v>
      </c>
      <c r="AV4143">
        <v>0</v>
      </c>
      <c r="AW4143">
        <v>0</v>
      </c>
      <c r="AY4143">
        <v>0</v>
      </c>
      <c r="AZ4143">
        <v>0</v>
      </c>
      <c r="BA4143">
        <v>60</v>
      </c>
      <c r="BE4143" t="str">
        <f>T("9791137017818")</f>
        <v>9791137017818</v>
      </c>
      <c r="BF4143" t="str">
        <f>T("k196930")</f>
        <v>k196930</v>
      </c>
      <c r="BG4143" t="str">
        <f>T("판타지 웹소설 &gt; 퓨전 판타지")</f>
        <v>판타지 웹소설 &gt; 퓨전 판타지</v>
      </c>
    </row>
    <row r="4144" spans="1:59">
      <c r="A4144" t="s">
        <v>60</v>
      </c>
      <c r="B4144" s="1">
        <v>46131</v>
      </c>
      <c r="C4144">
        <v>2378059085</v>
      </c>
      <c r="D4144">
        <v>2378059167</v>
      </c>
      <c r="E4144" t="str">
        <f>T("아카데미 악역 엑스트라로 사는 법 83화")</f>
        <v>아카데미 악역 엑스트라로 사는 법 83화</v>
      </c>
      <c r="F4144">
        <v>83</v>
      </c>
      <c r="G4144" t="str">
        <f>T("김서건")</f>
        <v>김서건</v>
      </c>
      <c r="J4144" t="str">
        <f>T("매드햇")</f>
        <v>매드햇</v>
      </c>
      <c r="K4144" t="str">
        <f>T("아카데미 악역 엑스트라로 사는 법")</f>
        <v>아카데미 악역 엑스트라로 사는 법</v>
      </c>
      <c r="L4144">
        <v>100</v>
      </c>
      <c r="M4144">
        <v>100</v>
      </c>
      <c r="N4144">
        <v>1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0</v>
      </c>
      <c r="AE4144">
        <v>0</v>
      </c>
      <c r="AF4144">
        <v>0</v>
      </c>
      <c r="AG4144">
        <v>0</v>
      </c>
      <c r="AH4144">
        <v>0</v>
      </c>
      <c r="AI4144">
        <v>100</v>
      </c>
      <c r="AJ4144">
        <v>1</v>
      </c>
      <c r="AK4144">
        <v>0</v>
      </c>
      <c r="AL4144">
        <v>0</v>
      </c>
      <c r="AM4144">
        <v>100</v>
      </c>
      <c r="AN4144">
        <v>0</v>
      </c>
      <c r="AO4144">
        <v>0</v>
      </c>
      <c r="AP4144">
        <v>0</v>
      </c>
      <c r="AQ4144">
        <v>0</v>
      </c>
      <c r="AS4144">
        <v>0</v>
      </c>
      <c r="AT4144">
        <v>0</v>
      </c>
      <c r="AV4144">
        <v>0</v>
      </c>
      <c r="AW4144">
        <v>0</v>
      </c>
      <c r="AY4144">
        <v>0</v>
      </c>
      <c r="AZ4144">
        <v>0</v>
      </c>
      <c r="BA4144">
        <v>60</v>
      </c>
      <c r="BE4144" t="str">
        <f>T("9791137017818")</f>
        <v>9791137017818</v>
      </c>
      <c r="BF4144" t="str">
        <f>T("k196929")</f>
        <v>k196929</v>
      </c>
      <c r="BG4144" t="str">
        <f>T("판타지 웹소설 &gt; 퓨전 판타지")</f>
        <v>판타지 웹소설 &gt; 퓨전 판타지</v>
      </c>
    </row>
    <row r="4145" spans="1:59">
      <c r="A4145" t="s">
        <v>60</v>
      </c>
      <c r="B4145" s="1">
        <v>46131</v>
      </c>
      <c r="C4145">
        <v>2378059085</v>
      </c>
      <c r="D4145">
        <v>2378059166</v>
      </c>
      <c r="E4145" t="str">
        <f>T("아카데미 악역 엑스트라로 사는 법 82화")</f>
        <v>아카데미 악역 엑스트라로 사는 법 82화</v>
      </c>
      <c r="F4145">
        <v>82</v>
      </c>
      <c r="G4145" t="str">
        <f>T("김서건")</f>
        <v>김서건</v>
      </c>
      <c r="J4145" t="str">
        <f>T("매드햇")</f>
        <v>매드햇</v>
      </c>
      <c r="K4145" t="str">
        <f>T("아카데미 악역 엑스트라로 사는 법")</f>
        <v>아카데미 악역 엑스트라로 사는 법</v>
      </c>
      <c r="L4145">
        <v>100</v>
      </c>
      <c r="M4145">
        <v>100</v>
      </c>
      <c r="N4145">
        <v>1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0</v>
      </c>
      <c r="AE4145">
        <v>0</v>
      </c>
      <c r="AF4145">
        <v>0</v>
      </c>
      <c r="AG4145">
        <v>0</v>
      </c>
      <c r="AH4145">
        <v>0</v>
      </c>
      <c r="AI4145">
        <v>100</v>
      </c>
      <c r="AJ4145">
        <v>1</v>
      </c>
      <c r="AK4145">
        <v>0</v>
      </c>
      <c r="AL4145">
        <v>0</v>
      </c>
      <c r="AM4145">
        <v>100</v>
      </c>
      <c r="AN4145">
        <v>0</v>
      </c>
      <c r="AO4145">
        <v>0</v>
      </c>
      <c r="AP4145">
        <v>0</v>
      </c>
      <c r="AQ4145">
        <v>0</v>
      </c>
      <c r="AS4145">
        <v>0</v>
      </c>
      <c r="AT4145">
        <v>0</v>
      </c>
      <c r="AV4145">
        <v>0</v>
      </c>
      <c r="AW4145">
        <v>0</v>
      </c>
      <c r="AY4145">
        <v>0</v>
      </c>
      <c r="AZ4145">
        <v>0</v>
      </c>
      <c r="BA4145">
        <v>60</v>
      </c>
      <c r="BE4145" t="str">
        <f>T("9791137017818")</f>
        <v>9791137017818</v>
      </c>
      <c r="BF4145" t="str">
        <f>T("k196928")</f>
        <v>k196928</v>
      </c>
      <c r="BG4145" t="str">
        <f>T("판타지 웹소설 &gt; 퓨전 판타지")</f>
        <v>판타지 웹소설 &gt; 퓨전 판타지</v>
      </c>
    </row>
    <row r="4146" spans="1:59">
      <c r="A4146" t="s">
        <v>60</v>
      </c>
      <c r="B4146" s="1">
        <v>46131</v>
      </c>
      <c r="C4146">
        <v>2378059085</v>
      </c>
      <c r="D4146">
        <v>2378059243</v>
      </c>
      <c r="E4146" t="str">
        <f>T("아카데미 악역 엑스트라로 사는 법 93화")</f>
        <v>아카데미 악역 엑스트라로 사는 법 93화</v>
      </c>
      <c r="F4146">
        <v>93</v>
      </c>
      <c r="G4146" t="str">
        <f>T("김서건")</f>
        <v>김서건</v>
      </c>
      <c r="J4146" t="str">
        <f>T("매드햇")</f>
        <v>매드햇</v>
      </c>
      <c r="K4146" t="str">
        <f>T("아카데미 악역 엑스트라로 사는 법")</f>
        <v>아카데미 악역 엑스트라로 사는 법</v>
      </c>
      <c r="L4146">
        <v>100</v>
      </c>
      <c r="M4146">
        <v>100</v>
      </c>
      <c r="N4146">
        <v>1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0</v>
      </c>
      <c r="AE4146">
        <v>0</v>
      </c>
      <c r="AF4146">
        <v>0</v>
      </c>
      <c r="AG4146">
        <v>0</v>
      </c>
      <c r="AH4146">
        <v>0</v>
      </c>
      <c r="AI4146">
        <v>100</v>
      </c>
      <c r="AJ4146">
        <v>1</v>
      </c>
      <c r="AK4146">
        <v>0</v>
      </c>
      <c r="AL4146">
        <v>0</v>
      </c>
      <c r="AM4146">
        <v>100</v>
      </c>
      <c r="AN4146">
        <v>0</v>
      </c>
      <c r="AO4146">
        <v>0</v>
      </c>
      <c r="AP4146">
        <v>0</v>
      </c>
      <c r="AQ4146">
        <v>0</v>
      </c>
      <c r="AS4146">
        <v>0</v>
      </c>
      <c r="AT4146">
        <v>0</v>
      </c>
      <c r="AV4146">
        <v>0</v>
      </c>
      <c r="AW4146">
        <v>0</v>
      </c>
      <c r="AY4146">
        <v>0</v>
      </c>
      <c r="AZ4146">
        <v>0</v>
      </c>
      <c r="BA4146">
        <v>60</v>
      </c>
      <c r="BE4146" t="str">
        <f>T("9791137017818")</f>
        <v>9791137017818</v>
      </c>
      <c r="BF4146" t="str">
        <f>T("k196939")</f>
        <v>k196939</v>
      </c>
      <c r="BG4146" t="str">
        <f>T("판타지 웹소설 &gt; 퓨전 판타지")</f>
        <v>판타지 웹소설 &gt; 퓨전 판타지</v>
      </c>
    </row>
    <row r="4147" spans="1:59">
      <c r="A4147" t="s">
        <v>60</v>
      </c>
      <c r="B4147" s="1">
        <v>46131</v>
      </c>
      <c r="C4147">
        <v>2378059085</v>
      </c>
      <c r="D4147">
        <v>2378059164</v>
      </c>
      <c r="E4147" t="str">
        <f>T("아카데미 악역 엑스트라로 사는 법 80화")</f>
        <v>아카데미 악역 엑스트라로 사는 법 80화</v>
      </c>
      <c r="F4147">
        <v>80</v>
      </c>
      <c r="G4147" t="str">
        <f>T("김서건")</f>
        <v>김서건</v>
      </c>
      <c r="J4147" t="str">
        <f>T("매드햇")</f>
        <v>매드햇</v>
      </c>
      <c r="K4147" t="str">
        <f>T("아카데미 악역 엑스트라로 사는 법")</f>
        <v>아카데미 악역 엑스트라로 사는 법</v>
      </c>
      <c r="L4147">
        <v>100</v>
      </c>
      <c r="M4147">
        <v>100</v>
      </c>
      <c r="N4147">
        <v>1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0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0</v>
      </c>
      <c r="AE4147">
        <v>0</v>
      </c>
      <c r="AF4147">
        <v>0</v>
      </c>
      <c r="AG4147">
        <v>0</v>
      </c>
      <c r="AH4147">
        <v>0</v>
      </c>
      <c r="AI4147">
        <v>100</v>
      </c>
      <c r="AJ4147">
        <v>1</v>
      </c>
      <c r="AK4147">
        <v>0</v>
      </c>
      <c r="AL4147">
        <v>0</v>
      </c>
      <c r="AM4147">
        <v>100</v>
      </c>
      <c r="AN4147">
        <v>0</v>
      </c>
      <c r="AO4147">
        <v>0</v>
      </c>
      <c r="AP4147">
        <v>0</v>
      </c>
      <c r="AQ4147">
        <v>0</v>
      </c>
      <c r="AS4147">
        <v>0</v>
      </c>
      <c r="AT4147">
        <v>0</v>
      </c>
      <c r="AV4147">
        <v>0</v>
      </c>
      <c r="AW4147">
        <v>0</v>
      </c>
      <c r="AY4147">
        <v>0</v>
      </c>
      <c r="AZ4147">
        <v>0</v>
      </c>
      <c r="BA4147">
        <v>60</v>
      </c>
      <c r="BE4147" t="str">
        <f>T("9791137017818")</f>
        <v>9791137017818</v>
      </c>
      <c r="BF4147" t="str">
        <f>T("k196926")</f>
        <v>k196926</v>
      </c>
      <c r="BG4147" t="str">
        <f>T("판타지 웹소설 &gt; 퓨전 판타지")</f>
        <v>판타지 웹소설 &gt; 퓨전 판타지</v>
      </c>
    </row>
    <row r="4148" spans="1:59">
      <c r="A4148" t="s">
        <v>60</v>
      </c>
      <c r="B4148" s="1">
        <v>46131</v>
      </c>
      <c r="C4148">
        <v>2378059085</v>
      </c>
      <c r="D4148">
        <v>2378059163</v>
      </c>
      <c r="E4148" t="str">
        <f>T("아카데미 악역 엑스트라로 사는 법 79화")</f>
        <v>아카데미 악역 엑스트라로 사는 법 79화</v>
      </c>
      <c r="F4148">
        <v>79</v>
      </c>
      <c r="G4148" t="str">
        <f>T("김서건")</f>
        <v>김서건</v>
      </c>
      <c r="J4148" t="str">
        <f>T("매드햇")</f>
        <v>매드햇</v>
      </c>
      <c r="K4148" t="str">
        <f>T("아카데미 악역 엑스트라로 사는 법")</f>
        <v>아카데미 악역 엑스트라로 사는 법</v>
      </c>
      <c r="L4148">
        <v>100</v>
      </c>
      <c r="M4148">
        <v>100</v>
      </c>
      <c r="N4148">
        <v>1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0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0</v>
      </c>
      <c r="AE4148">
        <v>0</v>
      </c>
      <c r="AF4148">
        <v>0</v>
      </c>
      <c r="AG4148">
        <v>0</v>
      </c>
      <c r="AH4148">
        <v>0</v>
      </c>
      <c r="AI4148">
        <v>100</v>
      </c>
      <c r="AJ4148">
        <v>1</v>
      </c>
      <c r="AK4148">
        <v>0</v>
      </c>
      <c r="AL4148">
        <v>0</v>
      </c>
      <c r="AM4148">
        <v>100</v>
      </c>
      <c r="AN4148">
        <v>0</v>
      </c>
      <c r="AO4148">
        <v>0</v>
      </c>
      <c r="AP4148">
        <v>0</v>
      </c>
      <c r="AQ4148">
        <v>0</v>
      </c>
      <c r="AS4148">
        <v>0</v>
      </c>
      <c r="AT4148">
        <v>0</v>
      </c>
      <c r="AV4148">
        <v>0</v>
      </c>
      <c r="AW4148">
        <v>0</v>
      </c>
      <c r="AY4148">
        <v>0</v>
      </c>
      <c r="AZ4148">
        <v>0</v>
      </c>
      <c r="BA4148">
        <v>60</v>
      </c>
      <c r="BE4148" t="str">
        <f>T("9791137017818")</f>
        <v>9791137017818</v>
      </c>
      <c r="BF4148" t="str">
        <f>T("k196925")</f>
        <v>k196925</v>
      </c>
      <c r="BG4148" t="str">
        <f>T("판타지 웹소설 &gt; 퓨전 판타지")</f>
        <v>판타지 웹소설 &gt; 퓨전 판타지</v>
      </c>
    </row>
    <row r="4149" spans="1:59">
      <c r="A4149" t="s">
        <v>60</v>
      </c>
      <c r="B4149" s="1">
        <v>46131</v>
      </c>
      <c r="C4149">
        <v>2378059085</v>
      </c>
      <c r="D4149">
        <v>2378059162</v>
      </c>
      <c r="E4149" t="str">
        <f>T("아카데미 악역 엑스트라로 사는 법 78화")</f>
        <v>아카데미 악역 엑스트라로 사는 법 78화</v>
      </c>
      <c r="F4149">
        <v>78</v>
      </c>
      <c r="G4149" t="str">
        <f>T("김서건")</f>
        <v>김서건</v>
      </c>
      <c r="J4149" t="str">
        <f>T("매드햇")</f>
        <v>매드햇</v>
      </c>
      <c r="K4149" t="str">
        <f>T("아카데미 악역 엑스트라로 사는 법")</f>
        <v>아카데미 악역 엑스트라로 사는 법</v>
      </c>
      <c r="L4149">
        <v>100</v>
      </c>
      <c r="M4149">
        <v>100</v>
      </c>
      <c r="N4149">
        <v>1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0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0</v>
      </c>
      <c r="AE4149">
        <v>0</v>
      </c>
      <c r="AF4149">
        <v>0</v>
      </c>
      <c r="AG4149">
        <v>0</v>
      </c>
      <c r="AH4149">
        <v>0</v>
      </c>
      <c r="AI4149">
        <v>100</v>
      </c>
      <c r="AJ4149">
        <v>1</v>
      </c>
      <c r="AK4149">
        <v>0</v>
      </c>
      <c r="AL4149">
        <v>0</v>
      </c>
      <c r="AM4149">
        <v>100</v>
      </c>
      <c r="AN4149">
        <v>0</v>
      </c>
      <c r="AO4149">
        <v>0</v>
      </c>
      <c r="AP4149">
        <v>0</v>
      </c>
      <c r="AQ4149">
        <v>0</v>
      </c>
      <c r="AS4149">
        <v>0</v>
      </c>
      <c r="AT4149">
        <v>0</v>
      </c>
      <c r="AV4149">
        <v>0</v>
      </c>
      <c r="AW4149">
        <v>0</v>
      </c>
      <c r="AY4149">
        <v>0</v>
      </c>
      <c r="AZ4149">
        <v>0</v>
      </c>
      <c r="BA4149">
        <v>60</v>
      </c>
      <c r="BE4149" t="str">
        <f>T("9791137017818")</f>
        <v>9791137017818</v>
      </c>
      <c r="BF4149" t="str">
        <f>T("k196924")</f>
        <v>k196924</v>
      </c>
      <c r="BG4149" t="str">
        <f>T("판타지 웹소설 &gt; 퓨전 판타지")</f>
        <v>판타지 웹소설 &gt; 퓨전 판타지</v>
      </c>
    </row>
    <row r="4150" spans="1:59">
      <c r="A4150" t="s">
        <v>60</v>
      </c>
      <c r="B4150" s="1">
        <v>46131</v>
      </c>
      <c r="C4150">
        <v>2378059085</v>
      </c>
      <c r="D4150">
        <v>2378059161</v>
      </c>
      <c r="E4150" t="str">
        <f>T("아카데미 악역 엑스트라로 사는 법 77화")</f>
        <v>아카데미 악역 엑스트라로 사는 법 77화</v>
      </c>
      <c r="F4150">
        <v>77</v>
      </c>
      <c r="G4150" t="str">
        <f>T("김서건")</f>
        <v>김서건</v>
      </c>
      <c r="J4150" t="str">
        <f>T("매드햇")</f>
        <v>매드햇</v>
      </c>
      <c r="K4150" t="str">
        <f>T("아카데미 악역 엑스트라로 사는 법")</f>
        <v>아카데미 악역 엑스트라로 사는 법</v>
      </c>
      <c r="L4150">
        <v>100</v>
      </c>
      <c r="M4150">
        <v>100</v>
      </c>
      <c r="N4150">
        <v>1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0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0</v>
      </c>
      <c r="AE4150">
        <v>0</v>
      </c>
      <c r="AF4150">
        <v>0</v>
      </c>
      <c r="AG4150">
        <v>0</v>
      </c>
      <c r="AH4150">
        <v>0</v>
      </c>
      <c r="AI4150">
        <v>100</v>
      </c>
      <c r="AJ4150">
        <v>1</v>
      </c>
      <c r="AK4150">
        <v>0</v>
      </c>
      <c r="AL4150">
        <v>0</v>
      </c>
      <c r="AM4150">
        <v>100</v>
      </c>
      <c r="AN4150">
        <v>0</v>
      </c>
      <c r="AO4150">
        <v>0</v>
      </c>
      <c r="AP4150">
        <v>0</v>
      </c>
      <c r="AQ4150">
        <v>0</v>
      </c>
      <c r="AS4150">
        <v>0</v>
      </c>
      <c r="AT4150">
        <v>0</v>
      </c>
      <c r="AV4150">
        <v>0</v>
      </c>
      <c r="AW4150">
        <v>0</v>
      </c>
      <c r="AY4150">
        <v>0</v>
      </c>
      <c r="AZ4150">
        <v>0</v>
      </c>
      <c r="BA4150">
        <v>60</v>
      </c>
      <c r="BE4150" t="str">
        <f>T("9791137017818")</f>
        <v>9791137017818</v>
      </c>
      <c r="BF4150" t="str">
        <f>T("k196923")</f>
        <v>k196923</v>
      </c>
      <c r="BG4150" t="str">
        <f>T("판타지 웹소설 &gt; 퓨전 판타지")</f>
        <v>판타지 웹소설 &gt; 퓨전 판타지</v>
      </c>
    </row>
    <row r="4151" spans="1:59">
      <c r="A4151" t="s">
        <v>60</v>
      </c>
      <c r="B4151" s="1">
        <v>46131</v>
      </c>
      <c r="C4151">
        <v>2378059085</v>
      </c>
      <c r="D4151">
        <v>2378059160</v>
      </c>
      <c r="E4151" t="str">
        <f>T("아카데미 악역 엑스트라로 사는 법 76화")</f>
        <v>아카데미 악역 엑스트라로 사는 법 76화</v>
      </c>
      <c r="F4151">
        <v>76</v>
      </c>
      <c r="G4151" t="str">
        <f>T("김서건")</f>
        <v>김서건</v>
      </c>
      <c r="J4151" t="str">
        <f>T("매드햇")</f>
        <v>매드햇</v>
      </c>
      <c r="K4151" t="str">
        <f>T("아카데미 악역 엑스트라로 사는 법")</f>
        <v>아카데미 악역 엑스트라로 사는 법</v>
      </c>
      <c r="L4151">
        <v>100</v>
      </c>
      <c r="M4151">
        <v>100</v>
      </c>
      <c r="N4151">
        <v>1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0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0</v>
      </c>
      <c r="AE4151">
        <v>0</v>
      </c>
      <c r="AF4151">
        <v>0</v>
      </c>
      <c r="AG4151">
        <v>0</v>
      </c>
      <c r="AH4151">
        <v>0</v>
      </c>
      <c r="AI4151">
        <v>100</v>
      </c>
      <c r="AJ4151">
        <v>1</v>
      </c>
      <c r="AK4151">
        <v>0</v>
      </c>
      <c r="AL4151">
        <v>0</v>
      </c>
      <c r="AM4151">
        <v>100</v>
      </c>
      <c r="AN4151">
        <v>0</v>
      </c>
      <c r="AO4151">
        <v>0</v>
      </c>
      <c r="AP4151">
        <v>0</v>
      </c>
      <c r="AQ4151">
        <v>0</v>
      </c>
      <c r="AS4151">
        <v>0</v>
      </c>
      <c r="AT4151">
        <v>0</v>
      </c>
      <c r="AV4151">
        <v>0</v>
      </c>
      <c r="AW4151">
        <v>0</v>
      </c>
      <c r="AY4151">
        <v>0</v>
      </c>
      <c r="AZ4151">
        <v>0</v>
      </c>
      <c r="BA4151">
        <v>60</v>
      </c>
      <c r="BE4151" t="str">
        <f>T("9791137017818")</f>
        <v>9791137017818</v>
      </c>
      <c r="BF4151" t="str">
        <f>T("k196922")</f>
        <v>k196922</v>
      </c>
      <c r="BG4151" t="str">
        <f>T("판타지 웹소설 &gt; 퓨전 판타지")</f>
        <v>판타지 웹소설 &gt; 퓨전 판타지</v>
      </c>
    </row>
    <row r="4152" spans="1:59">
      <c r="A4152" t="s">
        <v>60</v>
      </c>
      <c r="B4152" s="1">
        <v>46131</v>
      </c>
      <c r="C4152">
        <v>2378059085</v>
      </c>
      <c r="D4152">
        <v>2378059159</v>
      </c>
      <c r="E4152" t="str">
        <f>T("아카데미 악역 엑스트라로 사는 법 75화")</f>
        <v>아카데미 악역 엑스트라로 사는 법 75화</v>
      </c>
      <c r="F4152">
        <v>75</v>
      </c>
      <c r="G4152" t="str">
        <f>T("김서건")</f>
        <v>김서건</v>
      </c>
      <c r="J4152" t="str">
        <f>T("매드햇")</f>
        <v>매드햇</v>
      </c>
      <c r="K4152" t="str">
        <f>T("아카데미 악역 엑스트라로 사는 법")</f>
        <v>아카데미 악역 엑스트라로 사는 법</v>
      </c>
      <c r="L4152">
        <v>100</v>
      </c>
      <c r="M4152">
        <v>100</v>
      </c>
      <c r="N4152">
        <v>1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0</v>
      </c>
      <c r="V4152">
        <v>0</v>
      </c>
      <c r="W4152">
        <v>0</v>
      </c>
      <c r="X4152">
        <v>0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0</v>
      </c>
      <c r="AE4152">
        <v>0</v>
      </c>
      <c r="AF4152">
        <v>0</v>
      </c>
      <c r="AG4152">
        <v>0</v>
      </c>
      <c r="AH4152">
        <v>0</v>
      </c>
      <c r="AI4152">
        <v>100</v>
      </c>
      <c r="AJ4152">
        <v>1</v>
      </c>
      <c r="AK4152">
        <v>0</v>
      </c>
      <c r="AL4152">
        <v>0</v>
      </c>
      <c r="AM4152">
        <v>100</v>
      </c>
      <c r="AN4152">
        <v>0</v>
      </c>
      <c r="AO4152">
        <v>0</v>
      </c>
      <c r="AP4152">
        <v>0</v>
      </c>
      <c r="AQ4152">
        <v>0</v>
      </c>
      <c r="AS4152">
        <v>0</v>
      </c>
      <c r="AT4152">
        <v>0</v>
      </c>
      <c r="AV4152">
        <v>0</v>
      </c>
      <c r="AW4152">
        <v>0</v>
      </c>
      <c r="AY4152">
        <v>0</v>
      </c>
      <c r="AZ4152">
        <v>0</v>
      </c>
      <c r="BA4152">
        <v>60</v>
      </c>
      <c r="BE4152" t="str">
        <f>T("9791137017818")</f>
        <v>9791137017818</v>
      </c>
      <c r="BF4152" t="str">
        <f>T("k196921")</f>
        <v>k196921</v>
      </c>
      <c r="BG4152" t="str">
        <f>T("판타지 웹소설 &gt; 퓨전 판타지")</f>
        <v>판타지 웹소설 &gt; 퓨전 판타지</v>
      </c>
    </row>
    <row r="4153" spans="1:59">
      <c r="A4153" t="s">
        <v>60</v>
      </c>
      <c r="B4153" s="1">
        <v>46131</v>
      </c>
      <c r="C4153">
        <v>2378059085</v>
      </c>
      <c r="D4153">
        <v>2378059158</v>
      </c>
      <c r="E4153" t="str">
        <f>T("아카데미 악역 엑스트라로 사는 법 74화")</f>
        <v>아카데미 악역 엑스트라로 사는 법 74화</v>
      </c>
      <c r="F4153">
        <v>74</v>
      </c>
      <c r="G4153" t="str">
        <f>T("김서건")</f>
        <v>김서건</v>
      </c>
      <c r="J4153" t="str">
        <f>T("매드햇")</f>
        <v>매드햇</v>
      </c>
      <c r="K4153" t="str">
        <f>T("아카데미 악역 엑스트라로 사는 법")</f>
        <v>아카데미 악역 엑스트라로 사는 법</v>
      </c>
      <c r="L4153">
        <v>100</v>
      </c>
      <c r="M4153">
        <v>100</v>
      </c>
      <c r="N4153">
        <v>1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0</v>
      </c>
      <c r="AE4153">
        <v>0</v>
      </c>
      <c r="AF4153">
        <v>0</v>
      </c>
      <c r="AG4153">
        <v>0</v>
      </c>
      <c r="AH4153">
        <v>0</v>
      </c>
      <c r="AI4153">
        <v>100</v>
      </c>
      <c r="AJ4153">
        <v>1</v>
      </c>
      <c r="AK4153">
        <v>0</v>
      </c>
      <c r="AL4153">
        <v>0</v>
      </c>
      <c r="AM4153">
        <v>100</v>
      </c>
      <c r="AN4153">
        <v>0</v>
      </c>
      <c r="AO4153">
        <v>0</v>
      </c>
      <c r="AP4153">
        <v>0</v>
      </c>
      <c r="AQ4153">
        <v>0</v>
      </c>
      <c r="AS4153">
        <v>0</v>
      </c>
      <c r="AT4153">
        <v>0</v>
      </c>
      <c r="AV4153">
        <v>0</v>
      </c>
      <c r="AW4153">
        <v>0</v>
      </c>
      <c r="AY4153">
        <v>0</v>
      </c>
      <c r="AZ4153">
        <v>0</v>
      </c>
      <c r="BA4153">
        <v>60</v>
      </c>
      <c r="BE4153" t="str">
        <f>T("9791137017818")</f>
        <v>9791137017818</v>
      </c>
      <c r="BF4153" t="str">
        <f>T("k196920")</f>
        <v>k196920</v>
      </c>
      <c r="BG4153" t="str">
        <f>T("판타지 웹소설 &gt; 퓨전 판타지")</f>
        <v>판타지 웹소설 &gt; 퓨전 판타지</v>
      </c>
    </row>
    <row r="4154" spans="1:59">
      <c r="A4154" t="s">
        <v>60</v>
      </c>
      <c r="B4154" s="1">
        <v>46131</v>
      </c>
      <c r="C4154">
        <v>2378059085</v>
      </c>
      <c r="D4154">
        <v>2378059157</v>
      </c>
      <c r="E4154" t="str">
        <f>T("아카데미 악역 엑스트라로 사는 법 73화")</f>
        <v>아카데미 악역 엑스트라로 사는 법 73화</v>
      </c>
      <c r="F4154">
        <v>73</v>
      </c>
      <c r="G4154" t="str">
        <f>T("김서건")</f>
        <v>김서건</v>
      </c>
      <c r="J4154" t="str">
        <f>T("매드햇")</f>
        <v>매드햇</v>
      </c>
      <c r="K4154" t="str">
        <f>T("아카데미 악역 엑스트라로 사는 법")</f>
        <v>아카데미 악역 엑스트라로 사는 법</v>
      </c>
      <c r="L4154">
        <v>100</v>
      </c>
      <c r="M4154">
        <v>100</v>
      </c>
      <c r="N4154">
        <v>1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0</v>
      </c>
      <c r="V4154">
        <v>0</v>
      </c>
      <c r="W4154">
        <v>0</v>
      </c>
      <c r="X4154">
        <v>0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0</v>
      </c>
      <c r="AE4154">
        <v>0</v>
      </c>
      <c r="AF4154">
        <v>0</v>
      </c>
      <c r="AG4154">
        <v>0</v>
      </c>
      <c r="AH4154">
        <v>0</v>
      </c>
      <c r="AI4154">
        <v>100</v>
      </c>
      <c r="AJ4154">
        <v>1</v>
      </c>
      <c r="AK4154">
        <v>0</v>
      </c>
      <c r="AL4154">
        <v>0</v>
      </c>
      <c r="AM4154">
        <v>100</v>
      </c>
      <c r="AN4154">
        <v>0</v>
      </c>
      <c r="AO4154">
        <v>0</v>
      </c>
      <c r="AP4154">
        <v>0</v>
      </c>
      <c r="AQ4154">
        <v>0</v>
      </c>
      <c r="AS4154">
        <v>0</v>
      </c>
      <c r="AT4154">
        <v>0</v>
      </c>
      <c r="AV4154">
        <v>0</v>
      </c>
      <c r="AW4154">
        <v>0</v>
      </c>
      <c r="AY4154">
        <v>0</v>
      </c>
      <c r="AZ4154">
        <v>0</v>
      </c>
      <c r="BA4154">
        <v>60</v>
      </c>
      <c r="BE4154" t="str">
        <f>T("9791137017818")</f>
        <v>9791137017818</v>
      </c>
      <c r="BF4154" t="str">
        <f>T("k196919")</f>
        <v>k196919</v>
      </c>
      <c r="BG4154" t="str">
        <f>T("판타지 웹소설 &gt; 퓨전 판타지")</f>
        <v>판타지 웹소설 &gt; 퓨전 판타지</v>
      </c>
    </row>
    <row r="4155" spans="1:59">
      <c r="A4155" t="s">
        <v>60</v>
      </c>
      <c r="B4155" s="1">
        <v>46131</v>
      </c>
      <c r="C4155">
        <v>2378059085</v>
      </c>
      <c r="D4155">
        <v>2378059156</v>
      </c>
      <c r="E4155" t="str">
        <f>T("아카데미 악역 엑스트라로 사는 법 72화")</f>
        <v>아카데미 악역 엑스트라로 사는 법 72화</v>
      </c>
      <c r="F4155">
        <v>72</v>
      </c>
      <c r="G4155" t="str">
        <f>T("김서건")</f>
        <v>김서건</v>
      </c>
      <c r="J4155" t="str">
        <f>T("매드햇")</f>
        <v>매드햇</v>
      </c>
      <c r="K4155" t="str">
        <f>T("아카데미 악역 엑스트라로 사는 법")</f>
        <v>아카데미 악역 엑스트라로 사는 법</v>
      </c>
      <c r="L4155">
        <v>100</v>
      </c>
      <c r="M4155">
        <v>100</v>
      </c>
      <c r="N4155">
        <v>1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0</v>
      </c>
      <c r="V4155">
        <v>0</v>
      </c>
      <c r="W4155">
        <v>0</v>
      </c>
      <c r="X4155">
        <v>0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0</v>
      </c>
      <c r="AE4155">
        <v>0</v>
      </c>
      <c r="AF4155">
        <v>0</v>
      </c>
      <c r="AG4155">
        <v>0</v>
      </c>
      <c r="AH4155">
        <v>0</v>
      </c>
      <c r="AI4155">
        <v>100</v>
      </c>
      <c r="AJ4155">
        <v>1</v>
      </c>
      <c r="AK4155">
        <v>0</v>
      </c>
      <c r="AL4155">
        <v>0</v>
      </c>
      <c r="AM4155">
        <v>100</v>
      </c>
      <c r="AN4155">
        <v>0</v>
      </c>
      <c r="AO4155">
        <v>0</v>
      </c>
      <c r="AP4155">
        <v>0</v>
      </c>
      <c r="AQ4155">
        <v>0</v>
      </c>
      <c r="AS4155">
        <v>0</v>
      </c>
      <c r="AT4155">
        <v>0</v>
      </c>
      <c r="AV4155">
        <v>0</v>
      </c>
      <c r="AW4155">
        <v>0</v>
      </c>
      <c r="AY4155">
        <v>0</v>
      </c>
      <c r="AZ4155">
        <v>0</v>
      </c>
      <c r="BA4155">
        <v>60</v>
      </c>
      <c r="BE4155" t="str">
        <f>T("9791137017818")</f>
        <v>9791137017818</v>
      </c>
      <c r="BF4155" t="str">
        <f>T("k196918")</f>
        <v>k196918</v>
      </c>
      <c r="BG4155" t="str">
        <f>T("판타지 웹소설 &gt; 퓨전 판타지")</f>
        <v>판타지 웹소설 &gt; 퓨전 판타지</v>
      </c>
    </row>
    <row r="4156" spans="1:59">
      <c r="A4156" t="s">
        <v>60</v>
      </c>
      <c r="B4156" s="1">
        <v>46131</v>
      </c>
      <c r="C4156">
        <v>2378059085</v>
      </c>
      <c r="D4156">
        <v>2378059155</v>
      </c>
      <c r="E4156" t="str">
        <f>T("아카데미 악역 엑스트라로 사는 법 71화")</f>
        <v>아카데미 악역 엑스트라로 사는 법 71화</v>
      </c>
      <c r="F4156">
        <v>71</v>
      </c>
      <c r="G4156" t="str">
        <f>T("김서건")</f>
        <v>김서건</v>
      </c>
      <c r="J4156" t="str">
        <f>T("매드햇")</f>
        <v>매드햇</v>
      </c>
      <c r="K4156" t="str">
        <f>T("아카데미 악역 엑스트라로 사는 법")</f>
        <v>아카데미 악역 엑스트라로 사는 법</v>
      </c>
      <c r="L4156">
        <v>100</v>
      </c>
      <c r="M4156">
        <v>100</v>
      </c>
      <c r="N4156">
        <v>1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0</v>
      </c>
      <c r="V4156">
        <v>0</v>
      </c>
      <c r="W4156">
        <v>0</v>
      </c>
      <c r="X4156">
        <v>0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0</v>
      </c>
      <c r="AE4156">
        <v>0</v>
      </c>
      <c r="AF4156">
        <v>0</v>
      </c>
      <c r="AG4156">
        <v>0</v>
      </c>
      <c r="AH4156">
        <v>0</v>
      </c>
      <c r="AI4156">
        <v>100</v>
      </c>
      <c r="AJ4156">
        <v>1</v>
      </c>
      <c r="AK4156">
        <v>0</v>
      </c>
      <c r="AL4156">
        <v>0</v>
      </c>
      <c r="AM4156">
        <v>100</v>
      </c>
      <c r="AN4156">
        <v>0</v>
      </c>
      <c r="AO4156">
        <v>0</v>
      </c>
      <c r="AP4156">
        <v>0</v>
      </c>
      <c r="AQ4156">
        <v>0</v>
      </c>
      <c r="AS4156">
        <v>0</v>
      </c>
      <c r="AT4156">
        <v>0</v>
      </c>
      <c r="AV4156">
        <v>0</v>
      </c>
      <c r="AW4156">
        <v>0</v>
      </c>
      <c r="AY4156">
        <v>0</v>
      </c>
      <c r="AZ4156">
        <v>0</v>
      </c>
      <c r="BA4156">
        <v>60</v>
      </c>
      <c r="BE4156" t="str">
        <f>T("9791137017818")</f>
        <v>9791137017818</v>
      </c>
      <c r="BF4156" t="str">
        <f>T("k196917")</f>
        <v>k196917</v>
      </c>
      <c r="BG4156" t="str">
        <f>T("판타지 웹소설 &gt; 퓨전 판타지")</f>
        <v>판타지 웹소설 &gt; 퓨전 판타지</v>
      </c>
    </row>
    <row r="4157" spans="1:59">
      <c r="A4157" t="s">
        <v>60</v>
      </c>
      <c r="B4157" s="1">
        <v>46131</v>
      </c>
      <c r="C4157">
        <v>2378059085</v>
      </c>
      <c r="D4157">
        <v>2378059154</v>
      </c>
      <c r="E4157" t="str">
        <f>T("아카데미 악역 엑스트라로 사는 법 70화")</f>
        <v>아카데미 악역 엑스트라로 사는 법 70화</v>
      </c>
      <c r="F4157">
        <v>70</v>
      </c>
      <c r="G4157" t="str">
        <f>T("김서건")</f>
        <v>김서건</v>
      </c>
      <c r="J4157" t="str">
        <f>T("매드햇")</f>
        <v>매드햇</v>
      </c>
      <c r="K4157" t="str">
        <f>T("아카데미 악역 엑스트라로 사는 법")</f>
        <v>아카데미 악역 엑스트라로 사는 법</v>
      </c>
      <c r="L4157">
        <v>100</v>
      </c>
      <c r="M4157">
        <v>100</v>
      </c>
      <c r="N4157">
        <v>1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0</v>
      </c>
      <c r="V4157">
        <v>0</v>
      </c>
      <c r="W4157">
        <v>0</v>
      </c>
      <c r="X4157">
        <v>0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0</v>
      </c>
      <c r="AE4157">
        <v>0</v>
      </c>
      <c r="AF4157">
        <v>0</v>
      </c>
      <c r="AG4157">
        <v>0</v>
      </c>
      <c r="AH4157">
        <v>0</v>
      </c>
      <c r="AI4157">
        <v>100</v>
      </c>
      <c r="AJ4157">
        <v>1</v>
      </c>
      <c r="AK4157">
        <v>0</v>
      </c>
      <c r="AL4157">
        <v>0</v>
      </c>
      <c r="AM4157">
        <v>100</v>
      </c>
      <c r="AN4157">
        <v>0</v>
      </c>
      <c r="AO4157">
        <v>0</v>
      </c>
      <c r="AP4157">
        <v>0</v>
      </c>
      <c r="AQ4157">
        <v>0</v>
      </c>
      <c r="AS4157">
        <v>0</v>
      </c>
      <c r="AT4157">
        <v>0</v>
      </c>
      <c r="AV4157">
        <v>0</v>
      </c>
      <c r="AW4157">
        <v>0</v>
      </c>
      <c r="AY4157">
        <v>0</v>
      </c>
      <c r="AZ4157">
        <v>0</v>
      </c>
      <c r="BA4157">
        <v>60</v>
      </c>
      <c r="BE4157" t="str">
        <f>T("9791137017818")</f>
        <v>9791137017818</v>
      </c>
      <c r="BF4157" t="str">
        <f>T("k196916")</f>
        <v>k196916</v>
      </c>
      <c r="BG4157" t="str">
        <f>T("판타지 웹소설 &gt; 퓨전 판타지")</f>
        <v>판타지 웹소설 &gt; 퓨전 판타지</v>
      </c>
    </row>
    <row r="4158" spans="1:59">
      <c r="A4158" t="s">
        <v>60</v>
      </c>
      <c r="B4158" s="1">
        <v>46131</v>
      </c>
      <c r="C4158">
        <v>2378059085</v>
      </c>
      <c r="D4158">
        <v>2378059757</v>
      </c>
      <c r="E4158" t="str">
        <f>T("아카데미 악역 엑스트라로 사는 법 105화")</f>
        <v>아카데미 악역 엑스트라로 사는 법 105화</v>
      </c>
      <c r="F4158">
        <v>105</v>
      </c>
      <c r="G4158" t="str">
        <f>T("김서건")</f>
        <v>김서건</v>
      </c>
      <c r="J4158" t="str">
        <f>T("매드햇")</f>
        <v>매드햇</v>
      </c>
      <c r="K4158" t="str">
        <f>T("아카데미 악역 엑스트라로 사는 법")</f>
        <v>아카데미 악역 엑스트라로 사는 법</v>
      </c>
      <c r="L4158">
        <v>100</v>
      </c>
      <c r="M4158">
        <v>100</v>
      </c>
      <c r="N4158">
        <v>1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0</v>
      </c>
      <c r="V4158">
        <v>0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0</v>
      </c>
      <c r="AE4158">
        <v>0</v>
      </c>
      <c r="AF4158">
        <v>0</v>
      </c>
      <c r="AG4158">
        <v>0</v>
      </c>
      <c r="AH4158">
        <v>0</v>
      </c>
      <c r="AI4158">
        <v>100</v>
      </c>
      <c r="AJ4158">
        <v>1</v>
      </c>
      <c r="AK4158">
        <v>0</v>
      </c>
      <c r="AL4158">
        <v>0</v>
      </c>
      <c r="AM4158">
        <v>100</v>
      </c>
      <c r="AN4158">
        <v>0</v>
      </c>
      <c r="AO4158">
        <v>0</v>
      </c>
      <c r="AP4158">
        <v>0</v>
      </c>
      <c r="AQ4158">
        <v>0</v>
      </c>
      <c r="AS4158">
        <v>0</v>
      </c>
      <c r="AT4158">
        <v>0</v>
      </c>
      <c r="AV4158">
        <v>0</v>
      </c>
      <c r="AW4158">
        <v>0</v>
      </c>
      <c r="AY4158">
        <v>0</v>
      </c>
      <c r="AZ4158">
        <v>0</v>
      </c>
      <c r="BA4158">
        <v>60</v>
      </c>
      <c r="BE4158" t="str">
        <f>T("9791137017818")</f>
        <v>9791137017818</v>
      </c>
      <c r="BF4158" t="str">
        <f>T("k196951")</f>
        <v>k196951</v>
      </c>
      <c r="BG4158" t="str">
        <f>T("판타지 웹소설 &gt; 퓨전 판타지")</f>
        <v>판타지 웹소설 &gt; 퓨전 판타지</v>
      </c>
    </row>
    <row r="4159" spans="1:59">
      <c r="A4159" t="s">
        <v>60</v>
      </c>
      <c r="B4159" s="1">
        <v>46131</v>
      </c>
      <c r="C4159">
        <v>2378059085</v>
      </c>
      <c r="D4159">
        <v>2378060288</v>
      </c>
      <c r="E4159" t="str">
        <f>T("아카데미 악역 엑스트라로 사는 법 116화")</f>
        <v>아카데미 악역 엑스트라로 사는 법 116화</v>
      </c>
      <c r="F4159">
        <v>116</v>
      </c>
      <c r="G4159" t="str">
        <f>T("김서건")</f>
        <v>김서건</v>
      </c>
      <c r="J4159" t="str">
        <f>T("매드햇")</f>
        <v>매드햇</v>
      </c>
      <c r="K4159" t="str">
        <f>T("아카데미 악역 엑스트라로 사는 법")</f>
        <v>아카데미 악역 엑스트라로 사는 법</v>
      </c>
      <c r="L4159">
        <v>100</v>
      </c>
      <c r="M4159">
        <v>100</v>
      </c>
      <c r="N4159">
        <v>1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0</v>
      </c>
      <c r="V4159">
        <v>0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0</v>
      </c>
      <c r="AE4159">
        <v>0</v>
      </c>
      <c r="AF4159">
        <v>0</v>
      </c>
      <c r="AG4159">
        <v>0</v>
      </c>
      <c r="AH4159">
        <v>0</v>
      </c>
      <c r="AI4159">
        <v>100</v>
      </c>
      <c r="AJ4159">
        <v>1</v>
      </c>
      <c r="AK4159">
        <v>0</v>
      </c>
      <c r="AL4159">
        <v>0</v>
      </c>
      <c r="AM4159">
        <v>100</v>
      </c>
      <c r="AN4159">
        <v>0</v>
      </c>
      <c r="AO4159">
        <v>0</v>
      </c>
      <c r="AP4159">
        <v>0</v>
      </c>
      <c r="AQ4159">
        <v>0</v>
      </c>
      <c r="AS4159">
        <v>0</v>
      </c>
      <c r="AT4159">
        <v>0</v>
      </c>
      <c r="AV4159">
        <v>0</v>
      </c>
      <c r="AW4159">
        <v>0</v>
      </c>
      <c r="AY4159">
        <v>0</v>
      </c>
      <c r="AZ4159">
        <v>0</v>
      </c>
      <c r="BA4159">
        <v>60</v>
      </c>
      <c r="BE4159" t="str">
        <f>T("9791137017818")</f>
        <v>9791137017818</v>
      </c>
      <c r="BF4159" t="str">
        <f>T("k196962")</f>
        <v>k196962</v>
      </c>
      <c r="BG4159" t="str">
        <f>T("판타지 웹소설 &gt; 퓨전 판타지")</f>
        <v>판타지 웹소설 &gt; 퓨전 판타지</v>
      </c>
    </row>
    <row r="4160" spans="1:59">
      <c r="A4160" t="s">
        <v>60</v>
      </c>
      <c r="B4160" s="1">
        <v>46131</v>
      </c>
      <c r="C4160">
        <v>2378059085</v>
      </c>
      <c r="D4160">
        <v>2378060277</v>
      </c>
      <c r="E4160" t="str">
        <f>T("아카데미 악역 엑스트라로 사는 법 115화")</f>
        <v>아카데미 악역 엑스트라로 사는 법 115화</v>
      </c>
      <c r="F4160">
        <v>115</v>
      </c>
      <c r="G4160" t="str">
        <f>T("김서건")</f>
        <v>김서건</v>
      </c>
      <c r="J4160" t="str">
        <f>T("매드햇")</f>
        <v>매드햇</v>
      </c>
      <c r="K4160" t="str">
        <f>T("아카데미 악역 엑스트라로 사는 법")</f>
        <v>아카데미 악역 엑스트라로 사는 법</v>
      </c>
      <c r="L4160">
        <v>100</v>
      </c>
      <c r="M4160">
        <v>100</v>
      </c>
      <c r="N4160">
        <v>1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0</v>
      </c>
      <c r="V4160">
        <v>0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0</v>
      </c>
      <c r="AE4160">
        <v>0</v>
      </c>
      <c r="AF4160">
        <v>0</v>
      </c>
      <c r="AG4160">
        <v>0</v>
      </c>
      <c r="AH4160">
        <v>0</v>
      </c>
      <c r="AI4160">
        <v>100</v>
      </c>
      <c r="AJ4160">
        <v>1</v>
      </c>
      <c r="AK4160">
        <v>0</v>
      </c>
      <c r="AL4160">
        <v>0</v>
      </c>
      <c r="AM4160">
        <v>100</v>
      </c>
      <c r="AN4160">
        <v>0</v>
      </c>
      <c r="AO4160">
        <v>0</v>
      </c>
      <c r="AP4160">
        <v>0</v>
      </c>
      <c r="AQ4160">
        <v>0</v>
      </c>
      <c r="AS4160">
        <v>0</v>
      </c>
      <c r="AT4160">
        <v>0</v>
      </c>
      <c r="AV4160">
        <v>0</v>
      </c>
      <c r="AW4160">
        <v>0</v>
      </c>
      <c r="AY4160">
        <v>0</v>
      </c>
      <c r="AZ4160">
        <v>0</v>
      </c>
      <c r="BA4160">
        <v>60</v>
      </c>
      <c r="BE4160" t="str">
        <f>T("9791137017818")</f>
        <v>9791137017818</v>
      </c>
      <c r="BF4160" t="str">
        <f>T("k196961")</f>
        <v>k196961</v>
      </c>
      <c r="BG4160" t="str">
        <f>T("판타지 웹소설 &gt; 퓨전 판타지")</f>
        <v>판타지 웹소설 &gt; 퓨전 판타지</v>
      </c>
    </row>
    <row r="4161" spans="1:59">
      <c r="A4161" t="s">
        <v>60</v>
      </c>
      <c r="B4161" s="1">
        <v>46131</v>
      </c>
      <c r="C4161">
        <v>2378059085</v>
      </c>
      <c r="D4161">
        <v>2378060156</v>
      </c>
      <c r="E4161" t="str">
        <f>T("아카데미 악역 엑스트라로 사는 법 114화")</f>
        <v>아카데미 악역 엑스트라로 사는 법 114화</v>
      </c>
      <c r="F4161">
        <v>114</v>
      </c>
      <c r="G4161" t="str">
        <f>T("김서건")</f>
        <v>김서건</v>
      </c>
      <c r="J4161" t="str">
        <f>T("매드햇")</f>
        <v>매드햇</v>
      </c>
      <c r="K4161" t="str">
        <f>T("아카데미 악역 엑스트라로 사는 법")</f>
        <v>아카데미 악역 엑스트라로 사는 법</v>
      </c>
      <c r="L4161">
        <v>100</v>
      </c>
      <c r="M4161">
        <v>100</v>
      </c>
      <c r="N4161">
        <v>1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0</v>
      </c>
      <c r="V4161">
        <v>0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0</v>
      </c>
      <c r="AE4161">
        <v>0</v>
      </c>
      <c r="AF4161">
        <v>0</v>
      </c>
      <c r="AG4161">
        <v>0</v>
      </c>
      <c r="AH4161">
        <v>0</v>
      </c>
      <c r="AI4161">
        <v>100</v>
      </c>
      <c r="AJ4161">
        <v>1</v>
      </c>
      <c r="AK4161">
        <v>0</v>
      </c>
      <c r="AL4161">
        <v>0</v>
      </c>
      <c r="AM4161">
        <v>100</v>
      </c>
      <c r="AN4161">
        <v>0</v>
      </c>
      <c r="AO4161">
        <v>0</v>
      </c>
      <c r="AP4161">
        <v>0</v>
      </c>
      <c r="AQ4161">
        <v>0</v>
      </c>
      <c r="AS4161">
        <v>0</v>
      </c>
      <c r="AT4161">
        <v>0</v>
      </c>
      <c r="AV4161">
        <v>0</v>
      </c>
      <c r="AW4161">
        <v>0</v>
      </c>
      <c r="AY4161">
        <v>0</v>
      </c>
      <c r="AZ4161">
        <v>0</v>
      </c>
      <c r="BA4161">
        <v>60</v>
      </c>
      <c r="BE4161" t="str">
        <f>T("9791137017818")</f>
        <v>9791137017818</v>
      </c>
      <c r="BF4161" t="str">
        <f>T("k196960")</f>
        <v>k196960</v>
      </c>
      <c r="BG4161" t="str">
        <f>T("판타지 웹소설 &gt; 퓨전 판타지")</f>
        <v>판타지 웹소설 &gt; 퓨전 판타지</v>
      </c>
    </row>
    <row r="4162" spans="1:59">
      <c r="A4162" t="s">
        <v>60</v>
      </c>
      <c r="B4162" s="1">
        <v>46131</v>
      </c>
      <c r="C4162">
        <v>2378059085</v>
      </c>
      <c r="D4162">
        <v>2378060136</v>
      </c>
      <c r="E4162" t="str">
        <f>T("아카데미 악역 엑스트라로 사는 법 113화")</f>
        <v>아카데미 악역 엑스트라로 사는 법 113화</v>
      </c>
      <c r="F4162">
        <v>113</v>
      </c>
      <c r="G4162" t="str">
        <f>T("김서건")</f>
        <v>김서건</v>
      </c>
      <c r="J4162" t="str">
        <f>T("매드햇")</f>
        <v>매드햇</v>
      </c>
      <c r="K4162" t="str">
        <f>T("아카데미 악역 엑스트라로 사는 법")</f>
        <v>아카데미 악역 엑스트라로 사는 법</v>
      </c>
      <c r="L4162">
        <v>100</v>
      </c>
      <c r="M4162">
        <v>100</v>
      </c>
      <c r="N4162">
        <v>1</v>
      </c>
      <c r="O4162">
        <v>0</v>
      </c>
      <c r="P4162">
        <v>0</v>
      </c>
      <c r="Q4162">
        <v>0</v>
      </c>
      <c r="R4162">
        <v>0</v>
      </c>
      <c r="S4162">
        <v>0</v>
      </c>
      <c r="T4162">
        <v>0</v>
      </c>
      <c r="U4162">
        <v>0</v>
      </c>
      <c r="V4162">
        <v>0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0</v>
      </c>
      <c r="AE4162">
        <v>0</v>
      </c>
      <c r="AF4162">
        <v>0</v>
      </c>
      <c r="AG4162">
        <v>0</v>
      </c>
      <c r="AH4162">
        <v>0</v>
      </c>
      <c r="AI4162">
        <v>100</v>
      </c>
      <c r="AJ4162">
        <v>1</v>
      </c>
      <c r="AK4162">
        <v>0</v>
      </c>
      <c r="AL4162">
        <v>0</v>
      </c>
      <c r="AM4162">
        <v>100</v>
      </c>
      <c r="AN4162">
        <v>0</v>
      </c>
      <c r="AO4162">
        <v>0</v>
      </c>
      <c r="AP4162">
        <v>0</v>
      </c>
      <c r="AQ4162">
        <v>0</v>
      </c>
      <c r="AS4162">
        <v>0</v>
      </c>
      <c r="AT4162">
        <v>0</v>
      </c>
      <c r="AV4162">
        <v>0</v>
      </c>
      <c r="AW4162">
        <v>0</v>
      </c>
      <c r="AY4162">
        <v>0</v>
      </c>
      <c r="AZ4162">
        <v>0</v>
      </c>
      <c r="BA4162">
        <v>60</v>
      </c>
      <c r="BE4162" t="str">
        <f>T("9791137017818")</f>
        <v>9791137017818</v>
      </c>
      <c r="BF4162" t="str">
        <f>T("k196959")</f>
        <v>k196959</v>
      </c>
      <c r="BG4162" t="str">
        <f>T("판타지 웹소설 &gt; 퓨전 판타지")</f>
        <v>판타지 웹소설 &gt; 퓨전 판타지</v>
      </c>
    </row>
    <row r="4163" spans="1:59">
      <c r="A4163" t="s">
        <v>60</v>
      </c>
      <c r="B4163" s="1">
        <v>46131</v>
      </c>
      <c r="C4163">
        <v>2378059085</v>
      </c>
      <c r="D4163">
        <v>2378060118</v>
      </c>
      <c r="E4163" t="str">
        <f>T("아카데미 악역 엑스트라로 사는 법 112화")</f>
        <v>아카데미 악역 엑스트라로 사는 법 112화</v>
      </c>
      <c r="F4163">
        <v>112</v>
      </c>
      <c r="G4163" t="str">
        <f>T("김서건")</f>
        <v>김서건</v>
      </c>
      <c r="J4163" t="str">
        <f>T("매드햇")</f>
        <v>매드햇</v>
      </c>
      <c r="K4163" t="str">
        <f>T("아카데미 악역 엑스트라로 사는 법")</f>
        <v>아카데미 악역 엑스트라로 사는 법</v>
      </c>
      <c r="L4163">
        <v>100</v>
      </c>
      <c r="M4163">
        <v>100</v>
      </c>
      <c r="N4163">
        <v>1</v>
      </c>
      <c r="O4163">
        <v>0</v>
      </c>
      <c r="P4163">
        <v>0</v>
      </c>
      <c r="Q4163">
        <v>0</v>
      </c>
      <c r="R4163">
        <v>0</v>
      </c>
      <c r="S4163">
        <v>0</v>
      </c>
      <c r="T4163">
        <v>0</v>
      </c>
      <c r="U4163">
        <v>0</v>
      </c>
      <c r="V4163">
        <v>0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0</v>
      </c>
      <c r="AE4163">
        <v>0</v>
      </c>
      <c r="AF4163">
        <v>0</v>
      </c>
      <c r="AG4163">
        <v>0</v>
      </c>
      <c r="AH4163">
        <v>0</v>
      </c>
      <c r="AI4163">
        <v>100</v>
      </c>
      <c r="AJ4163">
        <v>1</v>
      </c>
      <c r="AK4163">
        <v>0</v>
      </c>
      <c r="AL4163">
        <v>0</v>
      </c>
      <c r="AM4163">
        <v>100</v>
      </c>
      <c r="AN4163">
        <v>0</v>
      </c>
      <c r="AO4163">
        <v>0</v>
      </c>
      <c r="AP4163">
        <v>0</v>
      </c>
      <c r="AQ4163">
        <v>0</v>
      </c>
      <c r="AS4163">
        <v>0</v>
      </c>
      <c r="AT4163">
        <v>0</v>
      </c>
      <c r="AV4163">
        <v>0</v>
      </c>
      <c r="AW4163">
        <v>0</v>
      </c>
      <c r="AY4163">
        <v>0</v>
      </c>
      <c r="AZ4163">
        <v>0</v>
      </c>
      <c r="BA4163">
        <v>60</v>
      </c>
      <c r="BE4163" t="str">
        <f>T("9791137017818")</f>
        <v>9791137017818</v>
      </c>
      <c r="BF4163" t="str">
        <f>T("k196958")</f>
        <v>k196958</v>
      </c>
      <c r="BG4163" t="str">
        <f>T("판타지 웹소설 &gt; 퓨전 판타지")</f>
        <v>판타지 웹소설 &gt; 퓨전 판타지</v>
      </c>
    </row>
    <row r="4164" spans="1:59">
      <c r="A4164" t="s">
        <v>60</v>
      </c>
      <c r="B4164" s="1">
        <v>46131</v>
      </c>
      <c r="C4164">
        <v>2378059085</v>
      </c>
      <c r="D4164">
        <v>2378060092</v>
      </c>
      <c r="E4164" t="str">
        <f>T("아카데미 악역 엑스트라로 사는 법 111화")</f>
        <v>아카데미 악역 엑스트라로 사는 법 111화</v>
      </c>
      <c r="F4164">
        <v>111</v>
      </c>
      <c r="G4164" t="str">
        <f>T("김서건")</f>
        <v>김서건</v>
      </c>
      <c r="J4164" t="str">
        <f>T("매드햇")</f>
        <v>매드햇</v>
      </c>
      <c r="K4164" t="str">
        <f>T("아카데미 악역 엑스트라로 사는 법")</f>
        <v>아카데미 악역 엑스트라로 사는 법</v>
      </c>
      <c r="L4164">
        <v>100</v>
      </c>
      <c r="M4164">
        <v>100</v>
      </c>
      <c r="N4164">
        <v>1</v>
      </c>
      <c r="O4164">
        <v>0</v>
      </c>
      <c r="P4164">
        <v>0</v>
      </c>
      <c r="Q4164">
        <v>0</v>
      </c>
      <c r="R4164">
        <v>0</v>
      </c>
      <c r="S4164">
        <v>0</v>
      </c>
      <c r="T4164">
        <v>0</v>
      </c>
      <c r="U4164">
        <v>0</v>
      </c>
      <c r="V4164">
        <v>0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0</v>
      </c>
      <c r="AE4164">
        <v>0</v>
      </c>
      <c r="AF4164">
        <v>0</v>
      </c>
      <c r="AG4164">
        <v>0</v>
      </c>
      <c r="AH4164">
        <v>0</v>
      </c>
      <c r="AI4164">
        <v>100</v>
      </c>
      <c r="AJ4164">
        <v>1</v>
      </c>
      <c r="AK4164">
        <v>0</v>
      </c>
      <c r="AL4164">
        <v>0</v>
      </c>
      <c r="AM4164">
        <v>100</v>
      </c>
      <c r="AN4164">
        <v>0</v>
      </c>
      <c r="AO4164">
        <v>0</v>
      </c>
      <c r="AP4164">
        <v>0</v>
      </c>
      <c r="AQ4164">
        <v>0</v>
      </c>
      <c r="AS4164">
        <v>0</v>
      </c>
      <c r="AT4164">
        <v>0</v>
      </c>
      <c r="AV4164">
        <v>0</v>
      </c>
      <c r="AW4164">
        <v>0</v>
      </c>
      <c r="AY4164">
        <v>0</v>
      </c>
      <c r="AZ4164">
        <v>0</v>
      </c>
      <c r="BA4164">
        <v>60</v>
      </c>
      <c r="BE4164" t="str">
        <f>T("9791137017818")</f>
        <v>9791137017818</v>
      </c>
      <c r="BF4164" t="str">
        <f>T("k196957")</f>
        <v>k196957</v>
      </c>
      <c r="BG4164" t="str">
        <f>T("판타지 웹소설 &gt; 퓨전 판타지")</f>
        <v>판타지 웹소설 &gt; 퓨전 판타지</v>
      </c>
    </row>
    <row r="4165" spans="1:59">
      <c r="A4165" t="s">
        <v>60</v>
      </c>
      <c r="B4165" s="1">
        <v>46131</v>
      </c>
      <c r="C4165">
        <v>2378059085</v>
      </c>
      <c r="D4165">
        <v>2378060081</v>
      </c>
      <c r="E4165" t="str">
        <f>T("아카데미 악역 엑스트라로 사는 법 110화")</f>
        <v>아카데미 악역 엑스트라로 사는 법 110화</v>
      </c>
      <c r="F4165">
        <v>110</v>
      </c>
      <c r="G4165" t="str">
        <f>T("김서건")</f>
        <v>김서건</v>
      </c>
      <c r="J4165" t="str">
        <f>T("매드햇")</f>
        <v>매드햇</v>
      </c>
      <c r="K4165" t="str">
        <f>T("아카데미 악역 엑스트라로 사는 법")</f>
        <v>아카데미 악역 엑스트라로 사는 법</v>
      </c>
      <c r="L4165">
        <v>100</v>
      </c>
      <c r="M4165">
        <v>100</v>
      </c>
      <c r="N4165">
        <v>1</v>
      </c>
      <c r="O4165">
        <v>0</v>
      </c>
      <c r="P4165">
        <v>0</v>
      </c>
      <c r="Q4165">
        <v>0</v>
      </c>
      <c r="R4165">
        <v>0</v>
      </c>
      <c r="S4165">
        <v>0</v>
      </c>
      <c r="T4165">
        <v>0</v>
      </c>
      <c r="U4165">
        <v>0</v>
      </c>
      <c r="V4165">
        <v>0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0</v>
      </c>
      <c r="AE4165">
        <v>0</v>
      </c>
      <c r="AF4165">
        <v>0</v>
      </c>
      <c r="AG4165">
        <v>0</v>
      </c>
      <c r="AH4165">
        <v>0</v>
      </c>
      <c r="AI4165">
        <v>100</v>
      </c>
      <c r="AJ4165">
        <v>1</v>
      </c>
      <c r="AK4165">
        <v>0</v>
      </c>
      <c r="AL4165">
        <v>0</v>
      </c>
      <c r="AM4165">
        <v>100</v>
      </c>
      <c r="AN4165">
        <v>0</v>
      </c>
      <c r="AO4165">
        <v>0</v>
      </c>
      <c r="AP4165">
        <v>0</v>
      </c>
      <c r="AQ4165">
        <v>0</v>
      </c>
      <c r="AS4165">
        <v>0</v>
      </c>
      <c r="AT4165">
        <v>0</v>
      </c>
      <c r="AV4165">
        <v>0</v>
      </c>
      <c r="AW4165">
        <v>0</v>
      </c>
      <c r="AY4165">
        <v>0</v>
      </c>
      <c r="AZ4165">
        <v>0</v>
      </c>
      <c r="BA4165">
        <v>60</v>
      </c>
      <c r="BE4165" t="str">
        <f>T("9791137017818")</f>
        <v>9791137017818</v>
      </c>
      <c r="BF4165" t="str">
        <f>T("k196956")</f>
        <v>k196956</v>
      </c>
      <c r="BG4165" t="str">
        <f>T("판타지 웹소설 &gt; 퓨전 판타지")</f>
        <v>판타지 웹소설 &gt; 퓨전 판타지</v>
      </c>
    </row>
    <row r="4166" spans="1:59">
      <c r="A4166" t="s">
        <v>60</v>
      </c>
      <c r="B4166" s="1">
        <v>46131</v>
      </c>
      <c r="C4166">
        <v>2378059085</v>
      </c>
      <c r="D4166">
        <v>2378059872</v>
      </c>
      <c r="E4166" t="str">
        <f>T("아카데미 악역 엑스트라로 사는 법 109화")</f>
        <v>아카데미 악역 엑스트라로 사는 법 109화</v>
      </c>
      <c r="F4166">
        <v>109</v>
      </c>
      <c r="G4166" t="str">
        <f>T("김서건")</f>
        <v>김서건</v>
      </c>
      <c r="J4166" t="str">
        <f>T("매드햇")</f>
        <v>매드햇</v>
      </c>
      <c r="K4166" t="str">
        <f>T("아카데미 악역 엑스트라로 사는 법")</f>
        <v>아카데미 악역 엑스트라로 사는 법</v>
      </c>
      <c r="L4166">
        <v>100</v>
      </c>
      <c r="M4166">
        <v>100</v>
      </c>
      <c r="N4166">
        <v>1</v>
      </c>
      <c r="O4166">
        <v>0</v>
      </c>
      <c r="P4166">
        <v>0</v>
      </c>
      <c r="Q4166">
        <v>0</v>
      </c>
      <c r="R4166">
        <v>0</v>
      </c>
      <c r="S4166">
        <v>0</v>
      </c>
      <c r="T4166">
        <v>0</v>
      </c>
      <c r="U4166">
        <v>0</v>
      </c>
      <c r="V4166">
        <v>0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0</v>
      </c>
      <c r="AE4166">
        <v>0</v>
      </c>
      <c r="AF4166">
        <v>0</v>
      </c>
      <c r="AG4166">
        <v>0</v>
      </c>
      <c r="AH4166">
        <v>0</v>
      </c>
      <c r="AI4166">
        <v>100</v>
      </c>
      <c r="AJ4166">
        <v>1</v>
      </c>
      <c r="AK4166">
        <v>0</v>
      </c>
      <c r="AL4166">
        <v>0</v>
      </c>
      <c r="AM4166">
        <v>100</v>
      </c>
      <c r="AN4166">
        <v>0</v>
      </c>
      <c r="AO4166">
        <v>0</v>
      </c>
      <c r="AP4166">
        <v>0</v>
      </c>
      <c r="AQ4166">
        <v>0</v>
      </c>
      <c r="AS4166">
        <v>0</v>
      </c>
      <c r="AT4166">
        <v>0</v>
      </c>
      <c r="AV4166">
        <v>0</v>
      </c>
      <c r="AW4166">
        <v>0</v>
      </c>
      <c r="AY4166">
        <v>0</v>
      </c>
      <c r="AZ4166">
        <v>0</v>
      </c>
      <c r="BA4166">
        <v>60</v>
      </c>
      <c r="BE4166" t="str">
        <f>T("9791137017818")</f>
        <v>9791137017818</v>
      </c>
      <c r="BF4166" t="str">
        <f>T("k196955")</f>
        <v>k196955</v>
      </c>
      <c r="BG4166" t="str">
        <f>T("판타지 웹소설 &gt; 퓨전 판타지")</f>
        <v>판타지 웹소설 &gt; 퓨전 판타지</v>
      </c>
    </row>
    <row r="4167" spans="1:59">
      <c r="A4167" t="s">
        <v>60</v>
      </c>
      <c r="B4167" s="1">
        <v>46131</v>
      </c>
      <c r="C4167">
        <v>2378059085</v>
      </c>
      <c r="D4167">
        <v>2378059863</v>
      </c>
      <c r="E4167" t="str">
        <f>T("아카데미 악역 엑스트라로 사는 법 108화")</f>
        <v>아카데미 악역 엑스트라로 사는 법 108화</v>
      </c>
      <c r="F4167">
        <v>108</v>
      </c>
      <c r="G4167" t="str">
        <f>T("김서건")</f>
        <v>김서건</v>
      </c>
      <c r="J4167" t="str">
        <f>T("매드햇")</f>
        <v>매드햇</v>
      </c>
      <c r="K4167" t="str">
        <f>T("아카데미 악역 엑스트라로 사는 법")</f>
        <v>아카데미 악역 엑스트라로 사는 법</v>
      </c>
      <c r="L4167">
        <v>100</v>
      </c>
      <c r="M4167">
        <v>100</v>
      </c>
      <c r="N4167">
        <v>1</v>
      </c>
      <c r="O4167">
        <v>0</v>
      </c>
      <c r="P4167">
        <v>0</v>
      </c>
      <c r="Q4167">
        <v>0</v>
      </c>
      <c r="R4167">
        <v>0</v>
      </c>
      <c r="S4167">
        <v>0</v>
      </c>
      <c r="T4167">
        <v>0</v>
      </c>
      <c r="U4167">
        <v>0</v>
      </c>
      <c r="V4167">
        <v>0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0</v>
      </c>
      <c r="AE4167">
        <v>0</v>
      </c>
      <c r="AF4167">
        <v>0</v>
      </c>
      <c r="AG4167">
        <v>0</v>
      </c>
      <c r="AH4167">
        <v>0</v>
      </c>
      <c r="AI4167">
        <v>100</v>
      </c>
      <c r="AJ4167">
        <v>1</v>
      </c>
      <c r="AK4167">
        <v>0</v>
      </c>
      <c r="AL4167">
        <v>0</v>
      </c>
      <c r="AM4167">
        <v>100</v>
      </c>
      <c r="AN4167">
        <v>0</v>
      </c>
      <c r="AO4167">
        <v>0</v>
      </c>
      <c r="AP4167">
        <v>0</v>
      </c>
      <c r="AQ4167">
        <v>0</v>
      </c>
      <c r="AS4167">
        <v>0</v>
      </c>
      <c r="AT4167">
        <v>0</v>
      </c>
      <c r="AV4167">
        <v>0</v>
      </c>
      <c r="AW4167">
        <v>0</v>
      </c>
      <c r="AY4167">
        <v>0</v>
      </c>
      <c r="AZ4167">
        <v>0</v>
      </c>
      <c r="BA4167">
        <v>60</v>
      </c>
      <c r="BE4167" t="str">
        <f>T("9791137017818")</f>
        <v>9791137017818</v>
      </c>
      <c r="BF4167" t="str">
        <f>T("k196954")</f>
        <v>k196954</v>
      </c>
      <c r="BG4167" t="str">
        <f>T("판타지 웹소설 &gt; 퓨전 판타지")</f>
        <v>판타지 웹소설 &gt; 퓨전 판타지</v>
      </c>
    </row>
    <row r="4168" spans="1:59">
      <c r="A4168" t="s">
        <v>60</v>
      </c>
      <c r="B4168" s="1">
        <v>46131</v>
      </c>
      <c r="C4168">
        <v>2378059085</v>
      </c>
      <c r="D4168">
        <v>2378059838</v>
      </c>
      <c r="E4168" t="str">
        <f>T("아카데미 악역 엑스트라로 사는 법 107화")</f>
        <v>아카데미 악역 엑스트라로 사는 법 107화</v>
      </c>
      <c r="F4168">
        <v>107</v>
      </c>
      <c r="G4168" t="str">
        <f>T("김서건")</f>
        <v>김서건</v>
      </c>
      <c r="J4168" t="str">
        <f>T("매드햇")</f>
        <v>매드햇</v>
      </c>
      <c r="K4168" t="str">
        <f>T("아카데미 악역 엑스트라로 사는 법")</f>
        <v>아카데미 악역 엑스트라로 사는 법</v>
      </c>
      <c r="L4168">
        <v>100</v>
      </c>
      <c r="M4168">
        <v>100</v>
      </c>
      <c r="N4168">
        <v>1</v>
      </c>
      <c r="O4168">
        <v>0</v>
      </c>
      <c r="P4168">
        <v>0</v>
      </c>
      <c r="Q4168">
        <v>0</v>
      </c>
      <c r="R4168">
        <v>0</v>
      </c>
      <c r="S4168">
        <v>0</v>
      </c>
      <c r="T4168">
        <v>0</v>
      </c>
      <c r="U4168">
        <v>0</v>
      </c>
      <c r="V4168">
        <v>0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0</v>
      </c>
      <c r="AE4168">
        <v>0</v>
      </c>
      <c r="AF4168">
        <v>0</v>
      </c>
      <c r="AG4168">
        <v>0</v>
      </c>
      <c r="AH4168">
        <v>0</v>
      </c>
      <c r="AI4168">
        <v>100</v>
      </c>
      <c r="AJ4168">
        <v>1</v>
      </c>
      <c r="AK4168">
        <v>0</v>
      </c>
      <c r="AL4168">
        <v>0</v>
      </c>
      <c r="AM4168">
        <v>100</v>
      </c>
      <c r="AN4168">
        <v>0</v>
      </c>
      <c r="AO4168">
        <v>0</v>
      </c>
      <c r="AP4168">
        <v>0</v>
      </c>
      <c r="AQ4168">
        <v>0</v>
      </c>
      <c r="AS4168">
        <v>0</v>
      </c>
      <c r="AT4168">
        <v>0</v>
      </c>
      <c r="AV4168">
        <v>0</v>
      </c>
      <c r="AW4168">
        <v>0</v>
      </c>
      <c r="AY4168">
        <v>0</v>
      </c>
      <c r="AZ4168">
        <v>0</v>
      </c>
      <c r="BA4168">
        <v>60</v>
      </c>
      <c r="BE4168" t="str">
        <f>T("9791137017818")</f>
        <v>9791137017818</v>
      </c>
      <c r="BF4168" t="str">
        <f>T("k196953")</f>
        <v>k196953</v>
      </c>
      <c r="BG4168" t="str">
        <f>T("판타지 웹소설 &gt; 퓨전 판타지")</f>
        <v>판타지 웹소설 &gt; 퓨전 판타지</v>
      </c>
    </row>
    <row r="4169" spans="1:59">
      <c r="A4169" t="s">
        <v>60</v>
      </c>
      <c r="B4169" s="1">
        <v>46131</v>
      </c>
      <c r="C4169">
        <v>2378059085</v>
      </c>
      <c r="D4169">
        <v>2378059829</v>
      </c>
      <c r="E4169" t="str">
        <f>T("아카데미 악역 엑스트라로 사는 법 106화")</f>
        <v>아카데미 악역 엑스트라로 사는 법 106화</v>
      </c>
      <c r="F4169">
        <v>106</v>
      </c>
      <c r="G4169" t="str">
        <f>T("김서건")</f>
        <v>김서건</v>
      </c>
      <c r="J4169" t="str">
        <f>T("매드햇")</f>
        <v>매드햇</v>
      </c>
      <c r="K4169" t="str">
        <f>T("아카데미 악역 엑스트라로 사는 법")</f>
        <v>아카데미 악역 엑스트라로 사는 법</v>
      </c>
      <c r="L4169">
        <v>100</v>
      </c>
      <c r="M4169">
        <v>100</v>
      </c>
      <c r="N4169">
        <v>1</v>
      </c>
      <c r="O4169">
        <v>0</v>
      </c>
      <c r="P4169">
        <v>0</v>
      </c>
      <c r="Q4169">
        <v>0</v>
      </c>
      <c r="R4169">
        <v>0</v>
      </c>
      <c r="S4169">
        <v>0</v>
      </c>
      <c r="T4169">
        <v>0</v>
      </c>
      <c r="U4169">
        <v>0</v>
      </c>
      <c r="V4169">
        <v>0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0</v>
      </c>
      <c r="AE4169">
        <v>0</v>
      </c>
      <c r="AF4169">
        <v>0</v>
      </c>
      <c r="AG4169">
        <v>0</v>
      </c>
      <c r="AH4169">
        <v>0</v>
      </c>
      <c r="AI4169">
        <v>100</v>
      </c>
      <c r="AJ4169">
        <v>1</v>
      </c>
      <c r="AK4169">
        <v>0</v>
      </c>
      <c r="AL4169">
        <v>0</v>
      </c>
      <c r="AM4169">
        <v>100</v>
      </c>
      <c r="AN4169">
        <v>0</v>
      </c>
      <c r="AO4169">
        <v>0</v>
      </c>
      <c r="AP4169">
        <v>0</v>
      </c>
      <c r="AQ4169">
        <v>0</v>
      </c>
      <c r="AS4169">
        <v>0</v>
      </c>
      <c r="AT4169">
        <v>0</v>
      </c>
      <c r="AV4169">
        <v>0</v>
      </c>
      <c r="AW4169">
        <v>0</v>
      </c>
      <c r="AY4169">
        <v>0</v>
      </c>
      <c r="AZ4169">
        <v>0</v>
      </c>
      <c r="BA4169">
        <v>60</v>
      </c>
      <c r="BE4169" t="str">
        <f>T("9791137017818")</f>
        <v>9791137017818</v>
      </c>
      <c r="BF4169" t="str">
        <f>T("k196952")</f>
        <v>k196952</v>
      </c>
      <c r="BG4169" t="str">
        <f>T("판타지 웹소설 &gt; 퓨전 판타지")</f>
        <v>판타지 웹소설 &gt; 퓨전 판타지</v>
      </c>
    </row>
    <row r="4170" spans="1:59">
      <c r="A4170" t="s">
        <v>60</v>
      </c>
      <c r="B4170" s="1">
        <v>46131</v>
      </c>
      <c r="C4170">
        <v>2378059085</v>
      </c>
      <c r="D4170">
        <v>2378059153</v>
      </c>
      <c r="E4170" t="str">
        <f>T("아카데미 악역 엑스트라로 사는 법 69화")</f>
        <v>아카데미 악역 엑스트라로 사는 법 69화</v>
      </c>
      <c r="F4170">
        <v>69</v>
      </c>
      <c r="G4170" t="str">
        <f>T("김서건")</f>
        <v>김서건</v>
      </c>
      <c r="J4170" t="str">
        <f>T("매드햇")</f>
        <v>매드햇</v>
      </c>
      <c r="K4170" t="str">
        <f>T("아카데미 악역 엑스트라로 사는 법")</f>
        <v>아카데미 악역 엑스트라로 사는 법</v>
      </c>
      <c r="L4170">
        <v>100</v>
      </c>
      <c r="M4170">
        <v>100</v>
      </c>
      <c r="N4170">
        <v>1</v>
      </c>
      <c r="O4170">
        <v>0</v>
      </c>
      <c r="P4170">
        <v>0</v>
      </c>
      <c r="Q4170">
        <v>0</v>
      </c>
      <c r="R4170">
        <v>0</v>
      </c>
      <c r="S4170">
        <v>0</v>
      </c>
      <c r="T4170">
        <v>0</v>
      </c>
      <c r="U4170">
        <v>0</v>
      </c>
      <c r="V4170">
        <v>0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0</v>
      </c>
      <c r="AE4170">
        <v>0</v>
      </c>
      <c r="AF4170">
        <v>0</v>
      </c>
      <c r="AG4170">
        <v>0</v>
      </c>
      <c r="AH4170">
        <v>0</v>
      </c>
      <c r="AI4170">
        <v>100</v>
      </c>
      <c r="AJ4170">
        <v>1</v>
      </c>
      <c r="AK4170">
        <v>0</v>
      </c>
      <c r="AL4170">
        <v>0</v>
      </c>
      <c r="AM4170">
        <v>100</v>
      </c>
      <c r="AN4170">
        <v>0</v>
      </c>
      <c r="AO4170">
        <v>0</v>
      </c>
      <c r="AP4170">
        <v>0</v>
      </c>
      <c r="AQ4170">
        <v>0</v>
      </c>
      <c r="AS4170">
        <v>0</v>
      </c>
      <c r="AT4170">
        <v>0</v>
      </c>
      <c r="AV4170">
        <v>0</v>
      </c>
      <c r="AW4170">
        <v>0</v>
      </c>
      <c r="AY4170">
        <v>0</v>
      </c>
      <c r="AZ4170">
        <v>0</v>
      </c>
      <c r="BA4170">
        <v>60</v>
      </c>
      <c r="BE4170" t="str">
        <f>T("9791137017818")</f>
        <v>9791137017818</v>
      </c>
      <c r="BF4170" t="str">
        <f>T("k196915")</f>
        <v>k196915</v>
      </c>
      <c r="BG4170" t="str">
        <f>T("판타지 웹소설 &gt; 퓨전 판타지")</f>
        <v>판타지 웹소설 &gt; 퓨전 판타지</v>
      </c>
    </row>
    <row r="4171" spans="1:59">
      <c r="A4171" t="s">
        <v>60</v>
      </c>
      <c r="B4171" s="1">
        <v>46131</v>
      </c>
      <c r="C4171">
        <v>2378059085</v>
      </c>
      <c r="D4171">
        <v>2378059540</v>
      </c>
      <c r="E4171" t="str">
        <f>T("아카데미 악역 엑스트라로 사는 법 104화")</f>
        <v>아카데미 악역 엑스트라로 사는 법 104화</v>
      </c>
      <c r="F4171">
        <v>104</v>
      </c>
      <c r="G4171" t="str">
        <f>T("김서건")</f>
        <v>김서건</v>
      </c>
      <c r="J4171" t="str">
        <f>T("매드햇")</f>
        <v>매드햇</v>
      </c>
      <c r="K4171" t="str">
        <f>T("아카데미 악역 엑스트라로 사는 법")</f>
        <v>아카데미 악역 엑스트라로 사는 법</v>
      </c>
      <c r="L4171">
        <v>100</v>
      </c>
      <c r="M4171">
        <v>100</v>
      </c>
      <c r="N4171">
        <v>1</v>
      </c>
      <c r="O4171">
        <v>0</v>
      </c>
      <c r="P4171">
        <v>0</v>
      </c>
      <c r="Q4171">
        <v>0</v>
      </c>
      <c r="R4171">
        <v>0</v>
      </c>
      <c r="S4171">
        <v>0</v>
      </c>
      <c r="T4171">
        <v>0</v>
      </c>
      <c r="U4171">
        <v>0</v>
      </c>
      <c r="V4171">
        <v>0</v>
      </c>
      <c r="W4171">
        <v>0</v>
      </c>
      <c r="X4171">
        <v>0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0</v>
      </c>
      <c r="AE4171">
        <v>0</v>
      </c>
      <c r="AF4171">
        <v>0</v>
      </c>
      <c r="AG4171">
        <v>0</v>
      </c>
      <c r="AH4171">
        <v>0</v>
      </c>
      <c r="AI4171">
        <v>100</v>
      </c>
      <c r="AJ4171">
        <v>1</v>
      </c>
      <c r="AK4171">
        <v>0</v>
      </c>
      <c r="AL4171">
        <v>0</v>
      </c>
      <c r="AM4171">
        <v>100</v>
      </c>
      <c r="AN4171">
        <v>0</v>
      </c>
      <c r="AO4171">
        <v>0</v>
      </c>
      <c r="AP4171">
        <v>0</v>
      </c>
      <c r="AQ4171">
        <v>0</v>
      </c>
      <c r="AS4171">
        <v>0</v>
      </c>
      <c r="AT4171">
        <v>0</v>
      </c>
      <c r="AV4171">
        <v>0</v>
      </c>
      <c r="AW4171">
        <v>0</v>
      </c>
      <c r="AY4171">
        <v>0</v>
      </c>
      <c r="AZ4171">
        <v>0</v>
      </c>
      <c r="BA4171">
        <v>60</v>
      </c>
      <c r="BE4171" t="str">
        <f>T("9791137017818")</f>
        <v>9791137017818</v>
      </c>
      <c r="BF4171" t="str">
        <f>T("k196950")</f>
        <v>k196950</v>
      </c>
      <c r="BG4171" t="str">
        <f>T("판타지 웹소설 &gt; 퓨전 판타지")</f>
        <v>판타지 웹소설 &gt; 퓨전 판타지</v>
      </c>
    </row>
    <row r="4172" spans="1:59">
      <c r="A4172" t="s">
        <v>60</v>
      </c>
      <c r="B4172" s="1">
        <v>46131</v>
      </c>
      <c r="C4172">
        <v>2378059085</v>
      </c>
      <c r="D4172">
        <v>2378059518</v>
      </c>
      <c r="E4172" t="str">
        <f>T("아카데미 악역 엑스트라로 사는 법 103화")</f>
        <v>아카데미 악역 엑스트라로 사는 법 103화</v>
      </c>
      <c r="F4172">
        <v>103</v>
      </c>
      <c r="G4172" t="str">
        <f>T("김서건")</f>
        <v>김서건</v>
      </c>
      <c r="J4172" t="str">
        <f>T("매드햇")</f>
        <v>매드햇</v>
      </c>
      <c r="K4172" t="str">
        <f>T("아카데미 악역 엑스트라로 사는 법")</f>
        <v>아카데미 악역 엑스트라로 사는 법</v>
      </c>
      <c r="L4172">
        <v>100</v>
      </c>
      <c r="M4172">
        <v>100</v>
      </c>
      <c r="N4172">
        <v>1</v>
      </c>
      <c r="O4172">
        <v>0</v>
      </c>
      <c r="P4172">
        <v>0</v>
      </c>
      <c r="Q4172">
        <v>0</v>
      </c>
      <c r="R4172">
        <v>0</v>
      </c>
      <c r="S4172">
        <v>0</v>
      </c>
      <c r="T4172">
        <v>0</v>
      </c>
      <c r="U4172">
        <v>0</v>
      </c>
      <c r="V4172">
        <v>0</v>
      </c>
      <c r="W4172">
        <v>0</v>
      </c>
      <c r="X4172">
        <v>0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0</v>
      </c>
      <c r="AE4172">
        <v>0</v>
      </c>
      <c r="AF4172">
        <v>0</v>
      </c>
      <c r="AG4172">
        <v>0</v>
      </c>
      <c r="AH4172">
        <v>0</v>
      </c>
      <c r="AI4172">
        <v>100</v>
      </c>
      <c r="AJ4172">
        <v>1</v>
      </c>
      <c r="AK4172">
        <v>0</v>
      </c>
      <c r="AL4172">
        <v>0</v>
      </c>
      <c r="AM4172">
        <v>100</v>
      </c>
      <c r="AN4172">
        <v>0</v>
      </c>
      <c r="AO4172">
        <v>0</v>
      </c>
      <c r="AP4172">
        <v>0</v>
      </c>
      <c r="AQ4172">
        <v>0</v>
      </c>
      <c r="AS4172">
        <v>0</v>
      </c>
      <c r="AT4172">
        <v>0</v>
      </c>
      <c r="AV4172">
        <v>0</v>
      </c>
      <c r="AW4172">
        <v>0</v>
      </c>
      <c r="AY4172">
        <v>0</v>
      </c>
      <c r="AZ4172">
        <v>0</v>
      </c>
      <c r="BA4172">
        <v>60</v>
      </c>
      <c r="BE4172" t="str">
        <f>T("9791137017818")</f>
        <v>9791137017818</v>
      </c>
      <c r="BF4172" t="str">
        <f>T("k196949")</f>
        <v>k196949</v>
      </c>
      <c r="BG4172" t="str">
        <f>T("판타지 웹소설 &gt; 퓨전 판타지")</f>
        <v>판타지 웹소설 &gt; 퓨전 판타지</v>
      </c>
    </row>
    <row r="4173" spans="1:59">
      <c r="A4173" t="s">
        <v>60</v>
      </c>
      <c r="B4173" s="1">
        <v>46131</v>
      </c>
      <c r="C4173">
        <v>2378059085</v>
      </c>
      <c r="D4173">
        <v>2378059497</v>
      </c>
      <c r="E4173" t="str">
        <f>T("아카데미 악역 엑스트라로 사는 법 102화")</f>
        <v>아카데미 악역 엑스트라로 사는 법 102화</v>
      </c>
      <c r="F4173">
        <v>102</v>
      </c>
      <c r="G4173" t="str">
        <f>T("김서건")</f>
        <v>김서건</v>
      </c>
      <c r="J4173" t="str">
        <f>T("매드햇")</f>
        <v>매드햇</v>
      </c>
      <c r="K4173" t="str">
        <f>T("아카데미 악역 엑스트라로 사는 법")</f>
        <v>아카데미 악역 엑스트라로 사는 법</v>
      </c>
      <c r="L4173">
        <v>100</v>
      </c>
      <c r="M4173">
        <v>100</v>
      </c>
      <c r="N4173">
        <v>1</v>
      </c>
      <c r="O4173">
        <v>0</v>
      </c>
      <c r="P4173">
        <v>0</v>
      </c>
      <c r="Q4173">
        <v>0</v>
      </c>
      <c r="R4173">
        <v>0</v>
      </c>
      <c r="S4173">
        <v>0</v>
      </c>
      <c r="T4173">
        <v>0</v>
      </c>
      <c r="U4173">
        <v>0</v>
      </c>
      <c r="V4173">
        <v>0</v>
      </c>
      <c r="W4173">
        <v>0</v>
      </c>
      <c r="X4173">
        <v>0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0</v>
      </c>
      <c r="AE4173">
        <v>0</v>
      </c>
      <c r="AF4173">
        <v>0</v>
      </c>
      <c r="AG4173">
        <v>0</v>
      </c>
      <c r="AH4173">
        <v>0</v>
      </c>
      <c r="AI4173">
        <v>100</v>
      </c>
      <c r="AJ4173">
        <v>1</v>
      </c>
      <c r="AK4173">
        <v>0</v>
      </c>
      <c r="AL4173">
        <v>0</v>
      </c>
      <c r="AM4173">
        <v>100</v>
      </c>
      <c r="AN4173">
        <v>0</v>
      </c>
      <c r="AO4173">
        <v>0</v>
      </c>
      <c r="AP4173">
        <v>0</v>
      </c>
      <c r="AQ4173">
        <v>0</v>
      </c>
      <c r="AS4173">
        <v>0</v>
      </c>
      <c r="AT4173">
        <v>0</v>
      </c>
      <c r="AV4173">
        <v>0</v>
      </c>
      <c r="AW4173">
        <v>0</v>
      </c>
      <c r="AY4173">
        <v>0</v>
      </c>
      <c r="AZ4173">
        <v>0</v>
      </c>
      <c r="BA4173">
        <v>60</v>
      </c>
      <c r="BE4173" t="str">
        <f>T("9791137017818")</f>
        <v>9791137017818</v>
      </c>
      <c r="BF4173" t="str">
        <f>T("k196948")</f>
        <v>k196948</v>
      </c>
      <c r="BG4173" t="str">
        <f>T("판타지 웹소설 &gt; 퓨전 판타지")</f>
        <v>판타지 웹소설 &gt; 퓨전 판타지</v>
      </c>
    </row>
    <row r="4174" spans="1:59">
      <c r="A4174" t="s">
        <v>60</v>
      </c>
      <c r="B4174" s="1">
        <v>46131</v>
      </c>
      <c r="C4174">
        <v>2378059085</v>
      </c>
      <c r="D4174">
        <v>2378059490</v>
      </c>
      <c r="E4174" t="str">
        <f>T("아카데미 악역 엑스트라로 사는 법 101화")</f>
        <v>아카데미 악역 엑스트라로 사는 법 101화</v>
      </c>
      <c r="F4174">
        <v>101</v>
      </c>
      <c r="G4174" t="str">
        <f>T("김서건")</f>
        <v>김서건</v>
      </c>
      <c r="J4174" t="str">
        <f>T("매드햇")</f>
        <v>매드햇</v>
      </c>
      <c r="K4174" t="str">
        <f>T("아카데미 악역 엑스트라로 사는 법")</f>
        <v>아카데미 악역 엑스트라로 사는 법</v>
      </c>
      <c r="L4174">
        <v>100</v>
      </c>
      <c r="M4174">
        <v>100</v>
      </c>
      <c r="N4174">
        <v>1</v>
      </c>
      <c r="O4174">
        <v>0</v>
      </c>
      <c r="P4174">
        <v>0</v>
      </c>
      <c r="Q4174">
        <v>0</v>
      </c>
      <c r="R4174">
        <v>0</v>
      </c>
      <c r="S4174">
        <v>0</v>
      </c>
      <c r="T4174">
        <v>0</v>
      </c>
      <c r="U4174">
        <v>0</v>
      </c>
      <c r="V4174">
        <v>0</v>
      </c>
      <c r="W4174">
        <v>0</v>
      </c>
      <c r="X4174">
        <v>0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0</v>
      </c>
      <c r="AE4174">
        <v>0</v>
      </c>
      <c r="AF4174">
        <v>0</v>
      </c>
      <c r="AG4174">
        <v>0</v>
      </c>
      <c r="AH4174">
        <v>0</v>
      </c>
      <c r="AI4174">
        <v>100</v>
      </c>
      <c r="AJ4174">
        <v>1</v>
      </c>
      <c r="AK4174">
        <v>0</v>
      </c>
      <c r="AL4174">
        <v>0</v>
      </c>
      <c r="AM4174">
        <v>100</v>
      </c>
      <c r="AN4174">
        <v>0</v>
      </c>
      <c r="AO4174">
        <v>0</v>
      </c>
      <c r="AP4174">
        <v>0</v>
      </c>
      <c r="AQ4174">
        <v>0</v>
      </c>
      <c r="AS4174">
        <v>0</v>
      </c>
      <c r="AT4174">
        <v>0</v>
      </c>
      <c r="AV4174">
        <v>0</v>
      </c>
      <c r="AW4174">
        <v>0</v>
      </c>
      <c r="AY4174">
        <v>0</v>
      </c>
      <c r="AZ4174">
        <v>0</v>
      </c>
      <c r="BA4174">
        <v>60</v>
      </c>
      <c r="BE4174" t="str">
        <f>T("9791137017818")</f>
        <v>9791137017818</v>
      </c>
      <c r="BF4174" t="str">
        <f>T("k196947")</f>
        <v>k196947</v>
      </c>
      <c r="BG4174" t="str">
        <f>T("판타지 웹소설 &gt; 퓨전 판타지")</f>
        <v>판타지 웹소설 &gt; 퓨전 판타지</v>
      </c>
    </row>
    <row r="4175" spans="1:59">
      <c r="A4175" t="s">
        <v>60</v>
      </c>
      <c r="B4175" s="1">
        <v>46131</v>
      </c>
      <c r="C4175">
        <v>2378059085</v>
      </c>
      <c r="D4175">
        <v>2378059478</v>
      </c>
      <c r="E4175" t="str">
        <f>T("아카데미 악역 엑스트라로 사는 법 100화")</f>
        <v>아카데미 악역 엑스트라로 사는 법 100화</v>
      </c>
      <c r="F4175">
        <v>100</v>
      </c>
      <c r="G4175" t="str">
        <f>T("김서건")</f>
        <v>김서건</v>
      </c>
      <c r="J4175" t="str">
        <f>T("매드햇")</f>
        <v>매드햇</v>
      </c>
      <c r="K4175" t="str">
        <f>T("아카데미 악역 엑스트라로 사는 법")</f>
        <v>아카데미 악역 엑스트라로 사는 법</v>
      </c>
      <c r="L4175">
        <v>100</v>
      </c>
      <c r="M4175">
        <v>100</v>
      </c>
      <c r="N4175">
        <v>1</v>
      </c>
      <c r="O4175">
        <v>0</v>
      </c>
      <c r="P4175">
        <v>0</v>
      </c>
      <c r="Q4175">
        <v>0</v>
      </c>
      <c r="R4175">
        <v>0</v>
      </c>
      <c r="S4175">
        <v>0</v>
      </c>
      <c r="T4175">
        <v>0</v>
      </c>
      <c r="U4175">
        <v>0</v>
      </c>
      <c r="V4175">
        <v>0</v>
      </c>
      <c r="W4175">
        <v>0</v>
      </c>
      <c r="X4175">
        <v>0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0</v>
      </c>
      <c r="AE4175">
        <v>0</v>
      </c>
      <c r="AF4175">
        <v>0</v>
      </c>
      <c r="AG4175">
        <v>0</v>
      </c>
      <c r="AH4175">
        <v>0</v>
      </c>
      <c r="AI4175">
        <v>100</v>
      </c>
      <c r="AJ4175">
        <v>1</v>
      </c>
      <c r="AK4175">
        <v>0</v>
      </c>
      <c r="AL4175">
        <v>0</v>
      </c>
      <c r="AM4175">
        <v>100</v>
      </c>
      <c r="AN4175">
        <v>0</v>
      </c>
      <c r="AO4175">
        <v>0</v>
      </c>
      <c r="AP4175">
        <v>0</v>
      </c>
      <c r="AQ4175">
        <v>0</v>
      </c>
      <c r="AS4175">
        <v>0</v>
      </c>
      <c r="AT4175">
        <v>0</v>
      </c>
      <c r="AV4175">
        <v>0</v>
      </c>
      <c r="AW4175">
        <v>0</v>
      </c>
      <c r="AY4175">
        <v>0</v>
      </c>
      <c r="AZ4175">
        <v>0</v>
      </c>
      <c r="BA4175">
        <v>60</v>
      </c>
      <c r="BE4175" t="str">
        <f>T("9791137017818")</f>
        <v>9791137017818</v>
      </c>
      <c r="BF4175" t="str">
        <f>T("k196946")</f>
        <v>k196946</v>
      </c>
      <c r="BG4175" t="str">
        <f>T("판타지 웹소설 &gt; 퓨전 판타지")</f>
        <v>판타지 웹소설 &gt; 퓨전 판타지</v>
      </c>
    </row>
    <row r="4176" spans="1:59">
      <c r="A4176" t="s">
        <v>60</v>
      </c>
      <c r="B4176" s="1">
        <v>46131</v>
      </c>
      <c r="C4176">
        <v>2378059085</v>
      </c>
      <c r="D4176">
        <v>2378059454</v>
      </c>
      <c r="E4176" t="str">
        <f>T("아카데미 악역 엑스트라로 사는 법 99화")</f>
        <v>아카데미 악역 엑스트라로 사는 법 99화</v>
      </c>
      <c r="F4176">
        <v>99</v>
      </c>
      <c r="G4176" t="str">
        <f>T("김서건")</f>
        <v>김서건</v>
      </c>
      <c r="J4176" t="str">
        <f>T("매드햇")</f>
        <v>매드햇</v>
      </c>
      <c r="K4176" t="str">
        <f>T("아카데미 악역 엑스트라로 사는 법")</f>
        <v>아카데미 악역 엑스트라로 사는 법</v>
      </c>
      <c r="L4176">
        <v>100</v>
      </c>
      <c r="M4176">
        <v>100</v>
      </c>
      <c r="N4176">
        <v>1</v>
      </c>
      <c r="O4176">
        <v>0</v>
      </c>
      <c r="P4176">
        <v>0</v>
      </c>
      <c r="Q4176">
        <v>0</v>
      </c>
      <c r="R4176">
        <v>0</v>
      </c>
      <c r="S4176">
        <v>0</v>
      </c>
      <c r="T4176">
        <v>0</v>
      </c>
      <c r="U4176">
        <v>0</v>
      </c>
      <c r="V4176">
        <v>0</v>
      </c>
      <c r="W4176">
        <v>0</v>
      </c>
      <c r="X4176">
        <v>0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0</v>
      </c>
      <c r="AE4176">
        <v>0</v>
      </c>
      <c r="AF4176">
        <v>0</v>
      </c>
      <c r="AG4176">
        <v>0</v>
      </c>
      <c r="AH4176">
        <v>0</v>
      </c>
      <c r="AI4176">
        <v>100</v>
      </c>
      <c r="AJ4176">
        <v>1</v>
      </c>
      <c r="AK4176">
        <v>0</v>
      </c>
      <c r="AL4176">
        <v>0</v>
      </c>
      <c r="AM4176">
        <v>100</v>
      </c>
      <c r="AN4176">
        <v>0</v>
      </c>
      <c r="AO4176">
        <v>0</v>
      </c>
      <c r="AP4176">
        <v>0</v>
      </c>
      <c r="AQ4176">
        <v>0</v>
      </c>
      <c r="AS4176">
        <v>0</v>
      </c>
      <c r="AT4176">
        <v>0</v>
      </c>
      <c r="AV4176">
        <v>0</v>
      </c>
      <c r="AW4176">
        <v>0</v>
      </c>
      <c r="AY4176">
        <v>0</v>
      </c>
      <c r="AZ4176">
        <v>0</v>
      </c>
      <c r="BA4176">
        <v>60</v>
      </c>
      <c r="BE4176" t="str">
        <f>T("9791137017818")</f>
        <v>9791137017818</v>
      </c>
      <c r="BF4176" t="str">
        <f>T("k196945")</f>
        <v>k196945</v>
      </c>
      <c r="BG4176" t="str">
        <f>T("판타지 웹소설 &gt; 퓨전 판타지")</f>
        <v>판타지 웹소설 &gt; 퓨전 판타지</v>
      </c>
    </row>
    <row r="4177" spans="1:59">
      <c r="A4177" t="s">
        <v>60</v>
      </c>
      <c r="B4177" s="1">
        <v>46131</v>
      </c>
      <c r="C4177">
        <v>2378059085</v>
      </c>
      <c r="D4177">
        <v>2378059326</v>
      </c>
      <c r="E4177" t="str">
        <f>T("아카데미 악역 엑스트라로 사는 법 98화")</f>
        <v>아카데미 악역 엑스트라로 사는 법 98화</v>
      </c>
      <c r="F4177">
        <v>98</v>
      </c>
      <c r="G4177" t="str">
        <f>T("김서건")</f>
        <v>김서건</v>
      </c>
      <c r="J4177" t="str">
        <f>T("매드햇")</f>
        <v>매드햇</v>
      </c>
      <c r="K4177" t="str">
        <f>T("아카데미 악역 엑스트라로 사는 법")</f>
        <v>아카데미 악역 엑스트라로 사는 법</v>
      </c>
      <c r="L4177">
        <v>100</v>
      </c>
      <c r="M4177">
        <v>100</v>
      </c>
      <c r="N4177">
        <v>1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0</v>
      </c>
      <c r="AE4177">
        <v>0</v>
      </c>
      <c r="AF4177">
        <v>0</v>
      </c>
      <c r="AG4177">
        <v>0</v>
      </c>
      <c r="AH4177">
        <v>0</v>
      </c>
      <c r="AI4177">
        <v>100</v>
      </c>
      <c r="AJ4177">
        <v>1</v>
      </c>
      <c r="AK4177">
        <v>0</v>
      </c>
      <c r="AL4177">
        <v>0</v>
      </c>
      <c r="AM4177">
        <v>100</v>
      </c>
      <c r="AN4177">
        <v>0</v>
      </c>
      <c r="AO4177">
        <v>0</v>
      </c>
      <c r="AP4177">
        <v>0</v>
      </c>
      <c r="AQ4177">
        <v>0</v>
      </c>
      <c r="AS4177">
        <v>0</v>
      </c>
      <c r="AT4177">
        <v>0</v>
      </c>
      <c r="AV4177">
        <v>0</v>
      </c>
      <c r="AW4177">
        <v>0</v>
      </c>
      <c r="AY4177">
        <v>0</v>
      </c>
      <c r="AZ4177">
        <v>0</v>
      </c>
      <c r="BA4177">
        <v>60</v>
      </c>
      <c r="BE4177" t="str">
        <f>T("9791137017818")</f>
        <v>9791137017818</v>
      </c>
      <c r="BF4177" t="str">
        <f>T("k196944")</f>
        <v>k196944</v>
      </c>
      <c r="BG4177" t="str">
        <f>T("판타지 웹소설 &gt; 퓨전 판타지")</f>
        <v>판타지 웹소설 &gt; 퓨전 판타지</v>
      </c>
    </row>
    <row r="4178" spans="1:59">
      <c r="A4178" t="s">
        <v>60</v>
      </c>
      <c r="B4178" s="1">
        <v>46131</v>
      </c>
      <c r="C4178">
        <v>2378059085</v>
      </c>
      <c r="D4178">
        <v>2378059306</v>
      </c>
      <c r="E4178" t="str">
        <f>T("아카데미 악역 엑스트라로 사는 법 97화")</f>
        <v>아카데미 악역 엑스트라로 사는 법 97화</v>
      </c>
      <c r="F4178">
        <v>97</v>
      </c>
      <c r="G4178" t="str">
        <f>T("김서건")</f>
        <v>김서건</v>
      </c>
      <c r="J4178" t="str">
        <f>T("매드햇")</f>
        <v>매드햇</v>
      </c>
      <c r="K4178" t="str">
        <f>T("아카데미 악역 엑스트라로 사는 법")</f>
        <v>아카데미 악역 엑스트라로 사는 법</v>
      </c>
      <c r="L4178">
        <v>100</v>
      </c>
      <c r="M4178">
        <v>100</v>
      </c>
      <c r="N4178">
        <v>1</v>
      </c>
      <c r="O4178">
        <v>0</v>
      </c>
      <c r="P4178">
        <v>0</v>
      </c>
      <c r="Q4178">
        <v>0</v>
      </c>
      <c r="R4178">
        <v>0</v>
      </c>
      <c r="S4178">
        <v>0</v>
      </c>
      <c r="T4178">
        <v>0</v>
      </c>
      <c r="U4178">
        <v>0</v>
      </c>
      <c r="V4178">
        <v>0</v>
      </c>
      <c r="W4178">
        <v>0</v>
      </c>
      <c r="X4178">
        <v>0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0</v>
      </c>
      <c r="AE4178">
        <v>0</v>
      </c>
      <c r="AF4178">
        <v>0</v>
      </c>
      <c r="AG4178">
        <v>0</v>
      </c>
      <c r="AH4178">
        <v>0</v>
      </c>
      <c r="AI4178">
        <v>100</v>
      </c>
      <c r="AJ4178">
        <v>1</v>
      </c>
      <c r="AK4178">
        <v>0</v>
      </c>
      <c r="AL4178">
        <v>0</v>
      </c>
      <c r="AM4178">
        <v>100</v>
      </c>
      <c r="AN4178">
        <v>0</v>
      </c>
      <c r="AO4178">
        <v>0</v>
      </c>
      <c r="AP4178">
        <v>0</v>
      </c>
      <c r="AQ4178">
        <v>0</v>
      </c>
      <c r="AS4178">
        <v>0</v>
      </c>
      <c r="AT4178">
        <v>0</v>
      </c>
      <c r="AV4178">
        <v>0</v>
      </c>
      <c r="AW4178">
        <v>0</v>
      </c>
      <c r="AY4178">
        <v>0</v>
      </c>
      <c r="AZ4178">
        <v>0</v>
      </c>
      <c r="BA4178">
        <v>60</v>
      </c>
      <c r="BE4178" t="str">
        <f>T("9791137017818")</f>
        <v>9791137017818</v>
      </c>
      <c r="BF4178" t="str">
        <f>T("k196943")</f>
        <v>k196943</v>
      </c>
      <c r="BG4178" t="str">
        <f>T("판타지 웹소설 &gt; 퓨전 판타지")</f>
        <v>판타지 웹소설 &gt; 퓨전 판타지</v>
      </c>
    </row>
    <row r="4179" spans="1:59">
      <c r="A4179" t="s">
        <v>60</v>
      </c>
      <c r="B4179" s="1">
        <v>46131</v>
      </c>
      <c r="C4179">
        <v>2378059085</v>
      </c>
      <c r="D4179">
        <v>2378059270</v>
      </c>
      <c r="E4179" t="str">
        <f>T("아카데미 악역 엑스트라로 사는 법 96화")</f>
        <v>아카데미 악역 엑스트라로 사는 법 96화</v>
      </c>
      <c r="F4179">
        <v>96</v>
      </c>
      <c r="G4179" t="str">
        <f>T("김서건")</f>
        <v>김서건</v>
      </c>
      <c r="J4179" t="str">
        <f>T("매드햇")</f>
        <v>매드햇</v>
      </c>
      <c r="K4179" t="str">
        <f>T("아카데미 악역 엑스트라로 사는 법")</f>
        <v>아카데미 악역 엑스트라로 사는 법</v>
      </c>
      <c r="L4179">
        <v>100</v>
      </c>
      <c r="M4179">
        <v>100</v>
      </c>
      <c r="N4179">
        <v>1</v>
      </c>
      <c r="O4179">
        <v>0</v>
      </c>
      <c r="P4179">
        <v>0</v>
      </c>
      <c r="Q4179">
        <v>0</v>
      </c>
      <c r="R4179">
        <v>0</v>
      </c>
      <c r="S4179">
        <v>0</v>
      </c>
      <c r="T4179">
        <v>0</v>
      </c>
      <c r="U4179">
        <v>0</v>
      </c>
      <c r="V4179">
        <v>0</v>
      </c>
      <c r="W4179">
        <v>0</v>
      </c>
      <c r="X4179">
        <v>0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0</v>
      </c>
      <c r="AE4179">
        <v>0</v>
      </c>
      <c r="AF4179">
        <v>0</v>
      </c>
      <c r="AG4179">
        <v>0</v>
      </c>
      <c r="AH4179">
        <v>0</v>
      </c>
      <c r="AI4179">
        <v>100</v>
      </c>
      <c r="AJ4179">
        <v>1</v>
      </c>
      <c r="AK4179">
        <v>0</v>
      </c>
      <c r="AL4179">
        <v>0</v>
      </c>
      <c r="AM4179">
        <v>100</v>
      </c>
      <c r="AN4179">
        <v>0</v>
      </c>
      <c r="AO4179">
        <v>0</v>
      </c>
      <c r="AP4179">
        <v>0</v>
      </c>
      <c r="AQ4179">
        <v>0</v>
      </c>
      <c r="AS4179">
        <v>0</v>
      </c>
      <c r="AT4179">
        <v>0</v>
      </c>
      <c r="AV4179">
        <v>0</v>
      </c>
      <c r="AW4179">
        <v>0</v>
      </c>
      <c r="AY4179">
        <v>0</v>
      </c>
      <c r="AZ4179">
        <v>0</v>
      </c>
      <c r="BA4179">
        <v>60</v>
      </c>
      <c r="BE4179" t="str">
        <f>T("9791137017818")</f>
        <v>9791137017818</v>
      </c>
      <c r="BF4179" t="str">
        <f>T("k196942")</f>
        <v>k196942</v>
      </c>
      <c r="BG4179" t="str">
        <f>T("판타지 웹소설 &gt; 퓨전 판타지")</f>
        <v>판타지 웹소설 &gt; 퓨전 판타지</v>
      </c>
    </row>
    <row r="4180" spans="1:59">
      <c r="A4180" t="s">
        <v>60</v>
      </c>
      <c r="B4180" s="1">
        <v>46131</v>
      </c>
      <c r="C4180">
        <v>2378059085</v>
      </c>
      <c r="D4180">
        <v>2378059250</v>
      </c>
      <c r="E4180" t="str">
        <f>T("아카데미 악역 엑스트라로 사는 법 95화")</f>
        <v>아카데미 악역 엑스트라로 사는 법 95화</v>
      </c>
      <c r="F4180">
        <v>95</v>
      </c>
      <c r="G4180" t="str">
        <f>T("김서건")</f>
        <v>김서건</v>
      </c>
      <c r="J4180" t="str">
        <f>T("매드햇")</f>
        <v>매드햇</v>
      </c>
      <c r="K4180" t="str">
        <f>T("아카데미 악역 엑스트라로 사는 법")</f>
        <v>아카데미 악역 엑스트라로 사는 법</v>
      </c>
      <c r="L4180">
        <v>100</v>
      </c>
      <c r="M4180">
        <v>100</v>
      </c>
      <c r="N4180">
        <v>1</v>
      </c>
      <c r="O4180">
        <v>0</v>
      </c>
      <c r="P4180">
        <v>0</v>
      </c>
      <c r="Q4180">
        <v>0</v>
      </c>
      <c r="R4180">
        <v>0</v>
      </c>
      <c r="S4180">
        <v>0</v>
      </c>
      <c r="T4180">
        <v>0</v>
      </c>
      <c r="U4180">
        <v>0</v>
      </c>
      <c r="V4180">
        <v>0</v>
      </c>
      <c r="W4180">
        <v>0</v>
      </c>
      <c r="X4180">
        <v>0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0</v>
      </c>
      <c r="AE4180">
        <v>0</v>
      </c>
      <c r="AF4180">
        <v>0</v>
      </c>
      <c r="AG4180">
        <v>0</v>
      </c>
      <c r="AH4180">
        <v>0</v>
      </c>
      <c r="AI4180">
        <v>100</v>
      </c>
      <c r="AJ4180">
        <v>1</v>
      </c>
      <c r="AK4180">
        <v>0</v>
      </c>
      <c r="AL4180">
        <v>0</v>
      </c>
      <c r="AM4180">
        <v>100</v>
      </c>
      <c r="AN4180">
        <v>0</v>
      </c>
      <c r="AO4180">
        <v>0</v>
      </c>
      <c r="AP4180">
        <v>0</v>
      </c>
      <c r="AQ4180">
        <v>0</v>
      </c>
      <c r="AS4180">
        <v>0</v>
      </c>
      <c r="AT4180">
        <v>0</v>
      </c>
      <c r="AV4180">
        <v>0</v>
      </c>
      <c r="AW4180">
        <v>0</v>
      </c>
      <c r="AY4180">
        <v>0</v>
      </c>
      <c r="AZ4180">
        <v>0</v>
      </c>
      <c r="BA4180">
        <v>60</v>
      </c>
      <c r="BE4180" t="str">
        <f>T("9791137017818")</f>
        <v>9791137017818</v>
      </c>
      <c r="BF4180" t="str">
        <f>T("k196941")</f>
        <v>k196941</v>
      </c>
      <c r="BG4180" t="str">
        <f>T("판타지 웹소설 &gt; 퓨전 판타지")</f>
        <v>판타지 웹소설 &gt; 퓨전 판타지</v>
      </c>
    </row>
    <row r="4181" spans="1:59">
      <c r="A4181" t="s">
        <v>60</v>
      </c>
      <c r="B4181" s="1">
        <v>46131</v>
      </c>
      <c r="C4181">
        <v>2378059085</v>
      </c>
      <c r="D4181">
        <v>2378059249</v>
      </c>
      <c r="E4181" t="str">
        <f>T("아카데미 악역 엑스트라로 사는 법 94화")</f>
        <v>아카데미 악역 엑스트라로 사는 법 94화</v>
      </c>
      <c r="F4181">
        <v>94</v>
      </c>
      <c r="G4181" t="str">
        <f>T("김서건")</f>
        <v>김서건</v>
      </c>
      <c r="J4181" t="str">
        <f>T("매드햇")</f>
        <v>매드햇</v>
      </c>
      <c r="K4181" t="str">
        <f>T("아카데미 악역 엑스트라로 사는 법")</f>
        <v>아카데미 악역 엑스트라로 사는 법</v>
      </c>
      <c r="L4181">
        <v>100</v>
      </c>
      <c r="M4181">
        <v>100</v>
      </c>
      <c r="N4181">
        <v>1</v>
      </c>
      <c r="O4181">
        <v>0</v>
      </c>
      <c r="P4181">
        <v>0</v>
      </c>
      <c r="Q4181">
        <v>0</v>
      </c>
      <c r="R4181">
        <v>0</v>
      </c>
      <c r="S4181">
        <v>0</v>
      </c>
      <c r="T4181">
        <v>0</v>
      </c>
      <c r="U4181">
        <v>0</v>
      </c>
      <c r="V4181">
        <v>0</v>
      </c>
      <c r="W4181">
        <v>0</v>
      </c>
      <c r="X4181">
        <v>0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0</v>
      </c>
      <c r="AE4181">
        <v>0</v>
      </c>
      <c r="AF4181">
        <v>0</v>
      </c>
      <c r="AG4181">
        <v>0</v>
      </c>
      <c r="AH4181">
        <v>0</v>
      </c>
      <c r="AI4181">
        <v>100</v>
      </c>
      <c r="AJ4181">
        <v>1</v>
      </c>
      <c r="AK4181">
        <v>0</v>
      </c>
      <c r="AL4181">
        <v>0</v>
      </c>
      <c r="AM4181">
        <v>100</v>
      </c>
      <c r="AN4181">
        <v>0</v>
      </c>
      <c r="AO4181">
        <v>0</v>
      </c>
      <c r="AP4181">
        <v>0</v>
      </c>
      <c r="AQ4181">
        <v>0</v>
      </c>
      <c r="AS4181">
        <v>0</v>
      </c>
      <c r="AT4181">
        <v>0</v>
      </c>
      <c r="AV4181">
        <v>0</v>
      </c>
      <c r="AW4181">
        <v>0</v>
      </c>
      <c r="AY4181">
        <v>0</v>
      </c>
      <c r="AZ4181">
        <v>0</v>
      </c>
      <c r="BA4181">
        <v>60</v>
      </c>
      <c r="BE4181" t="str">
        <f>T("9791137017818")</f>
        <v>9791137017818</v>
      </c>
      <c r="BF4181" t="str">
        <f>T("k196940")</f>
        <v>k196940</v>
      </c>
      <c r="BG4181" t="str">
        <f>T("판타지 웹소설 &gt; 퓨전 판타지")</f>
        <v>판타지 웹소설 &gt; 퓨전 판타지</v>
      </c>
    </row>
    <row r="4182" spans="1:59">
      <c r="A4182" t="s">
        <v>60</v>
      </c>
      <c r="B4182" s="1">
        <v>46131</v>
      </c>
      <c r="C4182">
        <v>2378059085</v>
      </c>
      <c r="D4182">
        <v>2378059131</v>
      </c>
      <c r="E4182" t="str">
        <f>T("아카데미 악역 엑스트라로 사는 법 47화")</f>
        <v>아카데미 악역 엑스트라로 사는 법 47화</v>
      </c>
      <c r="F4182">
        <v>47</v>
      </c>
      <c r="G4182" t="str">
        <f>T("김서건")</f>
        <v>김서건</v>
      </c>
      <c r="J4182" t="str">
        <f>T("매드햇")</f>
        <v>매드햇</v>
      </c>
      <c r="K4182" t="str">
        <f>T("아카데미 악역 엑스트라로 사는 법")</f>
        <v>아카데미 악역 엑스트라로 사는 법</v>
      </c>
      <c r="L4182">
        <v>100</v>
      </c>
      <c r="M4182">
        <v>100</v>
      </c>
      <c r="N4182">
        <v>1</v>
      </c>
      <c r="O4182">
        <v>0</v>
      </c>
      <c r="P4182">
        <v>0</v>
      </c>
      <c r="Q4182">
        <v>0</v>
      </c>
      <c r="R4182">
        <v>0</v>
      </c>
      <c r="S4182">
        <v>0</v>
      </c>
      <c r="T4182">
        <v>0</v>
      </c>
      <c r="U4182">
        <v>0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0</v>
      </c>
      <c r="AE4182">
        <v>0</v>
      </c>
      <c r="AF4182">
        <v>0</v>
      </c>
      <c r="AG4182">
        <v>0</v>
      </c>
      <c r="AH4182">
        <v>0</v>
      </c>
      <c r="AI4182">
        <v>100</v>
      </c>
      <c r="AJ4182">
        <v>1</v>
      </c>
      <c r="AK4182">
        <v>0</v>
      </c>
      <c r="AL4182">
        <v>0</v>
      </c>
      <c r="AM4182">
        <v>100</v>
      </c>
      <c r="AN4182">
        <v>0</v>
      </c>
      <c r="AO4182">
        <v>0</v>
      </c>
      <c r="AP4182">
        <v>0</v>
      </c>
      <c r="AQ4182">
        <v>0</v>
      </c>
      <c r="AS4182">
        <v>0</v>
      </c>
      <c r="AT4182">
        <v>0</v>
      </c>
      <c r="AV4182">
        <v>0</v>
      </c>
      <c r="AW4182">
        <v>0</v>
      </c>
      <c r="AY4182">
        <v>0</v>
      </c>
      <c r="AZ4182">
        <v>0</v>
      </c>
      <c r="BA4182">
        <v>60</v>
      </c>
      <c r="BE4182" t="str">
        <f>T("9791137017818")</f>
        <v>9791137017818</v>
      </c>
      <c r="BF4182" t="str">
        <f>T("k196893")</f>
        <v>k196893</v>
      </c>
      <c r="BG4182" t="str">
        <f>T("판타지 웹소설 &gt; 퓨전 판타지")</f>
        <v>판타지 웹소설 &gt; 퓨전 판타지</v>
      </c>
    </row>
    <row r="4183" spans="1:59">
      <c r="A4183" t="s">
        <v>60</v>
      </c>
      <c r="B4183" s="1">
        <v>46131</v>
      </c>
      <c r="C4183">
        <v>2378059085</v>
      </c>
      <c r="D4183">
        <v>2378059105</v>
      </c>
      <c r="E4183" t="str">
        <f>T("아카데미 악역 엑스트라로 사는 법 21화")</f>
        <v>아카데미 악역 엑스트라로 사는 법 21화</v>
      </c>
      <c r="F4183">
        <v>21</v>
      </c>
      <c r="G4183" t="str">
        <f>T("김서건")</f>
        <v>김서건</v>
      </c>
      <c r="J4183" t="str">
        <f>T("매드햇")</f>
        <v>매드햇</v>
      </c>
      <c r="K4183" t="str">
        <f>T("아카데미 악역 엑스트라로 사는 법")</f>
        <v>아카데미 악역 엑스트라로 사는 법</v>
      </c>
      <c r="L4183">
        <v>0</v>
      </c>
      <c r="M4183">
        <v>0</v>
      </c>
      <c r="N4183">
        <v>0</v>
      </c>
      <c r="O4183">
        <v>1</v>
      </c>
      <c r="P4183">
        <v>0</v>
      </c>
      <c r="Q4183">
        <v>0</v>
      </c>
      <c r="R4183">
        <v>0</v>
      </c>
      <c r="S4183">
        <v>0</v>
      </c>
      <c r="T4183">
        <v>0</v>
      </c>
      <c r="U4183">
        <v>0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0</v>
      </c>
      <c r="AE4183">
        <v>0</v>
      </c>
      <c r="AF4183">
        <v>0</v>
      </c>
      <c r="AG4183">
        <v>0</v>
      </c>
      <c r="AH4183">
        <v>0</v>
      </c>
      <c r="AI4183">
        <v>0</v>
      </c>
      <c r="AJ4183">
        <v>1</v>
      </c>
      <c r="AK4183">
        <v>0</v>
      </c>
      <c r="AL4183">
        <v>0</v>
      </c>
      <c r="AM4183">
        <v>0</v>
      </c>
      <c r="AN4183">
        <v>0</v>
      </c>
      <c r="AO4183">
        <v>0</v>
      </c>
      <c r="AP4183">
        <v>0</v>
      </c>
      <c r="AQ4183">
        <v>0</v>
      </c>
      <c r="AS4183">
        <v>0</v>
      </c>
      <c r="AT4183">
        <v>0</v>
      </c>
      <c r="AV4183">
        <v>0</v>
      </c>
      <c r="AW4183">
        <v>0</v>
      </c>
      <c r="AY4183">
        <v>0</v>
      </c>
      <c r="AZ4183">
        <v>0</v>
      </c>
      <c r="BA4183">
        <v>0</v>
      </c>
      <c r="BE4183" t="str">
        <f>T("9791137017818")</f>
        <v>9791137017818</v>
      </c>
      <c r="BF4183" t="str">
        <f>T("k196867")</f>
        <v>k196867</v>
      </c>
      <c r="BG4183" t="str">
        <f>T("판타지 웹소설 &gt; 퓨전 판타지")</f>
        <v>판타지 웹소설 &gt; 퓨전 판타지</v>
      </c>
    </row>
    <row r="4184" spans="1:59">
      <c r="A4184" t="s">
        <v>60</v>
      </c>
      <c r="B4184" s="1">
        <v>46131</v>
      </c>
      <c r="C4184">
        <v>2378059085</v>
      </c>
      <c r="D4184">
        <v>2378059106</v>
      </c>
      <c r="E4184" t="str">
        <f>T("아카데미 악역 엑스트라로 사는 법 22화")</f>
        <v>아카데미 악역 엑스트라로 사는 법 22화</v>
      </c>
      <c r="F4184">
        <v>22</v>
      </c>
      <c r="G4184" t="str">
        <f>T("김서건")</f>
        <v>김서건</v>
      </c>
      <c r="J4184" t="str">
        <f>T("매드햇")</f>
        <v>매드햇</v>
      </c>
      <c r="K4184" t="str">
        <f>T("아카데미 악역 엑스트라로 사는 법")</f>
        <v>아카데미 악역 엑스트라로 사는 법</v>
      </c>
      <c r="L4184">
        <v>0</v>
      </c>
      <c r="M4184">
        <v>0</v>
      </c>
      <c r="N4184">
        <v>0</v>
      </c>
      <c r="O4184">
        <v>1</v>
      </c>
      <c r="P4184">
        <v>0</v>
      </c>
      <c r="Q4184">
        <v>0</v>
      </c>
      <c r="R4184">
        <v>0</v>
      </c>
      <c r="S4184">
        <v>0</v>
      </c>
      <c r="T4184">
        <v>0</v>
      </c>
      <c r="U4184">
        <v>0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0</v>
      </c>
      <c r="AE4184">
        <v>0</v>
      </c>
      <c r="AF4184">
        <v>0</v>
      </c>
      <c r="AG4184">
        <v>0</v>
      </c>
      <c r="AH4184">
        <v>0</v>
      </c>
      <c r="AI4184">
        <v>0</v>
      </c>
      <c r="AJ4184">
        <v>1</v>
      </c>
      <c r="AK4184">
        <v>0</v>
      </c>
      <c r="AL4184">
        <v>0</v>
      </c>
      <c r="AM4184">
        <v>0</v>
      </c>
      <c r="AN4184">
        <v>0</v>
      </c>
      <c r="AO4184">
        <v>0</v>
      </c>
      <c r="AP4184">
        <v>0</v>
      </c>
      <c r="AQ4184">
        <v>0</v>
      </c>
      <c r="AS4184">
        <v>0</v>
      </c>
      <c r="AT4184">
        <v>0</v>
      </c>
      <c r="AV4184">
        <v>0</v>
      </c>
      <c r="AW4184">
        <v>0</v>
      </c>
      <c r="AY4184">
        <v>0</v>
      </c>
      <c r="AZ4184">
        <v>0</v>
      </c>
      <c r="BA4184">
        <v>0</v>
      </c>
      <c r="BE4184" t="str">
        <f>T("9791137017818")</f>
        <v>9791137017818</v>
      </c>
      <c r="BF4184" t="str">
        <f>T("k196868")</f>
        <v>k196868</v>
      </c>
      <c r="BG4184" t="str">
        <f>T("판타지 웹소설 &gt; 퓨전 판타지")</f>
        <v>판타지 웹소설 &gt; 퓨전 판타지</v>
      </c>
    </row>
    <row r="4185" spans="1:59">
      <c r="A4185" t="s">
        <v>60</v>
      </c>
      <c r="B4185" s="1">
        <v>46131</v>
      </c>
      <c r="C4185">
        <v>2378059085</v>
      </c>
      <c r="D4185">
        <v>2378059107</v>
      </c>
      <c r="E4185" t="str">
        <f>T("아카데미 악역 엑스트라로 사는 법 23화")</f>
        <v>아카데미 악역 엑스트라로 사는 법 23화</v>
      </c>
      <c r="F4185">
        <v>23</v>
      </c>
      <c r="G4185" t="str">
        <f>T("김서건")</f>
        <v>김서건</v>
      </c>
      <c r="J4185" t="str">
        <f>T("매드햇")</f>
        <v>매드햇</v>
      </c>
      <c r="K4185" t="str">
        <f>T("아카데미 악역 엑스트라로 사는 법")</f>
        <v>아카데미 악역 엑스트라로 사는 법</v>
      </c>
      <c r="L4185">
        <v>0</v>
      </c>
      <c r="M4185">
        <v>0</v>
      </c>
      <c r="N4185">
        <v>0</v>
      </c>
      <c r="O4185">
        <v>1</v>
      </c>
      <c r="P4185">
        <v>0</v>
      </c>
      <c r="Q4185">
        <v>0</v>
      </c>
      <c r="R4185">
        <v>0</v>
      </c>
      <c r="S4185">
        <v>0</v>
      </c>
      <c r="T4185">
        <v>0</v>
      </c>
      <c r="U4185">
        <v>0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0</v>
      </c>
      <c r="AE4185">
        <v>0</v>
      </c>
      <c r="AF4185">
        <v>0</v>
      </c>
      <c r="AG4185">
        <v>0</v>
      </c>
      <c r="AH4185">
        <v>0</v>
      </c>
      <c r="AI4185">
        <v>0</v>
      </c>
      <c r="AJ4185">
        <v>1</v>
      </c>
      <c r="AK4185">
        <v>0</v>
      </c>
      <c r="AL4185">
        <v>0</v>
      </c>
      <c r="AM4185">
        <v>0</v>
      </c>
      <c r="AN4185">
        <v>0</v>
      </c>
      <c r="AO4185">
        <v>0</v>
      </c>
      <c r="AP4185">
        <v>0</v>
      </c>
      <c r="AQ4185">
        <v>0</v>
      </c>
      <c r="AS4185">
        <v>0</v>
      </c>
      <c r="AT4185">
        <v>0</v>
      </c>
      <c r="AV4185">
        <v>0</v>
      </c>
      <c r="AW4185">
        <v>0</v>
      </c>
      <c r="AY4185">
        <v>0</v>
      </c>
      <c r="AZ4185">
        <v>0</v>
      </c>
      <c r="BA4185">
        <v>0</v>
      </c>
      <c r="BE4185" t="str">
        <f>T("9791137017818")</f>
        <v>9791137017818</v>
      </c>
      <c r="BF4185" t="str">
        <f>T("k196869")</f>
        <v>k196869</v>
      </c>
      <c r="BG4185" t="str">
        <f>T("판타지 웹소설 &gt; 퓨전 판타지")</f>
        <v>판타지 웹소설 &gt; 퓨전 판타지</v>
      </c>
    </row>
    <row r="4186" spans="1:59">
      <c r="A4186" t="s">
        <v>60</v>
      </c>
      <c r="B4186" s="1">
        <v>46131</v>
      </c>
      <c r="C4186">
        <v>2378059085</v>
      </c>
      <c r="D4186">
        <v>2378059108</v>
      </c>
      <c r="E4186" t="str">
        <f>T("아카데미 악역 엑스트라로 사는 법 24화")</f>
        <v>아카데미 악역 엑스트라로 사는 법 24화</v>
      </c>
      <c r="F4186">
        <v>24</v>
      </c>
      <c r="G4186" t="str">
        <f>T("김서건")</f>
        <v>김서건</v>
      </c>
      <c r="J4186" t="str">
        <f>T("매드햇")</f>
        <v>매드햇</v>
      </c>
      <c r="K4186" t="str">
        <f>T("아카데미 악역 엑스트라로 사는 법")</f>
        <v>아카데미 악역 엑스트라로 사는 법</v>
      </c>
      <c r="L4186">
        <v>0</v>
      </c>
      <c r="M4186">
        <v>0</v>
      </c>
      <c r="N4186">
        <v>0</v>
      </c>
      <c r="O4186">
        <v>1</v>
      </c>
      <c r="P4186">
        <v>0</v>
      </c>
      <c r="Q4186">
        <v>0</v>
      </c>
      <c r="R4186">
        <v>0</v>
      </c>
      <c r="S4186">
        <v>0</v>
      </c>
      <c r="T4186">
        <v>0</v>
      </c>
      <c r="U4186">
        <v>0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0</v>
      </c>
      <c r="AE4186">
        <v>0</v>
      </c>
      <c r="AF4186">
        <v>0</v>
      </c>
      <c r="AG4186">
        <v>0</v>
      </c>
      <c r="AH4186">
        <v>0</v>
      </c>
      <c r="AI4186">
        <v>0</v>
      </c>
      <c r="AJ4186">
        <v>1</v>
      </c>
      <c r="AK4186">
        <v>0</v>
      </c>
      <c r="AL4186">
        <v>0</v>
      </c>
      <c r="AM4186">
        <v>0</v>
      </c>
      <c r="AN4186">
        <v>0</v>
      </c>
      <c r="AO4186">
        <v>0</v>
      </c>
      <c r="AP4186">
        <v>0</v>
      </c>
      <c r="AQ4186">
        <v>0</v>
      </c>
      <c r="AS4186">
        <v>0</v>
      </c>
      <c r="AT4186">
        <v>0</v>
      </c>
      <c r="AV4186">
        <v>0</v>
      </c>
      <c r="AW4186">
        <v>0</v>
      </c>
      <c r="AY4186">
        <v>0</v>
      </c>
      <c r="AZ4186">
        <v>0</v>
      </c>
      <c r="BA4186">
        <v>0</v>
      </c>
      <c r="BE4186" t="str">
        <f>T("9791137017818")</f>
        <v>9791137017818</v>
      </c>
      <c r="BF4186" t="str">
        <f>T("k196870")</f>
        <v>k196870</v>
      </c>
      <c r="BG4186" t="str">
        <f>T("판타지 웹소설 &gt; 퓨전 판타지")</f>
        <v>판타지 웹소설 &gt; 퓨전 판타지</v>
      </c>
    </row>
    <row r="4187" spans="1:59">
      <c r="A4187" t="s">
        <v>60</v>
      </c>
      <c r="B4187" s="1">
        <v>46131</v>
      </c>
      <c r="C4187">
        <v>2378059085</v>
      </c>
      <c r="D4187">
        <v>2378059109</v>
      </c>
      <c r="E4187" t="str">
        <f>T("아카데미 악역 엑스트라로 사는 법 25화")</f>
        <v>아카데미 악역 엑스트라로 사는 법 25화</v>
      </c>
      <c r="F4187">
        <v>25</v>
      </c>
      <c r="G4187" t="str">
        <f>T("김서건")</f>
        <v>김서건</v>
      </c>
      <c r="J4187" t="str">
        <f>T("매드햇")</f>
        <v>매드햇</v>
      </c>
      <c r="K4187" t="str">
        <f>T("아카데미 악역 엑스트라로 사는 법")</f>
        <v>아카데미 악역 엑스트라로 사는 법</v>
      </c>
      <c r="L4187">
        <v>0</v>
      </c>
      <c r="M4187">
        <v>0</v>
      </c>
      <c r="N4187">
        <v>0</v>
      </c>
      <c r="O4187">
        <v>1</v>
      </c>
      <c r="P4187">
        <v>0</v>
      </c>
      <c r="Q4187">
        <v>0</v>
      </c>
      <c r="R4187">
        <v>0</v>
      </c>
      <c r="S4187">
        <v>0</v>
      </c>
      <c r="T4187">
        <v>0</v>
      </c>
      <c r="U4187">
        <v>0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0</v>
      </c>
      <c r="AE4187">
        <v>0</v>
      </c>
      <c r="AF4187">
        <v>0</v>
      </c>
      <c r="AG4187">
        <v>0</v>
      </c>
      <c r="AH4187">
        <v>0</v>
      </c>
      <c r="AI4187">
        <v>0</v>
      </c>
      <c r="AJ4187">
        <v>1</v>
      </c>
      <c r="AK4187">
        <v>0</v>
      </c>
      <c r="AL4187">
        <v>0</v>
      </c>
      <c r="AM4187">
        <v>0</v>
      </c>
      <c r="AN4187">
        <v>0</v>
      </c>
      <c r="AO4187">
        <v>0</v>
      </c>
      <c r="AP4187">
        <v>0</v>
      </c>
      <c r="AQ4187">
        <v>0</v>
      </c>
      <c r="AS4187">
        <v>0</v>
      </c>
      <c r="AT4187">
        <v>0</v>
      </c>
      <c r="AV4187">
        <v>0</v>
      </c>
      <c r="AW4187">
        <v>0</v>
      </c>
      <c r="AY4187">
        <v>0</v>
      </c>
      <c r="AZ4187">
        <v>0</v>
      </c>
      <c r="BA4187">
        <v>0</v>
      </c>
      <c r="BE4187" t="str">
        <f>T("9791137017818")</f>
        <v>9791137017818</v>
      </c>
      <c r="BF4187" t="str">
        <f>T("k196871")</f>
        <v>k196871</v>
      </c>
      <c r="BG4187" t="str">
        <f>T("판타지 웹소설 &gt; 퓨전 판타지")</f>
        <v>판타지 웹소설 &gt; 퓨전 판타지</v>
      </c>
    </row>
    <row r="4188" spans="1:59">
      <c r="A4188" t="s">
        <v>60</v>
      </c>
      <c r="B4188" s="1">
        <v>46131</v>
      </c>
      <c r="C4188">
        <v>2378059085</v>
      </c>
      <c r="D4188">
        <v>2378075574</v>
      </c>
      <c r="E4188" t="str">
        <f>T("아카데미 악역 엑스트라로 사는 법 444화")</f>
        <v>아카데미 악역 엑스트라로 사는 법 444화</v>
      </c>
      <c r="F4188">
        <v>445</v>
      </c>
      <c r="G4188" t="str">
        <f>T("김서건")</f>
        <v>김서건</v>
      </c>
      <c r="J4188" t="str">
        <f>T("매드햇")</f>
        <v>매드햇</v>
      </c>
      <c r="K4188" t="str">
        <f>T("아카데미 악역 엑스트라로 사는 법")</f>
        <v>아카데미 악역 엑스트라로 사는 법</v>
      </c>
      <c r="L4188">
        <v>100</v>
      </c>
      <c r="M4188">
        <v>100</v>
      </c>
      <c r="N4188">
        <v>1</v>
      </c>
      <c r="O4188">
        <v>0</v>
      </c>
      <c r="P4188">
        <v>0</v>
      </c>
      <c r="Q4188">
        <v>0</v>
      </c>
      <c r="R4188">
        <v>0</v>
      </c>
      <c r="S4188">
        <v>0</v>
      </c>
      <c r="T4188">
        <v>0</v>
      </c>
      <c r="U4188">
        <v>0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0</v>
      </c>
      <c r="AE4188">
        <v>0</v>
      </c>
      <c r="AF4188">
        <v>0</v>
      </c>
      <c r="AG4188">
        <v>0</v>
      </c>
      <c r="AH4188">
        <v>0</v>
      </c>
      <c r="AI4188">
        <v>100</v>
      </c>
      <c r="AJ4188">
        <v>1</v>
      </c>
      <c r="AK4188">
        <v>0</v>
      </c>
      <c r="AL4188">
        <v>0</v>
      </c>
      <c r="AM4188">
        <v>100</v>
      </c>
      <c r="AN4188">
        <v>0</v>
      </c>
      <c r="AO4188">
        <v>0</v>
      </c>
      <c r="AP4188">
        <v>0</v>
      </c>
      <c r="AQ4188">
        <v>0</v>
      </c>
      <c r="AS4188">
        <v>0</v>
      </c>
      <c r="AT4188">
        <v>0</v>
      </c>
      <c r="AV4188">
        <v>0</v>
      </c>
      <c r="AW4188">
        <v>0</v>
      </c>
      <c r="AY4188">
        <v>0</v>
      </c>
      <c r="AZ4188">
        <v>0</v>
      </c>
      <c r="BA4188">
        <v>60</v>
      </c>
      <c r="BE4188" t="str">
        <f>T("9791137017818")</f>
        <v>9791137017818</v>
      </c>
      <c r="BF4188" t="str">
        <f>T("D021851")</f>
        <v>D021851</v>
      </c>
      <c r="BG4188" t="str">
        <f>T("판타지 웹소설 &gt; 퓨전 판타지")</f>
        <v>판타지 웹소설 &gt; 퓨전 판타지</v>
      </c>
    </row>
    <row r="4189" spans="1:59">
      <c r="A4189" t="s">
        <v>60</v>
      </c>
      <c r="B4189" s="1">
        <v>46131</v>
      </c>
      <c r="C4189">
        <v>2378059085</v>
      </c>
      <c r="D4189">
        <v>2378075580</v>
      </c>
      <c r="E4189" t="str">
        <f>T("아카데미 악역 엑스트라로 사는 법 445화")</f>
        <v>아카데미 악역 엑스트라로 사는 법 445화</v>
      </c>
      <c r="F4189">
        <v>446</v>
      </c>
      <c r="G4189" t="str">
        <f>T("김서건")</f>
        <v>김서건</v>
      </c>
      <c r="J4189" t="str">
        <f>T("매드햇")</f>
        <v>매드햇</v>
      </c>
      <c r="K4189" t="str">
        <f>T("아카데미 악역 엑스트라로 사는 법")</f>
        <v>아카데미 악역 엑스트라로 사는 법</v>
      </c>
      <c r="L4189">
        <v>100</v>
      </c>
      <c r="M4189">
        <v>100</v>
      </c>
      <c r="N4189">
        <v>1</v>
      </c>
      <c r="O4189">
        <v>0</v>
      </c>
      <c r="P4189">
        <v>0</v>
      </c>
      <c r="Q4189">
        <v>0</v>
      </c>
      <c r="R4189">
        <v>0</v>
      </c>
      <c r="S4189">
        <v>0</v>
      </c>
      <c r="T4189">
        <v>0</v>
      </c>
      <c r="U4189">
        <v>0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0</v>
      </c>
      <c r="AE4189">
        <v>0</v>
      </c>
      <c r="AF4189">
        <v>0</v>
      </c>
      <c r="AG4189">
        <v>0</v>
      </c>
      <c r="AH4189">
        <v>0</v>
      </c>
      <c r="AI4189">
        <v>100</v>
      </c>
      <c r="AJ4189">
        <v>1</v>
      </c>
      <c r="AK4189">
        <v>0</v>
      </c>
      <c r="AL4189">
        <v>0</v>
      </c>
      <c r="AM4189">
        <v>100</v>
      </c>
      <c r="AN4189">
        <v>0</v>
      </c>
      <c r="AO4189">
        <v>0</v>
      </c>
      <c r="AP4189">
        <v>0</v>
      </c>
      <c r="AQ4189">
        <v>0</v>
      </c>
      <c r="AS4189">
        <v>0</v>
      </c>
      <c r="AT4189">
        <v>0</v>
      </c>
      <c r="AV4189">
        <v>0</v>
      </c>
      <c r="AW4189">
        <v>0</v>
      </c>
      <c r="AY4189">
        <v>0</v>
      </c>
      <c r="AZ4189">
        <v>0</v>
      </c>
      <c r="BA4189">
        <v>60</v>
      </c>
      <c r="BE4189" t="str">
        <f>T("9791137017818")</f>
        <v>9791137017818</v>
      </c>
      <c r="BF4189" t="str">
        <f>T("D028022")</f>
        <v>D028022</v>
      </c>
      <c r="BG4189" t="str">
        <f>T("판타지 웹소설 &gt; 퓨전 판타지")</f>
        <v>판타지 웹소설 &gt; 퓨전 판타지</v>
      </c>
    </row>
    <row r="4190" spans="1:59">
      <c r="A4190" t="s">
        <v>60</v>
      </c>
      <c r="B4190" s="1">
        <v>46131</v>
      </c>
      <c r="C4190">
        <v>2378059085</v>
      </c>
      <c r="D4190">
        <v>2378073216</v>
      </c>
      <c r="E4190" t="str">
        <f>T("아카데미 악역 엑스트라로 사는 법 370화")</f>
        <v>아카데미 악역 엑스트라로 사는 법 370화</v>
      </c>
      <c r="F4190">
        <v>370</v>
      </c>
      <c r="G4190" t="str">
        <f>T("김서건")</f>
        <v>김서건</v>
      </c>
      <c r="J4190" t="str">
        <f>T("매드햇")</f>
        <v>매드햇</v>
      </c>
      <c r="K4190" t="str">
        <f>T("아카데미 악역 엑스트라로 사는 법")</f>
        <v>아카데미 악역 엑스트라로 사는 법</v>
      </c>
      <c r="L4190">
        <v>100</v>
      </c>
      <c r="M4190">
        <v>100</v>
      </c>
      <c r="N4190">
        <v>1</v>
      </c>
      <c r="O4190">
        <v>0</v>
      </c>
      <c r="P4190">
        <v>0</v>
      </c>
      <c r="Q4190">
        <v>0</v>
      </c>
      <c r="R4190">
        <v>0</v>
      </c>
      <c r="S4190">
        <v>0</v>
      </c>
      <c r="T4190">
        <v>0</v>
      </c>
      <c r="U4190">
        <v>0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0</v>
      </c>
      <c r="AE4190">
        <v>0</v>
      </c>
      <c r="AF4190">
        <v>0</v>
      </c>
      <c r="AG4190">
        <v>0</v>
      </c>
      <c r="AH4190">
        <v>0</v>
      </c>
      <c r="AI4190">
        <v>100</v>
      </c>
      <c r="AJ4190">
        <v>1</v>
      </c>
      <c r="AK4190">
        <v>0</v>
      </c>
      <c r="AL4190">
        <v>0</v>
      </c>
      <c r="AM4190">
        <v>100</v>
      </c>
      <c r="AN4190">
        <v>0</v>
      </c>
      <c r="AO4190">
        <v>0</v>
      </c>
      <c r="AP4190">
        <v>0</v>
      </c>
      <c r="AQ4190">
        <v>0</v>
      </c>
      <c r="AS4190">
        <v>0</v>
      </c>
      <c r="AT4190">
        <v>0</v>
      </c>
      <c r="AV4190">
        <v>0</v>
      </c>
      <c r="AW4190">
        <v>0</v>
      </c>
      <c r="AY4190">
        <v>0</v>
      </c>
      <c r="AZ4190">
        <v>0</v>
      </c>
      <c r="BA4190">
        <v>60</v>
      </c>
      <c r="BE4190" t="str">
        <f>T("9791137017818")</f>
        <v>9791137017818</v>
      </c>
      <c r="BF4190" t="str">
        <f>T("B010168")</f>
        <v>B010168</v>
      </c>
      <c r="BG4190" t="str">
        <f>T("판타지 웹소설 &gt; 퓨전 판타지")</f>
        <v>판타지 웹소설 &gt; 퓨전 판타지</v>
      </c>
    </row>
    <row r="4191" spans="1:59">
      <c r="A4191" t="s">
        <v>60</v>
      </c>
      <c r="B4191" s="1">
        <v>46131</v>
      </c>
      <c r="C4191">
        <v>2378059085</v>
      </c>
      <c r="D4191">
        <v>2378080383</v>
      </c>
      <c r="E4191" t="str">
        <f>T("아카데미 악역 엑스트라로 사는 법 564화")</f>
        <v>아카데미 악역 엑스트라로 사는 법 564화</v>
      </c>
      <c r="F4191">
        <v>565</v>
      </c>
      <c r="G4191" t="str">
        <f>T("김서건")</f>
        <v>김서건</v>
      </c>
      <c r="J4191" t="str">
        <f>T("매드햇")</f>
        <v>매드햇</v>
      </c>
      <c r="K4191" t="str">
        <f>T("아카데미 악역 엑스트라로 사는 법")</f>
        <v>아카데미 악역 엑스트라로 사는 법</v>
      </c>
      <c r="L4191">
        <v>100</v>
      </c>
      <c r="M4191">
        <v>100</v>
      </c>
      <c r="N4191">
        <v>1</v>
      </c>
      <c r="O4191">
        <v>0</v>
      </c>
      <c r="P4191">
        <v>0</v>
      </c>
      <c r="Q4191">
        <v>0</v>
      </c>
      <c r="R4191">
        <v>0</v>
      </c>
      <c r="S4191">
        <v>0</v>
      </c>
      <c r="T4191">
        <v>0</v>
      </c>
      <c r="U4191">
        <v>0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0</v>
      </c>
      <c r="AE4191">
        <v>0</v>
      </c>
      <c r="AF4191">
        <v>0</v>
      </c>
      <c r="AG4191">
        <v>0</v>
      </c>
      <c r="AH4191">
        <v>0</v>
      </c>
      <c r="AI4191">
        <v>100</v>
      </c>
      <c r="AJ4191">
        <v>1</v>
      </c>
      <c r="AK4191">
        <v>0</v>
      </c>
      <c r="AL4191">
        <v>0</v>
      </c>
      <c r="AM4191">
        <v>100</v>
      </c>
      <c r="AN4191">
        <v>0</v>
      </c>
      <c r="AO4191">
        <v>0</v>
      </c>
      <c r="AP4191">
        <v>0</v>
      </c>
      <c r="AQ4191">
        <v>0</v>
      </c>
      <c r="AS4191">
        <v>0</v>
      </c>
      <c r="AT4191">
        <v>0</v>
      </c>
      <c r="AV4191">
        <v>0</v>
      </c>
      <c r="AW4191">
        <v>0</v>
      </c>
      <c r="AY4191">
        <v>0</v>
      </c>
      <c r="AZ4191">
        <v>0</v>
      </c>
      <c r="BA4191">
        <v>60</v>
      </c>
      <c r="BE4191" t="str">
        <f>T("9791137017818")</f>
        <v>9791137017818</v>
      </c>
      <c r="BF4191" t="str">
        <f>T("D184240")</f>
        <v>D184240</v>
      </c>
      <c r="BG4191" t="str">
        <f>T("판타지 웹소설 &gt; 퓨전 판타지")</f>
        <v>판타지 웹소설 &gt; 퓨전 판타지</v>
      </c>
    </row>
    <row r="4192" spans="1:59">
      <c r="A4192" t="s">
        <v>60</v>
      </c>
      <c r="B4192" s="1">
        <v>46131</v>
      </c>
      <c r="C4192">
        <v>2378059085</v>
      </c>
      <c r="D4192">
        <v>2378080386</v>
      </c>
      <c r="E4192" t="str">
        <f>T("아카데미 악역 엑스트라로 사는 법 565화")</f>
        <v>아카데미 악역 엑스트라로 사는 법 565화</v>
      </c>
      <c r="F4192">
        <v>566</v>
      </c>
      <c r="G4192" t="str">
        <f>T("김서건")</f>
        <v>김서건</v>
      </c>
      <c r="J4192" t="str">
        <f>T("매드햇")</f>
        <v>매드햇</v>
      </c>
      <c r="K4192" t="str">
        <f>T("아카데미 악역 엑스트라로 사는 법")</f>
        <v>아카데미 악역 엑스트라로 사는 법</v>
      </c>
      <c r="L4192">
        <v>100</v>
      </c>
      <c r="M4192">
        <v>100</v>
      </c>
      <c r="N4192">
        <v>1</v>
      </c>
      <c r="O4192">
        <v>0</v>
      </c>
      <c r="P4192">
        <v>0</v>
      </c>
      <c r="Q4192">
        <v>0</v>
      </c>
      <c r="R4192">
        <v>0</v>
      </c>
      <c r="S4192">
        <v>0</v>
      </c>
      <c r="T4192">
        <v>0</v>
      </c>
      <c r="U4192">
        <v>0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0</v>
      </c>
      <c r="AE4192">
        <v>0</v>
      </c>
      <c r="AF4192">
        <v>0</v>
      </c>
      <c r="AG4192">
        <v>0</v>
      </c>
      <c r="AH4192">
        <v>0</v>
      </c>
      <c r="AI4192">
        <v>100</v>
      </c>
      <c r="AJ4192">
        <v>1</v>
      </c>
      <c r="AK4192">
        <v>0</v>
      </c>
      <c r="AL4192">
        <v>0</v>
      </c>
      <c r="AM4192">
        <v>100</v>
      </c>
      <c r="AN4192">
        <v>0</v>
      </c>
      <c r="AO4192">
        <v>0</v>
      </c>
      <c r="AP4192">
        <v>0</v>
      </c>
      <c r="AQ4192">
        <v>0</v>
      </c>
      <c r="AS4192">
        <v>0</v>
      </c>
      <c r="AT4192">
        <v>0</v>
      </c>
      <c r="AV4192">
        <v>0</v>
      </c>
      <c r="AW4192">
        <v>0</v>
      </c>
      <c r="AY4192">
        <v>0</v>
      </c>
      <c r="AZ4192">
        <v>0</v>
      </c>
      <c r="BA4192">
        <v>60</v>
      </c>
      <c r="BE4192" t="str">
        <f>T("9791137017818")</f>
        <v>9791137017818</v>
      </c>
      <c r="BF4192" t="str">
        <f>T("D184241")</f>
        <v>D184241</v>
      </c>
      <c r="BG4192" t="str">
        <f>T("판타지 웹소설 &gt; 퓨전 판타지")</f>
        <v>판타지 웹소설 &gt; 퓨전 판타지</v>
      </c>
    </row>
    <row r="4193" spans="1:59">
      <c r="A4193" t="s">
        <v>60</v>
      </c>
      <c r="B4193" s="1">
        <v>46131</v>
      </c>
      <c r="C4193">
        <v>2378059085</v>
      </c>
      <c r="D4193">
        <v>2378080388</v>
      </c>
      <c r="E4193" t="str">
        <f>T("아카데미 악역 엑스트라로 사는 법 566화")</f>
        <v>아카데미 악역 엑스트라로 사는 법 566화</v>
      </c>
      <c r="F4193">
        <v>567</v>
      </c>
      <c r="G4193" t="str">
        <f>T("김서건")</f>
        <v>김서건</v>
      </c>
      <c r="J4193" t="str">
        <f>T("매드햇")</f>
        <v>매드햇</v>
      </c>
      <c r="K4193" t="str">
        <f>T("아카데미 악역 엑스트라로 사는 법")</f>
        <v>아카데미 악역 엑스트라로 사는 법</v>
      </c>
      <c r="L4193">
        <v>100</v>
      </c>
      <c r="M4193">
        <v>100</v>
      </c>
      <c r="N4193">
        <v>1</v>
      </c>
      <c r="O4193">
        <v>0</v>
      </c>
      <c r="P4193">
        <v>0</v>
      </c>
      <c r="Q4193">
        <v>0</v>
      </c>
      <c r="R4193">
        <v>0</v>
      </c>
      <c r="S4193">
        <v>0</v>
      </c>
      <c r="T4193">
        <v>0</v>
      </c>
      <c r="U4193">
        <v>0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0</v>
      </c>
      <c r="AE4193">
        <v>0</v>
      </c>
      <c r="AF4193">
        <v>0</v>
      </c>
      <c r="AG4193">
        <v>0</v>
      </c>
      <c r="AH4193">
        <v>0</v>
      </c>
      <c r="AI4193">
        <v>100</v>
      </c>
      <c r="AJ4193">
        <v>1</v>
      </c>
      <c r="AK4193">
        <v>0</v>
      </c>
      <c r="AL4193">
        <v>0</v>
      </c>
      <c r="AM4193">
        <v>100</v>
      </c>
      <c r="AN4193">
        <v>0</v>
      </c>
      <c r="AO4193">
        <v>0</v>
      </c>
      <c r="AP4193">
        <v>0</v>
      </c>
      <c r="AQ4193">
        <v>0</v>
      </c>
      <c r="AS4193">
        <v>0</v>
      </c>
      <c r="AT4193">
        <v>0</v>
      </c>
      <c r="AV4193">
        <v>0</v>
      </c>
      <c r="AW4193">
        <v>0</v>
      </c>
      <c r="AY4193">
        <v>0</v>
      </c>
      <c r="AZ4193">
        <v>0</v>
      </c>
      <c r="BA4193">
        <v>60</v>
      </c>
      <c r="BE4193" t="str">
        <f>T("9791137017818")</f>
        <v>9791137017818</v>
      </c>
      <c r="BF4193" t="str">
        <f>T("D184242")</f>
        <v>D184242</v>
      </c>
      <c r="BG4193" t="str">
        <f>T("판타지 웹소설 &gt; 퓨전 판타지")</f>
        <v>판타지 웹소설 &gt; 퓨전 판타지</v>
      </c>
    </row>
    <row r="4194" spans="1:59">
      <c r="A4194" t="s">
        <v>60</v>
      </c>
      <c r="B4194" s="1">
        <v>46131</v>
      </c>
      <c r="C4194">
        <v>2378059085</v>
      </c>
      <c r="D4194">
        <v>2378080390</v>
      </c>
      <c r="E4194" t="str">
        <f>T("아카데미 악역 엑스트라로 사는 법 567화")</f>
        <v>아카데미 악역 엑스트라로 사는 법 567화</v>
      </c>
      <c r="F4194">
        <v>568</v>
      </c>
      <c r="G4194" t="str">
        <f>T("김서건")</f>
        <v>김서건</v>
      </c>
      <c r="J4194" t="str">
        <f>T("매드햇")</f>
        <v>매드햇</v>
      </c>
      <c r="K4194" t="str">
        <f>T("아카데미 악역 엑스트라로 사는 법")</f>
        <v>아카데미 악역 엑스트라로 사는 법</v>
      </c>
      <c r="L4194">
        <v>100</v>
      </c>
      <c r="M4194">
        <v>100</v>
      </c>
      <c r="N4194">
        <v>1</v>
      </c>
      <c r="O4194">
        <v>0</v>
      </c>
      <c r="P4194">
        <v>0</v>
      </c>
      <c r="Q4194">
        <v>0</v>
      </c>
      <c r="R4194">
        <v>0</v>
      </c>
      <c r="S4194">
        <v>0</v>
      </c>
      <c r="T4194">
        <v>0</v>
      </c>
      <c r="U4194">
        <v>0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0</v>
      </c>
      <c r="AE4194">
        <v>0</v>
      </c>
      <c r="AF4194">
        <v>0</v>
      </c>
      <c r="AG4194">
        <v>0</v>
      </c>
      <c r="AH4194">
        <v>0</v>
      </c>
      <c r="AI4194">
        <v>100</v>
      </c>
      <c r="AJ4194">
        <v>1</v>
      </c>
      <c r="AK4194">
        <v>0</v>
      </c>
      <c r="AL4194">
        <v>0</v>
      </c>
      <c r="AM4194">
        <v>100</v>
      </c>
      <c r="AN4194">
        <v>0</v>
      </c>
      <c r="AO4194">
        <v>0</v>
      </c>
      <c r="AP4194">
        <v>0</v>
      </c>
      <c r="AQ4194">
        <v>0</v>
      </c>
      <c r="AS4194">
        <v>0</v>
      </c>
      <c r="AT4194">
        <v>0</v>
      </c>
      <c r="AV4194">
        <v>0</v>
      </c>
      <c r="AW4194">
        <v>0</v>
      </c>
      <c r="AY4194">
        <v>0</v>
      </c>
      <c r="AZ4194">
        <v>0</v>
      </c>
      <c r="BA4194">
        <v>60</v>
      </c>
      <c r="BE4194" t="str">
        <f>T("9791137017818")</f>
        <v>9791137017818</v>
      </c>
      <c r="BF4194" t="str">
        <f>T("D184243")</f>
        <v>D184243</v>
      </c>
      <c r="BG4194" t="str">
        <f>T("판타지 웹소설 &gt; 퓨전 판타지")</f>
        <v>판타지 웹소설 &gt; 퓨전 판타지</v>
      </c>
    </row>
    <row r="4195" spans="1:59">
      <c r="A4195" t="s">
        <v>60</v>
      </c>
      <c r="B4195" s="1">
        <v>46131</v>
      </c>
      <c r="C4195">
        <v>2378059085</v>
      </c>
      <c r="D4195">
        <v>2378080398</v>
      </c>
      <c r="E4195" t="str">
        <f>T("아카데미 악역 엑스트라로 사는 법 568화")</f>
        <v>아카데미 악역 엑스트라로 사는 법 568화</v>
      </c>
      <c r="F4195">
        <v>569</v>
      </c>
      <c r="G4195" t="str">
        <f>T("김서건")</f>
        <v>김서건</v>
      </c>
      <c r="J4195" t="str">
        <f>T("매드햇")</f>
        <v>매드햇</v>
      </c>
      <c r="K4195" t="str">
        <f>T("아카데미 악역 엑스트라로 사는 법")</f>
        <v>아카데미 악역 엑스트라로 사는 법</v>
      </c>
      <c r="L4195">
        <v>100</v>
      </c>
      <c r="M4195">
        <v>100</v>
      </c>
      <c r="N4195">
        <v>1</v>
      </c>
      <c r="O4195">
        <v>0</v>
      </c>
      <c r="P4195">
        <v>0</v>
      </c>
      <c r="Q4195">
        <v>0</v>
      </c>
      <c r="R4195">
        <v>0</v>
      </c>
      <c r="S4195">
        <v>0</v>
      </c>
      <c r="T4195">
        <v>0</v>
      </c>
      <c r="U4195">
        <v>0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0</v>
      </c>
      <c r="AE4195">
        <v>0</v>
      </c>
      <c r="AF4195">
        <v>0</v>
      </c>
      <c r="AG4195">
        <v>0</v>
      </c>
      <c r="AH4195">
        <v>0</v>
      </c>
      <c r="AI4195">
        <v>100</v>
      </c>
      <c r="AJ4195">
        <v>1</v>
      </c>
      <c r="AK4195">
        <v>0</v>
      </c>
      <c r="AL4195">
        <v>0</v>
      </c>
      <c r="AM4195">
        <v>100</v>
      </c>
      <c r="AN4195">
        <v>0</v>
      </c>
      <c r="AO4195">
        <v>0</v>
      </c>
      <c r="AP4195">
        <v>0</v>
      </c>
      <c r="AQ4195">
        <v>0</v>
      </c>
      <c r="AS4195">
        <v>0</v>
      </c>
      <c r="AT4195">
        <v>0</v>
      </c>
      <c r="AV4195">
        <v>0</v>
      </c>
      <c r="AW4195">
        <v>0</v>
      </c>
      <c r="AY4195">
        <v>0</v>
      </c>
      <c r="AZ4195">
        <v>0</v>
      </c>
      <c r="BA4195">
        <v>60</v>
      </c>
      <c r="BE4195" t="str">
        <f>T("9791137017818")</f>
        <v>9791137017818</v>
      </c>
      <c r="BF4195" t="str">
        <f>T("D184244")</f>
        <v>D184244</v>
      </c>
      <c r="BG4195" t="str">
        <f>T("판타지 웹소설 &gt; 퓨전 판타지")</f>
        <v>판타지 웹소설 &gt; 퓨전 판타지</v>
      </c>
    </row>
    <row r="4196" spans="1:59">
      <c r="A4196" t="s">
        <v>60</v>
      </c>
      <c r="B4196" s="1">
        <v>46131</v>
      </c>
      <c r="C4196">
        <v>2378059085</v>
      </c>
      <c r="D4196">
        <v>2378080414</v>
      </c>
      <c r="E4196" t="str">
        <f>T("아카데미 악역 엑스트라로 사는 법 569화")</f>
        <v>아카데미 악역 엑스트라로 사는 법 569화</v>
      </c>
      <c r="F4196">
        <v>570</v>
      </c>
      <c r="G4196" t="str">
        <f>T("김서건")</f>
        <v>김서건</v>
      </c>
      <c r="J4196" t="str">
        <f>T("매드햇")</f>
        <v>매드햇</v>
      </c>
      <c r="K4196" t="str">
        <f>T("아카데미 악역 엑스트라로 사는 법")</f>
        <v>아카데미 악역 엑스트라로 사는 법</v>
      </c>
      <c r="L4196">
        <v>100</v>
      </c>
      <c r="M4196">
        <v>100</v>
      </c>
      <c r="N4196">
        <v>1</v>
      </c>
      <c r="O4196">
        <v>0</v>
      </c>
      <c r="P4196">
        <v>0</v>
      </c>
      <c r="Q4196">
        <v>0</v>
      </c>
      <c r="R4196">
        <v>0</v>
      </c>
      <c r="S4196">
        <v>0</v>
      </c>
      <c r="T4196">
        <v>0</v>
      </c>
      <c r="U4196">
        <v>0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0</v>
      </c>
      <c r="AE4196">
        <v>0</v>
      </c>
      <c r="AF4196">
        <v>0</v>
      </c>
      <c r="AG4196">
        <v>0</v>
      </c>
      <c r="AH4196">
        <v>0</v>
      </c>
      <c r="AI4196">
        <v>100</v>
      </c>
      <c r="AJ4196">
        <v>1</v>
      </c>
      <c r="AK4196">
        <v>0</v>
      </c>
      <c r="AL4196">
        <v>0</v>
      </c>
      <c r="AM4196">
        <v>100</v>
      </c>
      <c r="AN4196">
        <v>0</v>
      </c>
      <c r="AO4196">
        <v>0</v>
      </c>
      <c r="AP4196">
        <v>0</v>
      </c>
      <c r="AQ4196">
        <v>0</v>
      </c>
      <c r="AS4196">
        <v>0</v>
      </c>
      <c r="AT4196">
        <v>0</v>
      </c>
      <c r="AV4196">
        <v>0</v>
      </c>
      <c r="AW4196">
        <v>0</v>
      </c>
      <c r="AY4196">
        <v>0</v>
      </c>
      <c r="AZ4196">
        <v>0</v>
      </c>
      <c r="BA4196">
        <v>60</v>
      </c>
      <c r="BE4196" t="str">
        <f>T("9791137017818")</f>
        <v>9791137017818</v>
      </c>
      <c r="BF4196" t="str">
        <f>T("D184245")</f>
        <v>D184245</v>
      </c>
      <c r="BG4196" t="str">
        <f>T("판타지 웹소설 &gt; 퓨전 판타지")</f>
        <v>판타지 웹소설 &gt; 퓨전 판타지</v>
      </c>
    </row>
    <row r="4197" spans="1:59">
      <c r="A4197" t="s">
        <v>60</v>
      </c>
      <c r="B4197" s="1">
        <v>46131</v>
      </c>
      <c r="C4197">
        <v>2378059085</v>
      </c>
      <c r="D4197">
        <v>2378080480</v>
      </c>
      <c r="E4197" t="str">
        <f>T("아카데미 악역 엑스트라로 사는 법 570화")</f>
        <v>아카데미 악역 엑스트라로 사는 법 570화</v>
      </c>
      <c r="F4197">
        <v>571</v>
      </c>
      <c r="G4197" t="str">
        <f>T("김서건")</f>
        <v>김서건</v>
      </c>
      <c r="J4197" t="str">
        <f>T("매드햇")</f>
        <v>매드햇</v>
      </c>
      <c r="K4197" t="str">
        <f>T("아카데미 악역 엑스트라로 사는 법")</f>
        <v>아카데미 악역 엑스트라로 사는 법</v>
      </c>
      <c r="L4197">
        <v>100</v>
      </c>
      <c r="M4197">
        <v>100</v>
      </c>
      <c r="N4197">
        <v>1</v>
      </c>
      <c r="O4197">
        <v>0</v>
      </c>
      <c r="P4197">
        <v>0</v>
      </c>
      <c r="Q4197">
        <v>0</v>
      </c>
      <c r="R4197">
        <v>0</v>
      </c>
      <c r="S4197">
        <v>0</v>
      </c>
      <c r="T4197">
        <v>0</v>
      </c>
      <c r="U4197">
        <v>0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0</v>
      </c>
      <c r="AE4197">
        <v>0</v>
      </c>
      <c r="AF4197">
        <v>0</v>
      </c>
      <c r="AG4197">
        <v>0</v>
      </c>
      <c r="AH4197">
        <v>0</v>
      </c>
      <c r="AI4197">
        <v>100</v>
      </c>
      <c r="AJ4197">
        <v>1</v>
      </c>
      <c r="AK4197">
        <v>0</v>
      </c>
      <c r="AL4197">
        <v>0</v>
      </c>
      <c r="AM4197">
        <v>100</v>
      </c>
      <c r="AN4197">
        <v>0</v>
      </c>
      <c r="AO4197">
        <v>0</v>
      </c>
      <c r="AP4197">
        <v>0</v>
      </c>
      <c r="AQ4197">
        <v>0</v>
      </c>
      <c r="AS4197">
        <v>0</v>
      </c>
      <c r="AT4197">
        <v>0</v>
      </c>
      <c r="AV4197">
        <v>0</v>
      </c>
      <c r="AW4197">
        <v>0</v>
      </c>
      <c r="AY4197">
        <v>0</v>
      </c>
      <c r="AZ4197">
        <v>0</v>
      </c>
      <c r="BA4197">
        <v>60</v>
      </c>
      <c r="BE4197" t="str">
        <f>T("9791137017818")</f>
        <v>9791137017818</v>
      </c>
      <c r="BF4197" t="str">
        <f>T("D184246")</f>
        <v>D184246</v>
      </c>
      <c r="BG4197" t="str">
        <f>T("판타지 웹소설 &gt; 퓨전 판타지")</f>
        <v>판타지 웹소설 &gt; 퓨전 판타지</v>
      </c>
    </row>
    <row r="4198" spans="1:59">
      <c r="A4198" t="s">
        <v>60</v>
      </c>
      <c r="B4198" s="1">
        <v>46131</v>
      </c>
      <c r="C4198">
        <v>2378059085</v>
      </c>
      <c r="D4198">
        <v>2378080486</v>
      </c>
      <c r="E4198" t="str">
        <f>T("아카데미 악역 엑스트라로 사는 법 571화")</f>
        <v>아카데미 악역 엑스트라로 사는 법 571화</v>
      </c>
      <c r="F4198">
        <v>572</v>
      </c>
      <c r="G4198" t="str">
        <f>T("김서건")</f>
        <v>김서건</v>
      </c>
      <c r="J4198" t="str">
        <f>T("매드햇")</f>
        <v>매드햇</v>
      </c>
      <c r="K4198" t="str">
        <f>T("아카데미 악역 엑스트라로 사는 법")</f>
        <v>아카데미 악역 엑스트라로 사는 법</v>
      </c>
      <c r="L4198">
        <v>100</v>
      </c>
      <c r="M4198">
        <v>100</v>
      </c>
      <c r="N4198">
        <v>1</v>
      </c>
      <c r="O4198">
        <v>0</v>
      </c>
      <c r="P4198">
        <v>0</v>
      </c>
      <c r="Q4198">
        <v>0</v>
      </c>
      <c r="R4198">
        <v>0</v>
      </c>
      <c r="S4198">
        <v>0</v>
      </c>
      <c r="T4198">
        <v>0</v>
      </c>
      <c r="U4198">
        <v>0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0</v>
      </c>
      <c r="AE4198">
        <v>0</v>
      </c>
      <c r="AF4198">
        <v>0</v>
      </c>
      <c r="AG4198">
        <v>0</v>
      </c>
      <c r="AH4198">
        <v>0</v>
      </c>
      <c r="AI4198">
        <v>100</v>
      </c>
      <c r="AJ4198">
        <v>1</v>
      </c>
      <c r="AK4198">
        <v>0</v>
      </c>
      <c r="AL4198">
        <v>0</v>
      </c>
      <c r="AM4198">
        <v>100</v>
      </c>
      <c r="AN4198">
        <v>0</v>
      </c>
      <c r="AO4198">
        <v>0</v>
      </c>
      <c r="AP4198">
        <v>0</v>
      </c>
      <c r="AQ4198">
        <v>0</v>
      </c>
      <c r="AS4198">
        <v>0</v>
      </c>
      <c r="AT4198">
        <v>0</v>
      </c>
      <c r="AV4198">
        <v>0</v>
      </c>
      <c r="AW4198">
        <v>0</v>
      </c>
      <c r="AY4198">
        <v>0</v>
      </c>
      <c r="AZ4198">
        <v>0</v>
      </c>
      <c r="BA4198">
        <v>60</v>
      </c>
      <c r="BE4198" t="str">
        <f>T("9791137017818")</f>
        <v>9791137017818</v>
      </c>
      <c r="BF4198" t="str">
        <f>T("D203762")</f>
        <v>D203762</v>
      </c>
      <c r="BG4198" t="str">
        <f>T("판타지 웹소설 &gt; 퓨전 판타지")</f>
        <v>판타지 웹소설 &gt; 퓨전 판타지</v>
      </c>
    </row>
    <row r="4199" spans="1:59">
      <c r="A4199" t="s">
        <v>60</v>
      </c>
      <c r="B4199" s="1">
        <v>46131</v>
      </c>
      <c r="C4199">
        <v>2378059085</v>
      </c>
      <c r="D4199">
        <v>2378080488</v>
      </c>
      <c r="E4199" t="str">
        <f>T("아카데미 악역 엑스트라로 사는 법 572화")</f>
        <v>아카데미 악역 엑스트라로 사는 법 572화</v>
      </c>
      <c r="F4199">
        <v>573</v>
      </c>
      <c r="G4199" t="str">
        <f>T("김서건")</f>
        <v>김서건</v>
      </c>
      <c r="J4199" t="str">
        <f>T("매드햇")</f>
        <v>매드햇</v>
      </c>
      <c r="K4199" t="str">
        <f>T("아카데미 악역 엑스트라로 사는 법")</f>
        <v>아카데미 악역 엑스트라로 사는 법</v>
      </c>
      <c r="L4199">
        <v>100</v>
      </c>
      <c r="M4199">
        <v>100</v>
      </c>
      <c r="N4199">
        <v>1</v>
      </c>
      <c r="O4199">
        <v>0</v>
      </c>
      <c r="P4199">
        <v>0</v>
      </c>
      <c r="Q4199">
        <v>0</v>
      </c>
      <c r="R4199">
        <v>0</v>
      </c>
      <c r="S4199">
        <v>0</v>
      </c>
      <c r="T4199">
        <v>0</v>
      </c>
      <c r="U4199">
        <v>0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0</v>
      </c>
      <c r="AE4199">
        <v>0</v>
      </c>
      <c r="AF4199">
        <v>0</v>
      </c>
      <c r="AG4199">
        <v>0</v>
      </c>
      <c r="AH4199">
        <v>0</v>
      </c>
      <c r="AI4199">
        <v>100</v>
      </c>
      <c r="AJ4199">
        <v>1</v>
      </c>
      <c r="AK4199">
        <v>0</v>
      </c>
      <c r="AL4199">
        <v>0</v>
      </c>
      <c r="AM4199">
        <v>100</v>
      </c>
      <c r="AN4199">
        <v>0</v>
      </c>
      <c r="AO4199">
        <v>0</v>
      </c>
      <c r="AP4199">
        <v>0</v>
      </c>
      <c r="AQ4199">
        <v>0</v>
      </c>
      <c r="AS4199">
        <v>0</v>
      </c>
      <c r="AT4199">
        <v>0</v>
      </c>
      <c r="AV4199">
        <v>0</v>
      </c>
      <c r="AW4199">
        <v>0</v>
      </c>
      <c r="AY4199">
        <v>0</v>
      </c>
      <c r="AZ4199">
        <v>0</v>
      </c>
      <c r="BA4199">
        <v>60</v>
      </c>
      <c r="BE4199" t="str">
        <f>T("9791137017818")</f>
        <v>9791137017818</v>
      </c>
      <c r="BF4199" t="str">
        <f>T("D203763")</f>
        <v>D203763</v>
      </c>
      <c r="BG4199" t="str">
        <f>T("판타지 웹소설 &gt; 퓨전 판타지")</f>
        <v>판타지 웹소설 &gt; 퓨전 판타지</v>
      </c>
    </row>
    <row r="4200" spans="1:59">
      <c r="A4200" t="s">
        <v>60</v>
      </c>
      <c r="B4200" s="1">
        <v>46131</v>
      </c>
      <c r="C4200">
        <v>2378059085</v>
      </c>
      <c r="D4200">
        <v>2378080491</v>
      </c>
      <c r="E4200" t="str">
        <f>T("아카데미 악역 엑스트라로 사는 법 573화")</f>
        <v>아카데미 악역 엑스트라로 사는 법 573화</v>
      </c>
      <c r="F4200">
        <v>574</v>
      </c>
      <c r="G4200" t="str">
        <f>T("김서건")</f>
        <v>김서건</v>
      </c>
      <c r="J4200" t="str">
        <f>T("매드햇")</f>
        <v>매드햇</v>
      </c>
      <c r="K4200" t="str">
        <f>T("아카데미 악역 엑스트라로 사는 법")</f>
        <v>아카데미 악역 엑스트라로 사는 법</v>
      </c>
      <c r="L4200">
        <v>100</v>
      </c>
      <c r="M4200">
        <v>100</v>
      </c>
      <c r="N4200">
        <v>1</v>
      </c>
      <c r="O4200">
        <v>0</v>
      </c>
      <c r="P4200">
        <v>0</v>
      </c>
      <c r="Q4200">
        <v>0</v>
      </c>
      <c r="R4200">
        <v>0</v>
      </c>
      <c r="S4200">
        <v>0</v>
      </c>
      <c r="T4200">
        <v>0</v>
      </c>
      <c r="U4200">
        <v>0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0</v>
      </c>
      <c r="AE4200">
        <v>0</v>
      </c>
      <c r="AF4200">
        <v>0</v>
      </c>
      <c r="AG4200">
        <v>0</v>
      </c>
      <c r="AH4200">
        <v>0</v>
      </c>
      <c r="AI4200">
        <v>100</v>
      </c>
      <c r="AJ4200">
        <v>1</v>
      </c>
      <c r="AK4200">
        <v>0</v>
      </c>
      <c r="AL4200">
        <v>0</v>
      </c>
      <c r="AM4200">
        <v>100</v>
      </c>
      <c r="AN4200">
        <v>0</v>
      </c>
      <c r="AO4200">
        <v>0</v>
      </c>
      <c r="AP4200">
        <v>0</v>
      </c>
      <c r="AQ4200">
        <v>0</v>
      </c>
      <c r="AS4200">
        <v>0</v>
      </c>
      <c r="AT4200">
        <v>0</v>
      </c>
      <c r="AV4200">
        <v>0</v>
      </c>
      <c r="AW4200">
        <v>0</v>
      </c>
      <c r="AY4200">
        <v>0</v>
      </c>
      <c r="AZ4200">
        <v>0</v>
      </c>
      <c r="BA4200">
        <v>60</v>
      </c>
      <c r="BE4200" t="str">
        <f>T("9791137017818")</f>
        <v>9791137017818</v>
      </c>
      <c r="BF4200" t="str">
        <f>T("D203764")</f>
        <v>D203764</v>
      </c>
      <c r="BG4200" t="str">
        <f>T("판타지 웹소설 &gt; 퓨전 판타지")</f>
        <v>판타지 웹소설 &gt; 퓨전 판타지</v>
      </c>
    </row>
    <row r="4201" spans="1:59">
      <c r="A4201" t="s">
        <v>60</v>
      </c>
      <c r="B4201" s="1">
        <v>46131</v>
      </c>
      <c r="C4201">
        <v>2378059085</v>
      </c>
      <c r="D4201">
        <v>2378080506</v>
      </c>
      <c r="E4201" t="str">
        <f>T("아카데미 악역 엑스트라로 사는 법 574화")</f>
        <v>아카데미 악역 엑스트라로 사는 법 574화</v>
      </c>
      <c r="F4201">
        <v>575</v>
      </c>
      <c r="G4201" t="str">
        <f>T("김서건")</f>
        <v>김서건</v>
      </c>
      <c r="J4201" t="str">
        <f>T("매드햇")</f>
        <v>매드햇</v>
      </c>
      <c r="K4201" t="str">
        <f>T("아카데미 악역 엑스트라로 사는 법")</f>
        <v>아카데미 악역 엑스트라로 사는 법</v>
      </c>
      <c r="L4201">
        <v>100</v>
      </c>
      <c r="M4201">
        <v>100</v>
      </c>
      <c r="N4201">
        <v>1</v>
      </c>
      <c r="O4201">
        <v>0</v>
      </c>
      <c r="P4201">
        <v>0</v>
      </c>
      <c r="Q4201">
        <v>0</v>
      </c>
      <c r="R4201">
        <v>0</v>
      </c>
      <c r="S4201">
        <v>0</v>
      </c>
      <c r="T4201">
        <v>0</v>
      </c>
      <c r="U4201">
        <v>0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0</v>
      </c>
      <c r="AE4201">
        <v>0</v>
      </c>
      <c r="AF4201">
        <v>0</v>
      </c>
      <c r="AG4201">
        <v>0</v>
      </c>
      <c r="AH4201">
        <v>0</v>
      </c>
      <c r="AI4201">
        <v>100</v>
      </c>
      <c r="AJ4201">
        <v>1</v>
      </c>
      <c r="AK4201">
        <v>0</v>
      </c>
      <c r="AL4201">
        <v>0</v>
      </c>
      <c r="AM4201">
        <v>100</v>
      </c>
      <c r="AN4201">
        <v>0</v>
      </c>
      <c r="AO4201">
        <v>0</v>
      </c>
      <c r="AP4201">
        <v>0</v>
      </c>
      <c r="AQ4201">
        <v>0</v>
      </c>
      <c r="AS4201">
        <v>0</v>
      </c>
      <c r="AT4201">
        <v>0</v>
      </c>
      <c r="AV4201">
        <v>0</v>
      </c>
      <c r="AW4201">
        <v>0</v>
      </c>
      <c r="AY4201">
        <v>0</v>
      </c>
      <c r="AZ4201">
        <v>0</v>
      </c>
      <c r="BA4201">
        <v>60</v>
      </c>
      <c r="BE4201" t="str">
        <f>T("9791137017818")</f>
        <v>9791137017818</v>
      </c>
      <c r="BF4201" t="str">
        <f>T("D203765")</f>
        <v>D203765</v>
      </c>
      <c r="BG4201" t="str">
        <f>T("판타지 웹소설 &gt; 퓨전 판타지")</f>
        <v>판타지 웹소설 &gt; 퓨전 판타지</v>
      </c>
    </row>
    <row r="4202" spans="1:59">
      <c r="A4202" t="s">
        <v>60</v>
      </c>
      <c r="B4202" s="1">
        <v>46131</v>
      </c>
      <c r="C4202">
        <v>2378059085</v>
      </c>
      <c r="D4202">
        <v>2378080507</v>
      </c>
      <c r="E4202" t="str">
        <f>T("아카데미 악역 엑스트라로 사는 법 575화")</f>
        <v>아카데미 악역 엑스트라로 사는 법 575화</v>
      </c>
      <c r="F4202">
        <v>576</v>
      </c>
      <c r="G4202" t="str">
        <f>T("김서건")</f>
        <v>김서건</v>
      </c>
      <c r="J4202" t="str">
        <f>T("매드햇")</f>
        <v>매드햇</v>
      </c>
      <c r="K4202" t="str">
        <f>T("아카데미 악역 엑스트라로 사는 법")</f>
        <v>아카데미 악역 엑스트라로 사는 법</v>
      </c>
      <c r="L4202">
        <v>100</v>
      </c>
      <c r="M4202">
        <v>100</v>
      </c>
      <c r="N4202">
        <v>1</v>
      </c>
      <c r="O4202">
        <v>0</v>
      </c>
      <c r="P4202">
        <v>0</v>
      </c>
      <c r="Q4202">
        <v>0</v>
      </c>
      <c r="R4202">
        <v>0</v>
      </c>
      <c r="S4202">
        <v>0</v>
      </c>
      <c r="T4202">
        <v>0</v>
      </c>
      <c r="U4202">
        <v>0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0</v>
      </c>
      <c r="AE4202">
        <v>0</v>
      </c>
      <c r="AF4202">
        <v>0</v>
      </c>
      <c r="AG4202">
        <v>0</v>
      </c>
      <c r="AH4202">
        <v>0</v>
      </c>
      <c r="AI4202">
        <v>100</v>
      </c>
      <c r="AJ4202">
        <v>1</v>
      </c>
      <c r="AK4202">
        <v>0</v>
      </c>
      <c r="AL4202">
        <v>0</v>
      </c>
      <c r="AM4202">
        <v>100</v>
      </c>
      <c r="AN4202">
        <v>0</v>
      </c>
      <c r="AO4202">
        <v>0</v>
      </c>
      <c r="AP4202">
        <v>0</v>
      </c>
      <c r="AQ4202">
        <v>0</v>
      </c>
      <c r="AS4202">
        <v>0</v>
      </c>
      <c r="AT4202">
        <v>0</v>
      </c>
      <c r="AV4202">
        <v>0</v>
      </c>
      <c r="AW4202">
        <v>0</v>
      </c>
      <c r="AY4202">
        <v>0</v>
      </c>
      <c r="AZ4202">
        <v>0</v>
      </c>
      <c r="BA4202">
        <v>60</v>
      </c>
      <c r="BE4202" t="str">
        <f>T("9791137017818")</f>
        <v>9791137017818</v>
      </c>
      <c r="BF4202" t="str">
        <f>T("D203766")</f>
        <v>D203766</v>
      </c>
      <c r="BG4202" t="str">
        <f>T("판타지 웹소설 &gt; 퓨전 판타지")</f>
        <v>판타지 웹소설 &gt; 퓨전 판타지</v>
      </c>
    </row>
    <row r="4203" spans="1:59">
      <c r="A4203" t="s">
        <v>60</v>
      </c>
      <c r="B4203" s="1">
        <v>46131</v>
      </c>
      <c r="C4203">
        <v>2378059085</v>
      </c>
      <c r="D4203">
        <v>2378080508</v>
      </c>
      <c r="E4203" t="str">
        <f>T("아카데미 악역 엑스트라로 사는 법 576화")</f>
        <v>아카데미 악역 엑스트라로 사는 법 576화</v>
      </c>
      <c r="F4203">
        <v>577</v>
      </c>
      <c r="G4203" t="str">
        <f>T("김서건")</f>
        <v>김서건</v>
      </c>
      <c r="J4203" t="str">
        <f>T("매드햇")</f>
        <v>매드햇</v>
      </c>
      <c r="K4203" t="str">
        <f>T("아카데미 악역 엑스트라로 사는 법")</f>
        <v>아카데미 악역 엑스트라로 사는 법</v>
      </c>
      <c r="L4203">
        <v>100</v>
      </c>
      <c r="M4203">
        <v>100</v>
      </c>
      <c r="N4203">
        <v>1</v>
      </c>
      <c r="O4203">
        <v>0</v>
      </c>
      <c r="P4203">
        <v>0</v>
      </c>
      <c r="Q4203">
        <v>0</v>
      </c>
      <c r="R4203">
        <v>0</v>
      </c>
      <c r="S4203">
        <v>0</v>
      </c>
      <c r="T4203">
        <v>0</v>
      </c>
      <c r="U4203">
        <v>0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0</v>
      </c>
      <c r="AE4203">
        <v>0</v>
      </c>
      <c r="AF4203">
        <v>0</v>
      </c>
      <c r="AG4203">
        <v>0</v>
      </c>
      <c r="AH4203">
        <v>0</v>
      </c>
      <c r="AI4203">
        <v>100</v>
      </c>
      <c r="AJ4203">
        <v>1</v>
      </c>
      <c r="AK4203">
        <v>0</v>
      </c>
      <c r="AL4203">
        <v>0</v>
      </c>
      <c r="AM4203">
        <v>100</v>
      </c>
      <c r="AN4203">
        <v>0</v>
      </c>
      <c r="AO4203">
        <v>0</v>
      </c>
      <c r="AP4203">
        <v>0</v>
      </c>
      <c r="AQ4203">
        <v>0</v>
      </c>
      <c r="AS4203">
        <v>0</v>
      </c>
      <c r="AT4203">
        <v>0</v>
      </c>
      <c r="AV4203">
        <v>0</v>
      </c>
      <c r="AW4203">
        <v>0</v>
      </c>
      <c r="AY4203">
        <v>0</v>
      </c>
      <c r="AZ4203">
        <v>0</v>
      </c>
      <c r="BA4203">
        <v>60</v>
      </c>
      <c r="BE4203" t="str">
        <f>T("9791137017818")</f>
        <v>9791137017818</v>
      </c>
      <c r="BF4203" t="str">
        <f>T("D203767")</f>
        <v>D203767</v>
      </c>
      <c r="BG4203" t="str">
        <f>T("판타지 웹소설 &gt; 퓨전 판타지")</f>
        <v>판타지 웹소설 &gt; 퓨전 판타지</v>
      </c>
    </row>
    <row r="4204" spans="1:59">
      <c r="A4204" t="s">
        <v>60</v>
      </c>
      <c r="B4204" s="1">
        <v>46131</v>
      </c>
      <c r="C4204">
        <v>2378059085</v>
      </c>
      <c r="D4204">
        <v>2378080512</v>
      </c>
      <c r="E4204" t="str">
        <f>T("아카데미 악역 엑스트라로 사는 법 577화")</f>
        <v>아카데미 악역 엑스트라로 사는 법 577화</v>
      </c>
      <c r="F4204">
        <v>578</v>
      </c>
      <c r="G4204" t="str">
        <f>T("김서건")</f>
        <v>김서건</v>
      </c>
      <c r="J4204" t="str">
        <f>T("매드햇")</f>
        <v>매드햇</v>
      </c>
      <c r="K4204" t="str">
        <f>T("아카데미 악역 엑스트라로 사는 법")</f>
        <v>아카데미 악역 엑스트라로 사는 법</v>
      </c>
      <c r="L4204">
        <v>100</v>
      </c>
      <c r="M4204">
        <v>100</v>
      </c>
      <c r="N4204">
        <v>1</v>
      </c>
      <c r="O4204">
        <v>0</v>
      </c>
      <c r="P4204">
        <v>0</v>
      </c>
      <c r="Q4204">
        <v>0</v>
      </c>
      <c r="R4204">
        <v>0</v>
      </c>
      <c r="S4204">
        <v>0</v>
      </c>
      <c r="T4204">
        <v>0</v>
      </c>
      <c r="U4204">
        <v>0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0</v>
      </c>
      <c r="AE4204">
        <v>0</v>
      </c>
      <c r="AF4204">
        <v>0</v>
      </c>
      <c r="AG4204">
        <v>0</v>
      </c>
      <c r="AH4204">
        <v>0</v>
      </c>
      <c r="AI4204">
        <v>100</v>
      </c>
      <c r="AJ4204">
        <v>1</v>
      </c>
      <c r="AK4204">
        <v>0</v>
      </c>
      <c r="AL4204">
        <v>0</v>
      </c>
      <c r="AM4204">
        <v>100</v>
      </c>
      <c r="AN4204">
        <v>0</v>
      </c>
      <c r="AO4204">
        <v>0</v>
      </c>
      <c r="AP4204">
        <v>0</v>
      </c>
      <c r="AQ4204">
        <v>0</v>
      </c>
      <c r="AS4204">
        <v>0</v>
      </c>
      <c r="AT4204">
        <v>0</v>
      </c>
      <c r="AV4204">
        <v>0</v>
      </c>
      <c r="AW4204">
        <v>0</v>
      </c>
      <c r="AY4204">
        <v>0</v>
      </c>
      <c r="AZ4204">
        <v>0</v>
      </c>
      <c r="BA4204">
        <v>60</v>
      </c>
      <c r="BE4204" t="str">
        <f>T("9791137017818")</f>
        <v>9791137017818</v>
      </c>
      <c r="BF4204" t="str">
        <f>T("D203768")</f>
        <v>D203768</v>
      </c>
      <c r="BG4204" t="str">
        <f>T("판타지 웹소설 &gt; 퓨전 판타지")</f>
        <v>판타지 웹소설 &gt; 퓨전 판타지</v>
      </c>
    </row>
    <row r="4205" spans="1:59">
      <c r="A4205" t="s">
        <v>60</v>
      </c>
      <c r="B4205" s="1">
        <v>46131</v>
      </c>
      <c r="C4205">
        <v>2378059085</v>
      </c>
      <c r="D4205">
        <v>2378080513</v>
      </c>
      <c r="E4205" t="str">
        <f>T("아카데미 악역 엑스트라로 사는 법 578화")</f>
        <v>아카데미 악역 엑스트라로 사는 법 578화</v>
      </c>
      <c r="F4205">
        <v>579</v>
      </c>
      <c r="G4205" t="str">
        <f>T("김서건")</f>
        <v>김서건</v>
      </c>
      <c r="J4205" t="str">
        <f>T("매드햇")</f>
        <v>매드햇</v>
      </c>
      <c r="K4205" t="str">
        <f>T("아카데미 악역 엑스트라로 사는 법")</f>
        <v>아카데미 악역 엑스트라로 사는 법</v>
      </c>
      <c r="L4205">
        <v>100</v>
      </c>
      <c r="M4205">
        <v>100</v>
      </c>
      <c r="N4205">
        <v>1</v>
      </c>
      <c r="O4205">
        <v>0</v>
      </c>
      <c r="P4205">
        <v>0</v>
      </c>
      <c r="Q4205">
        <v>0</v>
      </c>
      <c r="R4205">
        <v>0</v>
      </c>
      <c r="S4205">
        <v>0</v>
      </c>
      <c r="T4205">
        <v>0</v>
      </c>
      <c r="U4205">
        <v>0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0</v>
      </c>
      <c r="AE4205">
        <v>0</v>
      </c>
      <c r="AF4205">
        <v>0</v>
      </c>
      <c r="AG4205">
        <v>0</v>
      </c>
      <c r="AH4205">
        <v>0</v>
      </c>
      <c r="AI4205">
        <v>100</v>
      </c>
      <c r="AJ4205">
        <v>1</v>
      </c>
      <c r="AK4205">
        <v>0</v>
      </c>
      <c r="AL4205">
        <v>0</v>
      </c>
      <c r="AM4205">
        <v>100</v>
      </c>
      <c r="AN4205">
        <v>0</v>
      </c>
      <c r="AO4205">
        <v>0</v>
      </c>
      <c r="AP4205">
        <v>0</v>
      </c>
      <c r="AQ4205">
        <v>0</v>
      </c>
      <c r="AS4205">
        <v>0</v>
      </c>
      <c r="AT4205">
        <v>0</v>
      </c>
      <c r="AV4205">
        <v>0</v>
      </c>
      <c r="AW4205">
        <v>0</v>
      </c>
      <c r="AY4205">
        <v>0</v>
      </c>
      <c r="AZ4205">
        <v>0</v>
      </c>
      <c r="BA4205">
        <v>60</v>
      </c>
      <c r="BE4205" t="str">
        <f>T("9791137017818")</f>
        <v>9791137017818</v>
      </c>
      <c r="BF4205" t="str">
        <f>T("D203769")</f>
        <v>D203769</v>
      </c>
      <c r="BG4205" t="str">
        <f>T("판타지 웹소설 &gt; 퓨전 판타지")</f>
        <v>판타지 웹소설 &gt; 퓨전 판타지</v>
      </c>
    </row>
    <row r="4206" spans="1:59">
      <c r="A4206" t="s">
        <v>60</v>
      </c>
      <c r="B4206" s="1">
        <v>46131</v>
      </c>
      <c r="C4206">
        <v>2378059085</v>
      </c>
      <c r="D4206">
        <v>2378080518</v>
      </c>
      <c r="E4206" t="str">
        <f>T("아카데미 악역 엑스트라로 사는 법 579화")</f>
        <v>아카데미 악역 엑스트라로 사는 법 579화</v>
      </c>
      <c r="F4206">
        <v>580</v>
      </c>
      <c r="G4206" t="str">
        <f>T("김서건")</f>
        <v>김서건</v>
      </c>
      <c r="J4206" t="str">
        <f>T("매드햇")</f>
        <v>매드햇</v>
      </c>
      <c r="K4206" t="str">
        <f>T("아카데미 악역 엑스트라로 사는 법")</f>
        <v>아카데미 악역 엑스트라로 사는 법</v>
      </c>
      <c r="L4206">
        <v>100</v>
      </c>
      <c r="M4206">
        <v>100</v>
      </c>
      <c r="N4206">
        <v>1</v>
      </c>
      <c r="O4206">
        <v>0</v>
      </c>
      <c r="P4206">
        <v>0</v>
      </c>
      <c r="Q4206">
        <v>0</v>
      </c>
      <c r="R4206">
        <v>0</v>
      </c>
      <c r="S4206">
        <v>0</v>
      </c>
      <c r="T4206">
        <v>0</v>
      </c>
      <c r="U4206">
        <v>0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0</v>
      </c>
      <c r="AE4206">
        <v>0</v>
      </c>
      <c r="AF4206">
        <v>0</v>
      </c>
      <c r="AG4206">
        <v>0</v>
      </c>
      <c r="AH4206">
        <v>0</v>
      </c>
      <c r="AI4206">
        <v>100</v>
      </c>
      <c r="AJ4206">
        <v>1</v>
      </c>
      <c r="AK4206">
        <v>0</v>
      </c>
      <c r="AL4206">
        <v>0</v>
      </c>
      <c r="AM4206">
        <v>100</v>
      </c>
      <c r="AN4206">
        <v>0</v>
      </c>
      <c r="AO4206">
        <v>0</v>
      </c>
      <c r="AP4206">
        <v>0</v>
      </c>
      <c r="AQ4206">
        <v>0</v>
      </c>
      <c r="AS4206">
        <v>0</v>
      </c>
      <c r="AT4206">
        <v>0</v>
      </c>
      <c r="AV4206">
        <v>0</v>
      </c>
      <c r="AW4206">
        <v>0</v>
      </c>
      <c r="AY4206">
        <v>0</v>
      </c>
      <c r="AZ4206">
        <v>0</v>
      </c>
      <c r="BA4206">
        <v>60</v>
      </c>
      <c r="BE4206" t="str">
        <f>T("9791137017818")</f>
        <v>9791137017818</v>
      </c>
      <c r="BF4206" t="str">
        <f>T("D203770")</f>
        <v>D203770</v>
      </c>
      <c r="BG4206" t="str">
        <f>T("판타지 웹소설 &gt; 퓨전 판타지")</f>
        <v>판타지 웹소설 &gt; 퓨전 판타지</v>
      </c>
    </row>
    <row r="4207" spans="1:59">
      <c r="A4207" t="s">
        <v>60</v>
      </c>
      <c r="B4207" s="1">
        <v>46131</v>
      </c>
      <c r="C4207">
        <v>2378059085</v>
      </c>
      <c r="D4207">
        <v>2378080527</v>
      </c>
      <c r="E4207" t="str">
        <f>T("아카데미 악역 엑스트라로 사는 법 580화")</f>
        <v>아카데미 악역 엑스트라로 사는 법 580화</v>
      </c>
      <c r="F4207">
        <v>581</v>
      </c>
      <c r="G4207" t="str">
        <f>T("김서건")</f>
        <v>김서건</v>
      </c>
      <c r="J4207" t="str">
        <f>T("매드햇")</f>
        <v>매드햇</v>
      </c>
      <c r="K4207" t="str">
        <f>T("아카데미 악역 엑스트라로 사는 법")</f>
        <v>아카데미 악역 엑스트라로 사는 법</v>
      </c>
      <c r="L4207">
        <v>100</v>
      </c>
      <c r="M4207">
        <v>100</v>
      </c>
      <c r="N4207">
        <v>1</v>
      </c>
      <c r="O4207">
        <v>0</v>
      </c>
      <c r="P4207">
        <v>0</v>
      </c>
      <c r="Q4207">
        <v>0</v>
      </c>
      <c r="R4207">
        <v>0</v>
      </c>
      <c r="S4207">
        <v>0</v>
      </c>
      <c r="T4207">
        <v>0</v>
      </c>
      <c r="U4207">
        <v>0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0</v>
      </c>
      <c r="AE4207">
        <v>0</v>
      </c>
      <c r="AF4207">
        <v>0</v>
      </c>
      <c r="AG4207">
        <v>0</v>
      </c>
      <c r="AH4207">
        <v>0</v>
      </c>
      <c r="AI4207">
        <v>100</v>
      </c>
      <c r="AJ4207">
        <v>1</v>
      </c>
      <c r="AK4207">
        <v>0</v>
      </c>
      <c r="AL4207">
        <v>0</v>
      </c>
      <c r="AM4207">
        <v>100</v>
      </c>
      <c r="AN4207">
        <v>0</v>
      </c>
      <c r="AO4207">
        <v>0</v>
      </c>
      <c r="AP4207">
        <v>0</v>
      </c>
      <c r="AQ4207">
        <v>0</v>
      </c>
      <c r="AS4207">
        <v>0</v>
      </c>
      <c r="AT4207">
        <v>0</v>
      </c>
      <c r="AV4207">
        <v>0</v>
      </c>
      <c r="AW4207">
        <v>0</v>
      </c>
      <c r="AY4207">
        <v>0</v>
      </c>
      <c r="AZ4207">
        <v>0</v>
      </c>
      <c r="BA4207">
        <v>60</v>
      </c>
      <c r="BE4207" t="str">
        <f>T("9791137017818")</f>
        <v>9791137017818</v>
      </c>
      <c r="BF4207" t="str">
        <f>T("D203771")</f>
        <v>D203771</v>
      </c>
      <c r="BG4207" t="str">
        <f>T("판타지 웹소설 &gt; 퓨전 판타지")</f>
        <v>판타지 웹소설 &gt; 퓨전 판타지</v>
      </c>
    </row>
    <row r="4208" spans="1:59">
      <c r="A4208" t="s">
        <v>60</v>
      </c>
      <c r="B4208" s="1">
        <v>46131</v>
      </c>
      <c r="C4208">
        <v>2378059085</v>
      </c>
      <c r="D4208">
        <v>2378080893</v>
      </c>
      <c r="E4208" t="str">
        <f>T("아카데미 악역 엑스트라로 사는 법 581화")</f>
        <v>아카데미 악역 엑스트라로 사는 법 581화</v>
      </c>
      <c r="F4208">
        <v>582</v>
      </c>
      <c r="G4208" t="str">
        <f>T("김서건")</f>
        <v>김서건</v>
      </c>
      <c r="J4208" t="str">
        <f>T("매드햇")</f>
        <v>매드햇</v>
      </c>
      <c r="K4208" t="str">
        <f>T("아카데미 악역 엑스트라로 사는 법")</f>
        <v>아카데미 악역 엑스트라로 사는 법</v>
      </c>
      <c r="L4208">
        <v>100</v>
      </c>
      <c r="M4208">
        <v>100</v>
      </c>
      <c r="N4208">
        <v>1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0</v>
      </c>
      <c r="AE4208">
        <v>0</v>
      </c>
      <c r="AF4208">
        <v>0</v>
      </c>
      <c r="AG4208">
        <v>0</v>
      </c>
      <c r="AH4208">
        <v>0</v>
      </c>
      <c r="AI4208">
        <v>100</v>
      </c>
      <c r="AJ4208">
        <v>1</v>
      </c>
      <c r="AK4208">
        <v>0</v>
      </c>
      <c r="AL4208">
        <v>0</v>
      </c>
      <c r="AM4208">
        <v>100</v>
      </c>
      <c r="AN4208">
        <v>0</v>
      </c>
      <c r="AO4208">
        <v>0</v>
      </c>
      <c r="AP4208">
        <v>0</v>
      </c>
      <c r="AQ4208">
        <v>0</v>
      </c>
      <c r="AS4208">
        <v>0</v>
      </c>
      <c r="AT4208">
        <v>0</v>
      </c>
      <c r="AV4208">
        <v>0</v>
      </c>
      <c r="AW4208">
        <v>0</v>
      </c>
      <c r="AY4208">
        <v>0</v>
      </c>
      <c r="AZ4208">
        <v>0</v>
      </c>
      <c r="BA4208">
        <v>60</v>
      </c>
      <c r="BE4208" t="str">
        <f>T("9791137017818")</f>
        <v>9791137017818</v>
      </c>
      <c r="BF4208" t="str">
        <f>T("D227198")</f>
        <v>D227198</v>
      </c>
      <c r="BG4208" t="str">
        <f>T("판타지 웹소설 &gt; 퓨전 판타지")</f>
        <v>판타지 웹소설 &gt; 퓨전 판타지</v>
      </c>
    </row>
    <row r="4209" spans="1:59">
      <c r="A4209" t="s">
        <v>60</v>
      </c>
      <c r="B4209" s="1">
        <v>46131</v>
      </c>
      <c r="C4209">
        <v>2378059085</v>
      </c>
      <c r="D4209">
        <v>2378081006</v>
      </c>
      <c r="E4209" t="str">
        <f>T("아카데미 악역 엑스트라로 사는 법 582화")</f>
        <v>아카데미 악역 엑스트라로 사는 법 582화</v>
      </c>
      <c r="F4209">
        <v>583</v>
      </c>
      <c r="G4209" t="str">
        <f>T("김서건")</f>
        <v>김서건</v>
      </c>
      <c r="J4209" t="str">
        <f>T("매드햇")</f>
        <v>매드햇</v>
      </c>
      <c r="K4209" t="str">
        <f>T("아카데미 악역 엑스트라로 사는 법")</f>
        <v>아카데미 악역 엑스트라로 사는 법</v>
      </c>
      <c r="L4209">
        <v>100</v>
      </c>
      <c r="M4209">
        <v>100</v>
      </c>
      <c r="N4209">
        <v>1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0</v>
      </c>
      <c r="AE4209">
        <v>0</v>
      </c>
      <c r="AF4209">
        <v>0</v>
      </c>
      <c r="AG4209">
        <v>0</v>
      </c>
      <c r="AH4209">
        <v>0</v>
      </c>
      <c r="AI4209">
        <v>100</v>
      </c>
      <c r="AJ4209">
        <v>1</v>
      </c>
      <c r="AK4209">
        <v>0</v>
      </c>
      <c r="AL4209">
        <v>0</v>
      </c>
      <c r="AM4209">
        <v>100</v>
      </c>
      <c r="AN4209">
        <v>0</v>
      </c>
      <c r="AO4209">
        <v>0</v>
      </c>
      <c r="AP4209">
        <v>0</v>
      </c>
      <c r="AQ4209">
        <v>0</v>
      </c>
      <c r="AS4209">
        <v>0</v>
      </c>
      <c r="AT4209">
        <v>0</v>
      </c>
      <c r="AV4209">
        <v>0</v>
      </c>
      <c r="AW4209">
        <v>0</v>
      </c>
      <c r="AY4209">
        <v>0</v>
      </c>
      <c r="AZ4209">
        <v>0</v>
      </c>
      <c r="BA4209">
        <v>60</v>
      </c>
      <c r="BE4209" t="str">
        <f>T("9791137017818")</f>
        <v>9791137017818</v>
      </c>
      <c r="BF4209" t="str">
        <f>T("D227199")</f>
        <v>D227199</v>
      </c>
      <c r="BG4209" t="str">
        <f>T("판타지 웹소설 &gt; 퓨전 판타지")</f>
        <v>판타지 웹소설 &gt; 퓨전 판타지</v>
      </c>
    </row>
    <row r="4210" spans="1:59">
      <c r="A4210" t="s">
        <v>60</v>
      </c>
      <c r="B4210" s="1">
        <v>46131</v>
      </c>
      <c r="C4210">
        <v>2378059085</v>
      </c>
      <c r="D4210">
        <v>2378081019</v>
      </c>
      <c r="E4210" t="str">
        <f>T("아카데미 악역 엑스트라로 사는 법 583화")</f>
        <v>아카데미 악역 엑스트라로 사는 법 583화</v>
      </c>
      <c r="F4210">
        <v>584</v>
      </c>
      <c r="G4210" t="str">
        <f>T("김서건")</f>
        <v>김서건</v>
      </c>
      <c r="J4210" t="str">
        <f>T("매드햇")</f>
        <v>매드햇</v>
      </c>
      <c r="K4210" t="str">
        <f>T("아카데미 악역 엑스트라로 사는 법")</f>
        <v>아카데미 악역 엑스트라로 사는 법</v>
      </c>
      <c r="L4210">
        <v>100</v>
      </c>
      <c r="M4210">
        <v>100</v>
      </c>
      <c r="N4210">
        <v>1</v>
      </c>
      <c r="O4210">
        <v>0</v>
      </c>
      <c r="P4210">
        <v>0</v>
      </c>
      <c r="Q4210">
        <v>0</v>
      </c>
      <c r="R4210">
        <v>0</v>
      </c>
      <c r="S4210">
        <v>0</v>
      </c>
      <c r="T4210">
        <v>0</v>
      </c>
      <c r="U4210">
        <v>0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0</v>
      </c>
      <c r="AE4210">
        <v>0</v>
      </c>
      <c r="AF4210">
        <v>0</v>
      </c>
      <c r="AG4210">
        <v>0</v>
      </c>
      <c r="AH4210">
        <v>0</v>
      </c>
      <c r="AI4210">
        <v>100</v>
      </c>
      <c r="AJ4210">
        <v>1</v>
      </c>
      <c r="AK4210">
        <v>0</v>
      </c>
      <c r="AL4210">
        <v>0</v>
      </c>
      <c r="AM4210">
        <v>100</v>
      </c>
      <c r="AN4210">
        <v>0</v>
      </c>
      <c r="AO4210">
        <v>0</v>
      </c>
      <c r="AP4210">
        <v>0</v>
      </c>
      <c r="AQ4210">
        <v>0</v>
      </c>
      <c r="AS4210">
        <v>0</v>
      </c>
      <c r="AT4210">
        <v>0</v>
      </c>
      <c r="AV4210">
        <v>0</v>
      </c>
      <c r="AW4210">
        <v>0</v>
      </c>
      <c r="AY4210">
        <v>0</v>
      </c>
      <c r="AZ4210">
        <v>0</v>
      </c>
      <c r="BA4210">
        <v>60</v>
      </c>
      <c r="BE4210" t="str">
        <f>T("9791137017818")</f>
        <v>9791137017818</v>
      </c>
      <c r="BF4210" t="str">
        <f>T("D227200")</f>
        <v>D227200</v>
      </c>
      <c r="BG4210" t="str">
        <f>T("판타지 웹소설 &gt; 퓨전 판타지")</f>
        <v>판타지 웹소설 &gt; 퓨전 판타지</v>
      </c>
    </row>
    <row r="4211" spans="1:59">
      <c r="A4211" t="s">
        <v>60</v>
      </c>
      <c r="B4211" s="1">
        <v>46131</v>
      </c>
      <c r="C4211">
        <v>2378059085</v>
      </c>
      <c r="D4211">
        <v>2378081027</v>
      </c>
      <c r="E4211" t="str">
        <f>T("아카데미 악역 엑스트라로 사는 법 584화")</f>
        <v>아카데미 악역 엑스트라로 사는 법 584화</v>
      </c>
      <c r="F4211">
        <v>585</v>
      </c>
      <c r="G4211" t="str">
        <f>T("김서건")</f>
        <v>김서건</v>
      </c>
      <c r="J4211" t="str">
        <f>T("매드햇")</f>
        <v>매드햇</v>
      </c>
      <c r="K4211" t="str">
        <f>T("아카데미 악역 엑스트라로 사는 법")</f>
        <v>아카데미 악역 엑스트라로 사는 법</v>
      </c>
      <c r="L4211">
        <v>100</v>
      </c>
      <c r="M4211">
        <v>100</v>
      </c>
      <c r="N4211">
        <v>1</v>
      </c>
      <c r="O4211">
        <v>0</v>
      </c>
      <c r="P4211">
        <v>0</v>
      </c>
      <c r="Q4211">
        <v>0</v>
      </c>
      <c r="R4211">
        <v>0</v>
      </c>
      <c r="S4211">
        <v>0</v>
      </c>
      <c r="T4211">
        <v>0</v>
      </c>
      <c r="U4211">
        <v>0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0</v>
      </c>
      <c r="AE4211">
        <v>0</v>
      </c>
      <c r="AF4211">
        <v>0</v>
      </c>
      <c r="AG4211">
        <v>0</v>
      </c>
      <c r="AH4211">
        <v>0</v>
      </c>
      <c r="AI4211">
        <v>100</v>
      </c>
      <c r="AJ4211">
        <v>1</v>
      </c>
      <c r="AK4211">
        <v>0</v>
      </c>
      <c r="AL4211">
        <v>0</v>
      </c>
      <c r="AM4211">
        <v>100</v>
      </c>
      <c r="AN4211">
        <v>0</v>
      </c>
      <c r="AO4211">
        <v>0</v>
      </c>
      <c r="AP4211">
        <v>0</v>
      </c>
      <c r="AQ4211">
        <v>0</v>
      </c>
      <c r="AS4211">
        <v>0</v>
      </c>
      <c r="AT4211">
        <v>0</v>
      </c>
      <c r="AV4211">
        <v>0</v>
      </c>
      <c r="AW4211">
        <v>0</v>
      </c>
      <c r="AY4211">
        <v>0</v>
      </c>
      <c r="AZ4211">
        <v>0</v>
      </c>
      <c r="BA4211">
        <v>60</v>
      </c>
      <c r="BE4211" t="str">
        <f>T("9791137017818")</f>
        <v>9791137017818</v>
      </c>
      <c r="BF4211" t="str">
        <f>T("D227201")</f>
        <v>D227201</v>
      </c>
      <c r="BG4211" t="str">
        <f>T("판타지 웹소설 &gt; 퓨전 판타지")</f>
        <v>판타지 웹소설 &gt; 퓨전 판타지</v>
      </c>
    </row>
    <row r="4212" spans="1:59">
      <c r="A4212" t="s">
        <v>60</v>
      </c>
      <c r="B4212" s="1">
        <v>46131</v>
      </c>
      <c r="C4212">
        <v>2378059085</v>
      </c>
      <c r="D4212">
        <v>2378081034</v>
      </c>
      <c r="E4212" t="str">
        <f>T("아카데미 악역 엑스트라로 사는 법 585화")</f>
        <v>아카데미 악역 엑스트라로 사는 법 585화</v>
      </c>
      <c r="F4212">
        <v>586</v>
      </c>
      <c r="G4212" t="str">
        <f>T("김서건")</f>
        <v>김서건</v>
      </c>
      <c r="J4212" t="str">
        <f>T("매드햇")</f>
        <v>매드햇</v>
      </c>
      <c r="K4212" t="str">
        <f>T("아카데미 악역 엑스트라로 사는 법")</f>
        <v>아카데미 악역 엑스트라로 사는 법</v>
      </c>
      <c r="L4212">
        <v>100</v>
      </c>
      <c r="M4212">
        <v>100</v>
      </c>
      <c r="N4212">
        <v>1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0</v>
      </c>
      <c r="AE4212">
        <v>0</v>
      </c>
      <c r="AF4212">
        <v>0</v>
      </c>
      <c r="AG4212">
        <v>0</v>
      </c>
      <c r="AH4212">
        <v>0</v>
      </c>
      <c r="AI4212">
        <v>100</v>
      </c>
      <c r="AJ4212">
        <v>1</v>
      </c>
      <c r="AK4212">
        <v>0</v>
      </c>
      <c r="AL4212">
        <v>0</v>
      </c>
      <c r="AM4212">
        <v>100</v>
      </c>
      <c r="AN4212">
        <v>0</v>
      </c>
      <c r="AO4212">
        <v>0</v>
      </c>
      <c r="AP4212">
        <v>0</v>
      </c>
      <c r="AQ4212">
        <v>0</v>
      </c>
      <c r="AS4212">
        <v>0</v>
      </c>
      <c r="AT4212">
        <v>0</v>
      </c>
      <c r="AV4212">
        <v>0</v>
      </c>
      <c r="AW4212">
        <v>0</v>
      </c>
      <c r="AY4212">
        <v>0</v>
      </c>
      <c r="AZ4212">
        <v>0</v>
      </c>
      <c r="BA4212">
        <v>60</v>
      </c>
      <c r="BE4212" t="str">
        <f>T("9791137017818")</f>
        <v>9791137017818</v>
      </c>
      <c r="BF4212" t="str">
        <f>T("D227202")</f>
        <v>D227202</v>
      </c>
      <c r="BG4212" t="str">
        <f>T("판타지 웹소설 &gt; 퓨전 판타지")</f>
        <v>판타지 웹소설 &gt; 퓨전 판타지</v>
      </c>
    </row>
    <row r="4213" spans="1:59">
      <c r="A4213" t="s">
        <v>60</v>
      </c>
      <c r="B4213" s="1">
        <v>46131</v>
      </c>
      <c r="C4213">
        <v>2378059085</v>
      </c>
      <c r="D4213">
        <v>2378081050</v>
      </c>
      <c r="E4213" t="str">
        <f>T("아카데미 악역 엑스트라로 사는 법 586화")</f>
        <v>아카데미 악역 엑스트라로 사는 법 586화</v>
      </c>
      <c r="F4213">
        <v>587</v>
      </c>
      <c r="G4213" t="str">
        <f>T("김서건")</f>
        <v>김서건</v>
      </c>
      <c r="J4213" t="str">
        <f>T("매드햇")</f>
        <v>매드햇</v>
      </c>
      <c r="K4213" t="str">
        <f>T("아카데미 악역 엑스트라로 사는 법")</f>
        <v>아카데미 악역 엑스트라로 사는 법</v>
      </c>
      <c r="L4213">
        <v>100</v>
      </c>
      <c r="M4213">
        <v>100</v>
      </c>
      <c r="N4213">
        <v>1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0</v>
      </c>
      <c r="AE4213">
        <v>0</v>
      </c>
      <c r="AF4213">
        <v>0</v>
      </c>
      <c r="AG4213">
        <v>0</v>
      </c>
      <c r="AH4213">
        <v>0</v>
      </c>
      <c r="AI4213">
        <v>100</v>
      </c>
      <c r="AJ4213">
        <v>1</v>
      </c>
      <c r="AK4213">
        <v>0</v>
      </c>
      <c r="AL4213">
        <v>0</v>
      </c>
      <c r="AM4213">
        <v>100</v>
      </c>
      <c r="AN4213">
        <v>0</v>
      </c>
      <c r="AO4213">
        <v>0</v>
      </c>
      <c r="AP4213">
        <v>0</v>
      </c>
      <c r="AQ4213">
        <v>0</v>
      </c>
      <c r="AS4213">
        <v>0</v>
      </c>
      <c r="AT4213">
        <v>0</v>
      </c>
      <c r="AV4213">
        <v>0</v>
      </c>
      <c r="AW4213">
        <v>0</v>
      </c>
      <c r="AY4213">
        <v>0</v>
      </c>
      <c r="AZ4213">
        <v>0</v>
      </c>
      <c r="BA4213">
        <v>60</v>
      </c>
      <c r="BE4213" t="str">
        <f>T("9791137017818")</f>
        <v>9791137017818</v>
      </c>
      <c r="BF4213" t="str">
        <f>T("D227203")</f>
        <v>D227203</v>
      </c>
      <c r="BG4213" t="str">
        <f>T("판타지 웹소설 &gt; 퓨전 판타지")</f>
        <v>판타지 웹소설 &gt; 퓨전 판타지</v>
      </c>
    </row>
    <row r="4214" spans="1:59">
      <c r="A4214" t="s">
        <v>60</v>
      </c>
      <c r="B4214" s="1">
        <v>46131</v>
      </c>
      <c r="C4214">
        <v>2378059085</v>
      </c>
      <c r="D4214">
        <v>2378081071</v>
      </c>
      <c r="E4214" t="str">
        <f>T("아카데미 악역 엑스트라로 사는 법 587화")</f>
        <v>아카데미 악역 엑스트라로 사는 법 587화</v>
      </c>
      <c r="F4214">
        <v>588</v>
      </c>
      <c r="G4214" t="str">
        <f>T("김서건")</f>
        <v>김서건</v>
      </c>
      <c r="J4214" t="str">
        <f>T("매드햇")</f>
        <v>매드햇</v>
      </c>
      <c r="K4214" t="str">
        <f>T("아카데미 악역 엑스트라로 사는 법")</f>
        <v>아카데미 악역 엑스트라로 사는 법</v>
      </c>
      <c r="L4214">
        <v>100</v>
      </c>
      <c r="M4214">
        <v>100</v>
      </c>
      <c r="N4214">
        <v>1</v>
      </c>
      <c r="O4214">
        <v>0</v>
      </c>
      <c r="P4214">
        <v>0</v>
      </c>
      <c r="Q4214">
        <v>0</v>
      </c>
      <c r="R4214">
        <v>0</v>
      </c>
      <c r="S4214">
        <v>0</v>
      </c>
      <c r="T4214">
        <v>0</v>
      </c>
      <c r="U4214">
        <v>0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0</v>
      </c>
      <c r="AE4214">
        <v>0</v>
      </c>
      <c r="AF4214">
        <v>0</v>
      </c>
      <c r="AG4214">
        <v>0</v>
      </c>
      <c r="AH4214">
        <v>0</v>
      </c>
      <c r="AI4214">
        <v>100</v>
      </c>
      <c r="AJ4214">
        <v>1</v>
      </c>
      <c r="AK4214">
        <v>0</v>
      </c>
      <c r="AL4214">
        <v>0</v>
      </c>
      <c r="AM4214">
        <v>100</v>
      </c>
      <c r="AN4214">
        <v>0</v>
      </c>
      <c r="AO4214">
        <v>0</v>
      </c>
      <c r="AP4214">
        <v>0</v>
      </c>
      <c r="AQ4214">
        <v>0</v>
      </c>
      <c r="AS4214">
        <v>0</v>
      </c>
      <c r="AT4214">
        <v>0</v>
      </c>
      <c r="AV4214">
        <v>0</v>
      </c>
      <c r="AW4214">
        <v>0</v>
      </c>
      <c r="AY4214">
        <v>0</v>
      </c>
      <c r="AZ4214">
        <v>0</v>
      </c>
      <c r="BA4214">
        <v>60</v>
      </c>
      <c r="BE4214" t="str">
        <f>T("9791137017818")</f>
        <v>9791137017818</v>
      </c>
      <c r="BF4214" t="str">
        <f>T("D227204")</f>
        <v>D227204</v>
      </c>
      <c r="BG4214" t="str">
        <f>T("판타지 웹소설 &gt; 퓨전 판타지")</f>
        <v>판타지 웹소설 &gt; 퓨전 판타지</v>
      </c>
    </row>
    <row r="4215" spans="1:59">
      <c r="A4215" t="s">
        <v>60</v>
      </c>
      <c r="B4215" s="1">
        <v>46131</v>
      </c>
      <c r="C4215">
        <v>2378059085</v>
      </c>
      <c r="D4215">
        <v>2378081074</v>
      </c>
      <c r="E4215" t="str">
        <f>T("아카데미 악역 엑스트라로 사는 법 588화")</f>
        <v>아카데미 악역 엑스트라로 사는 법 588화</v>
      </c>
      <c r="F4215">
        <v>589</v>
      </c>
      <c r="G4215" t="str">
        <f>T("김서건")</f>
        <v>김서건</v>
      </c>
      <c r="J4215" t="str">
        <f>T("매드햇")</f>
        <v>매드햇</v>
      </c>
      <c r="K4215" t="str">
        <f>T("아카데미 악역 엑스트라로 사는 법")</f>
        <v>아카데미 악역 엑스트라로 사는 법</v>
      </c>
      <c r="L4215">
        <v>100</v>
      </c>
      <c r="M4215">
        <v>100</v>
      </c>
      <c r="N4215">
        <v>1</v>
      </c>
      <c r="O4215">
        <v>0</v>
      </c>
      <c r="P4215">
        <v>0</v>
      </c>
      <c r="Q4215">
        <v>0</v>
      </c>
      <c r="R4215">
        <v>0</v>
      </c>
      <c r="S4215">
        <v>0</v>
      </c>
      <c r="T4215">
        <v>0</v>
      </c>
      <c r="U4215">
        <v>0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0</v>
      </c>
      <c r="AE4215">
        <v>0</v>
      </c>
      <c r="AF4215">
        <v>0</v>
      </c>
      <c r="AG4215">
        <v>0</v>
      </c>
      <c r="AH4215">
        <v>0</v>
      </c>
      <c r="AI4215">
        <v>100</v>
      </c>
      <c r="AJ4215">
        <v>1</v>
      </c>
      <c r="AK4215">
        <v>0</v>
      </c>
      <c r="AL4215">
        <v>0</v>
      </c>
      <c r="AM4215">
        <v>100</v>
      </c>
      <c r="AN4215">
        <v>0</v>
      </c>
      <c r="AO4215">
        <v>0</v>
      </c>
      <c r="AP4215">
        <v>0</v>
      </c>
      <c r="AQ4215">
        <v>0</v>
      </c>
      <c r="AS4215">
        <v>0</v>
      </c>
      <c r="AT4215">
        <v>0</v>
      </c>
      <c r="AV4215">
        <v>0</v>
      </c>
      <c r="AW4215">
        <v>0</v>
      </c>
      <c r="AY4215">
        <v>0</v>
      </c>
      <c r="AZ4215">
        <v>0</v>
      </c>
      <c r="BA4215">
        <v>60</v>
      </c>
      <c r="BE4215" t="str">
        <f>T("9791137017818")</f>
        <v>9791137017818</v>
      </c>
      <c r="BF4215" t="str">
        <f>T("D227205")</f>
        <v>D227205</v>
      </c>
      <c r="BG4215" t="str">
        <f>T("판타지 웹소설 &gt; 퓨전 판타지")</f>
        <v>판타지 웹소설 &gt; 퓨전 판타지</v>
      </c>
    </row>
    <row r="4216" spans="1:59">
      <c r="A4216" t="s">
        <v>60</v>
      </c>
      <c r="B4216" s="1">
        <v>46131</v>
      </c>
      <c r="C4216">
        <v>2378059085</v>
      </c>
      <c r="D4216">
        <v>2378081076</v>
      </c>
      <c r="E4216" t="str">
        <f>T("아카데미 악역 엑스트라로 사는 법 589화")</f>
        <v>아카데미 악역 엑스트라로 사는 법 589화</v>
      </c>
      <c r="F4216">
        <v>590</v>
      </c>
      <c r="G4216" t="str">
        <f>T("김서건")</f>
        <v>김서건</v>
      </c>
      <c r="J4216" t="str">
        <f>T("매드햇")</f>
        <v>매드햇</v>
      </c>
      <c r="K4216" t="str">
        <f>T("아카데미 악역 엑스트라로 사는 법")</f>
        <v>아카데미 악역 엑스트라로 사는 법</v>
      </c>
      <c r="L4216">
        <v>100</v>
      </c>
      <c r="M4216">
        <v>100</v>
      </c>
      <c r="N4216">
        <v>1</v>
      </c>
      <c r="O4216">
        <v>0</v>
      </c>
      <c r="P4216">
        <v>0</v>
      </c>
      <c r="Q4216">
        <v>0</v>
      </c>
      <c r="R4216">
        <v>0</v>
      </c>
      <c r="S4216">
        <v>0</v>
      </c>
      <c r="T4216">
        <v>0</v>
      </c>
      <c r="U4216">
        <v>0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0</v>
      </c>
      <c r="AE4216">
        <v>0</v>
      </c>
      <c r="AF4216">
        <v>0</v>
      </c>
      <c r="AG4216">
        <v>0</v>
      </c>
      <c r="AH4216">
        <v>0</v>
      </c>
      <c r="AI4216">
        <v>100</v>
      </c>
      <c r="AJ4216">
        <v>1</v>
      </c>
      <c r="AK4216">
        <v>0</v>
      </c>
      <c r="AL4216">
        <v>0</v>
      </c>
      <c r="AM4216">
        <v>100</v>
      </c>
      <c r="AN4216">
        <v>0</v>
      </c>
      <c r="AO4216">
        <v>0</v>
      </c>
      <c r="AP4216">
        <v>0</v>
      </c>
      <c r="AQ4216">
        <v>0</v>
      </c>
      <c r="AS4216">
        <v>0</v>
      </c>
      <c r="AT4216">
        <v>0</v>
      </c>
      <c r="AV4216">
        <v>0</v>
      </c>
      <c r="AW4216">
        <v>0</v>
      </c>
      <c r="AY4216">
        <v>0</v>
      </c>
      <c r="AZ4216">
        <v>0</v>
      </c>
      <c r="BA4216">
        <v>60</v>
      </c>
      <c r="BE4216" t="str">
        <f>T("9791137017818")</f>
        <v>9791137017818</v>
      </c>
      <c r="BF4216" t="str">
        <f>T("D227206")</f>
        <v>D227206</v>
      </c>
      <c r="BG4216" t="str">
        <f>T("판타지 웹소설 &gt; 퓨전 판타지")</f>
        <v>판타지 웹소설 &gt; 퓨전 판타지</v>
      </c>
    </row>
    <row r="4217" spans="1:59">
      <c r="A4217" t="s">
        <v>60</v>
      </c>
      <c r="B4217" s="1">
        <v>46131</v>
      </c>
      <c r="C4217">
        <v>2378059085</v>
      </c>
      <c r="D4217">
        <v>2378081083</v>
      </c>
      <c r="E4217" t="str">
        <f>T("아카데미 악역 엑스트라로 사는 법 590화")</f>
        <v>아카데미 악역 엑스트라로 사는 법 590화</v>
      </c>
      <c r="F4217">
        <v>591</v>
      </c>
      <c r="G4217" t="str">
        <f>T("김서건")</f>
        <v>김서건</v>
      </c>
      <c r="J4217" t="str">
        <f>T("매드햇")</f>
        <v>매드햇</v>
      </c>
      <c r="K4217" t="str">
        <f>T("아카데미 악역 엑스트라로 사는 법")</f>
        <v>아카데미 악역 엑스트라로 사는 법</v>
      </c>
      <c r="L4217">
        <v>100</v>
      </c>
      <c r="M4217">
        <v>100</v>
      </c>
      <c r="N4217">
        <v>1</v>
      </c>
      <c r="O4217">
        <v>0</v>
      </c>
      <c r="P4217">
        <v>0</v>
      </c>
      <c r="Q4217">
        <v>0</v>
      </c>
      <c r="R4217">
        <v>0</v>
      </c>
      <c r="S4217">
        <v>0</v>
      </c>
      <c r="T4217">
        <v>0</v>
      </c>
      <c r="U4217">
        <v>0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0</v>
      </c>
      <c r="AE4217">
        <v>0</v>
      </c>
      <c r="AF4217">
        <v>0</v>
      </c>
      <c r="AG4217">
        <v>0</v>
      </c>
      <c r="AH4217">
        <v>0</v>
      </c>
      <c r="AI4217">
        <v>100</v>
      </c>
      <c r="AJ4217">
        <v>1</v>
      </c>
      <c r="AK4217">
        <v>0</v>
      </c>
      <c r="AL4217">
        <v>0</v>
      </c>
      <c r="AM4217">
        <v>100</v>
      </c>
      <c r="AN4217">
        <v>0</v>
      </c>
      <c r="AO4217">
        <v>0</v>
      </c>
      <c r="AP4217">
        <v>0</v>
      </c>
      <c r="AQ4217">
        <v>0</v>
      </c>
      <c r="AS4217">
        <v>0</v>
      </c>
      <c r="AT4217">
        <v>0</v>
      </c>
      <c r="AV4217">
        <v>0</v>
      </c>
      <c r="AW4217">
        <v>0</v>
      </c>
      <c r="AY4217">
        <v>0</v>
      </c>
      <c r="AZ4217">
        <v>0</v>
      </c>
      <c r="BA4217">
        <v>60</v>
      </c>
      <c r="BE4217" t="str">
        <f>T("9791137017818")</f>
        <v>9791137017818</v>
      </c>
      <c r="BF4217" t="str">
        <f>T("D227207")</f>
        <v>D227207</v>
      </c>
      <c r="BG4217" t="str">
        <f>T("판타지 웹소설 &gt; 퓨전 판타지")</f>
        <v>판타지 웹소설 &gt; 퓨전 판타지</v>
      </c>
    </row>
    <row r="4218" spans="1:59">
      <c r="A4218" t="s">
        <v>60</v>
      </c>
      <c r="B4218" s="1">
        <v>46131</v>
      </c>
      <c r="C4218">
        <v>2378059085</v>
      </c>
      <c r="D4218">
        <v>2378081084</v>
      </c>
      <c r="E4218" t="str">
        <f>T("아카데미 악역 엑스트라로 사는 법 591화")</f>
        <v>아카데미 악역 엑스트라로 사는 법 591화</v>
      </c>
      <c r="F4218">
        <v>592</v>
      </c>
      <c r="G4218" t="str">
        <f>T("김서건")</f>
        <v>김서건</v>
      </c>
      <c r="J4218" t="str">
        <f>T("매드햇")</f>
        <v>매드햇</v>
      </c>
      <c r="K4218" t="str">
        <f>T("아카데미 악역 엑스트라로 사는 법")</f>
        <v>아카데미 악역 엑스트라로 사는 법</v>
      </c>
      <c r="L4218">
        <v>100</v>
      </c>
      <c r="M4218">
        <v>100</v>
      </c>
      <c r="N4218">
        <v>1</v>
      </c>
      <c r="O4218">
        <v>0</v>
      </c>
      <c r="P4218">
        <v>0</v>
      </c>
      <c r="Q4218">
        <v>0</v>
      </c>
      <c r="R4218">
        <v>0</v>
      </c>
      <c r="S4218">
        <v>0</v>
      </c>
      <c r="T4218">
        <v>0</v>
      </c>
      <c r="U4218">
        <v>0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0</v>
      </c>
      <c r="AE4218">
        <v>0</v>
      </c>
      <c r="AF4218">
        <v>0</v>
      </c>
      <c r="AG4218">
        <v>0</v>
      </c>
      <c r="AH4218">
        <v>0</v>
      </c>
      <c r="AI4218">
        <v>100</v>
      </c>
      <c r="AJ4218">
        <v>1</v>
      </c>
      <c r="AK4218">
        <v>0</v>
      </c>
      <c r="AL4218">
        <v>0</v>
      </c>
      <c r="AM4218">
        <v>100</v>
      </c>
      <c r="AN4218">
        <v>0</v>
      </c>
      <c r="AO4218">
        <v>0</v>
      </c>
      <c r="AP4218">
        <v>0</v>
      </c>
      <c r="AQ4218">
        <v>0</v>
      </c>
      <c r="AS4218">
        <v>0</v>
      </c>
      <c r="AT4218">
        <v>0</v>
      </c>
      <c r="AV4218">
        <v>0</v>
      </c>
      <c r="AW4218">
        <v>0</v>
      </c>
      <c r="AY4218">
        <v>0</v>
      </c>
      <c r="AZ4218">
        <v>0</v>
      </c>
      <c r="BA4218">
        <v>60</v>
      </c>
      <c r="BE4218" t="str">
        <f>T("9791137017818")</f>
        <v>9791137017818</v>
      </c>
      <c r="BF4218" t="str">
        <f>T("D227208")</f>
        <v>D227208</v>
      </c>
      <c r="BG4218" t="str">
        <f>T("판타지 웹소설 &gt; 퓨전 판타지")</f>
        <v>판타지 웹소설 &gt; 퓨전 판타지</v>
      </c>
    </row>
    <row r="4219" spans="1:59">
      <c r="A4219" t="s">
        <v>60</v>
      </c>
      <c r="B4219" s="1">
        <v>46131</v>
      </c>
      <c r="C4219">
        <v>2378059085</v>
      </c>
      <c r="D4219">
        <v>2378081101</v>
      </c>
      <c r="E4219" t="str">
        <f>T("아카데미 악역 엑스트라로 사는 법 592화")</f>
        <v>아카데미 악역 엑스트라로 사는 법 592화</v>
      </c>
      <c r="F4219">
        <v>593</v>
      </c>
      <c r="G4219" t="str">
        <f>T("김서건")</f>
        <v>김서건</v>
      </c>
      <c r="J4219" t="str">
        <f>T("매드햇")</f>
        <v>매드햇</v>
      </c>
      <c r="K4219" t="str">
        <f>T("아카데미 악역 엑스트라로 사는 법")</f>
        <v>아카데미 악역 엑스트라로 사는 법</v>
      </c>
      <c r="L4219">
        <v>100</v>
      </c>
      <c r="M4219">
        <v>100</v>
      </c>
      <c r="N4219">
        <v>1</v>
      </c>
      <c r="O4219">
        <v>0</v>
      </c>
      <c r="P4219">
        <v>0</v>
      </c>
      <c r="Q4219">
        <v>0</v>
      </c>
      <c r="R4219">
        <v>0</v>
      </c>
      <c r="S4219">
        <v>0</v>
      </c>
      <c r="T4219">
        <v>0</v>
      </c>
      <c r="U4219">
        <v>0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0</v>
      </c>
      <c r="AE4219">
        <v>0</v>
      </c>
      <c r="AF4219">
        <v>0</v>
      </c>
      <c r="AG4219">
        <v>0</v>
      </c>
      <c r="AH4219">
        <v>0</v>
      </c>
      <c r="AI4219">
        <v>100</v>
      </c>
      <c r="AJ4219">
        <v>1</v>
      </c>
      <c r="AK4219">
        <v>0</v>
      </c>
      <c r="AL4219">
        <v>0</v>
      </c>
      <c r="AM4219">
        <v>100</v>
      </c>
      <c r="AN4219">
        <v>0</v>
      </c>
      <c r="AO4219">
        <v>0</v>
      </c>
      <c r="AP4219">
        <v>0</v>
      </c>
      <c r="AQ4219">
        <v>0</v>
      </c>
      <c r="AS4219">
        <v>0</v>
      </c>
      <c r="AT4219">
        <v>0</v>
      </c>
      <c r="AV4219">
        <v>0</v>
      </c>
      <c r="AW4219">
        <v>0</v>
      </c>
      <c r="AY4219">
        <v>0</v>
      </c>
      <c r="AZ4219">
        <v>0</v>
      </c>
      <c r="BA4219">
        <v>60</v>
      </c>
      <c r="BE4219" t="str">
        <f>T("9791137017818")</f>
        <v>9791137017818</v>
      </c>
      <c r="BF4219" t="str">
        <f>T("D227209")</f>
        <v>D227209</v>
      </c>
      <c r="BG4219" t="str">
        <f>T("판타지 웹소설 &gt; 퓨전 판타지")</f>
        <v>판타지 웹소설 &gt; 퓨전 판타지</v>
      </c>
    </row>
    <row r="4220" spans="1:59">
      <c r="A4220" t="s">
        <v>60</v>
      </c>
      <c r="B4220" s="1">
        <v>46131</v>
      </c>
      <c r="C4220">
        <v>2378059085</v>
      </c>
      <c r="D4220">
        <v>2378081108</v>
      </c>
      <c r="E4220" t="str">
        <f>T("아카데미 악역 엑스트라로 사는 법 593화")</f>
        <v>아카데미 악역 엑스트라로 사는 법 593화</v>
      </c>
      <c r="F4220">
        <v>594</v>
      </c>
      <c r="G4220" t="str">
        <f>T("김서건")</f>
        <v>김서건</v>
      </c>
      <c r="J4220" t="str">
        <f>T("매드햇")</f>
        <v>매드햇</v>
      </c>
      <c r="K4220" t="str">
        <f>T("아카데미 악역 엑스트라로 사는 법")</f>
        <v>아카데미 악역 엑스트라로 사는 법</v>
      </c>
      <c r="L4220">
        <v>100</v>
      </c>
      <c r="M4220">
        <v>100</v>
      </c>
      <c r="N4220">
        <v>1</v>
      </c>
      <c r="O4220">
        <v>0</v>
      </c>
      <c r="P4220">
        <v>0</v>
      </c>
      <c r="Q4220">
        <v>0</v>
      </c>
      <c r="R4220">
        <v>0</v>
      </c>
      <c r="S4220">
        <v>0</v>
      </c>
      <c r="T4220">
        <v>0</v>
      </c>
      <c r="U4220">
        <v>0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0</v>
      </c>
      <c r="AE4220">
        <v>0</v>
      </c>
      <c r="AF4220">
        <v>0</v>
      </c>
      <c r="AG4220">
        <v>0</v>
      </c>
      <c r="AH4220">
        <v>0</v>
      </c>
      <c r="AI4220">
        <v>100</v>
      </c>
      <c r="AJ4220">
        <v>1</v>
      </c>
      <c r="AK4220">
        <v>0</v>
      </c>
      <c r="AL4220">
        <v>0</v>
      </c>
      <c r="AM4220">
        <v>100</v>
      </c>
      <c r="AN4220">
        <v>0</v>
      </c>
      <c r="AO4220">
        <v>0</v>
      </c>
      <c r="AP4220">
        <v>0</v>
      </c>
      <c r="AQ4220">
        <v>0</v>
      </c>
      <c r="AS4220">
        <v>0</v>
      </c>
      <c r="AT4220">
        <v>0</v>
      </c>
      <c r="AV4220">
        <v>0</v>
      </c>
      <c r="AW4220">
        <v>0</v>
      </c>
      <c r="AY4220">
        <v>0</v>
      </c>
      <c r="AZ4220">
        <v>0</v>
      </c>
      <c r="BA4220">
        <v>60</v>
      </c>
      <c r="BE4220" t="str">
        <f>T("9791137017818")</f>
        <v>9791137017818</v>
      </c>
      <c r="BF4220" t="str">
        <f>T("D227210")</f>
        <v>D227210</v>
      </c>
      <c r="BG4220" t="str">
        <f>T("판타지 웹소설 &gt; 퓨전 판타지")</f>
        <v>판타지 웹소설 &gt; 퓨전 판타지</v>
      </c>
    </row>
    <row r="4221" spans="1:59">
      <c r="A4221" t="s">
        <v>60</v>
      </c>
      <c r="B4221" s="1">
        <v>46131</v>
      </c>
      <c r="C4221">
        <v>2378059085</v>
      </c>
      <c r="D4221">
        <v>2378081109</v>
      </c>
      <c r="E4221" t="str">
        <f>T("아카데미 악역 엑스트라로 사는 법 594화")</f>
        <v>아카데미 악역 엑스트라로 사는 법 594화</v>
      </c>
      <c r="F4221">
        <v>595</v>
      </c>
      <c r="G4221" t="str">
        <f>T("김서건")</f>
        <v>김서건</v>
      </c>
      <c r="J4221" t="str">
        <f>T("매드햇")</f>
        <v>매드햇</v>
      </c>
      <c r="K4221" t="str">
        <f>T("아카데미 악역 엑스트라로 사는 법")</f>
        <v>아카데미 악역 엑스트라로 사는 법</v>
      </c>
      <c r="L4221">
        <v>100</v>
      </c>
      <c r="M4221">
        <v>200</v>
      </c>
      <c r="N4221">
        <v>2</v>
      </c>
      <c r="O4221">
        <v>0</v>
      </c>
      <c r="P4221">
        <v>0</v>
      </c>
      <c r="Q4221">
        <v>0</v>
      </c>
      <c r="R4221">
        <v>0</v>
      </c>
      <c r="S4221">
        <v>0</v>
      </c>
      <c r="T4221">
        <v>0</v>
      </c>
      <c r="U4221">
        <v>0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0</v>
      </c>
      <c r="AE4221">
        <v>0</v>
      </c>
      <c r="AF4221">
        <v>0</v>
      </c>
      <c r="AG4221">
        <v>0</v>
      </c>
      <c r="AH4221">
        <v>0</v>
      </c>
      <c r="AI4221">
        <v>200</v>
      </c>
      <c r="AJ4221">
        <v>2</v>
      </c>
      <c r="AK4221">
        <v>0</v>
      </c>
      <c r="AL4221">
        <v>0</v>
      </c>
      <c r="AM4221">
        <v>200</v>
      </c>
      <c r="AN4221">
        <v>0</v>
      </c>
      <c r="AO4221">
        <v>0</v>
      </c>
      <c r="AP4221">
        <v>0</v>
      </c>
      <c r="AQ4221">
        <v>0</v>
      </c>
      <c r="AS4221">
        <v>0</v>
      </c>
      <c r="AT4221">
        <v>0</v>
      </c>
      <c r="AV4221">
        <v>0</v>
      </c>
      <c r="AW4221">
        <v>0</v>
      </c>
      <c r="AY4221">
        <v>0</v>
      </c>
      <c r="AZ4221">
        <v>0</v>
      </c>
      <c r="BA4221">
        <v>120</v>
      </c>
      <c r="BE4221" t="str">
        <f>T("9791137017818")</f>
        <v>9791137017818</v>
      </c>
      <c r="BF4221" t="str">
        <f>T("D227211")</f>
        <v>D227211</v>
      </c>
      <c r="BG4221" t="str">
        <f>T("판타지 웹소설 &gt; 퓨전 판타지")</f>
        <v>판타지 웹소설 &gt; 퓨전 판타지</v>
      </c>
    </row>
    <row r="4222" spans="1:59">
      <c r="A4222" t="s">
        <v>60</v>
      </c>
      <c r="B4222" s="1">
        <v>46131</v>
      </c>
      <c r="C4222">
        <v>2378059085</v>
      </c>
      <c r="D4222">
        <v>2378081200</v>
      </c>
      <c r="E4222" t="str">
        <f>T("아카데미 악역 엑스트라로 사는 법 595화")</f>
        <v>아카데미 악역 엑스트라로 사는 법 595화</v>
      </c>
      <c r="F4222">
        <v>596</v>
      </c>
      <c r="G4222" t="str">
        <f>T("김서건")</f>
        <v>김서건</v>
      </c>
      <c r="J4222" t="str">
        <f>T("매드햇")</f>
        <v>매드햇</v>
      </c>
      <c r="K4222" t="str">
        <f>T("아카데미 악역 엑스트라로 사는 법")</f>
        <v>아카데미 악역 엑스트라로 사는 법</v>
      </c>
      <c r="L4222">
        <v>100</v>
      </c>
      <c r="M4222">
        <v>200</v>
      </c>
      <c r="N4222">
        <v>2</v>
      </c>
      <c r="O4222">
        <v>0</v>
      </c>
      <c r="P4222">
        <v>0</v>
      </c>
      <c r="Q4222">
        <v>0</v>
      </c>
      <c r="R4222">
        <v>0</v>
      </c>
      <c r="S4222">
        <v>0</v>
      </c>
      <c r="T4222">
        <v>0</v>
      </c>
      <c r="U4222">
        <v>0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0</v>
      </c>
      <c r="AE4222">
        <v>0</v>
      </c>
      <c r="AF4222">
        <v>0</v>
      </c>
      <c r="AG4222">
        <v>0</v>
      </c>
      <c r="AH4222">
        <v>0</v>
      </c>
      <c r="AI4222">
        <v>200</v>
      </c>
      <c r="AJ4222">
        <v>2</v>
      </c>
      <c r="AK4222">
        <v>0</v>
      </c>
      <c r="AL4222">
        <v>0</v>
      </c>
      <c r="AM4222">
        <v>200</v>
      </c>
      <c r="AN4222">
        <v>0</v>
      </c>
      <c r="AO4222">
        <v>0</v>
      </c>
      <c r="AP4222">
        <v>0</v>
      </c>
      <c r="AQ4222">
        <v>0</v>
      </c>
      <c r="AS4222">
        <v>0</v>
      </c>
      <c r="AT4222">
        <v>0</v>
      </c>
      <c r="AV4222">
        <v>0</v>
      </c>
      <c r="AW4222">
        <v>0</v>
      </c>
      <c r="AY4222">
        <v>0</v>
      </c>
      <c r="AZ4222">
        <v>0</v>
      </c>
      <c r="BA4222">
        <v>120</v>
      </c>
      <c r="BE4222" t="str">
        <f>T("9791137017818")</f>
        <v>9791137017818</v>
      </c>
      <c r="BF4222" t="str">
        <f>T("D227212")</f>
        <v>D227212</v>
      </c>
      <c r="BG4222" t="str">
        <f>T("판타지 웹소설 &gt; 퓨전 판타지")</f>
        <v>판타지 웹소설 &gt; 퓨전 판타지</v>
      </c>
    </row>
    <row r="4223" spans="1:59">
      <c r="A4223" t="s">
        <v>60</v>
      </c>
      <c r="B4223" s="1">
        <v>46131</v>
      </c>
      <c r="C4223">
        <v>2378059085</v>
      </c>
      <c r="D4223">
        <v>2378081219</v>
      </c>
      <c r="E4223" t="str">
        <f>T("아카데미 악역 엑스트라로 사는 법 596화")</f>
        <v>아카데미 악역 엑스트라로 사는 법 596화</v>
      </c>
      <c r="F4223">
        <v>597</v>
      </c>
      <c r="G4223" t="str">
        <f>T("김서건")</f>
        <v>김서건</v>
      </c>
      <c r="J4223" t="str">
        <f>T("매드햇")</f>
        <v>매드햇</v>
      </c>
      <c r="K4223" t="str">
        <f>T("아카데미 악역 엑스트라로 사는 법")</f>
        <v>아카데미 악역 엑스트라로 사는 법</v>
      </c>
      <c r="L4223">
        <v>100</v>
      </c>
      <c r="M4223">
        <v>200</v>
      </c>
      <c r="N4223">
        <v>2</v>
      </c>
      <c r="O4223">
        <v>0</v>
      </c>
      <c r="P4223">
        <v>0</v>
      </c>
      <c r="Q4223">
        <v>0</v>
      </c>
      <c r="R4223">
        <v>0</v>
      </c>
      <c r="S4223">
        <v>0</v>
      </c>
      <c r="T4223">
        <v>0</v>
      </c>
      <c r="U4223">
        <v>0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0</v>
      </c>
      <c r="AE4223">
        <v>0</v>
      </c>
      <c r="AF4223">
        <v>0</v>
      </c>
      <c r="AG4223">
        <v>0</v>
      </c>
      <c r="AH4223">
        <v>0</v>
      </c>
      <c r="AI4223">
        <v>200</v>
      </c>
      <c r="AJ4223">
        <v>2</v>
      </c>
      <c r="AK4223">
        <v>0</v>
      </c>
      <c r="AL4223">
        <v>0</v>
      </c>
      <c r="AM4223">
        <v>200</v>
      </c>
      <c r="AN4223">
        <v>0</v>
      </c>
      <c r="AO4223">
        <v>0</v>
      </c>
      <c r="AP4223">
        <v>0</v>
      </c>
      <c r="AQ4223">
        <v>0</v>
      </c>
      <c r="AS4223">
        <v>0</v>
      </c>
      <c r="AT4223">
        <v>0</v>
      </c>
      <c r="AV4223">
        <v>0</v>
      </c>
      <c r="AW4223">
        <v>0</v>
      </c>
      <c r="AY4223">
        <v>0</v>
      </c>
      <c r="AZ4223">
        <v>0</v>
      </c>
      <c r="BA4223">
        <v>120</v>
      </c>
      <c r="BE4223" t="str">
        <f>T("9791137017818")</f>
        <v>9791137017818</v>
      </c>
      <c r="BF4223" t="str">
        <f>T("D227213")</f>
        <v>D227213</v>
      </c>
      <c r="BG4223" t="str">
        <f>T("판타지 웹소설 &gt; 퓨전 판타지")</f>
        <v>판타지 웹소설 &gt; 퓨전 판타지</v>
      </c>
    </row>
    <row r="4224" spans="1:59">
      <c r="A4224" t="s">
        <v>60</v>
      </c>
      <c r="B4224" s="1">
        <v>46131</v>
      </c>
      <c r="C4224">
        <v>2378059085</v>
      </c>
      <c r="D4224">
        <v>2378081223</v>
      </c>
      <c r="E4224" t="str">
        <f>T("아카데미 악역 엑스트라로 사는 법 597화")</f>
        <v>아카데미 악역 엑스트라로 사는 법 597화</v>
      </c>
      <c r="F4224">
        <v>598</v>
      </c>
      <c r="G4224" t="str">
        <f>T("김서건")</f>
        <v>김서건</v>
      </c>
      <c r="J4224" t="str">
        <f>T("매드햇")</f>
        <v>매드햇</v>
      </c>
      <c r="K4224" t="str">
        <f>T("아카데미 악역 엑스트라로 사는 법")</f>
        <v>아카데미 악역 엑스트라로 사는 법</v>
      </c>
      <c r="L4224">
        <v>100</v>
      </c>
      <c r="M4224">
        <v>200</v>
      </c>
      <c r="N4224">
        <v>2</v>
      </c>
      <c r="O4224">
        <v>0</v>
      </c>
      <c r="P4224">
        <v>0</v>
      </c>
      <c r="Q4224">
        <v>0</v>
      </c>
      <c r="R4224">
        <v>0</v>
      </c>
      <c r="S4224">
        <v>0</v>
      </c>
      <c r="T4224">
        <v>0</v>
      </c>
      <c r="U4224">
        <v>0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0</v>
      </c>
      <c r="AE4224">
        <v>0</v>
      </c>
      <c r="AF4224">
        <v>0</v>
      </c>
      <c r="AG4224">
        <v>0</v>
      </c>
      <c r="AH4224">
        <v>0</v>
      </c>
      <c r="AI4224">
        <v>200</v>
      </c>
      <c r="AJ4224">
        <v>2</v>
      </c>
      <c r="AK4224">
        <v>0</v>
      </c>
      <c r="AL4224">
        <v>0</v>
      </c>
      <c r="AM4224">
        <v>200</v>
      </c>
      <c r="AN4224">
        <v>0</v>
      </c>
      <c r="AO4224">
        <v>0</v>
      </c>
      <c r="AP4224">
        <v>0</v>
      </c>
      <c r="AQ4224">
        <v>0</v>
      </c>
      <c r="AS4224">
        <v>0</v>
      </c>
      <c r="AT4224">
        <v>0</v>
      </c>
      <c r="AV4224">
        <v>0</v>
      </c>
      <c r="AW4224">
        <v>0</v>
      </c>
      <c r="AY4224">
        <v>0</v>
      </c>
      <c r="AZ4224">
        <v>0</v>
      </c>
      <c r="BA4224">
        <v>120</v>
      </c>
      <c r="BE4224" t="str">
        <f>T("9791137017818")</f>
        <v>9791137017818</v>
      </c>
      <c r="BF4224" t="str">
        <f>T("D227214")</f>
        <v>D227214</v>
      </c>
      <c r="BG4224" t="str">
        <f>T("판타지 웹소설 &gt; 퓨전 판타지")</f>
        <v>판타지 웹소설 &gt; 퓨전 판타지</v>
      </c>
    </row>
    <row r="4225" spans="1:59">
      <c r="A4225" t="s">
        <v>60</v>
      </c>
      <c r="B4225" s="1">
        <v>46131</v>
      </c>
      <c r="C4225">
        <v>2378059085</v>
      </c>
      <c r="D4225">
        <v>2378081225</v>
      </c>
      <c r="E4225" t="str">
        <f>T("아카데미 악역 엑스트라로 사는 법 598화")</f>
        <v>아카데미 악역 엑스트라로 사는 법 598화</v>
      </c>
      <c r="F4225">
        <v>599</v>
      </c>
      <c r="G4225" t="str">
        <f>T("김서건")</f>
        <v>김서건</v>
      </c>
      <c r="J4225" t="str">
        <f>T("매드햇")</f>
        <v>매드햇</v>
      </c>
      <c r="K4225" t="str">
        <f>T("아카데미 악역 엑스트라로 사는 법")</f>
        <v>아카데미 악역 엑스트라로 사는 법</v>
      </c>
      <c r="L4225">
        <v>100</v>
      </c>
      <c r="M4225">
        <v>300</v>
      </c>
      <c r="N4225">
        <v>3</v>
      </c>
      <c r="O4225">
        <v>0</v>
      </c>
      <c r="P4225">
        <v>0</v>
      </c>
      <c r="Q4225">
        <v>0</v>
      </c>
      <c r="R4225">
        <v>0</v>
      </c>
      <c r="S4225">
        <v>0</v>
      </c>
      <c r="T4225">
        <v>0</v>
      </c>
      <c r="U4225">
        <v>0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0</v>
      </c>
      <c r="AE4225">
        <v>0</v>
      </c>
      <c r="AF4225">
        <v>0</v>
      </c>
      <c r="AG4225">
        <v>0</v>
      </c>
      <c r="AH4225">
        <v>0</v>
      </c>
      <c r="AI4225">
        <v>300</v>
      </c>
      <c r="AJ4225">
        <v>3</v>
      </c>
      <c r="AK4225">
        <v>0</v>
      </c>
      <c r="AL4225">
        <v>0</v>
      </c>
      <c r="AM4225">
        <v>300</v>
      </c>
      <c r="AN4225">
        <v>0</v>
      </c>
      <c r="AO4225">
        <v>0</v>
      </c>
      <c r="AP4225">
        <v>0</v>
      </c>
      <c r="AQ4225">
        <v>0</v>
      </c>
      <c r="AS4225">
        <v>0</v>
      </c>
      <c r="AT4225">
        <v>0</v>
      </c>
      <c r="AV4225">
        <v>0</v>
      </c>
      <c r="AW4225">
        <v>0</v>
      </c>
      <c r="AY4225">
        <v>0</v>
      </c>
      <c r="AZ4225">
        <v>0</v>
      </c>
      <c r="BA4225">
        <v>180</v>
      </c>
      <c r="BE4225" t="str">
        <f>T("9791137017818")</f>
        <v>9791137017818</v>
      </c>
      <c r="BF4225" t="str">
        <f>T("D227215")</f>
        <v>D227215</v>
      </c>
      <c r="BG4225" t="str">
        <f>T("판타지 웹소설 &gt; 퓨전 판타지")</f>
        <v>판타지 웹소설 &gt; 퓨전 판타지</v>
      </c>
    </row>
    <row r="4226" spans="1:59">
      <c r="A4226" t="s">
        <v>60</v>
      </c>
      <c r="B4226" s="1">
        <v>46131</v>
      </c>
      <c r="C4226">
        <v>2378059085</v>
      </c>
      <c r="D4226">
        <v>2378081236</v>
      </c>
      <c r="E4226" t="str">
        <f>T("아카데미 악역 엑스트라로 사는 법 599화")</f>
        <v>아카데미 악역 엑스트라로 사는 법 599화</v>
      </c>
      <c r="F4226">
        <v>600</v>
      </c>
      <c r="G4226" t="str">
        <f>T("김서건")</f>
        <v>김서건</v>
      </c>
      <c r="J4226" t="str">
        <f>T("매드햇")</f>
        <v>매드햇</v>
      </c>
      <c r="K4226" t="str">
        <f>T("아카데미 악역 엑스트라로 사는 법")</f>
        <v>아카데미 악역 엑스트라로 사는 법</v>
      </c>
      <c r="L4226">
        <v>100</v>
      </c>
      <c r="M4226">
        <v>200</v>
      </c>
      <c r="N4226">
        <v>2</v>
      </c>
      <c r="O4226">
        <v>0</v>
      </c>
      <c r="P4226">
        <v>0</v>
      </c>
      <c r="Q4226">
        <v>0</v>
      </c>
      <c r="R4226">
        <v>0</v>
      </c>
      <c r="S4226">
        <v>0</v>
      </c>
      <c r="T4226">
        <v>0</v>
      </c>
      <c r="U4226">
        <v>0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0</v>
      </c>
      <c r="AE4226">
        <v>0</v>
      </c>
      <c r="AF4226">
        <v>0</v>
      </c>
      <c r="AG4226">
        <v>0</v>
      </c>
      <c r="AH4226">
        <v>0</v>
      </c>
      <c r="AI4226">
        <v>200</v>
      </c>
      <c r="AJ4226">
        <v>2</v>
      </c>
      <c r="AK4226">
        <v>0</v>
      </c>
      <c r="AL4226">
        <v>0</v>
      </c>
      <c r="AM4226">
        <v>200</v>
      </c>
      <c r="AN4226">
        <v>0</v>
      </c>
      <c r="AO4226">
        <v>0</v>
      </c>
      <c r="AP4226">
        <v>0</v>
      </c>
      <c r="AQ4226">
        <v>0</v>
      </c>
      <c r="AS4226">
        <v>0</v>
      </c>
      <c r="AT4226">
        <v>0</v>
      </c>
      <c r="AV4226">
        <v>0</v>
      </c>
      <c r="AW4226">
        <v>0</v>
      </c>
      <c r="AY4226">
        <v>0</v>
      </c>
      <c r="AZ4226">
        <v>0</v>
      </c>
      <c r="BA4226">
        <v>120</v>
      </c>
      <c r="BE4226" t="str">
        <f>T("9791137017818")</f>
        <v>9791137017818</v>
      </c>
      <c r="BF4226" t="str">
        <f>T("D227216")</f>
        <v>D227216</v>
      </c>
      <c r="BG4226" t="str">
        <f>T("판타지 웹소설 &gt; 퓨전 판타지")</f>
        <v>판타지 웹소설 &gt; 퓨전 판타지</v>
      </c>
    </row>
    <row r="4227" spans="1:59">
      <c r="A4227" t="s">
        <v>60</v>
      </c>
      <c r="B4227" s="1">
        <v>46131</v>
      </c>
      <c r="C4227">
        <v>2378059085</v>
      </c>
      <c r="D4227">
        <v>2378081237</v>
      </c>
      <c r="E4227" t="str">
        <f>T("아카데미 악역 엑스트라로 사는 법 600화")</f>
        <v>아카데미 악역 엑스트라로 사는 법 600화</v>
      </c>
      <c r="F4227">
        <v>601</v>
      </c>
      <c r="G4227" t="str">
        <f>T("김서건")</f>
        <v>김서건</v>
      </c>
      <c r="J4227" t="str">
        <f>T("매드햇")</f>
        <v>매드햇</v>
      </c>
      <c r="K4227" t="str">
        <f>T("아카데미 악역 엑스트라로 사는 법")</f>
        <v>아카데미 악역 엑스트라로 사는 법</v>
      </c>
      <c r="L4227">
        <v>100</v>
      </c>
      <c r="M4227">
        <v>200</v>
      </c>
      <c r="N4227">
        <v>2</v>
      </c>
      <c r="O4227">
        <v>0</v>
      </c>
      <c r="P4227">
        <v>0</v>
      </c>
      <c r="Q4227">
        <v>0</v>
      </c>
      <c r="R4227">
        <v>0</v>
      </c>
      <c r="S4227">
        <v>0</v>
      </c>
      <c r="T4227">
        <v>0</v>
      </c>
      <c r="U4227">
        <v>0</v>
      </c>
      <c r="V4227">
        <v>0</v>
      </c>
      <c r="W4227">
        <v>0</v>
      </c>
      <c r="X4227">
        <v>0</v>
      </c>
      <c r="Y4227">
        <v>0</v>
      </c>
      <c r="Z4227">
        <v>0</v>
      </c>
      <c r="AA4227">
        <v>0</v>
      </c>
      <c r="AB4227">
        <v>0</v>
      </c>
      <c r="AC4227">
        <v>0</v>
      </c>
      <c r="AD4227">
        <v>0</v>
      </c>
      <c r="AE4227">
        <v>0</v>
      </c>
      <c r="AF4227">
        <v>0</v>
      </c>
      <c r="AG4227">
        <v>0</v>
      </c>
      <c r="AH4227">
        <v>0</v>
      </c>
      <c r="AI4227">
        <v>200</v>
      </c>
      <c r="AJ4227">
        <v>2</v>
      </c>
      <c r="AK4227">
        <v>0</v>
      </c>
      <c r="AL4227">
        <v>0</v>
      </c>
      <c r="AM4227">
        <v>200</v>
      </c>
      <c r="AN4227">
        <v>0</v>
      </c>
      <c r="AO4227">
        <v>0</v>
      </c>
      <c r="AP4227">
        <v>0</v>
      </c>
      <c r="AQ4227">
        <v>0</v>
      </c>
      <c r="AS4227">
        <v>0</v>
      </c>
      <c r="AT4227">
        <v>0</v>
      </c>
      <c r="AV4227">
        <v>0</v>
      </c>
      <c r="AW4227">
        <v>0</v>
      </c>
      <c r="AY4227">
        <v>0</v>
      </c>
      <c r="AZ4227">
        <v>0</v>
      </c>
      <c r="BA4227">
        <v>120</v>
      </c>
      <c r="BE4227" t="str">
        <f>T("9791137017818")</f>
        <v>9791137017818</v>
      </c>
      <c r="BF4227" t="str">
        <f>T("D227217")</f>
        <v>D227217</v>
      </c>
      <c r="BG4227" t="str">
        <f>T("판타지 웹소설 &gt; 퓨전 판타지")</f>
        <v>판타지 웹소설 &gt; 퓨전 판타지</v>
      </c>
    </row>
    <row r="4228" spans="1:59">
      <c r="A4228" t="s">
        <v>60</v>
      </c>
      <c r="B4228" s="1">
        <v>46131</v>
      </c>
      <c r="C4228">
        <v>2378059085</v>
      </c>
      <c r="D4228">
        <v>2378081243</v>
      </c>
      <c r="E4228" t="str">
        <f>T("아카데미 악역 엑스트라로 사는 법 601화")</f>
        <v>아카데미 악역 엑스트라로 사는 법 601화</v>
      </c>
      <c r="F4228">
        <v>602</v>
      </c>
      <c r="G4228" t="str">
        <f>T("김서건")</f>
        <v>김서건</v>
      </c>
      <c r="J4228" t="str">
        <f>T("매드햇")</f>
        <v>매드햇</v>
      </c>
      <c r="K4228" t="str">
        <f>T("아카데미 악역 엑스트라로 사는 법")</f>
        <v>아카데미 악역 엑스트라로 사는 법</v>
      </c>
      <c r="L4228">
        <v>100</v>
      </c>
      <c r="M4228">
        <v>200</v>
      </c>
      <c r="N4228">
        <v>2</v>
      </c>
      <c r="O4228">
        <v>0</v>
      </c>
      <c r="P4228">
        <v>0</v>
      </c>
      <c r="Q4228">
        <v>0</v>
      </c>
      <c r="R4228">
        <v>0</v>
      </c>
      <c r="S4228">
        <v>0</v>
      </c>
      <c r="T4228">
        <v>0</v>
      </c>
      <c r="U4228">
        <v>0</v>
      </c>
      <c r="V4228">
        <v>0</v>
      </c>
      <c r="W4228">
        <v>0</v>
      </c>
      <c r="X4228">
        <v>0</v>
      </c>
      <c r="Y4228">
        <v>0</v>
      </c>
      <c r="Z4228">
        <v>0</v>
      </c>
      <c r="AA4228">
        <v>0</v>
      </c>
      <c r="AB4228">
        <v>0</v>
      </c>
      <c r="AC4228">
        <v>0</v>
      </c>
      <c r="AD4228">
        <v>0</v>
      </c>
      <c r="AE4228">
        <v>0</v>
      </c>
      <c r="AF4228">
        <v>0</v>
      </c>
      <c r="AG4228">
        <v>0</v>
      </c>
      <c r="AH4228">
        <v>0</v>
      </c>
      <c r="AI4228">
        <v>200</v>
      </c>
      <c r="AJ4228">
        <v>2</v>
      </c>
      <c r="AK4228">
        <v>0</v>
      </c>
      <c r="AL4228">
        <v>0</v>
      </c>
      <c r="AM4228">
        <v>200</v>
      </c>
      <c r="AN4228">
        <v>0</v>
      </c>
      <c r="AO4228">
        <v>0</v>
      </c>
      <c r="AP4228">
        <v>0</v>
      </c>
      <c r="AQ4228">
        <v>0</v>
      </c>
      <c r="AS4228">
        <v>0</v>
      </c>
      <c r="AT4228">
        <v>0</v>
      </c>
      <c r="AV4228">
        <v>0</v>
      </c>
      <c r="AW4228">
        <v>0</v>
      </c>
      <c r="AY4228">
        <v>0</v>
      </c>
      <c r="AZ4228">
        <v>0</v>
      </c>
      <c r="BA4228">
        <v>120</v>
      </c>
      <c r="BE4228" t="str">
        <f>T("9791137017818")</f>
        <v>9791137017818</v>
      </c>
      <c r="BF4228" t="str">
        <f>T("D268917")</f>
        <v>D268917</v>
      </c>
      <c r="BG4228" t="str">
        <f>T("판타지 웹소설 &gt; 퓨전 판타지")</f>
        <v>판타지 웹소설 &gt; 퓨전 판타지</v>
      </c>
    </row>
    <row r="4229" spans="1:59">
      <c r="A4229" t="s">
        <v>60</v>
      </c>
      <c r="B4229" s="1">
        <v>46131</v>
      </c>
      <c r="C4229">
        <v>2378059085</v>
      </c>
      <c r="D4229">
        <v>2378081247</v>
      </c>
      <c r="E4229" t="str">
        <f>T("아카데미 악역 엑스트라로 사는 법 602화")</f>
        <v>아카데미 악역 엑스트라로 사는 법 602화</v>
      </c>
      <c r="F4229">
        <v>603</v>
      </c>
      <c r="G4229" t="str">
        <f>T("김서건")</f>
        <v>김서건</v>
      </c>
      <c r="J4229" t="str">
        <f>T("매드햇")</f>
        <v>매드햇</v>
      </c>
      <c r="K4229" t="str">
        <f>T("아카데미 악역 엑스트라로 사는 법")</f>
        <v>아카데미 악역 엑스트라로 사는 법</v>
      </c>
      <c r="L4229">
        <v>100</v>
      </c>
      <c r="M4229">
        <v>200</v>
      </c>
      <c r="N4229">
        <v>2</v>
      </c>
      <c r="O4229">
        <v>0</v>
      </c>
      <c r="P4229">
        <v>0</v>
      </c>
      <c r="Q4229">
        <v>0</v>
      </c>
      <c r="R4229">
        <v>0</v>
      </c>
      <c r="S4229">
        <v>0</v>
      </c>
      <c r="T4229">
        <v>0</v>
      </c>
      <c r="U4229">
        <v>0</v>
      </c>
      <c r="V4229">
        <v>0</v>
      </c>
      <c r="W4229">
        <v>0</v>
      </c>
      <c r="X4229">
        <v>0</v>
      </c>
      <c r="Y4229">
        <v>0</v>
      </c>
      <c r="Z4229">
        <v>0</v>
      </c>
      <c r="AA4229">
        <v>0</v>
      </c>
      <c r="AB4229">
        <v>0</v>
      </c>
      <c r="AC4229">
        <v>0</v>
      </c>
      <c r="AD4229">
        <v>0</v>
      </c>
      <c r="AE4229">
        <v>0</v>
      </c>
      <c r="AF4229">
        <v>0</v>
      </c>
      <c r="AG4229">
        <v>0</v>
      </c>
      <c r="AH4229">
        <v>0</v>
      </c>
      <c r="AI4229">
        <v>200</v>
      </c>
      <c r="AJ4229">
        <v>2</v>
      </c>
      <c r="AK4229">
        <v>0</v>
      </c>
      <c r="AL4229">
        <v>0</v>
      </c>
      <c r="AM4229">
        <v>200</v>
      </c>
      <c r="AN4229">
        <v>0</v>
      </c>
      <c r="AO4229">
        <v>0</v>
      </c>
      <c r="AP4229">
        <v>0</v>
      </c>
      <c r="AQ4229">
        <v>0</v>
      </c>
      <c r="AS4229">
        <v>0</v>
      </c>
      <c r="AT4229">
        <v>0</v>
      </c>
      <c r="AV4229">
        <v>0</v>
      </c>
      <c r="AW4229">
        <v>0</v>
      </c>
      <c r="AY4229">
        <v>0</v>
      </c>
      <c r="AZ4229">
        <v>0</v>
      </c>
      <c r="BA4229">
        <v>120</v>
      </c>
      <c r="BE4229" t="str">
        <f>T("9791137017818")</f>
        <v>9791137017818</v>
      </c>
      <c r="BF4229" t="str">
        <f>T("D268918")</f>
        <v>D268918</v>
      </c>
      <c r="BG4229" t="str">
        <f>T("판타지 웹소설 &gt; 퓨전 판타지")</f>
        <v>판타지 웹소설 &gt; 퓨전 판타지</v>
      </c>
    </row>
    <row r="4230" spans="1:59">
      <c r="A4230" t="s">
        <v>60</v>
      </c>
      <c r="B4230" s="1">
        <v>46131</v>
      </c>
      <c r="C4230">
        <v>2378059085</v>
      </c>
      <c r="D4230">
        <v>2378059085</v>
      </c>
      <c r="E4230" t="str">
        <f>T("아카데미 악역 엑스트라로 사는 법 1화")</f>
        <v>아카데미 악역 엑스트라로 사는 법 1화</v>
      </c>
      <c r="F4230">
        <v>1</v>
      </c>
      <c r="G4230" t="str">
        <f>T("김서건")</f>
        <v>김서건</v>
      </c>
      <c r="J4230" t="str">
        <f>T("매드햇")</f>
        <v>매드햇</v>
      </c>
      <c r="K4230" t="str">
        <f>T("아카데미 악역 엑스트라로 사는 법")</f>
        <v>아카데미 악역 엑스트라로 사는 법</v>
      </c>
      <c r="L4230">
        <v>0</v>
      </c>
      <c r="M4230">
        <v>0</v>
      </c>
      <c r="N4230">
        <v>0</v>
      </c>
      <c r="O4230">
        <v>2</v>
      </c>
      <c r="P4230">
        <v>0</v>
      </c>
      <c r="Q4230">
        <v>0</v>
      </c>
      <c r="R4230">
        <v>0</v>
      </c>
      <c r="S4230">
        <v>0</v>
      </c>
      <c r="T4230">
        <v>0</v>
      </c>
      <c r="U4230">
        <v>0</v>
      </c>
      <c r="V4230">
        <v>0</v>
      </c>
      <c r="W4230">
        <v>0</v>
      </c>
      <c r="X4230">
        <v>0</v>
      </c>
      <c r="Y4230">
        <v>0</v>
      </c>
      <c r="Z4230">
        <v>0</v>
      </c>
      <c r="AA4230">
        <v>0</v>
      </c>
      <c r="AB4230">
        <v>0</v>
      </c>
      <c r="AC4230">
        <v>0</v>
      </c>
      <c r="AD4230">
        <v>0</v>
      </c>
      <c r="AE4230">
        <v>0</v>
      </c>
      <c r="AF4230">
        <v>0</v>
      </c>
      <c r="AG4230">
        <v>0</v>
      </c>
      <c r="AH4230">
        <v>0</v>
      </c>
      <c r="AI4230">
        <v>0</v>
      </c>
      <c r="AJ4230">
        <v>2</v>
      </c>
      <c r="AK4230">
        <v>0</v>
      </c>
      <c r="AL4230">
        <v>0</v>
      </c>
      <c r="AM4230">
        <v>0</v>
      </c>
      <c r="AN4230">
        <v>0</v>
      </c>
      <c r="AO4230">
        <v>0</v>
      </c>
      <c r="AP4230">
        <v>0</v>
      </c>
      <c r="AQ4230">
        <v>0</v>
      </c>
      <c r="AS4230">
        <v>0</v>
      </c>
      <c r="AT4230">
        <v>0</v>
      </c>
      <c r="AV4230">
        <v>0</v>
      </c>
      <c r="AW4230">
        <v>0</v>
      </c>
      <c r="AY4230">
        <v>0</v>
      </c>
      <c r="AZ4230">
        <v>0</v>
      </c>
      <c r="BA4230">
        <v>0</v>
      </c>
      <c r="BE4230" t="str">
        <f>T("9791137017818")</f>
        <v>9791137017818</v>
      </c>
      <c r="BF4230" t="str">
        <f>T("k196847")</f>
        <v>k196847</v>
      </c>
      <c r="BG4230" t="str">
        <f>T("판타지 웹소설 &gt; 퓨전 판타지")</f>
        <v>판타지 웹소설 &gt; 퓨전 판타지</v>
      </c>
    </row>
    <row r="4231" spans="1:59">
      <c r="A4231" t="s">
        <v>60</v>
      </c>
      <c r="B4231" s="1">
        <v>46131</v>
      </c>
      <c r="C4231">
        <v>2378059085</v>
      </c>
      <c r="D4231">
        <v>2378060550</v>
      </c>
      <c r="E4231" t="str">
        <f>T("아카데미 악역 엑스트라로 사는 법 122화")</f>
        <v>아카데미 악역 엑스트라로 사는 법 122화</v>
      </c>
      <c r="F4231">
        <v>122</v>
      </c>
      <c r="G4231" t="str">
        <f>T("김서건")</f>
        <v>김서건</v>
      </c>
      <c r="J4231" t="str">
        <f>T("매드햇")</f>
        <v>매드햇</v>
      </c>
      <c r="K4231" t="str">
        <f>T("아카데미 악역 엑스트라로 사는 법")</f>
        <v>아카데미 악역 엑스트라로 사는 법</v>
      </c>
      <c r="L4231">
        <v>100</v>
      </c>
      <c r="M4231">
        <v>200</v>
      </c>
      <c r="N4231">
        <v>2</v>
      </c>
      <c r="O4231">
        <v>0</v>
      </c>
      <c r="P4231">
        <v>0</v>
      </c>
      <c r="Q4231">
        <v>0</v>
      </c>
      <c r="R4231">
        <v>0</v>
      </c>
      <c r="S4231">
        <v>0</v>
      </c>
      <c r="T4231">
        <v>0</v>
      </c>
      <c r="U4231">
        <v>0</v>
      </c>
      <c r="V4231">
        <v>0</v>
      </c>
      <c r="W4231">
        <v>0</v>
      </c>
      <c r="X4231">
        <v>0</v>
      </c>
      <c r="Y4231">
        <v>0</v>
      </c>
      <c r="Z4231">
        <v>0</v>
      </c>
      <c r="AA4231">
        <v>0</v>
      </c>
      <c r="AB4231">
        <v>0</v>
      </c>
      <c r="AC4231">
        <v>0</v>
      </c>
      <c r="AD4231">
        <v>0</v>
      </c>
      <c r="AE4231">
        <v>0</v>
      </c>
      <c r="AF4231">
        <v>0</v>
      </c>
      <c r="AG4231">
        <v>0</v>
      </c>
      <c r="AH4231">
        <v>0</v>
      </c>
      <c r="AI4231">
        <v>200</v>
      </c>
      <c r="AJ4231">
        <v>2</v>
      </c>
      <c r="AK4231">
        <v>0</v>
      </c>
      <c r="AL4231">
        <v>0</v>
      </c>
      <c r="AM4231">
        <v>200</v>
      </c>
      <c r="AN4231">
        <v>0</v>
      </c>
      <c r="AO4231">
        <v>0</v>
      </c>
      <c r="AP4231">
        <v>0</v>
      </c>
      <c r="AQ4231">
        <v>0</v>
      </c>
      <c r="AS4231">
        <v>0</v>
      </c>
      <c r="AT4231">
        <v>0</v>
      </c>
      <c r="AV4231">
        <v>0</v>
      </c>
      <c r="AW4231">
        <v>0</v>
      </c>
      <c r="AY4231">
        <v>0</v>
      </c>
      <c r="AZ4231">
        <v>0</v>
      </c>
      <c r="BA4231">
        <v>120</v>
      </c>
      <c r="BE4231" t="str">
        <f>T("9791137017818")</f>
        <v>9791137017818</v>
      </c>
      <c r="BF4231" t="str">
        <f>T("k207414")</f>
        <v>k207414</v>
      </c>
      <c r="BG4231" t="str">
        <f>T("판타지 웹소설 &gt; 퓨전 판타지")</f>
        <v>판타지 웹소설 &gt; 퓨전 판타지</v>
      </c>
    </row>
    <row r="4232" spans="1:59">
      <c r="A4232" t="s">
        <v>60</v>
      </c>
      <c r="B4232" s="1">
        <v>46131</v>
      </c>
      <c r="C4232">
        <v>2378059085</v>
      </c>
      <c r="D4232">
        <v>2378066728</v>
      </c>
      <c r="E4232" t="str">
        <f>T("아카데미 악역 엑스트라로 사는 법 215화")</f>
        <v>아카데미 악역 엑스트라로 사는 법 215화</v>
      </c>
      <c r="F4232">
        <v>215</v>
      </c>
      <c r="G4232" t="str">
        <f>T("김서건")</f>
        <v>김서건</v>
      </c>
      <c r="J4232" t="str">
        <f>T("매드햇")</f>
        <v>매드햇</v>
      </c>
      <c r="K4232" t="str">
        <f>T("아카데미 악역 엑스트라로 사는 법")</f>
        <v>아카데미 악역 엑스트라로 사는 법</v>
      </c>
      <c r="L4232">
        <v>100</v>
      </c>
      <c r="M4232">
        <v>100</v>
      </c>
      <c r="N4232">
        <v>1</v>
      </c>
      <c r="O4232">
        <v>0</v>
      </c>
      <c r="P4232">
        <v>0</v>
      </c>
      <c r="Q4232">
        <v>0</v>
      </c>
      <c r="R4232">
        <v>0</v>
      </c>
      <c r="S4232">
        <v>0</v>
      </c>
      <c r="T4232">
        <v>0</v>
      </c>
      <c r="U4232">
        <v>0</v>
      </c>
      <c r="V4232">
        <v>0</v>
      </c>
      <c r="W4232">
        <v>0</v>
      </c>
      <c r="X4232">
        <v>0</v>
      </c>
      <c r="Y4232">
        <v>0</v>
      </c>
      <c r="Z4232">
        <v>0</v>
      </c>
      <c r="AA4232">
        <v>0</v>
      </c>
      <c r="AB4232">
        <v>0</v>
      </c>
      <c r="AC4232">
        <v>0</v>
      </c>
      <c r="AD4232">
        <v>0</v>
      </c>
      <c r="AE4232">
        <v>0</v>
      </c>
      <c r="AF4232">
        <v>0</v>
      </c>
      <c r="AG4232">
        <v>0</v>
      </c>
      <c r="AH4232">
        <v>0</v>
      </c>
      <c r="AI4232">
        <v>100</v>
      </c>
      <c r="AJ4232">
        <v>1</v>
      </c>
      <c r="AK4232">
        <v>0</v>
      </c>
      <c r="AL4232">
        <v>0</v>
      </c>
      <c r="AM4232">
        <v>100</v>
      </c>
      <c r="AN4232">
        <v>0</v>
      </c>
      <c r="AO4232">
        <v>0</v>
      </c>
      <c r="AP4232">
        <v>0</v>
      </c>
      <c r="AQ4232">
        <v>0</v>
      </c>
      <c r="AS4232">
        <v>0</v>
      </c>
      <c r="AT4232">
        <v>0</v>
      </c>
      <c r="AV4232">
        <v>0</v>
      </c>
      <c r="AW4232">
        <v>0</v>
      </c>
      <c r="AY4232">
        <v>0</v>
      </c>
      <c r="AZ4232">
        <v>0</v>
      </c>
      <c r="BA4232">
        <v>60</v>
      </c>
      <c r="BE4232" t="str">
        <f>T("9791137017818")</f>
        <v>9791137017818</v>
      </c>
      <c r="BF4232" t="str">
        <f>T("k307469")</f>
        <v>k307469</v>
      </c>
      <c r="BG4232" t="str">
        <f>T("판타지 웹소설 &gt; 퓨전 판타지")</f>
        <v>판타지 웹소설 &gt; 퓨전 판타지</v>
      </c>
    </row>
    <row r="4233" spans="1:59">
      <c r="A4233" t="s">
        <v>60</v>
      </c>
      <c r="B4233" s="1">
        <v>46131</v>
      </c>
      <c r="C4233">
        <v>2378059085</v>
      </c>
      <c r="D4233">
        <v>2378059086</v>
      </c>
      <c r="E4233" t="str">
        <f>T("아카데미 악역 엑스트라로 사는 법 2화")</f>
        <v>아카데미 악역 엑스트라로 사는 법 2화</v>
      </c>
      <c r="F4233">
        <v>2</v>
      </c>
      <c r="G4233" t="str">
        <f>T("김서건")</f>
        <v>김서건</v>
      </c>
      <c r="J4233" t="str">
        <f>T("매드햇")</f>
        <v>매드햇</v>
      </c>
      <c r="K4233" t="str">
        <f>T("아카데미 악역 엑스트라로 사는 법")</f>
        <v>아카데미 악역 엑스트라로 사는 법</v>
      </c>
      <c r="L4233">
        <v>0</v>
      </c>
      <c r="M4233">
        <v>0</v>
      </c>
      <c r="N4233">
        <v>0</v>
      </c>
      <c r="O4233">
        <v>2</v>
      </c>
      <c r="P4233">
        <v>0</v>
      </c>
      <c r="Q4233">
        <v>0</v>
      </c>
      <c r="R4233">
        <v>0</v>
      </c>
      <c r="S4233">
        <v>0</v>
      </c>
      <c r="T4233">
        <v>0</v>
      </c>
      <c r="U4233">
        <v>0</v>
      </c>
      <c r="V4233">
        <v>0</v>
      </c>
      <c r="W4233">
        <v>0</v>
      </c>
      <c r="X4233">
        <v>0</v>
      </c>
      <c r="Y4233">
        <v>0</v>
      </c>
      <c r="Z4233">
        <v>0</v>
      </c>
      <c r="AA4233">
        <v>0</v>
      </c>
      <c r="AB4233">
        <v>0</v>
      </c>
      <c r="AC4233">
        <v>0</v>
      </c>
      <c r="AD4233">
        <v>0</v>
      </c>
      <c r="AE4233">
        <v>0</v>
      </c>
      <c r="AF4233">
        <v>0</v>
      </c>
      <c r="AG4233">
        <v>0</v>
      </c>
      <c r="AH4233">
        <v>0</v>
      </c>
      <c r="AI4233">
        <v>0</v>
      </c>
      <c r="AJ4233">
        <v>2</v>
      </c>
      <c r="AK4233">
        <v>0</v>
      </c>
      <c r="AL4233">
        <v>0</v>
      </c>
      <c r="AM4233">
        <v>0</v>
      </c>
      <c r="AN4233">
        <v>0</v>
      </c>
      <c r="AO4233">
        <v>0</v>
      </c>
      <c r="AP4233">
        <v>0</v>
      </c>
      <c r="AQ4233">
        <v>0</v>
      </c>
      <c r="AS4233">
        <v>0</v>
      </c>
      <c r="AT4233">
        <v>0</v>
      </c>
      <c r="AV4233">
        <v>0</v>
      </c>
      <c r="AW4233">
        <v>0</v>
      </c>
      <c r="AY4233">
        <v>0</v>
      </c>
      <c r="AZ4233">
        <v>0</v>
      </c>
      <c r="BA4233">
        <v>0</v>
      </c>
      <c r="BE4233" t="str">
        <f>T("9791137017818")</f>
        <v>9791137017818</v>
      </c>
      <c r="BF4233" t="str">
        <f>T("k196848")</f>
        <v>k196848</v>
      </c>
      <c r="BG4233" t="str">
        <f>T("판타지 웹소설 &gt; 퓨전 판타지")</f>
        <v>판타지 웹소설 &gt; 퓨전 판타지</v>
      </c>
    </row>
    <row r="4234" spans="1:59">
      <c r="A4234" t="s">
        <v>60</v>
      </c>
      <c r="B4234" s="1">
        <v>46131</v>
      </c>
      <c r="C4234">
        <v>2378059085</v>
      </c>
      <c r="D4234">
        <v>2378059087</v>
      </c>
      <c r="E4234" t="str">
        <f>T("아카데미 악역 엑스트라로 사는 법 3화")</f>
        <v>아카데미 악역 엑스트라로 사는 법 3화</v>
      </c>
      <c r="F4234">
        <v>3</v>
      </c>
      <c r="G4234" t="str">
        <f>T("김서건")</f>
        <v>김서건</v>
      </c>
      <c r="J4234" t="str">
        <f>T("매드햇")</f>
        <v>매드햇</v>
      </c>
      <c r="K4234" t="str">
        <f>T("아카데미 악역 엑스트라로 사는 법")</f>
        <v>아카데미 악역 엑스트라로 사는 법</v>
      </c>
      <c r="L4234">
        <v>0</v>
      </c>
      <c r="M4234">
        <v>0</v>
      </c>
      <c r="N4234">
        <v>0</v>
      </c>
      <c r="O4234">
        <v>1</v>
      </c>
      <c r="P4234">
        <v>0</v>
      </c>
      <c r="Q4234">
        <v>0</v>
      </c>
      <c r="R4234">
        <v>0</v>
      </c>
      <c r="S4234">
        <v>0</v>
      </c>
      <c r="T4234">
        <v>0</v>
      </c>
      <c r="U4234">
        <v>0</v>
      </c>
      <c r="V4234">
        <v>0</v>
      </c>
      <c r="W4234">
        <v>0</v>
      </c>
      <c r="X4234">
        <v>0</v>
      </c>
      <c r="Y4234">
        <v>0</v>
      </c>
      <c r="Z4234">
        <v>0</v>
      </c>
      <c r="AA4234">
        <v>0</v>
      </c>
      <c r="AB4234">
        <v>0</v>
      </c>
      <c r="AC4234">
        <v>0</v>
      </c>
      <c r="AD4234">
        <v>0</v>
      </c>
      <c r="AE4234">
        <v>0</v>
      </c>
      <c r="AF4234">
        <v>0</v>
      </c>
      <c r="AG4234">
        <v>0</v>
      </c>
      <c r="AH4234">
        <v>0</v>
      </c>
      <c r="AI4234">
        <v>0</v>
      </c>
      <c r="AJ4234">
        <v>1</v>
      </c>
      <c r="AK4234">
        <v>0</v>
      </c>
      <c r="AL4234">
        <v>0</v>
      </c>
      <c r="AM4234">
        <v>0</v>
      </c>
      <c r="AN4234">
        <v>0</v>
      </c>
      <c r="AO4234">
        <v>0</v>
      </c>
      <c r="AP4234">
        <v>0</v>
      </c>
      <c r="AQ4234">
        <v>0</v>
      </c>
      <c r="AS4234">
        <v>0</v>
      </c>
      <c r="AT4234">
        <v>0</v>
      </c>
      <c r="AV4234">
        <v>0</v>
      </c>
      <c r="AW4234">
        <v>0</v>
      </c>
      <c r="AY4234">
        <v>0</v>
      </c>
      <c r="AZ4234">
        <v>0</v>
      </c>
      <c r="BA4234">
        <v>0</v>
      </c>
      <c r="BE4234" t="str">
        <f>T("9791137017818")</f>
        <v>9791137017818</v>
      </c>
      <c r="BF4234" t="str">
        <f>T("k196849")</f>
        <v>k196849</v>
      </c>
      <c r="BG4234" t="str">
        <f>T("판타지 웹소설 &gt; 퓨전 판타지")</f>
        <v>판타지 웹소설 &gt; 퓨전 판타지</v>
      </c>
    </row>
    <row r="4235" spans="1:59">
      <c r="A4235" t="s">
        <v>60</v>
      </c>
      <c r="B4235" s="1">
        <v>46131</v>
      </c>
      <c r="C4235">
        <v>2378059085</v>
      </c>
      <c r="D4235">
        <v>2378059088</v>
      </c>
      <c r="E4235" t="str">
        <f>T("아카데미 악역 엑스트라로 사는 법 4화")</f>
        <v>아카데미 악역 엑스트라로 사는 법 4화</v>
      </c>
      <c r="F4235">
        <v>4</v>
      </c>
      <c r="G4235" t="str">
        <f>T("김서건")</f>
        <v>김서건</v>
      </c>
      <c r="J4235" t="str">
        <f>T("매드햇")</f>
        <v>매드햇</v>
      </c>
      <c r="K4235" t="str">
        <f>T("아카데미 악역 엑스트라로 사는 법")</f>
        <v>아카데미 악역 엑스트라로 사는 법</v>
      </c>
      <c r="L4235">
        <v>0</v>
      </c>
      <c r="M4235">
        <v>0</v>
      </c>
      <c r="N4235">
        <v>0</v>
      </c>
      <c r="O4235">
        <v>1</v>
      </c>
      <c r="P4235">
        <v>0</v>
      </c>
      <c r="Q4235">
        <v>0</v>
      </c>
      <c r="R4235">
        <v>0</v>
      </c>
      <c r="S4235">
        <v>0</v>
      </c>
      <c r="T4235">
        <v>0</v>
      </c>
      <c r="U4235">
        <v>0</v>
      </c>
      <c r="V4235">
        <v>0</v>
      </c>
      <c r="W4235">
        <v>0</v>
      </c>
      <c r="X4235">
        <v>0</v>
      </c>
      <c r="Y4235">
        <v>0</v>
      </c>
      <c r="Z4235">
        <v>0</v>
      </c>
      <c r="AA4235">
        <v>0</v>
      </c>
      <c r="AB4235">
        <v>0</v>
      </c>
      <c r="AC4235">
        <v>0</v>
      </c>
      <c r="AD4235">
        <v>0</v>
      </c>
      <c r="AE4235">
        <v>0</v>
      </c>
      <c r="AF4235">
        <v>0</v>
      </c>
      <c r="AG4235">
        <v>0</v>
      </c>
      <c r="AH4235">
        <v>0</v>
      </c>
      <c r="AI4235">
        <v>0</v>
      </c>
      <c r="AJ4235">
        <v>1</v>
      </c>
      <c r="AK4235">
        <v>0</v>
      </c>
      <c r="AL4235">
        <v>0</v>
      </c>
      <c r="AM4235">
        <v>0</v>
      </c>
      <c r="AN4235">
        <v>0</v>
      </c>
      <c r="AO4235">
        <v>0</v>
      </c>
      <c r="AP4235">
        <v>0</v>
      </c>
      <c r="AQ4235">
        <v>0</v>
      </c>
      <c r="AS4235">
        <v>0</v>
      </c>
      <c r="AT4235">
        <v>0</v>
      </c>
      <c r="AV4235">
        <v>0</v>
      </c>
      <c r="AW4235">
        <v>0</v>
      </c>
      <c r="AY4235">
        <v>0</v>
      </c>
      <c r="AZ4235">
        <v>0</v>
      </c>
      <c r="BA4235">
        <v>0</v>
      </c>
      <c r="BE4235" t="str">
        <f>T("9791137017818")</f>
        <v>9791137017818</v>
      </c>
      <c r="BF4235" t="str">
        <f>T("k196850")</f>
        <v>k196850</v>
      </c>
      <c r="BG4235" t="str">
        <f>T("판타지 웹소설 &gt; 퓨전 판타지")</f>
        <v>판타지 웹소설 &gt; 퓨전 판타지</v>
      </c>
    </row>
    <row r="4236" spans="1:59">
      <c r="A4236" t="s">
        <v>60</v>
      </c>
      <c r="B4236" s="1">
        <v>46131</v>
      </c>
      <c r="C4236">
        <v>2378059085</v>
      </c>
      <c r="D4236">
        <v>2378059089</v>
      </c>
      <c r="E4236" t="str">
        <f>T("아카데미 악역 엑스트라로 사는 법 5화")</f>
        <v>아카데미 악역 엑스트라로 사는 법 5화</v>
      </c>
      <c r="F4236">
        <v>5</v>
      </c>
      <c r="G4236" t="str">
        <f>T("김서건")</f>
        <v>김서건</v>
      </c>
      <c r="J4236" t="str">
        <f>T("매드햇")</f>
        <v>매드햇</v>
      </c>
      <c r="K4236" t="str">
        <f>T("아카데미 악역 엑스트라로 사는 법")</f>
        <v>아카데미 악역 엑스트라로 사는 법</v>
      </c>
      <c r="L4236">
        <v>0</v>
      </c>
      <c r="M4236">
        <v>0</v>
      </c>
      <c r="N4236">
        <v>0</v>
      </c>
      <c r="O4236">
        <v>1</v>
      </c>
      <c r="P4236">
        <v>0</v>
      </c>
      <c r="Q4236">
        <v>0</v>
      </c>
      <c r="R4236">
        <v>0</v>
      </c>
      <c r="S4236">
        <v>0</v>
      </c>
      <c r="T4236">
        <v>0</v>
      </c>
      <c r="U4236">
        <v>0</v>
      </c>
      <c r="V4236">
        <v>0</v>
      </c>
      <c r="W4236">
        <v>0</v>
      </c>
      <c r="X4236">
        <v>0</v>
      </c>
      <c r="Y4236">
        <v>0</v>
      </c>
      <c r="Z4236">
        <v>0</v>
      </c>
      <c r="AA4236">
        <v>0</v>
      </c>
      <c r="AB4236">
        <v>0</v>
      </c>
      <c r="AC4236">
        <v>0</v>
      </c>
      <c r="AD4236">
        <v>0</v>
      </c>
      <c r="AE4236">
        <v>0</v>
      </c>
      <c r="AF4236">
        <v>0</v>
      </c>
      <c r="AG4236">
        <v>0</v>
      </c>
      <c r="AH4236">
        <v>0</v>
      </c>
      <c r="AI4236">
        <v>0</v>
      </c>
      <c r="AJ4236">
        <v>1</v>
      </c>
      <c r="AK4236">
        <v>0</v>
      </c>
      <c r="AL4236">
        <v>0</v>
      </c>
      <c r="AM4236">
        <v>0</v>
      </c>
      <c r="AN4236">
        <v>0</v>
      </c>
      <c r="AO4236">
        <v>0</v>
      </c>
      <c r="AP4236">
        <v>0</v>
      </c>
      <c r="AQ4236">
        <v>0</v>
      </c>
      <c r="AS4236">
        <v>0</v>
      </c>
      <c r="AT4236">
        <v>0</v>
      </c>
      <c r="AV4236">
        <v>0</v>
      </c>
      <c r="AW4236">
        <v>0</v>
      </c>
      <c r="AY4236">
        <v>0</v>
      </c>
      <c r="AZ4236">
        <v>0</v>
      </c>
      <c r="BA4236">
        <v>0</v>
      </c>
      <c r="BE4236" t="str">
        <f>T("9791137017818")</f>
        <v>9791137017818</v>
      </c>
      <c r="BF4236" t="str">
        <f>T("k196851")</f>
        <v>k196851</v>
      </c>
      <c r="BG4236" t="str">
        <f>T("판타지 웹소설 &gt; 퓨전 판타지")</f>
        <v>판타지 웹소설 &gt; 퓨전 판타지</v>
      </c>
    </row>
    <row r="4237" spans="1:59">
      <c r="A4237" t="s">
        <v>60</v>
      </c>
      <c r="B4237" s="1">
        <v>46131</v>
      </c>
      <c r="C4237">
        <v>2378059085</v>
      </c>
      <c r="D4237">
        <v>2378059135</v>
      </c>
      <c r="E4237" t="str">
        <f>T("아카데미 악역 엑스트라로 사는 법 51화")</f>
        <v>아카데미 악역 엑스트라로 사는 법 51화</v>
      </c>
      <c r="F4237">
        <v>51</v>
      </c>
      <c r="G4237" t="str">
        <f>T("김서건")</f>
        <v>김서건</v>
      </c>
      <c r="J4237" t="str">
        <f>T("매드햇")</f>
        <v>매드햇</v>
      </c>
      <c r="K4237" t="str">
        <f>T("아카데미 악역 엑스트라로 사는 법")</f>
        <v>아카데미 악역 엑스트라로 사는 법</v>
      </c>
      <c r="L4237">
        <v>100</v>
      </c>
      <c r="M4237">
        <v>100</v>
      </c>
      <c r="N4237">
        <v>1</v>
      </c>
      <c r="O4237">
        <v>0</v>
      </c>
      <c r="P4237">
        <v>0</v>
      </c>
      <c r="Q4237">
        <v>0</v>
      </c>
      <c r="R4237">
        <v>0</v>
      </c>
      <c r="S4237">
        <v>0</v>
      </c>
      <c r="T4237">
        <v>0</v>
      </c>
      <c r="U4237">
        <v>0</v>
      </c>
      <c r="V4237">
        <v>0</v>
      </c>
      <c r="W4237">
        <v>0</v>
      </c>
      <c r="X4237">
        <v>0</v>
      </c>
      <c r="Y4237">
        <v>0</v>
      </c>
      <c r="Z4237">
        <v>0</v>
      </c>
      <c r="AA4237">
        <v>0</v>
      </c>
      <c r="AB4237">
        <v>0</v>
      </c>
      <c r="AC4237">
        <v>0</v>
      </c>
      <c r="AD4237">
        <v>0</v>
      </c>
      <c r="AE4237">
        <v>0</v>
      </c>
      <c r="AF4237">
        <v>0</v>
      </c>
      <c r="AG4237">
        <v>0</v>
      </c>
      <c r="AH4237">
        <v>0</v>
      </c>
      <c r="AI4237">
        <v>100</v>
      </c>
      <c r="AJ4237">
        <v>1</v>
      </c>
      <c r="AK4237">
        <v>0</v>
      </c>
      <c r="AL4237">
        <v>0</v>
      </c>
      <c r="AM4237">
        <v>100</v>
      </c>
      <c r="AN4237">
        <v>0</v>
      </c>
      <c r="AO4237">
        <v>0</v>
      </c>
      <c r="AP4237">
        <v>0</v>
      </c>
      <c r="AQ4237">
        <v>0</v>
      </c>
      <c r="AS4237">
        <v>0</v>
      </c>
      <c r="AT4237">
        <v>0</v>
      </c>
      <c r="AV4237">
        <v>0</v>
      </c>
      <c r="AW4237">
        <v>0</v>
      </c>
      <c r="AY4237">
        <v>0</v>
      </c>
      <c r="AZ4237">
        <v>0</v>
      </c>
      <c r="BA4237">
        <v>60</v>
      </c>
      <c r="BE4237" t="str">
        <f>T("9791137017818")</f>
        <v>9791137017818</v>
      </c>
      <c r="BF4237" t="str">
        <f>T("k196897")</f>
        <v>k196897</v>
      </c>
      <c r="BG4237" t="str">
        <f>T("판타지 웹소설 &gt; 퓨전 판타지")</f>
        <v>판타지 웹소설 &gt; 퓨전 판타지</v>
      </c>
    </row>
    <row r="4238" spans="1:59">
      <c r="A4238" t="s">
        <v>60</v>
      </c>
      <c r="B4238" s="1">
        <v>46131</v>
      </c>
      <c r="C4238">
        <v>2378059085</v>
      </c>
      <c r="D4238">
        <v>2378059136</v>
      </c>
      <c r="E4238" t="str">
        <f>T("아카데미 악역 엑스트라로 사는 법 52화")</f>
        <v>아카데미 악역 엑스트라로 사는 법 52화</v>
      </c>
      <c r="F4238">
        <v>52</v>
      </c>
      <c r="G4238" t="str">
        <f>T("김서건")</f>
        <v>김서건</v>
      </c>
      <c r="J4238" t="str">
        <f>T("매드햇")</f>
        <v>매드햇</v>
      </c>
      <c r="K4238" t="str">
        <f>T("아카데미 악역 엑스트라로 사는 법")</f>
        <v>아카데미 악역 엑스트라로 사는 법</v>
      </c>
      <c r="L4238">
        <v>100</v>
      </c>
      <c r="M4238">
        <v>100</v>
      </c>
      <c r="N4238">
        <v>1</v>
      </c>
      <c r="O4238">
        <v>0</v>
      </c>
      <c r="P4238">
        <v>0</v>
      </c>
      <c r="Q4238">
        <v>0</v>
      </c>
      <c r="R4238">
        <v>0</v>
      </c>
      <c r="S4238">
        <v>0</v>
      </c>
      <c r="T4238">
        <v>0</v>
      </c>
      <c r="U4238">
        <v>0</v>
      </c>
      <c r="V4238">
        <v>0</v>
      </c>
      <c r="W4238">
        <v>0</v>
      </c>
      <c r="X4238">
        <v>0</v>
      </c>
      <c r="Y4238">
        <v>0</v>
      </c>
      <c r="Z4238">
        <v>0</v>
      </c>
      <c r="AA4238">
        <v>0</v>
      </c>
      <c r="AB4238">
        <v>0</v>
      </c>
      <c r="AC4238">
        <v>0</v>
      </c>
      <c r="AD4238">
        <v>0</v>
      </c>
      <c r="AE4238">
        <v>0</v>
      </c>
      <c r="AF4238">
        <v>0</v>
      </c>
      <c r="AG4238">
        <v>0</v>
      </c>
      <c r="AH4238">
        <v>0</v>
      </c>
      <c r="AI4238">
        <v>100</v>
      </c>
      <c r="AJ4238">
        <v>1</v>
      </c>
      <c r="AK4238">
        <v>0</v>
      </c>
      <c r="AL4238">
        <v>0</v>
      </c>
      <c r="AM4238">
        <v>100</v>
      </c>
      <c r="AN4238">
        <v>0</v>
      </c>
      <c r="AO4238">
        <v>0</v>
      </c>
      <c r="AP4238">
        <v>0</v>
      </c>
      <c r="AQ4238">
        <v>0</v>
      </c>
      <c r="AS4238">
        <v>0</v>
      </c>
      <c r="AT4238">
        <v>0</v>
      </c>
      <c r="AV4238">
        <v>0</v>
      </c>
      <c r="AW4238">
        <v>0</v>
      </c>
      <c r="AY4238">
        <v>0</v>
      </c>
      <c r="AZ4238">
        <v>0</v>
      </c>
      <c r="BA4238">
        <v>60</v>
      </c>
      <c r="BE4238" t="str">
        <f>T("9791137017818")</f>
        <v>9791137017818</v>
      </c>
      <c r="BF4238" t="str">
        <f>T("k196898")</f>
        <v>k196898</v>
      </c>
      <c r="BG4238" t="str">
        <f>T("판타지 웹소설 &gt; 퓨전 판타지")</f>
        <v>판타지 웹소설 &gt; 퓨전 판타지</v>
      </c>
    </row>
    <row r="4239" spans="1:59">
      <c r="A4239" t="s">
        <v>60</v>
      </c>
      <c r="B4239" s="1">
        <v>46131</v>
      </c>
      <c r="C4239">
        <v>2378059085</v>
      </c>
      <c r="D4239">
        <v>2378059137</v>
      </c>
      <c r="E4239" t="str">
        <f>T("아카데미 악역 엑스트라로 사는 법 53화")</f>
        <v>아카데미 악역 엑스트라로 사는 법 53화</v>
      </c>
      <c r="F4239">
        <v>53</v>
      </c>
      <c r="G4239" t="str">
        <f>T("김서건")</f>
        <v>김서건</v>
      </c>
      <c r="J4239" t="str">
        <f>T("매드햇")</f>
        <v>매드햇</v>
      </c>
      <c r="K4239" t="str">
        <f>T("아카데미 악역 엑스트라로 사는 법")</f>
        <v>아카데미 악역 엑스트라로 사는 법</v>
      </c>
      <c r="L4239">
        <v>100</v>
      </c>
      <c r="M4239">
        <v>100</v>
      </c>
      <c r="N4239">
        <v>1</v>
      </c>
      <c r="O4239">
        <v>0</v>
      </c>
      <c r="P4239">
        <v>0</v>
      </c>
      <c r="Q4239">
        <v>0</v>
      </c>
      <c r="R4239">
        <v>0</v>
      </c>
      <c r="S4239">
        <v>0</v>
      </c>
      <c r="T4239">
        <v>0</v>
      </c>
      <c r="U4239">
        <v>0</v>
      </c>
      <c r="V4239">
        <v>0</v>
      </c>
      <c r="W4239">
        <v>0</v>
      </c>
      <c r="X4239">
        <v>0</v>
      </c>
      <c r="Y4239">
        <v>0</v>
      </c>
      <c r="Z4239">
        <v>0</v>
      </c>
      <c r="AA4239">
        <v>0</v>
      </c>
      <c r="AB4239">
        <v>0</v>
      </c>
      <c r="AC4239">
        <v>0</v>
      </c>
      <c r="AD4239">
        <v>0</v>
      </c>
      <c r="AE4239">
        <v>0</v>
      </c>
      <c r="AF4239">
        <v>0</v>
      </c>
      <c r="AG4239">
        <v>0</v>
      </c>
      <c r="AH4239">
        <v>0</v>
      </c>
      <c r="AI4239">
        <v>100</v>
      </c>
      <c r="AJ4239">
        <v>1</v>
      </c>
      <c r="AK4239">
        <v>0</v>
      </c>
      <c r="AL4239">
        <v>0</v>
      </c>
      <c r="AM4239">
        <v>100</v>
      </c>
      <c r="AN4239">
        <v>0</v>
      </c>
      <c r="AO4239">
        <v>0</v>
      </c>
      <c r="AP4239">
        <v>0</v>
      </c>
      <c r="AQ4239">
        <v>0</v>
      </c>
      <c r="AS4239">
        <v>0</v>
      </c>
      <c r="AT4239">
        <v>0</v>
      </c>
      <c r="AV4239">
        <v>0</v>
      </c>
      <c r="AW4239">
        <v>0</v>
      </c>
      <c r="AY4239">
        <v>0</v>
      </c>
      <c r="AZ4239">
        <v>0</v>
      </c>
      <c r="BA4239">
        <v>60</v>
      </c>
      <c r="BE4239" t="str">
        <f>T("9791137017818")</f>
        <v>9791137017818</v>
      </c>
      <c r="BF4239" t="str">
        <f>T("k196899")</f>
        <v>k196899</v>
      </c>
      <c r="BG4239" t="str">
        <f>T("판타지 웹소설 &gt; 퓨전 판타지")</f>
        <v>판타지 웹소설 &gt; 퓨전 판타지</v>
      </c>
    </row>
    <row r="4240" spans="1:59">
      <c r="A4240" t="s">
        <v>60</v>
      </c>
      <c r="B4240" s="1">
        <v>46131</v>
      </c>
      <c r="C4240">
        <v>2378059085</v>
      </c>
      <c r="D4240">
        <v>2378059138</v>
      </c>
      <c r="E4240" t="str">
        <f>T("아카데미 악역 엑스트라로 사는 법 54화")</f>
        <v>아카데미 악역 엑스트라로 사는 법 54화</v>
      </c>
      <c r="F4240">
        <v>54</v>
      </c>
      <c r="G4240" t="str">
        <f>T("김서건")</f>
        <v>김서건</v>
      </c>
      <c r="J4240" t="str">
        <f>T("매드햇")</f>
        <v>매드햇</v>
      </c>
      <c r="K4240" t="str">
        <f>T("아카데미 악역 엑스트라로 사는 법")</f>
        <v>아카데미 악역 엑스트라로 사는 법</v>
      </c>
      <c r="L4240">
        <v>100</v>
      </c>
      <c r="M4240">
        <v>100</v>
      </c>
      <c r="N4240">
        <v>1</v>
      </c>
      <c r="O4240">
        <v>0</v>
      </c>
      <c r="P4240">
        <v>0</v>
      </c>
      <c r="Q4240">
        <v>0</v>
      </c>
      <c r="R4240">
        <v>0</v>
      </c>
      <c r="S4240">
        <v>0</v>
      </c>
      <c r="T4240">
        <v>0</v>
      </c>
      <c r="U4240">
        <v>0</v>
      </c>
      <c r="V4240">
        <v>0</v>
      </c>
      <c r="W4240">
        <v>0</v>
      </c>
      <c r="X4240">
        <v>0</v>
      </c>
      <c r="Y4240">
        <v>0</v>
      </c>
      <c r="Z4240">
        <v>0</v>
      </c>
      <c r="AA4240">
        <v>0</v>
      </c>
      <c r="AB4240">
        <v>0</v>
      </c>
      <c r="AC4240">
        <v>0</v>
      </c>
      <c r="AD4240">
        <v>0</v>
      </c>
      <c r="AE4240">
        <v>0</v>
      </c>
      <c r="AF4240">
        <v>0</v>
      </c>
      <c r="AG4240">
        <v>0</v>
      </c>
      <c r="AH4240">
        <v>0</v>
      </c>
      <c r="AI4240">
        <v>100</v>
      </c>
      <c r="AJ4240">
        <v>1</v>
      </c>
      <c r="AK4240">
        <v>0</v>
      </c>
      <c r="AL4240">
        <v>0</v>
      </c>
      <c r="AM4240">
        <v>100</v>
      </c>
      <c r="AN4240">
        <v>0</v>
      </c>
      <c r="AO4240">
        <v>0</v>
      </c>
      <c r="AP4240">
        <v>0</v>
      </c>
      <c r="AQ4240">
        <v>0</v>
      </c>
      <c r="AS4240">
        <v>0</v>
      </c>
      <c r="AT4240">
        <v>0</v>
      </c>
      <c r="AV4240">
        <v>0</v>
      </c>
      <c r="AW4240">
        <v>0</v>
      </c>
      <c r="AY4240">
        <v>0</v>
      </c>
      <c r="AZ4240">
        <v>0</v>
      </c>
      <c r="BA4240">
        <v>60</v>
      </c>
      <c r="BE4240" t="str">
        <f>T("9791137017818")</f>
        <v>9791137017818</v>
      </c>
      <c r="BF4240" t="str">
        <f>T("k196900")</f>
        <v>k196900</v>
      </c>
      <c r="BG4240" t="str">
        <f>T("판타지 웹소설 &gt; 퓨전 판타지")</f>
        <v>판타지 웹소설 &gt; 퓨전 판타지</v>
      </c>
    </row>
    <row r="4241" spans="1:59">
      <c r="A4241" t="s">
        <v>60</v>
      </c>
      <c r="B4241" s="1">
        <v>46131</v>
      </c>
      <c r="C4241">
        <v>2378059085</v>
      </c>
      <c r="D4241">
        <v>2378059139</v>
      </c>
      <c r="E4241" t="str">
        <f>T("아카데미 악역 엑스트라로 사는 법 55화")</f>
        <v>아카데미 악역 엑스트라로 사는 법 55화</v>
      </c>
      <c r="F4241">
        <v>55</v>
      </c>
      <c r="G4241" t="str">
        <f>T("김서건")</f>
        <v>김서건</v>
      </c>
      <c r="J4241" t="str">
        <f>T("매드햇")</f>
        <v>매드햇</v>
      </c>
      <c r="K4241" t="str">
        <f>T("아카데미 악역 엑스트라로 사는 법")</f>
        <v>아카데미 악역 엑스트라로 사는 법</v>
      </c>
      <c r="L4241">
        <v>100</v>
      </c>
      <c r="M4241">
        <v>100</v>
      </c>
      <c r="N4241">
        <v>1</v>
      </c>
      <c r="O4241">
        <v>0</v>
      </c>
      <c r="P4241">
        <v>0</v>
      </c>
      <c r="Q4241">
        <v>0</v>
      </c>
      <c r="R4241">
        <v>0</v>
      </c>
      <c r="S4241">
        <v>0</v>
      </c>
      <c r="T4241">
        <v>0</v>
      </c>
      <c r="U4241">
        <v>0</v>
      </c>
      <c r="V4241">
        <v>0</v>
      </c>
      <c r="W4241">
        <v>0</v>
      </c>
      <c r="X4241">
        <v>0</v>
      </c>
      <c r="Y4241">
        <v>0</v>
      </c>
      <c r="Z4241">
        <v>0</v>
      </c>
      <c r="AA4241">
        <v>0</v>
      </c>
      <c r="AB4241">
        <v>0</v>
      </c>
      <c r="AC4241">
        <v>0</v>
      </c>
      <c r="AD4241">
        <v>0</v>
      </c>
      <c r="AE4241">
        <v>0</v>
      </c>
      <c r="AF4241">
        <v>0</v>
      </c>
      <c r="AG4241">
        <v>0</v>
      </c>
      <c r="AH4241">
        <v>0</v>
      </c>
      <c r="AI4241">
        <v>100</v>
      </c>
      <c r="AJ4241">
        <v>1</v>
      </c>
      <c r="AK4241">
        <v>0</v>
      </c>
      <c r="AL4241">
        <v>0</v>
      </c>
      <c r="AM4241">
        <v>100</v>
      </c>
      <c r="AN4241">
        <v>0</v>
      </c>
      <c r="AO4241">
        <v>0</v>
      </c>
      <c r="AP4241">
        <v>0</v>
      </c>
      <c r="AQ4241">
        <v>0</v>
      </c>
      <c r="AS4241">
        <v>0</v>
      </c>
      <c r="AT4241">
        <v>0</v>
      </c>
      <c r="AV4241">
        <v>0</v>
      </c>
      <c r="AW4241">
        <v>0</v>
      </c>
      <c r="AY4241">
        <v>0</v>
      </c>
      <c r="AZ4241">
        <v>0</v>
      </c>
      <c r="BA4241">
        <v>60</v>
      </c>
      <c r="BE4241" t="str">
        <f>T("9791137017818")</f>
        <v>9791137017818</v>
      </c>
      <c r="BF4241" t="str">
        <f>T("k196901")</f>
        <v>k196901</v>
      </c>
      <c r="BG4241" t="str">
        <f>T("판타지 웹소설 &gt; 퓨전 판타지")</f>
        <v>판타지 웹소설 &gt; 퓨전 판타지</v>
      </c>
    </row>
    <row r="4242" spans="1:59">
      <c r="A4242" t="s">
        <v>60</v>
      </c>
      <c r="B4242" s="1">
        <v>46131</v>
      </c>
      <c r="C4242">
        <v>2378059085</v>
      </c>
      <c r="D4242">
        <v>2378059140</v>
      </c>
      <c r="E4242" t="str">
        <f>T("아카데미 악역 엑스트라로 사는 법 56화")</f>
        <v>아카데미 악역 엑스트라로 사는 법 56화</v>
      </c>
      <c r="F4242">
        <v>56</v>
      </c>
      <c r="G4242" t="str">
        <f>T("김서건")</f>
        <v>김서건</v>
      </c>
      <c r="J4242" t="str">
        <f>T("매드햇")</f>
        <v>매드햇</v>
      </c>
      <c r="K4242" t="str">
        <f>T("아카데미 악역 엑스트라로 사는 법")</f>
        <v>아카데미 악역 엑스트라로 사는 법</v>
      </c>
      <c r="L4242">
        <v>100</v>
      </c>
      <c r="M4242">
        <v>100</v>
      </c>
      <c r="N4242">
        <v>1</v>
      </c>
      <c r="O4242">
        <v>0</v>
      </c>
      <c r="P4242">
        <v>0</v>
      </c>
      <c r="Q4242">
        <v>0</v>
      </c>
      <c r="R4242">
        <v>0</v>
      </c>
      <c r="S4242">
        <v>0</v>
      </c>
      <c r="T4242">
        <v>0</v>
      </c>
      <c r="U4242">
        <v>0</v>
      </c>
      <c r="V4242">
        <v>0</v>
      </c>
      <c r="W4242">
        <v>0</v>
      </c>
      <c r="X4242">
        <v>0</v>
      </c>
      <c r="Y4242">
        <v>0</v>
      </c>
      <c r="Z4242">
        <v>0</v>
      </c>
      <c r="AA4242">
        <v>0</v>
      </c>
      <c r="AB4242">
        <v>0</v>
      </c>
      <c r="AC4242">
        <v>0</v>
      </c>
      <c r="AD4242">
        <v>0</v>
      </c>
      <c r="AE4242">
        <v>0</v>
      </c>
      <c r="AF4242">
        <v>0</v>
      </c>
      <c r="AG4242">
        <v>0</v>
      </c>
      <c r="AH4242">
        <v>0</v>
      </c>
      <c r="AI4242">
        <v>100</v>
      </c>
      <c r="AJ4242">
        <v>1</v>
      </c>
      <c r="AK4242">
        <v>0</v>
      </c>
      <c r="AL4242">
        <v>0</v>
      </c>
      <c r="AM4242">
        <v>100</v>
      </c>
      <c r="AN4242">
        <v>0</v>
      </c>
      <c r="AO4242">
        <v>0</v>
      </c>
      <c r="AP4242">
        <v>0</v>
      </c>
      <c r="AQ4242">
        <v>0</v>
      </c>
      <c r="AS4242">
        <v>0</v>
      </c>
      <c r="AT4242">
        <v>0</v>
      </c>
      <c r="AV4242">
        <v>0</v>
      </c>
      <c r="AW4242">
        <v>0</v>
      </c>
      <c r="AY4242">
        <v>0</v>
      </c>
      <c r="AZ4242">
        <v>0</v>
      </c>
      <c r="BA4242">
        <v>60</v>
      </c>
      <c r="BE4242" t="str">
        <f>T("9791137017818")</f>
        <v>9791137017818</v>
      </c>
      <c r="BF4242" t="str">
        <f>T("k196902")</f>
        <v>k196902</v>
      </c>
      <c r="BG4242" t="str">
        <f>T("판타지 웹소설 &gt; 퓨전 판타지")</f>
        <v>판타지 웹소설 &gt; 퓨전 판타지</v>
      </c>
    </row>
    <row r="4243" spans="1:59">
      <c r="A4243" t="s">
        <v>60</v>
      </c>
      <c r="B4243" s="1">
        <v>46131</v>
      </c>
      <c r="C4243">
        <v>2378059085</v>
      </c>
      <c r="D4243">
        <v>2378059141</v>
      </c>
      <c r="E4243" t="str">
        <f>T("아카데미 악역 엑스트라로 사는 법 57화")</f>
        <v>아카데미 악역 엑스트라로 사는 법 57화</v>
      </c>
      <c r="F4243">
        <v>57</v>
      </c>
      <c r="G4243" t="str">
        <f>T("김서건")</f>
        <v>김서건</v>
      </c>
      <c r="J4243" t="str">
        <f>T("매드햇")</f>
        <v>매드햇</v>
      </c>
      <c r="K4243" t="str">
        <f>T("아카데미 악역 엑스트라로 사는 법")</f>
        <v>아카데미 악역 엑스트라로 사는 법</v>
      </c>
      <c r="L4243">
        <v>100</v>
      </c>
      <c r="M4243">
        <v>100</v>
      </c>
      <c r="N4243">
        <v>1</v>
      </c>
      <c r="O4243">
        <v>0</v>
      </c>
      <c r="P4243">
        <v>0</v>
      </c>
      <c r="Q4243">
        <v>0</v>
      </c>
      <c r="R4243">
        <v>0</v>
      </c>
      <c r="S4243">
        <v>0</v>
      </c>
      <c r="T4243">
        <v>0</v>
      </c>
      <c r="U4243">
        <v>0</v>
      </c>
      <c r="V4243">
        <v>0</v>
      </c>
      <c r="W4243">
        <v>0</v>
      </c>
      <c r="X4243">
        <v>0</v>
      </c>
      <c r="Y4243">
        <v>0</v>
      </c>
      <c r="Z4243">
        <v>0</v>
      </c>
      <c r="AA4243">
        <v>0</v>
      </c>
      <c r="AB4243">
        <v>0</v>
      </c>
      <c r="AC4243">
        <v>0</v>
      </c>
      <c r="AD4243">
        <v>0</v>
      </c>
      <c r="AE4243">
        <v>0</v>
      </c>
      <c r="AF4243">
        <v>0</v>
      </c>
      <c r="AG4243">
        <v>0</v>
      </c>
      <c r="AH4243">
        <v>0</v>
      </c>
      <c r="AI4243">
        <v>100</v>
      </c>
      <c r="AJ4243">
        <v>1</v>
      </c>
      <c r="AK4243">
        <v>0</v>
      </c>
      <c r="AL4243">
        <v>0</v>
      </c>
      <c r="AM4243">
        <v>100</v>
      </c>
      <c r="AN4243">
        <v>0</v>
      </c>
      <c r="AO4243">
        <v>0</v>
      </c>
      <c r="AP4243">
        <v>0</v>
      </c>
      <c r="AQ4243">
        <v>0</v>
      </c>
      <c r="AS4243">
        <v>0</v>
      </c>
      <c r="AT4243">
        <v>0</v>
      </c>
      <c r="AV4243">
        <v>0</v>
      </c>
      <c r="AW4243">
        <v>0</v>
      </c>
      <c r="AY4243">
        <v>0</v>
      </c>
      <c r="AZ4243">
        <v>0</v>
      </c>
      <c r="BA4243">
        <v>60</v>
      </c>
      <c r="BE4243" t="str">
        <f>T("9791137017818")</f>
        <v>9791137017818</v>
      </c>
      <c r="BF4243" t="str">
        <f>T("k196903")</f>
        <v>k196903</v>
      </c>
      <c r="BG4243" t="str">
        <f>T("판타지 웹소설 &gt; 퓨전 판타지")</f>
        <v>판타지 웹소설 &gt; 퓨전 판타지</v>
      </c>
    </row>
    <row r="4244" spans="1:59">
      <c r="A4244" t="s">
        <v>60</v>
      </c>
      <c r="B4244" s="1">
        <v>46131</v>
      </c>
      <c r="C4244">
        <v>2378059085</v>
      </c>
      <c r="D4244">
        <v>2378059142</v>
      </c>
      <c r="E4244" t="str">
        <f>T("아카데미 악역 엑스트라로 사는 법 58화")</f>
        <v>아카데미 악역 엑스트라로 사는 법 58화</v>
      </c>
      <c r="F4244">
        <v>58</v>
      </c>
      <c r="G4244" t="str">
        <f>T("김서건")</f>
        <v>김서건</v>
      </c>
      <c r="J4244" t="str">
        <f>T("매드햇")</f>
        <v>매드햇</v>
      </c>
      <c r="K4244" t="str">
        <f>T("아카데미 악역 엑스트라로 사는 법")</f>
        <v>아카데미 악역 엑스트라로 사는 법</v>
      </c>
      <c r="L4244">
        <v>100</v>
      </c>
      <c r="M4244">
        <v>100</v>
      </c>
      <c r="N4244">
        <v>1</v>
      </c>
      <c r="O4244">
        <v>0</v>
      </c>
      <c r="P4244">
        <v>0</v>
      </c>
      <c r="Q4244">
        <v>0</v>
      </c>
      <c r="R4244">
        <v>0</v>
      </c>
      <c r="S4244">
        <v>0</v>
      </c>
      <c r="T4244">
        <v>0</v>
      </c>
      <c r="U4244">
        <v>0</v>
      </c>
      <c r="V4244">
        <v>0</v>
      </c>
      <c r="W4244">
        <v>0</v>
      </c>
      <c r="X4244">
        <v>0</v>
      </c>
      <c r="Y4244">
        <v>0</v>
      </c>
      <c r="Z4244">
        <v>0</v>
      </c>
      <c r="AA4244">
        <v>0</v>
      </c>
      <c r="AB4244">
        <v>0</v>
      </c>
      <c r="AC4244">
        <v>0</v>
      </c>
      <c r="AD4244">
        <v>0</v>
      </c>
      <c r="AE4244">
        <v>0</v>
      </c>
      <c r="AF4244">
        <v>0</v>
      </c>
      <c r="AG4244">
        <v>0</v>
      </c>
      <c r="AH4244">
        <v>0</v>
      </c>
      <c r="AI4244">
        <v>100</v>
      </c>
      <c r="AJ4244">
        <v>1</v>
      </c>
      <c r="AK4244">
        <v>0</v>
      </c>
      <c r="AL4244">
        <v>0</v>
      </c>
      <c r="AM4244">
        <v>100</v>
      </c>
      <c r="AN4244">
        <v>0</v>
      </c>
      <c r="AO4244">
        <v>0</v>
      </c>
      <c r="AP4244">
        <v>0</v>
      </c>
      <c r="AQ4244">
        <v>0</v>
      </c>
      <c r="AS4244">
        <v>0</v>
      </c>
      <c r="AT4244">
        <v>0</v>
      </c>
      <c r="AV4244">
        <v>0</v>
      </c>
      <c r="AW4244">
        <v>0</v>
      </c>
      <c r="AY4244">
        <v>0</v>
      </c>
      <c r="AZ4244">
        <v>0</v>
      </c>
      <c r="BA4244">
        <v>60</v>
      </c>
      <c r="BE4244" t="str">
        <f>T("9791137017818")</f>
        <v>9791137017818</v>
      </c>
      <c r="BF4244" t="str">
        <f>T("k196904")</f>
        <v>k196904</v>
      </c>
      <c r="BG4244" t="str">
        <f>T("판타지 웹소설 &gt; 퓨전 판타지")</f>
        <v>판타지 웹소설 &gt; 퓨전 판타지</v>
      </c>
    </row>
    <row r="4245" spans="1:59">
      <c r="A4245" t="s">
        <v>60</v>
      </c>
      <c r="B4245" s="1">
        <v>46131</v>
      </c>
      <c r="C4245">
        <v>2378059085</v>
      </c>
      <c r="D4245">
        <v>2378059143</v>
      </c>
      <c r="E4245" t="str">
        <f>T("아카데미 악역 엑스트라로 사는 법 59화")</f>
        <v>아카데미 악역 엑스트라로 사는 법 59화</v>
      </c>
      <c r="F4245">
        <v>59</v>
      </c>
      <c r="G4245" t="str">
        <f>T("김서건")</f>
        <v>김서건</v>
      </c>
      <c r="J4245" t="str">
        <f>T("매드햇")</f>
        <v>매드햇</v>
      </c>
      <c r="K4245" t="str">
        <f>T("아카데미 악역 엑스트라로 사는 법")</f>
        <v>아카데미 악역 엑스트라로 사는 법</v>
      </c>
      <c r="L4245">
        <v>100</v>
      </c>
      <c r="M4245">
        <v>100</v>
      </c>
      <c r="N4245">
        <v>1</v>
      </c>
      <c r="O4245">
        <v>0</v>
      </c>
      <c r="P4245">
        <v>0</v>
      </c>
      <c r="Q4245">
        <v>0</v>
      </c>
      <c r="R4245">
        <v>0</v>
      </c>
      <c r="S4245">
        <v>0</v>
      </c>
      <c r="T4245">
        <v>0</v>
      </c>
      <c r="U4245">
        <v>0</v>
      </c>
      <c r="V4245">
        <v>0</v>
      </c>
      <c r="W4245">
        <v>0</v>
      </c>
      <c r="X4245">
        <v>0</v>
      </c>
      <c r="Y4245">
        <v>0</v>
      </c>
      <c r="Z4245">
        <v>0</v>
      </c>
      <c r="AA4245">
        <v>0</v>
      </c>
      <c r="AB4245">
        <v>0</v>
      </c>
      <c r="AC4245">
        <v>0</v>
      </c>
      <c r="AD4245">
        <v>0</v>
      </c>
      <c r="AE4245">
        <v>0</v>
      </c>
      <c r="AF4245">
        <v>0</v>
      </c>
      <c r="AG4245">
        <v>0</v>
      </c>
      <c r="AH4245">
        <v>0</v>
      </c>
      <c r="AI4245">
        <v>100</v>
      </c>
      <c r="AJ4245">
        <v>1</v>
      </c>
      <c r="AK4245">
        <v>0</v>
      </c>
      <c r="AL4245">
        <v>0</v>
      </c>
      <c r="AM4245">
        <v>100</v>
      </c>
      <c r="AN4245">
        <v>0</v>
      </c>
      <c r="AO4245">
        <v>0</v>
      </c>
      <c r="AP4245">
        <v>0</v>
      </c>
      <c r="AQ4245">
        <v>0</v>
      </c>
      <c r="AS4245">
        <v>0</v>
      </c>
      <c r="AT4245">
        <v>0</v>
      </c>
      <c r="AV4245">
        <v>0</v>
      </c>
      <c r="AW4245">
        <v>0</v>
      </c>
      <c r="AY4245">
        <v>0</v>
      </c>
      <c r="AZ4245">
        <v>0</v>
      </c>
      <c r="BA4245">
        <v>60</v>
      </c>
      <c r="BE4245" t="str">
        <f>T("9791137017818")</f>
        <v>9791137017818</v>
      </c>
      <c r="BF4245" t="str">
        <f>T("k196905")</f>
        <v>k196905</v>
      </c>
      <c r="BG4245" t="str">
        <f>T("판타지 웹소설 &gt; 퓨전 판타지")</f>
        <v>판타지 웹소설 &gt; 퓨전 판타지</v>
      </c>
    </row>
    <row r="4246" spans="1:59">
      <c r="A4246" t="s">
        <v>60</v>
      </c>
      <c r="B4246" s="1">
        <v>46131</v>
      </c>
      <c r="C4246">
        <v>2378059085</v>
      </c>
      <c r="D4246">
        <v>2378059144</v>
      </c>
      <c r="E4246" t="str">
        <f>T("아카데미 악역 엑스트라로 사는 법 60화")</f>
        <v>아카데미 악역 엑스트라로 사는 법 60화</v>
      </c>
      <c r="F4246">
        <v>60</v>
      </c>
      <c r="G4246" t="str">
        <f>T("김서건")</f>
        <v>김서건</v>
      </c>
      <c r="J4246" t="str">
        <f>T("매드햇")</f>
        <v>매드햇</v>
      </c>
      <c r="K4246" t="str">
        <f>T("아카데미 악역 엑스트라로 사는 법")</f>
        <v>아카데미 악역 엑스트라로 사는 법</v>
      </c>
      <c r="L4246">
        <v>100</v>
      </c>
      <c r="M4246">
        <v>100</v>
      </c>
      <c r="N4246">
        <v>1</v>
      </c>
      <c r="O4246">
        <v>0</v>
      </c>
      <c r="P4246">
        <v>0</v>
      </c>
      <c r="Q4246">
        <v>0</v>
      </c>
      <c r="R4246">
        <v>0</v>
      </c>
      <c r="S4246">
        <v>0</v>
      </c>
      <c r="T4246">
        <v>0</v>
      </c>
      <c r="U4246">
        <v>0</v>
      </c>
      <c r="V4246">
        <v>0</v>
      </c>
      <c r="W4246">
        <v>0</v>
      </c>
      <c r="X4246">
        <v>0</v>
      </c>
      <c r="Y4246">
        <v>0</v>
      </c>
      <c r="Z4246">
        <v>0</v>
      </c>
      <c r="AA4246">
        <v>0</v>
      </c>
      <c r="AB4246">
        <v>0</v>
      </c>
      <c r="AC4246">
        <v>0</v>
      </c>
      <c r="AD4246">
        <v>0</v>
      </c>
      <c r="AE4246">
        <v>0</v>
      </c>
      <c r="AF4246">
        <v>0</v>
      </c>
      <c r="AG4246">
        <v>0</v>
      </c>
      <c r="AH4246">
        <v>0</v>
      </c>
      <c r="AI4246">
        <v>100</v>
      </c>
      <c r="AJ4246">
        <v>1</v>
      </c>
      <c r="AK4246">
        <v>0</v>
      </c>
      <c r="AL4246">
        <v>0</v>
      </c>
      <c r="AM4246">
        <v>100</v>
      </c>
      <c r="AN4246">
        <v>0</v>
      </c>
      <c r="AO4246">
        <v>0</v>
      </c>
      <c r="AP4246">
        <v>0</v>
      </c>
      <c r="AQ4246">
        <v>0</v>
      </c>
      <c r="AS4246">
        <v>0</v>
      </c>
      <c r="AT4246">
        <v>0</v>
      </c>
      <c r="AV4246">
        <v>0</v>
      </c>
      <c r="AW4246">
        <v>0</v>
      </c>
      <c r="AY4246">
        <v>0</v>
      </c>
      <c r="AZ4246">
        <v>0</v>
      </c>
      <c r="BA4246">
        <v>60</v>
      </c>
      <c r="BE4246" t="str">
        <f>T("9791137017818")</f>
        <v>9791137017818</v>
      </c>
      <c r="BF4246" t="str">
        <f>T("k196906")</f>
        <v>k196906</v>
      </c>
      <c r="BG4246" t="str">
        <f>T("판타지 웹소설 &gt; 퓨전 판타지")</f>
        <v>판타지 웹소설 &gt; 퓨전 판타지</v>
      </c>
    </row>
    <row r="4247" spans="1:59">
      <c r="A4247" t="s">
        <v>60</v>
      </c>
      <c r="B4247" s="1">
        <v>46131</v>
      </c>
      <c r="C4247">
        <v>2378059085</v>
      </c>
      <c r="D4247">
        <v>2378059145</v>
      </c>
      <c r="E4247" t="str">
        <f>T("아카데미 악역 엑스트라로 사는 법 61화")</f>
        <v>아카데미 악역 엑스트라로 사는 법 61화</v>
      </c>
      <c r="F4247">
        <v>61</v>
      </c>
      <c r="G4247" t="str">
        <f>T("김서건")</f>
        <v>김서건</v>
      </c>
      <c r="J4247" t="str">
        <f>T("매드햇")</f>
        <v>매드햇</v>
      </c>
      <c r="K4247" t="str">
        <f>T("아카데미 악역 엑스트라로 사는 법")</f>
        <v>아카데미 악역 엑스트라로 사는 법</v>
      </c>
      <c r="L4247">
        <v>100</v>
      </c>
      <c r="M4247">
        <v>100</v>
      </c>
      <c r="N4247">
        <v>1</v>
      </c>
      <c r="O4247">
        <v>0</v>
      </c>
      <c r="P4247">
        <v>0</v>
      </c>
      <c r="Q4247">
        <v>0</v>
      </c>
      <c r="R4247">
        <v>0</v>
      </c>
      <c r="S4247">
        <v>0</v>
      </c>
      <c r="T4247">
        <v>0</v>
      </c>
      <c r="U4247">
        <v>0</v>
      </c>
      <c r="V4247">
        <v>0</v>
      </c>
      <c r="W4247">
        <v>0</v>
      </c>
      <c r="X4247">
        <v>0</v>
      </c>
      <c r="Y4247">
        <v>0</v>
      </c>
      <c r="Z4247">
        <v>0</v>
      </c>
      <c r="AA4247">
        <v>0</v>
      </c>
      <c r="AB4247">
        <v>0</v>
      </c>
      <c r="AC4247">
        <v>0</v>
      </c>
      <c r="AD4247">
        <v>0</v>
      </c>
      <c r="AE4247">
        <v>0</v>
      </c>
      <c r="AF4247">
        <v>0</v>
      </c>
      <c r="AG4247">
        <v>0</v>
      </c>
      <c r="AH4247">
        <v>0</v>
      </c>
      <c r="AI4247">
        <v>100</v>
      </c>
      <c r="AJ4247">
        <v>1</v>
      </c>
      <c r="AK4247">
        <v>0</v>
      </c>
      <c r="AL4247">
        <v>0</v>
      </c>
      <c r="AM4247">
        <v>100</v>
      </c>
      <c r="AN4247">
        <v>0</v>
      </c>
      <c r="AO4247">
        <v>0</v>
      </c>
      <c r="AP4247">
        <v>0</v>
      </c>
      <c r="AQ4247">
        <v>0</v>
      </c>
      <c r="AS4247">
        <v>0</v>
      </c>
      <c r="AT4247">
        <v>0</v>
      </c>
      <c r="AV4247">
        <v>0</v>
      </c>
      <c r="AW4247">
        <v>0</v>
      </c>
      <c r="AY4247">
        <v>0</v>
      </c>
      <c r="AZ4247">
        <v>0</v>
      </c>
      <c r="BA4247">
        <v>60</v>
      </c>
      <c r="BE4247" t="str">
        <f>T("9791137017818")</f>
        <v>9791137017818</v>
      </c>
      <c r="BF4247" t="str">
        <f>T("k196907")</f>
        <v>k196907</v>
      </c>
      <c r="BG4247" t="str">
        <f>T("판타지 웹소설 &gt; 퓨전 판타지")</f>
        <v>판타지 웹소설 &gt; 퓨전 판타지</v>
      </c>
    </row>
    <row r="4248" spans="1:59">
      <c r="A4248" t="s">
        <v>60</v>
      </c>
      <c r="B4248" s="1">
        <v>46131</v>
      </c>
      <c r="C4248">
        <v>2378059085</v>
      </c>
      <c r="D4248">
        <v>2378059146</v>
      </c>
      <c r="E4248" t="str">
        <f>T("아카데미 악역 엑스트라로 사는 법 62화")</f>
        <v>아카데미 악역 엑스트라로 사는 법 62화</v>
      </c>
      <c r="F4248">
        <v>62</v>
      </c>
      <c r="G4248" t="str">
        <f>T("김서건")</f>
        <v>김서건</v>
      </c>
      <c r="J4248" t="str">
        <f>T("매드햇")</f>
        <v>매드햇</v>
      </c>
      <c r="K4248" t="str">
        <f>T("아카데미 악역 엑스트라로 사는 법")</f>
        <v>아카데미 악역 엑스트라로 사는 법</v>
      </c>
      <c r="L4248">
        <v>100</v>
      </c>
      <c r="M4248">
        <v>100</v>
      </c>
      <c r="N4248">
        <v>1</v>
      </c>
      <c r="O4248">
        <v>0</v>
      </c>
      <c r="P4248">
        <v>0</v>
      </c>
      <c r="Q4248">
        <v>0</v>
      </c>
      <c r="R4248">
        <v>0</v>
      </c>
      <c r="S4248">
        <v>0</v>
      </c>
      <c r="T4248">
        <v>0</v>
      </c>
      <c r="U4248">
        <v>0</v>
      </c>
      <c r="V4248">
        <v>0</v>
      </c>
      <c r="W4248">
        <v>0</v>
      </c>
      <c r="X4248">
        <v>0</v>
      </c>
      <c r="Y4248">
        <v>0</v>
      </c>
      <c r="Z4248">
        <v>0</v>
      </c>
      <c r="AA4248">
        <v>0</v>
      </c>
      <c r="AB4248">
        <v>0</v>
      </c>
      <c r="AC4248">
        <v>0</v>
      </c>
      <c r="AD4248">
        <v>0</v>
      </c>
      <c r="AE4248">
        <v>0</v>
      </c>
      <c r="AF4248">
        <v>0</v>
      </c>
      <c r="AG4248">
        <v>0</v>
      </c>
      <c r="AH4248">
        <v>0</v>
      </c>
      <c r="AI4248">
        <v>100</v>
      </c>
      <c r="AJ4248">
        <v>1</v>
      </c>
      <c r="AK4248">
        <v>0</v>
      </c>
      <c r="AL4248">
        <v>0</v>
      </c>
      <c r="AM4248">
        <v>100</v>
      </c>
      <c r="AN4248">
        <v>0</v>
      </c>
      <c r="AO4248">
        <v>0</v>
      </c>
      <c r="AP4248">
        <v>0</v>
      </c>
      <c r="AQ4248">
        <v>0</v>
      </c>
      <c r="AS4248">
        <v>0</v>
      </c>
      <c r="AT4248">
        <v>0</v>
      </c>
      <c r="AV4248">
        <v>0</v>
      </c>
      <c r="AW4248">
        <v>0</v>
      </c>
      <c r="AY4248">
        <v>0</v>
      </c>
      <c r="AZ4248">
        <v>0</v>
      </c>
      <c r="BA4248">
        <v>60</v>
      </c>
      <c r="BE4248" t="str">
        <f>T("9791137017818")</f>
        <v>9791137017818</v>
      </c>
      <c r="BF4248" t="str">
        <f>T("k196908")</f>
        <v>k196908</v>
      </c>
      <c r="BG4248" t="str">
        <f>T("판타지 웹소설 &gt; 퓨전 판타지")</f>
        <v>판타지 웹소설 &gt; 퓨전 판타지</v>
      </c>
    </row>
    <row r="4249" spans="1:59">
      <c r="A4249" t="s">
        <v>60</v>
      </c>
      <c r="B4249" s="1">
        <v>46131</v>
      </c>
      <c r="C4249">
        <v>2378059085</v>
      </c>
      <c r="D4249">
        <v>2378059147</v>
      </c>
      <c r="E4249" t="str">
        <f>T("아카데미 악역 엑스트라로 사는 법 63화")</f>
        <v>아카데미 악역 엑스트라로 사는 법 63화</v>
      </c>
      <c r="F4249">
        <v>63</v>
      </c>
      <c r="G4249" t="str">
        <f>T("김서건")</f>
        <v>김서건</v>
      </c>
      <c r="J4249" t="str">
        <f>T("매드햇")</f>
        <v>매드햇</v>
      </c>
      <c r="K4249" t="str">
        <f>T("아카데미 악역 엑스트라로 사는 법")</f>
        <v>아카데미 악역 엑스트라로 사는 법</v>
      </c>
      <c r="L4249">
        <v>100</v>
      </c>
      <c r="M4249">
        <v>100</v>
      </c>
      <c r="N4249">
        <v>1</v>
      </c>
      <c r="O4249">
        <v>0</v>
      </c>
      <c r="P4249">
        <v>0</v>
      </c>
      <c r="Q4249">
        <v>0</v>
      </c>
      <c r="R4249">
        <v>0</v>
      </c>
      <c r="S4249">
        <v>0</v>
      </c>
      <c r="T4249">
        <v>0</v>
      </c>
      <c r="U4249">
        <v>0</v>
      </c>
      <c r="V4249">
        <v>0</v>
      </c>
      <c r="W4249">
        <v>0</v>
      </c>
      <c r="X4249">
        <v>0</v>
      </c>
      <c r="Y4249">
        <v>0</v>
      </c>
      <c r="Z4249">
        <v>0</v>
      </c>
      <c r="AA4249">
        <v>0</v>
      </c>
      <c r="AB4249">
        <v>0</v>
      </c>
      <c r="AC4249">
        <v>0</v>
      </c>
      <c r="AD4249">
        <v>0</v>
      </c>
      <c r="AE4249">
        <v>0</v>
      </c>
      <c r="AF4249">
        <v>0</v>
      </c>
      <c r="AG4249">
        <v>0</v>
      </c>
      <c r="AH4249">
        <v>0</v>
      </c>
      <c r="AI4249">
        <v>100</v>
      </c>
      <c r="AJ4249">
        <v>1</v>
      </c>
      <c r="AK4249">
        <v>0</v>
      </c>
      <c r="AL4249">
        <v>0</v>
      </c>
      <c r="AM4249">
        <v>100</v>
      </c>
      <c r="AN4249">
        <v>0</v>
      </c>
      <c r="AO4249">
        <v>0</v>
      </c>
      <c r="AP4249">
        <v>0</v>
      </c>
      <c r="AQ4249">
        <v>0</v>
      </c>
      <c r="AS4249">
        <v>0</v>
      </c>
      <c r="AT4249">
        <v>0</v>
      </c>
      <c r="AV4249">
        <v>0</v>
      </c>
      <c r="AW4249">
        <v>0</v>
      </c>
      <c r="AY4249">
        <v>0</v>
      </c>
      <c r="AZ4249">
        <v>0</v>
      </c>
      <c r="BA4249">
        <v>60</v>
      </c>
      <c r="BE4249" t="str">
        <f>T("9791137017818")</f>
        <v>9791137017818</v>
      </c>
      <c r="BF4249" t="str">
        <f>T("k196909")</f>
        <v>k196909</v>
      </c>
      <c r="BG4249" t="str">
        <f>T("판타지 웹소설 &gt; 퓨전 판타지")</f>
        <v>판타지 웹소설 &gt; 퓨전 판타지</v>
      </c>
    </row>
    <row r="4250" spans="1:59">
      <c r="A4250" t="s">
        <v>60</v>
      </c>
      <c r="B4250" s="1">
        <v>46131</v>
      </c>
      <c r="C4250">
        <v>2378059085</v>
      </c>
      <c r="D4250">
        <v>2378059148</v>
      </c>
      <c r="E4250" t="str">
        <f>T("아카데미 악역 엑스트라로 사는 법 64화")</f>
        <v>아카데미 악역 엑스트라로 사는 법 64화</v>
      </c>
      <c r="F4250">
        <v>64</v>
      </c>
      <c r="G4250" t="str">
        <f>T("김서건")</f>
        <v>김서건</v>
      </c>
      <c r="J4250" t="str">
        <f>T("매드햇")</f>
        <v>매드햇</v>
      </c>
      <c r="K4250" t="str">
        <f>T("아카데미 악역 엑스트라로 사는 법")</f>
        <v>아카데미 악역 엑스트라로 사는 법</v>
      </c>
      <c r="L4250">
        <v>100</v>
      </c>
      <c r="M4250">
        <v>100</v>
      </c>
      <c r="N4250">
        <v>1</v>
      </c>
      <c r="O4250">
        <v>0</v>
      </c>
      <c r="P4250">
        <v>0</v>
      </c>
      <c r="Q4250">
        <v>0</v>
      </c>
      <c r="R4250">
        <v>0</v>
      </c>
      <c r="S4250">
        <v>0</v>
      </c>
      <c r="T4250">
        <v>0</v>
      </c>
      <c r="U4250">
        <v>0</v>
      </c>
      <c r="V4250">
        <v>0</v>
      </c>
      <c r="W4250">
        <v>0</v>
      </c>
      <c r="X4250">
        <v>0</v>
      </c>
      <c r="Y4250">
        <v>0</v>
      </c>
      <c r="Z4250">
        <v>0</v>
      </c>
      <c r="AA4250">
        <v>0</v>
      </c>
      <c r="AB4250">
        <v>0</v>
      </c>
      <c r="AC4250">
        <v>0</v>
      </c>
      <c r="AD4250">
        <v>0</v>
      </c>
      <c r="AE4250">
        <v>0</v>
      </c>
      <c r="AF4250">
        <v>0</v>
      </c>
      <c r="AG4250">
        <v>0</v>
      </c>
      <c r="AH4250">
        <v>0</v>
      </c>
      <c r="AI4250">
        <v>100</v>
      </c>
      <c r="AJ4250">
        <v>1</v>
      </c>
      <c r="AK4250">
        <v>0</v>
      </c>
      <c r="AL4250">
        <v>0</v>
      </c>
      <c r="AM4250">
        <v>100</v>
      </c>
      <c r="AN4250">
        <v>0</v>
      </c>
      <c r="AO4250">
        <v>0</v>
      </c>
      <c r="AP4250">
        <v>0</v>
      </c>
      <c r="AQ4250">
        <v>0</v>
      </c>
      <c r="AS4250">
        <v>0</v>
      </c>
      <c r="AT4250">
        <v>0</v>
      </c>
      <c r="AV4250">
        <v>0</v>
      </c>
      <c r="AW4250">
        <v>0</v>
      </c>
      <c r="AY4250">
        <v>0</v>
      </c>
      <c r="AZ4250">
        <v>0</v>
      </c>
      <c r="BA4250">
        <v>60</v>
      </c>
      <c r="BE4250" t="str">
        <f>T("9791137017818")</f>
        <v>9791137017818</v>
      </c>
      <c r="BF4250" t="str">
        <f>T("k196910")</f>
        <v>k196910</v>
      </c>
      <c r="BG4250" t="str">
        <f>T("판타지 웹소설 &gt; 퓨전 판타지")</f>
        <v>판타지 웹소설 &gt; 퓨전 판타지</v>
      </c>
    </row>
    <row r="4251" spans="1:59">
      <c r="A4251" t="s">
        <v>60</v>
      </c>
      <c r="B4251" s="1">
        <v>46131</v>
      </c>
      <c r="C4251">
        <v>2378059085</v>
      </c>
      <c r="D4251">
        <v>2378059149</v>
      </c>
      <c r="E4251" t="str">
        <f>T("아카데미 악역 엑스트라로 사는 법 65화")</f>
        <v>아카데미 악역 엑스트라로 사는 법 65화</v>
      </c>
      <c r="F4251">
        <v>65</v>
      </c>
      <c r="G4251" t="str">
        <f>T("김서건")</f>
        <v>김서건</v>
      </c>
      <c r="J4251" t="str">
        <f>T("매드햇")</f>
        <v>매드햇</v>
      </c>
      <c r="K4251" t="str">
        <f>T("아카데미 악역 엑스트라로 사는 법")</f>
        <v>아카데미 악역 엑스트라로 사는 법</v>
      </c>
      <c r="L4251">
        <v>100</v>
      </c>
      <c r="M4251">
        <v>100</v>
      </c>
      <c r="N4251">
        <v>1</v>
      </c>
      <c r="O4251">
        <v>0</v>
      </c>
      <c r="P4251">
        <v>0</v>
      </c>
      <c r="Q4251">
        <v>0</v>
      </c>
      <c r="R4251">
        <v>0</v>
      </c>
      <c r="S4251">
        <v>0</v>
      </c>
      <c r="T4251">
        <v>0</v>
      </c>
      <c r="U4251">
        <v>0</v>
      </c>
      <c r="V4251">
        <v>0</v>
      </c>
      <c r="W4251">
        <v>0</v>
      </c>
      <c r="X4251">
        <v>0</v>
      </c>
      <c r="Y4251">
        <v>0</v>
      </c>
      <c r="Z4251">
        <v>0</v>
      </c>
      <c r="AA4251">
        <v>0</v>
      </c>
      <c r="AB4251">
        <v>0</v>
      </c>
      <c r="AC4251">
        <v>0</v>
      </c>
      <c r="AD4251">
        <v>0</v>
      </c>
      <c r="AE4251">
        <v>0</v>
      </c>
      <c r="AF4251">
        <v>0</v>
      </c>
      <c r="AG4251">
        <v>0</v>
      </c>
      <c r="AH4251">
        <v>0</v>
      </c>
      <c r="AI4251">
        <v>100</v>
      </c>
      <c r="AJ4251">
        <v>1</v>
      </c>
      <c r="AK4251">
        <v>0</v>
      </c>
      <c r="AL4251">
        <v>0</v>
      </c>
      <c r="AM4251">
        <v>100</v>
      </c>
      <c r="AN4251">
        <v>0</v>
      </c>
      <c r="AO4251">
        <v>0</v>
      </c>
      <c r="AP4251">
        <v>0</v>
      </c>
      <c r="AQ4251">
        <v>0</v>
      </c>
      <c r="AS4251">
        <v>0</v>
      </c>
      <c r="AT4251">
        <v>0</v>
      </c>
      <c r="AV4251">
        <v>0</v>
      </c>
      <c r="AW4251">
        <v>0</v>
      </c>
      <c r="AY4251">
        <v>0</v>
      </c>
      <c r="AZ4251">
        <v>0</v>
      </c>
      <c r="BA4251">
        <v>60</v>
      </c>
      <c r="BE4251" t="str">
        <f>T("9791137017818")</f>
        <v>9791137017818</v>
      </c>
      <c r="BF4251" t="str">
        <f>T("k196911")</f>
        <v>k196911</v>
      </c>
      <c r="BG4251" t="str">
        <f>T("판타지 웹소설 &gt; 퓨전 판타지")</f>
        <v>판타지 웹소설 &gt; 퓨전 판타지</v>
      </c>
    </row>
    <row r="4252" spans="1:59">
      <c r="A4252" t="s">
        <v>60</v>
      </c>
      <c r="B4252" s="1">
        <v>46131</v>
      </c>
      <c r="C4252">
        <v>2378059085</v>
      </c>
      <c r="D4252">
        <v>2378059150</v>
      </c>
      <c r="E4252" t="str">
        <f>T("아카데미 악역 엑스트라로 사는 법 66화")</f>
        <v>아카데미 악역 엑스트라로 사는 법 66화</v>
      </c>
      <c r="F4252">
        <v>66</v>
      </c>
      <c r="G4252" t="str">
        <f>T("김서건")</f>
        <v>김서건</v>
      </c>
      <c r="J4252" t="str">
        <f>T("매드햇")</f>
        <v>매드햇</v>
      </c>
      <c r="K4252" t="str">
        <f>T("아카데미 악역 엑스트라로 사는 법")</f>
        <v>아카데미 악역 엑스트라로 사는 법</v>
      </c>
      <c r="L4252">
        <v>100</v>
      </c>
      <c r="M4252">
        <v>100</v>
      </c>
      <c r="N4252">
        <v>1</v>
      </c>
      <c r="O4252">
        <v>0</v>
      </c>
      <c r="P4252">
        <v>0</v>
      </c>
      <c r="Q4252">
        <v>0</v>
      </c>
      <c r="R4252">
        <v>0</v>
      </c>
      <c r="S4252">
        <v>0</v>
      </c>
      <c r="T4252">
        <v>0</v>
      </c>
      <c r="U4252">
        <v>0</v>
      </c>
      <c r="V4252">
        <v>0</v>
      </c>
      <c r="W4252">
        <v>0</v>
      </c>
      <c r="X4252">
        <v>0</v>
      </c>
      <c r="Y4252">
        <v>0</v>
      </c>
      <c r="Z4252">
        <v>0</v>
      </c>
      <c r="AA4252">
        <v>0</v>
      </c>
      <c r="AB4252">
        <v>0</v>
      </c>
      <c r="AC4252">
        <v>0</v>
      </c>
      <c r="AD4252">
        <v>0</v>
      </c>
      <c r="AE4252">
        <v>0</v>
      </c>
      <c r="AF4252">
        <v>0</v>
      </c>
      <c r="AG4252">
        <v>0</v>
      </c>
      <c r="AH4252">
        <v>0</v>
      </c>
      <c r="AI4252">
        <v>100</v>
      </c>
      <c r="AJ4252">
        <v>1</v>
      </c>
      <c r="AK4252">
        <v>0</v>
      </c>
      <c r="AL4252">
        <v>0</v>
      </c>
      <c r="AM4252">
        <v>100</v>
      </c>
      <c r="AN4252">
        <v>0</v>
      </c>
      <c r="AO4252">
        <v>0</v>
      </c>
      <c r="AP4252">
        <v>0</v>
      </c>
      <c r="AQ4252">
        <v>0</v>
      </c>
      <c r="AS4252">
        <v>0</v>
      </c>
      <c r="AT4252">
        <v>0</v>
      </c>
      <c r="AV4252">
        <v>0</v>
      </c>
      <c r="AW4252">
        <v>0</v>
      </c>
      <c r="AY4252">
        <v>0</v>
      </c>
      <c r="AZ4252">
        <v>0</v>
      </c>
      <c r="BA4252">
        <v>60</v>
      </c>
      <c r="BE4252" t="str">
        <f>T("9791137017818")</f>
        <v>9791137017818</v>
      </c>
      <c r="BF4252" t="str">
        <f>T("k196912")</f>
        <v>k196912</v>
      </c>
      <c r="BG4252" t="str">
        <f>T("판타지 웹소설 &gt; 퓨전 판타지")</f>
        <v>판타지 웹소설 &gt; 퓨전 판타지</v>
      </c>
    </row>
    <row r="4253" spans="1:59">
      <c r="A4253" t="s">
        <v>60</v>
      </c>
      <c r="B4253" s="1">
        <v>46131</v>
      </c>
      <c r="C4253">
        <v>2378059085</v>
      </c>
      <c r="D4253">
        <v>2378059151</v>
      </c>
      <c r="E4253" t="str">
        <f>T("아카데미 악역 엑스트라로 사는 법 67화")</f>
        <v>아카데미 악역 엑스트라로 사는 법 67화</v>
      </c>
      <c r="F4253">
        <v>67</v>
      </c>
      <c r="G4253" t="str">
        <f>T("김서건")</f>
        <v>김서건</v>
      </c>
      <c r="J4253" t="str">
        <f>T("매드햇")</f>
        <v>매드햇</v>
      </c>
      <c r="K4253" t="str">
        <f>T("아카데미 악역 엑스트라로 사는 법")</f>
        <v>아카데미 악역 엑스트라로 사는 법</v>
      </c>
      <c r="L4253">
        <v>100</v>
      </c>
      <c r="M4253">
        <v>100</v>
      </c>
      <c r="N4253">
        <v>1</v>
      </c>
      <c r="O4253">
        <v>0</v>
      </c>
      <c r="P4253">
        <v>0</v>
      </c>
      <c r="Q4253">
        <v>0</v>
      </c>
      <c r="R4253">
        <v>0</v>
      </c>
      <c r="S4253">
        <v>0</v>
      </c>
      <c r="T4253">
        <v>0</v>
      </c>
      <c r="U4253">
        <v>0</v>
      </c>
      <c r="V4253">
        <v>0</v>
      </c>
      <c r="W4253">
        <v>0</v>
      </c>
      <c r="X4253">
        <v>0</v>
      </c>
      <c r="Y4253">
        <v>0</v>
      </c>
      <c r="Z4253">
        <v>0</v>
      </c>
      <c r="AA4253">
        <v>0</v>
      </c>
      <c r="AB4253">
        <v>0</v>
      </c>
      <c r="AC4253">
        <v>0</v>
      </c>
      <c r="AD4253">
        <v>0</v>
      </c>
      <c r="AE4253">
        <v>0</v>
      </c>
      <c r="AF4253">
        <v>0</v>
      </c>
      <c r="AG4253">
        <v>0</v>
      </c>
      <c r="AH4253">
        <v>0</v>
      </c>
      <c r="AI4253">
        <v>100</v>
      </c>
      <c r="AJ4253">
        <v>1</v>
      </c>
      <c r="AK4253">
        <v>0</v>
      </c>
      <c r="AL4253">
        <v>0</v>
      </c>
      <c r="AM4253">
        <v>100</v>
      </c>
      <c r="AN4253">
        <v>0</v>
      </c>
      <c r="AO4253">
        <v>0</v>
      </c>
      <c r="AP4253">
        <v>0</v>
      </c>
      <c r="AQ4253">
        <v>0</v>
      </c>
      <c r="AS4253">
        <v>0</v>
      </c>
      <c r="AT4253">
        <v>0</v>
      </c>
      <c r="AV4253">
        <v>0</v>
      </c>
      <c r="AW4253">
        <v>0</v>
      </c>
      <c r="AY4253">
        <v>0</v>
      </c>
      <c r="AZ4253">
        <v>0</v>
      </c>
      <c r="BA4253">
        <v>60</v>
      </c>
      <c r="BE4253" t="str">
        <f>T("9791137017818")</f>
        <v>9791137017818</v>
      </c>
      <c r="BF4253" t="str">
        <f>T("k196913")</f>
        <v>k196913</v>
      </c>
      <c r="BG4253" t="str">
        <f>T("판타지 웹소설 &gt; 퓨전 판타지")</f>
        <v>판타지 웹소설 &gt; 퓨전 판타지</v>
      </c>
    </row>
    <row r="4254" spans="1:59">
      <c r="A4254" t="s">
        <v>60</v>
      </c>
      <c r="B4254" s="1">
        <v>46131</v>
      </c>
      <c r="C4254">
        <v>2378059085</v>
      </c>
      <c r="D4254">
        <v>2378059152</v>
      </c>
      <c r="E4254" t="str">
        <f>T("아카데미 악역 엑스트라로 사는 법 68화")</f>
        <v>아카데미 악역 엑스트라로 사는 법 68화</v>
      </c>
      <c r="F4254">
        <v>68</v>
      </c>
      <c r="G4254" t="str">
        <f>T("김서건")</f>
        <v>김서건</v>
      </c>
      <c r="J4254" t="str">
        <f>T("매드햇")</f>
        <v>매드햇</v>
      </c>
      <c r="K4254" t="str">
        <f>T("아카데미 악역 엑스트라로 사는 법")</f>
        <v>아카데미 악역 엑스트라로 사는 법</v>
      </c>
      <c r="L4254">
        <v>100</v>
      </c>
      <c r="M4254">
        <v>100</v>
      </c>
      <c r="N4254">
        <v>1</v>
      </c>
      <c r="O4254">
        <v>0</v>
      </c>
      <c r="P4254">
        <v>0</v>
      </c>
      <c r="Q4254">
        <v>0</v>
      </c>
      <c r="R4254">
        <v>0</v>
      </c>
      <c r="S4254">
        <v>0</v>
      </c>
      <c r="T4254">
        <v>0</v>
      </c>
      <c r="U4254">
        <v>0</v>
      </c>
      <c r="V4254">
        <v>0</v>
      </c>
      <c r="W4254">
        <v>0</v>
      </c>
      <c r="X4254">
        <v>0</v>
      </c>
      <c r="Y4254">
        <v>0</v>
      </c>
      <c r="Z4254">
        <v>0</v>
      </c>
      <c r="AA4254">
        <v>0</v>
      </c>
      <c r="AB4254">
        <v>0</v>
      </c>
      <c r="AC4254">
        <v>0</v>
      </c>
      <c r="AD4254">
        <v>0</v>
      </c>
      <c r="AE4254">
        <v>0</v>
      </c>
      <c r="AF4254">
        <v>0</v>
      </c>
      <c r="AG4254">
        <v>0</v>
      </c>
      <c r="AH4254">
        <v>0</v>
      </c>
      <c r="AI4254">
        <v>100</v>
      </c>
      <c r="AJ4254">
        <v>1</v>
      </c>
      <c r="AK4254">
        <v>0</v>
      </c>
      <c r="AL4254">
        <v>0</v>
      </c>
      <c r="AM4254">
        <v>100</v>
      </c>
      <c r="AN4254">
        <v>0</v>
      </c>
      <c r="AO4254">
        <v>0</v>
      </c>
      <c r="AP4254">
        <v>0</v>
      </c>
      <c r="AQ4254">
        <v>0</v>
      </c>
      <c r="AS4254">
        <v>0</v>
      </c>
      <c r="AT4254">
        <v>0</v>
      </c>
      <c r="AV4254">
        <v>0</v>
      </c>
      <c r="AW4254">
        <v>0</v>
      </c>
      <c r="AY4254">
        <v>0</v>
      </c>
      <c r="AZ4254">
        <v>0</v>
      </c>
      <c r="BA4254">
        <v>60</v>
      </c>
      <c r="BE4254" t="str">
        <f>T("9791137017818")</f>
        <v>9791137017818</v>
      </c>
      <c r="BF4254" t="str">
        <f>T("k196914")</f>
        <v>k196914</v>
      </c>
      <c r="BG4254" t="str">
        <f>T("판타지 웹소설 &gt; 퓨전 판타지")</f>
        <v>판타지 웹소설 &gt; 퓨전 판타지</v>
      </c>
    </row>
    <row r="4255" spans="1:59">
      <c r="A4255" t="s">
        <v>60</v>
      </c>
      <c r="B4255" s="1">
        <v>46129</v>
      </c>
      <c r="C4255">
        <v>2378057845</v>
      </c>
      <c r="D4255">
        <v>2378057845</v>
      </c>
      <c r="E4255" t="str">
        <f>T("아포칼립스의 좀비가 사는 법 1화")</f>
        <v>아포칼립스의 좀비가 사는 법 1화</v>
      </c>
      <c r="F4255">
        <v>1</v>
      </c>
      <c r="G4255" t="str">
        <f>T("E787")</f>
        <v>E787</v>
      </c>
      <c r="J4255" t="str">
        <f>T("매드햇")</f>
        <v>매드햇</v>
      </c>
      <c r="K4255" t="str">
        <f>T("아포칼립스의 좀비가 사는 법")</f>
        <v>아포칼립스의 좀비가 사는 법</v>
      </c>
      <c r="L4255">
        <v>0</v>
      </c>
      <c r="M4255">
        <v>0</v>
      </c>
      <c r="N4255">
        <v>0</v>
      </c>
      <c r="O4255">
        <v>1</v>
      </c>
      <c r="P4255">
        <v>0</v>
      </c>
      <c r="Q4255">
        <v>0</v>
      </c>
      <c r="R4255">
        <v>0</v>
      </c>
      <c r="S4255">
        <v>0</v>
      </c>
      <c r="T4255">
        <v>0</v>
      </c>
      <c r="U4255">
        <v>0</v>
      </c>
      <c r="V4255">
        <v>0</v>
      </c>
      <c r="W4255">
        <v>0</v>
      </c>
      <c r="X4255">
        <v>0</v>
      </c>
      <c r="Y4255">
        <v>0</v>
      </c>
      <c r="Z4255">
        <v>0</v>
      </c>
      <c r="AA4255">
        <v>0</v>
      </c>
      <c r="AB4255">
        <v>0</v>
      </c>
      <c r="AC4255">
        <v>0</v>
      </c>
      <c r="AD4255">
        <v>0</v>
      </c>
      <c r="AE4255">
        <v>0</v>
      </c>
      <c r="AF4255">
        <v>0</v>
      </c>
      <c r="AG4255">
        <v>0</v>
      </c>
      <c r="AH4255">
        <v>0</v>
      </c>
      <c r="AI4255">
        <v>0</v>
      </c>
      <c r="AJ4255">
        <v>1</v>
      </c>
      <c r="AK4255">
        <v>0</v>
      </c>
      <c r="AL4255">
        <v>0</v>
      </c>
      <c r="AM4255">
        <v>0</v>
      </c>
      <c r="AN4255">
        <v>0</v>
      </c>
      <c r="AO4255">
        <v>0</v>
      </c>
      <c r="AP4255">
        <v>0</v>
      </c>
      <c r="AQ4255">
        <v>0</v>
      </c>
      <c r="AS4255">
        <v>0</v>
      </c>
      <c r="AT4255">
        <v>0</v>
      </c>
      <c r="AV4255">
        <v>0</v>
      </c>
      <c r="AW4255">
        <v>0</v>
      </c>
      <c r="AY4255">
        <v>0</v>
      </c>
      <c r="AZ4255">
        <v>0</v>
      </c>
      <c r="BA4255">
        <v>0</v>
      </c>
      <c r="BE4255" t="str">
        <f>T("9791137017528")</f>
        <v>9791137017528</v>
      </c>
      <c r="BF4255" t="str">
        <f>T("k168803")</f>
        <v>k168803</v>
      </c>
      <c r="BG4255" t="str">
        <f>T("판타지 웹소설 &gt; 현대 판타지")</f>
        <v>판타지 웹소설 &gt; 현대 판타지</v>
      </c>
    </row>
    <row r="4256" spans="1:59">
      <c r="A4256" t="s">
        <v>60</v>
      </c>
      <c r="B4256" s="1">
        <v>46129</v>
      </c>
      <c r="C4256">
        <v>2378057845</v>
      </c>
      <c r="D4256">
        <v>2378057846</v>
      </c>
      <c r="E4256" t="str">
        <f>T("아포칼립스의 좀비가 사는 법 2화")</f>
        <v>아포칼립스의 좀비가 사는 법 2화</v>
      </c>
      <c r="F4256">
        <v>2</v>
      </c>
      <c r="G4256" t="str">
        <f>T("E787")</f>
        <v>E787</v>
      </c>
      <c r="J4256" t="str">
        <f>T("매드햇")</f>
        <v>매드햇</v>
      </c>
      <c r="K4256" t="str">
        <f>T("아포칼립스의 좀비가 사는 법")</f>
        <v>아포칼립스의 좀비가 사는 법</v>
      </c>
      <c r="L4256">
        <v>0</v>
      </c>
      <c r="M4256">
        <v>0</v>
      </c>
      <c r="N4256">
        <v>0</v>
      </c>
      <c r="O4256">
        <v>1</v>
      </c>
      <c r="P4256">
        <v>0</v>
      </c>
      <c r="Q4256">
        <v>0</v>
      </c>
      <c r="R4256">
        <v>0</v>
      </c>
      <c r="S4256">
        <v>0</v>
      </c>
      <c r="T4256">
        <v>0</v>
      </c>
      <c r="U4256">
        <v>0</v>
      </c>
      <c r="V4256">
        <v>0</v>
      </c>
      <c r="W4256">
        <v>0</v>
      </c>
      <c r="X4256">
        <v>0</v>
      </c>
      <c r="Y4256">
        <v>0</v>
      </c>
      <c r="Z4256">
        <v>0</v>
      </c>
      <c r="AA4256">
        <v>0</v>
      </c>
      <c r="AB4256">
        <v>0</v>
      </c>
      <c r="AC4256">
        <v>0</v>
      </c>
      <c r="AD4256">
        <v>0</v>
      </c>
      <c r="AE4256">
        <v>0</v>
      </c>
      <c r="AF4256">
        <v>0</v>
      </c>
      <c r="AG4256">
        <v>0</v>
      </c>
      <c r="AH4256">
        <v>0</v>
      </c>
      <c r="AI4256">
        <v>0</v>
      </c>
      <c r="AJ4256">
        <v>1</v>
      </c>
      <c r="AK4256">
        <v>0</v>
      </c>
      <c r="AL4256">
        <v>0</v>
      </c>
      <c r="AM4256">
        <v>0</v>
      </c>
      <c r="AN4256">
        <v>0</v>
      </c>
      <c r="AO4256">
        <v>0</v>
      </c>
      <c r="AP4256">
        <v>0</v>
      </c>
      <c r="AQ4256">
        <v>0</v>
      </c>
      <c r="AS4256">
        <v>0</v>
      </c>
      <c r="AT4256">
        <v>0</v>
      </c>
      <c r="AV4256">
        <v>0</v>
      </c>
      <c r="AW4256">
        <v>0</v>
      </c>
      <c r="AY4256">
        <v>0</v>
      </c>
      <c r="AZ4256">
        <v>0</v>
      </c>
      <c r="BA4256">
        <v>0</v>
      </c>
      <c r="BE4256" t="str">
        <f>T("9791137017528")</f>
        <v>9791137017528</v>
      </c>
      <c r="BF4256" t="str">
        <f>T("k168804")</f>
        <v>k168804</v>
      </c>
      <c r="BG4256" t="str">
        <f>T("판타지 웹소설 &gt; 현대 판타지")</f>
        <v>판타지 웹소설 &gt; 현대 판타지</v>
      </c>
    </row>
    <row r="4257" spans="1:59">
      <c r="A4257" t="s">
        <v>60</v>
      </c>
      <c r="B4257" s="1">
        <v>46129</v>
      </c>
      <c r="C4257">
        <v>2378057845</v>
      </c>
      <c r="D4257">
        <v>2378057847</v>
      </c>
      <c r="E4257" t="str">
        <f>T("아포칼립스의 좀비가 사는 법 3화")</f>
        <v>아포칼립스의 좀비가 사는 법 3화</v>
      </c>
      <c r="F4257">
        <v>3</v>
      </c>
      <c r="G4257" t="str">
        <f>T("E787")</f>
        <v>E787</v>
      </c>
      <c r="J4257" t="str">
        <f>T("매드햇")</f>
        <v>매드햇</v>
      </c>
      <c r="K4257" t="str">
        <f>T("아포칼립스의 좀비가 사는 법")</f>
        <v>아포칼립스의 좀비가 사는 법</v>
      </c>
      <c r="L4257">
        <v>0</v>
      </c>
      <c r="M4257">
        <v>0</v>
      </c>
      <c r="N4257">
        <v>0</v>
      </c>
      <c r="O4257">
        <v>1</v>
      </c>
      <c r="P4257">
        <v>0</v>
      </c>
      <c r="Q4257">
        <v>0</v>
      </c>
      <c r="R4257">
        <v>0</v>
      </c>
      <c r="S4257">
        <v>0</v>
      </c>
      <c r="T4257">
        <v>0</v>
      </c>
      <c r="U4257">
        <v>0</v>
      </c>
      <c r="V4257">
        <v>0</v>
      </c>
      <c r="W4257">
        <v>0</v>
      </c>
      <c r="X4257">
        <v>0</v>
      </c>
      <c r="Y4257">
        <v>0</v>
      </c>
      <c r="Z4257">
        <v>0</v>
      </c>
      <c r="AA4257">
        <v>0</v>
      </c>
      <c r="AB4257">
        <v>0</v>
      </c>
      <c r="AC4257">
        <v>0</v>
      </c>
      <c r="AD4257">
        <v>0</v>
      </c>
      <c r="AE4257">
        <v>0</v>
      </c>
      <c r="AF4257">
        <v>0</v>
      </c>
      <c r="AG4257">
        <v>0</v>
      </c>
      <c r="AH4257">
        <v>0</v>
      </c>
      <c r="AI4257">
        <v>0</v>
      </c>
      <c r="AJ4257">
        <v>1</v>
      </c>
      <c r="AK4257">
        <v>0</v>
      </c>
      <c r="AL4257">
        <v>0</v>
      </c>
      <c r="AM4257">
        <v>0</v>
      </c>
      <c r="AN4257">
        <v>0</v>
      </c>
      <c r="AO4257">
        <v>0</v>
      </c>
      <c r="AP4257">
        <v>0</v>
      </c>
      <c r="AQ4257">
        <v>0</v>
      </c>
      <c r="AS4257">
        <v>0</v>
      </c>
      <c r="AT4257">
        <v>0</v>
      </c>
      <c r="AV4257">
        <v>0</v>
      </c>
      <c r="AW4257">
        <v>0</v>
      </c>
      <c r="AY4257">
        <v>0</v>
      </c>
      <c r="AZ4257">
        <v>0</v>
      </c>
      <c r="BA4257">
        <v>0</v>
      </c>
      <c r="BE4257" t="str">
        <f>T("9791137017528")</f>
        <v>9791137017528</v>
      </c>
      <c r="BF4257" t="str">
        <f>T("k168805")</f>
        <v>k168805</v>
      </c>
      <c r="BG4257" t="str">
        <f>T("판타지 웹소설 &gt; 현대 판타지")</f>
        <v>판타지 웹소설 &gt; 현대 판타지</v>
      </c>
    </row>
    <row r="4258" spans="1:59">
      <c r="A4258" t="s">
        <v>60</v>
      </c>
      <c r="B4258" s="1">
        <v>46129</v>
      </c>
      <c r="C4258">
        <v>2378057845</v>
      </c>
      <c r="D4258">
        <v>2378057848</v>
      </c>
      <c r="E4258" t="str">
        <f>T("아포칼립스의 좀비가 사는 법 4화")</f>
        <v>아포칼립스의 좀비가 사는 법 4화</v>
      </c>
      <c r="F4258">
        <v>4</v>
      </c>
      <c r="G4258" t="str">
        <f>T("E787")</f>
        <v>E787</v>
      </c>
      <c r="J4258" t="str">
        <f>T("매드햇")</f>
        <v>매드햇</v>
      </c>
      <c r="K4258" t="str">
        <f>T("아포칼립스의 좀비가 사는 법")</f>
        <v>아포칼립스의 좀비가 사는 법</v>
      </c>
      <c r="L4258">
        <v>0</v>
      </c>
      <c r="M4258">
        <v>0</v>
      </c>
      <c r="N4258">
        <v>0</v>
      </c>
      <c r="O4258">
        <v>1</v>
      </c>
      <c r="P4258">
        <v>0</v>
      </c>
      <c r="Q4258">
        <v>0</v>
      </c>
      <c r="R4258">
        <v>0</v>
      </c>
      <c r="S4258">
        <v>0</v>
      </c>
      <c r="T4258">
        <v>0</v>
      </c>
      <c r="U4258">
        <v>0</v>
      </c>
      <c r="V4258">
        <v>0</v>
      </c>
      <c r="W4258">
        <v>0</v>
      </c>
      <c r="X4258">
        <v>0</v>
      </c>
      <c r="Y4258">
        <v>0</v>
      </c>
      <c r="Z4258">
        <v>0</v>
      </c>
      <c r="AA4258">
        <v>0</v>
      </c>
      <c r="AB4258">
        <v>0</v>
      </c>
      <c r="AC4258">
        <v>0</v>
      </c>
      <c r="AD4258">
        <v>0</v>
      </c>
      <c r="AE4258">
        <v>0</v>
      </c>
      <c r="AF4258">
        <v>0</v>
      </c>
      <c r="AG4258">
        <v>0</v>
      </c>
      <c r="AH4258">
        <v>0</v>
      </c>
      <c r="AI4258">
        <v>0</v>
      </c>
      <c r="AJ4258">
        <v>1</v>
      </c>
      <c r="AK4258">
        <v>0</v>
      </c>
      <c r="AL4258">
        <v>0</v>
      </c>
      <c r="AM4258">
        <v>0</v>
      </c>
      <c r="AN4258">
        <v>0</v>
      </c>
      <c r="AO4258">
        <v>0</v>
      </c>
      <c r="AP4258">
        <v>0</v>
      </c>
      <c r="AQ4258">
        <v>0</v>
      </c>
      <c r="AS4258">
        <v>0</v>
      </c>
      <c r="AT4258">
        <v>0</v>
      </c>
      <c r="AV4258">
        <v>0</v>
      </c>
      <c r="AW4258">
        <v>0</v>
      </c>
      <c r="AY4258">
        <v>0</v>
      </c>
      <c r="AZ4258">
        <v>0</v>
      </c>
      <c r="BA4258">
        <v>0</v>
      </c>
      <c r="BE4258" t="str">
        <f>T("9791137017528")</f>
        <v>9791137017528</v>
      </c>
      <c r="BF4258" t="str">
        <f>T("k168806")</f>
        <v>k168806</v>
      </c>
      <c r="BG4258" t="str">
        <f>T("판타지 웹소설 &gt; 현대 판타지")</f>
        <v>판타지 웹소설 &gt; 현대 판타지</v>
      </c>
    </row>
    <row r="4259" spans="1:59">
      <c r="A4259" t="s">
        <v>60</v>
      </c>
      <c r="B4259" s="1">
        <v>46129</v>
      </c>
      <c r="C4259">
        <v>2378057845</v>
      </c>
      <c r="D4259">
        <v>2378057849</v>
      </c>
      <c r="E4259" t="str">
        <f>T("아포칼립스의 좀비가 사는 법 5화")</f>
        <v>아포칼립스의 좀비가 사는 법 5화</v>
      </c>
      <c r="F4259">
        <v>5</v>
      </c>
      <c r="G4259" t="str">
        <f>T("E787")</f>
        <v>E787</v>
      </c>
      <c r="J4259" t="str">
        <f>T("매드햇")</f>
        <v>매드햇</v>
      </c>
      <c r="K4259" t="str">
        <f>T("아포칼립스의 좀비가 사는 법")</f>
        <v>아포칼립스의 좀비가 사는 법</v>
      </c>
      <c r="L4259">
        <v>0</v>
      </c>
      <c r="M4259">
        <v>0</v>
      </c>
      <c r="N4259">
        <v>0</v>
      </c>
      <c r="O4259">
        <v>1</v>
      </c>
      <c r="P4259">
        <v>0</v>
      </c>
      <c r="Q4259">
        <v>0</v>
      </c>
      <c r="R4259">
        <v>0</v>
      </c>
      <c r="S4259">
        <v>0</v>
      </c>
      <c r="T4259">
        <v>0</v>
      </c>
      <c r="U4259">
        <v>0</v>
      </c>
      <c r="V4259">
        <v>0</v>
      </c>
      <c r="W4259">
        <v>0</v>
      </c>
      <c r="X4259">
        <v>0</v>
      </c>
      <c r="Y4259">
        <v>0</v>
      </c>
      <c r="Z4259">
        <v>0</v>
      </c>
      <c r="AA4259">
        <v>0</v>
      </c>
      <c r="AB4259">
        <v>0</v>
      </c>
      <c r="AC4259">
        <v>0</v>
      </c>
      <c r="AD4259">
        <v>0</v>
      </c>
      <c r="AE4259">
        <v>0</v>
      </c>
      <c r="AF4259">
        <v>0</v>
      </c>
      <c r="AG4259">
        <v>0</v>
      </c>
      <c r="AH4259">
        <v>0</v>
      </c>
      <c r="AI4259">
        <v>0</v>
      </c>
      <c r="AJ4259">
        <v>1</v>
      </c>
      <c r="AK4259">
        <v>0</v>
      </c>
      <c r="AL4259">
        <v>0</v>
      </c>
      <c r="AM4259">
        <v>0</v>
      </c>
      <c r="AN4259">
        <v>0</v>
      </c>
      <c r="AO4259">
        <v>0</v>
      </c>
      <c r="AP4259">
        <v>0</v>
      </c>
      <c r="AQ4259">
        <v>0</v>
      </c>
      <c r="AS4259">
        <v>0</v>
      </c>
      <c r="AT4259">
        <v>0</v>
      </c>
      <c r="AV4259">
        <v>0</v>
      </c>
      <c r="AW4259">
        <v>0</v>
      </c>
      <c r="AY4259">
        <v>0</v>
      </c>
      <c r="AZ4259">
        <v>0</v>
      </c>
      <c r="BA4259">
        <v>0</v>
      </c>
      <c r="BE4259" t="str">
        <f>T("9791137017528")</f>
        <v>9791137017528</v>
      </c>
      <c r="BF4259" t="str">
        <f>T("k168807")</f>
        <v>k168807</v>
      </c>
      <c r="BG4259" t="str">
        <f>T("판타지 웹소설 &gt; 현대 판타지")</f>
        <v>판타지 웹소설 &gt; 현대 판타지</v>
      </c>
    </row>
    <row r="4260" spans="1:59">
      <c r="A4260" t="s">
        <v>60</v>
      </c>
      <c r="B4260" s="1">
        <v>46129</v>
      </c>
      <c r="C4260">
        <v>2378057845</v>
      </c>
      <c r="D4260">
        <v>2378057850</v>
      </c>
      <c r="E4260" t="str">
        <f>T("아포칼립스의 좀비가 사는 법 6화")</f>
        <v>아포칼립스의 좀비가 사는 법 6화</v>
      </c>
      <c r="F4260">
        <v>6</v>
      </c>
      <c r="G4260" t="str">
        <f>T("E787")</f>
        <v>E787</v>
      </c>
      <c r="J4260" t="str">
        <f>T("매드햇")</f>
        <v>매드햇</v>
      </c>
      <c r="K4260" t="str">
        <f>T("아포칼립스의 좀비가 사는 법")</f>
        <v>아포칼립스의 좀비가 사는 법</v>
      </c>
      <c r="L4260">
        <v>0</v>
      </c>
      <c r="M4260">
        <v>0</v>
      </c>
      <c r="N4260">
        <v>0</v>
      </c>
      <c r="O4260">
        <v>1</v>
      </c>
      <c r="P4260">
        <v>0</v>
      </c>
      <c r="Q4260">
        <v>0</v>
      </c>
      <c r="R4260">
        <v>0</v>
      </c>
      <c r="S4260">
        <v>0</v>
      </c>
      <c r="T4260">
        <v>0</v>
      </c>
      <c r="U4260">
        <v>0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0</v>
      </c>
      <c r="AE4260">
        <v>0</v>
      </c>
      <c r="AF4260">
        <v>0</v>
      </c>
      <c r="AG4260">
        <v>0</v>
      </c>
      <c r="AH4260">
        <v>0</v>
      </c>
      <c r="AI4260">
        <v>0</v>
      </c>
      <c r="AJ4260">
        <v>1</v>
      </c>
      <c r="AK4260">
        <v>0</v>
      </c>
      <c r="AL4260">
        <v>0</v>
      </c>
      <c r="AM4260">
        <v>0</v>
      </c>
      <c r="AN4260">
        <v>0</v>
      </c>
      <c r="AO4260">
        <v>0</v>
      </c>
      <c r="AP4260">
        <v>0</v>
      </c>
      <c r="AQ4260">
        <v>0</v>
      </c>
      <c r="AS4260">
        <v>0</v>
      </c>
      <c r="AT4260">
        <v>0</v>
      </c>
      <c r="AV4260">
        <v>0</v>
      </c>
      <c r="AW4260">
        <v>0</v>
      </c>
      <c r="AY4260">
        <v>0</v>
      </c>
      <c r="AZ4260">
        <v>0</v>
      </c>
      <c r="BA4260">
        <v>0</v>
      </c>
      <c r="BE4260" t="str">
        <f>T("9791137017528")</f>
        <v>9791137017528</v>
      </c>
      <c r="BF4260" t="str">
        <f>T("k168808")</f>
        <v>k168808</v>
      </c>
      <c r="BG4260" t="str">
        <f>T("판타지 웹소설 &gt; 현대 판타지")</f>
        <v>판타지 웹소설 &gt; 현대 판타지</v>
      </c>
    </row>
    <row r="4261" spans="1:59">
      <c r="A4261" t="s">
        <v>60</v>
      </c>
      <c r="B4261" s="1">
        <v>46129</v>
      </c>
      <c r="C4261">
        <v>2378057845</v>
      </c>
      <c r="D4261">
        <v>2378057851</v>
      </c>
      <c r="E4261" t="str">
        <f>T("아포칼립스의 좀비가 사는 법 7화")</f>
        <v>아포칼립스의 좀비가 사는 법 7화</v>
      </c>
      <c r="F4261">
        <v>7</v>
      </c>
      <c r="G4261" t="str">
        <f>T("E787")</f>
        <v>E787</v>
      </c>
      <c r="J4261" t="str">
        <f>T("매드햇")</f>
        <v>매드햇</v>
      </c>
      <c r="K4261" t="str">
        <f>T("아포칼립스의 좀비가 사는 법")</f>
        <v>아포칼립스의 좀비가 사는 법</v>
      </c>
      <c r="L4261">
        <v>0</v>
      </c>
      <c r="M4261">
        <v>0</v>
      </c>
      <c r="N4261">
        <v>0</v>
      </c>
      <c r="O4261">
        <v>1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0</v>
      </c>
      <c r="AE4261">
        <v>0</v>
      </c>
      <c r="AF4261">
        <v>0</v>
      </c>
      <c r="AG4261">
        <v>0</v>
      </c>
      <c r="AH4261">
        <v>0</v>
      </c>
      <c r="AI4261">
        <v>0</v>
      </c>
      <c r="AJ4261">
        <v>1</v>
      </c>
      <c r="AK4261">
        <v>0</v>
      </c>
      <c r="AL4261">
        <v>0</v>
      </c>
      <c r="AM4261">
        <v>0</v>
      </c>
      <c r="AN4261">
        <v>0</v>
      </c>
      <c r="AO4261">
        <v>0</v>
      </c>
      <c r="AP4261">
        <v>0</v>
      </c>
      <c r="AQ4261">
        <v>0</v>
      </c>
      <c r="AS4261">
        <v>0</v>
      </c>
      <c r="AT4261">
        <v>0</v>
      </c>
      <c r="AV4261">
        <v>0</v>
      </c>
      <c r="AW4261">
        <v>0</v>
      </c>
      <c r="AY4261">
        <v>0</v>
      </c>
      <c r="AZ4261">
        <v>0</v>
      </c>
      <c r="BA4261">
        <v>0</v>
      </c>
      <c r="BE4261" t="str">
        <f>T("9791137017528")</f>
        <v>9791137017528</v>
      </c>
      <c r="BF4261" t="str">
        <f>T("k168809")</f>
        <v>k168809</v>
      </c>
      <c r="BG4261" t="str">
        <f>T("판타지 웹소설 &gt; 현대 판타지")</f>
        <v>판타지 웹소설 &gt; 현대 판타지</v>
      </c>
    </row>
    <row r="4262" spans="1:59">
      <c r="A4262" t="s">
        <v>60</v>
      </c>
      <c r="B4262" s="1">
        <v>46131</v>
      </c>
      <c r="C4262">
        <v>2378057845</v>
      </c>
      <c r="D4262">
        <v>2378057845</v>
      </c>
      <c r="E4262" t="str">
        <f>T("아포칼립스의 좀비가 사는 법 1화")</f>
        <v>아포칼립스의 좀비가 사는 법 1화</v>
      </c>
      <c r="F4262">
        <v>1</v>
      </c>
      <c r="G4262" t="str">
        <f>T("E787")</f>
        <v>E787</v>
      </c>
      <c r="J4262" t="str">
        <f>T("매드햇")</f>
        <v>매드햇</v>
      </c>
      <c r="K4262" t="str">
        <f>T("아포칼립스의 좀비가 사는 법")</f>
        <v>아포칼립스의 좀비가 사는 법</v>
      </c>
      <c r="L4262">
        <v>0</v>
      </c>
      <c r="M4262">
        <v>0</v>
      </c>
      <c r="N4262">
        <v>0</v>
      </c>
      <c r="O4262">
        <v>2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0</v>
      </c>
      <c r="AE4262">
        <v>0</v>
      </c>
      <c r="AF4262">
        <v>0</v>
      </c>
      <c r="AG4262">
        <v>0</v>
      </c>
      <c r="AH4262">
        <v>0</v>
      </c>
      <c r="AI4262">
        <v>0</v>
      </c>
      <c r="AJ4262">
        <v>2</v>
      </c>
      <c r="AK4262">
        <v>0</v>
      </c>
      <c r="AL4262">
        <v>0</v>
      </c>
      <c r="AM4262">
        <v>0</v>
      </c>
      <c r="AN4262">
        <v>0</v>
      </c>
      <c r="AO4262">
        <v>0</v>
      </c>
      <c r="AP4262">
        <v>0</v>
      </c>
      <c r="AQ4262">
        <v>0</v>
      </c>
      <c r="AS4262">
        <v>0</v>
      </c>
      <c r="AT4262">
        <v>0</v>
      </c>
      <c r="AV4262">
        <v>0</v>
      </c>
      <c r="AW4262">
        <v>0</v>
      </c>
      <c r="AY4262">
        <v>0</v>
      </c>
      <c r="AZ4262">
        <v>0</v>
      </c>
      <c r="BA4262">
        <v>0</v>
      </c>
      <c r="BE4262" t="str">
        <f>T("9791137017528")</f>
        <v>9791137017528</v>
      </c>
      <c r="BF4262" t="str">
        <f>T("k168803")</f>
        <v>k168803</v>
      </c>
      <c r="BG4262" t="str">
        <f>T("판타지 웹소설 &gt; 현대 판타지")</f>
        <v>판타지 웹소설 &gt; 현대 판타지</v>
      </c>
    </row>
    <row r="4263" spans="1:59">
      <c r="A4263" t="s">
        <v>60</v>
      </c>
      <c r="B4263" s="1">
        <v>46131</v>
      </c>
      <c r="C4263">
        <v>2378057845</v>
      </c>
      <c r="D4263">
        <v>2378057846</v>
      </c>
      <c r="E4263" t="str">
        <f>T("아포칼립스의 좀비가 사는 법 2화")</f>
        <v>아포칼립스의 좀비가 사는 법 2화</v>
      </c>
      <c r="F4263">
        <v>2</v>
      </c>
      <c r="G4263" t="str">
        <f>T("E787")</f>
        <v>E787</v>
      </c>
      <c r="J4263" t="str">
        <f>T("매드햇")</f>
        <v>매드햇</v>
      </c>
      <c r="K4263" t="str">
        <f>T("아포칼립스의 좀비가 사는 법")</f>
        <v>아포칼립스의 좀비가 사는 법</v>
      </c>
      <c r="L4263">
        <v>0</v>
      </c>
      <c r="M4263">
        <v>0</v>
      </c>
      <c r="N4263">
        <v>0</v>
      </c>
      <c r="O4263">
        <v>1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0</v>
      </c>
      <c r="AE4263">
        <v>0</v>
      </c>
      <c r="AF4263">
        <v>0</v>
      </c>
      <c r="AG4263">
        <v>0</v>
      </c>
      <c r="AH4263">
        <v>0</v>
      </c>
      <c r="AI4263">
        <v>0</v>
      </c>
      <c r="AJ4263">
        <v>1</v>
      </c>
      <c r="AK4263">
        <v>0</v>
      </c>
      <c r="AL4263">
        <v>0</v>
      </c>
      <c r="AM4263">
        <v>0</v>
      </c>
      <c r="AN4263">
        <v>0</v>
      </c>
      <c r="AO4263">
        <v>0</v>
      </c>
      <c r="AP4263">
        <v>0</v>
      </c>
      <c r="AQ4263">
        <v>0</v>
      </c>
      <c r="AS4263">
        <v>0</v>
      </c>
      <c r="AT4263">
        <v>0</v>
      </c>
      <c r="AV4263">
        <v>0</v>
      </c>
      <c r="AW4263">
        <v>0</v>
      </c>
      <c r="AY4263">
        <v>0</v>
      </c>
      <c r="AZ4263">
        <v>0</v>
      </c>
      <c r="BA4263">
        <v>0</v>
      </c>
      <c r="BE4263" t="str">
        <f>T("9791137017528")</f>
        <v>9791137017528</v>
      </c>
      <c r="BF4263" t="str">
        <f>T("k168804")</f>
        <v>k168804</v>
      </c>
      <c r="BG4263" t="str">
        <f>T("판타지 웹소설 &gt; 현대 판타지")</f>
        <v>판타지 웹소설 &gt; 현대 판타지</v>
      </c>
    </row>
    <row r="4264" spans="1:59">
      <c r="A4264" t="s">
        <v>60</v>
      </c>
      <c r="B4264" s="1">
        <v>46131</v>
      </c>
      <c r="C4264">
        <v>2378057845</v>
      </c>
      <c r="D4264">
        <v>2378057847</v>
      </c>
      <c r="E4264" t="str">
        <f>T("아포칼립스의 좀비가 사는 법 3화")</f>
        <v>아포칼립스의 좀비가 사는 법 3화</v>
      </c>
      <c r="F4264">
        <v>3</v>
      </c>
      <c r="G4264" t="str">
        <f>T("E787")</f>
        <v>E787</v>
      </c>
      <c r="J4264" t="str">
        <f>T("매드햇")</f>
        <v>매드햇</v>
      </c>
      <c r="K4264" t="str">
        <f>T("아포칼립스의 좀비가 사는 법")</f>
        <v>아포칼립스의 좀비가 사는 법</v>
      </c>
      <c r="L4264">
        <v>0</v>
      </c>
      <c r="M4264">
        <v>0</v>
      </c>
      <c r="N4264">
        <v>0</v>
      </c>
      <c r="O4264">
        <v>1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0</v>
      </c>
      <c r="AE4264">
        <v>0</v>
      </c>
      <c r="AF4264">
        <v>0</v>
      </c>
      <c r="AG4264">
        <v>0</v>
      </c>
      <c r="AH4264">
        <v>0</v>
      </c>
      <c r="AI4264">
        <v>0</v>
      </c>
      <c r="AJ4264">
        <v>1</v>
      </c>
      <c r="AK4264">
        <v>0</v>
      </c>
      <c r="AL4264">
        <v>0</v>
      </c>
      <c r="AM4264">
        <v>0</v>
      </c>
      <c r="AN4264">
        <v>0</v>
      </c>
      <c r="AO4264">
        <v>0</v>
      </c>
      <c r="AP4264">
        <v>0</v>
      </c>
      <c r="AQ4264">
        <v>0</v>
      </c>
      <c r="AS4264">
        <v>0</v>
      </c>
      <c r="AT4264">
        <v>0</v>
      </c>
      <c r="AV4264">
        <v>0</v>
      </c>
      <c r="AW4264">
        <v>0</v>
      </c>
      <c r="AY4264">
        <v>0</v>
      </c>
      <c r="AZ4264">
        <v>0</v>
      </c>
      <c r="BA4264">
        <v>0</v>
      </c>
      <c r="BE4264" t="str">
        <f>T("9791137017528")</f>
        <v>9791137017528</v>
      </c>
      <c r="BF4264" t="str">
        <f>T("k168805")</f>
        <v>k168805</v>
      </c>
      <c r="BG4264" t="str">
        <f>T("판타지 웹소설 &gt; 현대 판타지")</f>
        <v>판타지 웹소설 &gt; 현대 판타지</v>
      </c>
    </row>
    <row r="4265" spans="1:59">
      <c r="A4265" t="s">
        <v>60</v>
      </c>
      <c r="B4265" s="1">
        <v>46131</v>
      </c>
      <c r="C4265">
        <v>2378057845</v>
      </c>
      <c r="D4265">
        <v>2378057848</v>
      </c>
      <c r="E4265" t="str">
        <f>T("아포칼립스의 좀비가 사는 법 4화")</f>
        <v>아포칼립스의 좀비가 사는 법 4화</v>
      </c>
      <c r="F4265">
        <v>4</v>
      </c>
      <c r="G4265" t="str">
        <f>T("E787")</f>
        <v>E787</v>
      </c>
      <c r="J4265" t="str">
        <f>T("매드햇")</f>
        <v>매드햇</v>
      </c>
      <c r="K4265" t="str">
        <f>T("아포칼립스의 좀비가 사는 법")</f>
        <v>아포칼립스의 좀비가 사는 법</v>
      </c>
      <c r="L4265">
        <v>0</v>
      </c>
      <c r="M4265">
        <v>0</v>
      </c>
      <c r="N4265">
        <v>0</v>
      </c>
      <c r="O4265">
        <v>1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0</v>
      </c>
      <c r="AE4265">
        <v>0</v>
      </c>
      <c r="AF4265">
        <v>0</v>
      </c>
      <c r="AG4265">
        <v>0</v>
      </c>
      <c r="AH4265">
        <v>0</v>
      </c>
      <c r="AI4265">
        <v>0</v>
      </c>
      <c r="AJ4265">
        <v>1</v>
      </c>
      <c r="AK4265">
        <v>0</v>
      </c>
      <c r="AL4265">
        <v>0</v>
      </c>
      <c r="AM4265">
        <v>0</v>
      </c>
      <c r="AN4265">
        <v>0</v>
      </c>
      <c r="AO4265">
        <v>0</v>
      </c>
      <c r="AP4265">
        <v>0</v>
      </c>
      <c r="AQ4265">
        <v>0</v>
      </c>
      <c r="AS4265">
        <v>0</v>
      </c>
      <c r="AT4265">
        <v>0</v>
      </c>
      <c r="AV4265">
        <v>0</v>
      </c>
      <c r="AW4265">
        <v>0</v>
      </c>
      <c r="AY4265">
        <v>0</v>
      </c>
      <c r="AZ4265">
        <v>0</v>
      </c>
      <c r="BA4265">
        <v>0</v>
      </c>
      <c r="BE4265" t="str">
        <f>T("9791137017528")</f>
        <v>9791137017528</v>
      </c>
      <c r="BF4265" t="str">
        <f>T("k168806")</f>
        <v>k168806</v>
      </c>
      <c r="BG4265" t="str">
        <f>T("판타지 웹소설 &gt; 현대 판타지")</f>
        <v>판타지 웹소설 &gt; 현대 판타지</v>
      </c>
    </row>
    <row r="4266" spans="1:59">
      <c r="A4266" t="s">
        <v>60</v>
      </c>
      <c r="B4266" s="1">
        <v>46131</v>
      </c>
      <c r="C4266">
        <v>2378057845</v>
      </c>
      <c r="D4266">
        <v>2378057849</v>
      </c>
      <c r="E4266" t="str">
        <f>T("아포칼립스의 좀비가 사는 법 5화")</f>
        <v>아포칼립스의 좀비가 사는 법 5화</v>
      </c>
      <c r="F4266">
        <v>5</v>
      </c>
      <c r="G4266" t="str">
        <f>T("E787")</f>
        <v>E787</v>
      </c>
      <c r="J4266" t="str">
        <f>T("매드햇")</f>
        <v>매드햇</v>
      </c>
      <c r="K4266" t="str">
        <f>T("아포칼립스의 좀비가 사는 법")</f>
        <v>아포칼립스의 좀비가 사는 법</v>
      </c>
      <c r="L4266">
        <v>0</v>
      </c>
      <c r="M4266">
        <v>0</v>
      </c>
      <c r="N4266">
        <v>0</v>
      </c>
      <c r="O4266">
        <v>1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0</v>
      </c>
      <c r="AE4266">
        <v>0</v>
      </c>
      <c r="AF4266">
        <v>0</v>
      </c>
      <c r="AG4266">
        <v>0</v>
      </c>
      <c r="AH4266">
        <v>0</v>
      </c>
      <c r="AI4266">
        <v>0</v>
      </c>
      <c r="AJ4266">
        <v>1</v>
      </c>
      <c r="AK4266">
        <v>0</v>
      </c>
      <c r="AL4266">
        <v>0</v>
      </c>
      <c r="AM4266">
        <v>0</v>
      </c>
      <c r="AN4266">
        <v>0</v>
      </c>
      <c r="AO4266">
        <v>0</v>
      </c>
      <c r="AP4266">
        <v>0</v>
      </c>
      <c r="AQ4266">
        <v>0</v>
      </c>
      <c r="AS4266">
        <v>0</v>
      </c>
      <c r="AT4266">
        <v>0</v>
      </c>
      <c r="AV4266">
        <v>0</v>
      </c>
      <c r="AW4266">
        <v>0</v>
      </c>
      <c r="AY4266">
        <v>0</v>
      </c>
      <c r="AZ4266">
        <v>0</v>
      </c>
      <c r="BA4266">
        <v>0</v>
      </c>
      <c r="BE4266" t="str">
        <f>T("9791137017528")</f>
        <v>9791137017528</v>
      </c>
      <c r="BF4266" t="str">
        <f>T("k168807")</f>
        <v>k168807</v>
      </c>
      <c r="BG4266" t="str">
        <f>T("판타지 웹소설 &gt; 현대 판타지")</f>
        <v>판타지 웹소설 &gt; 현대 판타지</v>
      </c>
    </row>
    <row r="4267" spans="1:59">
      <c r="A4267" t="s">
        <v>60</v>
      </c>
      <c r="B4267" s="1">
        <v>46131</v>
      </c>
      <c r="C4267">
        <v>2378057845</v>
      </c>
      <c r="D4267">
        <v>2378057850</v>
      </c>
      <c r="E4267" t="str">
        <f>T("아포칼립스의 좀비가 사는 법 6화")</f>
        <v>아포칼립스의 좀비가 사는 법 6화</v>
      </c>
      <c r="F4267">
        <v>6</v>
      </c>
      <c r="G4267" t="str">
        <f>T("E787")</f>
        <v>E787</v>
      </c>
      <c r="J4267" t="str">
        <f>T("매드햇")</f>
        <v>매드햇</v>
      </c>
      <c r="K4267" t="str">
        <f>T("아포칼립스의 좀비가 사는 법")</f>
        <v>아포칼립스의 좀비가 사는 법</v>
      </c>
      <c r="L4267">
        <v>0</v>
      </c>
      <c r="M4267">
        <v>0</v>
      </c>
      <c r="N4267">
        <v>0</v>
      </c>
      <c r="O4267">
        <v>1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0</v>
      </c>
      <c r="AE4267">
        <v>0</v>
      </c>
      <c r="AF4267">
        <v>0</v>
      </c>
      <c r="AG4267">
        <v>0</v>
      </c>
      <c r="AH4267">
        <v>0</v>
      </c>
      <c r="AI4267">
        <v>0</v>
      </c>
      <c r="AJ4267">
        <v>1</v>
      </c>
      <c r="AK4267">
        <v>0</v>
      </c>
      <c r="AL4267">
        <v>0</v>
      </c>
      <c r="AM4267">
        <v>0</v>
      </c>
      <c r="AN4267">
        <v>0</v>
      </c>
      <c r="AO4267">
        <v>0</v>
      </c>
      <c r="AP4267">
        <v>0</v>
      </c>
      <c r="AQ4267">
        <v>0</v>
      </c>
      <c r="AS4267">
        <v>0</v>
      </c>
      <c r="AT4267">
        <v>0</v>
      </c>
      <c r="AV4267">
        <v>0</v>
      </c>
      <c r="AW4267">
        <v>0</v>
      </c>
      <c r="AY4267">
        <v>0</v>
      </c>
      <c r="AZ4267">
        <v>0</v>
      </c>
      <c r="BA4267">
        <v>0</v>
      </c>
      <c r="BE4267" t="str">
        <f>T("9791137017528")</f>
        <v>9791137017528</v>
      </c>
      <c r="BF4267" t="str">
        <f>T("k168808")</f>
        <v>k168808</v>
      </c>
      <c r="BG4267" t="str">
        <f>T("판타지 웹소설 &gt; 현대 판타지")</f>
        <v>판타지 웹소설 &gt; 현대 판타지</v>
      </c>
    </row>
    <row r="4268" spans="1:59">
      <c r="A4268" t="s">
        <v>60</v>
      </c>
      <c r="B4268" s="1">
        <v>46131</v>
      </c>
      <c r="C4268">
        <v>2378057845</v>
      </c>
      <c r="D4268">
        <v>2378057851</v>
      </c>
      <c r="E4268" t="str">
        <f>T("아포칼립스의 좀비가 사는 법 7화")</f>
        <v>아포칼립스의 좀비가 사는 법 7화</v>
      </c>
      <c r="F4268">
        <v>7</v>
      </c>
      <c r="G4268" t="str">
        <f>T("E787")</f>
        <v>E787</v>
      </c>
      <c r="J4268" t="str">
        <f>T("매드햇")</f>
        <v>매드햇</v>
      </c>
      <c r="K4268" t="str">
        <f>T("아포칼립스의 좀비가 사는 법")</f>
        <v>아포칼립스의 좀비가 사는 법</v>
      </c>
      <c r="L4268">
        <v>0</v>
      </c>
      <c r="M4268">
        <v>0</v>
      </c>
      <c r="N4268">
        <v>0</v>
      </c>
      <c r="O4268">
        <v>1</v>
      </c>
      <c r="P4268">
        <v>0</v>
      </c>
      <c r="Q4268">
        <v>0</v>
      </c>
      <c r="R4268">
        <v>0</v>
      </c>
      <c r="S4268">
        <v>0</v>
      </c>
      <c r="T4268">
        <v>0</v>
      </c>
      <c r="U4268">
        <v>0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0</v>
      </c>
      <c r="AE4268">
        <v>0</v>
      </c>
      <c r="AF4268">
        <v>0</v>
      </c>
      <c r="AG4268">
        <v>0</v>
      </c>
      <c r="AH4268">
        <v>0</v>
      </c>
      <c r="AI4268">
        <v>0</v>
      </c>
      <c r="AJ4268">
        <v>1</v>
      </c>
      <c r="AK4268">
        <v>0</v>
      </c>
      <c r="AL4268">
        <v>0</v>
      </c>
      <c r="AM4268">
        <v>0</v>
      </c>
      <c r="AN4268">
        <v>0</v>
      </c>
      <c r="AO4268">
        <v>0</v>
      </c>
      <c r="AP4268">
        <v>0</v>
      </c>
      <c r="AQ4268">
        <v>0</v>
      </c>
      <c r="AS4268">
        <v>0</v>
      </c>
      <c r="AT4268">
        <v>0</v>
      </c>
      <c r="AV4268">
        <v>0</v>
      </c>
      <c r="AW4268">
        <v>0</v>
      </c>
      <c r="AY4268">
        <v>0</v>
      </c>
      <c r="AZ4268">
        <v>0</v>
      </c>
      <c r="BA4268">
        <v>0</v>
      </c>
      <c r="BE4268" t="str">
        <f>T("9791137017528")</f>
        <v>9791137017528</v>
      </c>
      <c r="BF4268" t="str">
        <f>T("k168809")</f>
        <v>k168809</v>
      </c>
      <c r="BG4268" t="str">
        <f>T("판타지 웹소설 &gt; 현대 판타지")</f>
        <v>판타지 웹소설 &gt; 현대 판타지</v>
      </c>
    </row>
    <row r="4269" spans="1:59">
      <c r="A4269" t="s">
        <v>60</v>
      </c>
      <c r="B4269" s="1">
        <v>46131</v>
      </c>
      <c r="C4269">
        <v>2378057845</v>
      </c>
      <c r="D4269">
        <v>2378057852</v>
      </c>
      <c r="E4269" t="str">
        <f>T("아포칼립스의 좀비가 사는 법 8화")</f>
        <v>아포칼립스의 좀비가 사는 법 8화</v>
      </c>
      <c r="F4269">
        <v>8</v>
      </c>
      <c r="G4269" t="str">
        <f>T("E787")</f>
        <v>E787</v>
      </c>
      <c r="J4269" t="str">
        <f>T("매드햇")</f>
        <v>매드햇</v>
      </c>
      <c r="K4269" t="str">
        <f>T("아포칼립스의 좀비가 사는 법")</f>
        <v>아포칼립스의 좀비가 사는 법</v>
      </c>
      <c r="L4269">
        <v>0</v>
      </c>
      <c r="M4269">
        <v>0</v>
      </c>
      <c r="N4269">
        <v>0</v>
      </c>
      <c r="O4269">
        <v>1</v>
      </c>
      <c r="P4269">
        <v>0</v>
      </c>
      <c r="Q4269">
        <v>0</v>
      </c>
      <c r="R4269">
        <v>0</v>
      </c>
      <c r="S4269">
        <v>0</v>
      </c>
      <c r="T4269">
        <v>0</v>
      </c>
      <c r="U4269">
        <v>0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0</v>
      </c>
      <c r="AE4269">
        <v>0</v>
      </c>
      <c r="AF4269">
        <v>0</v>
      </c>
      <c r="AG4269">
        <v>0</v>
      </c>
      <c r="AH4269">
        <v>0</v>
      </c>
      <c r="AI4269">
        <v>0</v>
      </c>
      <c r="AJ4269">
        <v>1</v>
      </c>
      <c r="AK4269">
        <v>0</v>
      </c>
      <c r="AL4269">
        <v>0</v>
      </c>
      <c r="AM4269">
        <v>0</v>
      </c>
      <c r="AN4269">
        <v>0</v>
      </c>
      <c r="AO4269">
        <v>0</v>
      </c>
      <c r="AP4269">
        <v>0</v>
      </c>
      <c r="AQ4269">
        <v>0</v>
      </c>
      <c r="AS4269">
        <v>0</v>
      </c>
      <c r="AT4269">
        <v>0</v>
      </c>
      <c r="AV4269">
        <v>0</v>
      </c>
      <c r="AW4269">
        <v>0</v>
      </c>
      <c r="AY4269">
        <v>0</v>
      </c>
      <c r="AZ4269">
        <v>0</v>
      </c>
      <c r="BA4269">
        <v>0</v>
      </c>
      <c r="BE4269" t="str">
        <f>T("9791137017528")</f>
        <v>9791137017528</v>
      </c>
      <c r="BF4269" t="str">
        <f>T("k168810")</f>
        <v>k168810</v>
      </c>
      <c r="BG4269" t="str">
        <f>T("판타지 웹소설 &gt; 현대 판타지")</f>
        <v>판타지 웹소설 &gt; 현대 판타지</v>
      </c>
    </row>
    <row r="4270" spans="1:59">
      <c r="A4270" t="s">
        <v>60</v>
      </c>
      <c r="B4270" s="1">
        <v>46129</v>
      </c>
      <c r="C4270">
        <v>2378040565</v>
      </c>
      <c r="D4270">
        <v>2378040788</v>
      </c>
      <c r="E4270" t="str">
        <f>T("안 보이는 투명츄 (개정판) 224화")</f>
        <v>안 보이는 투명츄 (개정판) 224화</v>
      </c>
      <c r="F4270">
        <v>224</v>
      </c>
      <c r="G4270" t="str">
        <f>T("고하솜")</f>
        <v>고하솜</v>
      </c>
      <c r="J4270" t="str">
        <f>T("매드햇")</f>
        <v>매드햇</v>
      </c>
      <c r="K4270" t="str">
        <f>T("안 보이는 투명츄 (개정판)")</f>
        <v>안 보이는 투명츄 (개정판)</v>
      </c>
      <c r="L4270">
        <v>100</v>
      </c>
      <c r="M4270">
        <v>100</v>
      </c>
      <c r="N4270">
        <v>1</v>
      </c>
      <c r="O4270">
        <v>0</v>
      </c>
      <c r="P4270">
        <v>0</v>
      </c>
      <c r="Q4270">
        <v>0</v>
      </c>
      <c r="R4270">
        <v>0</v>
      </c>
      <c r="S4270">
        <v>0</v>
      </c>
      <c r="T4270">
        <v>0</v>
      </c>
      <c r="U4270">
        <v>0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0</v>
      </c>
      <c r="AE4270">
        <v>0</v>
      </c>
      <c r="AF4270">
        <v>0</v>
      </c>
      <c r="AG4270">
        <v>0</v>
      </c>
      <c r="AH4270">
        <v>0</v>
      </c>
      <c r="AI4270">
        <v>100</v>
      </c>
      <c r="AJ4270">
        <v>1</v>
      </c>
      <c r="AK4270">
        <v>0</v>
      </c>
      <c r="AL4270">
        <v>0</v>
      </c>
      <c r="AM4270">
        <v>100</v>
      </c>
      <c r="AN4270">
        <v>0</v>
      </c>
      <c r="AO4270">
        <v>0</v>
      </c>
      <c r="AP4270">
        <v>0</v>
      </c>
      <c r="AQ4270">
        <v>0</v>
      </c>
      <c r="AS4270">
        <v>0</v>
      </c>
      <c r="AT4270">
        <v>0</v>
      </c>
      <c r="AV4270">
        <v>0</v>
      </c>
      <c r="AW4270">
        <v>0</v>
      </c>
      <c r="AY4270">
        <v>0</v>
      </c>
      <c r="AZ4270">
        <v>0</v>
      </c>
      <c r="BA4270">
        <v>70</v>
      </c>
      <c r="BE4270" t="str">
        <f>T("9791137013674")</f>
        <v>9791137013674</v>
      </c>
      <c r="BF4270" t="str">
        <f>T("N188844")</f>
        <v>N188844</v>
      </c>
      <c r="BG4270" t="str">
        <f>T("판타지 웹소설 &gt; 현대 판타지")</f>
        <v>판타지 웹소설 &gt; 현대 판타지</v>
      </c>
    </row>
    <row r="4271" spans="1:59">
      <c r="A4271" t="s">
        <v>60</v>
      </c>
      <c r="B4271" s="1">
        <v>46130</v>
      </c>
      <c r="C4271">
        <v>2378040565</v>
      </c>
      <c r="D4271">
        <v>2378040789</v>
      </c>
      <c r="E4271" t="str">
        <f>T("안 보이는 투명츄 (개정판) 225화")</f>
        <v>안 보이는 투명츄 (개정판) 225화</v>
      </c>
      <c r="F4271">
        <v>225</v>
      </c>
      <c r="G4271" t="str">
        <f>T("고하솜")</f>
        <v>고하솜</v>
      </c>
      <c r="J4271" t="str">
        <f>T("매드햇")</f>
        <v>매드햇</v>
      </c>
      <c r="K4271" t="str">
        <f>T("안 보이는 투명츄 (개정판)")</f>
        <v>안 보이는 투명츄 (개정판)</v>
      </c>
      <c r="L4271">
        <v>100</v>
      </c>
      <c r="M4271">
        <v>100</v>
      </c>
      <c r="N4271">
        <v>1</v>
      </c>
      <c r="O4271">
        <v>0</v>
      </c>
      <c r="P4271">
        <v>0</v>
      </c>
      <c r="Q4271">
        <v>0</v>
      </c>
      <c r="R4271">
        <v>0</v>
      </c>
      <c r="S4271">
        <v>0</v>
      </c>
      <c r="T4271">
        <v>0</v>
      </c>
      <c r="U4271">
        <v>0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0</v>
      </c>
      <c r="AE4271">
        <v>0</v>
      </c>
      <c r="AF4271">
        <v>0</v>
      </c>
      <c r="AG4271">
        <v>0</v>
      </c>
      <c r="AH4271">
        <v>0</v>
      </c>
      <c r="AI4271">
        <v>100</v>
      </c>
      <c r="AJ4271">
        <v>1</v>
      </c>
      <c r="AK4271">
        <v>0</v>
      </c>
      <c r="AL4271">
        <v>0</v>
      </c>
      <c r="AM4271">
        <v>100</v>
      </c>
      <c r="AN4271">
        <v>0</v>
      </c>
      <c r="AO4271">
        <v>0</v>
      </c>
      <c r="AP4271">
        <v>0</v>
      </c>
      <c r="AQ4271">
        <v>0</v>
      </c>
      <c r="AS4271">
        <v>0</v>
      </c>
      <c r="AT4271">
        <v>0</v>
      </c>
      <c r="AV4271">
        <v>0</v>
      </c>
      <c r="AW4271">
        <v>0</v>
      </c>
      <c r="AY4271">
        <v>0</v>
      </c>
      <c r="AZ4271">
        <v>0</v>
      </c>
      <c r="BA4271">
        <v>70</v>
      </c>
      <c r="BE4271" t="str">
        <f>T("9791137013674")</f>
        <v>9791137013674</v>
      </c>
      <c r="BF4271" t="str">
        <f>T("N188845")</f>
        <v>N188845</v>
      </c>
      <c r="BG4271" t="str">
        <f>T("판타지 웹소설 &gt; 현대 판타지")</f>
        <v>판타지 웹소설 &gt; 현대 판타지</v>
      </c>
    </row>
    <row r="4272" spans="1:59">
      <c r="A4272" t="s">
        <v>60</v>
      </c>
      <c r="B4272" s="1">
        <v>46131</v>
      </c>
      <c r="C4272">
        <v>2378040565</v>
      </c>
      <c r="D4272">
        <v>2378040790</v>
      </c>
      <c r="E4272" t="str">
        <f>T("안 보이는 투명츄 (개정판) 226화")</f>
        <v>안 보이는 투명츄 (개정판) 226화</v>
      </c>
      <c r="F4272">
        <v>226</v>
      </c>
      <c r="G4272" t="str">
        <f>T("고하솜")</f>
        <v>고하솜</v>
      </c>
      <c r="J4272" t="str">
        <f>T("매드햇")</f>
        <v>매드햇</v>
      </c>
      <c r="K4272" t="str">
        <f>T("안 보이는 투명츄 (개정판)")</f>
        <v>안 보이는 투명츄 (개정판)</v>
      </c>
      <c r="L4272">
        <v>100</v>
      </c>
      <c r="M4272">
        <v>100</v>
      </c>
      <c r="N4272">
        <v>1</v>
      </c>
      <c r="O4272">
        <v>0</v>
      </c>
      <c r="P4272">
        <v>0</v>
      </c>
      <c r="Q4272">
        <v>0</v>
      </c>
      <c r="R4272">
        <v>0</v>
      </c>
      <c r="S4272">
        <v>0</v>
      </c>
      <c r="T4272">
        <v>0</v>
      </c>
      <c r="U4272">
        <v>0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0</v>
      </c>
      <c r="AE4272">
        <v>0</v>
      </c>
      <c r="AF4272">
        <v>0</v>
      </c>
      <c r="AG4272">
        <v>0</v>
      </c>
      <c r="AH4272">
        <v>0</v>
      </c>
      <c r="AI4272">
        <v>100</v>
      </c>
      <c r="AJ4272">
        <v>1</v>
      </c>
      <c r="AK4272">
        <v>0</v>
      </c>
      <c r="AL4272">
        <v>0</v>
      </c>
      <c r="AM4272">
        <v>100</v>
      </c>
      <c r="AN4272">
        <v>0</v>
      </c>
      <c r="AO4272">
        <v>0</v>
      </c>
      <c r="AP4272">
        <v>0</v>
      </c>
      <c r="AQ4272">
        <v>0</v>
      </c>
      <c r="AS4272">
        <v>0</v>
      </c>
      <c r="AT4272">
        <v>0</v>
      </c>
      <c r="AV4272">
        <v>0</v>
      </c>
      <c r="AW4272">
        <v>0</v>
      </c>
      <c r="AY4272">
        <v>0</v>
      </c>
      <c r="AZ4272">
        <v>0</v>
      </c>
      <c r="BA4272">
        <v>70</v>
      </c>
      <c r="BE4272" t="str">
        <f>T("9791137013674")</f>
        <v>9791137013674</v>
      </c>
      <c r="BF4272" t="str">
        <f>T("N188846")</f>
        <v>N188846</v>
      </c>
      <c r="BG4272" t="str">
        <f>T("판타지 웹소설 &gt; 현대 판타지")</f>
        <v>판타지 웹소설 &gt; 현대 판타지</v>
      </c>
    </row>
    <row r="4273" spans="1:59">
      <c r="A4273" t="s">
        <v>60</v>
      </c>
      <c r="B4273" s="1">
        <v>46129</v>
      </c>
      <c r="C4273">
        <v>2378059328</v>
      </c>
      <c r="D4273">
        <v>2378059328</v>
      </c>
      <c r="E4273" t="str">
        <f>T("오만한 주인의 초상화 1화")</f>
        <v>오만한 주인의 초상화 1화</v>
      </c>
      <c r="F4273">
        <v>1</v>
      </c>
      <c r="G4273" t="str">
        <f>T("offnun")</f>
        <v>offnun</v>
      </c>
      <c r="J4273" t="str">
        <f>T("시계토끼")</f>
        <v>시계토끼</v>
      </c>
      <c r="K4273" t="str">
        <f>T("오만한 주인의 초상화")</f>
        <v>오만한 주인의 초상화</v>
      </c>
      <c r="L4273">
        <v>0</v>
      </c>
      <c r="M4273">
        <v>0</v>
      </c>
      <c r="N4273">
        <v>0</v>
      </c>
      <c r="O4273">
        <v>1</v>
      </c>
      <c r="P4273">
        <v>0</v>
      </c>
      <c r="Q4273">
        <v>0</v>
      </c>
      <c r="R4273">
        <v>0</v>
      </c>
      <c r="S4273">
        <v>0</v>
      </c>
      <c r="T4273">
        <v>0</v>
      </c>
      <c r="U4273">
        <v>0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0</v>
      </c>
      <c r="AE4273">
        <v>0</v>
      </c>
      <c r="AF4273">
        <v>0</v>
      </c>
      <c r="AG4273">
        <v>0</v>
      </c>
      <c r="AH4273">
        <v>0</v>
      </c>
      <c r="AI4273">
        <v>0</v>
      </c>
      <c r="AJ4273">
        <v>1</v>
      </c>
      <c r="AK4273">
        <v>0</v>
      </c>
      <c r="AL4273">
        <v>0</v>
      </c>
      <c r="AM4273">
        <v>0</v>
      </c>
      <c r="AN4273">
        <v>0</v>
      </c>
      <c r="AO4273">
        <v>0</v>
      </c>
      <c r="AP4273">
        <v>0</v>
      </c>
      <c r="AQ4273">
        <v>0</v>
      </c>
      <c r="AS4273">
        <v>0</v>
      </c>
      <c r="AT4273">
        <v>0</v>
      </c>
      <c r="AV4273">
        <v>0</v>
      </c>
      <c r="AW4273">
        <v>0</v>
      </c>
      <c r="AY4273">
        <v>0</v>
      </c>
      <c r="AZ4273">
        <v>0</v>
      </c>
      <c r="BA4273">
        <v>0</v>
      </c>
      <c r="BE4273" t="str">
        <f>T("9791164099740")</f>
        <v>9791164099740</v>
      </c>
      <c r="BF4273" t="str">
        <f>T("k200129")</f>
        <v>k200129</v>
      </c>
      <c r="BG4273" t="str">
        <f>T("로판 웹소설 &gt; 서양풍 로판")</f>
        <v>로판 웹소설 &gt; 서양풍 로판</v>
      </c>
    </row>
    <row r="4274" spans="1:59">
      <c r="A4274" t="s">
        <v>60</v>
      </c>
      <c r="B4274" s="1">
        <v>46130</v>
      </c>
      <c r="C4274">
        <v>2378059328</v>
      </c>
      <c r="D4274">
        <v>2378059337</v>
      </c>
      <c r="E4274" t="str">
        <f>T("오만한 주인의 초상화 10화")</f>
        <v>오만한 주인의 초상화 10화</v>
      </c>
      <c r="F4274">
        <v>10</v>
      </c>
      <c r="G4274" t="str">
        <f>T("offnun")</f>
        <v>offnun</v>
      </c>
      <c r="J4274" t="str">
        <f>T("시계토끼")</f>
        <v>시계토끼</v>
      </c>
      <c r="K4274" t="str">
        <f>T("오만한 주인의 초상화")</f>
        <v>오만한 주인의 초상화</v>
      </c>
      <c r="L4274">
        <v>100</v>
      </c>
      <c r="M4274">
        <v>100</v>
      </c>
      <c r="N4274">
        <v>1</v>
      </c>
      <c r="O4274">
        <v>0</v>
      </c>
      <c r="P4274">
        <v>0</v>
      </c>
      <c r="Q4274">
        <v>0</v>
      </c>
      <c r="R4274">
        <v>0</v>
      </c>
      <c r="S4274">
        <v>0</v>
      </c>
      <c r="T4274">
        <v>0</v>
      </c>
      <c r="U4274">
        <v>0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0</v>
      </c>
      <c r="AE4274">
        <v>0</v>
      </c>
      <c r="AF4274">
        <v>0</v>
      </c>
      <c r="AG4274">
        <v>0</v>
      </c>
      <c r="AH4274">
        <v>0</v>
      </c>
      <c r="AI4274">
        <v>100</v>
      </c>
      <c r="AJ4274">
        <v>1</v>
      </c>
      <c r="AK4274">
        <v>0</v>
      </c>
      <c r="AL4274">
        <v>0</v>
      </c>
      <c r="AM4274">
        <v>0</v>
      </c>
      <c r="AN4274">
        <v>0</v>
      </c>
      <c r="AO4274">
        <v>120</v>
      </c>
      <c r="AP4274">
        <v>-12</v>
      </c>
      <c r="AQ4274">
        <v>0</v>
      </c>
      <c r="AS4274">
        <v>0</v>
      </c>
      <c r="AT4274">
        <v>0</v>
      </c>
      <c r="AU4274">
        <v>120</v>
      </c>
      <c r="AV4274">
        <v>-12</v>
      </c>
      <c r="AW4274">
        <v>0</v>
      </c>
      <c r="AY4274">
        <v>0</v>
      </c>
      <c r="AZ4274">
        <v>0</v>
      </c>
      <c r="BA4274">
        <v>75.599999999999994</v>
      </c>
      <c r="BE4274" t="str">
        <f>T("9791164099740")</f>
        <v>9791164099740</v>
      </c>
      <c r="BF4274" t="str">
        <f>T("k200138")</f>
        <v>k200138</v>
      </c>
      <c r="BG4274" t="str">
        <f>T("로판 웹소설 &gt; 서양풍 로판")</f>
        <v>로판 웹소설 &gt; 서양풍 로판</v>
      </c>
    </row>
    <row r="4275" spans="1:59">
      <c r="A4275" t="s">
        <v>60</v>
      </c>
      <c r="B4275" s="1">
        <v>46130</v>
      </c>
      <c r="C4275">
        <v>2378059328</v>
      </c>
      <c r="D4275">
        <v>2378059338</v>
      </c>
      <c r="E4275" t="str">
        <f>T("오만한 주인의 초상화 11화")</f>
        <v>오만한 주인의 초상화 11화</v>
      </c>
      <c r="F4275">
        <v>11</v>
      </c>
      <c r="G4275" t="str">
        <f>T("offnun")</f>
        <v>offnun</v>
      </c>
      <c r="J4275" t="str">
        <f>T("시계토끼")</f>
        <v>시계토끼</v>
      </c>
      <c r="K4275" t="str">
        <f>T("오만한 주인의 초상화")</f>
        <v>오만한 주인의 초상화</v>
      </c>
      <c r="L4275">
        <v>100</v>
      </c>
      <c r="M4275">
        <v>100</v>
      </c>
      <c r="N4275">
        <v>1</v>
      </c>
      <c r="O4275">
        <v>0</v>
      </c>
      <c r="P4275">
        <v>0</v>
      </c>
      <c r="Q4275">
        <v>0</v>
      </c>
      <c r="R4275">
        <v>0</v>
      </c>
      <c r="S4275">
        <v>0</v>
      </c>
      <c r="T4275">
        <v>0</v>
      </c>
      <c r="U4275">
        <v>0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0</v>
      </c>
      <c r="AE4275">
        <v>0</v>
      </c>
      <c r="AF4275">
        <v>0</v>
      </c>
      <c r="AG4275">
        <v>0</v>
      </c>
      <c r="AH4275">
        <v>0</v>
      </c>
      <c r="AI4275">
        <v>100</v>
      </c>
      <c r="AJ4275">
        <v>1</v>
      </c>
      <c r="AK4275">
        <v>0</v>
      </c>
      <c r="AL4275">
        <v>0</v>
      </c>
      <c r="AM4275">
        <v>0</v>
      </c>
      <c r="AN4275">
        <v>0</v>
      </c>
      <c r="AO4275">
        <v>120</v>
      </c>
      <c r="AP4275">
        <v>-12</v>
      </c>
      <c r="AQ4275">
        <v>0</v>
      </c>
      <c r="AS4275">
        <v>0</v>
      </c>
      <c r="AT4275">
        <v>0</v>
      </c>
      <c r="AU4275">
        <v>120</v>
      </c>
      <c r="AV4275">
        <v>-12</v>
      </c>
      <c r="AW4275">
        <v>0</v>
      </c>
      <c r="AY4275">
        <v>0</v>
      </c>
      <c r="AZ4275">
        <v>0</v>
      </c>
      <c r="BA4275">
        <v>75.599999999999994</v>
      </c>
      <c r="BE4275" t="str">
        <f>T("9791164099740")</f>
        <v>9791164099740</v>
      </c>
      <c r="BF4275" t="str">
        <f>T("k200139")</f>
        <v>k200139</v>
      </c>
      <c r="BG4275" t="str">
        <f>T("로판 웹소설 &gt; 서양풍 로판")</f>
        <v>로판 웹소설 &gt; 서양풍 로판</v>
      </c>
    </row>
    <row r="4276" spans="1:59">
      <c r="A4276" t="s">
        <v>60</v>
      </c>
      <c r="B4276" s="1">
        <v>46130</v>
      </c>
      <c r="C4276">
        <v>2378059328</v>
      </c>
      <c r="D4276">
        <v>2378059339</v>
      </c>
      <c r="E4276" t="str">
        <f>T("오만한 주인의 초상화 12화")</f>
        <v>오만한 주인의 초상화 12화</v>
      </c>
      <c r="F4276">
        <v>12</v>
      </c>
      <c r="G4276" t="str">
        <f>T("offnun")</f>
        <v>offnun</v>
      </c>
      <c r="J4276" t="str">
        <f>T("시계토끼")</f>
        <v>시계토끼</v>
      </c>
      <c r="K4276" t="str">
        <f>T("오만한 주인의 초상화")</f>
        <v>오만한 주인의 초상화</v>
      </c>
      <c r="L4276">
        <v>100</v>
      </c>
      <c r="M4276">
        <v>100</v>
      </c>
      <c r="N4276">
        <v>1</v>
      </c>
      <c r="O4276">
        <v>0</v>
      </c>
      <c r="P4276">
        <v>0</v>
      </c>
      <c r="Q4276">
        <v>0</v>
      </c>
      <c r="R4276">
        <v>0</v>
      </c>
      <c r="S4276">
        <v>0</v>
      </c>
      <c r="T4276">
        <v>0</v>
      </c>
      <c r="U4276">
        <v>0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0</v>
      </c>
      <c r="AE4276">
        <v>0</v>
      </c>
      <c r="AF4276">
        <v>0</v>
      </c>
      <c r="AG4276">
        <v>0</v>
      </c>
      <c r="AH4276">
        <v>0</v>
      </c>
      <c r="AI4276">
        <v>100</v>
      </c>
      <c r="AJ4276">
        <v>1</v>
      </c>
      <c r="AK4276">
        <v>0</v>
      </c>
      <c r="AL4276">
        <v>0</v>
      </c>
      <c r="AM4276">
        <v>0</v>
      </c>
      <c r="AN4276">
        <v>0</v>
      </c>
      <c r="AO4276">
        <v>120</v>
      </c>
      <c r="AP4276">
        <v>-12</v>
      </c>
      <c r="AQ4276">
        <v>0</v>
      </c>
      <c r="AS4276">
        <v>0</v>
      </c>
      <c r="AT4276">
        <v>0</v>
      </c>
      <c r="AU4276">
        <v>120</v>
      </c>
      <c r="AV4276">
        <v>-12</v>
      </c>
      <c r="AW4276">
        <v>0</v>
      </c>
      <c r="AY4276">
        <v>0</v>
      </c>
      <c r="AZ4276">
        <v>0</v>
      </c>
      <c r="BA4276">
        <v>75.599999999999994</v>
      </c>
      <c r="BE4276" t="str">
        <f>T("9791164099740")</f>
        <v>9791164099740</v>
      </c>
      <c r="BF4276" t="str">
        <f>T("k200140")</f>
        <v>k200140</v>
      </c>
      <c r="BG4276" t="str">
        <f>T("로판 웹소설 &gt; 서양풍 로판")</f>
        <v>로판 웹소설 &gt; 서양풍 로판</v>
      </c>
    </row>
    <row r="4277" spans="1:59">
      <c r="A4277" t="s">
        <v>60</v>
      </c>
      <c r="B4277" s="1">
        <v>46130</v>
      </c>
      <c r="C4277">
        <v>2378059328</v>
      </c>
      <c r="D4277">
        <v>2378059340</v>
      </c>
      <c r="E4277" t="str">
        <f>T("오만한 주인의 초상화 13화")</f>
        <v>오만한 주인의 초상화 13화</v>
      </c>
      <c r="F4277">
        <v>13</v>
      </c>
      <c r="G4277" t="str">
        <f>T("offnun")</f>
        <v>offnun</v>
      </c>
      <c r="J4277" t="str">
        <f>T("시계토끼")</f>
        <v>시계토끼</v>
      </c>
      <c r="K4277" t="str">
        <f>T("오만한 주인의 초상화")</f>
        <v>오만한 주인의 초상화</v>
      </c>
      <c r="L4277">
        <v>100</v>
      </c>
      <c r="M4277">
        <v>100</v>
      </c>
      <c r="N4277">
        <v>1</v>
      </c>
      <c r="O4277">
        <v>0</v>
      </c>
      <c r="P4277">
        <v>0</v>
      </c>
      <c r="Q4277">
        <v>0</v>
      </c>
      <c r="R4277">
        <v>0</v>
      </c>
      <c r="S4277">
        <v>0</v>
      </c>
      <c r="T4277">
        <v>0</v>
      </c>
      <c r="U4277">
        <v>0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0</v>
      </c>
      <c r="AE4277">
        <v>0</v>
      </c>
      <c r="AF4277">
        <v>0</v>
      </c>
      <c r="AG4277">
        <v>0</v>
      </c>
      <c r="AH4277">
        <v>0</v>
      </c>
      <c r="AI4277">
        <v>100</v>
      </c>
      <c r="AJ4277">
        <v>1</v>
      </c>
      <c r="AK4277">
        <v>0</v>
      </c>
      <c r="AL4277">
        <v>0</v>
      </c>
      <c r="AM4277">
        <v>0</v>
      </c>
      <c r="AN4277">
        <v>0</v>
      </c>
      <c r="AO4277">
        <v>120</v>
      </c>
      <c r="AP4277">
        <v>-12</v>
      </c>
      <c r="AQ4277">
        <v>0</v>
      </c>
      <c r="AS4277">
        <v>0</v>
      </c>
      <c r="AT4277">
        <v>0</v>
      </c>
      <c r="AU4277">
        <v>120</v>
      </c>
      <c r="AV4277">
        <v>-12</v>
      </c>
      <c r="AW4277">
        <v>0</v>
      </c>
      <c r="AY4277">
        <v>0</v>
      </c>
      <c r="AZ4277">
        <v>0</v>
      </c>
      <c r="BA4277">
        <v>75.599999999999994</v>
      </c>
      <c r="BE4277" t="str">
        <f>T("9791164099740")</f>
        <v>9791164099740</v>
      </c>
      <c r="BF4277" t="str">
        <f>T("k200141")</f>
        <v>k200141</v>
      </c>
      <c r="BG4277" t="str">
        <f>T("로판 웹소설 &gt; 서양풍 로판")</f>
        <v>로판 웹소설 &gt; 서양풍 로판</v>
      </c>
    </row>
    <row r="4278" spans="1:59">
      <c r="A4278" t="s">
        <v>60</v>
      </c>
      <c r="B4278" s="1">
        <v>46130</v>
      </c>
      <c r="C4278">
        <v>2378059328</v>
      </c>
      <c r="D4278">
        <v>2378063791</v>
      </c>
      <c r="E4278" t="str">
        <f>T("오만한 주인의 초상화 136화")</f>
        <v>오만한 주인의 초상화 136화</v>
      </c>
      <c r="F4278">
        <v>136</v>
      </c>
      <c r="G4278" t="str">
        <f>T("offnun")</f>
        <v>offnun</v>
      </c>
      <c r="J4278" t="str">
        <f>T("시계토끼")</f>
        <v>시계토끼</v>
      </c>
      <c r="K4278" t="str">
        <f>T("오만한 주인의 초상화")</f>
        <v>오만한 주인의 초상화</v>
      </c>
      <c r="L4278">
        <v>100</v>
      </c>
      <c r="M4278">
        <v>100</v>
      </c>
      <c r="N4278">
        <v>1</v>
      </c>
      <c r="O4278">
        <v>0</v>
      </c>
      <c r="P4278">
        <v>0</v>
      </c>
      <c r="Q4278">
        <v>0</v>
      </c>
      <c r="R4278">
        <v>0</v>
      </c>
      <c r="S4278">
        <v>0</v>
      </c>
      <c r="T4278">
        <v>0</v>
      </c>
      <c r="U4278">
        <v>0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0</v>
      </c>
      <c r="AE4278">
        <v>0</v>
      </c>
      <c r="AF4278">
        <v>0</v>
      </c>
      <c r="AG4278">
        <v>0</v>
      </c>
      <c r="AH4278">
        <v>0</v>
      </c>
      <c r="AI4278">
        <v>100</v>
      </c>
      <c r="AJ4278">
        <v>1</v>
      </c>
      <c r="AK4278">
        <v>0</v>
      </c>
      <c r="AL4278">
        <v>0</v>
      </c>
      <c r="AM4278">
        <v>0</v>
      </c>
      <c r="AN4278">
        <v>0</v>
      </c>
      <c r="AO4278">
        <v>120</v>
      </c>
      <c r="AP4278">
        <v>-36</v>
      </c>
      <c r="AQ4278">
        <v>0</v>
      </c>
      <c r="AR4278">
        <v>120</v>
      </c>
      <c r="AS4278">
        <v>-36</v>
      </c>
      <c r="AT4278">
        <v>0</v>
      </c>
      <c r="AV4278">
        <v>0</v>
      </c>
      <c r="AW4278">
        <v>0</v>
      </c>
      <c r="AY4278">
        <v>0</v>
      </c>
      <c r="AZ4278">
        <v>0</v>
      </c>
      <c r="BA4278">
        <v>58.8</v>
      </c>
      <c r="BE4278" t="str">
        <f>T("9791164099740")</f>
        <v>9791164099740</v>
      </c>
      <c r="BF4278" t="str">
        <f>T("k255131")</f>
        <v>k255131</v>
      </c>
      <c r="BG4278" t="str">
        <f>T("로판 웹소설 &gt; 서양풍 로판")</f>
        <v>로판 웹소설 &gt; 서양풍 로판</v>
      </c>
    </row>
    <row r="4279" spans="1:59">
      <c r="A4279" t="s">
        <v>60</v>
      </c>
      <c r="B4279" s="1">
        <v>46130</v>
      </c>
      <c r="C4279">
        <v>2378059328</v>
      </c>
      <c r="D4279">
        <v>2378063793</v>
      </c>
      <c r="E4279" t="str">
        <f>T("오만한 주인의 초상화 138화 (완결)")</f>
        <v>오만한 주인의 초상화 138화 (완결)</v>
      </c>
      <c r="F4279">
        <v>138</v>
      </c>
      <c r="G4279" t="str">
        <f>T("offnun")</f>
        <v>offnun</v>
      </c>
      <c r="J4279" t="str">
        <f>T("시계토끼")</f>
        <v>시계토끼</v>
      </c>
      <c r="K4279" t="str">
        <f>T("오만한 주인의 초상화")</f>
        <v>오만한 주인의 초상화</v>
      </c>
      <c r="L4279">
        <v>100</v>
      </c>
      <c r="M4279">
        <v>100</v>
      </c>
      <c r="N4279">
        <v>1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0</v>
      </c>
      <c r="AE4279">
        <v>0</v>
      </c>
      <c r="AF4279">
        <v>0</v>
      </c>
      <c r="AG4279">
        <v>0</v>
      </c>
      <c r="AH4279">
        <v>0</v>
      </c>
      <c r="AI4279">
        <v>100</v>
      </c>
      <c r="AJ4279">
        <v>1</v>
      </c>
      <c r="AK4279">
        <v>0</v>
      </c>
      <c r="AL4279">
        <v>0</v>
      </c>
      <c r="AM4279">
        <v>0</v>
      </c>
      <c r="AN4279">
        <v>0</v>
      </c>
      <c r="AO4279">
        <v>120</v>
      </c>
      <c r="AP4279">
        <v>-36</v>
      </c>
      <c r="AQ4279">
        <v>0</v>
      </c>
      <c r="AR4279">
        <v>120</v>
      </c>
      <c r="AS4279">
        <v>-36</v>
      </c>
      <c r="AT4279">
        <v>0</v>
      </c>
      <c r="AV4279">
        <v>0</v>
      </c>
      <c r="AW4279">
        <v>0</v>
      </c>
      <c r="AY4279">
        <v>0</v>
      </c>
      <c r="AZ4279">
        <v>0</v>
      </c>
      <c r="BA4279">
        <v>58.8</v>
      </c>
      <c r="BE4279" t="str">
        <f>T("9791164099740")</f>
        <v>9791164099740</v>
      </c>
      <c r="BF4279" t="str">
        <f>T("k262217")</f>
        <v>k262217</v>
      </c>
      <c r="BG4279" t="str">
        <f>T("로판 웹소설 &gt; 서양풍 로판")</f>
        <v>로판 웹소설 &gt; 서양풍 로판</v>
      </c>
    </row>
    <row r="4280" spans="1:59">
      <c r="A4280" t="s">
        <v>60</v>
      </c>
      <c r="B4280" s="1">
        <v>46130</v>
      </c>
      <c r="C4280">
        <v>2378059328</v>
      </c>
      <c r="D4280">
        <v>2378059328</v>
      </c>
      <c r="E4280" t="str">
        <f>T("오만한 주인의 초상화 1화")</f>
        <v>오만한 주인의 초상화 1화</v>
      </c>
      <c r="F4280">
        <v>1</v>
      </c>
      <c r="G4280" t="str">
        <f>T("offnun")</f>
        <v>offnun</v>
      </c>
      <c r="J4280" t="str">
        <f>T("시계토끼")</f>
        <v>시계토끼</v>
      </c>
      <c r="K4280" t="str">
        <f>T("오만한 주인의 초상화")</f>
        <v>오만한 주인의 초상화</v>
      </c>
      <c r="L4280">
        <v>0</v>
      </c>
      <c r="M4280">
        <v>0</v>
      </c>
      <c r="N4280">
        <v>0</v>
      </c>
      <c r="O4280">
        <v>1</v>
      </c>
      <c r="P4280">
        <v>0</v>
      </c>
      <c r="Q4280">
        <v>0</v>
      </c>
      <c r="R4280">
        <v>0</v>
      </c>
      <c r="S4280">
        <v>0</v>
      </c>
      <c r="T4280">
        <v>0</v>
      </c>
      <c r="U4280">
        <v>0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0</v>
      </c>
      <c r="AE4280">
        <v>0</v>
      </c>
      <c r="AF4280">
        <v>0</v>
      </c>
      <c r="AG4280">
        <v>0</v>
      </c>
      <c r="AH4280">
        <v>0</v>
      </c>
      <c r="AI4280">
        <v>0</v>
      </c>
      <c r="AJ4280">
        <v>1</v>
      </c>
      <c r="AK4280">
        <v>0</v>
      </c>
      <c r="AL4280">
        <v>0</v>
      </c>
      <c r="AM4280">
        <v>0</v>
      </c>
      <c r="AN4280">
        <v>0</v>
      </c>
      <c r="AO4280">
        <v>0</v>
      </c>
      <c r="AP4280">
        <v>0</v>
      </c>
      <c r="AQ4280">
        <v>0</v>
      </c>
      <c r="AS4280">
        <v>0</v>
      </c>
      <c r="AT4280">
        <v>0</v>
      </c>
      <c r="AV4280">
        <v>0</v>
      </c>
      <c r="AW4280">
        <v>0</v>
      </c>
      <c r="AY4280">
        <v>0</v>
      </c>
      <c r="AZ4280">
        <v>0</v>
      </c>
      <c r="BA4280">
        <v>0</v>
      </c>
      <c r="BE4280" t="str">
        <f>T("9791164099740")</f>
        <v>9791164099740</v>
      </c>
      <c r="BF4280" t="str">
        <f>T("k200129")</f>
        <v>k200129</v>
      </c>
      <c r="BG4280" t="str">
        <f>T("로판 웹소설 &gt; 서양풍 로판")</f>
        <v>로판 웹소설 &gt; 서양풍 로판</v>
      </c>
    </row>
    <row r="4281" spans="1:59">
      <c r="A4281" t="s">
        <v>60</v>
      </c>
      <c r="B4281" s="1">
        <v>46130</v>
      </c>
      <c r="C4281">
        <v>2378059328</v>
      </c>
      <c r="D4281">
        <v>2378059329</v>
      </c>
      <c r="E4281" t="str">
        <f>T("오만한 주인의 초상화 2화")</f>
        <v>오만한 주인의 초상화 2화</v>
      </c>
      <c r="F4281">
        <v>2</v>
      </c>
      <c r="G4281" t="str">
        <f>T("offnun")</f>
        <v>offnun</v>
      </c>
      <c r="J4281" t="str">
        <f>T("시계토끼")</f>
        <v>시계토끼</v>
      </c>
      <c r="K4281" t="str">
        <f>T("오만한 주인의 초상화")</f>
        <v>오만한 주인의 초상화</v>
      </c>
      <c r="L4281">
        <v>0</v>
      </c>
      <c r="M4281">
        <v>0</v>
      </c>
      <c r="N4281">
        <v>0</v>
      </c>
      <c r="O4281">
        <v>1</v>
      </c>
      <c r="P4281">
        <v>0</v>
      </c>
      <c r="Q4281">
        <v>0</v>
      </c>
      <c r="R4281">
        <v>0</v>
      </c>
      <c r="S4281">
        <v>0</v>
      </c>
      <c r="T4281">
        <v>0</v>
      </c>
      <c r="U4281">
        <v>0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0</v>
      </c>
      <c r="AE4281">
        <v>0</v>
      </c>
      <c r="AF4281">
        <v>0</v>
      </c>
      <c r="AG4281">
        <v>0</v>
      </c>
      <c r="AH4281">
        <v>0</v>
      </c>
      <c r="AI4281">
        <v>0</v>
      </c>
      <c r="AJ4281">
        <v>1</v>
      </c>
      <c r="AK4281">
        <v>0</v>
      </c>
      <c r="AL4281">
        <v>0</v>
      </c>
      <c r="AM4281">
        <v>0</v>
      </c>
      <c r="AN4281">
        <v>0</v>
      </c>
      <c r="AO4281">
        <v>0</v>
      </c>
      <c r="AP4281">
        <v>0</v>
      </c>
      <c r="AQ4281">
        <v>0</v>
      </c>
      <c r="AS4281">
        <v>0</v>
      </c>
      <c r="AT4281">
        <v>0</v>
      </c>
      <c r="AV4281">
        <v>0</v>
      </c>
      <c r="AW4281">
        <v>0</v>
      </c>
      <c r="AY4281">
        <v>0</v>
      </c>
      <c r="AZ4281">
        <v>0</v>
      </c>
      <c r="BA4281">
        <v>0</v>
      </c>
      <c r="BE4281" t="str">
        <f>T("9791164099740")</f>
        <v>9791164099740</v>
      </c>
      <c r="BF4281" t="str">
        <f>T("k200130")</f>
        <v>k200130</v>
      </c>
      <c r="BG4281" t="str">
        <f>T("로판 웹소설 &gt; 서양풍 로판")</f>
        <v>로판 웹소설 &gt; 서양풍 로판</v>
      </c>
    </row>
    <row r="4282" spans="1:59">
      <c r="A4282" t="s">
        <v>60</v>
      </c>
      <c r="B4282" s="1">
        <v>46130</v>
      </c>
      <c r="C4282">
        <v>2378059328</v>
      </c>
      <c r="D4282">
        <v>2378059330</v>
      </c>
      <c r="E4282" t="str">
        <f>T("오만한 주인의 초상화 3화")</f>
        <v>오만한 주인의 초상화 3화</v>
      </c>
      <c r="F4282">
        <v>3</v>
      </c>
      <c r="G4282" t="str">
        <f>T("offnun")</f>
        <v>offnun</v>
      </c>
      <c r="J4282" t="str">
        <f>T("시계토끼")</f>
        <v>시계토끼</v>
      </c>
      <c r="K4282" t="str">
        <f>T("오만한 주인의 초상화")</f>
        <v>오만한 주인의 초상화</v>
      </c>
      <c r="L4282">
        <v>0</v>
      </c>
      <c r="M4282">
        <v>0</v>
      </c>
      <c r="N4282">
        <v>0</v>
      </c>
      <c r="O4282">
        <v>1</v>
      </c>
      <c r="P4282">
        <v>0</v>
      </c>
      <c r="Q4282">
        <v>0</v>
      </c>
      <c r="R4282">
        <v>0</v>
      </c>
      <c r="S4282">
        <v>0</v>
      </c>
      <c r="T4282">
        <v>0</v>
      </c>
      <c r="U4282">
        <v>0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0</v>
      </c>
      <c r="AE4282">
        <v>0</v>
      </c>
      <c r="AF4282">
        <v>0</v>
      </c>
      <c r="AG4282">
        <v>0</v>
      </c>
      <c r="AH4282">
        <v>0</v>
      </c>
      <c r="AI4282">
        <v>0</v>
      </c>
      <c r="AJ4282">
        <v>1</v>
      </c>
      <c r="AK4282">
        <v>0</v>
      </c>
      <c r="AL4282">
        <v>0</v>
      </c>
      <c r="AM4282">
        <v>0</v>
      </c>
      <c r="AN4282">
        <v>0</v>
      </c>
      <c r="AO4282">
        <v>0</v>
      </c>
      <c r="AP4282">
        <v>0</v>
      </c>
      <c r="AQ4282">
        <v>0</v>
      </c>
      <c r="AS4282">
        <v>0</v>
      </c>
      <c r="AT4282">
        <v>0</v>
      </c>
      <c r="AV4282">
        <v>0</v>
      </c>
      <c r="AW4282">
        <v>0</v>
      </c>
      <c r="AY4282">
        <v>0</v>
      </c>
      <c r="AZ4282">
        <v>0</v>
      </c>
      <c r="BA4282">
        <v>0</v>
      </c>
      <c r="BE4282" t="str">
        <f>T("9791164099740")</f>
        <v>9791164099740</v>
      </c>
      <c r="BF4282" t="str">
        <f>T("k200131")</f>
        <v>k200131</v>
      </c>
      <c r="BG4282" t="str">
        <f>T("로판 웹소설 &gt; 서양풍 로판")</f>
        <v>로판 웹소설 &gt; 서양풍 로판</v>
      </c>
    </row>
    <row r="4283" spans="1:59">
      <c r="A4283" t="s">
        <v>60</v>
      </c>
      <c r="B4283" s="1">
        <v>46130</v>
      </c>
      <c r="C4283">
        <v>2378059328</v>
      </c>
      <c r="D4283">
        <v>2378059332</v>
      </c>
      <c r="E4283" t="str">
        <f>T("오만한 주인의 초상화 5화")</f>
        <v>오만한 주인의 초상화 5화</v>
      </c>
      <c r="F4283">
        <v>5</v>
      </c>
      <c r="G4283" t="str">
        <f>T("offnun")</f>
        <v>offnun</v>
      </c>
      <c r="J4283" t="str">
        <f>T("시계토끼")</f>
        <v>시계토끼</v>
      </c>
      <c r="K4283" t="str">
        <f>T("오만한 주인의 초상화")</f>
        <v>오만한 주인의 초상화</v>
      </c>
      <c r="L4283">
        <v>100</v>
      </c>
      <c r="M4283">
        <v>100</v>
      </c>
      <c r="N4283">
        <v>1</v>
      </c>
      <c r="O4283">
        <v>0</v>
      </c>
      <c r="P4283">
        <v>0</v>
      </c>
      <c r="Q4283">
        <v>0</v>
      </c>
      <c r="R4283">
        <v>0</v>
      </c>
      <c r="S4283">
        <v>0</v>
      </c>
      <c r="T4283">
        <v>0</v>
      </c>
      <c r="U4283">
        <v>0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0</v>
      </c>
      <c r="AE4283">
        <v>0</v>
      </c>
      <c r="AF4283">
        <v>0</v>
      </c>
      <c r="AG4283">
        <v>0</v>
      </c>
      <c r="AH4283">
        <v>0</v>
      </c>
      <c r="AI4283">
        <v>100</v>
      </c>
      <c r="AJ4283">
        <v>1</v>
      </c>
      <c r="AK4283">
        <v>0</v>
      </c>
      <c r="AL4283">
        <v>0</v>
      </c>
      <c r="AM4283">
        <v>0</v>
      </c>
      <c r="AN4283">
        <v>0</v>
      </c>
      <c r="AO4283">
        <v>120</v>
      </c>
      <c r="AP4283">
        <v>-12</v>
      </c>
      <c r="AQ4283">
        <v>0</v>
      </c>
      <c r="AS4283">
        <v>0</v>
      </c>
      <c r="AT4283">
        <v>0</v>
      </c>
      <c r="AU4283">
        <v>120</v>
      </c>
      <c r="AV4283">
        <v>-12</v>
      </c>
      <c r="AW4283">
        <v>0</v>
      </c>
      <c r="AY4283">
        <v>0</v>
      </c>
      <c r="AZ4283">
        <v>0</v>
      </c>
      <c r="BA4283">
        <v>75.599999999999994</v>
      </c>
      <c r="BE4283" t="str">
        <f>T("9791164099740")</f>
        <v>9791164099740</v>
      </c>
      <c r="BF4283" t="str">
        <f>T("k200133")</f>
        <v>k200133</v>
      </c>
      <c r="BG4283" t="str">
        <f>T("로판 웹소설 &gt; 서양풍 로판")</f>
        <v>로판 웹소설 &gt; 서양풍 로판</v>
      </c>
    </row>
    <row r="4284" spans="1:59">
      <c r="A4284" t="s">
        <v>60</v>
      </c>
      <c r="B4284" s="1">
        <v>46130</v>
      </c>
      <c r="C4284">
        <v>2378059328</v>
      </c>
      <c r="D4284">
        <v>2378059333</v>
      </c>
      <c r="E4284" t="str">
        <f>T("오만한 주인의 초상화 6화")</f>
        <v>오만한 주인의 초상화 6화</v>
      </c>
      <c r="F4284">
        <v>6</v>
      </c>
      <c r="G4284" t="str">
        <f>T("offnun")</f>
        <v>offnun</v>
      </c>
      <c r="J4284" t="str">
        <f>T("시계토끼")</f>
        <v>시계토끼</v>
      </c>
      <c r="K4284" t="str">
        <f>T("오만한 주인의 초상화")</f>
        <v>오만한 주인의 초상화</v>
      </c>
      <c r="L4284">
        <v>100</v>
      </c>
      <c r="M4284">
        <v>100</v>
      </c>
      <c r="N4284">
        <v>1</v>
      </c>
      <c r="O4284">
        <v>0</v>
      </c>
      <c r="P4284">
        <v>0</v>
      </c>
      <c r="Q4284">
        <v>0</v>
      </c>
      <c r="R4284">
        <v>0</v>
      </c>
      <c r="S4284">
        <v>0</v>
      </c>
      <c r="T4284">
        <v>0</v>
      </c>
      <c r="U4284">
        <v>0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0</v>
      </c>
      <c r="AE4284">
        <v>0</v>
      </c>
      <c r="AF4284">
        <v>0</v>
      </c>
      <c r="AG4284">
        <v>0</v>
      </c>
      <c r="AH4284">
        <v>0</v>
      </c>
      <c r="AI4284">
        <v>100</v>
      </c>
      <c r="AJ4284">
        <v>1</v>
      </c>
      <c r="AK4284">
        <v>0</v>
      </c>
      <c r="AL4284">
        <v>0</v>
      </c>
      <c r="AM4284">
        <v>0</v>
      </c>
      <c r="AN4284">
        <v>0</v>
      </c>
      <c r="AO4284">
        <v>120</v>
      </c>
      <c r="AP4284">
        <v>-12</v>
      </c>
      <c r="AQ4284">
        <v>0</v>
      </c>
      <c r="AS4284">
        <v>0</v>
      </c>
      <c r="AT4284">
        <v>0</v>
      </c>
      <c r="AU4284">
        <v>120</v>
      </c>
      <c r="AV4284">
        <v>-12</v>
      </c>
      <c r="AW4284">
        <v>0</v>
      </c>
      <c r="AY4284">
        <v>0</v>
      </c>
      <c r="AZ4284">
        <v>0</v>
      </c>
      <c r="BA4284">
        <v>75.599999999999994</v>
      </c>
      <c r="BE4284" t="str">
        <f>T("9791164099740")</f>
        <v>9791164099740</v>
      </c>
      <c r="BF4284" t="str">
        <f>T("k200134")</f>
        <v>k200134</v>
      </c>
      <c r="BG4284" t="str">
        <f>T("로판 웹소설 &gt; 서양풍 로판")</f>
        <v>로판 웹소설 &gt; 서양풍 로판</v>
      </c>
    </row>
    <row r="4285" spans="1:59">
      <c r="A4285" t="s">
        <v>60</v>
      </c>
      <c r="B4285" s="1">
        <v>46130</v>
      </c>
      <c r="C4285">
        <v>2378059328</v>
      </c>
      <c r="D4285">
        <v>2378059334</v>
      </c>
      <c r="E4285" t="str">
        <f>T("오만한 주인의 초상화 7화")</f>
        <v>오만한 주인의 초상화 7화</v>
      </c>
      <c r="F4285">
        <v>7</v>
      </c>
      <c r="G4285" t="str">
        <f>T("offnun")</f>
        <v>offnun</v>
      </c>
      <c r="J4285" t="str">
        <f>T("시계토끼")</f>
        <v>시계토끼</v>
      </c>
      <c r="K4285" t="str">
        <f>T("오만한 주인의 초상화")</f>
        <v>오만한 주인의 초상화</v>
      </c>
      <c r="L4285">
        <v>100</v>
      </c>
      <c r="M4285">
        <v>100</v>
      </c>
      <c r="N4285">
        <v>1</v>
      </c>
      <c r="O4285">
        <v>0</v>
      </c>
      <c r="P4285">
        <v>0</v>
      </c>
      <c r="Q4285">
        <v>0</v>
      </c>
      <c r="R4285">
        <v>0</v>
      </c>
      <c r="S4285">
        <v>0</v>
      </c>
      <c r="T4285">
        <v>0</v>
      </c>
      <c r="U4285">
        <v>0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0</v>
      </c>
      <c r="AE4285">
        <v>0</v>
      </c>
      <c r="AF4285">
        <v>0</v>
      </c>
      <c r="AG4285">
        <v>0</v>
      </c>
      <c r="AH4285">
        <v>0</v>
      </c>
      <c r="AI4285">
        <v>100</v>
      </c>
      <c r="AJ4285">
        <v>1</v>
      </c>
      <c r="AK4285">
        <v>0</v>
      </c>
      <c r="AL4285">
        <v>0</v>
      </c>
      <c r="AM4285">
        <v>0</v>
      </c>
      <c r="AN4285">
        <v>0</v>
      </c>
      <c r="AO4285">
        <v>120</v>
      </c>
      <c r="AP4285">
        <v>-12</v>
      </c>
      <c r="AQ4285">
        <v>0</v>
      </c>
      <c r="AS4285">
        <v>0</v>
      </c>
      <c r="AT4285">
        <v>0</v>
      </c>
      <c r="AU4285">
        <v>120</v>
      </c>
      <c r="AV4285">
        <v>-12</v>
      </c>
      <c r="AW4285">
        <v>0</v>
      </c>
      <c r="AY4285">
        <v>0</v>
      </c>
      <c r="AZ4285">
        <v>0</v>
      </c>
      <c r="BA4285">
        <v>75.599999999999994</v>
      </c>
      <c r="BE4285" t="str">
        <f>T("9791164099740")</f>
        <v>9791164099740</v>
      </c>
      <c r="BF4285" t="str">
        <f>T("k200135")</f>
        <v>k200135</v>
      </c>
      <c r="BG4285" t="str">
        <f>T("로판 웹소설 &gt; 서양풍 로판")</f>
        <v>로판 웹소설 &gt; 서양풍 로판</v>
      </c>
    </row>
    <row r="4286" spans="1:59">
      <c r="A4286" t="s">
        <v>60</v>
      </c>
      <c r="B4286" s="1">
        <v>46130</v>
      </c>
      <c r="C4286">
        <v>2378059328</v>
      </c>
      <c r="D4286">
        <v>2378059335</v>
      </c>
      <c r="E4286" t="str">
        <f>T("오만한 주인의 초상화 8화")</f>
        <v>오만한 주인의 초상화 8화</v>
      </c>
      <c r="F4286">
        <v>8</v>
      </c>
      <c r="G4286" t="str">
        <f>T("offnun")</f>
        <v>offnun</v>
      </c>
      <c r="J4286" t="str">
        <f>T("시계토끼")</f>
        <v>시계토끼</v>
      </c>
      <c r="K4286" t="str">
        <f>T("오만한 주인의 초상화")</f>
        <v>오만한 주인의 초상화</v>
      </c>
      <c r="L4286">
        <v>100</v>
      </c>
      <c r="M4286">
        <v>100</v>
      </c>
      <c r="N4286">
        <v>1</v>
      </c>
      <c r="O4286">
        <v>0</v>
      </c>
      <c r="P4286">
        <v>0</v>
      </c>
      <c r="Q4286">
        <v>0</v>
      </c>
      <c r="R4286">
        <v>0</v>
      </c>
      <c r="S4286">
        <v>0</v>
      </c>
      <c r="T4286">
        <v>0</v>
      </c>
      <c r="U4286">
        <v>0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0</v>
      </c>
      <c r="AE4286">
        <v>0</v>
      </c>
      <c r="AF4286">
        <v>0</v>
      </c>
      <c r="AG4286">
        <v>0</v>
      </c>
      <c r="AH4286">
        <v>0</v>
      </c>
      <c r="AI4286">
        <v>100</v>
      </c>
      <c r="AJ4286">
        <v>1</v>
      </c>
      <c r="AK4286">
        <v>0</v>
      </c>
      <c r="AL4286">
        <v>0</v>
      </c>
      <c r="AM4286">
        <v>0</v>
      </c>
      <c r="AN4286">
        <v>0</v>
      </c>
      <c r="AO4286">
        <v>120</v>
      </c>
      <c r="AP4286">
        <v>-12</v>
      </c>
      <c r="AQ4286">
        <v>0</v>
      </c>
      <c r="AS4286">
        <v>0</v>
      </c>
      <c r="AT4286">
        <v>0</v>
      </c>
      <c r="AU4286">
        <v>120</v>
      </c>
      <c r="AV4286">
        <v>-12</v>
      </c>
      <c r="AW4286">
        <v>0</v>
      </c>
      <c r="AY4286">
        <v>0</v>
      </c>
      <c r="AZ4286">
        <v>0</v>
      </c>
      <c r="BA4286">
        <v>75.599999999999994</v>
      </c>
      <c r="BE4286" t="str">
        <f>T("9791164099740")</f>
        <v>9791164099740</v>
      </c>
      <c r="BF4286" t="str">
        <f>T("k200136")</f>
        <v>k200136</v>
      </c>
      <c r="BG4286" t="str">
        <f>T("로판 웹소설 &gt; 서양풍 로판")</f>
        <v>로판 웹소설 &gt; 서양풍 로판</v>
      </c>
    </row>
    <row r="4287" spans="1:59">
      <c r="A4287" t="s">
        <v>60</v>
      </c>
      <c r="B4287" s="1">
        <v>46130</v>
      </c>
      <c r="C4287">
        <v>2378059328</v>
      </c>
      <c r="D4287">
        <v>2378059336</v>
      </c>
      <c r="E4287" t="str">
        <f>T("오만한 주인의 초상화 9화")</f>
        <v>오만한 주인의 초상화 9화</v>
      </c>
      <c r="F4287">
        <v>9</v>
      </c>
      <c r="G4287" t="str">
        <f>T("offnun")</f>
        <v>offnun</v>
      </c>
      <c r="J4287" t="str">
        <f>T("시계토끼")</f>
        <v>시계토끼</v>
      </c>
      <c r="K4287" t="str">
        <f>T("오만한 주인의 초상화")</f>
        <v>오만한 주인의 초상화</v>
      </c>
      <c r="L4287">
        <v>100</v>
      </c>
      <c r="M4287">
        <v>100</v>
      </c>
      <c r="N4287">
        <v>1</v>
      </c>
      <c r="O4287">
        <v>0</v>
      </c>
      <c r="P4287">
        <v>0</v>
      </c>
      <c r="Q4287">
        <v>0</v>
      </c>
      <c r="R4287">
        <v>0</v>
      </c>
      <c r="S4287">
        <v>0</v>
      </c>
      <c r="T4287">
        <v>0</v>
      </c>
      <c r="U4287">
        <v>0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0</v>
      </c>
      <c r="AE4287">
        <v>0</v>
      </c>
      <c r="AF4287">
        <v>0</v>
      </c>
      <c r="AG4287">
        <v>0</v>
      </c>
      <c r="AH4287">
        <v>0</v>
      </c>
      <c r="AI4287">
        <v>100</v>
      </c>
      <c r="AJ4287">
        <v>1</v>
      </c>
      <c r="AK4287">
        <v>0</v>
      </c>
      <c r="AL4287">
        <v>0</v>
      </c>
      <c r="AM4287">
        <v>0</v>
      </c>
      <c r="AN4287">
        <v>0</v>
      </c>
      <c r="AO4287">
        <v>120</v>
      </c>
      <c r="AP4287">
        <v>-12</v>
      </c>
      <c r="AQ4287">
        <v>0</v>
      </c>
      <c r="AS4287">
        <v>0</v>
      </c>
      <c r="AT4287">
        <v>0</v>
      </c>
      <c r="AU4287">
        <v>120</v>
      </c>
      <c r="AV4287">
        <v>-12</v>
      </c>
      <c r="AW4287">
        <v>0</v>
      </c>
      <c r="AY4287">
        <v>0</v>
      </c>
      <c r="AZ4287">
        <v>0</v>
      </c>
      <c r="BA4287">
        <v>75.599999999999994</v>
      </c>
      <c r="BE4287" t="str">
        <f>T("9791164099740")</f>
        <v>9791164099740</v>
      </c>
      <c r="BF4287" t="str">
        <f>T("k200137")</f>
        <v>k200137</v>
      </c>
      <c r="BG4287" t="str">
        <f>T("로판 웹소설 &gt; 서양풍 로판")</f>
        <v>로판 웹소설 &gt; 서양풍 로판</v>
      </c>
    </row>
    <row r="4288" spans="1:59">
      <c r="A4288" t="s">
        <v>60</v>
      </c>
      <c r="B4288" s="1">
        <v>46131</v>
      </c>
      <c r="C4288">
        <v>2378059328</v>
      </c>
      <c r="D4288">
        <v>2378059341</v>
      </c>
      <c r="E4288" t="str">
        <f>T("오만한 주인의 초상화 14화")</f>
        <v>오만한 주인의 초상화 14화</v>
      </c>
      <c r="F4288">
        <v>14</v>
      </c>
      <c r="G4288" t="str">
        <f>T("offnun")</f>
        <v>offnun</v>
      </c>
      <c r="J4288" t="str">
        <f>T("시계토끼")</f>
        <v>시계토끼</v>
      </c>
      <c r="K4288" t="str">
        <f>T("오만한 주인의 초상화")</f>
        <v>오만한 주인의 초상화</v>
      </c>
      <c r="L4288">
        <v>100</v>
      </c>
      <c r="M4288">
        <v>100</v>
      </c>
      <c r="N4288">
        <v>1</v>
      </c>
      <c r="O4288">
        <v>0</v>
      </c>
      <c r="P4288">
        <v>0</v>
      </c>
      <c r="Q4288">
        <v>0</v>
      </c>
      <c r="R4288">
        <v>0</v>
      </c>
      <c r="S4288">
        <v>0</v>
      </c>
      <c r="T4288">
        <v>0</v>
      </c>
      <c r="U4288">
        <v>0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0</v>
      </c>
      <c r="AE4288">
        <v>0</v>
      </c>
      <c r="AF4288">
        <v>0</v>
      </c>
      <c r="AG4288">
        <v>0</v>
      </c>
      <c r="AH4288">
        <v>0</v>
      </c>
      <c r="AI4288">
        <v>100</v>
      </c>
      <c r="AJ4288">
        <v>1</v>
      </c>
      <c r="AK4288">
        <v>0</v>
      </c>
      <c r="AL4288">
        <v>0</v>
      </c>
      <c r="AM4288">
        <v>0</v>
      </c>
      <c r="AN4288">
        <v>0</v>
      </c>
      <c r="AO4288">
        <v>120</v>
      </c>
      <c r="AP4288">
        <v>-12</v>
      </c>
      <c r="AQ4288">
        <v>0</v>
      </c>
      <c r="AS4288">
        <v>0</v>
      </c>
      <c r="AT4288">
        <v>0</v>
      </c>
      <c r="AU4288">
        <v>120</v>
      </c>
      <c r="AV4288">
        <v>-12</v>
      </c>
      <c r="AW4288">
        <v>0</v>
      </c>
      <c r="AY4288">
        <v>0</v>
      </c>
      <c r="AZ4288">
        <v>0</v>
      </c>
      <c r="BA4288">
        <v>75.599999999999994</v>
      </c>
      <c r="BE4288" t="str">
        <f>T("9791164099740")</f>
        <v>9791164099740</v>
      </c>
      <c r="BF4288" t="str">
        <f>T("k200142")</f>
        <v>k200142</v>
      </c>
      <c r="BG4288" t="str">
        <f>T("로판 웹소설 &gt; 서양풍 로판")</f>
        <v>로판 웹소설 &gt; 서양풍 로판</v>
      </c>
    </row>
    <row r="4289" spans="1:59">
      <c r="A4289" t="s">
        <v>60</v>
      </c>
      <c r="B4289" s="1">
        <v>46131</v>
      </c>
      <c r="C4289">
        <v>2378059328</v>
      </c>
      <c r="D4289">
        <v>2378059342</v>
      </c>
      <c r="E4289" t="str">
        <f>T("오만한 주인의 초상화 15화")</f>
        <v>오만한 주인의 초상화 15화</v>
      </c>
      <c r="F4289">
        <v>15</v>
      </c>
      <c r="G4289" t="str">
        <f>T("offnun")</f>
        <v>offnun</v>
      </c>
      <c r="J4289" t="str">
        <f>T("시계토끼")</f>
        <v>시계토끼</v>
      </c>
      <c r="K4289" t="str">
        <f>T("오만한 주인의 초상화")</f>
        <v>오만한 주인의 초상화</v>
      </c>
      <c r="L4289">
        <v>100</v>
      </c>
      <c r="M4289">
        <v>100</v>
      </c>
      <c r="N4289">
        <v>1</v>
      </c>
      <c r="O4289">
        <v>0</v>
      </c>
      <c r="P4289">
        <v>0</v>
      </c>
      <c r="Q4289">
        <v>0</v>
      </c>
      <c r="R4289">
        <v>0</v>
      </c>
      <c r="S4289">
        <v>0</v>
      </c>
      <c r="T4289">
        <v>0</v>
      </c>
      <c r="U4289">
        <v>0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0</v>
      </c>
      <c r="AE4289">
        <v>0</v>
      </c>
      <c r="AF4289">
        <v>0</v>
      </c>
      <c r="AG4289">
        <v>0</v>
      </c>
      <c r="AH4289">
        <v>0</v>
      </c>
      <c r="AI4289">
        <v>100</v>
      </c>
      <c r="AJ4289">
        <v>1</v>
      </c>
      <c r="AK4289">
        <v>0</v>
      </c>
      <c r="AL4289">
        <v>0</v>
      </c>
      <c r="AM4289">
        <v>0</v>
      </c>
      <c r="AN4289">
        <v>0</v>
      </c>
      <c r="AO4289">
        <v>120</v>
      </c>
      <c r="AP4289">
        <v>-12</v>
      </c>
      <c r="AQ4289">
        <v>0</v>
      </c>
      <c r="AS4289">
        <v>0</v>
      </c>
      <c r="AT4289">
        <v>0</v>
      </c>
      <c r="AU4289">
        <v>120</v>
      </c>
      <c r="AV4289">
        <v>-12</v>
      </c>
      <c r="AW4289">
        <v>0</v>
      </c>
      <c r="AY4289">
        <v>0</v>
      </c>
      <c r="AZ4289">
        <v>0</v>
      </c>
      <c r="BA4289">
        <v>75.599999999999994</v>
      </c>
      <c r="BE4289" t="str">
        <f>T("9791164099740")</f>
        <v>9791164099740</v>
      </c>
      <c r="BF4289" t="str">
        <f>T("k200143")</f>
        <v>k200143</v>
      </c>
      <c r="BG4289" t="str">
        <f>T("로판 웹소설 &gt; 서양풍 로판")</f>
        <v>로판 웹소설 &gt; 서양풍 로판</v>
      </c>
    </row>
    <row r="4290" spans="1:59">
      <c r="A4290" t="s">
        <v>60</v>
      </c>
      <c r="B4290" s="1">
        <v>46131</v>
      </c>
      <c r="C4290">
        <v>2378059328</v>
      </c>
      <c r="D4290">
        <v>2378059343</v>
      </c>
      <c r="E4290" t="str">
        <f>T("오만한 주인의 초상화 16화")</f>
        <v>오만한 주인의 초상화 16화</v>
      </c>
      <c r="F4290">
        <v>16</v>
      </c>
      <c r="G4290" t="str">
        <f>T("offnun")</f>
        <v>offnun</v>
      </c>
      <c r="J4290" t="str">
        <f>T("시계토끼")</f>
        <v>시계토끼</v>
      </c>
      <c r="K4290" t="str">
        <f>T("오만한 주인의 초상화")</f>
        <v>오만한 주인의 초상화</v>
      </c>
      <c r="L4290">
        <v>100</v>
      </c>
      <c r="M4290">
        <v>100</v>
      </c>
      <c r="N4290">
        <v>1</v>
      </c>
      <c r="O4290">
        <v>0</v>
      </c>
      <c r="P4290">
        <v>0</v>
      </c>
      <c r="Q4290">
        <v>0</v>
      </c>
      <c r="R4290">
        <v>0</v>
      </c>
      <c r="S4290">
        <v>0</v>
      </c>
      <c r="T4290">
        <v>0</v>
      </c>
      <c r="U4290">
        <v>0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0</v>
      </c>
      <c r="AE4290">
        <v>0</v>
      </c>
      <c r="AF4290">
        <v>0</v>
      </c>
      <c r="AG4290">
        <v>0</v>
      </c>
      <c r="AH4290">
        <v>0</v>
      </c>
      <c r="AI4290">
        <v>100</v>
      </c>
      <c r="AJ4290">
        <v>1</v>
      </c>
      <c r="AK4290">
        <v>0</v>
      </c>
      <c r="AL4290">
        <v>0</v>
      </c>
      <c r="AM4290">
        <v>0</v>
      </c>
      <c r="AN4290">
        <v>0</v>
      </c>
      <c r="AO4290">
        <v>120</v>
      </c>
      <c r="AP4290">
        <v>-12</v>
      </c>
      <c r="AQ4290">
        <v>0</v>
      </c>
      <c r="AS4290">
        <v>0</v>
      </c>
      <c r="AT4290">
        <v>0</v>
      </c>
      <c r="AU4290">
        <v>120</v>
      </c>
      <c r="AV4290">
        <v>-12</v>
      </c>
      <c r="AW4290">
        <v>0</v>
      </c>
      <c r="AY4290">
        <v>0</v>
      </c>
      <c r="AZ4290">
        <v>0</v>
      </c>
      <c r="BA4290">
        <v>75.599999999999994</v>
      </c>
      <c r="BE4290" t="str">
        <f>T("9791164099740")</f>
        <v>9791164099740</v>
      </c>
      <c r="BF4290" t="str">
        <f>T("k200144")</f>
        <v>k200144</v>
      </c>
      <c r="BG4290" t="str">
        <f>T("로판 웹소설 &gt; 서양풍 로판")</f>
        <v>로판 웹소설 &gt; 서양풍 로판</v>
      </c>
    </row>
    <row r="4291" spans="1:59">
      <c r="A4291" t="s">
        <v>60</v>
      </c>
      <c r="B4291" s="1">
        <v>46131</v>
      </c>
      <c r="C4291">
        <v>2378059328</v>
      </c>
      <c r="D4291">
        <v>2378059344</v>
      </c>
      <c r="E4291" t="str">
        <f>T("오만한 주인의 초상화 17화")</f>
        <v>오만한 주인의 초상화 17화</v>
      </c>
      <c r="F4291">
        <v>17</v>
      </c>
      <c r="G4291" t="str">
        <f>T("offnun")</f>
        <v>offnun</v>
      </c>
      <c r="J4291" t="str">
        <f>T("시계토끼")</f>
        <v>시계토끼</v>
      </c>
      <c r="K4291" t="str">
        <f>T("오만한 주인의 초상화")</f>
        <v>오만한 주인의 초상화</v>
      </c>
      <c r="L4291">
        <v>100</v>
      </c>
      <c r="M4291">
        <v>100</v>
      </c>
      <c r="N4291">
        <v>1</v>
      </c>
      <c r="O4291">
        <v>0</v>
      </c>
      <c r="P4291">
        <v>0</v>
      </c>
      <c r="Q4291">
        <v>0</v>
      </c>
      <c r="R4291">
        <v>0</v>
      </c>
      <c r="S4291">
        <v>0</v>
      </c>
      <c r="T4291">
        <v>0</v>
      </c>
      <c r="U4291">
        <v>0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0</v>
      </c>
      <c r="AE4291">
        <v>0</v>
      </c>
      <c r="AF4291">
        <v>0</v>
      </c>
      <c r="AG4291">
        <v>0</v>
      </c>
      <c r="AH4291">
        <v>0</v>
      </c>
      <c r="AI4291">
        <v>100</v>
      </c>
      <c r="AJ4291">
        <v>1</v>
      </c>
      <c r="AK4291">
        <v>0</v>
      </c>
      <c r="AL4291">
        <v>0</v>
      </c>
      <c r="AM4291">
        <v>0</v>
      </c>
      <c r="AN4291">
        <v>0</v>
      </c>
      <c r="AO4291">
        <v>120</v>
      </c>
      <c r="AP4291">
        <v>-12</v>
      </c>
      <c r="AQ4291">
        <v>0</v>
      </c>
      <c r="AS4291">
        <v>0</v>
      </c>
      <c r="AT4291">
        <v>0</v>
      </c>
      <c r="AU4291">
        <v>120</v>
      </c>
      <c r="AV4291">
        <v>-12</v>
      </c>
      <c r="AW4291">
        <v>0</v>
      </c>
      <c r="AY4291">
        <v>0</v>
      </c>
      <c r="AZ4291">
        <v>0</v>
      </c>
      <c r="BA4291">
        <v>75.599999999999994</v>
      </c>
      <c r="BE4291" t="str">
        <f>T("9791164099740")</f>
        <v>9791164099740</v>
      </c>
      <c r="BF4291" t="str">
        <f>T("k200145")</f>
        <v>k200145</v>
      </c>
      <c r="BG4291" t="str">
        <f>T("로판 웹소설 &gt; 서양풍 로판")</f>
        <v>로판 웹소설 &gt; 서양풍 로판</v>
      </c>
    </row>
    <row r="4292" spans="1:59">
      <c r="A4292" t="s">
        <v>60</v>
      </c>
      <c r="B4292" s="1">
        <v>46131</v>
      </c>
      <c r="C4292">
        <v>2378059328</v>
      </c>
      <c r="D4292">
        <v>2378059345</v>
      </c>
      <c r="E4292" t="str">
        <f>T("오만한 주인의 초상화 18화")</f>
        <v>오만한 주인의 초상화 18화</v>
      </c>
      <c r="F4292">
        <v>18</v>
      </c>
      <c r="G4292" t="str">
        <f>T("offnun")</f>
        <v>offnun</v>
      </c>
      <c r="J4292" t="str">
        <f>T("시계토끼")</f>
        <v>시계토끼</v>
      </c>
      <c r="K4292" t="str">
        <f>T("오만한 주인의 초상화")</f>
        <v>오만한 주인의 초상화</v>
      </c>
      <c r="L4292">
        <v>100</v>
      </c>
      <c r="M4292">
        <v>100</v>
      </c>
      <c r="N4292">
        <v>1</v>
      </c>
      <c r="O4292">
        <v>0</v>
      </c>
      <c r="P4292">
        <v>0</v>
      </c>
      <c r="Q4292">
        <v>0</v>
      </c>
      <c r="R4292">
        <v>0</v>
      </c>
      <c r="S4292">
        <v>0</v>
      </c>
      <c r="T4292">
        <v>0</v>
      </c>
      <c r="U4292">
        <v>0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0</v>
      </c>
      <c r="AE4292">
        <v>0</v>
      </c>
      <c r="AF4292">
        <v>0</v>
      </c>
      <c r="AG4292">
        <v>0</v>
      </c>
      <c r="AH4292">
        <v>0</v>
      </c>
      <c r="AI4292">
        <v>100</v>
      </c>
      <c r="AJ4292">
        <v>1</v>
      </c>
      <c r="AK4292">
        <v>0</v>
      </c>
      <c r="AL4292">
        <v>0</v>
      </c>
      <c r="AM4292">
        <v>0</v>
      </c>
      <c r="AN4292">
        <v>0</v>
      </c>
      <c r="AO4292">
        <v>120</v>
      </c>
      <c r="AP4292">
        <v>-12</v>
      </c>
      <c r="AQ4292">
        <v>0</v>
      </c>
      <c r="AS4292">
        <v>0</v>
      </c>
      <c r="AT4292">
        <v>0</v>
      </c>
      <c r="AU4292">
        <v>120</v>
      </c>
      <c r="AV4292">
        <v>-12</v>
      </c>
      <c r="AW4292">
        <v>0</v>
      </c>
      <c r="AY4292">
        <v>0</v>
      </c>
      <c r="AZ4292">
        <v>0</v>
      </c>
      <c r="BA4292">
        <v>75.599999999999994</v>
      </c>
      <c r="BE4292" t="str">
        <f>T("9791164099740")</f>
        <v>9791164099740</v>
      </c>
      <c r="BF4292" t="str">
        <f>T("k200146")</f>
        <v>k200146</v>
      </c>
      <c r="BG4292" t="str">
        <f>T("로판 웹소설 &gt; 서양풍 로판")</f>
        <v>로판 웹소설 &gt; 서양풍 로판</v>
      </c>
    </row>
    <row r="4293" spans="1:59">
      <c r="A4293" t="s">
        <v>60</v>
      </c>
      <c r="B4293" s="1">
        <v>46131</v>
      </c>
      <c r="C4293">
        <v>2378059328</v>
      </c>
      <c r="D4293">
        <v>2378059346</v>
      </c>
      <c r="E4293" t="str">
        <f>T("오만한 주인의 초상화 19화")</f>
        <v>오만한 주인의 초상화 19화</v>
      </c>
      <c r="F4293">
        <v>19</v>
      </c>
      <c r="G4293" t="str">
        <f>T("offnun")</f>
        <v>offnun</v>
      </c>
      <c r="J4293" t="str">
        <f>T("시계토끼")</f>
        <v>시계토끼</v>
      </c>
      <c r="K4293" t="str">
        <f>T("오만한 주인의 초상화")</f>
        <v>오만한 주인의 초상화</v>
      </c>
      <c r="L4293">
        <v>100</v>
      </c>
      <c r="M4293">
        <v>100</v>
      </c>
      <c r="N4293">
        <v>1</v>
      </c>
      <c r="O4293">
        <v>0</v>
      </c>
      <c r="P4293">
        <v>0</v>
      </c>
      <c r="Q4293">
        <v>0</v>
      </c>
      <c r="R4293">
        <v>0</v>
      </c>
      <c r="S4293">
        <v>0</v>
      </c>
      <c r="T4293">
        <v>0</v>
      </c>
      <c r="U4293">
        <v>0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0</v>
      </c>
      <c r="AE4293">
        <v>0</v>
      </c>
      <c r="AF4293">
        <v>0</v>
      </c>
      <c r="AG4293">
        <v>0</v>
      </c>
      <c r="AH4293">
        <v>0</v>
      </c>
      <c r="AI4293">
        <v>100</v>
      </c>
      <c r="AJ4293">
        <v>1</v>
      </c>
      <c r="AK4293">
        <v>0</v>
      </c>
      <c r="AL4293">
        <v>0</v>
      </c>
      <c r="AM4293">
        <v>0</v>
      </c>
      <c r="AN4293">
        <v>0</v>
      </c>
      <c r="AO4293">
        <v>120</v>
      </c>
      <c r="AP4293">
        <v>-12</v>
      </c>
      <c r="AQ4293">
        <v>0</v>
      </c>
      <c r="AS4293">
        <v>0</v>
      </c>
      <c r="AT4293">
        <v>0</v>
      </c>
      <c r="AU4293">
        <v>120</v>
      </c>
      <c r="AV4293">
        <v>-12</v>
      </c>
      <c r="AW4293">
        <v>0</v>
      </c>
      <c r="AY4293">
        <v>0</v>
      </c>
      <c r="AZ4293">
        <v>0</v>
      </c>
      <c r="BA4293">
        <v>75.599999999999994</v>
      </c>
      <c r="BE4293" t="str">
        <f>T("9791164099740")</f>
        <v>9791164099740</v>
      </c>
      <c r="BF4293" t="str">
        <f>T("k200147")</f>
        <v>k200147</v>
      </c>
      <c r="BG4293" t="str">
        <f>T("로판 웹소설 &gt; 서양풍 로판")</f>
        <v>로판 웹소설 &gt; 서양풍 로판</v>
      </c>
    </row>
    <row r="4294" spans="1:59">
      <c r="A4294" t="s">
        <v>60</v>
      </c>
      <c r="B4294" s="1">
        <v>46131</v>
      </c>
      <c r="C4294">
        <v>2378059328</v>
      </c>
      <c r="D4294">
        <v>2378063559</v>
      </c>
      <c r="E4294" t="str">
        <f>T("오만한 주인의 초상화 121화")</f>
        <v>오만한 주인의 초상화 121화</v>
      </c>
      <c r="F4294">
        <v>121</v>
      </c>
      <c r="G4294" t="str">
        <f>T("offnun")</f>
        <v>offnun</v>
      </c>
      <c r="J4294" t="str">
        <f>T("시계토끼")</f>
        <v>시계토끼</v>
      </c>
      <c r="K4294" t="str">
        <f>T("오만한 주인의 초상화")</f>
        <v>오만한 주인의 초상화</v>
      </c>
      <c r="L4294">
        <v>100</v>
      </c>
      <c r="M4294">
        <v>100</v>
      </c>
      <c r="N4294">
        <v>1</v>
      </c>
      <c r="O4294">
        <v>0</v>
      </c>
      <c r="P4294">
        <v>0</v>
      </c>
      <c r="Q4294">
        <v>0</v>
      </c>
      <c r="R4294">
        <v>0</v>
      </c>
      <c r="S4294">
        <v>0</v>
      </c>
      <c r="T4294">
        <v>0</v>
      </c>
      <c r="U4294">
        <v>0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0</v>
      </c>
      <c r="AE4294">
        <v>0</v>
      </c>
      <c r="AF4294">
        <v>0</v>
      </c>
      <c r="AG4294">
        <v>0</v>
      </c>
      <c r="AH4294">
        <v>0</v>
      </c>
      <c r="AI4294">
        <v>100</v>
      </c>
      <c r="AJ4294">
        <v>1</v>
      </c>
      <c r="AK4294">
        <v>0</v>
      </c>
      <c r="AL4294">
        <v>0</v>
      </c>
      <c r="AM4294">
        <v>0</v>
      </c>
      <c r="AN4294">
        <v>0</v>
      </c>
      <c r="AO4294">
        <v>120</v>
      </c>
      <c r="AP4294">
        <v>-12</v>
      </c>
      <c r="AQ4294">
        <v>0</v>
      </c>
      <c r="AS4294">
        <v>0</v>
      </c>
      <c r="AT4294">
        <v>0</v>
      </c>
      <c r="AU4294">
        <v>120</v>
      </c>
      <c r="AV4294">
        <v>-12</v>
      </c>
      <c r="AW4294">
        <v>0</v>
      </c>
      <c r="AY4294">
        <v>0</v>
      </c>
      <c r="AZ4294">
        <v>0</v>
      </c>
      <c r="BA4294">
        <v>75.599999999999994</v>
      </c>
      <c r="BE4294" t="str">
        <f>T("9791164099740")</f>
        <v>9791164099740</v>
      </c>
      <c r="BF4294" t="str">
        <f>T("k244189")</f>
        <v>k244189</v>
      </c>
      <c r="BG4294" t="str">
        <f>T("로판 웹소설 &gt; 서양풍 로판")</f>
        <v>로판 웹소설 &gt; 서양풍 로판</v>
      </c>
    </row>
    <row r="4295" spans="1:59">
      <c r="A4295" t="s">
        <v>60</v>
      </c>
      <c r="B4295" s="1">
        <v>46131</v>
      </c>
      <c r="C4295">
        <v>2378059328</v>
      </c>
      <c r="D4295">
        <v>2378059371</v>
      </c>
      <c r="E4295" t="str">
        <f>T("오만한 주인의 초상화 44화")</f>
        <v>오만한 주인의 초상화 44화</v>
      </c>
      <c r="F4295">
        <v>44</v>
      </c>
      <c r="G4295" t="str">
        <f>T("offnun")</f>
        <v>offnun</v>
      </c>
      <c r="J4295" t="str">
        <f>T("시계토끼")</f>
        <v>시계토끼</v>
      </c>
      <c r="K4295" t="str">
        <f>T("오만한 주인의 초상화")</f>
        <v>오만한 주인의 초상화</v>
      </c>
      <c r="L4295">
        <v>100</v>
      </c>
      <c r="M4295">
        <v>100</v>
      </c>
      <c r="N4295">
        <v>1</v>
      </c>
      <c r="O4295">
        <v>0</v>
      </c>
      <c r="P4295">
        <v>0</v>
      </c>
      <c r="Q4295">
        <v>0</v>
      </c>
      <c r="R4295">
        <v>0</v>
      </c>
      <c r="S4295">
        <v>0</v>
      </c>
      <c r="T4295">
        <v>0</v>
      </c>
      <c r="U4295">
        <v>0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0</v>
      </c>
      <c r="AE4295">
        <v>0</v>
      </c>
      <c r="AF4295">
        <v>0</v>
      </c>
      <c r="AG4295">
        <v>0</v>
      </c>
      <c r="AH4295">
        <v>0</v>
      </c>
      <c r="AI4295">
        <v>100</v>
      </c>
      <c r="AJ4295">
        <v>1</v>
      </c>
      <c r="AK4295">
        <v>0</v>
      </c>
      <c r="AL4295">
        <v>0</v>
      </c>
      <c r="AM4295">
        <v>0</v>
      </c>
      <c r="AN4295">
        <v>0</v>
      </c>
      <c r="AO4295">
        <v>120</v>
      </c>
      <c r="AP4295">
        <v>-12</v>
      </c>
      <c r="AQ4295">
        <v>0</v>
      </c>
      <c r="AS4295">
        <v>0</v>
      </c>
      <c r="AT4295">
        <v>0</v>
      </c>
      <c r="AU4295">
        <v>120</v>
      </c>
      <c r="AV4295">
        <v>-12</v>
      </c>
      <c r="AW4295">
        <v>0</v>
      </c>
      <c r="AY4295">
        <v>0</v>
      </c>
      <c r="AZ4295">
        <v>0</v>
      </c>
      <c r="BA4295">
        <v>75.599999999999994</v>
      </c>
      <c r="BE4295" t="str">
        <f>T("9791164099740")</f>
        <v>9791164099740</v>
      </c>
      <c r="BF4295" t="str">
        <f>T("k200172")</f>
        <v>k200172</v>
      </c>
      <c r="BG4295" t="str">
        <f>T("로판 웹소설 &gt; 서양풍 로판")</f>
        <v>로판 웹소설 &gt; 서양풍 로판</v>
      </c>
    </row>
    <row r="4296" spans="1:59">
      <c r="A4296" t="s">
        <v>60</v>
      </c>
      <c r="B4296" s="1">
        <v>46131</v>
      </c>
      <c r="C4296">
        <v>2378059328</v>
      </c>
      <c r="D4296">
        <v>2378059372</v>
      </c>
      <c r="E4296" t="str">
        <f>T("오만한 주인의 초상화 45화")</f>
        <v>오만한 주인의 초상화 45화</v>
      </c>
      <c r="F4296">
        <v>45</v>
      </c>
      <c r="G4296" t="str">
        <f>T("offnun")</f>
        <v>offnun</v>
      </c>
      <c r="J4296" t="str">
        <f>T("시계토끼")</f>
        <v>시계토끼</v>
      </c>
      <c r="K4296" t="str">
        <f>T("오만한 주인의 초상화")</f>
        <v>오만한 주인의 초상화</v>
      </c>
      <c r="L4296">
        <v>100</v>
      </c>
      <c r="M4296">
        <v>100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0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0</v>
      </c>
      <c r="AE4296">
        <v>0</v>
      </c>
      <c r="AF4296">
        <v>0</v>
      </c>
      <c r="AG4296">
        <v>0</v>
      </c>
      <c r="AH4296">
        <v>0</v>
      </c>
      <c r="AI4296">
        <v>100</v>
      </c>
      <c r="AJ4296">
        <v>1</v>
      </c>
      <c r="AK4296">
        <v>0</v>
      </c>
      <c r="AL4296">
        <v>0</v>
      </c>
      <c r="AM4296">
        <v>0</v>
      </c>
      <c r="AN4296">
        <v>0</v>
      </c>
      <c r="AO4296">
        <v>120</v>
      </c>
      <c r="AP4296">
        <v>-12</v>
      </c>
      <c r="AQ4296">
        <v>0</v>
      </c>
      <c r="AS4296">
        <v>0</v>
      </c>
      <c r="AT4296">
        <v>0</v>
      </c>
      <c r="AU4296">
        <v>120</v>
      </c>
      <c r="AV4296">
        <v>-12</v>
      </c>
      <c r="AW4296">
        <v>0</v>
      </c>
      <c r="AY4296">
        <v>0</v>
      </c>
      <c r="AZ4296">
        <v>0</v>
      </c>
      <c r="BA4296">
        <v>75.599999999999994</v>
      </c>
      <c r="BE4296" t="str">
        <f>T("9791164099740")</f>
        <v>9791164099740</v>
      </c>
      <c r="BF4296" t="str">
        <f>T("k200173")</f>
        <v>k200173</v>
      </c>
      <c r="BG4296" t="str">
        <f>T("로판 웹소설 &gt; 서양풍 로판")</f>
        <v>로판 웹소설 &gt; 서양풍 로판</v>
      </c>
    </row>
    <row r="4297" spans="1:59">
      <c r="A4297" t="s">
        <v>60</v>
      </c>
      <c r="B4297" s="1">
        <v>46131</v>
      </c>
      <c r="C4297">
        <v>2378059328</v>
      </c>
      <c r="D4297">
        <v>2378059373</v>
      </c>
      <c r="E4297" t="str">
        <f>T("오만한 주인의 초상화 46화")</f>
        <v>오만한 주인의 초상화 46화</v>
      </c>
      <c r="F4297">
        <v>46</v>
      </c>
      <c r="G4297" t="str">
        <f>T("offnun")</f>
        <v>offnun</v>
      </c>
      <c r="J4297" t="str">
        <f>T("시계토끼")</f>
        <v>시계토끼</v>
      </c>
      <c r="K4297" t="str">
        <f>T("오만한 주인의 초상화")</f>
        <v>오만한 주인의 초상화</v>
      </c>
      <c r="L4297">
        <v>100</v>
      </c>
      <c r="M4297">
        <v>100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0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0</v>
      </c>
      <c r="AE4297">
        <v>0</v>
      </c>
      <c r="AF4297">
        <v>0</v>
      </c>
      <c r="AG4297">
        <v>0</v>
      </c>
      <c r="AH4297">
        <v>0</v>
      </c>
      <c r="AI4297">
        <v>100</v>
      </c>
      <c r="AJ4297">
        <v>1</v>
      </c>
      <c r="AK4297">
        <v>0</v>
      </c>
      <c r="AL4297">
        <v>0</v>
      </c>
      <c r="AM4297">
        <v>0</v>
      </c>
      <c r="AN4297">
        <v>0</v>
      </c>
      <c r="AO4297">
        <v>120</v>
      </c>
      <c r="AP4297">
        <v>-12</v>
      </c>
      <c r="AQ4297">
        <v>0</v>
      </c>
      <c r="AS4297">
        <v>0</v>
      </c>
      <c r="AT4297">
        <v>0</v>
      </c>
      <c r="AU4297">
        <v>120</v>
      </c>
      <c r="AV4297">
        <v>-12</v>
      </c>
      <c r="AW4297">
        <v>0</v>
      </c>
      <c r="AY4297">
        <v>0</v>
      </c>
      <c r="AZ4297">
        <v>0</v>
      </c>
      <c r="BA4297">
        <v>75.599999999999994</v>
      </c>
      <c r="BE4297" t="str">
        <f>T("9791164099740")</f>
        <v>9791164099740</v>
      </c>
      <c r="BF4297" t="str">
        <f>T("k200174")</f>
        <v>k200174</v>
      </c>
      <c r="BG4297" t="str">
        <f>T("로판 웹소설 &gt; 서양풍 로판")</f>
        <v>로판 웹소설 &gt; 서양풍 로판</v>
      </c>
    </row>
    <row r="4298" spans="1:59">
      <c r="A4298" t="s">
        <v>60</v>
      </c>
      <c r="B4298" s="1">
        <v>46131</v>
      </c>
      <c r="C4298">
        <v>2378059328</v>
      </c>
      <c r="D4298">
        <v>2378059374</v>
      </c>
      <c r="E4298" t="str">
        <f>T("오만한 주인의 초상화 47화")</f>
        <v>오만한 주인의 초상화 47화</v>
      </c>
      <c r="F4298">
        <v>47</v>
      </c>
      <c r="G4298" t="str">
        <f>T("offnun")</f>
        <v>offnun</v>
      </c>
      <c r="J4298" t="str">
        <f>T("시계토끼")</f>
        <v>시계토끼</v>
      </c>
      <c r="K4298" t="str">
        <f>T("오만한 주인의 초상화")</f>
        <v>오만한 주인의 초상화</v>
      </c>
      <c r="L4298">
        <v>100</v>
      </c>
      <c r="M4298">
        <v>100</v>
      </c>
      <c r="N4298">
        <v>1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0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0</v>
      </c>
      <c r="AE4298">
        <v>0</v>
      </c>
      <c r="AF4298">
        <v>0</v>
      </c>
      <c r="AG4298">
        <v>0</v>
      </c>
      <c r="AH4298">
        <v>0</v>
      </c>
      <c r="AI4298">
        <v>100</v>
      </c>
      <c r="AJ4298">
        <v>1</v>
      </c>
      <c r="AK4298">
        <v>0</v>
      </c>
      <c r="AL4298">
        <v>0</v>
      </c>
      <c r="AM4298">
        <v>0</v>
      </c>
      <c r="AN4298">
        <v>0</v>
      </c>
      <c r="AO4298">
        <v>120</v>
      </c>
      <c r="AP4298">
        <v>-12</v>
      </c>
      <c r="AQ4298">
        <v>0</v>
      </c>
      <c r="AS4298">
        <v>0</v>
      </c>
      <c r="AT4298">
        <v>0</v>
      </c>
      <c r="AU4298">
        <v>120</v>
      </c>
      <c r="AV4298">
        <v>-12</v>
      </c>
      <c r="AW4298">
        <v>0</v>
      </c>
      <c r="AY4298">
        <v>0</v>
      </c>
      <c r="AZ4298">
        <v>0</v>
      </c>
      <c r="BA4298">
        <v>75.599999999999994</v>
      </c>
      <c r="BE4298" t="str">
        <f>T("9791164099740")</f>
        <v>9791164099740</v>
      </c>
      <c r="BF4298" t="str">
        <f>T("k200175")</f>
        <v>k200175</v>
      </c>
      <c r="BG4298" t="str">
        <f>T("로판 웹소설 &gt; 서양풍 로판")</f>
        <v>로판 웹소설 &gt; 서양풍 로판</v>
      </c>
    </row>
    <row r="4299" spans="1:59">
      <c r="A4299" t="s">
        <v>60</v>
      </c>
      <c r="B4299" s="1">
        <v>46131</v>
      </c>
      <c r="C4299">
        <v>2378059328</v>
      </c>
      <c r="D4299">
        <v>2378059375</v>
      </c>
      <c r="E4299" t="str">
        <f>T("오만한 주인의 초상화 48화")</f>
        <v>오만한 주인의 초상화 48화</v>
      </c>
      <c r="F4299">
        <v>48</v>
      </c>
      <c r="G4299" t="str">
        <f>T("offnun")</f>
        <v>offnun</v>
      </c>
      <c r="J4299" t="str">
        <f>T("시계토끼")</f>
        <v>시계토끼</v>
      </c>
      <c r="K4299" t="str">
        <f>T("오만한 주인의 초상화")</f>
        <v>오만한 주인의 초상화</v>
      </c>
      <c r="L4299">
        <v>100</v>
      </c>
      <c r="M4299">
        <v>100</v>
      </c>
      <c r="N4299">
        <v>1</v>
      </c>
      <c r="O4299">
        <v>0</v>
      </c>
      <c r="P4299">
        <v>0</v>
      </c>
      <c r="Q4299">
        <v>0</v>
      </c>
      <c r="R4299">
        <v>0</v>
      </c>
      <c r="S4299">
        <v>0</v>
      </c>
      <c r="T4299">
        <v>0</v>
      </c>
      <c r="U4299">
        <v>0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0</v>
      </c>
      <c r="AE4299">
        <v>0</v>
      </c>
      <c r="AF4299">
        <v>0</v>
      </c>
      <c r="AG4299">
        <v>0</v>
      </c>
      <c r="AH4299">
        <v>0</v>
      </c>
      <c r="AI4299">
        <v>100</v>
      </c>
      <c r="AJ4299">
        <v>1</v>
      </c>
      <c r="AK4299">
        <v>0</v>
      </c>
      <c r="AL4299">
        <v>0</v>
      </c>
      <c r="AM4299">
        <v>0</v>
      </c>
      <c r="AN4299">
        <v>0</v>
      </c>
      <c r="AO4299">
        <v>120</v>
      </c>
      <c r="AP4299">
        <v>-12</v>
      </c>
      <c r="AQ4299">
        <v>0</v>
      </c>
      <c r="AS4299">
        <v>0</v>
      </c>
      <c r="AT4299">
        <v>0</v>
      </c>
      <c r="AU4299">
        <v>120</v>
      </c>
      <c r="AV4299">
        <v>-12</v>
      </c>
      <c r="AW4299">
        <v>0</v>
      </c>
      <c r="AY4299">
        <v>0</v>
      </c>
      <c r="AZ4299">
        <v>0</v>
      </c>
      <c r="BA4299">
        <v>75.599999999999994</v>
      </c>
      <c r="BE4299" t="str">
        <f>T("9791164099740")</f>
        <v>9791164099740</v>
      </c>
      <c r="BF4299" t="str">
        <f>T("k200176")</f>
        <v>k200176</v>
      </c>
      <c r="BG4299" t="str">
        <f>T("로판 웹소설 &gt; 서양풍 로판")</f>
        <v>로판 웹소설 &gt; 서양풍 로판</v>
      </c>
    </row>
    <row r="4300" spans="1:59">
      <c r="A4300" t="s">
        <v>60</v>
      </c>
      <c r="B4300" s="1">
        <v>46131</v>
      </c>
      <c r="C4300">
        <v>2378059328</v>
      </c>
      <c r="D4300">
        <v>2378059376</v>
      </c>
      <c r="E4300" t="str">
        <f>T("오만한 주인의 초상화 49화")</f>
        <v>오만한 주인의 초상화 49화</v>
      </c>
      <c r="F4300">
        <v>49</v>
      </c>
      <c r="G4300" t="str">
        <f>T("offnun")</f>
        <v>offnun</v>
      </c>
      <c r="J4300" t="str">
        <f>T("시계토끼")</f>
        <v>시계토끼</v>
      </c>
      <c r="K4300" t="str">
        <f>T("오만한 주인의 초상화")</f>
        <v>오만한 주인의 초상화</v>
      </c>
      <c r="L4300">
        <v>100</v>
      </c>
      <c r="M4300">
        <v>100</v>
      </c>
      <c r="N4300">
        <v>1</v>
      </c>
      <c r="O4300">
        <v>0</v>
      </c>
      <c r="P4300">
        <v>0</v>
      </c>
      <c r="Q4300">
        <v>0</v>
      </c>
      <c r="R4300">
        <v>0</v>
      </c>
      <c r="S4300">
        <v>0</v>
      </c>
      <c r="T4300">
        <v>0</v>
      </c>
      <c r="U4300">
        <v>0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0</v>
      </c>
      <c r="AE4300">
        <v>0</v>
      </c>
      <c r="AF4300">
        <v>0</v>
      </c>
      <c r="AG4300">
        <v>0</v>
      </c>
      <c r="AH4300">
        <v>0</v>
      </c>
      <c r="AI4300">
        <v>100</v>
      </c>
      <c r="AJ4300">
        <v>1</v>
      </c>
      <c r="AK4300">
        <v>0</v>
      </c>
      <c r="AL4300">
        <v>0</v>
      </c>
      <c r="AM4300">
        <v>0</v>
      </c>
      <c r="AN4300">
        <v>0</v>
      </c>
      <c r="AO4300">
        <v>120</v>
      </c>
      <c r="AP4300">
        <v>-12</v>
      </c>
      <c r="AQ4300">
        <v>0</v>
      </c>
      <c r="AS4300">
        <v>0</v>
      </c>
      <c r="AT4300">
        <v>0</v>
      </c>
      <c r="AU4300">
        <v>120</v>
      </c>
      <c r="AV4300">
        <v>-12</v>
      </c>
      <c r="AW4300">
        <v>0</v>
      </c>
      <c r="AY4300">
        <v>0</v>
      </c>
      <c r="AZ4300">
        <v>0</v>
      </c>
      <c r="BA4300">
        <v>75.599999999999994</v>
      </c>
      <c r="BE4300" t="str">
        <f>T("9791164099740")</f>
        <v>9791164099740</v>
      </c>
      <c r="BF4300" t="str">
        <f>T("k200177")</f>
        <v>k200177</v>
      </c>
      <c r="BG4300" t="str">
        <f>T("로판 웹소설 &gt; 서양풍 로판")</f>
        <v>로판 웹소설 &gt; 서양풍 로판</v>
      </c>
    </row>
    <row r="4301" spans="1:59">
      <c r="A4301" t="s">
        <v>60</v>
      </c>
      <c r="B4301" s="1">
        <v>46131</v>
      </c>
      <c r="C4301">
        <v>2378059328</v>
      </c>
      <c r="D4301">
        <v>2378059377</v>
      </c>
      <c r="E4301" t="str">
        <f>T("오만한 주인의 초상화 50화")</f>
        <v>오만한 주인의 초상화 50화</v>
      </c>
      <c r="F4301">
        <v>50</v>
      </c>
      <c r="G4301" t="str">
        <f>T("offnun")</f>
        <v>offnun</v>
      </c>
      <c r="J4301" t="str">
        <f>T("시계토끼")</f>
        <v>시계토끼</v>
      </c>
      <c r="K4301" t="str">
        <f>T("오만한 주인의 초상화")</f>
        <v>오만한 주인의 초상화</v>
      </c>
      <c r="L4301">
        <v>100</v>
      </c>
      <c r="M4301">
        <v>100</v>
      </c>
      <c r="N4301">
        <v>1</v>
      </c>
      <c r="O4301">
        <v>0</v>
      </c>
      <c r="P4301">
        <v>0</v>
      </c>
      <c r="Q4301">
        <v>0</v>
      </c>
      <c r="R4301">
        <v>0</v>
      </c>
      <c r="S4301">
        <v>0</v>
      </c>
      <c r="T4301">
        <v>0</v>
      </c>
      <c r="U4301">
        <v>0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0</v>
      </c>
      <c r="AE4301">
        <v>0</v>
      </c>
      <c r="AF4301">
        <v>0</v>
      </c>
      <c r="AG4301">
        <v>0</v>
      </c>
      <c r="AH4301">
        <v>0</v>
      </c>
      <c r="AI4301">
        <v>100</v>
      </c>
      <c r="AJ4301">
        <v>1</v>
      </c>
      <c r="AK4301">
        <v>0</v>
      </c>
      <c r="AL4301">
        <v>0</v>
      </c>
      <c r="AM4301">
        <v>0</v>
      </c>
      <c r="AN4301">
        <v>0</v>
      </c>
      <c r="AO4301">
        <v>120</v>
      </c>
      <c r="AP4301">
        <v>-12</v>
      </c>
      <c r="AQ4301">
        <v>0</v>
      </c>
      <c r="AS4301">
        <v>0</v>
      </c>
      <c r="AT4301">
        <v>0</v>
      </c>
      <c r="AU4301">
        <v>120</v>
      </c>
      <c r="AV4301">
        <v>-12</v>
      </c>
      <c r="AW4301">
        <v>0</v>
      </c>
      <c r="AY4301">
        <v>0</v>
      </c>
      <c r="AZ4301">
        <v>0</v>
      </c>
      <c r="BA4301">
        <v>75.599999999999994</v>
      </c>
      <c r="BE4301" t="str">
        <f>T("9791164099740")</f>
        <v>9791164099740</v>
      </c>
      <c r="BF4301" t="str">
        <f>T("k200178")</f>
        <v>k200178</v>
      </c>
      <c r="BG4301" t="str">
        <f>T("로판 웹소설 &gt; 서양풍 로판")</f>
        <v>로판 웹소설 &gt; 서양풍 로판</v>
      </c>
    </row>
    <row r="4302" spans="1:59">
      <c r="A4302" t="s">
        <v>60</v>
      </c>
      <c r="B4302" s="1">
        <v>46131</v>
      </c>
      <c r="C4302">
        <v>2378059328</v>
      </c>
      <c r="D4302">
        <v>2378059378</v>
      </c>
      <c r="E4302" t="str">
        <f>T("오만한 주인의 초상화 51화")</f>
        <v>오만한 주인의 초상화 51화</v>
      </c>
      <c r="F4302">
        <v>51</v>
      </c>
      <c r="G4302" t="str">
        <f>T("offnun")</f>
        <v>offnun</v>
      </c>
      <c r="J4302" t="str">
        <f>T("시계토끼")</f>
        <v>시계토끼</v>
      </c>
      <c r="K4302" t="str">
        <f>T("오만한 주인의 초상화")</f>
        <v>오만한 주인의 초상화</v>
      </c>
      <c r="L4302">
        <v>100</v>
      </c>
      <c r="M4302">
        <v>100</v>
      </c>
      <c r="N4302">
        <v>1</v>
      </c>
      <c r="O4302">
        <v>0</v>
      </c>
      <c r="P4302">
        <v>0</v>
      </c>
      <c r="Q4302">
        <v>0</v>
      </c>
      <c r="R4302">
        <v>0</v>
      </c>
      <c r="S4302">
        <v>0</v>
      </c>
      <c r="T4302">
        <v>0</v>
      </c>
      <c r="U4302">
        <v>0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0</v>
      </c>
      <c r="AE4302">
        <v>0</v>
      </c>
      <c r="AF4302">
        <v>0</v>
      </c>
      <c r="AG4302">
        <v>0</v>
      </c>
      <c r="AH4302">
        <v>0</v>
      </c>
      <c r="AI4302">
        <v>100</v>
      </c>
      <c r="AJ4302">
        <v>1</v>
      </c>
      <c r="AK4302">
        <v>0</v>
      </c>
      <c r="AL4302">
        <v>0</v>
      </c>
      <c r="AM4302">
        <v>0</v>
      </c>
      <c r="AN4302">
        <v>0</v>
      </c>
      <c r="AO4302">
        <v>120</v>
      </c>
      <c r="AP4302">
        <v>-12</v>
      </c>
      <c r="AQ4302">
        <v>0</v>
      </c>
      <c r="AS4302">
        <v>0</v>
      </c>
      <c r="AT4302">
        <v>0</v>
      </c>
      <c r="AU4302">
        <v>120</v>
      </c>
      <c r="AV4302">
        <v>-12</v>
      </c>
      <c r="AW4302">
        <v>0</v>
      </c>
      <c r="AY4302">
        <v>0</v>
      </c>
      <c r="AZ4302">
        <v>0</v>
      </c>
      <c r="BA4302">
        <v>75.599999999999994</v>
      </c>
      <c r="BE4302" t="str">
        <f>T("9791164099740")</f>
        <v>9791164099740</v>
      </c>
      <c r="BF4302" t="str">
        <f>T("k200179")</f>
        <v>k200179</v>
      </c>
      <c r="BG4302" t="str">
        <f>T("로판 웹소설 &gt; 서양풍 로판")</f>
        <v>로판 웹소설 &gt; 서양풍 로판</v>
      </c>
    </row>
    <row r="4303" spans="1:59">
      <c r="A4303" t="s">
        <v>60</v>
      </c>
      <c r="B4303" s="1">
        <v>46131</v>
      </c>
      <c r="C4303">
        <v>2378059328</v>
      </c>
      <c r="D4303">
        <v>2378059379</v>
      </c>
      <c r="E4303" t="str">
        <f>T("오만한 주인의 초상화 52화")</f>
        <v>오만한 주인의 초상화 52화</v>
      </c>
      <c r="F4303">
        <v>52</v>
      </c>
      <c r="G4303" t="str">
        <f>T("offnun")</f>
        <v>offnun</v>
      </c>
      <c r="J4303" t="str">
        <f>T("시계토끼")</f>
        <v>시계토끼</v>
      </c>
      <c r="K4303" t="str">
        <f>T("오만한 주인의 초상화")</f>
        <v>오만한 주인의 초상화</v>
      </c>
      <c r="L4303">
        <v>100</v>
      </c>
      <c r="M4303">
        <v>100</v>
      </c>
      <c r="N4303">
        <v>1</v>
      </c>
      <c r="O4303">
        <v>0</v>
      </c>
      <c r="P4303">
        <v>0</v>
      </c>
      <c r="Q4303">
        <v>0</v>
      </c>
      <c r="R4303">
        <v>0</v>
      </c>
      <c r="S4303">
        <v>0</v>
      </c>
      <c r="T4303">
        <v>0</v>
      </c>
      <c r="U4303">
        <v>0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0</v>
      </c>
      <c r="AE4303">
        <v>0</v>
      </c>
      <c r="AF4303">
        <v>0</v>
      </c>
      <c r="AG4303">
        <v>0</v>
      </c>
      <c r="AH4303">
        <v>0</v>
      </c>
      <c r="AI4303">
        <v>100</v>
      </c>
      <c r="AJ4303">
        <v>1</v>
      </c>
      <c r="AK4303">
        <v>0</v>
      </c>
      <c r="AL4303">
        <v>0</v>
      </c>
      <c r="AM4303">
        <v>0</v>
      </c>
      <c r="AN4303">
        <v>0</v>
      </c>
      <c r="AO4303">
        <v>120</v>
      </c>
      <c r="AP4303">
        <v>-12</v>
      </c>
      <c r="AQ4303">
        <v>0</v>
      </c>
      <c r="AS4303">
        <v>0</v>
      </c>
      <c r="AT4303">
        <v>0</v>
      </c>
      <c r="AU4303">
        <v>120</v>
      </c>
      <c r="AV4303">
        <v>-12</v>
      </c>
      <c r="AW4303">
        <v>0</v>
      </c>
      <c r="AY4303">
        <v>0</v>
      </c>
      <c r="AZ4303">
        <v>0</v>
      </c>
      <c r="BA4303">
        <v>75.599999999999994</v>
      </c>
      <c r="BE4303" t="str">
        <f>T("9791164099740")</f>
        <v>9791164099740</v>
      </c>
      <c r="BF4303" t="str">
        <f>T("k200180")</f>
        <v>k200180</v>
      </c>
      <c r="BG4303" t="str">
        <f>T("로판 웹소설 &gt; 서양풍 로판")</f>
        <v>로판 웹소설 &gt; 서양풍 로판</v>
      </c>
    </row>
    <row r="4304" spans="1:59">
      <c r="A4304" t="s">
        <v>60</v>
      </c>
      <c r="B4304" s="1">
        <v>46131</v>
      </c>
      <c r="C4304">
        <v>2378059328</v>
      </c>
      <c r="D4304">
        <v>2378059380</v>
      </c>
      <c r="E4304" t="str">
        <f>T("오만한 주인의 초상화 53화")</f>
        <v>오만한 주인의 초상화 53화</v>
      </c>
      <c r="F4304">
        <v>53</v>
      </c>
      <c r="G4304" t="str">
        <f>T("offnun")</f>
        <v>offnun</v>
      </c>
      <c r="J4304" t="str">
        <f>T("시계토끼")</f>
        <v>시계토끼</v>
      </c>
      <c r="K4304" t="str">
        <f>T("오만한 주인의 초상화")</f>
        <v>오만한 주인의 초상화</v>
      </c>
      <c r="L4304">
        <v>100</v>
      </c>
      <c r="M4304">
        <v>100</v>
      </c>
      <c r="N4304">
        <v>1</v>
      </c>
      <c r="O4304">
        <v>0</v>
      </c>
      <c r="P4304">
        <v>0</v>
      </c>
      <c r="Q4304">
        <v>0</v>
      </c>
      <c r="R4304">
        <v>0</v>
      </c>
      <c r="S4304">
        <v>0</v>
      </c>
      <c r="T4304">
        <v>0</v>
      </c>
      <c r="U4304">
        <v>0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0</v>
      </c>
      <c r="AE4304">
        <v>0</v>
      </c>
      <c r="AF4304">
        <v>0</v>
      </c>
      <c r="AG4304">
        <v>0</v>
      </c>
      <c r="AH4304">
        <v>0</v>
      </c>
      <c r="AI4304">
        <v>100</v>
      </c>
      <c r="AJ4304">
        <v>1</v>
      </c>
      <c r="AK4304">
        <v>0</v>
      </c>
      <c r="AL4304">
        <v>0</v>
      </c>
      <c r="AM4304">
        <v>0</v>
      </c>
      <c r="AN4304">
        <v>0</v>
      </c>
      <c r="AO4304">
        <v>120</v>
      </c>
      <c r="AP4304">
        <v>-12</v>
      </c>
      <c r="AQ4304">
        <v>0</v>
      </c>
      <c r="AS4304">
        <v>0</v>
      </c>
      <c r="AT4304">
        <v>0</v>
      </c>
      <c r="AU4304">
        <v>120</v>
      </c>
      <c r="AV4304">
        <v>-12</v>
      </c>
      <c r="AW4304">
        <v>0</v>
      </c>
      <c r="AY4304">
        <v>0</v>
      </c>
      <c r="AZ4304">
        <v>0</v>
      </c>
      <c r="BA4304">
        <v>75.599999999999994</v>
      </c>
      <c r="BE4304" t="str">
        <f>T("9791164099740")</f>
        <v>9791164099740</v>
      </c>
      <c r="BF4304" t="str">
        <f>T("k200181")</f>
        <v>k200181</v>
      </c>
      <c r="BG4304" t="str">
        <f>T("로판 웹소설 &gt; 서양풍 로판")</f>
        <v>로판 웹소설 &gt; 서양풍 로판</v>
      </c>
    </row>
    <row r="4305" spans="1:59">
      <c r="A4305" t="s">
        <v>60</v>
      </c>
      <c r="B4305" s="1">
        <v>46131</v>
      </c>
      <c r="C4305">
        <v>2378059328</v>
      </c>
      <c r="D4305">
        <v>2378059381</v>
      </c>
      <c r="E4305" t="str">
        <f>T("오만한 주인의 초상화 54화")</f>
        <v>오만한 주인의 초상화 54화</v>
      </c>
      <c r="F4305">
        <v>54</v>
      </c>
      <c r="G4305" t="str">
        <f>T("offnun")</f>
        <v>offnun</v>
      </c>
      <c r="J4305" t="str">
        <f>T("시계토끼")</f>
        <v>시계토끼</v>
      </c>
      <c r="K4305" t="str">
        <f>T("오만한 주인의 초상화")</f>
        <v>오만한 주인의 초상화</v>
      </c>
      <c r="L4305">
        <v>100</v>
      </c>
      <c r="M4305">
        <v>100</v>
      </c>
      <c r="N4305">
        <v>1</v>
      </c>
      <c r="O4305">
        <v>0</v>
      </c>
      <c r="P4305">
        <v>0</v>
      </c>
      <c r="Q4305">
        <v>0</v>
      </c>
      <c r="R4305">
        <v>0</v>
      </c>
      <c r="S4305">
        <v>0</v>
      </c>
      <c r="T4305">
        <v>0</v>
      </c>
      <c r="U4305">
        <v>0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0</v>
      </c>
      <c r="AE4305">
        <v>0</v>
      </c>
      <c r="AF4305">
        <v>0</v>
      </c>
      <c r="AG4305">
        <v>0</v>
      </c>
      <c r="AH4305">
        <v>0</v>
      </c>
      <c r="AI4305">
        <v>100</v>
      </c>
      <c r="AJ4305">
        <v>1</v>
      </c>
      <c r="AK4305">
        <v>0</v>
      </c>
      <c r="AL4305">
        <v>0</v>
      </c>
      <c r="AM4305">
        <v>0</v>
      </c>
      <c r="AN4305">
        <v>0</v>
      </c>
      <c r="AO4305">
        <v>120</v>
      </c>
      <c r="AP4305">
        <v>-12</v>
      </c>
      <c r="AQ4305">
        <v>0</v>
      </c>
      <c r="AS4305">
        <v>0</v>
      </c>
      <c r="AT4305">
        <v>0</v>
      </c>
      <c r="AU4305">
        <v>120</v>
      </c>
      <c r="AV4305">
        <v>-12</v>
      </c>
      <c r="AW4305">
        <v>0</v>
      </c>
      <c r="AY4305">
        <v>0</v>
      </c>
      <c r="AZ4305">
        <v>0</v>
      </c>
      <c r="BA4305">
        <v>75.599999999999994</v>
      </c>
      <c r="BE4305" t="str">
        <f>T("9791164099740")</f>
        <v>9791164099740</v>
      </c>
      <c r="BF4305" t="str">
        <f>T("k200182")</f>
        <v>k200182</v>
      </c>
      <c r="BG4305" t="str">
        <f>T("로판 웹소설 &gt; 서양풍 로판")</f>
        <v>로판 웹소설 &gt; 서양풍 로판</v>
      </c>
    </row>
    <row r="4306" spans="1:59">
      <c r="A4306" t="s">
        <v>60</v>
      </c>
      <c r="B4306" s="1">
        <v>46131</v>
      </c>
      <c r="C4306">
        <v>2378059328</v>
      </c>
      <c r="D4306">
        <v>2378059382</v>
      </c>
      <c r="E4306" t="str">
        <f>T("오만한 주인의 초상화 55화")</f>
        <v>오만한 주인의 초상화 55화</v>
      </c>
      <c r="F4306">
        <v>55</v>
      </c>
      <c r="G4306" t="str">
        <f>T("offnun")</f>
        <v>offnun</v>
      </c>
      <c r="J4306" t="str">
        <f>T("시계토끼")</f>
        <v>시계토끼</v>
      </c>
      <c r="K4306" t="str">
        <f>T("오만한 주인의 초상화")</f>
        <v>오만한 주인의 초상화</v>
      </c>
      <c r="L4306">
        <v>100</v>
      </c>
      <c r="M4306">
        <v>100</v>
      </c>
      <c r="N4306">
        <v>1</v>
      </c>
      <c r="O4306">
        <v>0</v>
      </c>
      <c r="P4306">
        <v>0</v>
      </c>
      <c r="Q4306">
        <v>0</v>
      </c>
      <c r="R4306">
        <v>0</v>
      </c>
      <c r="S4306">
        <v>0</v>
      </c>
      <c r="T4306">
        <v>0</v>
      </c>
      <c r="U4306">
        <v>0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0</v>
      </c>
      <c r="AE4306">
        <v>0</v>
      </c>
      <c r="AF4306">
        <v>0</v>
      </c>
      <c r="AG4306">
        <v>0</v>
      </c>
      <c r="AH4306">
        <v>0</v>
      </c>
      <c r="AI4306">
        <v>100</v>
      </c>
      <c r="AJ4306">
        <v>1</v>
      </c>
      <c r="AK4306">
        <v>0</v>
      </c>
      <c r="AL4306">
        <v>0</v>
      </c>
      <c r="AM4306">
        <v>0</v>
      </c>
      <c r="AN4306">
        <v>0</v>
      </c>
      <c r="AO4306">
        <v>120</v>
      </c>
      <c r="AP4306">
        <v>-12</v>
      </c>
      <c r="AQ4306">
        <v>0</v>
      </c>
      <c r="AS4306">
        <v>0</v>
      </c>
      <c r="AT4306">
        <v>0</v>
      </c>
      <c r="AU4306">
        <v>120</v>
      </c>
      <c r="AV4306">
        <v>-12</v>
      </c>
      <c r="AW4306">
        <v>0</v>
      </c>
      <c r="AY4306">
        <v>0</v>
      </c>
      <c r="AZ4306">
        <v>0</v>
      </c>
      <c r="BA4306">
        <v>75.599999999999994</v>
      </c>
      <c r="BE4306" t="str">
        <f>T("9791164099740")</f>
        <v>9791164099740</v>
      </c>
      <c r="BF4306" t="str">
        <f>T("k200183")</f>
        <v>k200183</v>
      </c>
      <c r="BG4306" t="str">
        <f>T("로판 웹소설 &gt; 서양풍 로판")</f>
        <v>로판 웹소설 &gt; 서양풍 로판</v>
      </c>
    </row>
    <row r="4307" spans="1:59">
      <c r="A4307" t="s">
        <v>60</v>
      </c>
      <c r="B4307" s="1">
        <v>46131</v>
      </c>
      <c r="C4307">
        <v>2378059328</v>
      </c>
      <c r="D4307">
        <v>2378059383</v>
      </c>
      <c r="E4307" t="str">
        <f>T("오만한 주인의 초상화 56화")</f>
        <v>오만한 주인의 초상화 56화</v>
      </c>
      <c r="F4307">
        <v>56</v>
      </c>
      <c r="G4307" t="str">
        <f>T("offnun")</f>
        <v>offnun</v>
      </c>
      <c r="J4307" t="str">
        <f>T("시계토끼")</f>
        <v>시계토끼</v>
      </c>
      <c r="K4307" t="str">
        <f>T("오만한 주인의 초상화")</f>
        <v>오만한 주인의 초상화</v>
      </c>
      <c r="L4307">
        <v>100</v>
      </c>
      <c r="M4307">
        <v>100</v>
      </c>
      <c r="N4307">
        <v>1</v>
      </c>
      <c r="O4307">
        <v>0</v>
      </c>
      <c r="P4307">
        <v>0</v>
      </c>
      <c r="Q4307">
        <v>0</v>
      </c>
      <c r="R4307">
        <v>0</v>
      </c>
      <c r="S4307">
        <v>0</v>
      </c>
      <c r="T4307">
        <v>0</v>
      </c>
      <c r="U4307">
        <v>0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0</v>
      </c>
      <c r="AE4307">
        <v>0</v>
      </c>
      <c r="AF4307">
        <v>0</v>
      </c>
      <c r="AG4307">
        <v>0</v>
      </c>
      <c r="AH4307">
        <v>0</v>
      </c>
      <c r="AI4307">
        <v>100</v>
      </c>
      <c r="AJ4307">
        <v>1</v>
      </c>
      <c r="AK4307">
        <v>0</v>
      </c>
      <c r="AL4307">
        <v>0</v>
      </c>
      <c r="AM4307">
        <v>0</v>
      </c>
      <c r="AN4307">
        <v>0</v>
      </c>
      <c r="AO4307">
        <v>120</v>
      </c>
      <c r="AP4307">
        <v>-12</v>
      </c>
      <c r="AQ4307">
        <v>0</v>
      </c>
      <c r="AS4307">
        <v>0</v>
      </c>
      <c r="AT4307">
        <v>0</v>
      </c>
      <c r="AU4307">
        <v>120</v>
      </c>
      <c r="AV4307">
        <v>-12</v>
      </c>
      <c r="AW4307">
        <v>0</v>
      </c>
      <c r="AY4307">
        <v>0</v>
      </c>
      <c r="AZ4307">
        <v>0</v>
      </c>
      <c r="BA4307">
        <v>75.599999999999994</v>
      </c>
      <c r="BE4307" t="str">
        <f>T("9791164099740")</f>
        <v>9791164099740</v>
      </c>
      <c r="BF4307" t="str">
        <f>T("k200184")</f>
        <v>k200184</v>
      </c>
      <c r="BG4307" t="str">
        <f>T("로판 웹소설 &gt; 서양풍 로판")</f>
        <v>로판 웹소설 &gt; 서양풍 로판</v>
      </c>
    </row>
    <row r="4308" spans="1:59">
      <c r="A4308" t="s">
        <v>60</v>
      </c>
      <c r="B4308" s="1">
        <v>46131</v>
      </c>
      <c r="C4308">
        <v>2378059328</v>
      </c>
      <c r="D4308">
        <v>2378059384</v>
      </c>
      <c r="E4308" t="str">
        <f>T("오만한 주인의 초상화 57화")</f>
        <v>오만한 주인의 초상화 57화</v>
      </c>
      <c r="F4308">
        <v>57</v>
      </c>
      <c r="G4308" t="str">
        <f>T("offnun")</f>
        <v>offnun</v>
      </c>
      <c r="J4308" t="str">
        <f>T("시계토끼")</f>
        <v>시계토끼</v>
      </c>
      <c r="K4308" t="str">
        <f>T("오만한 주인의 초상화")</f>
        <v>오만한 주인의 초상화</v>
      </c>
      <c r="L4308">
        <v>100</v>
      </c>
      <c r="M4308">
        <v>100</v>
      </c>
      <c r="N4308">
        <v>1</v>
      </c>
      <c r="O4308">
        <v>0</v>
      </c>
      <c r="P4308">
        <v>0</v>
      </c>
      <c r="Q4308">
        <v>0</v>
      </c>
      <c r="R4308">
        <v>0</v>
      </c>
      <c r="S4308">
        <v>0</v>
      </c>
      <c r="T4308">
        <v>0</v>
      </c>
      <c r="U4308">
        <v>0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0</v>
      </c>
      <c r="AE4308">
        <v>0</v>
      </c>
      <c r="AF4308">
        <v>0</v>
      </c>
      <c r="AG4308">
        <v>0</v>
      </c>
      <c r="AH4308">
        <v>0</v>
      </c>
      <c r="AI4308">
        <v>100</v>
      </c>
      <c r="AJ4308">
        <v>1</v>
      </c>
      <c r="AK4308">
        <v>0</v>
      </c>
      <c r="AL4308">
        <v>0</v>
      </c>
      <c r="AM4308">
        <v>0</v>
      </c>
      <c r="AN4308">
        <v>0</v>
      </c>
      <c r="AO4308">
        <v>120</v>
      </c>
      <c r="AP4308">
        <v>-12</v>
      </c>
      <c r="AQ4308">
        <v>0</v>
      </c>
      <c r="AS4308">
        <v>0</v>
      </c>
      <c r="AT4308">
        <v>0</v>
      </c>
      <c r="AU4308">
        <v>120</v>
      </c>
      <c r="AV4308">
        <v>-12</v>
      </c>
      <c r="AW4308">
        <v>0</v>
      </c>
      <c r="AY4308">
        <v>0</v>
      </c>
      <c r="AZ4308">
        <v>0</v>
      </c>
      <c r="BA4308">
        <v>75.599999999999994</v>
      </c>
      <c r="BE4308" t="str">
        <f>T("9791164099740")</f>
        <v>9791164099740</v>
      </c>
      <c r="BF4308" t="str">
        <f>T("k200185")</f>
        <v>k200185</v>
      </c>
      <c r="BG4308" t="str">
        <f>T("로판 웹소설 &gt; 서양풍 로판")</f>
        <v>로판 웹소설 &gt; 서양풍 로판</v>
      </c>
    </row>
    <row r="4309" spans="1:59">
      <c r="A4309" t="s">
        <v>60</v>
      </c>
      <c r="B4309" s="1">
        <v>46131</v>
      </c>
      <c r="C4309">
        <v>2378059328</v>
      </c>
      <c r="D4309">
        <v>2378059385</v>
      </c>
      <c r="E4309" t="str">
        <f>T("오만한 주인의 초상화 58화")</f>
        <v>오만한 주인의 초상화 58화</v>
      </c>
      <c r="F4309">
        <v>58</v>
      </c>
      <c r="G4309" t="str">
        <f>T("offnun")</f>
        <v>offnun</v>
      </c>
      <c r="J4309" t="str">
        <f>T("시계토끼")</f>
        <v>시계토끼</v>
      </c>
      <c r="K4309" t="str">
        <f>T("오만한 주인의 초상화")</f>
        <v>오만한 주인의 초상화</v>
      </c>
      <c r="L4309">
        <v>100</v>
      </c>
      <c r="M4309">
        <v>100</v>
      </c>
      <c r="N4309">
        <v>1</v>
      </c>
      <c r="O4309">
        <v>0</v>
      </c>
      <c r="P4309">
        <v>0</v>
      </c>
      <c r="Q4309">
        <v>0</v>
      </c>
      <c r="R4309">
        <v>0</v>
      </c>
      <c r="S4309">
        <v>0</v>
      </c>
      <c r="T4309">
        <v>0</v>
      </c>
      <c r="U4309">
        <v>0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0</v>
      </c>
      <c r="AE4309">
        <v>0</v>
      </c>
      <c r="AF4309">
        <v>0</v>
      </c>
      <c r="AG4309">
        <v>0</v>
      </c>
      <c r="AH4309">
        <v>0</v>
      </c>
      <c r="AI4309">
        <v>100</v>
      </c>
      <c r="AJ4309">
        <v>1</v>
      </c>
      <c r="AK4309">
        <v>0</v>
      </c>
      <c r="AL4309">
        <v>0</v>
      </c>
      <c r="AM4309">
        <v>0</v>
      </c>
      <c r="AN4309">
        <v>0</v>
      </c>
      <c r="AO4309">
        <v>120</v>
      </c>
      <c r="AP4309">
        <v>-12</v>
      </c>
      <c r="AQ4309">
        <v>0</v>
      </c>
      <c r="AS4309">
        <v>0</v>
      </c>
      <c r="AT4309">
        <v>0</v>
      </c>
      <c r="AU4309">
        <v>120</v>
      </c>
      <c r="AV4309">
        <v>-12</v>
      </c>
      <c r="AW4309">
        <v>0</v>
      </c>
      <c r="AY4309">
        <v>0</v>
      </c>
      <c r="AZ4309">
        <v>0</v>
      </c>
      <c r="BA4309">
        <v>75.599999999999994</v>
      </c>
      <c r="BE4309" t="str">
        <f>T("9791164099740")</f>
        <v>9791164099740</v>
      </c>
      <c r="BF4309" t="str">
        <f>T("k200186")</f>
        <v>k200186</v>
      </c>
      <c r="BG4309" t="str">
        <f>T("로판 웹소설 &gt; 서양풍 로판")</f>
        <v>로판 웹소설 &gt; 서양풍 로판</v>
      </c>
    </row>
    <row r="4310" spans="1:59">
      <c r="A4310" t="s">
        <v>60</v>
      </c>
      <c r="B4310" s="1">
        <v>46131</v>
      </c>
      <c r="C4310">
        <v>2378059328</v>
      </c>
      <c r="D4310">
        <v>2378059386</v>
      </c>
      <c r="E4310" t="str">
        <f>T("오만한 주인의 초상화 59화")</f>
        <v>오만한 주인의 초상화 59화</v>
      </c>
      <c r="F4310">
        <v>59</v>
      </c>
      <c r="G4310" t="str">
        <f>T("offnun")</f>
        <v>offnun</v>
      </c>
      <c r="J4310" t="str">
        <f>T("시계토끼")</f>
        <v>시계토끼</v>
      </c>
      <c r="K4310" t="str">
        <f>T("오만한 주인의 초상화")</f>
        <v>오만한 주인의 초상화</v>
      </c>
      <c r="L4310">
        <v>100</v>
      </c>
      <c r="M4310">
        <v>100</v>
      </c>
      <c r="N4310">
        <v>1</v>
      </c>
      <c r="O4310">
        <v>0</v>
      </c>
      <c r="P4310">
        <v>0</v>
      </c>
      <c r="Q4310">
        <v>0</v>
      </c>
      <c r="R4310">
        <v>0</v>
      </c>
      <c r="S4310">
        <v>0</v>
      </c>
      <c r="T4310">
        <v>0</v>
      </c>
      <c r="U4310">
        <v>0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0</v>
      </c>
      <c r="AE4310">
        <v>0</v>
      </c>
      <c r="AF4310">
        <v>0</v>
      </c>
      <c r="AG4310">
        <v>0</v>
      </c>
      <c r="AH4310">
        <v>0</v>
      </c>
      <c r="AI4310">
        <v>100</v>
      </c>
      <c r="AJ4310">
        <v>1</v>
      </c>
      <c r="AK4310">
        <v>0</v>
      </c>
      <c r="AL4310">
        <v>0</v>
      </c>
      <c r="AM4310">
        <v>0</v>
      </c>
      <c r="AN4310">
        <v>0</v>
      </c>
      <c r="AO4310">
        <v>120</v>
      </c>
      <c r="AP4310">
        <v>-12</v>
      </c>
      <c r="AQ4310">
        <v>0</v>
      </c>
      <c r="AS4310">
        <v>0</v>
      </c>
      <c r="AT4310">
        <v>0</v>
      </c>
      <c r="AU4310">
        <v>120</v>
      </c>
      <c r="AV4310">
        <v>-12</v>
      </c>
      <c r="AW4310">
        <v>0</v>
      </c>
      <c r="AY4310">
        <v>0</v>
      </c>
      <c r="AZ4310">
        <v>0</v>
      </c>
      <c r="BA4310">
        <v>75.599999999999994</v>
      </c>
      <c r="BE4310" t="str">
        <f>T("9791164099740")</f>
        <v>9791164099740</v>
      </c>
      <c r="BF4310" t="str">
        <f>T("k200187")</f>
        <v>k200187</v>
      </c>
      <c r="BG4310" t="str">
        <f>T("로판 웹소설 &gt; 서양풍 로판")</f>
        <v>로판 웹소설 &gt; 서양풍 로판</v>
      </c>
    </row>
    <row r="4311" spans="1:59">
      <c r="A4311" t="s">
        <v>60</v>
      </c>
      <c r="B4311" s="1">
        <v>46131</v>
      </c>
      <c r="C4311">
        <v>2378059328</v>
      </c>
      <c r="D4311">
        <v>2378059387</v>
      </c>
      <c r="E4311" t="str">
        <f>T("오만한 주인의 초상화 60화")</f>
        <v>오만한 주인의 초상화 60화</v>
      </c>
      <c r="F4311">
        <v>60</v>
      </c>
      <c r="G4311" t="str">
        <f>T("offnun")</f>
        <v>offnun</v>
      </c>
      <c r="J4311" t="str">
        <f>T("시계토끼")</f>
        <v>시계토끼</v>
      </c>
      <c r="K4311" t="str">
        <f>T("오만한 주인의 초상화")</f>
        <v>오만한 주인의 초상화</v>
      </c>
      <c r="L4311">
        <v>100</v>
      </c>
      <c r="M4311">
        <v>100</v>
      </c>
      <c r="N4311">
        <v>1</v>
      </c>
      <c r="O4311">
        <v>0</v>
      </c>
      <c r="P4311">
        <v>0</v>
      </c>
      <c r="Q4311">
        <v>0</v>
      </c>
      <c r="R4311">
        <v>0</v>
      </c>
      <c r="S4311">
        <v>0</v>
      </c>
      <c r="T4311">
        <v>0</v>
      </c>
      <c r="U4311">
        <v>0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0</v>
      </c>
      <c r="AE4311">
        <v>0</v>
      </c>
      <c r="AF4311">
        <v>0</v>
      </c>
      <c r="AG4311">
        <v>0</v>
      </c>
      <c r="AH4311">
        <v>0</v>
      </c>
      <c r="AI4311">
        <v>100</v>
      </c>
      <c r="AJ4311">
        <v>1</v>
      </c>
      <c r="AK4311">
        <v>0</v>
      </c>
      <c r="AL4311">
        <v>0</v>
      </c>
      <c r="AM4311">
        <v>0</v>
      </c>
      <c r="AN4311">
        <v>0</v>
      </c>
      <c r="AO4311">
        <v>120</v>
      </c>
      <c r="AP4311">
        <v>-12</v>
      </c>
      <c r="AQ4311">
        <v>0</v>
      </c>
      <c r="AS4311">
        <v>0</v>
      </c>
      <c r="AT4311">
        <v>0</v>
      </c>
      <c r="AU4311">
        <v>120</v>
      </c>
      <c r="AV4311">
        <v>-12</v>
      </c>
      <c r="AW4311">
        <v>0</v>
      </c>
      <c r="AY4311">
        <v>0</v>
      </c>
      <c r="AZ4311">
        <v>0</v>
      </c>
      <c r="BA4311">
        <v>75.599999999999994</v>
      </c>
      <c r="BE4311" t="str">
        <f>T("9791164099740")</f>
        <v>9791164099740</v>
      </c>
      <c r="BF4311" t="str">
        <f>T("k200188")</f>
        <v>k200188</v>
      </c>
      <c r="BG4311" t="str">
        <f>T("로판 웹소설 &gt; 서양풍 로판")</f>
        <v>로판 웹소설 &gt; 서양풍 로판</v>
      </c>
    </row>
    <row r="4312" spans="1:59">
      <c r="A4312" t="s">
        <v>60</v>
      </c>
      <c r="B4312" s="1">
        <v>46131</v>
      </c>
      <c r="C4312">
        <v>2378059328</v>
      </c>
      <c r="D4312">
        <v>2378059526</v>
      </c>
      <c r="E4312" t="str">
        <f>T("오만한 주인의 초상화 61화")</f>
        <v>오만한 주인의 초상화 61화</v>
      </c>
      <c r="F4312">
        <v>61</v>
      </c>
      <c r="G4312" t="str">
        <f>T("offnun")</f>
        <v>offnun</v>
      </c>
      <c r="J4312" t="str">
        <f>T("시계토끼")</f>
        <v>시계토끼</v>
      </c>
      <c r="K4312" t="str">
        <f>T("오만한 주인의 초상화")</f>
        <v>오만한 주인의 초상화</v>
      </c>
      <c r="L4312">
        <v>100</v>
      </c>
      <c r="M4312">
        <v>100</v>
      </c>
      <c r="N4312">
        <v>1</v>
      </c>
      <c r="O4312">
        <v>0</v>
      </c>
      <c r="P4312">
        <v>0</v>
      </c>
      <c r="Q4312">
        <v>0</v>
      </c>
      <c r="R4312">
        <v>0</v>
      </c>
      <c r="S4312">
        <v>0</v>
      </c>
      <c r="T4312">
        <v>0</v>
      </c>
      <c r="U4312">
        <v>0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0</v>
      </c>
      <c r="AE4312">
        <v>0</v>
      </c>
      <c r="AF4312">
        <v>0</v>
      </c>
      <c r="AG4312">
        <v>0</v>
      </c>
      <c r="AH4312">
        <v>0</v>
      </c>
      <c r="AI4312">
        <v>100</v>
      </c>
      <c r="AJ4312">
        <v>1</v>
      </c>
      <c r="AK4312">
        <v>0</v>
      </c>
      <c r="AL4312">
        <v>0</v>
      </c>
      <c r="AM4312">
        <v>0</v>
      </c>
      <c r="AN4312">
        <v>0</v>
      </c>
      <c r="AO4312">
        <v>120</v>
      </c>
      <c r="AP4312">
        <v>-12</v>
      </c>
      <c r="AQ4312">
        <v>0</v>
      </c>
      <c r="AS4312">
        <v>0</v>
      </c>
      <c r="AT4312">
        <v>0</v>
      </c>
      <c r="AU4312">
        <v>120</v>
      </c>
      <c r="AV4312">
        <v>-12</v>
      </c>
      <c r="AW4312">
        <v>0</v>
      </c>
      <c r="AY4312">
        <v>0</v>
      </c>
      <c r="AZ4312">
        <v>0</v>
      </c>
      <c r="BA4312">
        <v>75.599999999999994</v>
      </c>
      <c r="BE4312" t="str">
        <f>T("9791164099740")</f>
        <v>9791164099740</v>
      </c>
      <c r="BF4312" t="str">
        <f>T("k200189")</f>
        <v>k200189</v>
      </c>
      <c r="BG4312" t="str">
        <f>T("로판 웹소설 &gt; 서양풍 로판")</f>
        <v>로판 웹소설 &gt; 서양풍 로판</v>
      </c>
    </row>
    <row r="4313" spans="1:59">
      <c r="A4313" t="s">
        <v>60</v>
      </c>
      <c r="B4313" s="1">
        <v>46131</v>
      </c>
      <c r="C4313">
        <v>2378059328</v>
      </c>
      <c r="D4313">
        <v>2378059527</v>
      </c>
      <c r="E4313" t="str">
        <f>T("오만한 주인의 초상화 62화")</f>
        <v>오만한 주인의 초상화 62화</v>
      </c>
      <c r="F4313">
        <v>62</v>
      </c>
      <c r="G4313" t="str">
        <f>T("offnun")</f>
        <v>offnun</v>
      </c>
      <c r="J4313" t="str">
        <f>T("시계토끼")</f>
        <v>시계토끼</v>
      </c>
      <c r="K4313" t="str">
        <f>T("오만한 주인의 초상화")</f>
        <v>오만한 주인의 초상화</v>
      </c>
      <c r="L4313">
        <v>100</v>
      </c>
      <c r="M4313">
        <v>100</v>
      </c>
      <c r="N4313">
        <v>1</v>
      </c>
      <c r="O4313">
        <v>0</v>
      </c>
      <c r="P4313">
        <v>0</v>
      </c>
      <c r="Q4313">
        <v>0</v>
      </c>
      <c r="R4313">
        <v>0</v>
      </c>
      <c r="S4313">
        <v>0</v>
      </c>
      <c r="T4313">
        <v>0</v>
      </c>
      <c r="U4313">
        <v>0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0</v>
      </c>
      <c r="AE4313">
        <v>0</v>
      </c>
      <c r="AF4313">
        <v>0</v>
      </c>
      <c r="AG4313">
        <v>0</v>
      </c>
      <c r="AH4313">
        <v>0</v>
      </c>
      <c r="AI4313">
        <v>100</v>
      </c>
      <c r="AJ4313">
        <v>1</v>
      </c>
      <c r="AK4313">
        <v>0</v>
      </c>
      <c r="AL4313">
        <v>0</v>
      </c>
      <c r="AM4313">
        <v>0</v>
      </c>
      <c r="AN4313">
        <v>0</v>
      </c>
      <c r="AO4313">
        <v>120</v>
      </c>
      <c r="AP4313">
        <v>-12</v>
      </c>
      <c r="AQ4313">
        <v>0</v>
      </c>
      <c r="AS4313">
        <v>0</v>
      </c>
      <c r="AT4313">
        <v>0</v>
      </c>
      <c r="AU4313">
        <v>120</v>
      </c>
      <c r="AV4313">
        <v>-12</v>
      </c>
      <c r="AW4313">
        <v>0</v>
      </c>
      <c r="AY4313">
        <v>0</v>
      </c>
      <c r="AZ4313">
        <v>0</v>
      </c>
      <c r="BA4313">
        <v>75.599999999999994</v>
      </c>
      <c r="BE4313" t="str">
        <f>T("9791164099740")</f>
        <v>9791164099740</v>
      </c>
      <c r="BF4313" t="str">
        <f>T("k200190")</f>
        <v>k200190</v>
      </c>
      <c r="BG4313" t="str">
        <f>T("로판 웹소설 &gt; 서양풍 로판")</f>
        <v>로판 웹소설 &gt; 서양풍 로판</v>
      </c>
    </row>
    <row r="4314" spans="1:59">
      <c r="A4314" t="s">
        <v>60</v>
      </c>
      <c r="B4314" s="1">
        <v>46131</v>
      </c>
      <c r="C4314">
        <v>2378059328</v>
      </c>
      <c r="D4314">
        <v>2378059528</v>
      </c>
      <c r="E4314" t="str">
        <f>T("오만한 주인의 초상화 63화")</f>
        <v>오만한 주인의 초상화 63화</v>
      </c>
      <c r="F4314">
        <v>63</v>
      </c>
      <c r="G4314" t="str">
        <f>T("offnun")</f>
        <v>offnun</v>
      </c>
      <c r="J4314" t="str">
        <f>T("시계토끼")</f>
        <v>시계토끼</v>
      </c>
      <c r="K4314" t="str">
        <f>T("오만한 주인의 초상화")</f>
        <v>오만한 주인의 초상화</v>
      </c>
      <c r="L4314">
        <v>100</v>
      </c>
      <c r="M4314">
        <v>100</v>
      </c>
      <c r="N4314">
        <v>1</v>
      </c>
      <c r="O4314">
        <v>0</v>
      </c>
      <c r="P4314">
        <v>0</v>
      </c>
      <c r="Q4314">
        <v>0</v>
      </c>
      <c r="R4314">
        <v>0</v>
      </c>
      <c r="S4314">
        <v>0</v>
      </c>
      <c r="T4314">
        <v>0</v>
      </c>
      <c r="U4314">
        <v>0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0</v>
      </c>
      <c r="AE4314">
        <v>0</v>
      </c>
      <c r="AF4314">
        <v>0</v>
      </c>
      <c r="AG4314">
        <v>0</v>
      </c>
      <c r="AH4314">
        <v>0</v>
      </c>
      <c r="AI4314">
        <v>100</v>
      </c>
      <c r="AJ4314">
        <v>1</v>
      </c>
      <c r="AK4314">
        <v>0</v>
      </c>
      <c r="AL4314">
        <v>0</v>
      </c>
      <c r="AM4314">
        <v>0</v>
      </c>
      <c r="AN4314">
        <v>0</v>
      </c>
      <c r="AO4314">
        <v>120</v>
      </c>
      <c r="AP4314">
        <v>-12</v>
      </c>
      <c r="AQ4314">
        <v>0</v>
      </c>
      <c r="AS4314">
        <v>0</v>
      </c>
      <c r="AT4314">
        <v>0</v>
      </c>
      <c r="AU4314">
        <v>120</v>
      </c>
      <c r="AV4314">
        <v>-12</v>
      </c>
      <c r="AW4314">
        <v>0</v>
      </c>
      <c r="AY4314">
        <v>0</v>
      </c>
      <c r="AZ4314">
        <v>0</v>
      </c>
      <c r="BA4314">
        <v>75.599999999999994</v>
      </c>
      <c r="BE4314" t="str">
        <f>T("9791164099740")</f>
        <v>9791164099740</v>
      </c>
      <c r="BF4314" t="str">
        <f>T("k200191")</f>
        <v>k200191</v>
      </c>
      <c r="BG4314" t="str">
        <f>T("로판 웹소설 &gt; 서양풍 로판")</f>
        <v>로판 웹소설 &gt; 서양풍 로판</v>
      </c>
    </row>
    <row r="4315" spans="1:59">
      <c r="A4315" t="s">
        <v>60</v>
      </c>
      <c r="B4315" s="1">
        <v>46131</v>
      </c>
      <c r="C4315">
        <v>2378059328</v>
      </c>
      <c r="D4315">
        <v>2378059529</v>
      </c>
      <c r="E4315" t="str">
        <f>T("오만한 주인의 초상화 64화")</f>
        <v>오만한 주인의 초상화 64화</v>
      </c>
      <c r="F4315">
        <v>64</v>
      </c>
      <c r="G4315" t="str">
        <f>T("offnun")</f>
        <v>offnun</v>
      </c>
      <c r="J4315" t="str">
        <f>T("시계토끼")</f>
        <v>시계토끼</v>
      </c>
      <c r="K4315" t="str">
        <f>T("오만한 주인의 초상화")</f>
        <v>오만한 주인의 초상화</v>
      </c>
      <c r="L4315">
        <v>100</v>
      </c>
      <c r="M4315">
        <v>100</v>
      </c>
      <c r="N4315">
        <v>1</v>
      </c>
      <c r="O4315">
        <v>0</v>
      </c>
      <c r="P4315">
        <v>0</v>
      </c>
      <c r="Q4315">
        <v>0</v>
      </c>
      <c r="R4315">
        <v>0</v>
      </c>
      <c r="S4315">
        <v>0</v>
      </c>
      <c r="T4315">
        <v>0</v>
      </c>
      <c r="U4315">
        <v>0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0</v>
      </c>
      <c r="AE4315">
        <v>0</v>
      </c>
      <c r="AF4315">
        <v>0</v>
      </c>
      <c r="AG4315">
        <v>0</v>
      </c>
      <c r="AH4315">
        <v>0</v>
      </c>
      <c r="AI4315">
        <v>100</v>
      </c>
      <c r="AJ4315">
        <v>1</v>
      </c>
      <c r="AK4315">
        <v>0</v>
      </c>
      <c r="AL4315">
        <v>0</v>
      </c>
      <c r="AM4315">
        <v>0</v>
      </c>
      <c r="AN4315">
        <v>0</v>
      </c>
      <c r="AO4315">
        <v>120</v>
      </c>
      <c r="AP4315">
        <v>-12</v>
      </c>
      <c r="AQ4315">
        <v>0</v>
      </c>
      <c r="AS4315">
        <v>0</v>
      </c>
      <c r="AT4315">
        <v>0</v>
      </c>
      <c r="AU4315">
        <v>120</v>
      </c>
      <c r="AV4315">
        <v>-12</v>
      </c>
      <c r="AW4315">
        <v>0</v>
      </c>
      <c r="AY4315">
        <v>0</v>
      </c>
      <c r="AZ4315">
        <v>0</v>
      </c>
      <c r="BA4315">
        <v>75.599999999999994</v>
      </c>
      <c r="BE4315" t="str">
        <f>T("9791164099740")</f>
        <v>9791164099740</v>
      </c>
      <c r="BF4315" t="str">
        <f>T("k200192")</f>
        <v>k200192</v>
      </c>
      <c r="BG4315" t="str">
        <f>T("로판 웹소설 &gt; 서양풍 로판")</f>
        <v>로판 웹소설 &gt; 서양풍 로판</v>
      </c>
    </row>
    <row r="4316" spans="1:59">
      <c r="A4316" t="s">
        <v>60</v>
      </c>
      <c r="B4316" s="1">
        <v>46131</v>
      </c>
      <c r="C4316">
        <v>2378059328</v>
      </c>
      <c r="D4316">
        <v>2378059530</v>
      </c>
      <c r="E4316" t="str">
        <f>T("오만한 주인의 초상화 65화")</f>
        <v>오만한 주인의 초상화 65화</v>
      </c>
      <c r="F4316">
        <v>65</v>
      </c>
      <c r="G4316" t="str">
        <f>T("offnun")</f>
        <v>offnun</v>
      </c>
      <c r="J4316" t="str">
        <f>T("시계토끼")</f>
        <v>시계토끼</v>
      </c>
      <c r="K4316" t="str">
        <f>T("오만한 주인의 초상화")</f>
        <v>오만한 주인의 초상화</v>
      </c>
      <c r="L4316">
        <v>100</v>
      </c>
      <c r="M4316">
        <v>100</v>
      </c>
      <c r="N4316">
        <v>1</v>
      </c>
      <c r="O4316">
        <v>0</v>
      </c>
      <c r="P4316">
        <v>0</v>
      </c>
      <c r="Q4316">
        <v>0</v>
      </c>
      <c r="R4316">
        <v>0</v>
      </c>
      <c r="S4316">
        <v>0</v>
      </c>
      <c r="T4316">
        <v>0</v>
      </c>
      <c r="U4316">
        <v>0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0</v>
      </c>
      <c r="AE4316">
        <v>0</v>
      </c>
      <c r="AF4316">
        <v>0</v>
      </c>
      <c r="AG4316">
        <v>0</v>
      </c>
      <c r="AH4316">
        <v>0</v>
      </c>
      <c r="AI4316">
        <v>100</v>
      </c>
      <c r="AJ4316">
        <v>1</v>
      </c>
      <c r="AK4316">
        <v>0</v>
      </c>
      <c r="AL4316">
        <v>0</v>
      </c>
      <c r="AM4316">
        <v>0</v>
      </c>
      <c r="AN4316">
        <v>0</v>
      </c>
      <c r="AO4316">
        <v>120</v>
      </c>
      <c r="AP4316">
        <v>-12</v>
      </c>
      <c r="AQ4316">
        <v>0</v>
      </c>
      <c r="AS4316">
        <v>0</v>
      </c>
      <c r="AT4316">
        <v>0</v>
      </c>
      <c r="AU4316">
        <v>120</v>
      </c>
      <c r="AV4316">
        <v>-12</v>
      </c>
      <c r="AW4316">
        <v>0</v>
      </c>
      <c r="AY4316">
        <v>0</v>
      </c>
      <c r="AZ4316">
        <v>0</v>
      </c>
      <c r="BA4316">
        <v>75.599999999999994</v>
      </c>
      <c r="BE4316" t="str">
        <f>T("9791164099740")</f>
        <v>9791164099740</v>
      </c>
      <c r="BF4316" t="str">
        <f>T("k200193")</f>
        <v>k200193</v>
      </c>
      <c r="BG4316" t="str">
        <f>T("로판 웹소설 &gt; 서양풍 로판")</f>
        <v>로판 웹소설 &gt; 서양풍 로판</v>
      </c>
    </row>
    <row r="4317" spans="1:59">
      <c r="A4317" t="s">
        <v>60</v>
      </c>
      <c r="B4317" s="1">
        <v>46131</v>
      </c>
      <c r="C4317">
        <v>2378059328</v>
      </c>
      <c r="D4317">
        <v>2378059531</v>
      </c>
      <c r="E4317" t="str">
        <f>T("오만한 주인의 초상화 66화")</f>
        <v>오만한 주인의 초상화 66화</v>
      </c>
      <c r="F4317">
        <v>66</v>
      </c>
      <c r="G4317" t="str">
        <f>T("offnun")</f>
        <v>offnun</v>
      </c>
      <c r="J4317" t="str">
        <f>T("시계토끼")</f>
        <v>시계토끼</v>
      </c>
      <c r="K4317" t="str">
        <f>T("오만한 주인의 초상화")</f>
        <v>오만한 주인의 초상화</v>
      </c>
      <c r="L4317">
        <v>100</v>
      </c>
      <c r="M4317">
        <v>100</v>
      </c>
      <c r="N4317">
        <v>1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0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0</v>
      </c>
      <c r="AE4317">
        <v>0</v>
      </c>
      <c r="AF4317">
        <v>0</v>
      </c>
      <c r="AG4317">
        <v>0</v>
      </c>
      <c r="AH4317">
        <v>0</v>
      </c>
      <c r="AI4317">
        <v>100</v>
      </c>
      <c r="AJ4317">
        <v>1</v>
      </c>
      <c r="AK4317">
        <v>0</v>
      </c>
      <c r="AL4317">
        <v>0</v>
      </c>
      <c r="AM4317">
        <v>0</v>
      </c>
      <c r="AN4317">
        <v>0</v>
      </c>
      <c r="AO4317">
        <v>120</v>
      </c>
      <c r="AP4317">
        <v>-12</v>
      </c>
      <c r="AQ4317">
        <v>0</v>
      </c>
      <c r="AS4317">
        <v>0</v>
      </c>
      <c r="AT4317">
        <v>0</v>
      </c>
      <c r="AU4317">
        <v>120</v>
      </c>
      <c r="AV4317">
        <v>-12</v>
      </c>
      <c r="AW4317">
        <v>0</v>
      </c>
      <c r="AY4317">
        <v>0</v>
      </c>
      <c r="AZ4317">
        <v>0</v>
      </c>
      <c r="BA4317">
        <v>75.599999999999994</v>
      </c>
      <c r="BE4317" t="str">
        <f>T("9791164099740")</f>
        <v>9791164099740</v>
      </c>
      <c r="BF4317" t="str">
        <f>T("k200194")</f>
        <v>k200194</v>
      </c>
      <c r="BG4317" t="str">
        <f>T("로판 웹소설 &gt; 서양풍 로판")</f>
        <v>로판 웹소설 &gt; 서양풍 로판</v>
      </c>
    </row>
    <row r="4318" spans="1:59">
      <c r="A4318" t="s">
        <v>60</v>
      </c>
      <c r="B4318" s="1">
        <v>46131</v>
      </c>
      <c r="C4318">
        <v>2378059328</v>
      </c>
      <c r="D4318">
        <v>2378059532</v>
      </c>
      <c r="E4318" t="str">
        <f>T("오만한 주인의 초상화 67화")</f>
        <v>오만한 주인의 초상화 67화</v>
      </c>
      <c r="F4318">
        <v>67</v>
      </c>
      <c r="G4318" t="str">
        <f>T("offnun")</f>
        <v>offnun</v>
      </c>
      <c r="J4318" t="str">
        <f>T("시계토끼")</f>
        <v>시계토끼</v>
      </c>
      <c r="K4318" t="str">
        <f>T("오만한 주인의 초상화")</f>
        <v>오만한 주인의 초상화</v>
      </c>
      <c r="L4318">
        <v>100</v>
      </c>
      <c r="M4318">
        <v>100</v>
      </c>
      <c r="N4318">
        <v>1</v>
      </c>
      <c r="O4318">
        <v>0</v>
      </c>
      <c r="P4318">
        <v>0</v>
      </c>
      <c r="Q4318">
        <v>0</v>
      </c>
      <c r="R4318">
        <v>0</v>
      </c>
      <c r="S4318">
        <v>0</v>
      </c>
      <c r="T4318">
        <v>0</v>
      </c>
      <c r="U4318">
        <v>0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0</v>
      </c>
      <c r="AE4318">
        <v>0</v>
      </c>
      <c r="AF4318">
        <v>0</v>
      </c>
      <c r="AG4318">
        <v>0</v>
      </c>
      <c r="AH4318">
        <v>0</v>
      </c>
      <c r="AI4318">
        <v>100</v>
      </c>
      <c r="AJ4318">
        <v>1</v>
      </c>
      <c r="AK4318">
        <v>0</v>
      </c>
      <c r="AL4318">
        <v>0</v>
      </c>
      <c r="AM4318">
        <v>0</v>
      </c>
      <c r="AN4318">
        <v>0</v>
      </c>
      <c r="AO4318">
        <v>120</v>
      </c>
      <c r="AP4318">
        <v>-12</v>
      </c>
      <c r="AQ4318">
        <v>0</v>
      </c>
      <c r="AS4318">
        <v>0</v>
      </c>
      <c r="AT4318">
        <v>0</v>
      </c>
      <c r="AU4318">
        <v>120</v>
      </c>
      <c r="AV4318">
        <v>-12</v>
      </c>
      <c r="AW4318">
        <v>0</v>
      </c>
      <c r="AY4318">
        <v>0</v>
      </c>
      <c r="AZ4318">
        <v>0</v>
      </c>
      <c r="BA4318">
        <v>75.599999999999994</v>
      </c>
      <c r="BE4318" t="str">
        <f>T("9791164099740")</f>
        <v>9791164099740</v>
      </c>
      <c r="BF4318" t="str">
        <f>T("k200195")</f>
        <v>k200195</v>
      </c>
      <c r="BG4318" t="str">
        <f>T("로판 웹소설 &gt; 서양풍 로판")</f>
        <v>로판 웹소설 &gt; 서양풍 로판</v>
      </c>
    </row>
    <row r="4319" spans="1:59">
      <c r="A4319" t="s">
        <v>60</v>
      </c>
      <c r="B4319" s="1">
        <v>46131</v>
      </c>
      <c r="C4319">
        <v>2378059328</v>
      </c>
      <c r="D4319">
        <v>2378059533</v>
      </c>
      <c r="E4319" t="str">
        <f>T("오만한 주인의 초상화 68화")</f>
        <v>오만한 주인의 초상화 68화</v>
      </c>
      <c r="F4319">
        <v>68</v>
      </c>
      <c r="G4319" t="str">
        <f>T("offnun")</f>
        <v>offnun</v>
      </c>
      <c r="J4319" t="str">
        <f>T("시계토끼")</f>
        <v>시계토끼</v>
      </c>
      <c r="K4319" t="str">
        <f>T("오만한 주인의 초상화")</f>
        <v>오만한 주인의 초상화</v>
      </c>
      <c r="L4319">
        <v>100</v>
      </c>
      <c r="M4319">
        <v>100</v>
      </c>
      <c r="N4319">
        <v>1</v>
      </c>
      <c r="O4319">
        <v>0</v>
      </c>
      <c r="P4319">
        <v>0</v>
      </c>
      <c r="Q4319">
        <v>0</v>
      </c>
      <c r="R4319">
        <v>0</v>
      </c>
      <c r="S4319">
        <v>0</v>
      </c>
      <c r="T4319">
        <v>0</v>
      </c>
      <c r="U4319">
        <v>0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0</v>
      </c>
      <c r="AE4319">
        <v>0</v>
      </c>
      <c r="AF4319">
        <v>0</v>
      </c>
      <c r="AG4319">
        <v>0</v>
      </c>
      <c r="AH4319">
        <v>0</v>
      </c>
      <c r="AI4319">
        <v>100</v>
      </c>
      <c r="AJ4319">
        <v>1</v>
      </c>
      <c r="AK4319">
        <v>0</v>
      </c>
      <c r="AL4319">
        <v>0</v>
      </c>
      <c r="AM4319">
        <v>0</v>
      </c>
      <c r="AN4319">
        <v>0</v>
      </c>
      <c r="AO4319">
        <v>120</v>
      </c>
      <c r="AP4319">
        <v>-12</v>
      </c>
      <c r="AQ4319">
        <v>0</v>
      </c>
      <c r="AS4319">
        <v>0</v>
      </c>
      <c r="AT4319">
        <v>0</v>
      </c>
      <c r="AU4319">
        <v>120</v>
      </c>
      <c r="AV4319">
        <v>-12</v>
      </c>
      <c r="AW4319">
        <v>0</v>
      </c>
      <c r="AY4319">
        <v>0</v>
      </c>
      <c r="AZ4319">
        <v>0</v>
      </c>
      <c r="BA4319">
        <v>75.599999999999994</v>
      </c>
      <c r="BE4319" t="str">
        <f>T("9791164099740")</f>
        <v>9791164099740</v>
      </c>
      <c r="BF4319" t="str">
        <f>T("k200196")</f>
        <v>k200196</v>
      </c>
      <c r="BG4319" t="str">
        <f>T("로판 웹소설 &gt; 서양풍 로판")</f>
        <v>로판 웹소설 &gt; 서양풍 로판</v>
      </c>
    </row>
    <row r="4320" spans="1:59">
      <c r="A4320" t="s">
        <v>60</v>
      </c>
      <c r="B4320" s="1">
        <v>46131</v>
      </c>
      <c r="C4320">
        <v>2378059328</v>
      </c>
      <c r="D4320">
        <v>2378060074</v>
      </c>
      <c r="E4320" t="str">
        <f>T("오만한 주인의 초상화 69화")</f>
        <v>오만한 주인의 초상화 69화</v>
      </c>
      <c r="F4320">
        <v>69</v>
      </c>
      <c r="G4320" t="str">
        <f>T("offnun")</f>
        <v>offnun</v>
      </c>
      <c r="J4320" t="str">
        <f>T("시계토끼")</f>
        <v>시계토끼</v>
      </c>
      <c r="K4320" t="str">
        <f>T("오만한 주인의 초상화")</f>
        <v>오만한 주인의 초상화</v>
      </c>
      <c r="L4320">
        <v>100</v>
      </c>
      <c r="M4320">
        <v>100</v>
      </c>
      <c r="N4320">
        <v>1</v>
      </c>
      <c r="O4320">
        <v>0</v>
      </c>
      <c r="P4320">
        <v>0</v>
      </c>
      <c r="Q4320">
        <v>0</v>
      </c>
      <c r="R4320">
        <v>0</v>
      </c>
      <c r="S4320">
        <v>0</v>
      </c>
      <c r="T4320">
        <v>0</v>
      </c>
      <c r="U4320">
        <v>0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0</v>
      </c>
      <c r="AE4320">
        <v>0</v>
      </c>
      <c r="AF4320">
        <v>0</v>
      </c>
      <c r="AG4320">
        <v>0</v>
      </c>
      <c r="AH4320">
        <v>0</v>
      </c>
      <c r="AI4320">
        <v>100</v>
      </c>
      <c r="AJ4320">
        <v>1</v>
      </c>
      <c r="AK4320">
        <v>0</v>
      </c>
      <c r="AL4320">
        <v>0</v>
      </c>
      <c r="AM4320">
        <v>0</v>
      </c>
      <c r="AN4320">
        <v>0</v>
      </c>
      <c r="AO4320">
        <v>120</v>
      </c>
      <c r="AP4320">
        <v>-12</v>
      </c>
      <c r="AQ4320">
        <v>0</v>
      </c>
      <c r="AS4320">
        <v>0</v>
      </c>
      <c r="AT4320">
        <v>0</v>
      </c>
      <c r="AU4320">
        <v>120</v>
      </c>
      <c r="AV4320">
        <v>-12</v>
      </c>
      <c r="AW4320">
        <v>0</v>
      </c>
      <c r="AY4320">
        <v>0</v>
      </c>
      <c r="AZ4320">
        <v>0</v>
      </c>
      <c r="BA4320">
        <v>75.599999999999994</v>
      </c>
      <c r="BE4320" t="str">
        <f>T("9791164099740")</f>
        <v>9791164099740</v>
      </c>
      <c r="BF4320" t="str">
        <f>T("k200197")</f>
        <v>k200197</v>
      </c>
      <c r="BG4320" t="str">
        <f>T("로판 웹소설 &gt; 서양풍 로판")</f>
        <v>로판 웹소설 &gt; 서양풍 로판</v>
      </c>
    </row>
    <row r="4321" spans="1:59">
      <c r="A4321" t="s">
        <v>60</v>
      </c>
      <c r="B4321" s="1">
        <v>46131</v>
      </c>
      <c r="C4321">
        <v>2378059328</v>
      </c>
      <c r="D4321">
        <v>2378060075</v>
      </c>
      <c r="E4321" t="str">
        <f>T("오만한 주인의 초상화 70화")</f>
        <v>오만한 주인의 초상화 70화</v>
      </c>
      <c r="F4321">
        <v>70</v>
      </c>
      <c r="G4321" t="str">
        <f>T("offnun")</f>
        <v>offnun</v>
      </c>
      <c r="J4321" t="str">
        <f>T("시계토끼")</f>
        <v>시계토끼</v>
      </c>
      <c r="K4321" t="str">
        <f>T("오만한 주인의 초상화")</f>
        <v>오만한 주인의 초상화</v>
      </c>
      <c r="L4321">
        <v>100</v>
      </c>
      <c r="M4321">
        <v>100</v>
      </c>
      <c r="N4321">
        <v>1</v>
      </c>
      <c r="O4321">
        <v>0</v>
      </c>
      <c r="P4321">
        <v>0</v>
      </c>
      <c r="Q4321">
        <v>0</v>
      </c>
      <c r="R4321">
        <v>0</v>
      </c>
      <c r="S4321">
        <v>0</v>
      </c>
      <c r="T4321">
        <v>0</v>
      </c>
      <c r="U4321">
        <v>0</v>
      </c>
      <c r="V4321">
        <v>0</v>
      </c>
      <c r="W4321">
        <v>0</v>
      </c>
      <c r="X4321">
        <v>0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0</v>
      </c>
      <c r="AE4321">
        <v>0</v>
      </c>
      <c r="AF4321">
        <v>0</v>
      </c>
      <c r="AG4321">
        <v>0</v>
      </c>
      <c r="AH4321">
        <v>0</v>
      </c>
      <c r="AI4321">
        <v>100</v>
      </c>
      <c r="AJ4321">
        <v>1</v>
      </c>
      <c r="AK4321">
        <v>0</v>
      </c>
      <c r="AL4321">
        <v>0</v>
      </c>
      <c r="AM4321">
        <v>0</v>
      </c>
      <c r="AN4321">
        <v>0</v>
      </c>
      <c r="AO4321">
        <v>120</v>
      </c>
      <c r="AP4321">
        <v>-12</v>
      </c>
      <c r="AQ4321">
        <v>0</v>
      </c>
      <c r="AS4321">
        <v>0</v>
      </c>
      <c r="AT4321">
        <v>0</v>
      </c>
      <c r="AU4321">
        <v>120</v>
      </c>
      <c r="AV4321">
        <v>-12</v>
      </c>
      <c r="AW4321">
        <v>0</v>
      </c>
      <c r="AY4321">
        <v>0</v>
      </c>
      <c r="AZ4321">
        <v>0</v>
      </c>
      <c r="BA4321">
        <v>75.599999999999994</v>
      </c>
      <c r="BE4321" t="str">
        <f>T("9791164099740")</f>
        <v>9791164099740</v>
      </c>
      <c r="BF4321" t="str">
        <f>T("k200198")</f>
        <v>k200198</v>
      </c>
      <c r="BG4321" t="str">
        <f>T("로판 웹소설 &gt; 서양풍 로판")</f>
        <v>로판 웹소설 &gt; 서양풍 로판</v>
      </c>
    </row>
    <row r="4322" spans="1:59">
      <c r="A4322" t="s">
        <v>60</v>
      </c>
      <c r="B4322" s="1">
        <v>46131</v>
      </c>
      <c r="C4322">
        <v>2378059328</v>
      </c>
      <c r="D4322">
        <v>2378059347</v>
      </c>
      <c r="E4322" t="str">
        <f>T("오만한 주인의 초상화 20화")</f>
        <v>오만한 주인의 초상화 20화</v>
      </c>
      <c r="F4322">
        <v>20</v>
      </c>
      <c r="G4322" t="str">
        <f>T("offnun")</f>
        <v>offnun</v>
      </c>
      <c r="J4322" t="str">
        <f>T("시계토끼")</f>
        <v>시계토끼</v>
      </c>
      <c r="K4322" t="str">
        <f>T("오만한 주인의 초상화")</f>
        <v>오만한 주인의 초상화</v>
      </c>
      <c r="L4322">
        <v>100</v>
      </c>
      <c r="M4322">
        <v>100</v>
      </c>
      <c r="N4322">
        <v>1</v>
      </c>
      <c r="O4322">
        <v>0</v>
      </c>
      <c r="P4322">
        <v>0</v>
      </c>
      <c r="Q4322">
        <v>0</v>
      </c>
      <c r="R4322">
        <v>0</v>
      </c>
      <c r="S4322">
        <v>0</v>
      </c>
      <c r="T4322">
        <v>0</v>
      </c>
      <c r="U4322">
        <v>0</v>
      </c>
      <c r="V4322">
        <v>0</v>
      </c>
      <c r="W4322">
        <v>0</v>
      </c>
      <c r="X4322">
        <v>0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0</v>
      </c>
      <c r="AE4322">
        <v>0</v>
      </c>
      <c r="AF4322">
        <v>0</v>
      </c>
      <c r="AG4322">
        <v>0</v>
      </c>
      <c r="AH4322">
        <v>0</v>
      </c>
      <c r="AI4322">
        <v>100</v>
      </c>
      <c r="AJ4322">
        <v>1</v>
      </c>
      <c r="AK4322">
        <v>0</v>
      </c>
      <c r="AL4322">
        <v>0</v>
      </c>
      <c r="AM4322">
        <v>0</v>
      </c>
      <c r="AN4322">
        <v>0</v>
      </c>
      <c r="AO4322">
        <v>120</v>
      </c>
      <c r="AP4322">
        <v>-12</v>
      </c>
      <c r="AQ4322">
        <v>0</v>
      </c>
      <c r="AS4322">
        <v>0</v>
      </c>
      <c r="AT4322">
        <v>0</v>
      </c>
      <c r="AU4322">
        <v>120</v>
      </c>
      <c r="AV4322">
        <v>-12</v>
      </c>
      <c r="AW4322">
        <v>0</v>
      </c>
      <c r="AY4322">
        <v>0</v>
      </c>
      <c r="AZ4322">
        <v>0</v>
      </c>
      <c r="BA4322">
        <v>75.599999999999994</v>
      </c>
      <c r="BE4322" t="str">
        <f>T("9791164099740")</f>
        <v>9791164099740</v>
      </c>
      <c r="BF4322" t="str">
        <f>T("k200148")</f>
        <v>k200148</v>
      </c>
      <c r="BG4322" t="str">
        <f>T("로판 웹소설 &gt; 서양풍 로판")</f>
        <v>로판 웹소설 &gt; 서양풍 로판</v>
      </c>
    </row>
    <row r="4323" spans="1:59">
      <c r="A4323" t="s">
        <v>60</v>
      </c>
      <c r="B4323" s="1">
        <v>46131</v>
      </c>
      <c r="C4323">
        <v>2378059328</v>
      </c>
      <c r="D4323">
        <v>2378059348</v>
      </c>
      <c r="E4323" t="str">
        <f>T("오만한 주인의 초상화 21화")</f>
        <v>오만한 주인의 초상화 21화</v>
      </c>
      <c r="F4323">
        <v>21</v>
      </c>
      <c r="G4323" t="str">
        <f>T("offnun")</f>
        <v>offnun</v>
      </c>
      <c r="J4323" t="str">
        <f>T("시계토끼")</f>
        <v>시계토끼</v>
      </c>
      <c r="K4323" t="str">
        <f>T("오만한 주인의 초상화")</f>
        <v>오만한 주인의 초상화</v>
      </c>
      <c r="L4323">
        <v>100</v>
      </c>
      <c r="M4323">
        <v>100</v>
      </c>
      <c r="N4323">
        <v>1</v>
      </c>
      <c r="O4323">
        <v>0</v>
      </c>
      <c r="P4323">
        <v>0</v>
      </c>
      <c r="Q4323">
        <v>0</v>
      </c>
      <c r="R4323">
        <v>0</v>
      </c>
      <c r="S4323">
        <v>0</v>
      </c>
      <c r="T4323">
        <v>0</v>
      </c>
      <c r="U4323">
        <v>0</v>
      </c>
      <c r="V4323">
        <v>0</v>
      </c>
      <c r="W4323">
        <v>0</v>
      </c>
      <c r="X4323">
        <v>0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0</v>
      </c>
      <c r="AE4323">
        <v>0</v>
      </c>
      <c r="AF4323">
        <v>0</v>
      </c>
      <c r="AG4323">
        <v>0</v>
      </c>
      <c r="AH4323">
        <v>0</v>
      </c>
      <c r="AI4323">
        <v>100</v>
      </c>
      <c r="AJ4323">
        <v>1</v>
      </c>
      <c r="AK4323">
        <v>0</v>
      </c>
      <c r="AL4323">
        <v>0</v>
      </c>
      <c r="AM4323">
        <v>0</v>
      </c>
      <c r="AN4323">
        <v>0</v>
      </c>
      <c r="AO4323">
        <v>120</v>
      </c>
      <c r="AP4323">
        <v>-12</v>
      </c>
      <c r="AQ4323">
        <v>0</v>
      </c>
      <c r="AS4323">
        <v>0</v>
      </c>
      <c r="AT4323">
        <v>0</v>
      </c>
      <c r="AU4323">
        <v>120</v>
      </c>
      <c r="AV4323">
        <v>-12</v>
      </c>
      <c r="AW4323">
        <v>0</v>
      </c>
      <c r="AY4323">
        <v>0</v>
      </c>
      <c r="AZ4323">
        <v>0</v>
      </c>
      <c r="BA4323">
        <v>75.599999999999994</v>
      </c>
      <c r="BE4323" t="str">
        <f>T("9791164099740")</f>
        <v>9791164099740</v>
      </c>
      <c r="BF4323" t="str">
        <f>T("k200149")</f>
        <v>k200149</v>
      </c>
      <c r="BG4323" t="str">
        <f>T("로판 웹소설 &gt; 서양풍 로판")</f>
        <v>로판 웹소설 &gt; 서양풍 로판</v>
      </c>
    </row>
    <row r="4324" spans="1:59">
      <c r="A4324" t="s">
        <v>60</v>
      </c>
      <c r="B4324" s="1">
        <v>46131</v>
      </c>
      <c r="C4324">
        <v>2378059328</v>
      </c>
      <c r="D4324">
        <v>2378059349</v>
      </c>
      <c r="E4324" t="str">
        <f>T("오만한 주인의 초상화 22화")</f>
        <v>오만한 주인의 초상화 22화</v>
      </c>
      <c r="F4324">
        <v>22</v>
      </c>
      <c r="G4324" t="str">
        <f>T("offnun")</f>
        <v>offnun</v>
      </c>
      <c r="J4324" t="str">
        <f>T("시계토끼")</f>
        <v>시계토끼</v>
      </c>
      <c r="K4324" t="str">
        <f>T("오만한 주인의 초상화")</f>
        <v>오만한 주인의 초상화</v>
      </c>
      <c r="L4324">
        <v>100</v>
      </c>
      <c r="M4324">
        <v>100</v>
      </c>
      <c r="N4324">
        <v>1</v>
      </c>
      <c r="O4324">
        <v>0</v>
      </c>
      <c r="P4324">
        <v>0</v>
      </c>
      <c r="Q4324">
        <v>0</v>
      </c>
      <c r="R4324">
        <v>0</v>
      </c>
      <c r="S4324">
        <v>0</v>
      </c>
      <c r="T4324">
        <v>0</v>
      </c>
      <c r="U4324">
        <v>0</v>
      </c>
      <c r="V4324">
        <v>0</v>
      </c>
      <c r="W4324">
        <v>0</v>
      </c>
      <c r="X4324">
        <v>0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0</v>
      </c>
      <c r="AE4324">
        <v>0</v>
      </c>
      <c r="AF4324">
        <v>0</v>
      </c>
      <c r="AG4324">
        <v>0</v>
      </c>
      <c r="AH4324">
        <v>0</v>
      </c>
      <c r="AI4324">
        <v>100</v>
      </c>
      <c r="AJ4324">
        <v>1</v>
      </c>
      <c r="AK4324">
        <v>0</v>
      </c>
      <c r="AL4324">
        <v>0</v>
      </c>
      <c r="AM4324">
        <v>0</v>
      </c>
      <c r="AN4324">
        <v>0</v>
      </c>
      <c r="AO4324">
        <v>120</v>
      </c>
      <c r="AP4324">
        <v>-12</v>
      </c>
      <c r="AQ4324">
        <v>0</v>
      </c>
      <c r="AS4324">
        <v>0</v>
      </c>
      <c r="AT4324">
        <v>0</v>
      </c>
      <c r="AU4324">
        <v>120</v>
      </c>
      <c r="AV4324">
        <v>-12</v>
      </c>
      <c r="AW4324">
        <v>0</v>
      </c>
      <c r="AY4324">
        <v>0</v>
      </c>
      <c r="AZ4324">
        <v>0</v>
      </c>
      <c r="BA4324">
        <v>75.599999999999994</v>
      </c>
      <c r="BE4324" t="str">
        <f>T("9791164099740")</f>
        <v>9791164099740</v>
      </c>
      <c r="BF4324" t="str">
        <f>T("k200150")</f>
        <v>k200150</v>
      </c>
      <c r="BG4324" t="str">
        <f>T("로판 웹소설 &gt; 서양풍 로판")</f>
        <v>로판 웹소설 &gt; 서양풍 로판</v>
      </c>
    </row>
    <row r="4325" spans="1:59">
      <c r="A4325" t="s">
        <v>60</v>
      </c>
      <c r="B4325" s="1">
        <v>46131</v>
      </c>
      <c r="C4325">
        <v>2378059328</v>
      </c>
      <c r="D4325">
        <v>2378059350</v>
      </c>
      <c r="E4325" t="str">
        <f>T("오만한 주인의 초상화 23화")</f>
        <v>오만한 주인의 초상화 23화</v>
      </c>
      <c r="F4325">
        <v>23</v>
      </c>
      <c r="G4325" t="str">
        <f>T("offnun")</f>
        <v>offnun</v>
      </c>
      <c r="J4325" t="str">
        <f>T("시계토끼")</f>
        <v>시계토끼</v>
      </c>
      <c r="K4325" t="str">
        <f>T("오만한 주인의 초상화")</f>
        <v>오만한 주인의 초상화</v>
      </c>
      <c r="L4325">
        <v>100</v>
      </c>
      <c r="M4325">
        <v>100</v>
      </c>
      <c r="N4325">
        <v>1</v>
      </c>
      <c r="O4325">
        <v>0</v>
      </c>
      <c r="P4325">
        <v>0</v>
      </c>
      <c r="Q4325">
        <v>0</v>
      </c>
      <c r="R4325">
        <v>0</v>
      </c>
      <c r="S4325">
        <v>0</v>
      </c>
      <c r="T4325">
        <v>0</v>
      </c>
      <c r="U4325">
        <v>0</v>
      </c>
      <c r="V4325">
        <v>0</v>
      </c>
      <c r="W4325">
        <v>0</v>
      </c>
      <c r="X4325">
        <v>0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0</v>
      </c>
      <c r="AE4325">
        <v>0</v>
      </c>
      <c r="AF4325">
        <v>0</v>
      </c>
      <c r="AG4325">
        <v>0</v>
      </c>
      <c r="AH4325">
        <v>0</v>
      </c>
      <c r="AI4325">
        <v>100</v>
      </c>
      <c r="AJ4325">
        <v>1</v>
      </c>
      <c r="AK4325">
        <v>0</v>
      </c>
      <c r="AL4325">
        <v>0</v>
      </c>
      <c r="AM4325">
        <v>0</v>
      </c>
      <c r="AN4325">
        <v>0</v>
      </c>
      <c r="AO4325">
        <v>120</v>
      </c>
      <c r="AP4325">
        <v>-12</v>
      </c>
      <c r="AQ4325">
        <v>0</v>
      </c>
      <c r="AS4325">
        <v>0</v>
      </c>
      <c r="AT4325">
        <v>0</v>
      </c>
      <c r="AU4325">
        <v>120</v>
      </c>
      <c r="AV4325">
        <v>-12</v>
      </c>
      <c r="AW4325">
        <v>0</v>
      </c>
      <c r="AY4325">
        <v>0</v>
      </c>
      <c r="AZ4325">
        <v>0</v>
      </c>
      <c r="BA4325">
        <v>75.599999999999994</v>
      </c>
      <c r="BE4325" t="str">
        <f>T("9791164099740")</f>
        <v>9791164099740</v>
      </c>
      <c r="BF4325" t="str">
        <f>T("k200151")</f>
        <v>k200151</v>
      </c>
      <c r="BG4325" t="str">
        <f>T("로판 웹소설 &gt; 서양풍 로판")</f>
        <v>로판 웹소설 &gt; 서양풍 로판</v>
      </c>
    </row>
    <row r="4326" spans="1:59">
      <c r="A4326" t="s">
        <v>60</v>
      </c>
      <c r="B4326" s="1">
        <v>46131</v>
      </c>
      <c r="C4326">
        <v>2378059328</v>
      </c>
      <c r="D4326">
        <v>2378059351</v>
      </c>
      <c r="E4326" t="str">
        <f>T("오만한 주인의 초상화 24화")</f>
        <v>오만한 주인의 초상화 24화</v>
      </c>
      <c r="F4326">
        <v>24</v>
      </c>
      <c r="G4326" t="str">
        <f>T("offnun")</f>
        <v>offnun</v>
      </c>
      <c r="J4326" t="str">
        <f>T("시계토끼")</f>
        <v>시계토끼</v>
      </c>
      <c r="K4326" t="str">
        <f>T("오만한 주인의 초상화")</f>
        <v>오만한 주인의 초상화</v>
      </c>
      <c r="L4326">
        <v>100</v>
      </c>
      <c r="M4326">
        <v>100</v>
      </c>
      <c r="N4326">
        <v>1</v>
      </c>
      <c r="O4326">
        <v>0</v>
      </c>
      <c r="P4326">
        <v>0</v>
      </c>
      <c r="Q4326">
        <v>0</v>
      </c>
      <c r="R4326">
        <v>0</v>
      </c>
      <c r="S4326">
        <v>0</v>
      </c>
      <c r="T4326">
        <v>0</v>
      </c>
      <c r="U4326">
        <v>0</v>
      </c>
      <c r="V4326">
        <v>0</v>
      </c>
      <c r="W4326">
        <v>0</v>
      </c>
      <c r="X4326">
        <v>0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0</v>
      </c>
      <c r="AE4326">
        <v>0</v>
      </c>
      <c r="AF4326">
        <v>0</v>
      </c>
      <c r="AG4326">
        <v>0</v>
      </c>
      <c r="AH4326">
        <v>0</v>
      </c>
      <c r="AI4326">
        <v>100</v>
      </c>
      <c r="AJ4326">
        <v>1</v>
      </c>
      <c r="AK4326">
        <v>0</v>
      </c>
      <c r="AL4326">
        <v>0</v>
      </c>
      <c r="AM4326">
        <v>0</v>
      </c>
      <c r="AN4326">
        <v>0</v>
      </c>
      <c r="AO4326">
        <v>120</v>
      </c>
      <c r="AP4326">
        <v>-12</v>
      </c>
      <c r="AQ4326">
        <v>0</v>
      </c>
      <c r="AS4326">
        <v>0</v>
      </c>
      <c r="AT4326">
        <v>0</v>
      </c>
      <c r="AU4326">
        <v>120</v>
      </c>
      <c r="AV4326">
        <v>-12</v>
      </c>
      <c r="AW4326">
        <v>0</v>
      </c>
      <c r="AY4326">
        <v>0</v>
      </c>
      <c r="AZ4326">
        <v>0</v>
      </c>
      <c r="BA4326">
        <v>75.599999999999994</v>
      </c>
      <c r="BE4326" t="str">
        <f>T("9791164099740")</f>
        <v>9791164099740</v>
      </c>
      <c r="BF4326" t="str">
        <f>T("k200152")</f>
        <v>k200152</v>
      </c>
      <c r="BG4326" t="str">
        <f>T("로판 웹소설 &gt; 서양풍 로판")</f>
        <v>로판 웹소설 &gt; 서양풍 로판</v>
      </c>
    </row>
    <row r="4327" spans="1:59">
      <c r="A4327" t="s">
        <v>60</v>
      </c>
      <c r="B4327" s="1">
        <v>46131</v>
      </c>
      <c r="C4327">
        <v>2378059328</v>
      </c>
      <c r="D4327">
        <v>2378059352</v>
      </c>
      <c r="E4327" t="str">
        <f>T("오만한 주인의 초상화 25화")</f>
        <v>오만한 주인의 초상화 25화</v>
      </c>
      <c r="F4327">
        <v>25</v>
      </c>
      <c r="G4327" t="str">
        <f>T("offnun")</f>
        <v>offnun</v>
      </c>
      <c r="J4327" t="str">
        <f>T("시계토끼")</f>
        <v>시계토끼</v>
      </c>
      <c r="K4327" t="str">
        <f>T("오만한 주인의 초상화")</f>
        <v>오만한 주인의 초상화</v>
      </c>
      <c r="L4327">
        <v>100</v>
      </c>
      <c r="M4327">
        <v>100</v>
      </c>
      <c r="N4327">
        <v>1</v>
      </c>
      <c r="O4327">
        <v>0</v>
      </c>
      <c r="P4327">
        <v>0</v>
      </c>
      <c r="Q4327">
        <v>0</v>
      </c>
      <c r="R4327">
        <v>0</v>
      </c>
      <c r="S4327">
        <v>0</v>
      </c>
      <c r="T4327">
        <v>0</v>
      </c>
      <c r="U4327">
        <v>0</v>
      </c>
      <c r="V4327">
        <v>0</v>
      </c>
      <c r="W4327">
        <v>0</v>
      </c>
      <c r="X4327">
        <v>0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0</v>
      </c>
      <c r="AE4327">
        <v>0</v>
      </c>
      <c r="AF4327">
        <v>0</v>
      </c>
      <c r="AG4327">
        <v>0</v>
      </c>
      <c r="AH4327">
        <v>0</v>
      </c>
      <c r="AI4327">
        <v>100</v>
      </c>
      <c r="AJ4327">
        <v>1</v>
      </c>
      <c r="AK4327">
        <v>0</v>
      </c>
      <c r="AL4327">
        <v>0</v>
      </c>
      <c r="AM4327">
        <v>0</v>
      </c>
      <c r="AN4327">
        <v>0</v>
      </c>
      <c r="AO4327">
        <v>120</v>
      </c>
      <c r="AP4327">
        <v>-12</v>
      </c>
      <c r="AQ4327">
        <v>0</v>
      </c>
      <c r="AS4327">
        <v>0</v>
      </c>
      <c r="AT4327">
        <v>0</v>
      </c>
      <c r="AU4327">
        <v>120</v>
      </c>
      <c r="AV4327">
        <v>-12</v>
      </c>
      <c r="AW4327">
        <v>0</v>
      </c>
      <c r="AY4327">
        <v>0</v>
      </c>
      <c r="AZ4327">
        <v>0</v>
      </c>
      <c r="BA4327">
        <v>75.599999999999994</v>
      </c>
      <c r="BE4327" t="str">
        <f>T("9791164099740")</f>
        <v>9791164099740</v>
      </c>
      <c r="BF4327" t="str">
        <f>T("k200153")</f>
        <v>k200153</v>
      </c>
      <c r="BG4327" t="str">
        <f>T("로판 웹소설 &gt; 서양풍 로판")</f>
        <v>로판 웹소설 &gt; 서양풍 로판</v>
      </c>
    </row>
    <row r="4328" spans="1:59">
      <c r="A4328" t="s">
        <v>60</v>
      </c>
      <c r="B4328" s="1">
        <v>46131</v>
      </c>
      <c r="C4328">
        <v>2378059328</v>
      </c>
      <c r="D4328">
        <v>2378059353</v>
      </c>
      <c r="E4328" t="str">
        <f>T("오만한 주인의 초상화 26화")</f>
        <v>오만한 주인의 초상화 26화</v>
      </c>
      <c r="F4328">
        <v>26</v>
      </c>
      <c r="G4328" t="str">
        <f>T("offnun")</f>
        <v>offnun</v>
      </c>
      <c r="J4328" t="str">
        <f>T("시계토끼")</f>
        <v>시계토끼</v>
      </c>
      <c r="K4328" t="str">
        <f>T("오만한 주인의 초상화")</f>
        <v>오만한 주인의 초상화</v>
      </c>
      <c r="L4328">
        <v>100</v>
      </c>
      <c r="M4328">
        <v>100</v>
      </c>
      <c r="N4328">
        <v>1</v>
      </c>
      <c r="O4328">
        <v>0</v>
      </c>
      <c r="P4328">
        <v>0</v>
      </c>
      <c r="Q4328">
        <v>0</v>
      </c>
      <c r="R4328">
        <v>0</v>
      </c>
      <c r="S4328">
        <v>0</v>
      </c>
      <c r="T4328">
        <v>0</v>
      </c>
      <c r="U4328">
        <v>0</v>
      </c>
      <c r="V4328">
        <v>0</v>
      </c>
      <c r="W4328">
        <v>0</v>
      </c>
      <c r="X4328">
        <v>0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0</v>
      </c>
      <c r="AE4328">
        <v>0</v>
      </c>
      <c r="AF4328">
        <v>0</v>
      </c>
      <c r="AG4328">
        <v>0</v>
      </c>
      <c r="AH4328">
        <v>0</v>
      </c>
      <c r="AI4328">
        <v>100</v>
      </c>
      <c r="AJ4328">
        <v>1</v>
      </c>
      <c r="AK4328">
        <v>0</v>
      </c>
      <c r="AL4328">
        <v>0</v>
      </c>
      <c r="AM4328">
        <v>0</v>
      </c>
      <c r="AN4328">
        <v>0</v>
      </c>
      <c r="AO4328">
        <v>120</v>
      </c>
      <c r="AP4328">
        <v>-12</v>
      </c>
      <c r="AQ4328">
        <v>0</v>
      </c>
      <c r="AS4328">
        <v>0</v>
      </c>
      <c r="AT4328">
        <v>0</v>
      </c>
      <c r="AU4328">
        <v>120</v>
      </c>
      <c r="AV4328">
        <v>-12</v>
      </c>
      <c r="AW4328">
        <v>0</v>
      </c>
      <c r="AY4328">
        <v>0</v>
      </c>
      <c r="AZ4328">
        <v>0</v>
      </c>
      <c r="BA4328">
        <v>75.599999999999994</v>
      </c>
      <c r="BE4328" t="str">
        <f>T("9791164099740")</f>
        <v>9791164099740</v>
      </c>
      <c r="BF4328" t="str">
        <f>T("k200154")</f>
        <v>k200154</v>
      </c>
      <c r="BG4328" t="str">
        <f>T("로판 웹소설 &gt; 서양풍 로판")</f>
        <v>로판 웹소설 &gt; 서양풍 로판</v>
      </c>
    </row>
    <row r="4329" spans="1:59">
      <c r="A4329" t="s">
        <v>60</v>
      </c>
      <c r="B4329" s="1">
        <v>46131</v>
      </c>
      <c r="C4329">
        <v>2378059328</v>
      </c>
      <c r="D4329">
        <v>2378059354</v>
      </c>
      <c r="E4329" t="str">
        <f>T("오만한 주인의 초상화 27화")</f>
        <v>오만한 주인의 초상화 27화</v>
      </c>
      <c r="F4329">
        <v>27</v>
      </c>
      <c r="G4329" t="str">
        <f>T("offnun")</f>
        <v>offnun</v>
      </c>
      <c r="J4329" t="str">
        <f>T("시계토끼")</f>
        <v>시계토끼</v>
      </c>
      <c r="K4329" t="str">
        <f>T("오만한 주인의 초상화")</f>
        <v>오만한 주인의 초상화</v>
      </c>
      <c r="L4329">
        <v>100</v>
      </c>
      <c r="M4329">
        <v>100</v>
      </c>
      <c r="N4329">
        <v>1</v>
      </c>
      <c r="O4329">
        <v>0</v>
      </c>
      <c r="P4329">
        <v>0</v>
      </c>
      <c r="Q4329">
        <v>0</v>
      </c>
      <c r="R4329">
        <v>0</v>
      </c>
      <c r="S4329">
        <v>0</v>
      </c>
      <c r="T4329">
        <v>0</v>
      </c>
      <c r="U4329">
        <v>0</v>
      </c>
      <c r="V4329">
        <v>0</v>
      </c>
      <c r="W4329">
        <v>0</v>
      </c>
      <c r="X4329">
        <v>0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0</v>
      </c>
      <c r="AE4329">
        <v>0</v>
      </c>
      <c r="AF4329">
        <v>0</v>
      </c>
      <c r="AG4329">
        <v>0</v>
      </c>
      <c r="AH4329">
        <v>0</v>
      </c>
      <c r="AI4329">
        <v>100</v>
      </c>
      <c r="AJ4329">
        <v>1</v>
      </c>
      <c r="AK4329">
        <v>0</v>
      </c>
      <c r="AL4329">
        <v>0</v>
      </c>
      <c r="AM4329">
        <v>0</v>
      </c>
      <c r="AN4329">
        <v>0</v>
      </c>
      <c r="AO4329">
        <v>120</v>
      </c>
      <c r="AP4329">
        <v>-12</v>
      </c>
      <c r="AQ4329">
        <v>0</v>
      </c>
      <c r="AS4329">
        <v>0</v>
      </c>
      <c r="AT4329">
        <v>0</v>
      </c>
      <c r="AU4329">
        <v>120</v>
      </c>
      <c r="AV4329">
        <v>-12</v>
      </c>
      <c r="AW4329">
        <v>0</v>
      </c>
      <c r="AY4329">
        <v>0</v>
      </c>
      <c r="AZ4329">
        <v>0</v>
      </c>
      <c r="BA4329">
        <v>75.599999999999994</v>
      </c>
      <c r="BE4329" t="str">
        <f>T("9791164099740")</f>
        <v>9791164099740</v>
      </c>
      <c r="BF4329" t="str">
        <f>T("k200155")</f>
        <v>k200155</v>
      </c>
      <c r="BG4329" t="str">
        <f>T("로판 웹소설 &gt; 서양풍 로판")</f>
        <v>로판 웹소설 &gt; 서양풍 로판</v>
      </c>
    </row>
    <row r="4330" spans="1:59">
      <c r="A4330" t="s">
        <v>60</v>
      </c>
      <c r="B4330" s="1">
        <v>46131</v>
      </c>
      <c r="C4330">
        <v>2378059328</v>
      </c>
      <c r="D4330">
        <v>2378059355</v>
      </c>
      <c r="E4330" t="str">
        <f>T("오만한 주인의 초상화 28화")</f>
        <v>오만한 주인의 초상화 28화</v>
      </c>
      <c r="F4330">
        <v>28</v>
      </c>
      <c r="G4330" t="str">
        <f>T("offnun")</f>
        <v>offnun</v>
      </c>
      <c r="J4330" t="str">
        <f>T("시계토끼")</f>
        <v>시계토끼</v>
      </c>
      <c r="K4330" t="str">
        <f>T("오만한 주인의 초상화")</f>
        <v>오만한 주인의 초상화</v>
      </c>
      <c r="L4330">
        <v>100</v>
      </c>
      <c r="M4330">
        <v>100</v>
      </c>
      <c r="N4330">
        <v>1</v>
      </c>
      <c r="O4330">
        <v>0</v>
      </c>
      <c r="P4330">
        <v>0</v>
      </c>
      <c r="Q4330">
        <v>0</v>
      </c>
      <c r="R4330">
        <v>0</v>
      </c>
      <c r="S4330">
        <v>0</v>
      </c>
      <c r="T4330">
        <v>0</v>
      </c>
      <c r="U4330">
        <v>0</v>
      </c>
      <c r="V4330">
        <v>0</v>
      </c>
      <c r="W4330">
        <v>0</v>
      </c>
      <c r="X4330">
        <v>0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0</v>
      </c>
      <c r="AE4330">
        <v>0</v>
      </c>
      <c r="AF4330">
        <v>0</v>
      </c>
      <c r="AG4330">
        <v>0</v>
      </c>
      <c r="AH4330">
        <v>0</v>
      </c>
      <c r="AI4330">
        <v>100</v>
      </c>
      <c r="AJ4330">
        <v>1</v>
      </c>
      <c r="AK4330">
        <v>0</v>
      </c>
      <c r="AL4330">
        <v>0</v>
      </c>
      <c r="AM4330">
        <v>0</v>
      </c>
      <c r="AN4330">
        <v>0</v>
      </c>
      <c r="AO4330">
        <v>120</v>
      </c>
      <c r="AP4330">
        <v>-12</v>
      </c>
      <c r="AQ4330">
        <v>0</v>
      </c>
      <c r="AS4330">
        <v>0</v>
      </c>
      <c r="AT4330">
        <v>0</v>
      </c>
      <c r="AU4330">
        <v>120</v>
      </c>
      <c r="AV4330">
        <v>-12</v>
      </c>
      <c r="AW4330">
        <v>0</v>
      </c>
      <c r="AY4330">
        <v>0</v>
      </c>
      <c r="AZ4330">
        <v>0</v>
      </c>
      <c r="BA4330">
        <v>75.599999999999994</v>
      </c>
      <c r="BE4330" t="str">
        <f>T("9791164099740")</f>
        <v>9791164099740</v>
      </c>
      <c r="BF4330" t="str">
        <f>T("k200156")</f>
        <v>k200156</v>
      </c>
      <c r="BG4330" t="str">
        <f>T("로판 웹소설 &gt; 서양풍 로판")</f>
        <v>로판 웹소설 &gt; 서양풍 로판</v>
      </c>
    </row>
    <row r="4331" spans="1:59">
      <c r="A4331" t="s">
        <v>60</v>
      </c>
      <c r="B4331" s="1">
        <v>46131</v>
      </c>
      <c r="C4331">
        <v>2378059328</v>
      </c>
      <c r="D4331">
        <v>2378059356</v>
      </c>
      <c r="E4331" t="str">
        <f>T("오만한 주인의 초상화 29화")</f>
        <v>오만한 주인의 초상화 29화</v>
      </c>
      <c r="F4331">
        <v>29</v>
      </c>
      <c r="G4331" t="str">
        <f>T("offnun")</f>
        <v>offnun</v>
      </c>
      <c r="J4331" t="str">
        <f>T("시계토끼")</f>
        <v>시계토끼</v>
      </c>
      <c r="K4331" t="str">
        <f>T("오만한 주인의 초상화")</f>
        <v>오만한 주인의 초상화</v>
      </c>
      <c r="L4331">
        <v>100</v>
      </c>
      <c r="M4331">
        <v>100</v>
      </c>
      <c r="N4331">
        <v>1</v>
      </c>
      <c r="O4331">
        <v>0</v>
      </c>
      <c r="P4331">
        <v>0</v>
      </c>
      <c r="Q4331">
        <v>0</v>
      </c>
      <c r="R4331">
        <v>0</v>
      </c>
      <c r="S4331">
        <v>0</v>
      </c>
      <c r="T4331">
        <v>0</v>
      </c>
      <c r="U4331">
        <v>0</v>
      </c>
      <c r="V4331">
        <v>0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0</v>
      </c>
      <c r="AE4331">
        <v>0</v>
      </c>
      <c r="AF4331">
        <v>0</v>
      </c>
      <c r="AG4331">
        <v>0</v>
      </c>
      <c r="AH4331">
        <v>0</v>
      </c>
      <c r="AI4331">
        <v>100</v>
      </c>
      <c r="AJ4331">
        <v>1</v>
      </c>
      <c r="AK4331">
        <v>0</v>
      </c>
      <c r="AL4331">
        <v>0</v>
      </c>
      <c r="AM4331">
        <v>0</v>
      </c>
      <c r="AN4331">
        <v>0</v>
      </c>
      <c r="AO4331">
        <v>120</v>
      </c>
      <c r="AP4331">
        <v>-12</v>
      </c>
      <c r="AQ4331">
        <v>0</v>
      </c>
      <c r="AS4331">
        <v>0</v>
      </c>
      <c r="AT4331">
        <v>0</v>
      </c>
      <c r="AU4331">
        <v>120</v>
      </c>
      <c r="AV4331">
        <v>-12</v>
      </c>
      <c r="AW4331">
        <v>0</v>
      </c>
      <c r="AY4331">
        <v>0</v>
      </c>
      <c r="AZ4331">
        <v>0</v>
      </c>
      <c r="BA4331">
        <v>75.599999999999994</v>
      </c>
      <c r="BE4331" t="str">
        <f>T("9791164099740")</f>
        <v>9791164099740</v>
      </c>
      <c r="BF4331" t="str">
        <f>T("k200157")</f>
        <v>k200157</v>
      </c>
      <c r="BG4331" t="str">
        <f>T("로판 웹소설 &gt; 서양풍 로판")</f>
        <v>로판 웹소설 &gt; 서양풍 로판</v>
      </c>
    </row>
    <row r="4332" spans="1:59">
      <c r="A4332" t="s">
        <v>60</v>
      </c>
      <c r="B4332" s="1">
        <v>46131</v>
      </c>
      <c r="C4332">
        <v>2378059328</v>
      </c>
      <c r="D4332">
        <v>2378059357</v>
      </c>
      <c r="E4332" t="str">
        <f>T("오만한 주인의 초상화 30화")</f>
        <v>오만한 주인의 초상화 30화</v>
      </c>
      <c r="F4332">
        <v>30</v>
      </c>
      <c r="G4332" t="str">
        <f>T("offnun")</f>
        <v>offnun</v>
      </c>
      <c r="J4332" t="str">
        <f>T("시계토끼")</f>
        <v>시계토끼</v>
      </c>
      <c r="K4332" t="str">
        <f>T("오만한 주인의 초상화")</f>
        <v>오만한 주인의 초상화</v>
      </c>
      <c r="L4332">
        <v>100</v>
      </c>
      <c r="M4332">
        <v>100</v>
      </c>
      <c r="N4332">
        <v>1</v>
      </c>
      <c r="O4332">
        <v>0</v>
      </c>
      <c r="P4332">
        <v>0</v>
      </c>
      <c r="Q4332">
        <v>0</v>
      </c>
      <c r="R4332">
        <v>0</v>
      </c>
      <c r="S4332">
        <v>0</v>
      </c>
      <c r="T4332">
        <v>0</v>
      </c>
      <c r="U4332">
        <v>0</v>
      </c>
      <c r="V4332">
        <v>0</v>
      </c>
      <c r="W4332">
        <v>0</v>
      </c>
      <c r="X4332">
        <v>0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0</v>
      </c>
      <c r="AE4332">
        <v>0</v>
      </c>
      <c r="AF4332">
        <v>0</v>
      </c>
      <c r="AG4332">
        <v>0</v>
      </c>
      <c r="AH4332">
        <v>0</v>
      </c>
      <c r="AI4332">
        <v>100</v>
      </c>
      <c r="AJ4332">
        <v>1</v>
      </c>
      <c r="AK4332">
        <v>0</v>
      </c>
      <c r="AL4332">
        <v>0</v>
      </c>
      <c r="AM4332">
        <v>0</v>
      </c>
      <c r="AN4332">
        <v>0</v>
      </c>
      <c r="AO4332">
        <v>120</v>
      </c>
      <c r="AP4332">
        <v>-12</v>
      </c>
      <c r="AQ4332">
        <v>0</v>
      </c>
      <c r="AS4332">
        <v>0</v>
      </c>
      <c r="AT4332">
        <v>0</v>
      </c>
      <c r="AU4332">
        <v>120</v>
      </c>
      <c r="AV4332">
        <v>-12</v>
      </c>
      <c r="AW4332">
        <v>0</v>
      </c>
      <c r="AY4332">
        <v>0</v>
      </c>
      <c r="AZ4332">
        <v>0</v>
      </c>
      <c r="BA4332">
        <v>75.599999999999994</v>
      </c>
      <c r="BE4332" t="str">
        <f>T("9791164099740")</f>
        <v>9791164099740</v>
      </c>
      <c r="BF4332" t="str">
        <f>T("k200158")</f>
        <v>k200158</v>
      </c>
      <c r="BG4332" t="str">
        <f>T("로판 웹소설 &gt; 서양풍 로판")</f>
        <v>로판 웹소설 &gt; 서양풍 로판</v>
      </c>
    </row>
    <row r="4333" spans="1:59">
      <c r="A4333" t="s">
        <v>60</v>
      </c>
      <c r="B4333" s="1">
        <v>46131</v>
      </c>
      <c r="C4333">
        <v>2378059328</v>
      </c>
      <c r="D4333">
        <v>2378059358</v>
      </c>
      <c r="E4333" t="str">
        <f>T("오만한 주인의 초상화 31화")</f>
        <v>오만한 주인의 초상화 31화</v>
      </c>
      <c r="F4333">
        <v>31</v>
      </c>
      <c r="G4333" t="str">
        <f>T("offnun")</f>
        <v>offnun</v>
      </c>
      <c r="J4333" t="str">
        <f>T("시계토끼")</f>
        <v>시계토끼</v>
      </c>
      <c r="K4333" t="str">
        <f>T("오만한 주인의 초상화")</f>
        <v>오만한 주인의 초상화</v>
      </c>
      <c r="L4333">
        <v>100</v>
      </c>
      <c r="M4333">
        <v>100</v>
      </c>
      <c r="N4333">
        <v>1</v>
      </c>
      <c r="O4333">
        <v>0</v>
      </c>
      <c r="P4333">
        <v>0</v>
      </c>
      <c r="Q4333">
        <v>0</v>
      </c>
      <c r="R4333">
        <v>0</v>
      </c>
      <c r="S4333">
        <v>0</v>
      </c>
      <c r="T4333">
        <v>0</v>
      </c>
      <c r="U4333">
        <v>0</v>
      </c>
      <c r="V4333">
        <v>0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0</v>
      </c>
      <c r="AE4333">
        <v>0</v>
      </c>
      <c r="AF4333">
        <v>0</v>
      </c>
      <c r="AG4333">
        <v>0</v>
      </c>
      <c r="AH4333">
        <v>0</v>
      </c>
      <c r="AI4333">
        <v>100</v>
      </c>
      <c r="AJ4333">
        <v>1</v>
      </c>
      <c r="AK4333">
        <v>0</v>
      </c>
      <c r="AL4333">
        <v>0</v>
      </c>
      <c r="AM4333">
        <v>0</v>
      </c>
      <c r="AN4333">
        <v>0</v>
      </c>
      <c r="AO4333">
        <v>120</v>
      </c>
      <c r="AP4333">
        <v>-12</v>
      </c>
      <c r="AQ4333">
        <v>0</v>
      </c>
      <c r="AS4333">
        <v>0</v>
      </c>
      <c r="AT4333">
        <v>0</v>
      </c>
      <c r="AU4333">
        <v>120</v>
      </c>
      <c r="AV4333">
        <v>-12</v>
      </c>
      <c r="AW4333">
        <v>0</v>
      </c>
      <c r="AY4333">
        <v>0</v>
      </c>
      <c r="AZ4333">
        <v>0</v>
      </c>
      <c r="BA4333">
        <v>75.599999999999994</v>
      </c>
      <c r="BE4333" t="str">
        <f>T("9791164099740")</f>
        <v>9791164099740</v>
      </c>
      <c r="BF4333" t="str">
        <f>T("k200159")</f>
        <v>k200159</v>
      </c>
      <c r="BG4333" t="str">
        <f>T("로판 웹소설 &gt; 서양풍 로판")</f>
        <v>로판 웹소설 &gt; 서양풍 로판</v>
      </c>
    </row>
    <row r="4334" spans="1:59">
      <c r="A4334" t="s">
        <v>60</v>
      </c>
      <c r="B4334" s="1">
        <v>46131</v>
      </c>
      <c r="C4334">
        <v>2378059328</v>
      </c>
      <c r="D4334">
        <v>2378059359</v>
      </c>
      <c r="E4334" t="str">
        <f>T("오만한 주인의 초상화 32화")</f>
        <v>오만한 주인의 초상화 32화</v>
      </c>
      <c r="F4334">
        <v>32</v>
      </c>
      <c r="G4334" t="str">
        <f>T("offnun")</f>
        <v>offnun</v>
      </c>
      <c r="J4334" t="str">
        <f>T("시계토끼")</f>
        <v>시계토끼</v>
      </c>
      <c r="K4334" t="str">
        <f>T("오만한 주인의 초상화")</f>
        <v>오만한 주인의 초상화</v>
      </c>
      <c r="L4334">
        <v>100</v>
      </c>
      <c r="M4334">
        <v>100</v>
      </c>
      <c r="N4334">
        <v>1</v>
      </c>
      <c r="O4334">
        <v>0</v>
      </c>
      <c r="P4334">
        <v>0</v>
      </c>
      <c r="Q4334">
        <v>0</v>
      </c>
      <c r="R4334">
        <v>0</v>
      </c>
      <c r="S4334">
        <v>0</v>
      </c>
      <c r="T4334">
        <v>0</v>
      </c>
      <c r="U4334">
        <v>0</v>
      </c>
      <c r="V4334">
        <v>0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0</v>
      </c>
      <c r="AE4334">
        <v>0</v>
      </c>
      <c r="AF4334">
        <v>0</v>
      </c>
      <c r="AG4334">
        <v>0</v>
      </c>
      <c r="AH4334">
        <v>0</v>
      </c>
      <c r="AI4334">
        <v>100</v>
      </c>
      <c r="AJ4334">
        <v>1</v>
      </c>
      <c r="AK4334">
        <v>0</v>
      </c>
      <c r="AL4334">
        <v>0</v>
      </c>
      <c r="AM4334">
        <v>0</v>
      </c>
      <c r="AN4334">
        <v>0</v>
      </c>
      <c r="AO4334">
        <v>120</v>
      </c>
      <c r="AP4334">
        <v>-12</v>
      </c>
      <c r="AQ4334">
        <v>0</v>
      </c>
      <c r="AS4334">
        <v>0</v>
      </c>
      <c r="AT4334">
        <v>0</v>
      </c>
      <c r="AU4334">
        <v>120</v>
      </c>
      <c r="AV4334">
        <v>-12</v>
      </c>
      <c r="AW4334">
        <v>0</v>
      </c>
      <c r="AY4334">
        <v>0</v>
      </c>
      <c r="AZ4334">
        <v>0</v>
      </c>
      <c r="BA4334">
        <v>75.599999999999994</v>
      </c>
      <c r="BE4334" t="str">
        <f>T("9791164099740")</f>
        <v>9791164099740</v>
      </c>
      <c r="BF4334" t="str">
        <f>T("k200160")</f>
        <v>k200160</v>
      </c>
      <c r="BG4334" t="str">
        <f>T("로판 웹소설 &gt; 서양풍 로판")</f>
        <v>로판 웹소설 &gt; 서양풍 로판</v>
      </c>
    </row>
    <row r="4335" spans="1:59">
      <c r="A4335" t="s">
        <v>60</v>
      </c>
      <c r="B4335" s="1">
        <v>46131</v>
      </c>
      <c r="C4335">
        <v>2378059328</v>
      </c>
      <c r="D4335">
        <v>2378059360</v>
      </c>
      <c r="E4335" t="str">
        <f>T("오만한 주인의 초상화 33화")</f>
        <v>오만한 주인의 초상화 33화</v>
      </c>
      <c r="F4335">
        <v>33</v>
      </c>
      <c r="G4335" t="str">
        <f>T("offnun")</f>
        <v>offnun</v>
      </c>
      <c r="J4335" t="str">
        <f>T("시계토끼")</f>
        <v>시계토끼</v>
      </c>
      <c r="K4335" t="str">
        <f>T("오만한 주인의 초상화")</f>
        <v>오만한 주인의 초상화</v>
      </c>
      <c r="L4335">
        <v>100</v>
      </c>
      <c r="M4335">
        <v>100</v>
      </c>
      <c r="N4335">
        <v>1</v>
      </c>
      <c r="O4335">
        <v>0</v>
      </c>
      <c r="P4335">
        <v>0</v>
      </c>
      <c r="Q4335">
        <v>0</v>
      </c>
      <c r="R4335">
        <v>0</v>
      </c>
      <c r="S4335">
        <v>0</v>
      </c>
      <c r="T4335">
        <v>0</v>
      </c>
      <c r="U4335">
        <v>0</v>
      </c>
      <c r="V4335">
        <v>0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0</v>
      </c>
      <c r="AE4335">
        <v>0</v>
      </c>
      <c r="AF4335">
        <v>0</v>
      </c>
      <c r="AG4335">
        <v>0</v>
      </c>
      <c r="AH4335">
        <v>0</v>
      </c>
      <c r="AI4335">
        <v>100</v>
      </c>
      <c r="AJ4335">
        <v>1</v>
      </c>
      <c r="AK4335">
        <v>0</v>
      </c>
      <c r="AL4335">
        <v>0</v>
      </c>
      <c r="AM4335">
        <v>0</v>
      </c>
      <c r="AN4335">
        <v>0</v>
      </c>
      <c r="AO4335">
        <v>120</v>
      </c>
      <c r="AP4335">
        <v>-12</v>
      </c>
      <c r="AQ4335">
        <v>0</v>
      </c>
      <c r="AS4335">
        <v>0</v>
      </c>
      <c r="AT4335">
        <v>0</v>
      </c>
      <c r="AU4335">
        <v>120</v>
      </c>
      <c r="AV4335">
        <v>-12</v>
      </c>
      <c r="AW4335">
        <v>0</v>
      </c>
      <c r="AY4335">
        <v>0</v>
      </c>
      <c r="AZ4335">
        <v>0</v>
      </c>
      <c r="BA4335">
        <v>75.599999999999994</v>
      </c>
      <c r="BE4335" t="str">
        <f>T("9791164099740")</f>
        <v>9791164099740</v>
      </c>
      <c r="BF4335" t="str">
        <f>T("k200161")</f>
        <v>k200161</v>
      </c>
      <c r="BG4335" t="str">
        <f>T("로판 웹소설 &gt; 서양풍 로판")</f>
        <v>로판 웹소설 &gt; 서양풍 로판</v>
      </c>
    </row>
    <row r="4336" spans="1:59">
      <c r="A4336" t="s">
        <v>60</v>
      </c>
      <c r="B4336" s="1">
        <v>46131</v>
      </c>
      <c r="C4336">
        <v>2378059328</v>
      </c>
      <c r="D4336">
        <v>2378059361</v>
      </c>
      <c r="E4336" t="str">
        <f>T("오만한 주인의 초상화 34화")</f>
        <v>오만한 주인의 초상화 34화</v>
      </c>
      <c r="F4336">
        <v>34</v>
      </c>
      <c r="G4336" t="str">
        <f>T("offnun")</f>
        <v>offnun</v>
      </c>
      <c r="J4336" t="str">
        <f>T("시계토끼")</f>
        <v>시계토끼</v>
      </c>
      <c r="K4336" t="str">
        <f>T("오만한 주인의 초상화")</f>
        <v>오만한 주인의 초상화</v>
      </c>
      <c r="L4336">
        <v>100</v>
      </c>
      <c r="M4336">
        <v>100</v>
      </c>
      <c r="N4336">
        <v>1</v>
      </c>
      <c r="O4336">
        <v>0</v>
      </c>
      <c r="P4336">
        <v>0</v>
      </c>
      <c r="Q4336">
        <v>0</v>
      </c>
      <c r="R4336">
        <v>0</v>
      </c>
      <c r="S4336">
        <v>0</v>
      </c>
      <c r="T4336">
        <v>0</v>
      </c>
      <c r="U4336">
        <v>0</v>
      </c>
      <c r="V4336">
        <v>0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0</v>
      </c>
      <c r="AE4336">
        <v>0</v>
      </c>
      <c r="AF4336">
        <v>0</v>
      </c>
      <c r="AG4336">
        <v>0</v>
      </c>
      <c r="AH4336">
        <v>0</v>
      </c>
      <c r="AI4336">
        <v>100</v>
      </c>
      <c r="AJ4336">
        <v>1</v>
      </c>
      <c r="AK4336">
        <v>0</v>
      </c>
      <c r="AL4336">
        <v>0</v>
      </c>
      <c r="AM4336">
        <v>0</v>
      </c>
      <c r="AN4336">
        <v>0</v>
      </c>
      <c r="AO4336">
        <v>120</v>
      </c>
      <c r="AP4336">
        <v>-12</v>
      </c>
      <c r="AQ4336">
        <v>0</v>
      </c>
      <c r="AS4336">
        <v>0</v>
      </c>
      <c r="AT4336">
        <v>0</v>
      </c>
      <c r="AU4336">
        <v>120</v>
      </c>
      <c r="AV4336">
        <v>-12</v>
      </c>
      <c r="AW4336">
        <v>0</v>
      </c>
      <c r="AY4336">
        <v>0</v>
      </c>
      <c r="AZ4336">
        <v>0</v>
      </c>
      <c r="BA4336">
        <v>75.599999999999994</v>
      </c>
      <c r="BE4336" t="str">
        <f>T("9791164099740")</f>
        <v>9791164099740</v>
      </c>
      <c r="BF4336" t="str">
        <f>T("k200162")</f>
        <v>k200162</v>
      </c>
      <c r="BG4336" t="str">
        <f>T("로판 웹소설 &gt; 서양풍 로판")</f>
        <v>로판 웹소설 &gt; 서양풍 로판</v>
      </c>
    </row>
    <row r="4337" spans="1:59">
      <c r="A4337" t="s">
        <v>60</v>
      </c>
      <c r="B4337" s="1">
        <v>46131</v>
      </c>
      <c r="C4337">
        <v>2378059328</v>
      </c>
      <c r="D4337">
        <v>2378059328</v>
      </c>
      <c r="E4337" t="str">
        <f>T("오만한 주인의 초상화 1화")</f>
        <v>오만한 주인의 초상화 1화</v>
      </c>
      <c r="F4337">
        <v>1</v>
      </c>
      <c r="G4337" t="str">
        <f>T("offnun")</f>
        <v>offnun</v>
      </c>
      <c r="J4337" t="str">
        <f>T("시계토끼")</f>
        <v>시계토끼</v>
      </c>
      <c r="K4337" t="str">
        <f>T("오만한 주인의 초상화")</f>
        <v>오만한 주인의 초상화</v>
      </c>
      <c r="L4337">
        <v>0</v>
      </c>
      <c r="M4337">
        <v>0</v>
      </c>
      <c r="N4337">
        <v>0</v>
      </c>
      <c r="O4337">
        <v>2</v>
      </c>
      <c r="P4337">
        <v>0</v>
      </c>
      <c r="Q4337">
        <v>0</v>
      </c>
      <c r="R4337">
        <v>0</v>
      </c>
      <c r="S4337">
        <v>0</v>
      </c>
      <c r="T4337">
        <v>0</v>
      </c>
      <c r="U4337">
        <v>0</v>
      </c>
      <c r="V4337">
        <v>0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0</v>
      </c>
      <c r="AE4337">
        <v>0</v>
      </c>
      <c r="AF4337">
        <v>0</v>
      </c>
      <c r="AG4337">
        <v>0</v>
      </c>
      <c r="AH4337">
        <v>0</v>
      </c>
      <c r="AI4337">
        <v>0</v>
      </c>
      <c r="AJ4337">
        <v>2</v>
      </c>
      <c r="AK4337">
        <v>0</v>
      </c>
      <c r="AL4337">
        <v>0</v>
      </c>
      <c r="AM4337">
        <v>0</v>
      </c>
      <c r="AN4337">
        <v>0</v>
      </c>
      <c r="AO4337">
        <v>0</v>
      </c>
      <c r="AP4337">
        <v>0</v>
      </c>
      <c r="AQ4337">
        <v>0</v>
      </c>
      <c r="AS4337">
        <v>0</v>
      </c>
      <c r="AT4337">
        <v>0</v>
      </c>
      <c r="AV4337">
        <v>0</v>
      </c>
      <c r="AW4337">
        <v>0</v>
      </c>
      <c r="AY4337">
        <v>0</v>
      </c>
      <c r="AZ4337">
        <v>0</v>
      </c>
      <c r="BA4337">
        <v>0</v>
      </c>
      <c r="BE4337" t="str">
        <f>T("9791164099740")</f>
        <v>9791164099740</v>
      </c>
      <c r="BF4337" t="str">
        <f>T("k200129")</f>
        <v>k200129</v>
      </c>
      <c r="BG4337" t="str">
        <f>T("로판 웹소설 &gt; 서양풍 로판")</f>
        <v>로판 웹소설 &gt; 서양풍 로판</v>
      </c>
    </row>
    <row r="4338" spans="1:59">
      <c r="A4338" t="s">
        <v>60</v>
      </c>
      <c r="B4338" s="1">
        <v>46131</v>
      </c>
      <c r="C4338">
        <v>2378059328</v>
      </c>
      <c r="D4338">
        <v>2378059329</v>
      </c>
      <c r="E4338" t="str">
        <f>T("오만한 주인의 초상화 2화")</f>
        <v>오만한 주인의 초상화 2화</v>
      </c>
      <c r="F4338">
        <v>2</v>
      </c>
      <c r="G4338" t="str">
        <f>T("offnun")</f>
        <v>offnun</v>
      </c>
      <c r="J4338" t="str">
        <f>T("시계토끼")</f>
        <v>시계토끼</v>
      </c>
      <c r="K4338" t="str">
        <f>T("오만한 주인의 초상화")</f>
        <v>오만한 주인의 초상화</v>
      </c>
      <c r="L4338">
        <v>0</v>
      </c>
      <c r="M4338">
        <v>0</v>
      </c>
      <c r="N4338">
        <v>0</v>
      </c>
      <c r="O4338">
        <v>2</v>
      </c>
      <c r="P4338">
        <v>0</v>
      </c>
      <c r="Q4338">
        <v>0</v>
      </c>
      <c r="R4338">
        <v>0</v>
      </c>
      <c r="S4338">
        <v>0</v>
      </c>
      <c r="T4338">
        <v>0</v>
      </c>
      <c r="U4338">
        <v>0</v>
      </c>
      <c r="V4338">
        <v>0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0</v>
      </c>
      <c r="AE4338">
        <v>0</v>
      </c>
      <c r="AF4338">
        <v>0</v>
      </c>
      <c r="AG4338">
        <v>0</v>
      </c>
      <c r="AH4338">
        <v>0</v>
      </c>
      <c r="AI4338">
        <v>0</v>
      </c>
      <c r="AJ4338">
        <v>2</v>
      </c>
      <c r="AK4338">
        <v>0</v>
      </c>
      <c r="AL4338">
        <v>0</v>
      </c>
      <c r="AM4338">
        <v>0</v>
      </c>
      <c r="AN4338">
        <v>0</v>
      </c>
      <c r="AO4338">
        <v>0</v>
      </c>
      <c r="AP4338">
        <v>0</v>
      </c>
      <c r="AQ4338">
        <v>0</v>
      </c>
      <c r="AS4338">
        <v>0</v>
      </c>
      <c r="AT4338">
        <v>0</v>
      </c>
      <c r="AV4338">
        <v>0</v>
      </c>
      <c r="AW4338">
        <v>0</v>
      </c>
      <c r="AY4338">
        <v>0</v>
      </c>
      <c r="AZ4338">
        <v>0</v>
      </c>
      <c r="BA4338">
        <v>0</v>
      </c>
      <c r="BE4338" t="str">
        <f>T("9791164099740")</f>
        <v>9791164099740</v>
      </c>
      <c r="BF4338" t="str">
        <f>T("k200130")</f>
        <v>k200130</v>
      </c>
      <c r="BG4338" t="str">
        <f>T("로판 웹소설 &gt; 서양풍 로판")</f>
        <v>로판 웹소설 &gt; 서양풍 로판</v>
      </c>
    </row>
    <row r="4339" spans="1:59">
      <c r="A4339" t="s">
        <v>60</v>
      </c>
      <c r="B4339" s="1">
        <v>46131</v>
      </c>
      <c r="C4339">
        <v>2378059328</v>
      </c>
      <c r="D4339">
        <v>2378059330</v>
      </c>
      <c r="E4339" t="str">
        <f>T("오만한 주인의 초상화 3화")</f>
        <v>오만한 주인의 초상화 3화</v>
      </c>
      <c r="F4339">
        <v>3</v>
      </c>
      <c r="G4339" t="str">
        <f>T("offnun")</f>
        <v>offnun</v>
      </c>
      <c r="J4339" t="str">
        <f>T("시계토끼")</f>
        <v>시계토끼</v>
      </c>
      <c r="K4339" t="str">
        <f>T("오만한 주인의 초상화")</f>
        <v>오만한 주인의 초상화</v>
      </c>
      <c r="L4339">
        <v>0</v>
      </c>
      <c r="M4339">
        <v>0</v>
      </c>
      <c r="N4339">
        <v>0</v>
      </c>
      <c r="O4339">
        <v>2</v>
      </c>
      <c r="P4339">
        <v>0</v>
      </c>
      <c r="Q4339">
        <v>0</v>
      </c>
      <c r="R4339">
        <v>0</v>
      </c>
      <c r="S4339">
        <v>0</v>
      </c>
      <c r="T4339">
        <v>0</v>
      </c>
      <c r="U4339">
        <v>0</v>
      </c>
      <c r="V4339">
        <v>0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0</v>
      </c>
      <c r="AE4339">
        <v>0</v>
      </c>
      <c r="AF4339">
        <v>0</v>
      </c>
      <c r="AG4339">
        <v>0</v>
      </c>
      <c r="AH4339">
        <v>0</v>
      </c>
      <c r="AI4339">
        <v>0</v>
      </c>
      <c r="AJ4339">
        <v>2</v>
      </c>
      <c r="AK4339">
        <v>0</v>
      </c>
      <c r="AL4339">
        <v>0</v>
      </c>
      <c r="AM4339">
        <v>0</v>
      </c>
      <c r="AN4339">
        <v>0</v>
      </c>
      <c r="AO4339">
        <v>0</v>
      </c>
      <c r="AP4339">
        <v>0</v>
      </c>
      <c r="AQ4339">
        <v>0</v>
      </c>
      <c r="AS4339">
        <v>0</v>
      </c>
      <c r="AT4339">
        <v>0</v>
      </c>
      <c r="AV4339">
        <v>0</v>
      </c>
      <c r="AW4339">
        <v>0</v>
      </c>
      <c r="AY4339">
        <v>0</v>
      </c>
      <c r="AZ4339">
        <v>0</v>
      </c>
      <c r="BA4339">
        <v>0</v>
      </c>
      <c r="BE4339" t="str">
        <f>T("9791164099740")</f>
        <v>9791164099740</v>
      </c>
      <c r="BF4339" t="str">
        <f>T("k200131")</f>
        <v>k200131</v>
      </c>
      <c r="BG4339" t="str">
        <f>T("로판 웹소설 &gt; 서양풍 로판")</f>
        <v>로판 웹소설 &gt; 서양풍 로판</v>
      </c>
    </row>
    <row r="4340" spans="1:59">
      <c r="A4340" t="s">
        <v>60</v>
      </c>
      <c r="B4340" s="1">
        <v>46131</v>
      </c>
      <c r="C4340">
        <v>2378059328</v>
      </c>
      <c r="D4340">
        <v>2378060076</v>
      </c>
      <c r="E4340" t="str">
        <f>T("오만한 주인의 초상화 71화")</f>
        <v>오만한 주인의 초상화 71화</v>
      </c>
      <c r="F4340">
        <v>71</v>
      </c>
      <c r="G4340" t="str">
        <f>T("offnun")</f>
        <v>offnun</v>
      </c>
      <c r="J4340" t="str">
        <f>T("시계토끼")</f>
        <v>시계토끼</v>
      </c>
      <c r="K4340" t="str">
        <f>T("오만한 주인의 초상화")</f>
        <v>오만한 주인의 초상화</v>
      </c>
      <c r="L4340">
        <v>100</v>
      </c>
      <c r="M4340">
        <v>100</v>
      </c>
      <c r="N4340">
        <v>1</v>
      </c>
      <c r="O4340">
        <v>0</v>
      </c>
      <c r="P4340">
        <v>0</v>
      </c>
      <c r="Q4340">
        <v>0</v>
      </c>
      <c r="R4340">
        <v>0</v>
      </c>
      <c r="S4340">
        <v>0</v>
      </c>
      <c r="T4340">
        <v>0</v>
      </c>
      <c r="U4340">
        <v>0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0</v>
      </c>
      <c r="AB4340">
        <v>0</v>
      </c>
      <c r="AC4340">
        <v>0</v>
      </c>
      <c r="AD4340">
        <v>0</v>
      </c>
      <c r="AE4340">
        <v>0</v>
      </c>
      <c r="AF4340">
        <v>0</v>
      </c>
      <c r="AG4340">
        <v>0</v>
      </c>
      <c r="AH4340">
        <v>0</v>
      </c>
      <c r="AI4340">
        <v>100</v>
      </c>
      <c r="AJ4340">
        <v>1</v>
      </c>
      <c r="AK4340">
        <v>0</v>
      </c>
      <c r="AL4340">
        <v>0</v>
      </c>
      <c r="AM4340">
        <v>0</v>
      </c>
      <c r="AN4340">
        <v>0</v>
      </c>
      <c r="AO4340">
        <v>120</v>
      </c>
      <c r="AP4340">
        <v>-12</v>
      </c>
      <c r="AQ4340">
        <v>0</v>
      </c>
      <c r="AS4340">
        <v>0</v>
      </c>
      <c r="AT4340">
        <v>0</v>
      </c>
      <c r="AU4340">
        <v>120</v>
      </c>
      <c r="AV4340">
        <v>-12</v>
      </c>
      <c r="AW4340">
        <v>0</v>
      </c>
      <c r="AY4340">
        <v>0</v>
      </c>
      <c r="AZ4340">
        <v>0</v>
      </c>
      <c r="BA4340">
        <v>75.599999999999994</v>
      </c>
      <c r="BE4340" t="str">
        <f>T("9791164099740")</f>
        <v>9791164099740</v>
      </c>
      <c r="BF4340" t="str">
        <f>T("k200199")</f>
        <v>k200199</v>
      </c>
      <c r="BG4340" t="str">
        <f>T("로판 웹소설 &gt; 서양풍 로판")</f>
        <v>로판 웹소설 &gt; 서양풍 로판</v>
      </c>
    </row>
    <row r="4341" spans="1:59">
      <c r="A4341" t="s">
        <v>60</v>
      </c>
      <c r="B4341" s="1">
        <v>46131</v>
      </c>
      <c r="C4341">
        <v>2378059328</v>
      </c>
      <c r="D4341">
        <v>2378060077</v>
      </c>
      <c r="E4341" t="str">
        <f>T("오만한 주인의 초상화 72화")</f>
        <v>오만한 주인의 초상화 72화</v>
      </c>
      <c r="F4341">
        <v>72</v>
      </c>
      <c r="G4341" t="str">
        <f>T("offnun")</f>
        <v>offnun</v>
      </c>
      <c r="J4341" t="str">
        <f>T("시계토끼")</f>
        <v>시계토끼</v>
      </c>
      <c r="K4341" t="str">
        <f>T("오만한 주인의 초상화")</f>
        <v>오만한 주인의 초상화</v>
      </c>
      <c r="L4341">
        <v>100</v>
      </c>
      <c r="M4341">
        <v>100</v>
      </c>
      <c r="N4341">
        <v>1</v>
      </c>
      <c r="O4341">
        <v>0</v>
      </c>
      <c r="P4341">
        <v>0</v>
      </c>
      <c r="Q4341">
        <v>0</v>
      </c>
      <c r="R4341">
        <v>0</v>
      </c>
      <c r="S4341">
        <v>0</v>
      </c>
      <c r="T4341">
        <v>0</v>
      </c>
      <c r="U4341">
        <v>0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0</v>
      </c>
      <c r="AB4341">
        <v>0</v>
      </c>
      <c r="AC4341">
        <v>0</v>
      </c>
      <c r="AD4341">
        <v>0</v>
      </c>
      <c r="AE4341">
        <v>0</v>
      </c>
      <c r="AF4341">
        <v>0</v>
      </c>
      <c r="AG4341">
        <v>0</v>
      </c>
      <c r="AH4341">
        <v>0</v>
      </c>
      <c r="AI4341">
        <v>100</v>
      </c>
      <c r="AJ4341">
        <v>1</v>
      </c>
      <c r="AK4341">
        <v>0</v>
      </c>
      <c r="AL4341">
        <v>0</v>
      </c>
      <c r="AM4341">
        <v>0</v>
      </c>
      <c r="AN4341">
        <v>0</v>
      </c>
      <c r="AO4341">
        <v>120</v>
      </c>
      <c r="AP4341">
        <v>-12</v>
      </c>
      <c r="AQ4341">
        <v>0</v>
      </c>
      <c r="AS4341">
        <v>0</v>
      </c>
      <c r="AT4341">
        <v>0</v>
      </c>
      <c r="AU4341">
        <v>120</v>
      </c>
      <c r="AV4341">
        <v>-12</v>
      </c>
      <c r="AW4341">
        <v>0</v>
      </c>
      <c r="AY4341">
        <v>0</v>
      </c>
      <c r="AZ4341">
        <v>0</v>
      </c>
      <c r="BA4341">
        <v>75.599999999999994</v>
      </c>
      <c r="BE4341" t="str">
        <f>T("9791164099740")</f>
        <v>9791164099740</v>
      </c>
      <c r="BF4341" t="str">
        <f>T("k200200")</f>
        <v>k200200</v>
      </c>
      <c r="BG4341" t="str">
        <f>T("로판 웹소설 &gt; 서양풍 로판")</f>
        <v>로판 웹소설 &gt; 서양풍 로판</v>
      </c>
    </row>
    <row r="4342" spans="1:59">
      <c r="A4342" t="s">
        <v>60</v>
      </c>
      <c r="B4342" s="1">
        <v>46131</v>
      </c>
      <c r="C4342">
        <v>2378059328</v>
      </c>
      <c r="D4342">
        <v>2378060078</v>
      </c>
      <c r="E4342" t="str">
        <f>T("오만한 주인의 초상화 73화")</f>
        <v>오만한 주인의 초상화 73화</v>
      </c>
      <c r="F4342">
        <v>73</v>
      </c>
      <c r="G4342" t="str">
        <f>T("offnun")</f>
        <v>offnun</v>
      </c>
      <c r="J4342" t="str">
        <f>T("시계토끼")</f>
        <v>시계토끼</v>
      </c>
      <c r="K4342" t="str">
        <f>T("오만한 주인의 초상화")</f>
        <v>오만한 주인의 초상화</v>
      </c>
      <c r="L4342">
        <v>100</v>
      </c>
      <c r="M4342">
        <v>100</v>
      </c>
      <c r="N4342">
        <v>1</v>
      </c>
      <c r="O4342">
        <v>0</v>
      </c>
      <c r="P4342">
        <v>0</v>
      </c>
      <c r="Q4342">
        <v>0</v>
      </c>
      <c r="R4342">
        <v>0</v>
      </c>
      <c r="S4342">
        <v>0</v>
      </c>
      <c r="T4342">
        <v>0</v>
      </c>
      <c r="U4342">
        <v>0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0</v>
      </c>
      <c r="AB4342">
        <v>0</v>
      </c>
      <c r="AC4342">
        <v>0</v>
      </c>
      <c r="AD4342">
        <v>0</v>
      </c>
      <c r="AE4342">
        <v>0</v>
      </c>
      <c r="AF4342">
        <v>0</v>
      </c>
      <c r="AG4342">
        <v>0</v>
      </c>
      <c r="AH4342">
        <v>0</v>
      </c>
      <c r="AI4342">
        <v>100</v>
      </c>
      <c r="AJ4342">
        <v>1</v>
      </c>
      <c r="AK4342">
        <v>0</v>
      </c>
      <c r="AL4342">
        <v>0</v>
      </c>
      <c r="AM4342">
        <v>0</v>
      </c>
      <c r="AN4342">
        <v>0</v>
      </c>
      <c r="AO4342">
        <v>120</v>
      </c>
      <c r="AP4342">
        <v>-12</v>
      </c>
      <c r="AQ4342">
        <v>0</v>
      </c>
      <c r="AS4342">
        <v>0</v>
      </c>
      <c r="AT4342">
        <v>0</v>
      </c>
      <c r="AU4342">
        <v>120</v>
      </c>
      <c r="AV4342">
        <v>-12</v>
      </c>
      <c r="AW4342">
        <v>0</v>
      </c>
      <c r="AY4342">
        <v>0</v>
      </c>
      <c r="AZ4342">
        <v>0</v>
      </c>
      <c r="BA4342">
        <v>75.599999999999994</v>
      </c>
      <c r="BE4342" t="str">
        <f>T("9791164099740")</f>
        <v>9791164099740</v>
      </c>
      <c r="BF4342" t="str">
        <f>T("k200201")</f>
        <v>k200201</v>
      </c>
      <c r="BG4342" t="str">
        <f>T("로판 웹소설 &gt; 서양풍 로판")</f>
        <v>로판 웹소설 &gt; 서양풍 로판</v>
      </c>
    </row>
    <row r="4343" spans="1:59">
      <c r="A4343" t="s">
        <v>60</v>
      </c>
      <c r="B4343" s="1">
        <v>46131</v>
      </c>
      <c r="C4343">
        <v>2378059328</v>
      </c>
      <c r="D4343">
        <v>2378060111</v>
      </c>
      <c r="E4343" t="str">
        <f>T("오만한 주인의 초상화 74화")</f>
        <v>오만한 주인의 초상화 74화</v>
      </c>
      <c r="F4343">
        <v>74</v>
      </c>
      <c r="G4343" t="str">
        <f>T("offnun")</f>
        <v>offnun</v>
      </c>
      <c r="J4343" t="str">
        <f>T("시계토끼")</f>
        <v>시계토끼</v>
      </c>
      <c r="K4343" t="str">
        <f>T("오만한 주인의 초상화")</f>
        <v>오만한 주인의 초상화</v>
      </c>
      <c r="L4343">
        <v>100</v>
      </c>
      <c r="M4343">
        <v>100</v>
      </c>
      <c r="N4343">
        <v>1</v>
      </c>
      <c r="O4343">
        <v>0</v>
      </c>
      <c r="P4343">
        <v>0</v>
      </c>
      <c r="Q4343">
        <v>0</v>
      </c>
      <c r="R4343">
        <v>0</v>
      </c>
      <c r="S4343">
        <v>0</v>
      </c>
      <c r="T4343">
        <v>0</v>
      </c>
      <c r="U4343">
        <v>0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0</v>
      </c>
      <c r="AB4343">
        <v>0</v>
      </c>
      <c r="AC4343">
        <v>0</v>
      </c>
      <c r="AD4343">
        <v>0</v>
      </c>
      <c r="AE4343">
        <v>0</v>
      </c>
      <c r="AF4343">
        <v>0</v>
      </c>
      <c r="AG4343">
        <v>0</v>
      </c>
      <c r="AH4343">
        <v>0</v>
      </c>
      <c r="AI4343">
        <v>100</v>
      </c>
      <c r="AJ4343">
        <v>1</v>
      </c>
      <c r="AK4343">
        <v>0</v>
      </c>
      <c r="AL4343">
        <v>0</v>
      </c>
      <c r="AM4343">
        <v>0</v>
      </c>
      <c r="AN4343">
        <v>0</v>
      </c>
      <c r="AO4343">
        <v>120</v>
      </c>
      <c r="AP4343">
        <v>-12</v>
      </c>
      <c r="AQ4343">
        <v>0</v>
      </c>
      <c r="AS4343">
        <v>0</v>
      </c>
      <c r="AT4343">
        <v>0</v>
      </c>
      <c r="AU4343">
        <v>120</v>
      </c>
      <c r="AV4343">
        <v>-12</v>
      </c>
      <c r="AW4343">
        <v>0</v>
      </c>
      <c r="AY4343">
        <v>0</v>
      </c>
      <c r="AZ4343">
        <v>0</v>
      </c>
      <c r="BA4343">
        <v>75.599999999999994</v>
      </c>
      <c r="BE4343" t="str">
        <f>T("9791164099740")</f>
        <v>9791164099740</v>
      </c>
      <c r="BF4343" t="str">
        <f>T("k200202")</f>
        <v>k200202</v>
      </c>
      <c r="BG4343" t="str">
        <f>T("로판 웹소설 &gt; 서양풍 로판")</f>
        <v>로판 웹소설 &gt; 서양풍 로판</v>
      </c>
    </row>
    <row r="4344" spans="1:59">
      <c r="A4344" t="s">
        <v>60</v>
      </c>
      <c r="B4344" s="1">
        <v>46131</v>
      </c>
      <c r="C4344">
        <v>2378059328</v>
      </c>
      <c r="D4344">
        <v>2378060112</v>
      </c>
      <c r="E4344" t="str">
        <f>T("오만한 주인의 초상화 75화")</f>
        <v>오만한 주인의 초상화 75화</v>
      </c>
      <c r="F4344">
        <v>75</v>
      </c>
      <c r="G4344" t="str">
        <f>T("offnun")</f>
        <v>offnun</v>
      </c>
      <c r="J4344" t="str">
        <f>T("시계토끼")</f>
        <v>시계토끼</v>
      </c>
      <c r="K4344" t="str">
        <f>T("오만한 주인의 초상화")</f>
        <v>오만한 주인의 초상화</v>
      </c>
      <c r="L4344">
        <v>100</v>
      </c>
      <c r="M4344">
        <v>100</v>
      </c>
      <c r="N4344">
        <v>1</v>
      </c>
      <c r="O4344">
        <v>0</v>
      </c>
      <c r="P4344">
        <v>0</v>
      </c>
      <c r="Q4344">
        <v>0</v>
      </c>
      <c r="R4344">
        <v>0</v>
      </c>
      <c r="S4344">
        <v>0</v>
      </c>
      <c r="T4344">
        <v>0</v>
      </c>
      <c r="U4344">
        <v>0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0</v>
      </c>
      <c r="AB4344">
        <v>0</v>
      </c>
      <c r="AC4344">
        <v>0</v>
      </c>
      <c r="AD4344">
        <v>0</v>
      </c>
      <c r="AE4344">
        <v>0</v>
      </c>
      <c r="AF4344">
        <v>0</v>
      </c>
      <c r="AG4344">
        <v>0</v>
      </c>
      <c r="AH4344">
        <v>0</v>
      </c>
      <c r="AI4344">
        <v>100</v>
      </c>
      <c r="AJ4344">
        <v>1</v>
      </c>
      <c r="AK4344">
        <v>0</v>
      </c>
      <c r="AL4344">
        <v>0</v>
      </c>
      <c r="AM4344">
        <v>0</v>
      </c>
      <c r="AN4344">
        <v>0</v>
      </c>
      <c r="AO4344">
        <v>120</v>
      </c>
      <c r="AP4344">
        <v>-12</v>
      </c>
      <c r="AQ4344">
        <v>0</v>
      </c>
      <c r="AS4344">
        <v>0</v>
      </c>
      <c r="AT4344">
        <v>0</v>
      </c>
      <c r="AU4344">
        <v>120</v>
      </c>
      <c r="AV4344">
        <v>-12</v>
      </c>
      <c r="AW4344">
        <v>0</v>
      </c>
      <c r="AY4344">
        <v>0</v>
      </c>
      <c r="AZ4344">
        <v>0</v>
      </c>
      <c r="BA4344">
        <v>75.599999999999994</v>
      </c>
      <c r="BE4344" t="str">
        <f>T("9791164099740")</f>
        <v>9791164099740</v>
      </c>
      <c r="BF4344" t="str">
        <f>T("k200203")</f>
        <v>k200203</v>
      </c>
      <c r="BG4344" t="str">
        <f>T("로판 웹소설 &gt; 서양풍 로판")</f>
        <v>로판 웹소설 &gt; 서양풍 로판</v>
      </c>
    </row>
    <row r="4345" spans="1:59">
      <c r="A4345" t="s">
        <v>60</v>
      </c>
      <c r="B4345" s="1">
        <v>46131</v>
      </c>
      <c r="C4345">
        <v>2378059328</v>
      </c>
      <c r="D4345">
        <v>2378060113</v>
      </c>
      <c r="E4345" t="str">
        <f>T("오만한 주인의 초상화 76화")</f>
        <v>오만한 주인의 초상화 76화</v>
      </c>
      <c r="F4345">
        <v>76</v>
      </c>
      <c r="G4345" t="str">
        <f>T("offnun")</f>
        <v>offnun</v>
      </c>
      <c r="J4345" t="str">
        <f>T("시계토끼")</f>
        <v>시계토끼</v>
      </c>
      <c r="K4345" t="str">
        <f>T("오만한 주인의 초상화")</f>
        <v>오만한 주인의 초상화</v>
      </c>
      <c r="L4345">
        <v>100</v>
      </c>
      <c r="M4345">
        <v>100</v>
      </c>
      <c r="N4345">
        <v>1</v>
      </c>
      <c r="O4345">
        <v>0</v>
      </c>
      <c r="P4345">
        <v>0</v>
      </c>
      <c r="Q4345">
        <v>0</v>
      </c>
      <c r="R4345">
        <v>0</v>
      </c>
      <c r="S4345">
        <v>0</v>
      </c>
      <c r="T4345">
        <v>0</v>
      </c>
      <c r="U4345">
        <v>0</v>
      </c>
      <c r="V4345">
        <v>0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0</v>
      </c>
      <c r="AC4345">
        <v>0</v>
      </c>
      <c r="AD4345">
        <v>0</v>
      </c>
      <c r="AE4345">
        <v>0</v>
      </c>
      <c r="AF4345">
        <v>0</v>
      </c>
      <c r="AG4345">
        <v>0</v>
      </c>
      <c r="AH4345">
        <v>0</v>
      </c>
      <c r="AI4345">
        <v>100</v>
      </c>
      <c r="AJ4345">
        <v>1</v>
      </c>
      <c r="AK4345">
        <v>0</v>
      </c>
      <c r="AL4345">
        <v>0</v>
      </c>
      <c r="AM4345">
        <v>0</v>
      </c>
      <c r="AN4345">
        <v>0</v>
      </c>
      <c r="AO4345">
        <v>120</v>
      </c>
      <c r="AP4345">
        <v>-12</v>
      </c>
      <c r="AQ4345">
        <v>0</v>
      </c>
      <c r="AS4345">
        <v>0</v>
      </c>
      <c r="AT4345">
        <v>0</v>
      </c>
      <c r="AU4345">
        <v>120</v>
      </c>
      <c r="AV4345">
        <v>-12</v>
      </c>
      <c r="AW4345">
        <v>0</v>
      </c>
      <c r="AY4345">
        <v>0</v>
      </c>
      <c r="AZ4345">
        <v>0</v>
      </c>
      <c r="BA4345">
        <v>75.599999999999994</v>
      </c>
      <c r="BE4345" t="str">
        <f>T("9791164099740")</f>
        <v>9791164099740</v>
      </c>
      <c r="BF4345" t="str">
        <f>T("k200204")</f>
        <v>k200204</v>
      </c>
      <c r="BG4345" t="str">
        <f>T("로판 웹소설 &gt; 서양풍 로판")</f>
        <v>로판 웹소설 &gt; 서양풍 로판</v>
      </c>
    </row>
    <row r="4346" spans="1:59">
      <c r="A4346" t="s">
        <v>60</v>
      </c>
      <c r="B4346" s="1">
        <v>46131</v>
      </c>
      <c r="C4346">
        <v>2378059328</v>
      </c>
      <c r="D4346">
        <v>2378059362</v>
      </c>
      <c r="E4346" t="str">
        <f>T("오만한 주인의 초상화 35화")</f>
        <v>오만한 주인의 초상화 35화</v>
      </c>
      <c r="F4346">
        <v>35</v>
      </c>
      <c r="G4346" t="str">
        <f>T("offnun")</f>
        <v>offnun</v>
      </c>
      <c r="J4346" t="str">
        <f>T("시계토끼")</f>
        <v>시계토끼</v>
      </c>
      <c r="K4346" t="str">
        <f>T("오만한 주인의 초상화")</f>
        <v>오만한 주인의 초상화</v>
      </c>
      <c r="L4346">
        <v>100</v>
      </c>
      <c r="M4346">
        <v>100</v>
      </c>
      <c r="N4346">
        <v>1</v>
      </c>
      <c r="O4346">
        <v>0</v>
      </c>
      <c r="P4346">
        <v>0</v>
      </c>
      <c r="Q4346">
        <v>0</v>
      </c>
      <c r="R4346">
        <v>0</v>
      </c>
      <c r="S4346">
        <v>0</v>
      </c>
      <c r="T4346">
        <v>0</v>
      </c>
      <c r="U4346">
        <v>0</v>
      </c>
      <c r="V4346">
        <v>0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0</v>
      </c>
      <c r="AC4346">
        <v>0</v>
      </c>
      <c r="AD4346">
        <v>0</v>
      </c>
      <c r="AE4346">
        <v>0</v>
      </c>
      <c r="AF4346">
        <v>0</v>
      </c>
      <c r="AG4346">
        <v>0</v>
      </c>
      <c r="AH4346">
        <v>0</v>
      </c>
      <c r="AI4346">
        <v>100</v>
      </c>
      <c r="AJ4346">
        <v>1</v>
      </c>
      <c r="AK4346">
        <v>0</v>
      </c>
      <c r="AL4346">
        <v>0</v>
      </c>
      <c r="AM4346">
        <v>0</v>
      </c>
      <c r="AN4346">
        <v>0</v>
      </c>
      <c r="AO4346">
        <v>120</v>
      </c>
      <c r="AP4346">
        <v>-12</v>
      </c>
      <c r="AQ4346">
        <v>0</v>
      </c>
      <c r="AS4346">
        <v>0</v>
      </c>
      <c r="AT4346">
        <v>0</v>
      </c>
      <c r="AU4346">
        <v>120</v>
      </c>
      <c r="AV4346">
        <v>-12</v>
      </c>
      <c r="AW4346">
        <v>0</v>
      </c>
      <c r="AY4346">
        <v>0</v>
      </c>
      <c r="AZ4346">
        <v>0</v>
      </c>
      <c r="BA4346">
        <v>75.599999999999994</v>
      </c>
      <c r="BE4346" t="str">
        <f>T("9791164099740")</f>
        <v>9791164099740</v>
      </c>
      <c r="BF4346" t="str">
        <f>T("k200163")</f>
        <v>k200163</v>
      </c>
      <c r="BG4346" t="str">
        <f>T("로판 웹소설 &gt; 서양풍 로판")</f>
        <v>로판 웹소설 &gt; 서양풍 로판</v>
      </c>
    </row>
    <row r="4347" spans="1:59">
      <c r="A4347" t="s">
        <v>60</v>
      </c>
      <c r="B4347" s="1">
        <v>46131</v>
      </c>
      <c r="C4347">
        <v>2378059328</v>
      </c>
      <c r="D4347">
        <v>2378059363</v>
      </c>
      <c r="E4347" t="str">
        <f>T("오만한 주인의 초상화 36화")</f>
        <v>오만한 주인의 초상화 36화</v>
      </c>
      <c r="F4347">
        <v>36</v>
      </c>
      <c r="G4347" t="str">
        <f>T("offnun")</f>
        <v>offnun</v>
      </c>
      <c r="J4347" t="str">
        <f>T("시계토끼")</f>
        <v>시계토끼</v>
      </c>
      <c r="K4347" t="str">
        <f>T("오만한 주인의 초상화")</f>
        <v>오만한 주인의 초상화</v>
      </c>
      <c r="L4347">
        <v>100</v>
      </c>
      <c r="M4347">
        <v>100</v>
      </c>
      <c r="N4347">
        <v>1</v>
      </c>
      <c r="O4347">
        <v>0</v>
      </c>
      <c r="P4347">
        <v>0</v>
      </c>
      <c r="Q4347">
        <v>0</v>
      </c>
      <c r="R4347">
        <v>0</v>
      </c>
      <c r="S4347">
        <v>0</v>
      </c>
      <c r="T4347">
        <v>0</v>
      </c>
      <c r="U4347">
        <v>0</v>
      </c>
      <c r="V4347">
        <v>0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0</v>
      </c>
      <c r="AC4347">
        <v>0</v>
      </c>
      <c r="AD4347">
        <v>0</v>
      </c>
      <c r="AE4347">
        <v>0</v>
      </c>
      <c r="AF4347">
        <v>0</v>
      </c>
      <c r="AG4347">
        <v>0</v>
      </c>
      <c r="AH4347">
        <v>0</v>
      </c>
      <c r="AI4347">
        <v>100</v>
      </c>
      <c r="AJ4347">
        <v>1</v>
      </c>
      <c r="AK4347">
        <v>0</v>
      </c>
      <c r="AL4347">
        <v>0</v>
      </c>
      <c r="AM4347">
        <v>0</v>
      </c>
      <c r="AN4347">
        <v>0</v>
      </c>
      <c r="AO4347">
        <v>120</v>
      </c>
      <c r="AP4347">
        <v>-12</v>
      </c>
      <c r="AQ4347">
        <v>0</v>
      </c>
      <c r="AS4347">
        <v>0</v>
      </c>
      <c r="AT4347">
        <v>0</v>
      </c>
      <c r="AU4347">
        <v>120</v>
      </c>
      <c r="AV4347">
        <v>-12</v>
      </c>
      <c r="AW4347">
        <v>0</v>
      </c>
      <c r="AY4347">
        <v>0</v>
      </c>
      <c r="AZ4347">
        <v>0</v>
      </c>
      <c r="BA4347">
        <v>75.599999999999994</v>
      </c>
      <c r="BE4347" t="str">
        <f>T("9791164099740")</f>
        <v>9791164099740</v>
      </c>
      <c r="BF4347" t="str">
        <f>T("k200164")</f>
        <v>k200164</v>
      </c>
      <c r="BG4347" t="str">
        <f>T("로판 웹소설 &gt; 서양풍 로판")</f>
        <v>로판 웹소설 &gt; 서양풍 로판</v>
      </c>
    </row>
    <row r="4348" spans="1:59">
      <c r="A4348" t="s">
        <v>60</v>
      </c>
      <c r="B4348" s="1">
        <v>46131</v>
      </c>
      <c r="C4348">
        <v>2378059328</v>
      </c>
      <c r="D4348">
        <v>2378059364</v>
      </c>
      <c r="E4348" t="str">
        <f>T("오만한 주인의 초상화 37화")</f>
        <v>오만한 주인의 초상화 37화</v>
      </c>
      <c r="F4348">
        <v>37</v>
      </c>
      <c r="G4348" t="str">
        <f>T("offnun")</f>
        <v>offnun</v>
      </c>
      <c r="J4348" t="str">
        <f>T("시계토끼")</f>
        <v>시계토끼</v>
      </c>
      <c r="K4348" t="str">
        <f>T("오만한 주인의 초상화")</f>
        <v>오만한 주인의 초상화</v>
      </c>
      <c r="L4348">
        <v>100</v>
      </c>
      <c r="M4348">
        <v>100</v>
      </c>
      <c r="N4348">
        <v>1</v>
      </c>
      <c r="O4348">
        <v>0</v>
      </c>
      <c r="P4348">
        <v>0</v>
      </c>
      <c r="Q4348">
        <v>0</v>
      </c>
      <c r="R4348">
        <v>0</v>
      </c>
      <c r="S4348">
        <v>0</v>
      </c>
      <c r="T4348">
        <v>0</v>
      </c>
      <c r="U4348">
        <v>0</v>
      </c>
      <c r="V4348">
        <v>0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0</v>
      </c>
      <c r="AC4348">
        <v>0</v>
      </c>
      <c r="AD4348">
        <v>0</v>
      </c>
      <c r="AE4348">
        <v>0</v>
      </c>
      <c r="AF4348">
        <v>0</v>
      </c>
      <c r="AG4348">
        <v>0</v>
      </c>
      <c r="AH4348">
        <v>0</v>
      </c>
      <c r="AI4348">
        <v>100</v>
      </c>
      <c r="AJ4348">
        <v>1</v>
      </c>
      <c r="AK4348">
        <v>0</v>
      </c>
      <c r="AL4348">
        <v>0</v>
      </c>
      <c r="AM4348">
        <v>0</v>
      </c>
      <c r="AN4348">
        <v>0</v>
      </c>
      <c r="AO4348">
        <v>120</v>
      </c>
      <c r="AP4348">
        <v>-12</v>
      </c>
      <c r="AQ4348">
        <v>0</v>
      </c>
      <c r="AS4348">
        <v>0</v>
      </c>
      <c r="AT4348">
        <v>0</v>
      </c>
      <c r="AU4348">
        <v>120</v>
      </c>
      <c r="AV4348">
        <v>-12</v>
      </c>
      <c r="AW4348">
        <v>0</v>
      </c>
      <c r="AY4348">
        <v>0</v>
      </c>
      <c r="AZ4348">
        <v>0</v>
      </c>
      <c r="BA4348">
        <v>75.599999999999994</v>
      </c>
      <c r="BE4348" t="str">
        <f>T("9791164099740")</f>
        <v>9791164099740</v>
      </c>
      <c r="BF4348" t="str">
        <f>T("k200165")</f>
        <v>k200165</v>
      </c>
      <c r="BG4348" t="str">
        <f>T("로판 웹소설 &gt; 서양풍 로판")</f>
        <v>로판 웹소설 &gt; 서양풍 로판</v>
      </c>
    </row>
    <row r="4349" spans="1:59">
      <c r="A4349" t="s">
        <v>60</v>
      </c>
      <c r="B4349" s="1">
        <v>46131</v>
      </c>
      <c r="C4349">
        <v>2378059328</v>
      </c>
      <c r="D4349">
        <v>2378059365</v>
      </c>
      <c r="E4349" t="str">
        <f>T("오만한 주인의 초상화 38화")</f>
        <v>오만한 주인의 초상화 38화</v>
      </c>
      <c r="F4349">
        <v>38</v>
      </c>
      <c r="G4349" t="str">
        <f>T("offnun")</f>
        <v>offnun</v>
      </c>
      <c r="J4349" t="str">
        <f>T("시계토끼")</f>
        <v>시계토끼</v>
      </c>
      <c r="K4349" t="str">
        <f>T("오만한 주인의 초상화")</f>
        <v>오만한 주인의 초상화</v>
      </c>
      <c r="L4349">
        <v>100</v>
      </c>
      <c r="M4349">
        <v>100</v>
      </c>
      <c r="N4349">
        <v>1</v>
      </c>
      <c r="O4349">
        <v>0</v>
      </c>
      <c r="P4349">
        <v>0</v>
      </c>
      <c r="Q4349">
        <v>0</v>
      </c>
      <c r="R4349">
        <v>0</v>
      </c>
      <c r="S4349">
        <v>0</v>
      </c>
      <c r="T4349">
        <v>0</v>
      </c>
      <c r="U4349">
        <v>0</v>
      </c>
      <c r="V4349">
        <v>0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0</v>
      </c>
      <c r="AC4349">
        <v>0</v>
      </c>
      <c r="AD4349">
        <v>0</v>
      </c>
      <c r="AE4349">
        <v>0</v>
      </c>
      <c r="AF4349">
        <v>0</v>
      </c>
      <c r="AG4349">
        <v>0</v>
      </c>
      <c r="AH4349">
        <v>0</v>
      </c>
      <c r="AI4349">
        <v>100</v>
      </c>
      <c r="AJ4349">
        <v>1</v>
      </c>
      <c r="AK4349">
        <v>0</v>
      </c>
      <c r="AL4349">
        <v>0</v>
      </c>
      <c r="AM4349">
        <v>0</v>
      </c>
      <c r="AN4349">
        <v>0</v>
      </c>
      <c r="AO4349">
        <v>120</v>
      </c>
      <c r="AP4349">
        <v>-12</v>
      </c>
      <c r="AQ4349">
        <v>0</v>
      </c>
      <c r="AS4349">
        <v>0</v>
      </c>
      <c r="AT4349">
        <v>0</v>
      </c>
      <c r="AU4349">
        <v>120</v>
      </c>
      <c r="AV4349">
        <v>-12</v>
      </c>
      <c r="AW4349">
        <v>0</v>
      </c>
      <c r="AY4349">
        <v>0</v>
      </c>
      <c r="AZ4349">
        <v>0</v>
      </c>
      <c r="BA4349">
        <v>75.599999999999994</v>
      </c>
      <c r="BE4349" t="str">
        <f>T("9791164099740")</f>
        <v>9791164099740</v>
      </c>
      <c r="BF4349" t="str">
        <f>T("k200166")</f>
        <v>k200166</v>
      </c>
      <c r="BG4349" t="str">
        <f>T("로판 웹소설 &gt; 서양풍 로판")</f>
        <v>로판 웹소설 &gt; 서양풍 로판</v>
      </c>
    </row>
    <row r="4350" spans="1:59">
      <c r="A4350" t="s">
        <v>60</v>
      </c>
      <c r="B4350" s="1">
        <v>46131</v>
      </c>
      <c r="C4350">
        <v>2378059328</v>
      </c>
      <c r="D4350">
        <v>2378059366</v>
      </c>
      <c r="E4350" t="str">
        <f>T("오만한 주인의 초상화 39화")</f>
        <v>오만한 주인의 초상화 39화</v>
      </c>
      <c r="F4350">
        <v>39</v>
      </c>
      <c r="G4350" t="str">
        <f>T("offnun")</f>
        <v>offnun</v>
      </c>
      <c r="J4350" t="str">
        <f>T("시계토끼")</f>
        <v>시계토끼</v>
      </c>
      <c r="K4350" t="str">
        <f>T("오만한 주인의 초상화")</f>
        <v>오만한 주인의 초상화</v>
      </c>
      <c r="L4350">
        <v>100</v>
      </c>
      <c r="M4350">
        <v>100</v>
      </c>
      <c r="N4350">
        <v>1</v>
      </c>
      <c r="O4350">
        <v>0</v>
      </c>
      <c r="P4350">
        <v>0</v>
      </c>
      <c r="Q4350">
        <v>0</v>
      </c>
      <c r="R4350">
        <v>0</v>
      </c>
      <c r="S4350">
        <v>0</v>
      </c>
      <c r="T4350">
        <v>0</v>
      </c>
      <c r="U4350">
        <v>0</v>
      </c>
      <c r="V4350">
        <v>0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0</v>
      </c>
      <c r="AC4350">
        <v>0</v>
      </c>
      <c r="AD4350">
        <v>0</v>
      </c>
      <c r="AE4350">
        <v>0</v>
      </c>
      <c r="AF4350">
        <v>0</v>
      </c>
      <c r="AG4350">
        <v>0</v>
      </c>
      <c r="AH4350">
        <v>0</v>
      </c>
      <c r="AI4350">
        <v>100</v>
      </c>
      <c r="AJ4350">
        <v>1</v>
      </c>
      <c r="AK4350">
        <v>0</v>
      </c>
      <c r="AL4350">
        <v>0</v>
      </c>
      <c r="AM4350">
        <v>0</v>
      </c>
      <c r="AN4350">
        <v>0</v>
      </c>
      <c r="AO4350">
        <v>120</v>
      </c>
      <c r="AP4350">
        <v>-12</v>
      </c>
      <c r="AQ4350">
        <v>0</v>
      </c>
      <c r="AS4350">
        <v>0</v>
      </c>
      <c r="AT4350">
        <v>0</v>
      </c>
      <c r="AU4350">
        <v>120</v>
      </c>
      <c r="AV4350">
        <v>-12</v>
      </c>
      <c r="AW4350">
        <v>0</v>
      </c>
      <c r="AY4350">
        <v>0</v>
      </c>
      <c r="AZ4350">
        <v>0</v>
      </c>
      <c r="BA4350">
        <v>75.599999999999994</v>
      </c>
      <c r="BE4350" t="str">
        <f>T("9791164099740")</f>
        <v>9791164099740</v>
      </c>
      <c r="BF4350" t="str">
        <f>T("k200167")</f>
        <v>k200167</v>
      </c>
      <c r="BG4350" t="str">
        <f>T("로판 웹소설 &gt; 서양풍 로판")</f>
        <v>로판 웹소설 &gt; 서양풍 로판</v>
      </c>
    </row>
    <row r="4351" spans="1:59">
      <c r="A4351" t="s">
        <v>60</v>
      </c>
      <c r="B4351" s="1">
        <v>46131</v>
      </c>
      <c r="C4351">
        <v>2378059328</v>
      </c>
      <c r="D4351">
        <v>2378059367</v>
      </c>
      <c r="E4351" t="str">
        <f>T("오만한 주인의 초상화 40화")</f>
        <v>오만한 주인의 초상화 40화</v>
      </c>
      <c r="F4351">
        <v>40</v>
      </c>
      <c r="G4351" t="str">
        <f>T("offnun")</f>
        <v>offnun</v>
      </c>
      <c r="J4351" t="str">
        <f>T("시계토끼")</f>
        <v>시계토끼</v>
      </c>
      <c r="K4351" t="str">
        <f>T("오만한 주인의 초상화")</f>
        <v>오만한 주인의 초상화</v>
      </c>
      <c r="L4351">
        <v>100</v>
      </c>
      <c r="M4351">
        <v>100</v>
      </c>
      <c r="N4351">
        <v>1</v>
      </c>
      <c r="O4351">
        <v>0</v>
      </c>
      <c r="P4351">
        <v>0</v>
      </c>
      <c r="Q4351">
        <v>0</v>
      </c>
      <c r="R4351">
        <v>0</v>
      </c>
      <c r="S4351">
        <v>0</v>
      </c>
      <c r="T4351">
        <v>0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0</v>
      </c>
      <c r="AC4351">
        <v>0</v>
      </c>
      <c r="AD4351">
        <v>0</v>
      </c>
      <c r="AE4351">
        <v>0</v>
      </c>
      <c r="AF4351">
        <v>0</v>
      </c>
      <c r="AG4351">
        <v>0</v>
      </c>
      <c r="AH4351">
        <v>0</v>
      </c>
      <c r="AI4351">
        <v>100</v>
      </c>
      <c r="AJ4351">
        <v>1</v>
      </c>
      <c r="AK4351">
        <v>0</v>
      </c>
      <c r="AL4351">
        <v>0</v>
      </c>
      <c r="AM4351">
        <v>0</v>
      </c>
      <c r="AN4351">
        <v>0</v>
      </c>
      <c r="AO4351">
        <v>120</v>
      </c>
      <c r="AP4351">
        <v>-12</v>
      </c>
      <c r="AQ4351">
        <v>0</v>
      </c>
      <c r="AS4351">
        <v>0</v>
      </c>
      <c r="AT4351">
        <v>0</v>
      </c>
      <c r="AU4351">
        <v>120</v>
      </c>
      <c r="AV4351">
        <v>-12</v>
      </c>
      <c r="AW4351">
        <v>0</v>
      </c>
      <c r="AY4351">
        <v>0</v>
      </c>
      <c r="AZ4351">
        <v>0</v>
      </c>
      <c r="BA4351">
        <v>75.599999999999994</v>
      </c>
      <c r="BE4351" t="str">
        <f>T("9791164099740")</f>
        <v>9791164099740</v>
      </c>
      <c r="BF4351" t="str">
        <f>T("k200168")</f>
        <v>k200168</v>
      </c>
      <c r="BG4351" t="str">
        <f>T("로판 웹소설 &gt; 서양풍 로판")</f>
        <v>로판 웹소설 &gt; 서양풍 로판</v>
      </c>
    </row>
    <row r="4352" spans="1:59">
      <c r="A4352" t="s">
        <v>60</v>
      </c>
      <c r="B4352" s="1">
        <v>46131</v>
      </c>
      <c r="C4352">
        <v>2378059328</v>
      </c>
      <c r="D4352">
        <v>2378059368</v>
      </c>
      <c r="E4352" t="str">
        <f>T("오만한 주인의 초상화 41화")</f>
        <v>오만한 주인의 초상화 41화</v>
      </c>
      <c r="F4352">
        <v>41</v>
      </c>
      <c r="G4352" t="str">
        <f>T("offnun")</f>
        <v>offnun</v>
      </c>
      <c r="J4352" t="str">
        <f>T("시계토끼")</f>
        <v>시계토끼</v>
      </c>
      <c r="K4352" t="str">
        <f>T("오만한 주인의 초상화")</f>
        <v>오만한 주인의 초상화</v>
      </c>
      <c r="L4352">
        <v>100</v>
      </c>
      <c r="M4352">
        <v>100</v>
      </c>
      <c r="N4352">
        <v>1</v>
      </c>
      <c r="O4352">
        <v>0</v>
      </c>
      <c r="P4352">
        <v>0</v>
      </c>
      <c r="Q4352">
        <v>0</v>
      </c>
      <c r="R4352">
        <v>0</v>
      </c>
      <c r="S4352">
        <v>0</v>
      </c>
      <c r="T4352">
        <v>0</v>
      </c>
      <c r="U4352">
        <v>0</v>
      </c>
      <c r="V4352">
        <v>0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0</v>
      </c>
      <c r="AC4352">
        <v>0</v>
      </c>
      <c r="AD4352">
        <v>0</v>
      </c>
      <c r="AE4352">
        <v>0</v>
      </c>
      <c r="AF4352">
        <v>0</v>
      </c>
      <c r="AG4352">
        <v>0</v>
      </c>
      <c r="AH4352">
        <v>0</v>
      </c>
      <c r="AI4352">
        <v>100</v>
      </c>
      <c r="AJ4352">
        <v>1</v>
      </c>
      <c r="AK4352">
        <v>0</v>
      </c>
      <c r="AL4352">
        <v>0</v>
      </c>
      <c r="AM4352">
        <v>0</v>
      </c>
      <c r="AN4352">
        <v>0</v>
      </c>
      <c r="AO4352">
        <v>120</v>
      </c>
      <c r="AP4352">
        <v>-12</v>
      </c>
      <c r="AQ4352">
        <v>0</v>
      </c>
      <c r="AS4352">
        <v>0</v>
      </c>
      <c r="AT4352">
        <v>0</v>
      </c>
      <c r="AU4352">
        <v>120</v>
      </c>
      <c r="AV4352">
        <v>-12</v>
      </c>
      <c r="AW4352">
        <v>0</v>
      </c>
      <c r="AY4352">
        <v>0</v>
      </c>
      <c r="AZ4352">
        <v>0</v>
      </c>
      <c r="BA4352">
        <v>75.599999999999994</v>
      </c>
      <c r="BE4352" t="str">
        <f>T("9791164099740")</f>
        <v>9791164099740</v>
      </c>
      <c r="BF4352" t="str">
        <f>T("k200169")</f>
        <v>k200169</v>
      </c>
      <c r="BG4352" t="str">
        <f>T("로판 웹소설 &gt; 서양풍 로판")</f>
        <v>로판 웹소설 &gt; 서양풍 로판</v>
      </c>
    </row>
    <row r="4353" spans="1:59">
      <c r="A4353" t="s">
        <v>60</v>
      </c>
      <c r="B4353" s="1">
        <v>46131</v>
      </c>
      <c r="C4353">
        <v>2378059328</v>
      </c>
      <c r="D4353">
        <v>2378059369</v>
      </c>
      <c r="E4353" t="str">
        <f>T("오만한 주인의 초상화 42화")</f>
        <v>오만한 주인의 초상화 42화</v>
      </c>
      <c r="F4353">
        <v>42</v>
      </c>
      <c r="G4353" t="str">
        <f>T("offnun")</f>
        <v>offnun</v>
      </c>
      <c r="J4353" t="str">
        <f>T("시계토끼")</f>
        <v>시계토끼</v>
      </c>
      <c r="K4353" t="str">
        <f>T("오만한 주인의 초상화")</f>
        <v>오만한 주인의 초상화</v>
      </c>
      <c r="L4353">
        <v>100</v>
      </c>
      <c r="M4353">
        <v>100</v>
      </c>
      <c r="N4353">
        <v>1</v>
      </c>
      <c r="O4353">
        <v>0</v>
      </c>
      <c r="P4353">
        <v>0</v>
      </c>
      <c r="Q4353">
        <v>0</v>
      </c>
      <c r="R4353">
        <v>0</v>
      </c>
      <c r="S4353">
        <v>0</v>
      </c>
      <c r="T4353">
        <v>0</v>
      </c>
      <c r="U4353">
        <v>0</v>
      </c>
      <c r="V4353">
        <v>0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0</v>
      </c>
      <c r="AC4353">
        <v>0</v>
      </c>
      <c r="AD4353">
        <v>0</v>
      </c>
      <c r="AE4353">
        <v>0</v>
      </c>
      <c r="AF4353">
        <v>0</v>
      </c>
      <c r="AG4353">
        <v>0</v>
      </c>
      <c r="AH4353">
        <v>0</v>
      </c>
      <c r="AI4353">
        <v>100</v>
      </c>
      <c r="AJ4353">
        <v>1</v>
      </c>
      <c r="AK4353">
        <v>0</v>
      </c>
      <c r="AL4353">
        <v>0</v>
      </c>
      <c r="AM4353">
        <v>0</v>
      </c>
      <c r="AN4353">
        <v>0</v>
      </c>
      <c r="AO4353">
        <v>120</v>
      </c>
      <c r="AP4353">
        <v>-12</v>
      </c>
      <c r="AQ4353">
        <v>0</v>
      </c>
      <c r="AS4353">
        <v>0</v>
      </c>
      <c r="AT4353">
        <v>0</v>
      </c>
      <c r="AU4353">
        <v>120</v>
      </c>
      <c r="AV4353">
        <v>-12</v>
      </c>
      <c r="AW4353">
        <v>0</v>
      </c>
      <c r="AY4353">
        <v>0</v>
      </c>
      <c r="AZ4353">
        <v>0</v>
      </c>
      <c r="BA4353">
        <v>75.599999999999994</v>
      </c>
      <c r="BE4353" t="str">
        <f>T("9791164099740")</f>
        <v>9791164099740</v>
      </c>
      <c r="BF4353" t="str">
        <f>T("k200170")</f>
        <v>k200170</v>
      </c>
      <c r="BG4353" t="str">
        <f>T("로판 웹소설 &gt; 서양풍 로판")</f>
        <v>로판 웹소설 &gt; 서양풍 로판</v>
      </c>
    </row>
    <row r="4354" spans="1:59">
      <c r="A4354" t="s">
        <v>60</v>
      </c>
      <c r="B4354" s="1">
        <v>46131</v>
      </c>
      <c r="C4354">
        <v>2378059328</v>
      </c>
      <c r="D4354">
        <v>2378059370</v>
      </c>
      <c r="E4354" t="str">
        <f>T("오만한 주인의 초상화 43화")</f>
        <v>오만한 주인의 초상화 43화</v>
      </c>
      <c r="F4354">
        <v>43</v>
      </c>
      <c r="G4354" t="str">
        <f>T("offnun")</f>
        <v>offnun</v>
      </c>
      <c r="J4354" t="str">
        <f>T("시계토끼")</f>
        <v>시계토끼</v>
      </c>
      <c r="K4354" t="str">
        <f>T("오만한 주인의 초상화")</f>
        <v>오만한 주인의 초상화</v>
      </c>
      <c r="L4354">
        <v>100</v>
      </c>
      <c r="M4354">
        <v>100</v>
      </c>
      <c r="N4354">
        <v>1</v>
      </c>
      <c r="O4354">
        <v>0</v>
      </c>
      <c r="P4354">
        <v>0</v>
      </c>
      <c r="Q4354">
        <v>0</v>
      </c>
      <c r="R4354">
        <v>0</v>
      </c>
      <c r="S4354">
        <v>0</v>
      </c>
      <c r="T4354">
        <v>0</v>
      </c>
      <c r="U4354">
        <v>0</v>
      </c>
      <c r="V4354">
        <v>0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0</v>
      </c>
      <c r="AC4354">
        <v>0</v>
      </c>
      <c r="AD4354">
        <v>0</v>
      </c>
      <c r="AE4354">
        <v>0</v>
      </c>
      <c r="AF4354">
        <v>0</v>
      </c>
      <c r="AG4354">
        <v>0</v>
      </c>
      <c r="AH4354">
        <v>0</v>
      </c>
      <c r="AI4354">
        <v>100</v>
      </c>
      <c r="AJ4354">
        <v>1</v>
      </c>
      <c r="AK4354">
        <v>0</v>
      </c>
      <c r="AL4354">
        <v>0</v>
      </c>
      <c r="AM4354">
        <v>0</v>
      </c>
      <c r="AN4354">
        <v>0</v>
      </c>
      <c r="AO4354">
        <v>120</v>
      </c>
      <c r="AP4354">
        <v>-12</v>
      </c>
      <c r="AQ4354">
        <v>0</v>
      </c>
      <c r="AS4354">
        <v>0</v>
      </c>
      <c r="AT4354">
        <v>0</v>
      </c>
      <c r="AU4354">
        <v>120</v>
      </c>
      <c r="AV4354">
        <v>-12</v>
      </c>
      <c r="AW4354">
        <v>0</v>
      </c>
      <c r="AY4354">
        <v>0</v>
      </c>
      <c r="AZ4354">
        <v>0</v>
      </c>
      <c r="BA4354">
        <v>75.599999999999994</v>
      </c>
      <c r="BE4354" t="str">
        <f>T("9791164099740")</f>
        <v>9791164099740</v>
      </c>
      <c r="BF4354" t="str">
        <f>T("k200171")</f>
        <v>k200171</v>
      </c>
      <c r="BG4354" t="str">
        <f>T("로판 웹소설 &gt; 서양풍 로판")</f>
        <v>로판 웹소설 &gt; 서양풍 로판</v>
      </c>
    </row>
    <row r="4355" spans="1:59">
      <c r="A4355" t="s">
        <v>60</v>
      </c>
      <c r="B4355" s="1">
        <v>46131</v>
      </c>
      <c r="C4355">
        <v>2378059328</v>
      </c>
      <c r="D4355">
        <v>2378061943</v>
      </c>
      <c r="E4355" t="str">
        <f>T("오만한 주인의 초상화 103화")</f>
        <v>오만한 주인의 초상화 103화</v>
      </c>
      <c r="F4355">
        <v>103</v>
      </c>
      <c r="G4355" t="str">
        <f>T("offnun")</f>
        <v>offnun</v>
      </c>
      <c r="J4355" t="str">
        <f>T("시계토끼")</f>
        <v>시계토끼</v>
      </c>
      <c r="K4355" t="str">
        <f>T("오만한 주인의 초상화")</f>
        <v>오만한 주인의 초상화</v>
      </c>
      <c r="L4355">
        <v>100</v>
      </c>
      <c r="M4355">
        <v>100</v>
      </c>
      <c r="N4355">
        <v>1</v>
      </c>
      <c r="O4355">
        <v>0</v>
      </c>
      <c r="P4355">
        <v>0</v>
      </c>
      <c r="Q4355">
        <v>0</v>
      </c>
      <c r="R4355">
        <v>0</v>
      </c>
      <c r="S4355">
        <v>0</v>
      </c>
      <c r="T4355">
        <v>0</v>
      </c>
      <c r="U4355">
        <v>0</v>
      </c>
      <c r="V4355">
        <v>0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0</v>
      </c>
      <c r="AC4355">
        <v>0</v>
      </c>
      <c r="AD4355">
        <v>0</v>
      </c>
      <c r="AE4355">
        <v>0</v>
      </c>
      <c r="AF4355">
        <v>0</v>
      </c>
      <c r="AG4355">
        <v>0</v>
      </c>
      <c r="AH4355">
        <v>0</v>
      </c>
      <c r="AI4355">
        <v>100</v>
      </c>
      <c r="AJ4355">
        <v>1</v>
      </c>
      <c r="AK4355">
        <v>0</v>
      </c>
      <c r="AL4355">
        <v>0</v>
      </c>
      <c r="AM4355">
        <v>0</v>
      </c>
      <c r="AN4355">
        <v>0</v>
      </c>
      <c r="AO4355">
        <v>120</v>
      </c>
      <c r="AP4355">
        <v>-12</v>
      </c>
      <c r="AQ4355">
        <v>0</v>
      </c>
      <c r="AS4355">
        <v>0</v>
      </c>
      <c r="AT4355">
        <v>0</v>
      </c>
      <c r="AU4355">
        <v>120</v>
      </c>
      <c r="AV4355">
        <v>-12</v>
      </c>
      <c r="AW4355">
        <v>0</v>
      </c>
      <c r="AY4355">
        <v>0</v>
      </c>
      <c r="AZ4355">
        <v>0</v>
      </c>
      <c r="BA4355">
        <v>75.599999999999994</v>
      </c>
      <c r="BE4355" t="str">
        <f>T("9791164099740")</f>
        <v>9791164099740</v>
      </c>
      <c r="BF4355" t="str">
        <f>T("k239472")</f>
        <v>k239472</v>
      </c>
      <c r="BG4355" t="str">
        <f>T("로판 웹소설 &gt; 서양풍 로판")</f>
        <v>로판 웹소설 &gt; 서양풍 로판</v>
      </c>
    </row>
    <row r="4356" spans="1:59">
      <c r="A4356" t="s">
        <v>60</v>
      </c>
      <c r="B4356" s="1">
        <v>46131</v>
      </c>
      <c r="C4356">
        <v>2378059328</v>
      </c>
      <c r="D4356">
        <v>2378061944</v>
      </c>
      <c r="E4356" t="str">
        <f>T("오만한 주인의 초상화 104화")</f>
        <v>오만한 주인의 초상화 104화</v>
      </c>
      <c r="F4356">
        <v>104</v>
      </c>
      <c r="G4356" t="str">
        <f>T("offnun")</f>
        <v>offnun</v>
      </c>
      <c r="J4356" t="str">
        <f>T("시계토끼")</f>
        <v>시계토끼</v>
      </c>
      <c r="K4356" t="str">
        <f>T("오만한 주인의 초상화")</f>
        <v>오만한 주인의 초상화</v>
      </c>
      <c r="L4356">
        <v>100</v>
      </c>
      <c r="M4356">
        <v>100</v>
      </c>
      <c r="N4356">
        <v>1</v>
      </c>
      <c r="O4356">
        <v>0</v>
      </c>
      <c r="P4356">
        <v>0</v>
      </c>
      <c r="Q4356">
        <v>0</v>
      </c>
      <c r="R4356">
        <v>0</v>
      </c>
      <c r="S4356">
        <v>0</v>
      </c>
      <c r="T4356">
        <v>0</v>
      </c>
      <c r="U4356">
        <v>0</v>
      </c>
      <c r="V4356">
        <v>0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0</v>
      </c>
      <c r="AC4356">
        <v>0</v>
      </c>
      <c r="AD4356">
        <v>0</v>
      </c>
      <c r="AE4356">
        <v>0</v>
      </c>
      <c r="AF4356">
        <v>0</v>
      </c>
      <c r="AG4356">
        <v>0</v>
      </c>
      <c r="AH4356">
        <v>0</v>
      </c>
      <c r="AI4356">
        <v>100</v>
      </c>
      <c r="AJ4356">
        <v>1</v>
      </c>
      <c r="AK4356">
        <v>0</v>
      </c>
      <c r="AL4356">
        <v>0</v>
      </c>
      <c r="AM4356">
        <v>0</v>
      </c>
      <c r="AN4356">
        <v>0</v>
      </c>
      <c r="AO4356">
        <v>120</v>
      </c>
      <c r="AP4356">
        <v>-12</v>
      </c>
      <c r="AQ4356">
        <v>0</v>
      </c>
      <c r="AS4356">
        <v>0</v>
      </c>
      <c r="AT4356">
        <v>0</v>
      </c>
      <c r="AU4356">
        <v>120</v>
      </c>
      <c r="AV4356">
        <v>-12</v>
      </c>
      <c r="AW4356">
        <v>0</v>
      </c>
      <c r="AY4356">
        <v>0</v>
      </c>
      <c r="AZ4356">
        <v>0</v>
      </c>
      <c r="BA4356">
        <v>75.599999999999994</v>
      </c>
      <c r="BE4356" t="str">
        <f>T("9791164099740")</f>
        <v>9791164099740</v>
      </c>
      <c r="BF4356" t="str">
        <f>T("k239473")</f>
        <v>k239473</v>
      </c>
      <c r="BG4356" t="str">
        <f>T("로판 웹소설 &gt; 서양풍 로판")</f>
        <v>로판 웹소설 &gt; 서양풍 로판</v>
      </c>
    </row>
    <row r="4357" spans="1:59">
      <c r="A4357" t="s">
        <v>60</v>
      </c>
      <c r="B4357" s="1">
        <v>46131</v>
      </c>
      <c r="C4357">
        <v>2378059328</v>
      </c>
      <c r="D4357">
        <v>2378061945</v>
      </c>
      <c r="E4357" t="str">
        <f>T("오만한 주인의 초상화 105화")</f>
        <v>오만한 주인의 초상화 105화</v>
      </c>
      <c r="F4357">
        <v>105</v>
      </c>
      <c r="G4357" t="str">
        <f>T("offnun")</f>
        <v>offnun</v>
      </c>
      <c r="J4357" t="str">
        <f>T("시계토끼")</f>
        <v>시계토끼</v>
      </c>
      <c r="K4357" t="str">
        <f>T("오만한 주인의 초상화")</f>
        <v>오만한 주인의 초상화</v>
      </c>
      <c r="L4357">
        <v>100</v>
      </c>
      <c r="M4357">
        <v>100</v>
      </c>
      <c r="N4357">
        <v>1</v>
      </c>
      <c r="O4357">
        <v>0</v>
      </c>
      <c r="P4357">
        <v>0</v>
      </c>
      <c r="Q4357">
        <v>0</v>
      </c>
      <c r="R4357">
        <v>0</v>
      </c>
      <c r="S4357">
        <v>0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0</v>
      </c>
      <c r="AC4357">
        <v>0</v>
      </c>
      <c r="AD4357">
        <v>0</v>
      </c>
      <c r="AE4357">
        <v>0</v>
      </c>
      <c r="AF4357">
        <v>0</v>
      </c>
      <c r="AG4357">
        <v>0</v>
      </c>
      <c r="AH4357">
        <v>0</v>
      </c>
      <c r="AI4357">
        <v>100</v>
      </c>
      <c r="AJ4357">
        <v>1</v>
      </c>
      <c r="AK4357">
        <v>0</v>
      </c>
      <c r="AL4357">
        <v>0</v>
      </c>
      <c r="AM4357">
        <v>0</v>
      </c>
      <c r="AN4357">
        <v>0</v>
      </c>
      <c r="AO4357">
        <v>120</v>
      </c>
      <c r="AP4357">
        <v>-12</v>
      </c>
      <c r="AQ4357">
        <v>0</v>
      </c>
      <c r="AS4357">
        <v>0</v>
      </c>
      <c r="AT4357">
        <v>0</v>
      </c>
      <c r="AU4357">
        <v>120</v>
      </c>
      <c r="AV4357">
        <v>-12</v>
      </c>
      <c r="AW4357">
        <v>0</v>
      </c>
      <c r="AY4357">
        <v>0</v>
      </c>
      <c r="AZ4357">
        <v>0</v>
      </c>
      <c r="BA4357">
        <v>75.599999999999994</v>
      </c>
      <c r="BE4357" t="str">
        <f>T("9791164099740")</f>
        <v>9791164099740</v>
      </c>
      <c r="BF4357" t="str">
        <f>T("k239474")</f>
        <v>k239474</v>
      </c>
      <c r="BG4357" t="str">
        <f>T("로판 웹소설 &gt; 서양풍 로판")</f>
        <v>로판 웹소설 &gt; 서양풍 로판</v>
      </c>
    </row>
    <row r="4358" spans="1:59">
      <c r="A4358" t="s">
        <v>60</v>
      </c>
      <c r="B4358" s="1">
        <v>46131</v>
      </c>
      <c r="C4358">
        <v>2378059328</v>
      </c>
      <c r="D4358">
        <v>2378062009</v>
      </c>
      <c r="E4358" t="str">
        <f>T("오만한 주인의 초상화 106화")</f>
        <v>오만한 주인의 초상화 106화</v>
      </c>
      <c r="F4358">
        <v>106</v>
      </c>
      <c r="G4358" t="str">
        <f>T("offnun")</f>
        <v>offnun</v>
      </c>
      <c r="J4358" t="str">
        <f>T("시계토끼")</f>
        <v>시계토끼</v>
      </c>
      <c r="K4358" t="str">
        <f>T("오만한 주인의 초상화")</f>
        <v>오만한 주인의 초상화</v>
      </c>
      <c r="L4358">
        <v>100</v>
      </c>
      <c r="M4358">
        <v>100</v>
      </c>
      <c r="N4358">
        <v>1</v>
      </c>
      <c r="O4358">
        <v>0</v>
      </c>
      <c r="P4358">
        <v>0</v>
      </c>
      <c r="Q4358">
        <v>0</v>
      </c>
      <c r="R4358">
        <v>0</v>
      </c>
      <c r="S4358">
        <v>0</v>
      </c>
      <c r="T4358">
        <v>0</v>
      </c>
      <c r="U4358">
        <v>0</v>
      </c>
      <c r="V4358">
        <v>0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0</v>
      </c>
      <c r="AC4358">
        <v>0</v>
      </c>
      <c r="AD4358">
        <v>0</v>
      </c>
      <c r="AE4358">
        <v>0</v>
      </c>
      <c r="AF4358">
        <v>0</v>
      </c>
      <c r="AG4358">
        <v>0</v>
      </c>
      <c r="AH4358">
        <v>0</v>
      </c>
      <c r="AI4358">
        <v>100</v>
      </c>
      <c r="AJ4358">
        <v>1</v>
      </c>
      <c r="AK4358">
        <v>0</v>
      </c>
      <c r="AL4358">
        <v>0</v>
      </c>
      <c r="AM4358">
        <v>0</v>
      </c>
      <c r="AN4358">
        <v>0</v>
      </c>
      <c r="AO4358">
        <v>120</v>
      </c>
      <c r="AP4358">
        <v>-12</v>
      </c>
      <c r="AQ4358">
        <v>0</v>
      </c>
      <c r="AS4358">
        <v>0</v>
      </c>
      <c r="AT4358">
        <v>0</v>
      </c>
      <c r="AU4358">
        <v>120</v>
      </c>
      <c r="AV4358">
        <v>-12</v>
      </c>
      <c r="AW4358">
        <v>0</v>
      </c>
      <c r="AY4358">
        <v>0</v>
      </c>
      <c r="AZ4358">
        <v>0</v>
      </c>
      <c r="BA4358">
        <v>75.599999999999994</v>
      </c>
      <c r="BE4358" t="str">
        <f>T("9791164099740")</f>
        <v>9791164099740</v>
      </c>
      <c r="BF4358" t="str">
        <f>T("k239475")</f>
        <v>k239475</v>
      </c>
      <c r="BG4358" t="str">
        <f>T("로판 웹소설 &gt; 서양풍 로판")</f>
        <v>로판 웹소설 &gt; 서양풍 로판</v>
      </c>
    </row>
    <row r="4359" spans="1:59">
      <c r="A4359" t="s">
        <v>60</v>
      </c>
      <c r="B4359" s="1">
        <v>46131</v>
      </c>
      <c r="C4359">
        <v>2378059328</v>
      </c>
      <c r="D4359">
        <v>2378062010</v>
      </c>
      <c r="E4359" t="str">
        <f>T("오만한 주인의 초상화 107화")</f>
        <v>오만한 주인의 초상화 107화</v>
      </c>
      <c r="F4359">
        <v>107</v>
      </c>
      <c r="G4359" t="str">
        <f>T("offnun")</f>
        <v>offnun</v>
      </c>
      <c r="J4359" t="str">
        <f>T("시계토끼")</f>
        <v>시계토끼</v>
      </c>
      <c r="K4359" t="str">
        <f>T("오만한 주인의 초상화")</f>
        <v>오만한 주인의 초상화</v>
      </c>
      <c r="L4359">
        <v>100</v>
      </c>
      <c r="M4359">
        <v>100</v>
      </c>
      <c r="N4359">
        <v>1</v>
      </c>
      <c r="O4359">
        <v>0</v>
      </c>
      <c r="P4359">
        <v>0</v>
      </c>
      <c r="Q4359">
        <v>0</v>
      </c>
      <c r="R4359">
        <v>0</v>
      </c>
      <c r="S4359">
        <v>0</v>
      </c>
      <c r="T4359">
        <v>0</v>
      </c>
      <c r="U4359">
        <v>0</v>
      </c>
      <c r="V4359">
        <v>0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0</v>
      </c>
      <c r="AC4359">
        <v>0</v>
      </c>
      <c r="AD4359">
        <v>0</v>
      </c>
      <c r="AE4359">
        <v>0</v>
      </c>
      <c r="AF4359">
        <v>0</v>
      </c>
      <c r="AG4359">
        <v>0</v>
      </c>
      <c r="AH4359">
        <v>0</v>
      </c>
      <c r="AI4359">
        <v>100</v>
      </c>
      <c r="AJ4359">
        <v>1</v>
      </c>
      <c r="AK4359">
        <v>0</v>
      </c>
      <c r="AL4359">
        <v>0</v>
      </c>
      <c r="AM4359">
        <v>0</v>
      </c>
      <c r="AN4359">
        <v>0</v>
      </c>
      <c r="AO4359">
        <v>120</v>
      </c>
      <c r="AP4359">
        <v>-12</v>
      </c>
      <c r="AQ4359">
        <v>0</v>
      </c>
      <c r="AS4359">
        <v>0</v>
      </c>
      <c r="AT4359">
        <v>0</v>
      </c>
      <c r="AU4359">
        <v>120</v>
      </c>
      <c r="AV4359">
        <v>-12</v>
      </c>
      <c r="AW4359">
        <v>0</v>
      </c>
      <c r="AY4359">
        <v>0</v>
      </c>
      <c r="AZ4359">
        <v>0</v>
      </c>
      <c r="BA4359">
        <v>75.599999999999994</v>
      </c>
      <c r="BE4359" t="str">
        <f>T("9791164099740")</f>
        <v>9791164099740</v>
      </c>
      <c r="BF4359" t="str">
        <f>T("k239883")</f>
        <v>k239883</v>
      </c>
      <c r="BG4359" t="str">
        <f>T("로판 웹소설 &gt; 서양풍 로판")</f>
        <v>로판 웹소설 &gt; 서양풍 로판</v>
      </c>
    </row>
    <row r="4360" spans="1:59">
      <c r="A4360" t="s">
        <v>60</v>
      </c>
      <c r="B4360" s="1">
        <v>46131</v>
      </c>
      <c r="C4360">
        <v>2378059328</v>
      </c>
      <c r="D4360">
        <v>2378062011</v>
      </c>
      <c r="E4360" t="str">
        <f>T("오만한 주인의 초상화 108화")</f>
        <v>오만한 주인의 초상화 108화</v>
      </c>
      <c r="F4360">
        <v>108</v>
      </c>
      <c r="G4360" t="str">
        <f>T("offnun")</f>
        <v>offnun</v>
      </c>
      <c r="J4360" t="str">
        <f>T("시계토끼")</f>
        <v>시계토끼</v>
      </c>
      <c r="K4360" t="str">
        <f>T("오만한 주인의 초상화")</f>
        <v>오만한 주인의 초상화</v>
      </c>
      <c r="L4360">
        <v>100</v>
      </c>
      <c r="M4360">
        <v>100</v>
      </c>
      <c r="N4360">
        <v>1</v>
      </c>
      <c r="O4360">
        <v>0</v>
      </c>
      <c r="P4360">
        <v>0</v>
      </c>
      <c r="Q4360">
        <v>0</v>
      </c>
      <c r="R4360">
        <v>0</v>
      </c>
      <c r="S4360">
        <v>0</v>
      </c>
      <c r="T4360">
        <v>0</v>
      </c>
      <c r="U4360">
        <v>0</v>
      </c>
      <c r="V4360">
        <v>0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0</v>
      </c>
      <c r="AC4360">
        <v>0</v>
      </c>
      <c r="AD4360">
        <v>0</v>
      </c>
      <c r="AE4360">
        <v>0</v>
      </c>
      <c r="AF4360">
        <v>0</v>
      </c>
      <c r="AG4360">
        <v>0</v>
      </c>
      <c r="AH4360">
        <v>0</v>
      </c>
      <c r="AI4360">
        <v>100</v>
      </c>
      <c r="AJ4360">
        <v>1</v>
      </c>
      <c r="AK4360">
        <v>0</v>
      </c>
      <c r="AL4360">
        <v>0</v>
      </c>
      <c r="AM4360">
        <v>0</v>
      </c>
      <c r="AN4360">
        <v>0</v>
      </c>
      <c r="AO4360">
        <v>120</v>
      </c>
      <c r="AP4360">
        <v>-12</v>
      </c>
      <c r="AQ4360">
        <v>0</v>
      </c>
      <c r="AS4360">
        <v>0</v>
      </c>
      <c r="AT4360">
        <v>0</v>
      </c>
      <c r="AU4360">
        <v>120</v>
      </c>
      <c r="AV4360">
        <v>-12</v>
      </c>
      <c r="AW4360">
        <v>0</v>
      </c>
      <c r="AY4360">
        <v>0</v>
      </c>
      <c r="AZ4360">
        <v>0</v>
      </c>
      <c r="BA4360">
        <v>75.599999999999994</v>
      </c>
      <c r="BE4360" t="str">
        <f>T("9791164099740")</f>
        <v>9791164099740</v>
      </c>
      <c r="BF4360" t="str">
        <f>T("k239884")</f>
        <v>k239884</v>
      </c>
      <c r="BG4360" t="str">
        <f>T("로판 웹소설 &gt; 서양풍 로판")</f>
        <v>로판 웹소설 &gt; 서양풍 로판</v>
      </c>
    </row>
    <row r="4361" spans="1:59">
      <c r="A4361" t="s">
        <v>60</v>
      </c>
      <c r="B4361" s="1">
        <v>46131</v>
      </c>
      <c r="C4361">
        <v>2378059328</v>
      </c>
      <c r="D4361">
        <v>2378062012</v>
      </c>
      <c r="E4361" t="str">
        <f>T("오만한 주인의 초상화 109화")</f>
        <v>오만한 주인의 초상화 109화</v>
      </c>
      <c r="F4361">
        <v>109</v>
      </c>
      <c r="G4361" t="str">
        <f>T("offnun")</f>
        <v>offnun</v>
      </c>
      <c r="J4361" t="str">
        <f>T("시계토끼")</f>
        <v>시계토끼</v>
      </c>
      <c r="K4361" t="str">
        <f>T("오만한 주인의 초상화")</f>
        <v>오만한 주인의 초상화</v>
      </c>
      <c r="L4361">
        <v>100</v>
      </c>
      <c r="M4361">
        <v>100</v>
      </c>
      <c r="N4361">
        <v>1</v>
      </c>
      <c r="O4361">
        <v>0</v>
      </c>
      <c r="P4361">
        <v>0</v>
      </c>
      <c r="Q4361">
        <v>0</v>
      </c>
      <c r="R4361">
        <v>0</v>
      </c>
      <c r="S4361">
        <v>0</v>
      </c>
      <c r="T4361">
        <v>0</v>
      </c>
      <c r="U4361">
        <v>0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0</v>
      </c>
      <c r="AB4361">
        <v>0</v>
      </c>
      <c r="AC4361">
        <v>0</v>
      </c>
      <c r="AD4361">
        <v>0</v>
      </c>
      <c r="AE4361">
        <v>0</v>
      </c>
      <c r="AF4361">
        <v>0</v>
      </c>
      <c r="AG4361">
        <v>0</v>
      </c>
      <c r="AH4361">
        <v>0</v>
      </c>
      <c r="AI4361">
        <v>100</v>
      </c>
      <c r="AJ4361">
        <v>1</v>
      </c>
      <c r="AK4361">
        <v>0</v>
      </c>
      <c r="AL4361">
        <v>0</v>
      </c>
      <c r="AM4361">
        <v>0</v>
      </c>
      <c r="AN4361">
        <v>0</v>
      </c>
      <c r="AO4361">
        <v>120</v>
      </c>
      <c r="AP4361">
        <v>-12</v>
      </c>
      <c r="AQ4361">
        <v>0</v>
      </c>
      <c r="AS4361">
        <v>0</v>
      </c>
      <c r="AT4361">
        <v>0</v>
      </c>
      <c r="AU4361">
        <v>120</v>
      </c>
      <c r="AV4361">
        <v>-12</v>
      </c>
      <c r="AW4361">
        <v>0</v>
      </c>
      <c r="AY4361">
        <v>0</v>
      </c>
      <c r="AZ4361">
        <v>0</v>
      </c>
      <c r="BA4361">
        <v>75.599999999999994</v>
      </c>
      <c r="BE4361" t="str">
        <f>T("9791164099740")</f>
        <v>9791164099740</v>
      </c>
      <c r="BF4361" t="str">
        <f>T("k239885")</f>
        <v>k239885</v>
      </c>
      <c r="BG4361" t="str">
        <f>T("로판 웹소설 &gt; 서양풍 로판")</f>
        <v>로판 웹소설 &gt; 서양풍 로판</v>
      </c>
    </row>
    <row r="4362" spans="1:59">
      <c r="A4362" t="s">
        <v>60</v>
      </c>
      <c r="B4362" s="1">
        <v>46131</v>
      </c>
      <c r="C4362">
        <v>2378059328</v>
      </c>
      <c r="D4362">
        <v>2378062013</v>
      </c>
      <c r="E4362" t="str">
        <f>T("오만한 주인의 초상화 110화")</f>
        <v>오만한 주인의 초상화 110화</v>
      </c>
      <c r="F4362">
        <v>110</v>
      </c>
      <c r="G4362" t="str">
        <f>T("offnun")</f>
        <v>offnun</v>
      </c>
      <c r="J4362" t="str">
        <f>T("시계토끼")</f>
        <v>시계토끼</v>
      </c>
      <c r="K4362" t="str">
        <f>T("오만한 주인의 초상화")</f>
        <v>오만한 주인의 초상화</v>
      </c>
      <c r="L4362">
        <v>100</v>
      </c>
      <c r="M4362">
        <v>100</v>
      </c>
      <c r="N4362">
        <v>1</v>
      </c>
      <c r="O4362">
        <v>0</v>
      </c>
      <c r="P4362">
        <v>0</v>
      </c>
      <c r="Q4362">
        <v>0</v>
      </c>
      <c r="R4362">
        <v>0</v>
      </c>
      <c r="S4362">
        <v>0</v>
      </c>
      <c r="T4362">
        <v>0</v>
      </c>
      <c r="U4362">
        <v>0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0</v>
      </c>
      <c r="AB4362">
        <v>0</v>
      </c>
      <c r="AC4362">
        <v>0</v>
      </c>
      <c r="AD4362">
        <v>0</v>
      </c>
      <c r="AE4362">
        <v>0</v>
      </c>
      <c r="AF4362">
        <v>0</v>
      </c>
      <c r="AG4362">
        <v>0</v>
      </c>
      <c r="AH4362">
        <v>0</v>
      </c>
      <c r="AI4362">
        <v>100</v>
      </c>
      <c r="AJ4362">
        <v>1</v>
      </c>
      <c r="AK4362">
        <v>0</v>
      </c>
      <c r="AL4362">
        <v>0</v>
      </c>
      <c r="AM4362">
        <v>0</v>
      </c>
      <c r="AN4362">
        <v>0</v>
      </c>
      <c r="AO4362">
        <v>120</v>
      </c>
      <c r="AP4362">
        <v>-12</v>
      </c>
      <c r="AQ4362">
        <v>0</v>
      </c>
      <c r="AS4362">
        <v>0</v>
      </c>
      <c r="AT4362">
        <v>0</v>
      </c>
      <c r="AU4362">
        <v>120</v>
      </c>
      <c r="AV4362">
        <v>-12</v>
      </c>
      <c r="AW4362">
        <v>0</v>
      </c>
      <c r="AY4362">
        <v>0</v>
      </c>
      <c r="AZ4362">
        <v>0</v>
      </c>
      <c r="BA4362">
        <v>75.599999999999994</v>
      </c>
      <c r="BE4362" t="str">
        <f>T("9791164099740")</f>
        <v>9791164099740</v>
      </c>
      <c r="BF4362" t="str">
        <f>T("k239886")</f>
        <v>k239886</v>
      </c>
      <c r="BG4362" t="str">
        <f>T("로판 웹소설 &gt; 서양풍 로판")</f>
        <v>로판 웹소설 &gt; 서양풍 로판</v>
      </c>
    </row>
    <row r="4363" spans="1:59">
      <c r="A4363" t="s">
        <v>60</v>
      </c>
      <c r="B4363" s="1">
        <v>46131</v>
      </c>
      <c r="C4363">
        <v>2378059328</v>
      </c>
      <c r="D4363">
        <v>2378062144</v>
      </c>
      <c r="E4363" t="str">
        <f>T("오만한 주인의 초상화 112화")</f>
        <v>오만한 주인의 초상화 112화</v>
      </c>
      <c r="F4363">
        <v>112</v>
      </c>
      <c r="G4363" t="str">
        <f>T("offnun")</f>
        <v>offnun</v>
      </c>
      <c r="J4363" t="str">
        <f>T("시계토끼")</f>
        <v>시계토끼</v>
      </c>
      <c r="K4363" t="str">
        <f>T("오만한 주인의 초상화")</f>
        <v>오만한 주인의 초상화</v>
      </c>
      <c r="L4363">
        <v>100</v>
      </c>
      <c r="M4363">
        <v>100</v>
      </c>
      <c r="N4363">
        <v>1</v>
      </c>
      <c r="O4363">
        <v>0</v>
      </c>
      <c r="P4363">
        <v>0</v>
      </c>
      <c r="Q4363">
        <v>0</v>
      </c>
      <c r="R4363">
        <v>0</v>
      </c>
      <c r="S4363">
        <v>0</v>
      </c>
      <c r="T4363">
        <v>0</v>
      </c>
      <c r="U4363">
        <v>0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0</v>
      </c>
      <c r="AB4363">
        <v>0</v>
      </c>
      <c r="AC4363">
        <v>0</v>
      </c>
      <c r="AD4363">
        <v>0</v>
      </c>
      <c r="AE4363">
        <v>0</v>
      </c>
      <c r="AF4363">
        <v>0</v>
      </c>
      <c r="AG4363">
        <v>0</v>
      </c>
      <c r="AH4363">
        <v>0</v>
      </c>
      <c r="AI4363">
        <v>100</v>
      </c>
      <c r="AJ4363">
        <v>1</v>
      </c>
      <c r="AK4363">
        <v>0</v>
      </c>
      <c r="AL4363">
        <v>0</v>
      </c>
      <c r="AM4363">
        <v>0</v>
      </c>
      <c r="AN4363">
        <v>0</v>
      </c>
      <c r="AO4363">
        <v>120</v>
      </c>
      <c r="AP4363">
        <v>-12</v>
      </c>
      <c r="AQ4363">
        <v>0</v>
      </c>
      <c r="AS4363">
        <v>0</v>
      </c>
      <c r="AT4363">
        <v>0</v>
      </c>
      <c r="AU4363">
        <v>120</v>
      </c>
      <c r="AV4363">
        <v>-12</v>
      </c>
      <c r="AW4363">
        <v>0</v>
      </c>
      <c r="AY4363">
        <v>0</v>
      </c>
      <c r="AZ4363">
        <v>0</v>
      </c>
      <c r="BA4363">
        <v>75.599999999999994</v>
      </c>
      <c r="BE4363" t="str">
        <f>T("9791164099740")</f>
        <v>9791164099740</v>
      </c>
      <c r="BF4363" t="str">
        <f>T("k239888")</f>
        <v>k239888</v>
      </c>
      <c r="BG4363" t="str">
        <f>T("로판 웹소설 &gt; 서양풍 로판")</f>
        <v>로판 웹소설 &gt; 서양풍 로판</v>
      </c>
    </row>
    <row r="4364" spans="1:59">
      <c r="A4364" t="s">
        <v>60</v>
      </c>
      <c r="B4364" s="1">
        <v>46131</v>
      </c>
      <c r="C4364">
        <v>2378059328</v>
      </c>
      <c r="D4364">
        <v>2378060114</v>
      </c>
      <c r="E4364" t="str">
        <f>T("오만한 주인의 초상화 77화")</f>
        <v>오만한 주인의 초상화 77화</v>
      </c>
      <c r="F4364">
        <v>77</v>
      </c>
      <c r="G4364" t="str">
        <f>T("offnun")</f>
        <v>offnun</v>
      </c>
      <c r="J4364" t="str">
        <f>T("시계토끼")</f>
        <v>시계토끼</v>
      </c>
      <c r="K4364" t="str">
        <f>T("오만한 주인의 초상화")</f>
        <v>오만한 주인의 초상화</v>
      </c>
      <c r="L4364">
        <v>100</v>
      </c>
      <c r="M4364">
        <v>100</v>
      </c>
      <c r="N4364">
        <v>1</v>
      </c>
      <c r="O4364">
        <v>0</v>
      </c>
      <c r="P4364">
        <v>0</v>
      </c>
      <c r="Q4364">
        <v>0</v>
      </c>
      <c r="R4364">
        <v>0</v>
      </c>
      <c r="S4364">
        <v>0</v>
      </c>
      <c r="T4364">
        <v>0</v>
      </c>
      <c r="U4364">
        <v>0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0</v>
      </c>
      <c r="AB4364">
        <v>0</v>
      </c>
      <c r="AC4364">
        <v>0</v>
      </c>
      <c r="AD4364">
        <v>0</v>
      </c>
      <c r="AE4364">
        <v>0</v>
      </c>
      <c r="AF4364">
        <v>0</v>
      </c>
      <c r="AG4364">
        <v>0</v>
      </c>
      <c r="AH4364">
        <v>0</v>
      </c>
      <c r="AI4364">
        <v>100</v>
      </c>
      <c r="AJ4364">
        <v>1</v>
      </c>
      <c r="AK4364">
        <v>0</v>
      </c>
      <c r="AL4364">
        <v>0</v>
      </c>
      <c r="AM4364">
        <v>0</v>
      </c>
      <c r="AN4364">
        <v>0</v>
      </c>
      <c r="AO4364">
        <v>120</v>
      </c>
      <c r="AP4364">
        <v>-12</v>
      </c>
      <c r="AQ4364">
        <v>0</v>
      </c>
      <c r="AS4364">
        <v>0</v>
      </c>
      <c r="AT4364">
        <v>0</v>
      </c>
      <c r="AU4364">
        <v>120</v>
      </c>
      <c r="AV4364">
        <v>-12</v>
      </c>
      <c r="AW4364">
        <v>0</v>
      </c>
      <c r="AY4364">
        <v>0</v>
      </c>
      <c r="AZ4364">
        <v>0</v>
      </c>
      <c r="BA4364">
        <v>75.599999999999994</v>
      </c>
      <c r="BE4364" t="str">
        <f>T("9791164099740")</f>
        <v>9791164099740</v>
      </c>
      <c r="BF4364" t="str">
        <f>T("k200205")</f>
        <v>k200205</v>
      </c>
      <c r="BG4364" t="str">
        <f>T("로판 웹소설 &gt; 서양풍 로판")</f>
        <v>로판 웹소설 &gt; 서양풍 로판</v>
      </c>
    </row>
    <row r="4365" spans="1:59">
      <c r="A4365" t="s">
        <v>60</v>
      </c>
      <c r="B4365" s="1">
        <v>46131</v>
      </c>
      <c r="C4365">
        <v>2378059328</v>
      </c>
      <c r="D4365">
        <v>2378060480</v>
      </c>
      <c r="E4365" t="str">
        <f>T("오만한 주인의 초상화 78화")</f>
        <v>오만한 주인의 초상화 78화</v>
      </c>
      <c r="F4365">
        <v>78</v>
      </c>
      <c r="G4365" t="str">
        <f>T("offnun")</f>
        <v>offnun</v>
      </c>
      <c r="J4365" t="str">
        <f>T("시계토끼")</f>
        <v>시계토끼</v>
      </c>
      <c r="K4365" t="str">
        <f>T("오만한 주인의 초상화")</f>
        <v>오만한 주인의 초상화</v>
      </c>
      <c r="L4365">
        <v>100</v>
      </c>
      <c r="M4365">
        <v>100</v>
      </c>
      <c r="N4365">
        <v>1</v>
      </c>
      <c r="O4365">
        <v>0</v>
      </c>
      <c r="P4365">
        <v>0</v>
      </c>
      <c r="Q4365">
        <v>0</v>
      </c>
      <c r="R4365">
        <v>0</v>
      </c>
      <c r="S4365">
        <v>0</v>
      </c>
      <c r="T4365">
        <v>0</v>
      </c>
      <c r="U4365">
        <v>0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0</v>
      </c>
      <c r="AB4365">
        <v>0</v>
      </c>
      <c r="AC4365">
        <v>0</v>
      </c>
      <c r="AD4365">
        <v>0</v>
      </c>
      <c r="AE4365">
        <v>0</v>
      </c>
      <c r="AF4365">
        <v>0</v>
      </c>
      <c r="AG4365">
        <v>0</v>
      </c>
      <c r="AH4365">
        <v>0</v>
      </c>
      <c r="AI4365">
        <v>100</v>
      </c>
      <c r="AJ4365">
        <v>1</v>
      </c>
      <c r="AK4365">
        <v>0</v>
      </c>
      <c r="AL4365">
        <v>0</v>
      </c>
      <c r="AM4365">
        <v>0</v>
      </c>
      <c r="AN4365">
        <v>0</v>
      </c>
      <c r="AO4365">
        <v>120</v>
      </c>
      <c r="AP4365">
        <v>-12</v>
      </c>
      <c r="AQ4365">
        <v>0</v>
      </c>
      <c r="AS4365">
        <v>0</v>
      </c>
      <c r="AT4365">
        <v>0</v>
      </c>
      <c r="AU4365">
        <v>120</v>
      </c>
      <c r="AV4365">
        <v>-12</v>
      </c>
      <c r="AW4365">
        <v>0</v>
      </c>
      <c r="AY4365">
        <v>0</v>
      </c>
      <c r="AZ4365">
        <v>0</v>
      </c>
      <c r="BA4365">
        <v>75.599999999999994</v>
      </c>
      <c r="BE4365" t="str">
        <f>T("9791164099740")</f>
        <v>9791164099740</v>
      </c>
      <c r="BF4365" t="str">
        <f>T("k200206")</f>
        <v>k200206</v>
      </c>
      <c r="BG4365" t="str">
        <f>T("로판 웹소설 &gt; 서양풍 로판")</f>
        <v>로판 웹소설 &gt; 서양풍 로판</v>
      </c>
    </row>
    <row r="4366" spans="1:59">
      <c r="A4366" t="s">
        <v>60</v>
      </c>
      <c r="B4366" s="1">
        <v>46131</v>
      </c>
      <c r="C4366">
        <v>2378059328</v>
      </c>
      <c r="D4366">
        <v>2378060481</v>
      </c>
      <c r="E4366" t="str">
        <f>T("오만한 주인의 초상화 79화")</f>
        <v>오만한 주인의 초상화 79화</v>
      </c>
      <c r="F4366">
        <v>79</v>
      </c>
      <c r="G4366" t="str">
        <f>T("offnun")</f>
        <v>offnun</v>
      </c>
      <c r="J4366" t="str">
        <f>T("시계토끼")</f>
        <v>시계토끼</v>
      </c>
      <c r="K4366" t="str">
        <f>T("오만한 주인의 초상화")</f>
        <v>오만한 주인의 초상화</v>
      </c>
      <c r="L4366">
        <v>100</v>
      </c>
      <c r="M4366">
        <v>100</v>
      </c>
      <c r="N4366">
        <v>1</v>
      </c>
      <c r="O4366">
        <v>0</v>
      </c>
      <c r="P4366">
        <v>0</v>
      </c>
      <c r="Q4366">
        <v>0</v>
      </c>
      <c r="R4366">
        <v>0</v>
      </c>
      <c r="S4366">
        <v>0</v>
      </c>
      <c r="T4366">
        <v>0</v>
      </c>
      <c r="U4366">
        <v>0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0</v>
      </c>
      <c r="AB4366">
        <v>0</v>
      </c>
      <c r="AC4366">
        <v>0</v>
      </c>
      <c r="AD4366">
        <v>0</v>
      </c>
      <c r="AE4366">
        <v>0</v>
      </c>
      <c r="AF4366">
        <v>0</v>
      </c>
      <c r="AG4366">
        <v>0</v>
      </c>
      <c r="AH4366">
        <v>0</v>
      </c>
      <c r="AI4366">
        <v>100</v>
      </c>
      <c r="AJ4366">
        <v>1</v>
      </c>
      <c r="AK4366">
        <v>0</v>
      </c>
      <c r="AL4366">
        <v>0</v>
      </c>
      <c r="AM4366">
        <v>0</v>
      </c>
      <c r="AN4366">
        <v>0</v>
      </c>
      <c r="AO4366">
        <v>120</v>
      </c>
      <c r="AP4366">
        <v>-12</v>
      </c>
      <c r="AQ4366">
        <v>0</v>
      </c>
      <c r="AS4366">
        <v>0</v>
      </c>
      <c r="AT4366">
        <v>0</v>
      </c>
      <c r="AU4366">
        <v>120</v>
      </c>
      <c r="AV4366">
        <v>-12</v>
      </c>
      <c r="AW4366">
        <v>0</v>
      </c>
      <c r="AY4366">
        <v>0</v>
      </c>
      <c r="AZ4366">
        <v>0</v>
      </c>
      <c r="BA4366">
        <v>75.599999999999994</v>
      </c>
      <c r="BE4366" t="str">
        <f>T("9791164099740")</f>
        <v>9791164099740</v>
      </c>
      <c r="BF4366" t="str">
        <f>T("k200207")</f>
        <v>k200207</v>
      </c>
      <c r="BG4366" t="str">
        <f>T("로판 웹소설 &gt; 서양풍 로판")</f>
        <v>로판 웹소설 &gt; 서양풍 로판</v>
      </c>
    </row>
    <row r="4367" spans="1:59">
      <c r="A4367" t="s">
        <v>60</v>
      </c>
      <c r="B4367" s="1">
        <v>46131</v>
      </c>
      <c r="C4367">
        <v>2378059328</v>
      </c>
      <c r="D4367">
        <v>2378060482</v>
      </c>
      <c r="E4367" t="str">
        <f>T("오만한 주인의 초상화 80화")</f>
        <v>오만한 주인의 초상화 80화</v>
      </c>
      <c r="F4367">
        <v>80</v>
      </c>
      <c r="G4367" t="str">
        <f>T("offnun")</f>
        <v>offnun</v>
      </c>
      <c r="J4367" t="str">
        <f>T("시계토끼")</f>
        <v>시계토끼</v>
      </c>
      <c r="K4367" t="str">
        <f>T("오만한 주인의 초상화")</f>
        <v>오만한 주인의 초상화</v>
      </c>
      <c r="L4367">
        <v>100</v>
      </c>
      <c r="M4367">
        <v>100</v>
      </c>
      <c r="N4367">
        <v>1</v>
      </c>
      <c r="O4367">
        <v>0</v>
      </c>
      <c r="P4367">
        <v>0</v>
      </c>
      <c r="Q4367">
        <v>0</v>
      </c>
      <c r="R4367">
        <v>0</v>
      </c>
      <c r="S4367">
        <v>0</v>
      </c>
      <c r="T4367">
        <v>0</v>
      </c>
      <c r="U4367">
        <v>0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0</v>
      </c>
      <c r="AB4367">
        <v>0</v>
      </c>
      <c r="AC4367">
        <v>0</v>
      </c>
      <c r="AD4367">
        <v>0</v>
      </c>
      <c r="AE4367">
        <v>0</v>
      </c>
      <c r="AF4367">
        <v>0</v>
      </c>
      <c r="AG4367">
        <v>0</v>
      </c>
      <c r="AH4367">
        <v>0</v>
      </c>
      <c r="AI4367">
        <v>100</v>
      </c>
      <c r="AJ4367">
        <v>1</v>
      </c>
      <c r="AK4367">
        <v>0</v>
      </c>
      <c r="AL4367">
        <v>0</v>
      </c>
      <c r="AM4367">
        <v>0</v>
      </c>
      <c r="AN4367">
        <v>0</v>
      </c>
      <c r="AO4367">
        <v>120</v>
      </c>
      <c r="AP4367">
        <v>-12</v>
      </c>
      <c r="AQ4367">
        <v>0</v>
      </c>
      <c r="AS4367">
        <v>0</v>
      </c>
      <c r="AT4367">
        <v>0</v>
      </c>
      <c r="AU4367">
        <v>120</v>
      </c>
      <c r="AV4367">
        <v>-12</v>
      </c>
      <c r="AW4367">
        <v>0</v>
      </c>
      <c r="AY4367">
        <v>0</v>
      </c>
      <c r="AZ4367">
        <v>0</v>
      </c>
      <c r="BA4367">
        <v>75.599999999999994</v>
      </c>
      <c r="BE4367" t="str">
        <f>T("9791164099740")</f>
        <v>9791164099740</v>
      </c>
      <c r="BF4367" t="str">
        <f>T("k200208")</f>
        <v>k200208</v>
      </c>
      <c r="BG4367" t="str">
        <f>T("로판 웹소설 &gt; 서양풍 로판")</f>
        <v>로판 웹소설 &gt; 서양풍 로판</v>
      </c>
    </row>
    <row r="4368" spans="1:59">
      <c r="A4368" t="s">
        <v>60</v>
      </c>
      <c r="B4368" s="1">
        <v>46131</v>
      </c>
      <c r="C4368">
        <v>2378059328</v>
      </c>
      <c r="D4368">
        <v>2378060483</v>
      </c>
      <c r="E4368" t="str">
        <f>T("오만한 주인의 초상화 81화")</f>
        <v>오만한 주인의 초상화 81화</v>
      </c>
      <c r="F4368">
        <v>81</v>
      </c>
      <c r="G4368" t="str">
        <f>T("offnun")</f>
        <v>offnun</v>
      </c>
      <c r="J4368" t="str">
        <f>T("시계토끼")</f>
        <v>시계토끼</v>
      </c>
      <c r="K4368" t="str">
        <f>T("오만한 주인의 초상화")</f>
        <v>오만한 주인의 초상화</v>
      </c>
      <c r="L4368">
        <v>100</v>
      </c>
      <c r="M4368">
        <v>100</v>
      </c>
      <c r="N4368">
        <v>1</v>
      </c>
      <c r="O4368">
        <v>0</v>
      </c>
      <c r="P4368">
        <v>0</v>
      </c>
      <c r="Q4368">
        <v>0</v>
      </c>
      <c r="R4368">
        <v>0</v>
      </c>
      <c r="S4368">
        <v>0</v>
      </c>
      <c r="T4368">
        <v>0</v>
      </c>
      <c r="U4368">
        <v>0</v>
      </c>
      <c r="V4368">
        <v>0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0</v>
      </c>
      <c r="AC4368">
        <v>0</v>
      </c>
      <c r="AD4368">
        <v>0</v>
      </c>
      <c r="AE4368">
        <v>0</v>
      </c>
      <c r="AF4368">
        <v>0</v>
      </c>
      <c r="AG4368">
        <v>0</v>
      </c>
      <c r="AH4368">
        <v>0</v>
      </c>
      <c r="AI4368">
        <v>100</v>
      </c>
      <c r="AJ4368">
        <v>1</v>
      </c>
      <c r="AK4368">
        <v>0</v>
      </c>
      <c r="AL4368">
        <v>0</v>
      </c>
      <c r="AM4368">
        <v>0</v>
      </c>
      <c r="AN4368">
        <v>0</v>
      </c>
      <c r="AO4368">
        <v>120</v>
      </c>
      <c r="AP4368">
        <v>-12</v>
      </c>
      <c r="AQ4368">
        <v>0</v>
      </c>
      <c r="AS4368">
        <v>0</v>
      </c>
      <c r="AT4368">
        <v>0</v>
      </c>
      <c r="AU4368">
        <v>120</v>
      </c>
      <c r="AV4368">
        <v>-12</v>
      </c>
      <c r="AW4368">
        <v>0</v>
      </c>
      <c r="AY4368">
        <v>0</v>
      </c>
      <c r="AZ4368">
        <v>0</v>
      </c>
      <c r="BA4368">
        <v>75.599999999999994</v>
      </c>
      <c r="BE4368" t="str">
        <f>T("9791164099740")</f>
        <v>9791164099740</v>
      </c>
      <c r="BF4368" t="str">
        <f>T("k207364")</f>
        <v>k207364</v>
      </c>
      <c r="BG4368" t="str">
        <f>T("로판 웹소설 &gt; 서양풍 로판")</f>
        <v>로판 웹소설 &gt; 서양풍 로판</v>
      </c>
    </row>
    <row r="4369" spans="1:59">
      <c r="A4369" t="s">
        <v>60</v>
      </c>
      <c r="B4369" s="1">
        <v>46131</v>
      </c>
      <c r="C4369">
        <v>2378059328</v>
      </c>
      <c r="D4369">
        <v>2378060559</v>
      </c>
      <c r="E4369" t="str">
        <f>T("오만한 주인의 초상화 82화")</f>
        <v>오만한 주인의 초상화 82화</v>
      </c>
      <c r="F4369">
        <v>82</v>
      </c>
      <c r="G4369" t="str">
        <f>T("offnun")</f>
        <v>offnun</v>
      </c>
      <c r="J4369" t="str">
        <f>T("시계토끼")</f>
        <v>시계토끼</v>
      </c>
      <c r="K4369" t="str">
        <f>T("오만한 주인의 초상화")</f>
        <v>오만한 주인의 초상화</v>
      </c>
      <c r="L4369">
        <v>100</v>
      </c>
      <c r="M4369">
        <v>100</v>
      </c>
      <c r="N4369">
        <v>1</v>
      </c>
      <c r="O4369">
        <v>0</v>
      </c>
      <c r="P4369">
        <v>0</v>
      </c>
      <c r="Q4369">
        <v>0</v>
      </c>
      <c r="R4369">
        <v>0</v>
      </c>
      <c r="S4369">
        <v>0</v>
      </c>
      <c r="T4369">
        <v>0</v>
      </c>
      <c r="U4369">
        <v>0</v>
      </c>
      <c r="V4369">
        <v>0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0</v>
      </c>
      <c r="AC4369">
        <v>0</v>
      </c>
      <c r="AD4369">
        <v>0</v>
      </c>
      <c r="AE4369">
        <v>0</v>
      </c>
      <c r="AF4369">
        <v>0</v>
      </c>
      <c r="AG4369">
        <v>0</v>
      </c>
      <c r="AH4369">
        <v>0</v>
      </c>
      <c r="AI4369">
        <v>100</v>
      </c>
      <c r="AJ4369">
        <v>1</v>
      </c>
      <c r="AK4369">
        <v>0</v>
      </c>
      <c r="AL4369">
        <v>0</v>
      </c>
      <c r="AM4369">
        <v>0</v>
      </c>
      <c r="AN4369">
        <v>0</v>
      </c>
      <c r="AO4369">
        <v>120</v>
      </c>
      <c r="AP4369">
        <v>-12</v>
      </c>
      <c r="AQ4369">
        <v>0</v>
      </c>
      <c r="AS4369">
        <v>0</v>
      </c>
      <c r="AT4369">
        <v>0</v>
      </c>
      <c r="AU4369">
        <v>120</v>
      </c>
      <c r="AV4369">
        <v>-12</v>
      </c>
      <c r="AW4369">
        <v>0</v>
      </c>
      <c r="AY4369">
        <v>0</v>
      </c>
      <c r="AZ4369">
        <v>0</v>
      </c>
      <c r="BA4369">
        <v>75.599999999999994</v>
      </c>
      <c r="BE4369" t="str">
        <f>T("9791164099740")</f>
        <v>9791164099740</v>
      </c>
      <c r="BF4369" t="str">
        <f>T("k209632")</f>
        <v>k209632</v>
      </c>
      <c r="BG4369" t="str">
        <f>T("로판 웹소설 &gt; 서양풍 로판")</f>
        <v>로판 웹소설 &gt; 서양풍 로판</v>
      </c>
    </row>
    <row r="4370" spans="1:59">
      <c r="A4370" t="s">
        <v>60</v>
      </c>
      <c r="B4370" s="1">
        <v>46131</v>
      </c>
      <c r="C4370">
        <v>2378059328</v>
      </c>
      <c r="D4370">
        <v>2378060560</v>
      </c>
      <c r="E4370" t="str">
        <f>T("오만한 주인의 초상화 83화")</f>
        <v>오만한 주인의 초상화 83화</v>
      </c>
      <c r="F4370">
        <v>83</v>
      </c>
      <c r="G4370" t="str">
        <f>T("offnun")</f>
        <v>offnun</v>
      </c>
      <c r="J4370" t="str">
        <f>T("시계토끼")</f>
        <v>시계토끼</v>
      </c>
      <c r="K4370" t="str">
        <f>T("오만한 주인의 초상화")</f>
        <v>오만한 주인의 초상화</v>
      </c>
      <c r="L4370">
        <v>100</v>
      </c>
      <c r="M4370">
        <v>100</v>
      </c>
      <c r="N4370">
        <v>1</v>
      </c>
      <c r="O4370">
        <v>0</v>
      </c>
      <c r="P4370">
        <v>0</v>
      </c>
      <c r="Q4370">
        <v>0</v>
      </c>
      <c r="R4370">
        <v>0</v>
      </c>
      <c r="S4370">
        <v>0</v>
      </c>
      <c r="T4370">
        <v>0</v>
      </c>
      <c r="U4370">
        <v>0</v>
      </c>
      <c r="V4370">
        <v>0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0</v>
      </c>
      <c r="AC4370">
        <v>0</v>
      </c>
      <c r="AD4370">
        <v>0</v>
      </c>
      <c r="AE4370">
        <v>0</v>
      </c>
      <c r="AF4370">
        <v>0</v>
      </c>
      <c r="AG4370">
        <v>0</v>
      </c>
      <c r="AH4370">
        <v>0</v>
      </c>
      <c r="AI4370">
        <v>100</v>
      </c>
      <c r="AJ4370">
        <v>1</v>
      </c>
      <c r="AK4370">
        <v>0</v>
      </c>
      <c r="AL4370">
        <v>0</v>
      </c>
      <c r="AM4370">
        <v>0</v>
      </c>
      <c r="AN4370">
        <v>0</v>
      </c>
      <c r="AO4370">
        <v>120</v>
      </c>
      <c r="AP4370">
        <v>-12</v>
      </c>
      <c r="AQ4370">
        <v>0</v>
      </c>
      <c r="AS4370">
        <v>0</v>
      </c>
      <c r="AT4370">
        <v>0</v>
      </c>
      <c r="AU4370">
        <v>120</v>
      </c>
      <c r="AV4370">
        <v>-12</v>
      </c>
      <c r="AW4370">
        <v>0</v>
      </c>
      <c r="AY4370">
        <v>0</v>
      </c>
      <c r="AZ4370">
        <v>0</v>
      </c>
      <c r="BA4370">
        <v>75.599999999999994</v>
      </c>
      <c r="BE4370" t="str">
        <f>T("9791164099740")</f>
        <v>9791164099740</v>
      </c>
      <c r="BF4370" t="str">
        <f>T("k209633")</f>
        <v>k209633</v>
      </c>
      <c r="BG4370" t="str">
        <f>T("로판 웹소설 &gt; 서양풍 로판")</f>
        <v>로판 웹소설 &gt; 서양풍 로판</v>
      </c>
    </row>
    <row r="4371" spans="1:59">
      <c r="A4371" t="s">
        <v>60</v>
      </c>
      <c r="B4371" s="1">
        <v>46131</v>
      </c>
      <c r="C4371">
        <v>2378059328</v>
      </c>
      <c r="D4371">
        <v>2378060561</v>
      </c>
      <c r="E4371" t="str">
        <f>T("오만한 주인의 초상화 84화")</f>
        <v>오만한 주인의 초상화 84화</v>
      </c>
      <c r="F4371">
        <v>84</v>
      </c>
      <c r="G4371" t="str">
        <f>T("offnun")</f>
        <v>offnun</v>
      </c>
      <c r="J4371" t="str">
        <f>T("시계토끼")</f>
        <v>시계토끼</v>
      </c>
      <c r="K4371" t="str">
        <f>T("오만한 주인의 초상화")</f>
        <v>오만한 주인의 초상화</v>
      </c>
      <c r="L4371">
        <v>100</v>
      </c>
      <c r="M4371">
        <v>100</v>
      </c>
      <c r="N4371">
        <v>1</v>
      </c>
      <c r="O4371">
        <v>0</v>
      </c>
      <c r="P4371">
        <v>0</v>
      </c>
      <c r="Q4371">
        <v>0</v>
      </c>
      <c r="R4371">
        <v>0</v>
      </c>
      <c r="S4371">
        <v>0</v>
      </c>
      <c r="T4371">
        <v>0</v>
      </c>
      <c r="U4371">
        <v>0</v>
      </c>
      <c r="V4371">
        <v>0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0</v>
      </c>
      <c r="AC4371">
        <v>0</v>
      </c>
      <c r="AD4371">
        <v>0</v>
      </c>
      <c r="AE4371">
        <v>0</v>
      </c>
      <c r="AF4371">
        <v>0</v>
      </c>
      <c r="AG4371">
        <v>0</v>
      </c>
      <c r="AH4371">
        <v>0</v>
      </c>
      <c r="AI4371">
        <v>100</v>
      </c>
      <c r="AJ4371">
        <v>1</v>
      </c>
      <c r="AK4371">
        <v>0</v>
      </c>
      <c r="AL4371">
        <v>0</v>
      </c>
      <c r="AM4371">
        <v>0</v>
      </c>
      <c r="AN4371">
        <v>0</v>
      </c>
      <c r="AO4371">
        <v>120</v>
      </c>
      <c r="AP4371">
        <v>-12</v>
      </c>
      <c r="AQ4371">
        <v>0</v>
      </c>
      <c r="AS4371">
        <v>0</v>
      </c>
      <c r="AT4371">
        <v>0</v>
      </c>
      <c r="AU4371">
        <v>120</v>
      </c>
      <c r="AV4371">
        <v>-12</v>
      </c>
      <c r="AW4371">
        <v>0</v>
      </c>
      <c r="AY4371">
        <v>0</v>
      </c>
      <c r="AZ4371">
        <v>0</v>
      </c>
      <c r="BA4371">
        <v>75.599999999999994</v>
      </c>
      <c r="BE4371" t="str">
        <f>T("9791164099740")</f>
        <v>9791164099740</v>
      </c>
      <c r="BF4371" t="str">
        <f>T("k209634")</f>
        <v>k209634</v>
      </c>
      <c r="BG4371" t="str">
        <f>T("로판 웹소설 &gt; 서양풍 로판")</f>
        <v>로판 웹소설 &gt; 서양풍 로판</v>
      </c>
    </row>
    <row r="4372" spans="1:59">
      <c r="A4372" t="s">
        <v>60</v>
      </c>
      <c r="B4372" s="1">
        <v>46131</v>
      </c>
      <c r="C4372">
        <v>2378059328</v>
      </c>
      <c r="D4372">
        <v>2378060562</v>
      </c>
      <c r="E4372" t="str">
        <f>T("오만한 주인의 초상화 85화")</f>
        <v>오만한 주인의 초상화 85화</v>
      </c>
      <c r="F4372">
        <v>85</v>
      </c>
      <c r="G4372" t="str">
        <f>T("offnun")</f>
        <v>offnun</v>
      </c>
      <c r="J4372" t="str">
        <f>T("시계토끼")</f>
        <v>시계토끼</v>
      </c>
      <c r="K4372" t="str">
        <f>T("오만한 주인의 초상화")</f>
        <v>오만한 주인의 초상화</v>
      </c>
      <c r="L4372">
        <v>100</v>
      </c>
      <c r="M4372">
        <v>100</v>
      </c>
      <c r="N4372">
        <v>1</v>
      </c>
      <c r="O4372">
        <v>0</v>
      </c>
      <c r="P4372">
        <v>0</v>
      </c>
      <c r="Q4372">
        <v>0</v>
      </c>
      <c r="R4372">
        <v>0</v>
      </c>
      <c r="S4372">
        <v>0</v>
      </c>
      <c r="T4372">
        <v>0</v>
      </c>
      <c r="U4372">
        <v>0</v>
      </c>
      <c r="V4372">
        <v>0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0</v>
      </c>
      <c r="AC4372">
        <v>0</v>
      </c>
      <c r="AD4372">
        <v>0</v>
      </c>
      <c r="AE4372">
        <v>0</v>
      </c>
      <c r="AF4372">
        <v>0</v>
      </c>
      <c r="AG4372">
        <v>0</v>
      </c>
      <c r="AH4372">
        <v>0</v>
      </c>
      <c r="AI4372">
        <v>100</v>
      </c>
      <c r="AJ4372">
        <v>1</v>
      </c>
      <c r="AK4372">
        <v>0</v>
      </c>
      <c r="AL4372">
        <v>0</v>
      </c>
      <c r="AM4372">
        <v>0</v>
      </c>
      <c r="AN4372">
        <v>0</v>
      </c>
      <c r="AO4372">
        <v>120</v>
      </c>
      <c r="AP4372">
        <v>-12</v>
      </c>
      <c r="AQ4372">
        <v>0</v>
      </c>
      <c r="AS4372">
        <v>0</v>
      </c>
      <c r="AT4372">
        <v>0</v>
      </c>
      <c r="AU4372">
        <v>120</v>
      </c>
      <c r="AV4372">
        <v>-12</v>
      </c>
      <c r="AW4372">
        <v>0</v>
      </c>
      <c r="AY4372">
        <v>0</v>
      </c>
      <c r="AZ4372">
        <v>0</v>
      </c>
      <c r="BA4372">
        <v>75.599999999999994</v>
      </c>
      <c r="BE4372" t="str">
        <f>T("9791164099740")</f>
        <v>9791164099740</v>
      </c>
      <c r="BF4372" t="str">
        <f>T("k209635")</f>
        <v>k209635</v>
      </c>
      <c r="BG4372" t="str">
        <f>T("로판 웹소설 &gt; 서양풍 로판")</f>
        <v>로판 웹소설 &gt; 서양풍 로판</v>
      </c>
    </row>
    <row r="4373" spans="1:59">
      <c r="A4373" t="s">
        <v>60</v>
      </c>
      <c r="B4373" s="1">
        <v>46131</v>
      </c>
      <c r="C4373">
        <v>2378059328</v>
      </c>
      <c r="D4373">
        <v>2378060563</v>
      </c>
      <c r="E4373" t="str">
        <f>T("오만한 주인의 초상화 86화")</f>
        <v>오만한 주인의 초상화 86화</v>
      </c>
      <c r="F4373">
        <v>86</v>
      </c>
      <c r="G4373" t="str">
        <f>T("offnun")</f>
        <v>offnun</v>
      </c>
      <c r="J4373" t="str">
        <f>T("시계토끼")</f>
        <v>시계토끼</v>
      </c>
      <c r="K4373" t="str">
        <f>T("오만한 주인의 초상화")</f>
        <v>오만한 주인의 초상화</v>
      </c>
      <c r="L4373">
        <v>100</v>
      </c>
      <c r="M4373">
        <v>100</v>
      </c>
      <c r="N4373">
        <v>1</v>
      </c>
      <c r="O4373">
        <v>0</v>
      </c>
      <c r="P4373">
        <v>0</v>
      </c>
      <c r="Q4373">
        <v>0</v>
      </c>
      <c r="R4373">
        <v>0</v>
      </c>
      <c r="S4373">
        <v>0</v>
      </c>
      <c r="T4373">
        <v>0</v>
      </c>
      <c r="U4373">
        <v>0</v>
      </c>
      <c r="V4373">
        <v>0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0</v>
      </c>
      <c r="AC4373">
        <v>0</v>
      </c>
      <c r="AD4373">
        <v>0</v>
      </c>
      <c r="AE4373">
        <v>0</v>
      </c>
      <c r="AF4373">
        <v>0</v>
      </c>
      <c r="AG4373">
        <v>0</v>
      </c>
      <c r="AH4373">
        <v>0</v>
      </c>
      <c r="AI4373">
        <v>100</v>
      </c>
      <c r="AJ4373">
        <v>1</v>
      </c>
      <c r="AK4373">
        <v>0</v>
      </c>
      <c r="AL4373">
        <v>0</v>
      </c>
      <c r="AM4373">
        <v>0</v>
      </c>
      <c r="AN4373">
        <v>0</v>
      </c>
      <c r="AO4373">
        <v>120</v>
      </c>
      <c r="AP4373">
        <v>-12</v>
      </c>
      <c r="AQ4373">
        <v>0</v>
      </c>
      <c r="AS4373">
        <v>0</v>
      </c>
      <c r="AT4373">
        <v>0</v>
      </c>
      <c r="AU4373">
        <v>120</v>
      </c>
      <c r="AV4373">
        <v>-12</v>
      </c>
      <c r="AW4373">
        <v>0</v>
      </c>
      <c r="AY4373">
        <v>0</v>
      </c>
      <c r="AZ4373">
        <v>0</v>
      </c>
      <c r="BA4373">
        <v>75.599999999999994</v>
      </c>
      <c r="BE4373" t="str">
        <f>T("9791164099740")</f>
        <v>9791164099740</v>
      </c>
      <c r="BF4373" t="str">
        <f>T("k209636")</f>
        <v>k209636</v>
      </c>
      <c r="BG4373" t="str">
        <f>T("로판 웹소설 &gt; 서양풍 로판")</f>
        <v>로판 웹소설 &gt; 서양풍 로판</v>
      </c>
    </row>
    <row r="4374" spans="1:59">
      <c r="A4374" t="s">
        <v>60</v>
      </c>
      <c r="B4374" s="1">
        <v>46131</v>
      </c>
      <c r="C4374">
        <v>2378059328</v>
      </c>
      <c r="D4374">
        <v>2378061478</v>
      </c>
      <c r="E4374" t="str">
        <f>T("오만한 주인의 초상화 87화")</f>
        <v>오만한 주인의 초상화 87화</v>
      </c>
      <c r="F4374">
        <v>87</v>
      </c>
      <c r="G4374" t="str">
        <f>T("offnun")</f>
        <v>offnun</v>
      </c>
      <c r="J4374" t="str">
        <f>T("시계토끼")</f>
        <v>시계토끼</v>
      </c>
      <c r="K4374" t="str">
        <f>T("오만한 주인의 초상화")</f>
        <v>오만한 주인의 초상화</v>
      </c>
      <c r="L4374">
        <v>100</v>
      </c>
      <c r="M4374">
        <v>100</v>
      </c>
      <c r="N4374">
        <v>1</v>
      </c>
      <c r="O4374">
        <v>0</v>
      </c>
      <c r="P4374">
        <v>0</v>
      </c>
      <c r="Q4374">
        <v>0</v>
      </c>
      <c r="R4374">
        <v>0</v>
      </c>
      <c r="S4374">
        <v>0</v>
      </c>
      <c r="T4374">
        <v>0</v>
      </c>
      <c r="U4374">
        <v>0</v>
      </c>
      <c r="V4374">
        <v>0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0</v>
      </c>
      <c r="AC4374">
        <v>0</v>
      </c>
      <c r="AD4374">
        <v>0</v>
      </c>
      <c r="AE4374">
        <v>0</v>
      </c>
      <c r="AF4374">
        <v>0</v>
      </c>
      <c r="AG4374">
        <v>0</v>
      </c>
      <c r="AH4374">
        <v>0</v>
      </c>
      <c r="AI4374">
        <v>100</v>
      </c>
      <c r="AJ4374">
        <v>1</v>
      </c>
      <c r="AK4374">
        <v>0</v>
      </c>
      <c r="AL4374">
        <v>0</v>
      </c>
      <c r="AM4374">
        <v>0</v>
      </c>
      <c r="AN4374">
        <v>0</v>
      </c>
      <c r="AO4374">
        <v>120</v>
      </c>
      <c r="AP4374">
        <v>-12</v>
      </c>
      <c r="AQ4374">
        <v>0</v>
      </c>
      <c r="AS4374">
        <v>0</v>
      </c>
      <c r="AT4374">
        <v>0</v>
      </c>
      <c r="AU4374">
        <v>120</v>
      </c>
      <c r="AV4374">
        <v>-12</v>
      </c>
      <c r="AW4374">
        <v>0</v>
      </c>
      <c r="AY4374">
        <v>0</v>
      </c>
      <c r="AZ4374">
        <v>0</v>
      </c>
      <c r="BA4374">
        <v>75.599999999999994</v>
      </c>
      <c r="BE4374" t="str">
        <f>T("9791164099740")</f>
        <v>9791164099740</v>
      </c>
      <c r="BF4374" t="str">
        <f>T("k212706")</f>
        <v>k212706</v>
      </c>
      <c r="BG4374" t="str">
        <f>T("로판 웹소설 &gt; 서양풍 로판")</f>
        <v>로판 웹소설 &gt; 서양풍 로판</v>
      </c>
    </row>
    <row r="4375" spans="1:59">
      <c r="A4375" t="s">
        <v>60</v>
      </c>
      <c r="B4375" s="1">
        <v>46131</v>
      </c>
      <c r="C4375">
        <v>2378059328</v>
      </c>
      <c r="D4375">
        <v>2378061479</v>
      </c>
      <c r="E4375" t="str">
        <f>T("오만한 주인의 초상화 88화")</f>
        <v>오만한 주인의 초상화 88화</v>
      </c>
      <c r="F4375">
        <v>88</v>
      </c>
      <c r="G4375" t="str">
        <f>T("offnun")</f>
        <v>offnun</v>
      </c>
      <c r="J4375" t="str">
        <f>T("시계토끼")</f>
        <v>시계토끼</v>
      </c>
      <c r="K4375" t="str">
        <f>T("오만한 주인의 초상화")</f>
        <v>오만한 주인의 초상화</v>
      </c>
      <c r="L4375">
        <v>100</v>
      </c>
      <c r="M4375">
        <v>100</v>
      </c>
      <c r="N4375">
        <v>1</v>
      </c>
      <c r="O4375">
        <v>0</v>
      </c>
      <c r="P4375">
        <v>0</v>
      </c>
      <c r="Q4375">
        <v>0</v>
      </c>
      <c r="R4375">
        <v>0</v>
      </c>
      <c r="S4375">
        <v>0</v>
      </c>
      <c r="T4375">
        <v>0</v>
      </c>
      <c r="U4375">
        <v>0</v>
      </c>
      <c r="V4375">
        <v>0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0</v>
      </c>
      <c r="AC4375">
        <v>0</v>
      </c>
      <c r="AD4375">
        <v>0</v>
      </c>
      <c r="AE4375">
        <v>0</v>
      </c>
      <c r="AF4375">
        <v>0</v>
      </c>
      <c r="AG4375">
        <v>0</v>
      </c>
      <c r="AH4375">
        <v>0</v>
      </c>
      <c r="AI4375">
        <v>100</v>
      </c>
      <c r="AJ4375">
        <v>1</v>
      </c>
      <c r="AK4375">
        <v>0</v>
      </c>
      <c r="AL4375">
        <v>0</v>
      </c>
      <c r="AM4375">
        <v>0</v>
      </c>
      <c r="AN4375">
        <v>0</v>
      </c>
      <c r="AO4375">
        <v>120</v>
      </c>
      <c r="AP4375">
        <v>-12</v>
      </c>
      <c r="AQ4375">
        <v>0</v>
      </c>
      <c r="AS4375">
        <v>0</v>
      </c>
      <c r="AT4375">
        <v>0</v>
      </c>
      <c r="AU4375">
        <v>120</v>
      </c>
      <c r="AV4375">
        <v>-12</v>
      </c>
      <c r="AW4375">
        <v>0</v>
      </c>
      <c r="AY4375">
        <v>0</v>
      </c>
      <c r="AZ4375">
        <v>0</v>
      </c>
      <c r="BA4375">
        <v>75.599999999999994</v>
      </c>
      <c r="BE4375" t="str">
        <f>T("9791164099740")</f>
        <v>9791164099740</v>
      </c>
      <c r="BF4375" t="str">
        <f>T("k212707")</f>
        <v>k212707</v>
      </c>
      <c r="BG4375" t="str">
        <f>T("로판 웹소설 &gt; 서양풍 로판")</f>
        <v>로판 웹소설 &gt; 서양풍 로판</v>
      </c>
    </row>
    <row r="4376" spans="1:59">
      <c r="A4376" t="s">
        <v>60</v>
      </c>
      <c r="B4376" s="1">
        <v>46131</v>
      </c>
      <c r="C4376">
        <v>2378059328</v>
      </c>
      <c r="D4376">
        <v>2378061480</v>
      </c>
      <c r="E4376" t="str">
        <f>T("오만한 주인의 초상화 89화")</f>
        <v>오만한 주인의 초상화 89화</v>
      </c>
      <c r="F4376">
        <v>89</v>
      </c>
      <c r="G4376" t="str">
        <f>T("offnun")</f>
        <v>offnun</v>
      </c>
      <c r="J4376" t="str">
        <f>T("시계토끼")</f>
        <v>시계토끼</v>
      </c>
      <c r="K4376" t="str">
        <f>T("오만한 주인의 초상화")</f>
        <v>오만한 주인의 초상화</v>
      </c>
      <c r="L4376">
        <v>100</v>
      </c>
      <c r="M4376">
        <v>100</v>
      </c>
      <c r="N4376">
        <v>1</v>
      </c>
      <c r="O4376">
        <v>0</v>
      </c>
      <c r="P4376">
        <v>0</v>
      </c>
      <c r="Q4376">
        <v>0</v>
      </c>
      <c r="R4376">
        <v>0</v>
      </c>
      <c r="S4376">
        <v>0</v>
      </c>
      <c r="T4376">
        <v>0</v>
      </c>
      <c r="U4376">
        <v>0</v>
      </c>
      <c r="V4376">
        <v>0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0</v>
      </c>
      <c r="AC4376">
        <v>0</v>
      </c>
      <c r="AD4376">
        <v>0</v>
      </c>
      <c r="AE4376">
        <v>0</v>
      </c>
      <c r="AF4376">
        <v>0</v>
      </c>
      <c r="AG4376">
        <v>0</v>
      </c>
      <c r="AH4376">
        <v>0</v>
      </c>
      <c r="AI4376">
        <v>100</v>
      </c>
      <c r="AJ4376">
        <v>1</v>
      </c>
      <c r="AK4376">
        <v>0</v>
      </c>
      <c r="AL4376">
        <v>0</v>
      </c>
      <c r="AM4376">
        <v>0</v>
      </c>
      <c r="AN4376">
        <v>0</v>
      </c>
      <c r="AO4376">
        <v>120</v>
      </c>
      <c r="AP4376">
        <v>-12</v>
      </c>
      <c r="AQ4376">
        <v>0</v>
      </c>
      <c r="AS4376">
        <v>0</v>
      </c>
      <c r="AT4376">
        <v>0</v>
      </c>
      <c r="AU4376">
        <v>120</v>
      </c>
      <c r="AV4376">
        <v>-12</v>
      </c>
      <c r="AW4376">
        <v>0</v>
      </c>
      <c r="AY4376">
        <v>0</v>
      </c>
      <c r="AZ4376">
        <v>0</v>
      </c>
      <c r="BA4376">
        <v>75.599999999999994</v>
      </c>
      <c r="BE4376" t="str">
        <f>T("9791164099740")</f>
        <v>9791164099740</v>
      </c>
      <c r="BF4376" t="str">
        <f>T("k212708")</f>
        <v>k212708</v>
      </c>
      <c r="BG4376" t="str">
        <f>T("로판 웹소설 &gt; 서양풍 로판")</f>
        <v>로판 웹소설 &gt; 서양풍 로판</v>
      </c>
    </row>
    <row r="4377" spans="1:59">
      <c r="A4377" t="s">
        <v>60</v>
      </c>
      <c r="B4377" s="1">
        <v>46131</v>
      </c>
      <c r="C4377">
        <v>2378059328</v>
      </c>
      <c r="D4377">
        <v>2378061481</v>
      </c>
      <c r="E4377" t="str">
        <f>T("오만한 주인의 초상화 90화")</f>
        <v>오만한 주인의 초상화 90화</v>
      </c>
      <c r="F4377">
        <v>90</v>
      </c>
      <c r="G4377" t="str">
        <f>T("offnun")</f>
        <v>offnun</v>
      </c>
      <c r="J4377" t="str">
        <f>T("시계토끼")</f>
        <v>시계토끼</v>
      </c>
      <c r="K4377" t="str">
        <f>T("오만한 주인의 초상화")</f>
        <v>오만한 주인의 초상화</v>
      </c>
      <c r="L4377">
        <v>100</v>
      </c>
      <c r="M4377">
        <v>100</v>
      </c>
      <c r="N4377">
        <v>1</v>
      </c>
      <c r="O4377">
        <v>0</v>
      </c>
      <c r="P4377">
        <v>0</v>
      </c>
      <c r="Q4377">
        <v>0</v>
      </c>
      <c r="R4377">
        <v>0</v>
      </c>
      <c r="S4377">
        <v>0</v>
      </c>
      <c r="T4377">
        <v>0</v>
      </c>
      <c r="U4377">
        <v>0</v>
      </c>
      <c r="V4377">
        <v>0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0</v>
      </c>
      <c r="AC4377">
        <v>0</v>
      </c>
      <c r="AD4377">
        <v>0</v>
      </c>
      <c r="AE4377">
        <v>0</v>
      </c>
      <c r="AF4377">
        <v>0</v>
      </c>
      <c r="AG4377">
        <v>0</v>
      </c>
      <c r="AH4377">
        <v>0</v>
      </c>
      <c r="AI4377">
        <v>100</v>
      </c>
      <c r="AJ4377">
        <v>1</v>
      </c>
      <c r="AK4377">
        <v>0</v>
      </c>
      <c r="AL4377">
        <v>0</v>
      </c>
      <c r="AM4377">
        <v>0</v>
      </c>
      <c r="AN4377">
        <v>0</v>
      </c>
      <c r="AO4377">
        <v>120</v>
      </c>
      <c r="AP4377">
        <v>-12</v>
      </c>
      <c r="AQ4377">
        <v>0</v>
      </c>
      <c r="AS4377">
        <v>0</v>
      </c>
      <c r="AT4377">
        <v>0</v>
      </c>
      <c r="AU4377">
        <v>120</v>
      </c>
      <c r="AV4377">
        <v>-12</v>
      </c>
      <c r="AW4377">
        <v>0</v>
      </c>
      <c r="AY4377">
        <v>0</v>
      </c>
      <c r="AZ4377">
        <v>0</v>
      </c>
      <c r="BA4377">
        <v>75.599999999999994</v>
      </c>
      <c r="BE4377" t="str">
        <f>T("9791164099740")</f>
        <v>9791164099740</v>
      </c>
      <c r="BF4377" t="str">
        <f>T("k212709")</f>
        <v>k212709</v>
      </c>
      <c r="BG4377" t="str">
        <f>T("로판 웹소설 &gt; 서양풍 로판")</f>
        <v>로판 웹소설 &gt; 서양풍 로판</v>
      </c>
    </row>
    <row r="4378" spans="1:59">
      <c r="A4378" t="s">
        <v>60</v>
      </c>
      <c r="B4378" s="1">
        <v>46131</v>
      </c>
      <c r="C4378">
        <v>2378059328</v>
      </c>
      <c r="D4378">
        <v>2378061712</v>
      </c>
      <c r="E4378" t="str">
        <f>T("오만한 주인의 초상화 91화")</f>
        <v>오만한 주인의 초상화 91화</v>
      </c>
      <c r="F4378">
        <v>91</v>
      </c>
      <c r="G4378" t="str">
        <f>T("offnun")</f>
        <v>offnun</v>
      </c>
      <c r="J4378" t="str">
        <f>T("시계토끼")</f>
        <v>시계토끼</v>
      </c>
      <c r="K4378" t="str">
        <f>T("오만한 주인의 초상화")</f>
        <v>오만한 주인의 초상화</v>
      </c>
      <c r="L4378">
        <v>100</v>
      </c>
      <c r="M4378">
        <v>100</v>
      </c>
      <c r="N4378">
        <v>1</v>
      </c>
      <c r="O4378">
        <v>0</v>
      </c>
      <c r="P4378">
        <v>0</v>
      </c>
      <c r="Q4378">
        <v>0</v>
      </c>
      <c r="R4378">
        <v>0</v>
      </c>
      <c r="S4378">
        <v>0</v>
      </c>
      <c r="T4378">
        <v>0</v>
      </c>
      <c r="U4378">
        <v>0</v>
      </c>
      <c r="V4378">
        <v>0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0</v>
      </c>
      <c r="AC4378">
        <v>0</v>
      </c>
      <c r="AD4378">
        <v>0</v>
      </c>
      <c r="AE4378">
        <v>0</v>
      </c>
      <c r="AF4378">
        <v>0</v>
      </c>
      <c r="AG4378">
        <v>0</v>
      </c>
      <c r="AH4378">
        <v>0</v>
      </c>
      <c r="AI4378">
        <v>100</v>
      </c>
      <c r="AJ4378">
        <v>1</v>
      </c>
      <c r="AK4378">
        <v>0</v>
      </c>
      <c r="AL4378">
        <v>0</v>
      </c>
      <c r="AM4378">
        <v>0</v>
      </c>
      <c r="AN4378">
        <v>0</v>
      </c>
      <c r="AO4378">
        <v>120</v>
      </c>
      <c r="AP4378">
        <v>-12</v>
      </c>
      <c r="AQ4378">
        <v>0</v>
      </c>
      <c r="AS4378">
        <v>0</v>
      </c>
      <c r="AT4378">
        <v>0</v>
      </c>
      <c r="AU4378">
        <v>120</v>
      </c>
      <c r="AV4378">
        <v>-12</v>
      </c>
      <c r="AW4378">
        <v>0</v>
      </c>
      <c r="AY4378">
        <v>0</v>
      </c>
      <c r="AZ4378">
        <v>0</v>
      </c>
      <c r="BA4378">
        <v>75.599999999999994</v>
      </c>
      <c r="BE4378" t="str">
        <f>T("9791164099740")</f>
        <v>9791164099740</v>
      </c>
      <c r="BF4378" t="str">
        <f>T("k212710")</f>
        <v>k212710</v>
      </c>
      <c r="BG4378" t="str">
        <f>T("로판 웹소설 &gt; 서양풍 로판")</f>
        <v>로판 웹소설 &gt; 서양풍 로판</v>
      </c>
    </row>
    <row r="4379" spans="1:59">
      <c r="A4379" t="s">
        <v>60</v>
      </c>
      <c r="B4379" s="1">
        <v>46131</v>
      </c>
      <c r="C4379">
        <v>2378059328</v>
      </c>
      <c r="D4379">
        <v>2378061713</v>
      </c>
      <c r="E4379" t="str">
        <f>T("오만한 주인의 초상화 92화")</f>
        <v>오만한 주인의 초상화 92화</v>
      </c>
      <c r="F4379">
        <v>92</v>
      </c>
      <c r="G4379" t="str">
        <f>T("offnun")</f>
        <v>offnun</v>
      </c>
      <c r="J4379" t="str">
        <f>T("시계토끼")</f>
        <v>시계토끼</v>
      </c>
      <c r="K4379" t="str">
        <f>T("오만한 주인의 초상화")</f>
        <v>오만한 주인의 초상화</v>
      </c>
      <c r="L4379">
        <v>100</v>
      </c>
      <c r="M4379">
        <v>100</v>
      </c>
      <c r="N4379">
        <v>1</v>
      </c>
      <c r="O4379">
        <v>0</v>
      </c>
      <c r="P4379">
        <v>0</v>
      </c>
      <c r="Q4379">
        <v>0</v>
      </c>
      <c r="R4379">
        <v>0</v>
      </c>
      <c r="S4379">
        <v>0</v>
      </c>
      <c r="T4379">
        <v>0</v>
      </c>
      <c r="U4379">
        <v>0</v>
      </c>
      <c r="V4379">
        <v>0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0</v>
      </c>
      <c r="AC4379">
        <v>0</v>
      </c>
      <c r="AD4379">
        <v>0</v>
      </c>
      <c r="AE4379">
        <v>0</v>
      </c>
      <c r="AF4379">
        <v>0</v>
      </c>
      <c r="AG4379">
        <v>0</v>
      </c>
      <c r="AH4379">
        <v>0</v>
      </c>
      <c r="AI4379">
        <v>100</v>
      </c>
      <c r="AJ4379">
        <v>1</v>
      </c>
      <c r="AK4379">
        <v>0</v>
      </c>
      <c r="AL4379">
        <v>0</v>
      </c>
      <c r="AM4379">
        <v>0</v>
      </c>
      <c r="AN4379">
        <v>0</v>
      </c>
      <c r="AO4379">
        <v>120</v>
      </c>
      <c r="AP4379">
        <v>-12</v>
      </c>
      <c r="AQ4379">
        <v>0</v>
      </c>
      <c r="AS4379">
        <v>0</v>
      </c>
      <c r="AT4379">
        <v>0</v>
      </c>
      <c r="AU4379">
        <v>120</v>
      </c>
      <c r="AV4379">
        <v>-12</v>
      </c>
      <c r="AW4379">
        <v>0</v>
      </c>
      <c r="AY4379">
        <v>0</v>
      </c>
      <c r="AZ4379">
        <v>0</v>
      </c>
      <c r="BA4379">
        <v>75.599999999999994</v>
      </c>
      <c r="BE4379" t="str">
        <f>T("9791164099740")</f>
        <v>9791164099740</v>
      </c>
      <c r="BF4379" t="str">
        <f>T("k217696")</f>
        <v>k217696</v>
      </c>
      <c r="BG4379" t="str">
        <f>T("로판 웹소설 &gt; 서양풍 로판")</f>
        <v>로판 웹소설 &gt; 서양풍 로판</v>
      </c>
    </row>
    <row r="4380" spans="1:59">
      <c r="A4380" t="s">
        <v>60</v>
      </c>
      <c r="B4380" s="1">
        <v>46131</v>
      </c>
      <c r="C4380">
        <v>2378059328</v>
      </c>
      <c r="D4380">
        <v>2378061714</v>
      </c>
      <c r="E4380" t="str">
        <f>T("오만한 주인의 초상화 93화")</f>
        <v>오만한 주인의 초상화 93화</v>
      </c>
      <c r="F4380">
        <v>93</v>
      </c>
      <c r="G4380" t="str">
        <f>T("offnun")</f>
        <v>offnun</v>
      </c>
      <c r="J4380" t="str">
        <f>T("시계토끼")</f>
        <v>시계토끼</v>
      </c>
      <c r="K4380" t="str">
        <f>T("오만한 주인의 초상화")</f>
        <v>오만한 주인의 초상화</v>
      </c>
      <c r="L4380">
        <v>100</v>
      </c>
      <c r="M4380">
        <v>100</v>
      </c>
      <c r="N4380">
        <v>1</v>
      </c>
      <c r="O4380">
        <v>0</v>
      </c>
      <c r="P4380">
        <v>0</v>
      </c>
      <c r="Q4380">
        <v>0</v>
      </c>
      <c r="R4380">
        <v>0</v>
      </c>
      <c r="S4380">
        <v>0</v>
      </c>
      <c r="T4380">
        <v>0</v>
      </c>
      <c r="U4380">
        <v>0</v>
      </c>
      <c r="V4380">
        <v>0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0</v>
      </c>
      <c r="AC4380">
        <v>0</v>
      </c>
      <c r="AD4380">
        <v>0</v>
      </c>
      <c r="AE4380">
        <v>0</v>
      </c>
      <c r="AF4380">
        <v>0</v>
      </c>
      <c r="AG4380">
        <v>0</v>
      </c>
      <c r="AH4380">
        <v>0</v>
      </c>
      <c r="AI4380">
        <v>100</v>
      </c>
      <c r="AJ4380">
        <v>1</v>
      </c>
      <c r="AK4380">
        <v>0</v>
      </c>
      <c r="AL4380">
        <v>0</v>
      </c>
      <c r="AM4380">
        <v>0</v>
      </c>
      <c r="AN4380">
        <v>0</v>
      </c>
      <c r="AO4380">
        <v>120</v>
      </c>
      <c r="AP4380">
        <v>-12</v>
      </c>
      <c r="AQ4380">
        <v>0</v>
      </c>
      <c r="AS4380">
        <v>0</v>
      </c>
      <c r="AT4380">
        <v>0</v>
      </c>
      <c r="AU4380">
        <v>120</v>
      </c>
      <c r="AV4380">
        <v>-12</v>
      </c>
      <c r="AW4380">
        <v>0</v>
      </c>
      <c r="AY4380">
        <v>0</v>
      </c>
      <c r="AZ4380">
        <v>0</v>
      </c>
      <c r="BA4380">
        <v>75.599999999999994</v>
      </c>
      <c r="BE4380" t="str">
        <f>T("9791164099740")</f>
        <v>9791164099740</v>
      </c>
      <c r="BF4380" t="str">
        <f>T("k217697")</f>
        <v>k217697</v>
      </c>
      <c r="BG4380" t="str">
        <f>T("로판 웹소설 &gt; 서양풍 로판")</f>
        <v>로판 웹소설 &gt; 서양풍 로판</v>
      </c>
    </row>
    <row r="4381" spans="1:59">
      <c r="A4381" t="s">
        <v>60</v>
      </c>
      <c r="B4381" s="1">
        <v>46131</v>
      </c>
      <c r="C4381">
        <v>2378059328</v>
      </c>
      <c r="D4381">
        <v>2378061715</v>
      </c>
      <c r="E4381" t="str">
        <f>T("오만한 주인의 초상화 94화")</f>
        <v>오만한 주인의 초상화 94화</v>
      </c>
      <c r="F4381">
        <v>94</v>
      </c>
      <c r="G4381" t="str">
        <f>T("offnun")</f>
        <v>offnun</v>
      </c>
      <c r="J4381" t="str">
        <f>T("시계토끼")</f>
        <v>시계토끼</v>
      </c>
      <c r="K4381" t="str">
        <f>T("오만한 주인의 초상화")</f>
        <v>오만한 주인의 초상화</v>
      </c>
      <c r="L4381">
        <v>100</v>
      </c>
      <c r="M4381">
        <v>100</v>
      </c>
      <c r="N4381">
        <v>1</v>
      </c>
      <c r="O4381">
        <v>0</v>
      </c>
      <c r="P4381">
        <v>0</v>
      </c>
      <c r="Q4381">
        <v>0</v>
      </c>
      <c r="R4381">
        <v>0</v>
      </c>
      <c r="S4381">
        <v>0</v>
      </c>
      <c r="T4381">
        <v>0</v>
      </c>
      <c r="U4381">
        <v>0</v>
      </c>
      <c r="V4381">
        <v>0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0</v>
      </c>
      <c r="AC4381">
        <v>0</v>
      </c>
      <c r="AD4381">
        <v>0</v>
      </c>
      <c r="AE4381">
        <v>0</v>
      </c>
      <c r="AF4381">
        <v>0</v>
      </c>
      <c r="AG4381">
        <v>0</v>
      </c>
      <c r="AH4381">
        <v>0</v>
      </c>
      <c r="AI4381">
        <v>100</v>
      </c>
      <c r="AJ4381">
        <v>1</v>
      </c>
      <c r="AK4381">
        <v>0</v>
      </c>
      <c r="AL4381">
        <v>0</v>
      </c>
      <c r="AM4381">
        <v>0</v>
      </c>
      <c r="AN4381">
        <v>0</v>
      </c>
      <c r="AO4381">
        <v>120</v>
      </c>
      <c r="AP4381">
        <v>-12</v>
      </c>
      <c r="AQ4381">
        <v>0</v>
      </c>
      <c r="AS4381">
        <v>0</v>
      </c>
      <c r="AT4381">
        <v>0</v>
      </c>
      <c r="AU4381">
        <v>120</v>
      </c>
      <c r="AV4381">
        <v>-12</v>
      </c>
      <c r="AW4381">
        <v>0</v>
      </c>
      <c r="AY4381">
        <v>0</v>
      </c>
      <c r="AZ4381">
        <v>0</v>
      </c>
      <c r="BA4381">
        <v>75.599999999999994</v>
      </c>
      <c r="BE4381" t="str">
        <f>T("9791164099740")</f>
        <v>9791164099740</v>
      </c>
      <c r="BF4381" t="str">
        <f>T("k217698")</f>
        <v>k217698</v>
      </c>
      <c r="BG4381" t="str">
        <f>T("로판 웹소설 &gt; 서양풍 로판")</f>
        <v>로판 웹소설 &gt; 서양풍 로판</v>
      </c>
    </row>
    <row r="4382" spans="1:59">
      <c r="A4382" t="s">
        <v>60</v>
      </c>
      <c r="B4382" s="1">
        <v>46131</v>
      </c>
      <c r="C4382">
        <v>2378059328</v>
      </c>
      <c r="D4382">
        <v>2378061716</v>
      </c>
      <c r="E4382" t="str">
        <f>T("오만한 주인의 초상화 95화")</f>
        <v>오만한 주인의 초상화 95화</v>
      </c>
      <c r="F4382">
        <v>95</v>
      </c>
      <c r="G4382" t="str">
        <f>T("offnun")</f>
        <v>offnun</v>
      </c>
      <c r="J4382" t="str">
        <f>T("시계토끼")</f>
        <v>시계토끼</v>
      </c>
      <c r="K4382" t="str">
        <f>T("오만한 주인의 초상화")</f>
        <v>오만한 주인의 초상화</v>
      </c>
      <c r="L4382">
        <v>100</v>
      </c>
      <c r="M4382">
        <v>100</v>
      </c>
      <c r="N4382">
        <v>1</v>
      </c>
      <c r="O4382">
        <v>0</v>
      </c>
      <c r="P4382">
        <v>0</v>
      </c>
      <c r="Q4382">
        <v>0</v>
      </c>
      <c r="R4382">
        <v>0</v>
      </c>
      <c r="S4382">
        <v>0</v>
      </c>
      <c r="T4382">
        <v>0</v>
      </c>
      <c r="U4382">
        <v>0</v>
      </c>
      <c r="V4382">
        <v>0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0</v>
      </c>
      <c r="AC4382">
        <v>0</v>
      </c>
      <c r="AD4382">
        <v>0</v>
      </c>
      <c r="AE4382">
        <v>0</v>
      </c>
      <c r="AF4382">
        <v>0</v>
      </c>
      <c r="AG4382">
        <v>0</v>
      </c>
      <c r="AH4382">
        <v>0</v>
      </c>
      <c r="AI4382">
        <v>100</v>
      </c>
      <c r="AJ4382">
        <v>1</v>
      </c>
      <c r="AK4382">
        <v>0</v>
      </c>
      <c r="AL4382">
        <v>0</v>
      </c>
      <c r="AM4382">
        <v>0</v>
      </c>
      <c r="AN4382">
        <v>0</v>
      </c>
      <c r="AO4382">
        <v>120</v>
      </c>
      <c r="AP4382">
        <v>-12</v>
      </c>
      <c r="AQ4382">
        <v>0</v>
      </c>
      <c r="AS4382">
        <v>0</v>
      </c>
      <c r="AT4382">
        <v>0</v>
      </c>
      <c r="AU4382">
        <v>120</v>
      </c>
      <c r="AV4382">
        <v>-12</v>
      </c>
      <c r="AW4382">
        <v>0</v>
      </c>
      <c r="AY4382">
        <v>0</v>
      </c>
      <c r="AZ4382">
        <v>0</v>
      </c>
      <c r="BA4382">
        <v>75.599999999999994</v>
      </c>
      <c r="BE4382" t="str">
        <f>T("9791164099740")</f>
        <v>9791164099740</v>
      </c>
      <c r="BF4382" t="str">
        <f>T("k217699")</f>
        <v>k217699</v>
      </c>
      <c r="BG4382" t="str">
        <f>T("로판 웹소설 &gt; 서양풍 로판")</f>
        <v>로판 웹소설 &gt; 서양풍 로판</v>
      </c>
    </row>
    <row r="4383" spans="1:59">
      <c r="A4383" t="s">
        <v>60</v>
      </c>
      <c r="B4383" s="1">
        <v>46131</v>
      </c>
      <c r="C4383">
        <v>2378059328</v>
      </c>
      <c r="D4383">
        <v>2378061831</v>
      </c>
      <c r="E4383" t="str">
        <f>T("오만한 주인의 초상화 96화")</f>
        <v>오만한 주인의 초상화 96화</v>
      </c>
      <c r="F4383">
        <v>96</v>
      </c>
      <c r="G4383" t="str">
        <f>T("offnun")</f>
        <v>offnun</v>
      </c>
      <c r="J4383" t="str">
        <f>T("시계토끼")</f>
        <v>시계토끼</v>
      </c>
      <c r="K4383" t="str">
        <f>T("오만한 주인의 초상화")</f>
        <v>오만한 주인의 초상화</v>
      </c>
      <c r="L4383">
        <v>100</v>
      </c>
      <c r="M4383">
        <v>100</v>
      </c>
      <c r="N4383">
        <v>1</v>
      </c>
      <c r="O4383">
        <v>0</v>
      </c>
      <c r="P4383">
        <v>0</v>
      </c>
      <c r="Q4383">
        <v>0</v>
      </c>
      <c r="R4383">
        <v>0</v>
      </c>
      <c r="S4383">
        <v>0</v>
      </c>
      <c r="T4383">
        <v>0</v>
      </c>
      <c r="U4383">
        <v>0</v>
      </c>
      <c r="V4383">
        <v>0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0</v>
      </c>
      <c r="AC4383">
        <v>0</v>
      </c>
      <c r="AD4383">
        <v>0</v>
      </c>
      <c r="AE4383">
        <v>0</v>
      </c>
      <c r="AF4383">
        <v>0</v>
      </c>
      <c r="AG4383">
        <v>0</v>
      </c>
      <c r="AH4383">
        <v>0</v>
      </c>
      <c r="AI4383">
        <v>100</v>
      </c>
      <c r="AJ4383">
        <v>1</v>
      </c>
      <c r="AK4383">
        <v>0</v>
      </c>
      <c r="AL4383">
        <v>0</v>
      </c>
      <c r="AM4383">
        <v>0</v>
      </c>
      <c r="AN4383">
        <v>0</v>
      </c>
      <c r="AO4383">
        <v>120</v>
      </c>
      <c r="AP4383">
        <v>-12</v>
      </c>
      <c r="AQ4383">
        <v>0</v>
      </c>
      <c r="AS4383">
        <v>0</v>
      </c>
      <c r="AT4383">
        <v>0</v>
      </c>
      <c r="AU4383">
        <v>120</v>
      </c>
      <c r="AV4383">
        <v>-12</v>
      </c>
      <c r="AW4383">
        <v>0</v>
      </c>
      <c r="AY4383">
        <v>0</v>
      </c>
      <c r="AZ4383">
        <v>0</v>
      </c>
      <c r="BA4383">
        <v>75.599999999999994</v>
      </c>
      <c r="BE4383" t="str">
        <f>T("9791164099740")</f>
        <v>9791164099740</v>
      </c>
      <c r="BF4383" t="str">
        <f>T("k217700")</f>
        <v>k217700</v>
      </c>
      <c r="BG4383" t="str">
        <f>T("로판 웹소설 &gt; 서양풍 로판")</f>
        <v>로판 웹소설 &gt; 서양풍 로판</v>
      </c>
    </row>
    <row r="4384" spans="1:59">
      <c r="A4384" t="s">
        <v>60</v>
      </c>
      <c r="B4384" s="1">
        <v>46131</v>
      </c>
      <c r="C4384">
        <v>2378059328</v>
      </c>
      <c r="D4384">
        <v>2378061832</v>
      </c>
      <c r="E4384" t="str">
        <f>T("오만한 주인의 초상화 97화")</f>
        <v>오만한 주인의 초상화 97화</v>
      </c>
      <c r="F4384">
        <v>97</v>
      </c>
      <c r="G4384" t="str">
        <f>T("offnun")</f>
        <v>offnun</v>
      </c>
      <c r="J4384" t="str">
        <f>T("시계토끼")</f>
        <v>시계토끼</v>
      </c>
      <c r="K4384" t="str">
        <f>T("오만한 주인의 초상화")</f>
        <v>오만한 주인의 초상화</v>
      </c>
      <c r="L4384">
        <v>100</v>
      </c>
      <c r="M4384">
        <v>100</v>
      </c>
      <c r="N4384">
        <v>1</v>
      </c>
      <c r="O4384">
        <v>0</v>
      </c>
      <c r="P4384">
        <v>0</v>
      </c>
      <c r="Q4384">
        <v>0</v>
      </c>
      <c r="R4384">
        <v>0</v>
      </c>
      <c r="S4384">
        <v>0</v>
      </c>
      <c r="T4384">
        <v>0</v>
      </c>
      <c r="U4384">
        <v>0</v>
      </c>
      <c r="V4384">
        <v>0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0</v>
      </c>
      <c r="AC4384">
        <v>0</v>
      </c>
      <c r="AD4384">
        <v>0</v>
      </c>
      <c r="AE4384">
        <v>0</v>
      </c>
      <c r="AF4384">
        <v>0</v>
      </c>
      <c r="AG4384">
        <v>0</v>
      </c>
      <c r="AH4384">
        <v>0</v>
      </c>
      <c r="AI4384">
        <v>100</v>
      </c>
      <c r="AJ4384">
        <v>1</v>
      </c>
      <c r="AK4384">
        <v>0</v>
      </c>
      <c r="AL4384">
        <v>0</v>
      </c>
      <c r="AM4384">
        <v>0</v>
      </c>
      <c r="AN4384">
        <v>0</v>
      </c>
      <c r="AO4384">
        <v>120</v>
      </c>
      <c r="AP4384">
        <v>-12</v>
      </c>
      <c r="AQ4384">
        <v>0</v>
      </c>
      <c r="AS4384">
        <v>0</v>
      </c>
      <c r="AT4384">
        <v>0</v>
      </c>
      <c r="AU4384">
        <v>120</v>
      </c>
      <c r="AV4384">
        <v>-12</v>
      </c>
      <c r="AW4384">
        <v>0</v>
      </c>
      <c r="AY4384">
        <v>0</v>
      </c>
      <c r="AZ4384">
        <v>0</v>
      </c>
      <c r="BA4384">
        <v>75.599999999999994</v>
      </c>
      <c r="BE4384" t="str">
        <f>T("9791164099740")</f>
        <v>9791164099740</v>
      </c>
      <c r="BF4384" t="str">
        <f>T("k225181")</f>
        <v>k225181</v>
      </c>
      <c r="BG4384" t="str">
        <f>T("로판 웹소설 &gt; 서양풍 로판")</f>
        <v>로판 웹소설 &gt; 서양풍 로판</v>
      </c>
    </row>
    <row r="4385" spans="1:59">
      <c r="A4385" t="s">
        <v>60</v>
      </c>
      <c r="B4385" s="1">
        <v>46131</v>
      </c>
      <c r="C4385">
        <v>2378059328</v>
      </c>
      <c r="D4385">
        <v>2378061833</v>
      </c>
      <c r="E4385" t="str">
        <f>T("오만한 주인의 초상화 98화")</f>
        <v>오만한 주인의 초상화 98화</v>
      </c>
      <c r="F4385">
        <v>98</v>
      </c>
      <c r="G4385" t="str">
        <f>T("offnun")</f>
        <v>offnun</v>
      </c>
      <c r="J4385" t="str">
        <f>T("시계토끼")</f>
        <v>시계토끼</v>
      </c>
      <c r="K4385" t="str">
        <f>T("오만한 주인의 초상화")</f>
        <v>오만한 주인의 초상화</v>
      </c>
      <c r="L4385">
        <v>100</v>
      </c>
      <c r="M4385">
        <v>100</v>
      </c>
      <c r="N4385">
        <v>1</v>
      </c>
      <c r="O4385">
        <v>0</v>
      </c>
      <c r="P4385">
        <v>0</v>
      </c>
      <c r="Q4385">
        <v>0</v>
      </c>
      <c r="R4385">
        <v>0</v>
      </c>
      <c r="S4385">
        <v>0</v>
      </c>
      <c r="T4385">
        <v>0</v>
      </c>
      <c r="U4385">
        <v>0</v>
      </c>
      <c r="V4385">
        <v>0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0</v>
      </c>
      <c r="AC4385">
        <v>0</v>
      </c>
      <c r="AD4385">
        <v>0</v>
      </c>
      <c r="AE4385">
        <v>0</v>
      </c>
      <c r="AF4385">
        <v>0</v>
      </c>
      <c r="AG4385">
        <v>0</v>
      </c>
      <c r="AH4385">
        <v>0</v>
      </c>
      <c r="AI4385">
        <v>100</v>
      </c>
      <c r="AJ4385">
        <v>1</v>
      </c>
      <c r="AK4385">
        <v>0</v>
      </c>
      <c r="AL4385">
        <v>0</v>
      </c>
      <c r="AM4385">
        <v>0</v>
      </c>
      <c r="AN4385">
        <v>0</v>
      </c>
      <c r="AO4385">
        <v>120</v>
      </c>
      <c r="AP4385">
        <v>-12</v>
      </c>
      <c r="AQ4385">
        <v>0</v>
      </c>
      <c r="AS4385">
        <v>0</v>
      </c>
      <c r="AT4385">
        <v>0</v>
      </c>
      <c r="AU4385">
        <v>120</v>
      </c>
      <c r="AV4385">
        <v>-12</v>
      </c>
      <c r="AW4385">
        <v>0</v>
      </c>
      <c r="AY4385">
        <v>0</v>
      </c>
      <c r="AZ4385">
        <v>0</v>
      </c>
      <c r="BA4385">
        <v>75.599999999999994</v>
      </c>
      <c r="BE4385" t="str">
        <f>T("9791164099740")</f>
        <v>9791164099740</v>
      </c>
      <c r="BF4385" t="str">
        <f>T("k225182")</f>
        <v>k225182</v>
      </c>
      <c r="BG4385" t="str">
        <f>T("로판 웹소설 &gt; 서양풍 로판")</f>
        <v>로판 웹소설 &gt; 서양풍 로판</v>
      </c>
    </row>
    <row r="4386" spans="1:59">
      <c r="A4386" t="s">
        <v>60</v>
      </c>
      <c r="B4386" s="1">
        <v>46131</v>
      </c>
      <c r="C4386">
        <v>2378059328</v>
      </c>
      <c r="D4386">
        <v>2378061834</v>
      </c>
      <c r="E4386" t="str">
        <f>T("오만한 주인의 초상화 99화")</f>
        <v>오만한 주인의 초상화 99화</v>
      </c>
      <c r="F4386">
        <v>99</v>
      </c>
      <c r="G4386" t="str">
        <f>T("offnun")</f>
        <v>offnun</v>
      </c>
      <c r="J4386" t="str">
        <f>T("시계토끼")</f>
        <v>시계토끼</v>
      </c>
      <c r="K4386" t="str">
        <f>T("오만한 주인의 초상화")</f>
        <v>오만한 주인의 초상화</v>
      </c>
      <c r="L4386">
        <v>100</v>
      </c>
      <c r="M4386">
        <v>100</v>
      </c>
      <c r="N4386">
        <v>1</v>
      </c>
      <c r="O4386">
        <v>0</v>
      </c>
      <c r="P4386">
        <v>0</v>
      </c>
      <c r="Q4386">
        <v>0</v>
      </c>
      <c r="R4386">
        <v>0</v>
      </c>
      <c r="S4386">
        <v>0</v>
      </c>
      <c r="T4386">
        <v>0</v>
      </c>
      <c r="U4386">
        <v>0</v>
      </c>
      <c r="V4386">
        <v>0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0</v>
      </c>
      <c r="AC4386">
        <v>0</v>
      </c>
      <c r="AD4386">
        <v>0</v>
      </c>
      <c r="AE4386">
        <v>0</v>
      </c>
      <c r="AF4386">
        <v>0</v>
      </c>
      <c r="AG4386">
        <v>0</v>
      </c>
      <c r="AH4386">
        <v>0</v>
      </c>
      <c r="AI4386">
        <v>100</v>
      </c>
      <c r="AJ4386">
        <v>1</v>
      </c>
      <c r="AK4386">
        <v>0</v>
      </c>
      <c r="AL4386">
        <v>0</v>
      </c>
      <c r="AM4386">
        <v>0</v>
      </c>
      <c r="AN4386">
        <v>0</v>
      </c>
      <c r="AO4386">
        <v>120</v>
      </c>
      <c r="AP4386">
        <v>-12</v>
      </c>
      <c r="AQ4386">
        <v>0</v>
      </c>
      <c r="AS4386">
        <v>0</v>
      </c>
      <c r="AT4386">
        <v>0</v>
      </c>
      <c r="AU4386">
        <v>120</v>
      </c>
      <c r="AV4386">
        <v>-12</v>
      </c>
      <c r="AW4386">
        <v>0</v>
      </c>
      <c r="AY4386">
        <v>0</v>
      </c>
      <c r="AZ4386">
        <v>0</v>
      </c>
      <c r="BA4386">
        <v>75.599999999999994</v>
      </c>
      <c r="BE4386" t="str">
        <f>T("9791164099740")</f>
        <v>9791164099740</v>
      </c>
      <c r="BF4386" t="str">
        <f>T("k225183")</f>
        <v>k225183</v>
      </c>
      <c r="BG4386" t="str">
        <f>T("로판 웹소설 &gt; 서양풍 로판")</f>
        <v>로판 웹소설 &gt; 서양풍 로판</v>
      </c>
    </row>
    <row r="4387" spans="1:59">
      <c r="A4387" t="s">
        <v>60</v>
      </c>
      <c r="B4387" s="1">
        <v>46131</v>
      </c>
      <c r="C4387">
        <v>2378059328</v>
      </c>
      <c r="D4387">
        <v>2378061835</v>
      </c>
      <c r="E4387" t="str">
        <f>T("오만한 주인의 초상화 100화")</f>
        <v>오만한 주인의 초상화 100화</v>
      </c>
      <c r="F4387">
        <v>100</v>
      </c>
      <c r="G4387" t="str">
        <f>T("offnun")</f>
        <v>offnun</v>
      </c>
      <c r="J4387" t="str">
        <f>T("시계토끼")</f>
        <v>시계토끼</v>
      </c>
      <c r="K4387" t="str">
        <f>T("오만한 주인의 초상화")</f>
        <v>오만한 주인의 초상화</v>
      </c>
      <c r="L4387">
        <v>100</v>
      </c>
      <c r="M4387">
        <v>100</v>
      </c>
      <c r="N4387">
        <v>1</v>
      </c>
      <c r="O4387">
        <v>0</v>
      </c>
      <c r="P4387">
        <v>0</v>
      </c>
      <c r="Q4387">
        <v>0</v>
      </c>
      <c r="R4387">
        <v>0</v>
      </c>
      <c r="S4387">
        <v>0</v>
      </c>
      <c r="T4387">
        <v>0</v>
      </c>
      <c r="U4387">
        <v>0</v>
      </c>
      <c r="V4387">
        <v>0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0</v>
      </c>
      <c r="AC4387">
        <v>0</v>
      </c>
      <c r="AD4387">
        <v>0</v>
      </c>
      <c r="AE4387">
        <v>0</v>
      </c>
      <c r="AF4387">
        <v>0</v>
      </c>
      <c r="AG4387">
        <v>0</v>
      </c>
      <c r="AH4387">
        <v>0</v>
      </c>
      <c r="AI4387">
        <v>100</v>
      </c>
      <c r="AJ4387">
        <v>1</v>
      </c>
      <c r="AK4387">
        <v>0</v>
      </c>
      <c r="AL4387">
        <v>0</v>
      </c>
      <c r="AM4387">
        <v>0</v>
      </c>
      <c r="AN4387">
        <v>0</v>
      </c>
      <c r="AO4387">
        <v>120</v>
      </c>
      <c r="AP4387">
        <v>-12</v>
      </c>
      <c r="AQ4387">
        <v>0</v>
      </c>
      <c r="AS4387">
        <v>0</v>
      </c>
      <c r="AT4387">
        <v>0</v>
      </c>
      <c r="AU4387">
        <v>120</v>
      </c>
      <c r="AV4387">
        <v>-12</v>
      </c>
      <c r="AW4387">
        <v>0</v>
      </c>
      <c r="AY4387">
        <v>0</v>
      </c>
      <c r="AZ4387">
        <v>0</v>
      </c>
      <c r="BA4387">
        <v>75.599999999999994</v>
      </c>
      <c r="BE4387" t="str">
        <f>T("9791164099740")</f>
        <v>9791164099740</v>
      </c>
      <c r="BF4387" t="str">
        <f>T("k225184")</f>
        <v>k225184</v>
      </c>
      <c r="BG4387" t="str">
        <f>T("로판 웹소설 &gt; 서양풍 로판")</f>
        <v>로판 웹소설 &gt; 서양풍 로판</v>
      </c>
    </row>
    <row r="4388" spans="1:59">
      <c r="A4388" t="s">
        <v>60</v>
      </c>
      <c r="B4388" s="1">
        <v>46131</v>
      </c>
      <c r="C4388">
        <v>2378059328</v>
      </c>
      <c r="D4388">
        <v>2378061941</v>
      </c>
      <c r="E4388" t="str">
        <f>T("오만한 주인의 초상화 101화")</f>
        <v>오만한 주인의 초상화 101화</v>
      </c>
      <c r="F4388">
        <v>101</v>
      </c>
      <c r="G4388" t="str">
        <f>T("offnun")</f>
        <v>offnun</v>
      </c>
      <c r="J4388" t="str">
        <f>T("시계토끼")</f>
        <v>시계토끼</v>
      </c>
      <c r="K4388" t="str">
        <f>T("오만한 주인의 초상화")</f>
        <v>오만한 주인의 초상화</v>
      </c>
      <c r="L4388">
        <v>100</v>
      </c>
      <c r="M4388">
        <v>100</v>
      </c>
      <c r="N4388">
        <v>1</v>
      </c>
      <c r="O4388">
        <v>0</v>
      </c>
      <c r="P4388">
        <v>0</v>
      </c>
      <c r="Q4388">
        <v>0</v>
      </c>
      <c r="R4388">
        <v>0</v>
      </c>
      <c r="S4388">
        <v>0</v>
      </c>
      <c r="T4388">
        <v>0</v>
      </c>
      <c r="U4388">
        <v>0</v>
      </c>
      <c r="V4388">
        <v>0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0</v>
      </c>
      <c r="AC4388">
        <v>0</v>
      </c>
      <c r="AD4388">
        <v>0</v>
      </c>
      <c r="AE4388">
        <v>0</v>
      </c>
      <c r="AF4388">
        <v>0</v>
      </c>
      <c r="AG4388">
        <v>0</v>
      </c>
      <c r="AH4388">
        <v>0</v>
      </c>
      <c r="AI4388">
        <v>100</v>
      </c>
      <c r="AJ4388">
        <v>1</v>
      </c>
      <c r="AK4388">
        <v>0</v>
      </c>
      <c r="AL4388">
        <v>0</v>
      </c>
      <c r="AM4388">
        <v>0</v>
      </c>
      <c r="AN4388">
        <v>0</v>
      </c>
      <c r="AO4388">
        <v>120</v>
      </c>
      <c r="AP4388">
        <v>-12</v>
      </c>
      <c r="AQ4388">
        <v>0</v>
      </c>
      <c r="AS4388">
        <v>0</v>
      </c>
      <c r="AT4388">
        <v>0</v>
      </c>
      <c r="AU4388">
        <v>120</v>
      </c>
      <c r="AV4388">
        <v>-12</v>
      </c>
      <c r="AW4388">
        <v>0</v>
      </c>
      <c r="AY4388">
        <v>0</v>
      </c>
      <c r="AZ4388">
        <v>0</v>
      </c>
      <c r="BA4388">
        <v>75.599999999999994</v>
      </c>
      <c r="BE4388" t="str">
        <f>T("9791164099740")</f>
        <v>9791164099740</v>
      </c>
      <c r="BF4388" t="str">
        <f>T("k225185")</f>
        <v>k225185</v>
      </c>
      <c r="BG4388" t="str">
        <f>T("로판 웹소설 &gt; 서양풍 로판")</f>
        <v>로판 웹소설 &gt; 서양풍 로판</v>
      </c>
    </row>
    <row r="4389" spans="1:59">
      <c r="A4389" t="s">
        <v>60</v>
      </c>
      <c r="B4389" s="1">
        <v>46131</v>
      </c>
      <c r="C4389">
        <v>2378059328</v>
      </c>
      <c r="D4389">
        <v>2378061942</v>
      </c>
      <c r="E4389" t="str">
        <f>T("오만한 주인의 초상화 102화")</f>
        <v>오만한 주인의 초상화 102화</v>
      </c>
      <c r="F4389">
        <v>102</v>
      </c>
      <c r="G4389" t="str">
        <f>T("offnun")</f>
        <v>offnun</v>
      </c>
      <c r="J4389" t="str">
        <f>T("시계토끼")</f>
        <v>시계토끼</v>
      </c>
      <c r="K4389" t="str">
        <f>T("오만한 주인의 초상화")</f>
        <v>오만한 주인의 초상화</v>
      </c>
      <c r="L4389">
        <v>100</v>
      </c>
      <c r="M4389">
        <v>100</v>
      </c>
      <c r="N4389">
        <v>1</v>
      </c>
      <c r="O4389">
        <v>0</v>
      </c>
      <c r="P4389">
        <v>0</v>
      </c>
      <c r="Q4389">
        <v>0</v>
      </c>
      <c r="R4389">
        <v>0</v>
      </c>
      <c r="S4389">
        <v>0</v>
      </c>
      <c r="T4389">
        <v>0</v>
      </c>
      <c r="U4389">
        <v>0</v>
      </c>
      <c r="V4389">
        <v>0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0</v>
      </c>
      <c r="AC4389">
        <v>0</v>
      </c>
      <c r="AD4389">
        <v>0</v>
      </c>
      <c r="AE4389">
        <v>0</v>
      </c>
      <c r="AF4389">
        <v>0</v>
      </c>
      <c r="AG4389">
        <v>0</v>
      </c>
      <c r="AH4389">
        <v>0</v>
      </c>
      <c r="AI4389">
        <v>100</v>
      </c>
      <c r="AJ4389">
        <v>1</v>
      </c>
      <c r="AK4389">
        <v>0</v>
      </c>
      <c r="AL4389">
        <v>0</v>
      </c>
      <c r="AM4389">
        <v>0</v>
      </c>
      <c r="AN4389">
        <v>0</v>
      </c>
      <c r="AO4389">
        <v>120</v>
      </c>
      <c r="AP4389">
        <v>-12</v>
      </c>
      <c r="AQ4389">
        <v>0</v>
      </c>
      <c r="AS4389">
        <v>0</v>
      </c>
      <c r="AT4389">
        <v>0</v>
      </c>
      <c r="AU4389">
        <v>120</v>
      </c>
      <c r="AV4389">
        <v>-12</v>
      </c>
      <c r="AW4389">
        <v>0</v>
      </c>
      <c r="AY4389">
        <v>0</v>
      </c>
      <c r="AZ4389">
        <v>0</v>
      </c>
      <c r="BA4389">
        <v>75.599999999999994</v>
      </c>
      <c r="BE4389" t="str">
        <f>T("9791164099740")</f>
        <v>9791164099740</v>
      </c>
      <c r="BF4389" t="str">
        <f>T("k239471")</f>
        <v>k239471</v>
      </c>
      <c r="BG4389" t="str">
        <f>T("로판 웹소설 &gt; 서양풍 로판")</f>
        <v>로판 웹소설 &gt; 서양풍 로판</v>
      </c>
    </row>
    <row r="4390" spans="1:59">
      <c r="A4390" t="s">
        <v>60</v>
      </c>
      <c r="B4390" s="1">
        <v>46131</v>
      </c>
      <c r="C4390">
        <v>2378059328</v>
      </c>
      <c r="D4390">
        <v>2378062145</v>
      </c>
      <c r="E4390" t="str">
        <f>T("오만한 주인의 초상화 113화")</f>
        <v>오만한 주인의 초상화 113화</v>
      </c>
      <c r="F4390">
        <v>113</v>
      </c>
      <c r="G4390" t="str">
        <f>T("offnun")</f>
        <v>offnun</v>
      </c>
      <c r="J4390" t="str">
        <f>T("시계토끼")</f>
        <v>시계토끼</v>
      </c>
      <c r="K4390" t="str">
        <f>T("오만한 주인의 초상화")</f>
        <v>오만한 주인의 초상화</v>
      </c>
      <c r="L4390">
        <v>100</v>
      </c>
      <c r="M4390">
        <v>100</v>
      </c>
      <c r="N4390">
        <v>1</v>
      </c>
      <c r="O4390">
        <v>0</v>
      </c>
      <c r="P4390">
        <v>0</v>
      </c>
      <c r="Q4390">
        <v>0</v>
      </c>
      <c r="R4390">
        <v>0</v>
      </c>
      <c r="S4390">
        <v>0</v>
      </c>
      <c r="T4390">
        <v>0</v>
      </c>
      <c r="U4390">
        <v>0</v>
      </c>
      <c r="V4390">
        <v>0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0</v>
      </c>
      <c r="AC4390">
        <v>0</v>
      </c>
      <c r="AD4390">
        <v>0</v>
      </c>
      <c r="AE4390">
        <v>0</v>
      </c>
      <c r="AF4390">
        <v>0</v>
      </c>
      <c r="AG4390">
        <v>0</v>
      </c>
      <c r="AH4390">
        <v>0</v>
      </c>
      <c r="AI4390">
        <v>100</v>
      </c>
      <c r="AJ4390">
        <v>1</v>
      </c>
      <c r="AK4390">
        <v>0</v>
      </c>
      <c r="AL4390">
        <v>0</v>
      </c>
      <c r="AM4390">
        <v>0</v>
      </c>
      <c r="AN4390">
        <v>0</v>
      </c>
      <c r="AO4390">
        <v>120</v>
      </c>
      <c r="AP4390">
        <v>-12</v>
      </c>
      <c r="AQ4390">
        <v>0</v>
      </c>
      <c r="AS4390">
        <v>0</v>
      </c>
      <c r="AT4390">
        <v>0</v>
      </c>
      <c r="AU4390">
        <v>120</v>
      </c>
      <c r="AV4390">
        <v>-12</v>
      </c>
      <c r="AW4390">
        <v>0</v>
      </c>
      <c r="AY4390">
        <v>0</v>
      </c>
      <c r="AZ4390">
        <v>0</v>
      </c>
      <c r="BA4390">
        <v>75.599999999999994</v>
      </c>
      <c r="BE4390" t="str">
        <f>T("9791164099740")</f>
        <v>9791164099740</v>
      </c>
      <c r="BF4390" t="str">
        <f>T("k239889")</f>
        <v>k239889</v>
      </c>
      <c r="BG4390" t="str">
        <f>T("로판 웹소설 &gt; 서양풍 로판")</f>
        <v>로판 웹소설 &gt; 서양풍 로판</v>
      </c>
    </row>
    <row r="4391" spans="1:59">
      <c r="A4391" t="s">
        <v>60</v>
      </c>
      <c r="B4391" s="1">
        <v>46131</v>
      </c>
      <c r="C4391">
        <v>2378059328</v>
      </c>
      <c r="D4391">
        <v>2378062146</v>
      </c>
      <c r="E4391" t="str">
        <f>T("오만한 주인의 초상화 114화")</f>
        <v>오만한 주인의 초상화 114화</v>
      </c>
      <c r="F4391">
        <v>114</v>
      </c>
      <c r="G4391" t="str">
        <f>T("offnun")</f>
        <v>offnun</v>
      </c>
      <c r="J4391" t="str">
        <f>T("시계토끼")</f>
        <v>시계토끼</v>
      </c>
      <c r="K4391" t="str">
        <f>T("오만한 주인의 초상화")</f>
        <v>오만한 주인의 초상화</v>
      </c>
      <c r="L4391">
        <v>100</v>
      </c>
      <c r="M4391">
        <v>100</v>
      </c>
      <c r="N4391">
        <v>1</v>
      </c>
      <c r="O4391">
        <v>0</v>
      </c>
      <c r="P4391">
        <v>0</v>
      </c>
      <c r="Q4391">
        <v>0</v>
      </c>
      <c r="R4391">
        <v>0</v>
      </c>
      <c r="S4391">
        <v>0</v>
      </c>
      <c r="T4391">
        <v>0</v>
      </c>
      <c r="U4391">
        <v>0</v>
      </c>
      <c r="V4391">
        <v>0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0</v>
      </c>
      <c r="AC4391">
        <v>0</v>
      </c>
      <c r="AD4391">
        <v>0</v>
      </c>
      <c r="AE4391">
        <v>0</v>
      </c>
      <c r="AF4391">
        <v>0</v>
      </c>
      <c r="AG4391">
        <v>0</v>
      </c>
      <c r="AH4391">
        <v>0</v>
      </c>
      <c r="AI4391">
        <v>100</v>
      </c>
      <c r="AJ4391">
        <v>1</v>
      </c>
      <c r="AK4391">
        <v>0</v>
      </c>
      <c r="AL4391">
        <v>0</v>
      </c>
      <c r="AM4391">
        <v>0</v>
      </c>
      <c r="AN4391">
        <v>0</v>
      </c>
      <c r="AO4391">
        <v>120</v>
      </c>
      <c r="AP4391">
        <v>-12</v>
      </c>
      <c r="AQ4391">
        <v>0</v>
      </c>
      <c r="AS4391">
        <v>0</v>
      </c>
      <c r="AT4391">
        <v>0</v>
      </c>
      <c r="AU4391">
        <v>120</v>
      </c>
      <c r="AV4391">
        <v>-12</v>
      </c>
      <c r="AW4391">
        <v>0</v>
      </c>
      <c r="AY4391">
        <v>0</v>
      </c>
      <c r="AZ4391">
        <v>0</v>
      </c>
      <c r="BA4391">
        <v>75.599999999999994</v>
      </c>
      <c r="BE4391" t="str">
        <f>T("9791164099740")</f>
        <v>9791164099740</v>
      </c>
      <c r="BF4391" t="str">
        <f>T("k239900")</f>
        <v>k239900</v>
      </c>
      <c r="BG4391" t="str">
        <f>T("로판 웹소설 &gt; 서양풍 로판")</f>
        <v>로판 웹소설 &gt; 서양풍 로판</v>
      </c>
    </row>
    <row r="4392" spans="1:59">
      <c r="A4392" t="s">
        <v>60</v>
      </c>
      <c r="B4392" s="1">
        <v>46131</v>
      </c>
      <c r="C4392">
        <v>2378059328</v>
      </c>
      <c r="D4392">
        <v>2378062147</v>
      </c>
      <c r="E4392" t="str">
        <f>T("오만한 주인의 초상화 115화")</f>
        <v>오만한 주인의 초상화 115화</v>
      </c>
      <c r="F4392">
        <v>115</v>
      </c>
      <c r="G4392" t="str">
        <f>T("offnun")</f>
        <v>offnun</v>
      </c>
      <c r="J4392" t="str">
        <f>T("시계토끼")</f>
        <v>시계토끼</v>
      </c>
      <c r="K4392" t="str">
        <f>T("오만한 주인의 초상화")</f>
        <v>오만한 주인의 초상화</v>
      </c>
      <c r="L4392">
        <v>100</v>
      </c>
      <c r="M4392">
        <v>100</v>
      </c>
      <c r="N4392">
        <v>1</v>
      </c>
      <c r="O4392">
        <v>0</v>
      </c>
      <c r="P4392">
        <v>0</v>
      </c>
      <c r="Q4392">
        <v>0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0</v>
      </c>
      <c r="AC4392">
        <v>0</v>
      </c>
      <c r="AD4392">
        <v>0</v>
      </c>
      <c r="AE4392">
        <v>0</v>
      </c>
      <c r="AF4392">
        <v>0</v>
      </c>
      <c r="AG4392">
        <v>0</v>
      </c>
      <c r="AH4392">
        <v>0</v>
      </c>
      <c r="AI4392">
        <v>100</v>
      </c>
      <c r="AJ4392">
        <v>1</v>
      </c>
      <c r="AK4392">
        <v>0</v>
      </c>
      <c r="AL4392">
        <v>0</v>
      </c>
      <c r="AM4392">
        <v>0</v>
      </c>
      <c r="AN4392">
        <v>0</v>
      </c>
      <c r="AO4392">
        <v>120</v>
      </c>
      <c r="AP4392">
        <v>-12</v>
      </c>
      <c r="AQ4392">
        <v>0</v>
      </c>
      <c r="AS4392">
        <v>0</v>
      </c>
      <c r="AT4392">
        <v>0</v>
      </c>
      <c r="AU4392">
        <v>120</v>
      </c>
      <c r="AV4392">
        <v>-12</v>
      </c>
      <c r="AW4392">
        <v>0</v>
      </c>
      <c r="AY4392">
        <v>0</v>
      </c>
      <c r="AZ4392">
        <v>0</v>
      </c>
      <c r="BA4392">
        <v>75.599999999999994</v>
      </c>
      <c r="BE4392" t="str">
        <f>T("9791164099740")</f>
        <v>9791164099740</v>
      </c>
      <c r="BF4392" t="str">
        <f>T("k239901")</f>
        <v>k239901</v>
      </c>
      <c r="BG4392" t="str">
        <f>T("로판 웹소설 &gt; 서양풍 로판")</f>
        <v>로판 웹소설 &gt; 서양풍 로판</v>
      </c>
    </row>
    <row r="4393" spans="1:59">
      <c r="A4393" t="s">
        <v>60</v>
      </c>
      <c r="B4393" s="1">
        <v>46131</v>
      </c>
      <c r="C4393">
        <v>2378059328</v>
      </c>
      <c r="D4393">
        <v>2378063040</v>
      </c>
      <c r="E4393" t="str">
        <f>T("오만한 주인의 초상화 116화")</f>
        <v>오만한 주인의 초상화 116화</v>
      </c>
      <c r="F4393">
        <v>116</v>
      </c>
      <c r="G4393" t="str">
        <f>T("offnun")</f>
        <v>offnun</v>
      </c>
      <c r="J4393" t="str">
        <f>T("시계토끼")</f>
        <v>시계토끼</v>
      </c>
      <c r="K4393" t="str">
        <f>T("오만한 주인의 초상화")</f>
        <v>오만한 주인의 초상화</v>
      </c>
      <c r="L4393">
        <v>100</v>
      </c>
      <c r="M4393">
        <v>100</v>
      </c>
      <c r="N4393">
        <v>1</v>
      </c>
      <c r="O4393">
        <v>0</v>
      </c>
      <c r="P4393">
        <v>0</v>
      </c>
      <c r="Q4393">
        <v>0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0</v>
      </c>
      <c r="AC4393">
        <v>0</v>
      </c>
      <c r="AD4393">
        <v>0</v>
      </c>
      <c r="AE4393">
        <v>0</v>
      </c>
      <c r="AF4393">
        <v>0</v>
      </c>
      <c r="AG4393">
        <v>0</v>
      </c>
      <c r="AH4393">
        <v>0</v>
      </c>
      <c r="AI4393">
        <v>100</v>
      </c>
      <c r="AJ4393">
        <v>1</v>
      </c>
      <c r="AK4393">
        <v>0</v>
      </c>
      <c r="AL4393">
        <v>0</v>
      </c>
      <c r="AM4393">
        <v>0</v>
      </c>
      <c r="AN4393">
        <v>0</v>
      </c>
      <c r="AO4393">
        <v>120</v>
      </c>
      <c r="AP4393">
        <v>-12</v>
      </c>
      <c r="AQ4393">
        <v>0</v>
      </c>
      <c r="AS4393">
        <v>0</v>
      </c>
      <c r="AT4393">
        <v>0</v>
      </c>
      <c r="AU4393">
        <v>120</v>
      </c>
      <c r="AV4393">
        <v>-12</v>
      </c>
      <c r="AW4393">
        <v>0</v>
      </c>
      <c r="AY4393">
        <v>0</v>
      </c>
      <c r="AZ4393">
        <v>0</v>
      </c>
      <c r="BA4393">
        <v>75.599999999999994</v>
      </c>
      <c r="BE4393" t="str">
        <f>T("9791164099740")</f>
        <v>9791164099740</v>
      </c>
      <c r="BF4393" t="str">
        <f>T("k239902")</f>
        <v>k239902</v>
      </c>
      <c r="BG4393" t="str">
        <f>T("로판 웹소설 &gt; 서양풍 로판")</f>
        <v>로판 웹소설 &gt; 서양풍 로판</v>
      </c>
    </row>
    <row r="4394" spans="1:59">
      <c r="A4394" t="s">
        <v>60</v>
      </c>
      <c r="B4394" s="1">
        <v>46131</v>
      </c>
      <c r="C4394">
        <v>2378059328</v>
      </c>
      <c r="D4394">
        <v>2378063041</v>
      </c>
      <c r="E4394" t="str">
        <f>T("오만한 주인의 초상화 117화")</f>
        <v>오만한 주인의 초상화 117화</v>
      </c>
      <c r="F4394">
        <v>117</v>
      </c>
      <c r="G4394" t="str">
        <f>T("offnun")</f>
        <v>offnun</v>
      </c>
      <c r="J4394" t="str">
        <f>T("시계토끼")</f>
        <v>시계토끼</v>
      </c>
      <c r="K4394" t="str">
        <f>T("오만한 주인의 초상화")</f>
        <v>오만한 주인의 초상화</v>
      </c>
      <c r="L4394">
        <v>100</v>
      </c>
      <c r="M4394">
        <v>100</v>
      </c>
      <c r="N4394">
        <v>1</v>
      </c>
      <c r="O4394">
        <v>0</v>
      </c>
      <c r="P4394">
        <v>0</v>
      </c>
      <c r="Q4394">
        <v>0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0</v>
      </c>
      <c r="AC4394">
        <v>0</v>
      </c>
      <c r="AD4394">
        <v>0</v>
      </c>
      <c r="AE4394">
        <v>0</v>
      </c>
      <c r="AF4394">
        <v>0</v>
      </c>
      <c r="AG4394">
        <v>0</v>
      </c>
      <c r="AH4394">
        <v>0</v>
      </c>
      <c r="AI4394">
        <v>100</v>
      </c>
      <c r="AJ4394">
        <v>1</v>
      </c>
      <c r="AK4394">
        <v>0</v>
      </c>
      <c r="AL4394">
        <v>0</v>
      </c>
      <c r="AM4394">
        <v>0</v>
      </c>
      <c r="AN4394">
        <v>0</v>
      </c>
      <c r="AO4394">
        <v>120</v>
      </c>
      <c r="AP4394">
        <v>-12</v>
      </c>
      <c r="AQ4394">
        <v>0</v>
      </c>
      <c r="AS4394">
        <v>0</v>
      </c>
      <c r="AT4394">
        <v>0</v>
      </c>
      <c r="AU4394">
        <v>120</v>
      </c>
      <c r="AV4394">
        <v>-12</v>
      </c>
      <c r="AW4394">
        <v>0</v>
      </c>
      <c r="AY4394">
        <v>0</v>
      </c>
      <c r="AZ4394">
        <v>0</v>
      </c>
      <c r="BA4394">
        <v>75.599999999999994</v>
      </c>
      <c r="BE4394" t="str">
        <f>T("9791164099740")</f>
        <v>9791164099740</v>
      </c>
      <c r="BF4394" t="str">
        <f>T("k239903")</f>
        <v>k239903</v>
      </c>
      <c r="BG4394" t="str">
        <f>T("로판 웹소설 &gt; 서양풍 로판")</f>
        <v>로판 웹소설 &gt; 서양풍 로판</v>
      </c>
    </row>
    <row r="4395" spans="1:59">
      <c r="A4395" t="s">
        <v>60</v>
      </c>
      <c r="B4395" s="1">
        <v>46131</v>
      </c>
      <c r="C4395">
        <v>2378059328</v>
      </c>
      <c r="D4395">
        <v>2378063042</v>
      </c>
      <c r="E4395" t="str">
        <f>T("오만한 주인의 초상화 118화")</f>
        <v>오만한 주인의 초상화 118화</v>
      </c>
      <c r="F4395">
        <v>118</v>
      </c>
      <c r="G4395" t="str">
        <f>T("offnun")</f>
        <v>offnun</v>
      </c>
      <c r="J4395" t="str">
        <f>T("시계토끼")</f>
        <v>시계토끼</v>
      </c>
      <c r="K4395" t="str">
        <f>T("오만한 주인의 초상화")</f>
        <v>오만한 주인의 초상화</v>
      </c>
      <c r="L4395">
        <v>100</v>
      </c>
      <c r="M4395">
        <v>100</v>
      </c>
      <c r="N4395">
        <v>1</v>
      </c>
      <c r="O4395">
        <v>0</v>
      </c>
      <c r="P4395">
        <v>0</v>
      </c>
      <c r="Q4395">
        <v>0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0</v>
      </c>
      <c r="AC4395">
        <v>0</v>
      </c>
      <c r="AD4395">
        <v>0</v>
      </c>
      <c r="AE4395">
        <v>0</v>
      </c>
      <c r="AF4395">
        <v>0</v>
      </c>
      <c r="AG4395">
        <v>0</v>
      </c>
      <c r="AH4395">
        <v>0</v>
      </c>
      <c r="AI4395">
        <v>100</v>
      </c>
      <c r="AJ4395">
        <v>1</v>
      </c>
      <c r="AK4395">
        <v>0</v>
      </c>
      <c r="AL4395">
        <v>0</v>
      </c>
      <c r="AM4395">
        <v>0</v>
      </c>
      <c r="AN4395">
        <v>0</v>
      </c>
      <c r="AO4395">
        <v>120</v>
      </c>
      <c r="AP4395">
        <v>-12</v>
      </c>
      <c r="AQ4395">
        <v>0</v>
      </c>
      <c r="AS4395">
        <v>0</v>
      </c>
      <c r="AT4395">
        <v>0</v>
      </c>
      <c r="AU4395">
        <v>120</v>
      </c>
      <c r="AV4395">
        <v>-12</v>
      </c>
      <c r="AW4395">
        <v>0</v>
      </c>
      <c r="AY4395">
        <v>0</v>
      </c>
      <c r="AZ4395">
        <v>0</v>
      </c>
      <c r="BA4395">
        <v>75.599999999999994</v>
      </c>
      <c r="BE4395" t="str">
        <f>T("9791164099740")</f>
        <v>9791164099740</v>
      </c>
      <c r="BF4395" t="str">
        <f>T("k239904")</f>
        <v>k239904</v>
      </c>
      <c r="BG4395" t="str">
        <f>T("로판 웹소설 &gt; 서양풍 로판")</f>
        <v>로판 웹소설 &gt; 서양풍 로판</v>
      </c>
    </row>
    <row r="4396" spans="1:59">
      <c r="A4396" t="s">
        <v>60</v>
      </c>
      <c r="B4396" s="1">
        <v>46131</v>
      </c>
      <c r="C4396">
        <v>2378059328</v>
      </c>
      <c r="D4396">
        <v>2378063043</v>
      </c>
      <c r="E4396" t="str">
        <f>T("오만한 주인의 초상화 119화")</f>
        <v>오만한 주인의 초상화 119화</v>
      </c>
      <c r="F4396">
        <v>119</v>
      </c>
      <c r="G4396" t="str">
        <f>T("offnun")</f>
        <v>offnun</v>
      </c>
      <c r="J4396" t="str">
        <f>T("시계토끼")</f>
        <v>시계토끼</v>
      </c>
      <c r="K4396" t="str">
        <f>T("오만한 주인의 초상화")</f>
        <v>오만한 주인의 초상화</v>
      </c>
      <c r="L4396">
        <v>100</v>
      </c>
      <c r="M4396">
        <v>100</v>
      </c>
      <c r="N4396">
        <v>1</v>
      </c>
      <c r="O4396">
        <v>0</v>
      </c>
      <c r="P4396">
        <v>0</v>
      </c>
      <c r="Q4396">
        <v>0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0</v>
      </c>
      <c r="AC4396">
        <v>0</v>
      </c>
      <c r="AD4396">
        <v>0</v>
      </c>
      <c r="AE4396">
        <v>0</v>
      </c>
      <c r="AF4396">
        <v>0</v>
      </c>
      <c r="AG4396">
        <v>0</v>
      </c>
      <c r="AH4396">
        <v>0</v>
      </c>
      <c r="AI4396">
        <v>100</v>
      </c>
      <c r="AJ4396">
        <v>1</v>
      </c>
      <c r="AK4396">
        <v>0</v>
      </c>
      <c r="AL4396">
        <v>0</v>
      </c>
      <c r="AM4396">
        <v>0</v>
      </c>
      <c r="AN4396">
        <v>0</v>
      </c>
      <c r="AO4396">
        <v>120</v>
      </c>
      <c r="AP4396">
        <v>-12</v>
      </c>
      <c r="AQ4396">
        <v>0</v>
      </c>
      <c r="AS4396">
        <v>0</v>
      </c>
      <c r="AT4396">
        <v>0</v>
      </c>
      <c r="AU4396">
        <v>120</v>
      </c>
      <c r="AV4396">
        <v>-12</v>
      </c>
      <c r="AW4396">
        <v>0</v>
      </c>
      <c r="AY4396">
        <v>0</v>
      </c>
      <c r="AZ4396">
        <v>0</v>
      </c>
      <c r="BA4396">
        <v>75.599999999999994</v>
      </c>
      <c r="BE4396" t="str">
        <f>T("9791164099740")</f>
        <v>9791164099740</v>
      </c>
      <c r="BF4396" t="str">
        <f>T("k244187")</f>
        <v>k244187</v>
      </c>
      <c r="BG4396" t="str">
        <f>T("로판 웹소설 &gt; 서양풍 로판")</f>
        <v>로판 웹소설 &gt; 서양풍 로판</v>
      </c>
    </row>
    <row r="4397" spans="1:59">
      <c r="A4397" t="s">
        <v>60</v>
      </c>
      <c r="B4397" s="1">
        <v>46131</v>
      </c>
      <c r="C4397">
        <v>2378059328</v>
      </c>
      <c r="D4397">
        <v>2378063044</v>
      </c>
      <c r="E4397" t="str">
        <f>T("오만한 주인의 초상화 120화")</f>
        <v>오만한 주인의 초상화 120화</v>
      </c>
      <c r="F4397">
        <v>120</v>
      </c>
      <c r="G4397" t="str">
        <f>T("offnun")</f>
        <v>offnun</v>
      </c>
      <c r="J4397" t="str">
        <f>T("시계토끼")</f>
        <v>시계토끼</v>
      </c>
      <c r="K4397" t="str">
        <f>T("오만한 주인의 초상화")</f>
        <v>오만한 주인의 초상화</v>
      </c>
      <c r="L4397">
        <v>100</v>
      </c>
      <c r="M4397">
        <v>100</v>
      </c>
      <c r="N4397">
        <v>1</v>
      </c>
      <c r="O4397">
        <v>0</v>
      </c>
      <c r="P4397">
        <v>0</v>
      </c>
      <c r="Q4397">
        <v>0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0</v>
      </c>
      <c r="AC4397">
        <v>0</v>
      </c>
      <c r="AD4397">
        <v>0</v>
      </c>
      <c r="AE4397">
        <v>0</v>
      </c>
      <c r="AF4397">
        <v>0</v>
      </c>
      <c r="AG4397">
        <v>0</v>
      </c>
      <c r="AH4397">
        <v>0</v>
      </c>
      <c r="AI4397">
        <v>100</v>
      </c>
      <c r="AJ4397">
        <v>1</v>
      </c>
      <c r="AK4397">
        <v>0</v>
      </c>
      <c r="AL4397">
        <v>0</v>
      </c>
      <c r="AM4397">
        <v>0</v>
      </c>
      <c r="AN4397">
        <v>0</v>
      </c>
      <c r="AO4397">
        <v>120</v>
      </c>
      <c r="AP4397">
        <v>-12</v>
      </c>
      <c r="AQ4397">
        <v>0</v>
      </c>
      <c r="AS4397">
        <v>0</v>
      </c>
      <c r="AT4397">
        <v>0</v>
      </c>
      <c r="AU4397">
        <v>120</v>
      </c>
      <c r="AV4397">
        <v>-12</v>
      </c>
      <c r="AW4397">
        <v>0</v>
      </c>
      <c r="AY4397">
        <v>0</v>
      </c>
      <c r="AZ4397">
        <v>0</v>
      </c>
      <c r="BA4397">
        <v>75.599999999999994</v>
      </c>
      <c r="BE4397" t="str">
        <f>T("9791164099740")</f>
        <v>9791164099740</v>
      </c>
      <c r="BF4397" t="str">
        <f>T("k244188")</f>
        <v>k244188</v>
      </c>
      <c r="BG4397" t="str">
        <f>T("로판 웹소설 &gt; 서양풍 로판")</f>
        <v>로판 웹소설 &gt; 서양풍 로판</v>
      </c>
    </row>
    <row r="4398" spans="1:59">
      <c r="A4398" t="s">
        <v>60</v>
      </c>
      <c r="B4398" s="1">
        <v>46129</v>
      </c>
      <c r="C4398">
        <v>2378078499</v>
      </c>
      <c r="D4398">
        <v>2378078499</v>
      </c>
      <c r="E4398" t="str">
        <f>T("용사들은 성녀의 축복을 받아야 한다 1화")</f>
        <v>용사들은 성녀의 축복을 받아야 한다 1화</v>
      </c>
      <c r="F4398">
        <v>1</v>
      </c>
      <c r="G4398" t="str">
        <f>T("필밤")</f>
        <v>필밤</v>
      </c>
      <c r="J4398" t="str">
        <f>T("시계토끼")</f>
        <v>시계토끼</v>
      </c>
      <c r="K4398" t="str">
        <f>T("용사들은 성녀의 축복을 받아야 한다")</f>
        <v>용사들은 성녀의 축복을 받아야 한다</v>
      </c>
      <c r="L4398">
        <v>0</v>
      </c>
      <c r="M4398">
        <v>0</v>
      </c>
      <c r="N4398">
        <v>0</v>
      </c>
      <c r="O4398">
        <v>3</v>
      </c>
      <c r="P4398">
        <v>0</v>
      </c>
      <c r="Q4398">
        <v>0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0</v>
      </c>
      <c r="AC4398">
        <v>0</v>
      </c>
      <c r="AD4398">
        <v>0</v>
      </c>
      <c r="AE4398">
        <v>0</v>
      </c>
      <c r="AF4398">
        <v>0</v>
      </c>
      <c r="AG4398">
        <v>0</v>
      </c>
      <c r="AH4398">
        <v>0</v>
      </c>
      <c r="AI4398">
        <v>0</v>
      </c>
      <c r="AJ4398">
        <v>3</v>
      </c>
      <c r="AK4398">
        <v>0</v>
      </c>
      <c r="AL4398">
        <v>0</v>
      </c>
      <c r="AM4398">
        <v>0</v>
      </c>
      <c r="AN4398">
        <v>0</v>
      </c>
      <c r="AO4398">
        <v>0</v>
      </c>
      <c r="AP4398">
        <v>0</v>
      </c>
      <c r="AQ4398">
        <v>0</v>
      </c>
      <c r="AS4398">
        <v>0</v>
      </c>
      <c r="AT4398">
        <v>0</v>
      </c>
      <c r="AV4398">
        <v>0</v>
      </c>
      <c r="AW4398">
        <v>0</v>
      </c>
      <c r="AY4398">
        <v>0</v>
      </c>
      <c r="AZ4398">
        <v>0</v>
      </c>
      <c r="BA4398">
        <v>0</v>
      </c>
      <c r="BE4398" t="str">
        <f>T("9791172822040")</f>
        <v>9791172822040</v>
      </c>
      <c r="BF4398" t="str">
        <f>T("D158625")</f>
        <v>D158625</v>
      </c>
      <c r="BG4398" t="str">
        <f>T("로판 웹소설 &gt; 서양풍 로판")</f>
        <v>로판 웹소설 &gt; 서양풍 로판</v>
      </c>
    </row>
    <row r="4399" spans="1:59">
      <c r="A4399" t="s">
        <v>60</v>
      </c>
      <c r="B4399" s="1">
        <v>46129</v>
      </c>
      <c r="C4399">
        <v>2378078499</v>
      </c>
      <c r="D4399">
        <v>2378078500</v>
      </c>
      <c r="E4399" t="str">
        <f>T("용사들은 성녀의 축복을 받아야 한다 2화")</f>
        <v>용사들은 성녀의 축복을 받아야 한다 2화</v>
      </c>
      <c r="F4399">
        <v>2</v>
      </c>
      <c r="G4399" t="str">
        <f>T("필밤")</f>
        <v>필밤</v>
      </c>
      <c r="J4399" t="str">
        <f>T("시계토끼")</f>
        <v>시계토끼</v>
      </c>
      <c r="K4399" t="str">
        <f>T("용사들은 성녀의 축복을 받아야 한다")</f>
        <v>용사들은 성녀의 축복을 받아야 한다</v>
      </c>
      <c r="L4399">
        <v>0</v>
      </c>
      <c r="M4399">
        <v>0</v>
      </c>
      <c r="N4399">
        <v>0</v>
      </c>
      <c r="O4399">
        <v>3</v>
      </c>
      <c r="P4399">
        <v>0</v>
      </c>
      <c r="Q4399">
        <v>0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0</v>
      </c>
      <c r="AC4399">
        <v>0</v>
      </c>
      <c r="AD4399">
        <v>0</v>
      </c>
      <c r="AE4399">
        <v>0</v>
      </c>
      <c r="AF4399">
        <v>0</v>
      </c>
      <c r="AG4399">
        <v>0</v>
      </c>
      <c r="AH4399">
        <v>0</v>
      </c>
      <c r="AI4399">
        <v>0</v>
      </c>
      <c r="AJ4399">
        <v>3</v>
      </c>
      <c r="AK4399">
        <v>0</v>
      </c>
      <c r="AL4399">
        <v>0</v>
      </c>
      <c r="AM4399">
        <v>0</v>
      </c>
      <c r="AN4399">
        <v>0</v>
      </c>
      <c r="AO4399">
        <v>0</v>
      </c>
      <c r="AP4399">
        <v>0</v>
      </c>
      <c r="AQ4399">
        <v>0</v>
      </c>
      <c r="AS4399">
        <v>0</v>
      </c>
      <c r="AT4399">
        <v>0</v>
      </c>
      <c r="AV4399">
        <v>0</v>
      </c>
      <c r="AW4399">
        <v>0</v>
      </c>
      <c r="AY4399">
        <v>0</v>
      </c>
      <c r="AZ4399">
        <v>0</v>
      </c>
      <c r="BA4399">
        <v>0</v>
      </c>
      <c r="BE4399" t="str">
        <f>T("9791172822040")</f>
        <v>9791172822040</v>
      </c>
      <c r="BF4399" t="str">
        <f>T("D158626")</f>
        <v>D158626</v>
      </c>
      <c r="BG4399" t="str">
        <f>T("로판 웹소설 &gt; 서양풍 로판")</f>
        <v>로판 웹소설 &gt; 서양풍 로판</v>
      </c>
    </row>
    <row r="4400" spans="1:59">
      <c r="A4400" t="s">
        <v>60</v>
      </c>
      <c r="B4400" s="1">
        <v>46129</v>
      </c>
      <c r="C4400">
        <v>2378078499</v>
      </c>
      <c r="D4400">
        <v>2378078501</v>
      </c>
      <c r="E4400" t="str">
        <f>T("용사들은 성녀의 축복을 받아야 한다 3화")</f>
        <v>용사들은 성녀의 축복을 받아야 한다 3화</v>
      </c>
      <c r="F4400">
        <v>3</v>
      </c>
      <c r="G4400" t="str">
        <f>T("필밤")</f>
        <v>필밤</v>
      </c>
      <c r="J4400" t="str">
        <f>T("시계토끼")</f>
        <v>시계토끼</v>
      </c>
      <c r="K4400" t="str">
        <f>T("용사들은 성녀의 축복을 받아야 한다")</f>
        <v>용사들은 성녀의 축복을 받아야 한다</v>
      </c>
      <c r="L4400">
        <v>0</v>
      </c>
      <c r="M4400">
        <v>0</v>
      </c>
      <c r="N4400">
        <v>0</v>
      </c>
      <c r="O4400">
        <v>1</v>
      </c>
      <c r="P4400">
        <v>0</v>
      </c>
      <c r="Q4400">
        <v>0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0</v>
      </c>
      <c r="AC4400">
        <v>0</v>
      </c>
      <c r="AD4400">
        <v>0</v>
      </c>
      <c r="AE4400">
        <v>0</v>
      </c>
      <c r="AF4400">
        <v>0</v>
      </c>
      <c r="AG4400">
        <v>0</v>
      </c>
      <c r="AH4400">
        <v>0</v>
      </c>
      <c r="AI4400">
        <v>0</v>
      </c>
      <c r="AJ4400">
        <v>1</v>
      </c>
      <c r="AK4400">
        <v>0</v>
      </c>
      <c r="AL4400">
        <v>0</v>
      </c>
      <c r="AM4400">
        <v>0</v>
      </c>
      <c r="AN4400">
        <v>0</v>
      </c>
      <c r="AO4400">
        <v>0</v>
      </c>
      <c r="AP4400">
        <v>0</v>
      </c>
      <c r="AQ4400">
        <v>0</v>
      </c>
      <c r="AS4400">
        <v>0</v>
      </c>
      <c r="AT4400">
        <v>0</v>
      </c>
      <c r="AV4400">
        <v>0</v>
      </c>
      <c r="AW4400">
        <v>0</v>
      </c>
      <c r="AY4400">
        <v>0</v>
      </c>
      <c r="AZ4400">
        <v>0</v>
      </c>
      <c r="BA4400">
        <v>0</v>
      </c>
      <c r="BE4400" t="str">
        <f>T("9791172822040")</f>
        <v>9791172822040</v>
      </c>
      <c r="BF4400" t="str">
        <f>T("D158627")</f>
        <v>D158627</v>
      </c>
      <c r="BG4400" t="str">
        <f>T("로판 웹소설 &gt; 서양풍 로판")</f>
        <v>로판 웹소설 &gt; 서양풍 로판</v>
      </c>
    </row>
    <row r="4401" spans="1:59">
      <c r="A4401" t="s">
        <v>60</v>
      </c>
      <c r="B4401" s="1">
        <v>46129</v>
      </c>
      <c r="C4401">
        <v>2378078499</v>
      </c>
      <c r="D4401">
        <v>2378078502</v>
      </c>
      <c r="E4401" t="str">
        <f>T("용사들은 성녀의 축복을 받아야 한다 4화")</f>
        <v>용사들은 성녀의 축복을 받아야 한다 4화</v>
      </c>
      <c r="F4401">
        <v>4</v>
      </c>
      <c r="G4401" t="str">
        <f>T("필밤")</f>
        <v>필밤</v>
      </c>
      <c r="J4401" t="str">
        <f>T("시계토끼")</f>
        <v>시계토끼</v>
      </c>
      <c r="K4401" t="str">
        <f>T("용사들은 성녀의 축복을 받아야 한다")</f>
        <v>용사들은 성녀의 축복을 받아야 한다</v>
      </c>
      <c r="L4401">
        <v>0</v>
      </c>
      <c r="M4401">
        <v>0</v>
      </c>
      <c r="N4401">
        <v>0</v>
      </c>
      <c r="O4401">
        <v>2</v>
      </c>
      <c r="P4401">
        <v>0</v>
      </c>
      <c r="Q4401">
        <v>0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0</v>
      </c>
      <c r="AC4401">
        <v>0</v>
      </c>
      <c r="AD4401">
        <v>0</v>
      </c>
      <c r="AE4401">
        <v>0</v>
      </c>
      <c r="AF4401">
        <v>0</v>
      </c>
      <c r="AG4401">
        <v>0</v>
      </c>
      <c r="AH4401">
        <v>0</v>
      </c>
      <c r="AI4401">
        <v>0</v>
      </c>
      <c r="AJ4401">
        <v>2</v>
      </c>
      <c r="AK4401">
        <v>0</v>
      </c>
      <c r="AL4401">
        <v>0</v>
      </c>
      <c r="AM4401">
        <v>0</v>
      </c>
      <c r="AN4401">
        <v>0</v>
      </c>
      <c r="AO4401">
        <v>0</v>
      </c>
      <c r="AP4401">
        <v>0</v>
      </c>
      <c r="AQ4401">
        <v>0</v>
      </c>
      <c r="AS4401">
        <v>0</v>
      </c>
      <c r="AT4401">
        <v>0</v>
      </c>
      <c r="AV4401">
        <v>0</v>
      </c>
      <c r="AW4401">
        <v>0</v>
      </c>
      <c r="AY4401">
        <v>0</v>
      </c>
      <c r="AZ4401">
        <v>0</v>
      </c>
      <c r="BA4401">
        <v>0</v>
      </c>
      <c r="BE4401" t="str">
        <f>T("9791172822040")</f>
        <v>9791172822040</v>
      </c>
      <c r="BF4401" t="str">
        <f>T("D158628")</f>
        <v>D158628</v>
      </c>
      <c r="BG4401" t="str">
        <f>T("로판 웹소설 &gt; 서양풍 로판")</f>
        <v>로판 웹소설 &gt; 서양풍 로판</v>
      </c>
    </row>
    <row r="4402" spans="1:59">
      <c r="A4402" t="s">
        <v>60</v>
      </c>
      <c r="B4402" s="1">
        <v>46129</v>
      </c>
      <c r="C4402">
        <v>2378078499</v>
      </c>
      <c r="D4402">
        <v>2378078503</v>
      </c>
      <c r="E4402" t="str">
        <f>T("용사들은 성녀의 축복을 받아야 한다 5화")</f>
        <v>용사들은 성녀의 축복을 받아야 한다 5화</v>
      </c>
      <c r="F4402">
        <v>5</v>
      </c>
      <c r="G4402" t="str">
        <f>T("필밤")</f>
        <v>필밤</v>
      </c>
      <c r="J4402" t="str">
        <f>T("시계토끼")</f>
        <v>시계토끼</v>
      </c>
      <c r="K4402" t="str">
        <f>T("용사들은 성녀의 축복을 받아야 한다")</f>
        <v>용사들은 성녀의 축복을 받아야 한다</v>
      </c>
      <c r="L4402">
        <v>0</v>
      </c>
      <c r="M4402">
        <v>0</v>
      </c>
      <c r="N4402">
        <v>0</v>
      </c>
      <c r="O4402">
        <v>1</v>
      </c>
      <c r="P4402">
        <v>0</v>
      </c>
      <c r="Q4402">
        <v>0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0</v>
      </c>
      <c r="AC4402">
        <v>0</v>
      </c>
      <c r="AD4402">
        <v>0</v>
      </c>
      <c r="AE4402">
        <v>0</v>
      </c>
      <c r="AF4402">
        <v>0</v>
      </c>
      <c r="AG4402">
        <v>0</v>
      </c>
      <c r="AH4402">
        <v>0</v>
      </c>
      <c r="AI4402">
        <v>0</v>
      </c>
      <c r="AJ4402">
        <v>1</v>
      </c>
      <c r="AK4402">
        <v>0</v>
      </c>
      <c r="AL4402">
        <v>0</v>
      </c>
      <c r="AM4402">
        <v>0</v>
      </c>
      <c r="AN4402">
        <v>0</v>
      </c>
      <c r="AO4402">
        <v>0</v>
      </c>
      <c r="AP4402">
        <v>0</v>
      </c>
      <c r="AQ4402">
        <v>0</v>
      </c>
      <c r="AS4402">
        <v>0</v>
      </c>
      <c r="AT4402">
        <v>0</v>
      </c>
      <c r="AV4402">
        <v>0</v>
      </c>
      <c r="AW4402">
        <v>0</v>
      </c>
      <c r="AY4402">
        <v>0</v>
      </c>
      <c r="AZ4402">
        <v>0</v>
      </c>
      <c r="BA4402">
        <v>0</v>
      </c>
      <c r="BE4402" t="str">
        <f>T("9791172822040")</f>
        <v>9791172822040</v>
      </c>
      <c r="BF4402" t="str">
        <f>T("D158629")</f>
        <v>D158629</v>
      </c>
      <c r="BG4402" t="str">
        <f>T("로판 웹소설 &gt; 서양풍 로판")</f>
        <v>로판 웹소설 &gt; 서양풍 로판</v>
      </c>
    </row>
    <row r="4403" spans="1:59">
      <c r="A4403" t="s">
        <v>60</v>
      </c>
      <c r="B4403" s="1">
        <v>46129</v>
      </c>
      <c r="C4403">
        <v>2378078499</v>
      </c>
      <c r="D4403">
        <v>2378078506</v>
      </c>
      <c r="E4403" t="str">
        <f>T("용사들은 성녀의 축복을 받아야 한다 8화")</f>
        <v>용사들은 성녀의 축복을 받아야 한다 8화</v>
      </c>
      <c r="F4403">
        <v>8</v>
      </c>
      <c r="G4403" t="str">
        <f>T("필밤")</f>
        <v>필밤</v>
      </c>
      <c r="J4403" t="str">
        <f>T("시계토끼")</f>
        <v>시계토끼</v>
      </c>
      <c r="K4403" t="str">
        <f>T("용사들은 성녀의 축복을 받아야 한다")</f>
        <v>용사들은 성녀의 축복을 받아야 한다</v>
      </c>
      <c r="L4403">
        <v>100</v>
      </c>
      <c r="M4403">
        <v>0</v>
      </c>
      <c r="N4403">
        <v>0</v>
      </c>
      <c r="O4403">
        <v>0</v>
      </c>
      <c r="P4403">
        <v>0</v>
      </c>
      <c r="Q4403">
        <v>0</v>
      </c>
      <c r="R4403">
        <v>1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0</v>
      </c>
      <c r="AC4403">
        <v>0</v>
      </c>
      <c r="AD4403">
        <v>0</v>
      </c>
      <c r="AE4403">
        <v>0</v>
      </c>
      <c r="AF4403">
        <v>0</v>
      </c>
      <c r="AG4403">
        <v>0</v>
      </c>
      <c r="AH4403">
        <v>0</v>
      </c>
      <c r="AI4403">
        <v>0</v>
      </c>
      <c r="AJ4403">
        <v>1</v>
      </c>
      <c r="AK4403">
        <v>0</v>
      </c>
      <c r="AL4403">
        <v>0</v>
      </c>
      <c r="AM4403">
        <v>0</v>
      </c>
      <c r="AN4403">
        <v>0</v>
      </c>
      <c r="AO4403">
        <v>0</v>
      </c>
      <c r="AP4403">
        <v>0</v>
      </c>
      <c r="AQ4403">
        <v>0</v>
      </c>
      <c r="AS4403">
        <v>0</v>
      </c>
      <c r="AT4403">
        <v>0</v>
      </c>
      <c r="AV4403">
        <v>0</v>
      </c>
      <c r="AW4403">
        <v>0</v>
      </c>
      <c r="AY4403">
        <v>0</v>
      </c>
      <c r="AZ4403">
        <v>0</v>
      </c>
      <c r="BA4403">
        <v>0</v>
      </c>
      <c r="BE4403" t="str">
        <f>T("9791172822040")</f>
        <v>9791172822040</v>
      </c>
      <c r="BF4403" t="str">
        <f>T("D158632")</f>
        <v>D158632</v>
      </c>
      <c r="BG4403" t="str">
        <f>T("로판 웹소설 &gt; 서양풍 로판")</f>
        <v>로판 웹소설 &gt; 서양풍 로판</v>
      </c>
    </row>
    <row r="4404" spans="1:59">
      <c r="A4404" t="s">
        <v>60</v>
      </c>
      <c r="B4404" s="1">
        <v>46129</v>
      </c>
      <c r="C4404">
        <v>2378078499</v>
      </c>
      <c r="D4404">
        <v>2378078507</v>
      </c>
      <c r="E4404" t="str">
        <f>T("용사들은 성녀의 축복을 받아야 한다 9화")</f>
        <v>용사들은 성녀의 축복을 받아야 한다 9화</v>
      </c>
      <c r="F4404">
        <v>9</v>
      </c>
      <c r="G4404" t="str">
        <f>T("필밤")</f>
        <v>필밤</v>
      </c>
      <c r="J4404" t="str">
        <f>T("시계토끼")</f>
        <v>시계토끼</v>
      </c>
      <c r="K4404" t="str">
        <f>T("용사들은 성녀의 축복을 받아야 한다")</f>
        <v>용사들은 성녀의 축복을 받아야 한다</v>
      </c>
      <c r="L4404">
        <v>100</v>
      </c>
      <c r="M4404">
        <v>0</v>
      </c>
      <c r="N4404">
        <v>0</v>
      </c>
      <c r="O4404">
        <v>0</v>
      </c>
      <c r="P4404">
        <v>0</v>
      </c>
      <c r="Q4404">
        <v>0</v>
      </c>
      <c r="R4404">
        <v>1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0</v>
      </c>
      <c r="AC4404">
        <v>0</v>
      </c>
      <c r="AD4404">
        <v>0</v>
      </c>
      <c r="AE4404">
        <v>0</v>
      </c>
      <c r="AF4404">
        <v>0</v>
      </c>
      <c r="AG4404">
        <v>0</v>
      </c>
      <c r="AH4404">
        <v>0</v>
      </c>
      <c r="AI4404">
        <v>0</v>
      </c>
      <c r="AJ4404">
        <v>1</v>
      </c>
      <c r="AK4404">
        <v>0</v>
      </c>
      <c r="AL4404">
        <v>0</v>
      </c>
      <c r="AM4404">
        <v>0</v>
      </c>
      <c r="AN4404">
        <v>0</v>
      </c>
      <c r="AO4404">
        <v>0</v>
      </c>
      <c r="AP4404">
        <v>0</v>
      </c>
      <c r="AQ4404">
        <v>0</v>
      </c>
      <c r="AS4404">
        <v>0</v>
      </c>
      <c r="AT4404">
        <v>0</v>
      </c>
      <c r="AV4404">
        <v>0</v>
      </c>
      <c r="AW4404">
        <v>0</v>
      </c>
      <c r="AY4404">
        <v>0</v>
      </c>
      <c r="AZ4404">
        <v>0</v>
      </c>
      <c r="BA4404">
        <v>0</v>
      </c>
      <c r="BE4404" t="str">
        <f>T("9791172822040")</f>
        <v>9791172822040</v>
      </c>
      <c r="BF4404" t="str">
        <f>T("D158633")</f>
        <v>D158633</v>
      </c>
      <c r="BG4404" t="str">
        <f>T("로판 웹소설 &gt; 서양풍 로판")</f>
        <v>로판 웹소설 &gt; 서양풍 로판</v>
      </c>
    </row>
    <row r="4405" spans="1:59">
      <c r="A4405" t="s">
        <v>60</v>
      </c>
      <c r="B4405" s="1">
        <v>46129</v>
      </c>
      <c r="C4405">
        <v>2378078499</v>
      </c>
      <c r="D4405">
        <v>2378078509</v>
      </c>
      <c r="E4405" t="str">
        <f>T("용사들은 성녀의 축복을 받아야 한다 11화")</f>
        <v>용사들은 성녀의 축복을 받아야 한다 11화</v>
      </c>
      <c r="F4405">
        <v>11</v>
      </c>
      <c r="G4405" t="str">
        <f>T("필밤")</f>
        <v>필밤</v>
      </c>
      <c r="J4405" t="str">
        <f>T("시계토끼")</f>
        <v>시계토끼</v>
      </c>
      <c r="K4405" t="str">
        <f>T("용사들은 성녀의 축복을 받아야 한다")</f>
        <v>용사들은 성녀의 축복을 받아야 한다</v>
      </c>
      <c r="L4405">
        <v>100</v>
      </c>
      <c r="M4405">
        <v>200</v>
      </c>
      <c r="N4405">
        <v>2</v>
      </c>
      <c r="O4405">
        <v>0</v>
      </c>
      <c r="P4405">
        <v>0</v>
      </c>
      <c r="Q4405">
        <v>0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0</v>
      </c>
      <c r="AC4405">
        <v>0</v>
      </c>
      <c r="AD4405">
        <v>0</v>
      </c>
      <c r="AE4405">
        <v>0</v>
      </c>
      <c r="AF4405">
        <v>0</v>
      </c>
      <c r="AG4405">
        <v>0</v>
      </c>
      <c r="AH4405">
        <v>0</v>
      </c>
      <c r="AI4405">
        <v>200</v>
      </c>
      <c r="AJ4405">
        <v>2</v>
      </c>
      <c r="AK4405">
        <v>0</v>
      </c>
      <c r="AL4405">
        <v>0</v>
      </c>
      <c r="AM4405">
        <v>100</v>
      </c>
      <c r="AN4405">
        <v>0</v>
      </c>
      <c r="AO4405">
        <v>120</v>
      </c>
      <c r="AP4405">
        <v>-12</v>
      </c>
      <c r="AQ4405">
        <v>0</v>
      </c>
      <c r="AS4405">
        <v>0</v>
      </c>
      <c r="AT4405">
        <v>0</v>
      </c>
      <c r="AV4405">
        <v>0</v>
      </c>
      <c r="AW4405">
        <v>0</v>
      </c>
      <c r="AX4405">
        <v>120</v>
      </c>
      <c r="AY4405">
        <v>-12</v>
      </c>
      <c r="AZ4405">
        <v>0</v>
      </c>
      <c r="BA4405">
        <v>124.8</v>
      </c>
      <c r="BE4405" t="str">
        <f>T("9791172822040")</f>
        <v>9791172822040</v>
      </c>
      <c r="BF4405" t="str">
        <f>T("D158635")</f>
        <v>D158635</v>
      </c>
      <c r="BG4405" t="str">
        <f>T("로판 웹소설 &gt; 서양풍 로판")</f>
        <v>로판 웹소설 &gt; 서양풍 로판</v>
      </c>
    </row>
    <row r="4406" spans="1:59">
      <c r="A4406" t="s">
        <v>60</v>
      </c>
      <c r="B4406" s="1">
        <v>46129</v>
      </c>
      <c r="C4406">
        <v>2378078499</v>
      </c>
      <c r="D4406">
        <v>2378078510</v>
      </c>
      <c r="E4406" t="str">
        <f>T("용사들은 성녀의 축복을 받아야 한다 12화")</f>
        <v>용사들은 성녀의 축복을 받아야 한다 12화</v>
      </c>
      <c r="F4406">
        <v>12</v>
      </c>
      <c r="G4406" t="str">
        <f>T("필밤")</f>
        <v>필밤</v>
      </c>
      <c r="J4406" t="str">
        <f>T("시계토끼")</f>
        <v>시계토끼</v>
      </c>
      <c r="K4406" t="str">
        <f>T("용사들은 성녀의 축복을 받아야 한다")</f>
        <v>용사들은 성녀의 축복을 받아야 한다</v>
      </c>
      <c r="L4406">
        <v>100</v>
      </c>
      <c r="M4406">
        <v>200</v>
      </c>
      <c r="N4406">
        <v>2</v>
      </c>
      <c r="O4406">
        <v>0</v>
      </c>
      <c r="P4406">
        <v>0</v>
      </c>
      <c r="Q4406">
        <v>0</v>
      </c>
      <c r="R4406">
        <v>1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0</v>
      </c>
      <c r="AC4406">
        <v>0</v>
      </c>
      <c r="AD4406">
        <v>0</v>
      </c>
      <c r="AE4406">
        <v>0</v>
      </c>
      <c r="AF4406">
        <v>0</v>
      </c>
      <c r="AG4406">
        <v>0</v>
      </c>
      <c r="AH4406">
        <v>0</v>
      </c>
      <c r="AI4406">
        <v>200</v>
      </c>
      <c r="AJ4406">
        <v>3</v>
      </c>
      <c r="AK4406">
        <v>0</v>
      </c>
      <c r="AL4406">
        <v>0</v>
      </c>
      <c r="AM4406">
        <v>100</v>
      </c>
      <c r="AN4406">
        <v>0</v>
      </c>
      <c r="AO4406">
        <v>120</v>
      </c>
      <c r="AP4406">
        <v>-12</v>
      </c>
      <c r="AQ4406">
        <v>0</v>
      </c>
      <c r="AS4406">
        <v>0</v>
      </c>
      <c r="AT4406">
        <v>0</v>
      </c>
      <c r="AV4406">
        <v>0</v>
      </c>
      <c r="AW4406">
        <v>0</v>
      </c>
      <c r="AX4406">
        <v>120</v>
      </c>
      <c r="AY4406">
        <v>-12</v>
      </c>
      <c r="AZ4406">
        <v>0</v>
      </c>
      <c r="BA4406">
        <v>124.8</v>
      </c>
      <c r="BE4406" t="str">
        <f>T("9791172822040")</f>
        <v>9791172822040</v>
      </c>
      <c r="BF4406" t="str">
        <f>T("D158636")</f>
        <v>D158636</v>
      </c>
      <c r="BG4406" t="str">
        <f>T("로판 웹소설 &gt; 서양풍 로판")</f>
        <v>로판 웹소설 &gt; 서양풍 로판</v>
      </c>
    </row>
    <row r="4407" spans="1:59">
      <c r="A4407" t="s">
        <v>60</v>
      </c>
      <c r="B4407" s="1">
        <v>46129</v>
      </c>
      <c r="C4407">
        <v>2378078499</v>
      </c>
      <c r="D4407">
        <v>2378078511</v>
      </c>
      <c r="E4407" t="str">
        <f>T("용사들은 성녀의 축복을 받아야 한다 13화")</f>
        <v>용사들은 성녀의 축복을 받아야 한다 13화</v>
      </c>
      <c r="F4407">
        <v>13</v>
      </c>
      <c r="G4407" t="str">
        <f>T("필밤")</f>
        <v>필밤</v>
      </c>
      <c r="J4407" t="str">
        <f>T("시계토끼")</f>
        <v>시계토끼</v>
      </c>
      <c r="K4407" t="str">
        <f>T("용사들은 성녀의 축복을 받아야 한다")</f>
        <v>용사들은 성녀의 축복을 받아야 한다</v>
      </c>
      <c r="L4407">
        <v>100</v>
      </c>
      <c r="M4407">
        <v>300</v>
      </c>
      <c r="N4407">
        <v>3</v>
      </c>
      <c r="O4407">
        <v>0</v>
      </c>
      <c r="P4407">
        <v>0</v>
      </c>
      <c r="Q4407">
        <v>0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0</v>
      </c>
      <c r="AC4407">
        <v>0</v>
      </c>
      <c r="AD4407">
        <v>0</v>
      </c>
      <c r="AE4407">
        <v>0</v>
      </c>
      <c r="AF4407">
        <v>0</v>
      </c>
      <c r="AG4407">
        <v>0</v>
      </c>
      <c r="AH4407">
        <v>0</v>
      </c>
      <c r="AI4407">
        <v>300</v>
      </c>
      <c r="AJ4407">
        <v>3</v>
      </c>
      <c r="AK4407">
        <v>0</v>
      </c>
      <c r="AL4407">
        <v>0</v>
      </c>
      <c r="AM4407">
        <v>100</v>
      </c>
      <c r="AN4407">
        <v>0</v>
      </c>
      <c r="AO4407">
        <v>240</v>
      </c>
      <c r="AP4407">
        <v>-24</v>
      </c>
      <c r="AQ4407">
        <v>0</v>
      </c>
      <c r="AS4407">
        <v>0</v>
      </c>
      <c r="AT4407">
        <v>0</v>
      </c>
      <c r="AU4407">
        <v>120</v>
      </c>
      <c r="AV4407">
        <v>-12</v>
      </c>
      <c r="AW4407">
        <v>0</v>
      </c>
      <c r="AX4407">
        <v>120</v>
      </c>
      <c r="AY4407">
        <v>-12</v>
      </c>
      <c r="AZ4407">
        <v>0</v>
      </c>
      <c r="BA4407">
        <v>189.6</v>
      </c>
      <c r="BE4407" t="str">
        <f>T("9791172822040")</f>
        <v>9791172822040</v>
      </c>
      <c r="BF4407" t="str">
        <f>T("D158637")</f>
        <v>D158637</v>
      </c>
      <c r="BG4407" t="str">
        <f>T("로판 웹소설 &gt; 서양풍 로판")</f>
        <v>로판 웹소설 &gt; 서양풍 로판</v>
      </c>
    </row>
    <row r="4408" spans="1:59">
      <c r="A4408" t="s">
        <v>60</v>
      </c>
      <c r="B4408" s="1">
        <v>46129</v>
      </c>
      <c r="C4408">
        <v>2378078499</v>
      </c>
      <c r="D4408">
        <v>2378078512</v>
      </c>
      <c r="E4408" t="str">
        <f>T("용사들은 성녀의 축복을 받아야 한다 14화")</f>
        <v>용사들은 성녀의 축복을 받아야 한다 14화</v>
      </c>
      <c r="F4408">
        <v>14</v>
      </c>
      <c r="G4408" t="str">
        <f>T("필밤")</f>
        <v>필밤</v>
      </c>
      <c r="J4408" t="str">
        <f>T("시계토끼")</f>
        <v>시계토끼</v>
      </c>
      <c r="K4408" t="str">
        <f>T("용사들은 성녀의 축복을 받아야 한다")</f>
        <v>용사들은 성녀의 축복을 받아야 한다</v>
      </c>
      <c r="L4408">
        <v>100</v>
      </c>
      <c r="M4408">
        <v>200</v>
      </c>
      <c r="N4408">
        <v>2</v>
      </c>
      <c r="O4408">
        <v>0</v>
      </c>
      <c r="P4408">
        <v>0</v>
      </c>
      <c r="Q4408">
        <v>0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0</v>
      </c>
      <c r="AC4408">
        <v>0</v>
      </c>
      <c r="AD4408">
        <v>0</v>
      </c>
      <c r="AE4408">
        <v>0</v>
      </c>
      <c r="AF4408">
        <v>0</v>
      </c>
      <c r="AG4408">
        <v>0</v>
      </c>
      <c r="AH4408">
        <v>0</v>
      </c>
      <c r="AI4408">
        <v>200</v>
      </c>
      <c r="AJ4408">
        <v>2</v>
      </c>
      <c r="AK4408">
        <v>0</v>
      </c>
      <c r="AL4408">
        <v>0</v>
      </c>
      <c r="AM4408">
        <v>0</v>
      </c>
      <c r="AN4408">
        <v>0</v>
      </c>
      <c r="AO4408">
        <v>240</v>
      </c>
      <c r="AP4408">
        <v>-24</v>
      </c>
      <c r="AQ4408">
        <v>0</v>
      </c>
      <c r="AS4408">
        <v>0</v>
      </c>
      <c r="AT4408">
        <v>0</v>
      </c>
      <c r="AU4408">
        <v>120</v>
      </c>
      <c r="AV4408">
        <v>-12</v>
      </c>
      <c r="AW4408">
        <v>0</v>
      </c>
      <c r="AX4408">
        <v>120</v>
      </c>
      <c r="AY4408">
        <v>-12</v>
      </c>
      <c r="AZ4408">
        <v>0</v>
      </c>
      <c r="BA4408">
        <v>129.6</v>
      </c>
      <c r="BE4408" t="str">
        <f>T("9791172822040")</f>
        <v>9791172822040</v>
      </c>
      <c r="BF4408" t="str">
        <f>T("D158638")</f>
        <v>D158638</v>
      </c>
      <c r="BG4408" t="str">
        <f>T("로판 웹소설 &gt; 서양풍 로판")</f>
        <v>로판 웹소설 &gt; 서양풍 로판</v>
      </c>
    </row>
    <row r="4409" spans="1:59">
      <c r="A4409" t="s">
        <v>60</v>
      </c>
      <c r="B4409" s="1">
        <v>46129</v>
      </c>
      <c r="C4409">
        <v>2378078499</v>
      </c>
      <c r="D4409">
        <v>2378078513</v>
      </c>
      <c r="E4409" t="str">
        <f>T("용사들은 성녀의 축복을 받아야 한다 15화")</f>
        <v>용사들은 성녀의 축복을 받아야 한다 15화</v>
      </c>
      <c r="F4409">
        <v>15</v>
      </c>
      <c r="G4409" t="str">
        <f>T("필밤")</f>
        <v>필밤</v>
      </c>
      <c r="J4409" t="str">
        <f>T("시계토끼")</f>
        <v>시계토끼</v>
      </c>
      <c r="K4409" t="str">
        <f>T("용사들은 성녀의 축복을 받아야 한다")</f>
        <v>용사들은 성녀의 축복을 받아야 한다</v>
      </c>
      <c r="L4409">
        <v>100</v>
      </c>
      <c r="M4409">
        <v>200</v>
      </c>
      <c r="N4409">
        <v>2</v>
      </c>
      <c r="O4409">
        <v>0</v>
      </c>
      <c r="P4409">
        <v>0</v>
      </c>
      <c r="Q4409">
        <v>0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0</v>
      </c>
      <c r="AC4409">
        <v>0</v>
      </c>
      <c r="AD4409">
        <v>0</v>
      </c>
      <c r="AE4409">
        <v>0</v>
      </c>
      <c r="AF4409">
        <v>0</v>
      </c>
      <c r="AG4409">
        <v>0</v>
      </c>
      <c r="AH4409">
        <v>0</v>
      </c>
      <c r="AI4409">
        <v>200</v>
      </c>
      <c r="AJ4409">
        <v>2</v>
      </c>
      <c r="AK4409">
        <v>0</v>
      </c>
      <c r="AL4409">
        <v>0</v>
      </c>
      <c r="AM4409">
        <v>0</v>
      </c>
      <c r="AN4409">
        <v>0</v>
      </c>
      <c r="AO4409">
        <v>240</v>
      </c>
      <c r="AP4409">
        <v>-24</v>
      </c>
      <c r="AQ4409">
        <v>0</v>
      </c>
      <c r="AS4409">
        <v>0</v>
      </c>
      <c r="AT4409">
        <v>0</v>
      </c>
      <c r="AU4409">
        <v>120</v>
      </c>
      <c r="AV4409">
        <v>-12</v>
      </c>
      <c r="AW4409">
        <v>0</v>
      </c>
      <c r="AX4409">
        <v>120</v>
      </c>
      <c r="AY4409">
        <v>-12</v>
      </c>
      <c r="AZ4409">
        <v>0</v>
      </c>
      <c r="BA4409">
        <v>129.6</v>
      </c>
      <c r="BE4409" t="str">
        <f>T("9791172822040")</f>
        <v>9791172822040</v>
      </c>
      <c r="BF4409" t="str">
        <f>T("D158639")</f>
        <v>D158639</v>
      </c>
      <c r="BG4409" t="str">
        <f>T("로판 웹소설 &gt; 서양풍 로판")</f>
        <v>로판 웹소설 &gt; 서양풍 로판</v>
      </c>
    </row>
    <row r="4410" spans="1:59">
      <c r="A4410" t="s">
        <v>60</v>
      </c>
      <c r="B4410" s="1">
        <v>46129</v>
      </c>
      <c r="C4410">
        <v>2378078499</v>
      </c>
      <c r="D4410">
        <v>2378078514</v>
      </c>
      <c r="E4410" t="str">
        <f>T("용사들은 성녀의 축복을 받아야 한다 16화")</f>
        <v>용사들은 성녀의 축복을 받아야 한다 16화</v>
      </c>
      <c r="F4410">
        <v>16</v>
      </c>
      <c r="G4410" t="str">
        <f>T("필밤")</f>
        <v>필밤</v>
      </c>
      <c r="J4410" t="str">
        <f>T("시계토끼")</f>
        <v>시계토끼</v>
      </c>
      <c r="K4410" t="str">
        <f>T("용사들은 성녀의 축복을 받아야 한다")</f>
        <v>용사들은 성녀의 축복을 받아야 한다</v>
      </c>
      <c r="L4410">
        <v>100</v>
      </c>
      <c r="M4410">
        <v>100</v>
      </c>
      <c r="N4410">
        <v>1</v>
      </c>
      <c r="O4410">
        <v>0</v>
      </c>
      <c r="P4410">
        <v>0</v>
      </c>
      <c r="Q4410">
        <v>0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0</v>
      </c>
      <c r="AC4410">
        <v>0</v>
      </c>
      <c r="AD4410">
        <v>0</v>
      </c>
      <c r="AE4410">
        <v>0</v>
      </c>
      <c r="AF4410">
        <v>0</v>
      </c>
      <c r="AG4410">
        <v>0</v>
      </c>
      <c r="AH4410">
        <v>0</v>
      </c>
      <c r="AI4410">
        <v>100</v>
      </c>
      <c r="AJ4410">
        <v>1</v>
      </c>
      <c r="AK4410">
        <v>0</v>
      </c>
      <c r="AL4410">
        <v>0</v>
      </c>
      <c r="AM4410">
        <v>0</v>
      </c>
      <c r="AN4410">
        <v>0</v>
      </c>
      <c r="AO4410">
        <v>120</v>
      </c>
      <c r="AP4410">
        <v>-12</v>
      </c>
      <c r="AQ4410">
        <v>0</v>
      </c>
      <c r="AS4410">
        <v>0</v>
      </c>
      <c r="AT4410">
        <v>0</v>
      </c>
      <c r="AV4410">
        <v>0</v>
      </c>
      <c r="AW4410">
        <v>0</v>
      </c>
      <c r="AX4410">
        <v>120</v>
      </c>
      <c r="AY4410">
        <v>-12</v>
      </c>
      <c r="AZ4410">
        <v>0</v>
      </c>
      <c r="BA4410">
        <v>64.8</v>
      </c>
      <c r="BE4410" t="str">
        <f>T("9791172822040")</f>
        <v>9791172822040</v>
      </c>
      <c r="BF4410" t="str">
        <f>T("D158640")</f>
        <v>D158640</v>
      </c>
      <c r="BG4410" t="str">
        <f>T("로판 웹소설 &gt; 서양풍 로판")</f>
        <v>로판 웹소설 &gt; 서양풍 로판</v>
      </c>
    </row>
    <row r="4411" spans="1:59">
      <c r="A4411" t="s">
        <v>60</v>
      </c>
      <c r="B4411" s="1">
        <v>46129</v>
      </c>
      <c r="C4411">
        <v>2378078499</v>
      </c>
      <c r="D4411">
        <v>2378078515</v>
      </c>
      <c r="E4411" t="str">
        <f>T("용사들은 성녀의 축복을 받아야 한다 17화")</f>
        <v>용사들은 성녀의 축복을 받아야 한다 17화</v>
      </c>
      <c r="F4411">
        <v>17</v>
      </c>
      <c r="G4411" t="str">
        <f>T("필밤")</f>
        <v>필밤</v>
      </c>
      <c r="J4411" t="str">
        <f>T("시계토끼")</f>
        <v>시계토끼</v>
      </c>
      <c r="K4411" t="str">
        <f>T("용사들은 성녀의 축복을 받아야 한다")</f>
        <v>용사들은 성녀의 축복을 받아야 한다</v>
      </c>
      <c r="L4411">
        <v>100</v>
      </c>
      <c r="M4411">
        <v>300</v>
      </c>
      <c r="N4411">
        <v>3</v>
      </c>
      <c r="O4411">
        <v>0</v>
      </c>
      <c r="P4411">
        <v>0</v>
      </c>
      <c r="Q4411">
        <v>0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0</v>
      </c>
      <c r="AC4411">
        <v>0</v>
      </c>
      <c r="AD4411">
        <v>0</v>
      </c>
      <c r="AE4411">
        <v>0</v>
      </c>
      <c r="AF4411">
        <v>0</v>
      </c>
      <c r="AG4411">
        <v>0</v>
      </c>
      <c r="AH4411">
        <v>0</v>
      </c>
      <c r="AI4411">
        <v>300</v>
      </c>
      <c r="AJ4411">
        <v>3</v>
      </c>
      <c r="AK4411">
        <v>0</v>
      </c>
      <c r="AL4411">
        <v>0</v>
      </c>
      <c r="AM4411">
        <v>100</v>
      </c>
      <c r="AN4411">
        <v>0</v>
      </c>
      <c r="AO4411">
        <v>240</v>
      </c>
      <c r="AP4411">
        <v>-24</v>
      </c>
      <c r="AQ4411">
        <v>0</v>
      </c>
      <c r="AS4411">
        <v>0</v>
      </c>
      <c r="AT4411">
        <v>0</v>
      </c>
      <c r="AU4411">
        <v>120</v>
      </c>
      <c r="AV4411">
        <v>-12</v>
      </c>
      <c r="AW4411">
        <v>0</v>
      </c>
      <c r="AX4411">
        <v>120</v>
      </c>
      <c r="AY4411">
        <v>-12</v>
      </c>
      <c r="AZ4411">
        <v>0</v>
      </c>
      <c r="BA4411">
        <v>189.6</v>
      </c>
      <c r="BE4411" t="str">
        <f>T("9791172822040")</f>
        <v>9791172822040</v>
      </c>
      <c r="BF4411" t="str">
        <f>T("D158641")</f>
        <v>D158641</v>
      </c>
      <c r="BG4411" t="str">
        <f>T("로판 웹소설 &gt; 서양풍 로판")</f>
        <v>로판 웹소설 &gt; 서양풍 로판</v>
      </c>
    </row>
    <row r="4412" spans="1:59">
      <c r="A4412" t="s">
        <v>60</v>
      </c>
      <c r="B4412" s="1">
        <v>46129</v>
      </c>
      <c r="C4412">
        <v>2378078499</v>
      </c>
      <c r="D4412">
        <v>2378078516</v>
      </c>
      <c r="E4412" t="str">
        <f>T("용사들은 성녀의 축복을 받아야 한다 18화")</f>
        <v>용사들은 성녀의 축복을 받아야 한다 18화</v>
      </c>
      <c r="F4412">
        <v>18</v>
      </c>
      <c r="G4412" t="str">
        <f>T("필밤")</f>
        <v>필밤</v>
      </c>
      <c r="J4412" t="str">
        <f>T("시계토끼")</f>
        <v>시계토끼</v>
      </c>
      <c r="K4412" t="str">
        <f>T("용사들은 성녀의 축복을 받아야 한다")</f>
        <v>용사들은 성녀의 축복을 받아야 한다</v>
      </c>
      <c r="L4412">
        <v>100</v>
      </c>
      <c r="M4412">
        <v>300</v>
      </c>
      <c r="N4412">
        <v>3</v>
      </c>
      <c r="O4412">
        <v>0</v>
      </c>
      <c r="P4412">
        <v>0</v>
      </c>
      <c r="Q4412">
        <v>0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0</v>
      </c>
      <c r="AC4412">
        <v>0</v>
      </c>
      <c r="AD4412">
        <v>0</v>
      </c>
      <c r="AE4412">
        <v>0</v>
      </c>
      <c r="AF4412">
        <v>0</v>
      </c>
      <c r="AG4412">
        <v>0</v>
      </c>
      <c r="AH4412">
        <v>0</v>
      </c>
      <c r="AI4412">
        <v>300</v>
      </c>
      <c r="AJ4412">
        <v>3</v>
      </c>
      <c r="AK4412">
        <v>0</v>
      </c>
      <c r="AL4412">
        <v>0</v>
      </c>
      <c r="AM4412">
        <v>100</v>
      </c>
      <c r="AN4412">
        <v>0</v>
      </c>
      <c r="AO4412">
        <v>240</v>
      </c>
      <c r="AP4412">
        <v>-24</v>
      </c>
      <c r="AQ4412">
        <v>0</v>
      </c>
      <c r="AS4412">
        <v>0</v>
      </c>
      <c r="AT4412">
        <v>0</v>
      </c>
      <c r="AU4412">
        <v>120</v>
      </c>
      <c r="AV4412">
        <v>-12</v>
      </c>
      <c r="AW4412">
        <v>0</v>
      </c>
      <c r="AX4412">
        <v>120</v>
      </c>
      <c r="AY4412">
        <v>-12</v>
      </c>
      <c r="AZ4412">
        <v>0</v>
      </c>
      <c r="BA4412">
        <v>189.6</v>
      </c>
      <c r="BE4412" t="str">
        <f>T("9791172822040")</f>
        <v>9791172822040</v>
      </c>
      <c r="BF4412" t="str">
        <f>T("D158642")</f>
        <v>D158642</v>
      </c>
      <c r="BG4412" t="str">
        <f>T("로판 웹소설 &gt; 서양풍 로판")</f>
        <v>로판 웹소설 &gt; 서양풍 로판</v>
      </c>
    </row>
    <row r="4413" spans="1:59">
      <c r="A4413" t="s">
        <v>60</v>
      </c>
      <c r="B4413" s="1">
        <v>46129</v>
      </c>
      <c r="C4413">
        <v>2378078499</v>
      </c>
      <c r="D4413">
        <v>2378078517</v>
      </c>
      <c r="E4413" t="str">
        <f>T("용사들은 성녀의 축복을 받아야 한다 19화")</f>
        <v>용사들은 성녀의 축복을 받아야 한다 19화</v>
      </c>
      <c r="F4413">
        <v>19</v>
      </c>
      <c r="G4413" t="str">
        <f>T("필밤")</f>
        <v>필밤</v>
      </c>
      <c r="J4413" t="str">
        <f>T("시계토끼")</f>
        <v>시계토끼</v>
      </c>
      <c r="K4413" t="str">
        <f>T("용사들은 성녀의 축복을 받아야 한다")</f>
        <v>용사들은 성녀의 축복을 받아야 한다</v>
      </c>
      <c r="L4413">
        <v>100</v>
      </c>
      <c r="M4413">
        <v>300</v>
      </c>
      <c r="N4413">
        <v>3</v>
      </c>
      <c r="O4413">
        <v>0</v>
      </c>
      <c r="P4413">
        <v>0</v>
      </c>
      <c r="Q4413">
        <v>0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0</v>
      </c>
      <c r="AC4413">
        <v>0</v>
      </c>
      <c r="AD4413">
        <v>0</v>
      </c>
      <c r="AE4413">
        <v>0</v>
      </c>
      <c r="AF4413">
        <v>0</v>
      </c>
      <c r="AG4413">
        <v>0</v>
      </c>
      <c r="AH4413">
        <v>0</v>
      </c>
      <c r="AI4413">
        <v>300</v>
      </c>
      <c r="AJ4413">
        <v>3</v>
      </c>
      <c r="AK4413">
        <v>0</v>
      </c>
      <c r="AL4413">
        <v>0</v>
      </c>
      <c r="AM4413">
        <v>100</v>
      </c>
      <c r="AN4413">
        <v>0</v>
      </c>
      <c r="AO4413">
        <v>240</v>
      </c>
      <c r="AP4413">
        <v>-24</v>
      </c>
      <c r="AQ4413">
        <v>0</v>
      </c>
      <c r="AS4413">
        <v>0</v>
      </c>
      <c r="AT4413">
        <v>0</v>
      </c>
      <c r="AU4413">
        <v>120</v>
      </c>
      <c r="AV4413">
        <v>-12</v>
      </c>
      <c r="AW4413">
        <v>0</v>
      </c>
      <c r="AX4413">
        <v>120</v>
      </c>
      <c r="AY4413">
        <v>-12</v>
      </c>
      <c r="AZ4413">
        <v>0</v>
      </c>
      <c r="BA4413">
        <v>189.6</v>
      </c>
      <c r="BE4413" t="str">
        <f>T("9791172822040")</f>
        <v>9791172822040</v>
      </c>
      <c r="BF4413" t="str">
        <f>T("D158643")</f>
        <v>D158643</v>
      </c>
      <c r="BG4413" t="str">
        <f>T("로판 웹소설 &gt; 서양풍 로판")</f>
        <v>로판 웹소설 &gt; 서양풍 로판</v>
      </c>
    </row>
    <row r="4414" spans="1:59">
      <c r="A4414" t="s">
        <v>60</v>
      </c>
      <c r="B4414" s="1">
        <v>46129</v>
      </c>
      <c r="C4414">
        <v>2378078499</v>
      </c>
      <c r="D4414">
        <v>2378078518</v>
      </c>
      <c r="E4414" t="str">
        <f>T("용사들은 성녀의 축복을 받아야 한다 20화")</f>
        <v>용사들은 성녀의 축복을 받아야 한다 20화</v>
      </c>
      <c r="F4414">
        <v>20</v>
      </c>
      <c r="G4414" t="str">
        <f>T("필밤")</f>
        <v>필밤</v>
      </c>
      <c r="J4414" t="str">
        <f>T("시계토끼")</f>
        <v>시계토끼</v>
      </c>
      <c r="K4414" t="str">
        <f>T("용사들은 성녀의 축복을 받아야 한다")</f>
        <v>용사들은 성녀의 축복을 받아야 한다</v>
      </c>
      <c r="L4414">
        <v>100</v>
      </c>
      <c r="M4414">
        <v>300</v>
      </c>
      <c r="N4414">
        <v>3</v>
      </c>
      <c r="O4414">
        <v>0</v>
      </c>
      <c r="P4414">
        <v>0</v>
      </c>
      <c r="Q4414">
        <v>0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0</v>
      </c>
      <c r="AC4414">
        <v>0</v>
      </c>
      <c r="AD4414">
        <v>0</v>
      </c>
      <c r="AE4414">
        <v>0</v>
      </c>
      <c r="AF4414">
        <v>0</v>
      </c>
      <c r="AG4414">
        <v>0</v>
      </c>
      <c r="AH4414">
        <v>0</v>
      </c>
      <c r="AI4414">
        <v>300</v>
      </c>
      <c r="AJ4414">
        <v>3</v>
      </c>
      <c r="AK4414">
        <v>0</v>
      </c>
      <c r="AL4414">
        <v>0</v>
      </c>
      <c r="AM4414">
        <v>100</v>
      </c>
      <c r="AN4414">
        <v>0</v>
      </c>
      <c r="AO4414">
        <v>240</v>
      </c>
      <c r="AP4414">
        <v>-24</v>
      </c>
      <c r="AQ4414">
        <v>0</v>
      </c>
      <c r="AS4414">
        <v>0</v>
      </c>
      <c r="AT4414">
        <v>0</v>
      </c>
      <c r="AU4414">
        <v>120</v>
      </c>
      <c r="AV4414">
        <v>-12</v>
      </c>
      <c r="AW4414">
        <v>0</v>
      </c>
      <c r="AX4414">
        <v>120</v>
      </c>
      <c r="AY4414">
        <v>-12</v>
      </c>
      <c r="AZ4414">
        <v>0</v>
      </c>
      <c r="BA4414">
        <v>189.6</v>
      </c>
      <c r="BE4414" t="str">
        <f>T("9791172822040")</f>
        <v>9791172822040</v>
      </c>
      <c r="BF4414" t="str">
        <f>T("D158644")</f>
        <v>D158644</v>
      </c>
      <c r="BG4414" t="str">
        <f>T("로판 웹소설 &gt; 서양풍 로판")</f>
        <v>로판 웹소설 &gt; 서양풍 로판</v>
      </c>
    </row>
    <row r="4415" spans="1:59">
      <c r="A4415" t="s">
        <v>60</v>
      </c>
      <c r="B4415" s="1">
        <v>46129</v>
      </c>
      <c r="C4415">
        <v>2378078499</v>
      </c>
      <c r="D4415">
        <v>2378078519</v>
      </c>
      <c r="E4415" t="str">
        <f>T("용사들은 성녀의 축복을 받아야 한다 21화")</f>
        <v>용사들은 성녀의 축복을 받아야 한다 21화</v>
      </c>
      <c r="F4415">
        <v>21</v>
      </c>
      <c r="G4415" t="str">
        <f>T("필밤")</f>
        <v>필밤</v>
      </c>
      <c r="J4415" t="str">
        <f>T("시계토끼")</f>
        <v>시계토끼</v>
      </c>
      <c r="K4415" t="str">
        <f>T("용사들은 성녀의 축복을 받아야 한다")</f>
        <v>용사들은 성녀의 축복을 받아야 한다</v>
      </c>
      <c r="L4415">
        <v>100</v>
      </c>
      <c r="M4415">
        <v>200</v>
      </c>
      <c r="N4415">
        <v>2</v>
      </c>
      <c r="O4415">
        <v>0</v>
      </c>
      <c r="P4415">
        <v>0</v>
      </c>
      <c r="Q4415">
        <v>0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0</v>
      </c>
      <c r="AC4415">
        <v>0</v>
      </c>
      <c r="AD4415">
        <v>0</v>
      </c>
      <c r="AE4415">
        <v>0</v>
      </c>
      <c r="AF4415">
        <v>0</v>
      </c>
      <c r="AG4415">
        <v>0</v>
      </c>
      <c r="AH4415">
        <v>0</v>
      </c>
      <c r="AI4415">
        <v>200</v>
      </c>
      <c r="AJ4415">
        <v>2</v>
      </c>
      <c r="AK4415">
        <v>0</v>
      </c>
      <c r="AL4415">
        <v>0</v>
      </c>
      <c r="AM4415">
        <v>100</v>
      </c>
      <c r="AN4415">
        <v>0</v>
      </c>
      <c r="AO4415">
        <v>120</v>
      </c>
      <c r="AP4415">
        <v>-12</v>
      </c>
      <c r="AQ4415">
        <v>0</v>
      </c>
      <c r="AS4415">
        <v>0</v>
      </c>
      <c r="AT4415">
        <v>0</v>
      </c>
      <c r="AV4415">
        <v>0</v>
      </c>
      <c r="AW4415">
        <v>0</v>
      </c>
      <c r="AX4415">
        <v>120</v>
      </c>
      <c r="AY4415">
        <v>-12</v>
      </c>
      <c r="AZ4415">
        <v>0</v>
      </c>
      <c r="BA4415">
        <v>124.8</v>
      </c>
      <c r="BE4415" t="str">
        <f>T("9791172822040")</f>
        <v>9791172822040</v>
      </c>
      <c r="BF4415" t="str">
        <f>T("D158645")</f>
        <v>D158645</v>
      </c>
      <c r="BG4415" t="str">
        <f>T("로판 웹소설 &gt; 서양풍 로판")</f>
        <v>로판 웹소설 &gt; 서양풍 로판</v>
      </c>
    </row>
    <row r="4416" spans="1:59">
      <c r="A4416" t="s">
        <v>60</v>
      </c>
      <c r="B4416" s="1">
        <v>46129</v>
      </c>
      <c r="C4416">
        <v>2378078499</v>
      </c>
      <c r="D4416">
        <v>2378078520</v>
      </c>
      <c r="E4416" t="str">
        <f>T("용사들은 성녀의 축복을 받아야 한다 22화")</f>
        <v>용사들은 성녀의 축복을 받아야 한다 22화</v>
      </c>
      <c r="F4416">
        <v>22</v>
      </c>
      <c r="G4416" t="str">
        <f>T("필밤")</f>
        <v>필밤</v>
      </c>
      <c r="J4416" t="str">
        <f>T("시계토끼")</f>
        <v>시계토끼</v>
      </c>
      <c r="K4416" t="str">
        <f>T("용사들은 성녀의 축복을 받아야 한다")</f>
        <v>용사들은 성녀의 축복을 받아야 한다</v>
      </c>
      <c r="L4416">
        <v>100</v>
      </c>
      <c r="M4416">
        <v>200</v>
      </c>
      <c r="N4416">
        <v>2</v>
      </c>
      <c r="O4416">
        <v>0</v>
      </c>
      <c r="P4416">
        <v>0</v>
      </c>
      <c r="Q4416">
        <v>0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0</v>
      </c>
      <c r="AC4416">
        <v>0</v>
      </c>
      <c r="AD4416">
        <v>0</v>
      </c>
      <c r="AE4416">
        <v>0</v>
      </c>
      <c r="AF4416">
        <v>0</v>
      </c>
      <c r="AG4416">
        <v>0</v>
      </c>
      <c r="AH4416">
        <v>0</v>
      </c>
      <c r="AI4416">
        <v>200</v>
      </c>
      <c r="AJ4416">
        <v>2</v>
      </c>
      <c r="AK4416">
        <v>0</v>
      </c>
      <c r="AL4416">
        <v>0</v>
      </c>
      <c r="AM4416">
        <v>100</v>
      </c>
      <c r="AN4416">
        <v>0</v>
      </c>
      <c r="AO4416">
        <v>120</v>
      </c>
      <c r="AP4416">
        <v>-12</v>
      </c>
      <c r="AQ4416">
        <v>0</v>
      </c>
      <c r="AS4416">
        <v>0</v>
      </c>
      <c r="AT4416">
        <v>0</v>
      </c>
      <c r="AV4416">
        <v>0</v>
      </c>
      <c r="AW4416">
        <v>0</v>
      </c>
      <c r="AX4416">
        <v>120</v>
      </c>
      <c r="AY4416">
        <v>-12</v>
      </c>
      <c r="AZ4416">
        <v>0</v>
      </c>
      <c r="BA4416">
        <v>124.8</v>
      </c>
      <c r="BE4416" t="str">
        <f>T("9791172822040")</f>
        <v>9791172822040</v>
      </c>
      <c r="BF4416" t="str">
        <f>T("D158646")</f>
        <v>D158646</v>
      </c>
      <c r="BG4416" t="str">
        <f>T("로판 웹소설 &gt; 서양풍 로판")</f>
        <v>로판 웹소설 &gt; 서양풍 로판</v>
      </c>
    </row>
    <row r="4417" spans="1:59">
      <c r="A4417" t="s">
        <v>60</v>
      </c>
      <c r="B4417" s="1">
        <v>46129</v>
      </c>
      <c r="C4417">
        <v>2378078499</v>
      </c>
      <c r="D4417">
        <v>2378078521</v>
      </c>
      <c r="E4417" t="str">
        <f>T("용사들은 성녀의 축복을 받아야 한다 23화")</f>
        <v>용사들은 성녀의 축복을 받아야 한다 23화</v>
      </c>
      <c r="F4417">
        <v>23</v>
      </c>
      <c r="G4417" t="str">
        <f>T("필밤")</f>
        <v>필밤</v>
      </c>
      <c r="J4417" t="str">
        <f>T("시계토끼")</f>
        <v>시계토끼</v>
      </c>
      <c r="K4417" t="str">
        <f>T("용사들은 성녀의 축복을 받아야 한다")</f>
        <v>용사들은 성녀의 축복을 받아야 한다</v>
      </c>
      <c r="L4417">
        <v>100</v>
      </c>
      <c r="M4417">
        <v>200</v>
      </c>
      <c r="N4417">
        <v>2</v>
      </c>
      <c r="O4417">
        <v>0</v>
      </c>
      <c r="P4417">
        <v>0</v>
      </c>
      <c r="Q4417">
        <v>0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0</v>
      </c>
      <c r="AC4417">
        <v>0</v>
      </c>
      <c r="AD4417">
        <v>0</v>
      </c>
      <c r="AE4417">
        <v>0</v>
      </c>
      <c r="AF4417">
        <v>0</v>
      </c>
      <c r="AG4417">
        <v>0</v>
      </c>
      <c r="AH4417">
        <v>0</v>
      </c>
      <c r="AI4417">
        <v>200</v>
      </c>
      <c r="AJ4417">
        <v>2</v>
      </c>
      <c r="AK4417">
        <v>0</v>
      </c>
      <c r="AL4417">
        <v>0</v>
      </c>
      <c r="AM4417">
        <v>100</v>
      </c>
      <c r="AN4417">
        <v>0</v>
      </c>
      <c r="AO4417">
        <v>120</v>
      </c>
      <c r="AP4417">
        <v>-12</v>
      </c>
      <c r="AQ4417">
        <v>0</v>
      </c>
      <c r="AS4417">
        <v>0</v>
      </c>
      <c r="AT4417">
        <v>0</v>
      </c>
      <c r="AV4417">
        <v>0</v>
      </c>
      <c r="AW4417">
        <v>0</v>
      </c>
      <c r="AX4417">
        <v>120</v>
      </c>
      <c r="AY4417">
        <v>-12</v>
      </c>
      <c r="AZ4417">
        <v>0</v>
      </c>
      <c r="BA4417">
        <v>124.8</v>
      </c>
      <c r="BE4417" t="str">
        <f>T("9791172822040")</f>
        <v>9791172822040</v>
      </c>
      <c r="BF4417" t="str">
        <f>T("D158647")</f>
        <v>D158647</v>
      </c>
      <c r="BG4417" t="str">
        <f>T("로판 웹소설 &gt; 서양풍 로판")</f>
        <v>로판 웹소설 &gt; 서양풍 로판</v>
      </c>
    </row>
    <row r="4418" spans="1:59">
      <c r="A4418" t="s">
        <v>60</v>
      </c>
      <c r="B4418" s="1">
        <v>46129</v>
      </c>
      <c r="C4418">
        <v>2378078499</v>
      </c>
      <c r="D4418">
        <v>2378078522</v>
      </c>
      <c r="E4418" t="str">
        <f>T("용사들은 성녀의 축복을 받아야 한다 24화")</f>
        <v>용사들은 성녀의 축복을 받아야 한다 24화</v>
      </c>
      <c r="F4418">
        <v>24</v>
      </c>
      <c r="G4418" t="str">
        <f>T("필밤")</f>
        <v>필밤</v>
      </c>
      <c r="J4418" t="str">
        <f>T("시계토끼")</f>
        <v>시계토끼</v>
      </c>
      <c r="K4418" t="str">
        <f>T("용사들은 성녀의 축복을 받아야 한다")</f>
        <v>용사들은 성녀의 축복을 받아야 한다</v>
      </c>
      <c r="L4418">
        <v>100</v>
      </c>
      <c r="M4418">
        <v>200</v>
      </c>
      <c r="N4418">
        <v>2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0</v>
      </c>
      <c r="AC4418">
        <v>0</v>
      </c>
      <c r="AD4418">
        <v>0</v>
      </c>
      <c r="AE4418">
        <v>0</v>
      </c>
      <c r="AF4418">
        <v>0</v>
      </c>
      <c r="AG4418">
        <v>0</v>
      </c>
      <c r="AH4418">
        <v>0</v>
      </c>
      <c r="AI4418">
        <v>200</v>
      </c>
      <c r="AJ4418">
        <v>2</v>
      </c>
      <c r="AK4418">
        <v>0</v>
      </c>
      <c r="AL4418">
        <v>0</v>
      </c>
      <c r="AM4418">
        <v>100</v>
      </c>
      <c r="AN4418">
        <v>0</v>
      </c>
      <c r="AO4418">
        <v>120</v>
      </c>
      <c r="AP4418">
        <v>-12</v>
      </c>
      <c r="AQ4418">
        <v>0</v>
      </c>
      <c r="AS4418">
        <v>0</v>
      </c>
      <c r="AT4418">
        <v>0</v>
      </c>
      <c r="AV4418">
        <v>0</v>
      </c>
      <c r="AW4418">
        <v>0</v>
      </c>
      <c r="AX4418">
        <v>120</v>
      </c>
      <c r="AY4418">
        <v>-12</v>
      </c>
      <c r="AZ4418">
        <v>0</v>
      </c>
      <c r="BA4418">
        <v>124.8</v>
      </c>
      <c r="BE4418" t="str">
        <f>T("9791172822040")</f>
        <v>9791172822040</v>
      </c>
      <c r="BF4418" t="str">
        <f>T("D158648")</f>
        <v>D158648</v>
      </c>
      <c r="BG4418" t="str">
        <f>T("로판 웹소설 &gt; 서양풍 로판")</f>
        <v>로판 웹소설 &gt; 서양풍 로판</v>
      </c>
    </row>
    <row r="4419" spans="1:59">
      <c r="A4419" t="s">
        <v>60</v>
      </c>
      <c r="B4419" s="1">
        <v>46129</v>
      </c>
      <c r="C4419">
        <v>2378078499</v>
      </c>
      <c r="D4419">
        <v>2378078523</v>
      </c>
      <c r="E4419" t="str">
        <f>T("용사들은 성녀의 축복을 받아야 한다 25화")</f>
        <v>용사들은 성녀의 축복을 받아야 한다 25화</v>
      </c>
      <c r="F4419">
        <v>25</v>
      </c>
      <c r="G4419" t="str">
        <f>T("필밤")</f>
        <v>필밤</v>
      </c>
      <c r="J4419" t="str">
        <f>T("시계토끼")</f>
        <v>시계토끼</v>
      </c>
      <c r="K4419" t="str">
        <f>T("용사들은 성녀의 축복을 받아야 한다")</f>
        <v>용사들은 성녀의 축복을 받아야 한다</v>
      </c>
      <c r="L4419">
        <v>100</v>
      </c>
      <c r="M4419">
        <v>200</v>
      </c>
      <c r="N4419">
        <v>2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0</v>
      </c>
      <c r="AC4419">
        <v>0</v>
      </c>
      <c r="AD4419">
        <v>0</v>
      </c>
      <c r="AE4419">
        <v>0</v>
      </c>
      <c r="AF4419">
        <v>0</v>
      </c>
      <c r="AG4419">
        <v>0</v>
      </c>
      <c r="AH4419">
        <v>0</v>
      </c>
      <c r="AI4419">
        <v>200</v>
      </c>
      <c r="AJ4419">
        <v>2</v>
      </c>
      <c r="AK4419">
        <v>0</v>
      </c>
      <c r="AL4419">
        <v>0</v>
      </c>
      <c r="AM4419">
        <v>100</v>
      </c>
      <c r="AN4419">
        <v>0</v>
      </c>
      <c r="AO4419">
        <v>120</v>
      </c>
      <c r="AP4419">
        <v>-12</v>
      </c>
      <c r="AQ4419">
        <v>0</v>
      </c>
      <c r="AS4419">
        <v>0</v>
      </c>
      <c r="AT4419">
        <v>0</v>
      </c>
      <c r="AV4419">
        <v>0</v>
      </c>
      <c r="AW4419">
        <v>0</v>
      </c>
      <c r="AX4419">
        <v>120</v>
      </c>
      <c r="AY4419">
        <v>-12</v>
      </c>
      <c r="AZ4419">
        <v>0</v>
      </c>
      <c r="BA4419">
        <v>124.8</v>
      </c>
      <c r="BE4419" t="str">
        <f>T("9791172822040")</f>
        <v>9791172822040</v>
      </c>
      <c r="BF4419" t="str">
        <f>T("D158649")</f>
        <v>D158649</v>
      </c>
      <c r="BG4419" t="str">
        <f>T("로판 웹소설 &gt; 서양풍 로판")</f>
        <v>로판 웹소설 &gt; 서양풍 로판</v>
      </c>
    </row>
    <row r="4420" spans="1:59">
      <c r="A4420" t="s">
        <v>60</v>
      </c>
      <c r="B4420" s="1">
        <v>46129</v>
      </c>
      <c r="C4420">
        <v>2378078499</v>
      </c>
      <c r="D4420">
        <v>2378078524</v>
      </c>
      <c r="E4420" t="str">
        <f>T("용사들은 성녀의 축복을 받아야 한다 26화")</f>
        <v>용사들은 성녀의 축복을 받아야 한다 26화</v>
      </c>
      <c r="F4420">
        <v>26</v>
      </c>
      <c r="G4420" t="str">
        <f>T("필밤")</f>
        <v>필밤</v>
      </c>
      <c r="J4420" t="str">
        <f>T("시계토끼")</f>
        <v>시계토끼</v>
      </c>
      <c r="K4420" t="str">
        <f>T("용사들은 성녀의 축복을 받아야 한다")</f>
        <v>용사들은 성녀의 축복을 받아야 한다</v>
      </c>
      <c r="L4420">
        <v>100</v>
      </c>
      <c r="M4420">
        <v>100</v>
      </c>
      <c r="N4420">
        <v>1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0</v>
      </c>
      <c r="AC4420">
        <v>0</v>
      </c>
      <c r="AD4420">
        <v>0</v>
      </c>
      <c r="AE4420">
        <v>0</v>
      </c>
      <c r="AF4420">
        <v>0</v>
      </c>
      <c r="AG4420">
        <v>0</v>
      </c>
      <c r="AH4420">
        <v>0</v>
      </c>
      <c r="AI4420">
        <v>100</v>
      </c>
      <c r="AJ4420">
        <v>1</v>
      </c>
      <c r="AK4420">
        <v>0</v>
      </c>
      <c r="AL4420">
        <v>0</v>
      </c>
      <c r="AM4420">
        <v>0</v>
      </c>
      <c r="AN4420">
        <v>0</v>
      </c>
      <c r="AO4420">
        <v>120</v>
      </c>
      <c r="AP4420">
        <v>-12</v>
      </c>
      <c r="AQ4420">
        <v>0</v>
      </c>
      <c r="AS4420">
        <v>0</v>
      </c>
      <c r="AT4420">
        <v>0</v>
      </c>
      <c r="AV4420">
        <v>0</v>
      </c>
      <c r="AW4420">
        <v>0</v>
      </c>
      <c r="AX4420">
        <v>120</v>
      </c>
      <c r="AY4420">
        <v>-12</v>
      </c>
      <c r="AZ4420">
        <v>0</v>
      </c>
      <c r="BA4420">
        <v>64.8</v>
      </c>
      <c r="BE4420" t="str">
        <f>T("9791172822040")</f>
        <v>9791172822040</v>
      </c>
      <c r="BF4420" t="str">
        <f>T("D158650")</f>
        <v>D158650</v>
      </c>
      <c r="BG4420" t="str">
        <f>T("로판 웹소설 &gt; 서양풍 로판")</f>
        <v>로판 웹소설 &gt; 서양풍 로판</v>
      </c>
    </row>
    <row r="4421" spans="1:59">
      <c r="A4421" t="s">
        <v>60</v>
      </c>
      <c r="B4421" s="1">
        <v>46129</v>
      </c>
      <c r="C4421">
        <v>2378078499</v>
      </c>
      <c r="D4421">
        <v>2378078525</v>
      </c>
      <c r="E4421" t="str">
        <f>T("용사들은 성녀의 축복을 받아야 한다 27화")</f>
        <v>용사들은 성녀의 축복을 받아야 한다 27화</v>
      </c>
      <c r="F4421">
        <v>27</v>
      </c>
      <c r="G4421" t="str">
        <f>T("필밤")</f>
        <v>필밤</v>
      </c>
      <c r="J4421" t="str">
        <f>T("시계토끼")</f>
        <v>시계토끼</v>
      </c>
      <c r="K4421" t="str">
        <f>T("용사들은 성녀의 축복을 받아야 한다")</f>
        <v>용사들은 성녀의 축복을 받아야 한다</v>
      </c>
      <c r="L4421">
        <v>100</v>
      </c>
      <c r="M4421">
        <v>300</v>
      </c>
      <c r="N4421">
        <v>3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0</v>
      </c>
      <c r="AC4421">
        <v>0</v>
      </c>
      <c r="AD4421">
        <v>0</v>
      </c>
      <c r="AE4421">
        <v>0</v>
      </c>
      <c r="AF4421">
        <v>0</v>
      </c>
      <c r="AG4421">
        <v>0</v>
      </c>
      <c r="AH4421">
        <v>0</v>
      </c>
      <c r="AI4421">
        <v>300</v>
      </c>
      <c r="AJ4421">
        <v>3</v>
      </c>
      <c r="AK4421">
        <v>0</v>
      </c>
      <c r="AL4421">
        <v>0</v>
      </c>
      <c r="AM4421">
        <v>100</v>
      </c>
      <c r="AN4421">
        <v>0</v>
      </c>
      <c r="AO4421">
        <v>240</v>
      </c>
      <c r="AP4421">
        <v>-24</v>
      </c>
      <c r="AQ4421">
        <v>0</v>
      </c>
      <c r="AS4421">
        <v>0</v>
      </c>
      <c r="AT4421">
        <v>0</v>
      </c>
      <c r="AU4421">
        <v>120</v>
      </c>
      <c r="AV4421">
        <v>-12</v>
      </c>
      <c r="AW4421">
        <v>0</v>
      </c>
      <c r="AX4421">
        <v>120</v>
      </c>
      <c r="AY4421">
        <v>-12</v>
      </c>
      <c r="AZ4421">
        <v>0</v>
      </c>
      <c r="BA4421">
        <v>189.6</v>
      </c>
      <c r="BE4421" t="str">
        <f>T("9791172822040")</f>
        <v>9791172822040</v>
      </c>
      <c r="BF4421" t="str">
        <f>T("D158651")</f>
        <v>D158651</v>
      </c>
      <c r="BG4421" t="str">
        <f>T("로판 웹소설 &gt; 서양풍 로판")</f>
        <v>로판 웹소설 &gt; 서양풍 로판</v>
      </c>
    </row>
    <row r="4422" spans="1:59">
      <c r="A4422" t="s">
        <v>60</v>
      </c>
      <c r="B4422" s="1">
        <v>46129</v>
      </c>
      <c r="C4422">
        <v>2378078499</v>
      </c>
      <c r="D4422">
        <v>2378078526</v>
      </c>
      <c r="E4422" t="str">
        <f>T("용사들은 성녀의 축복을 받아야 한다 28화")</f>
        <v>용사들은 성녀의 축복을 받아야 한다 28화</v>
      </c>
      <c r="F4422">
        <v>28</v>
      </c>
      <c r="G4422" t="str">
        <f>T("필밤")</f>
        <v>필밤</v>
      </c>
      <c r="J4422" t="str">
        <f>T("시계토끼")</f>
        <v>시계토끼</v>
      </c>
      <c r="K4422" t="str">
        <f>T("용사들은 성녀의 축복을 받아야 한다")</f>
        <v>용사들은 성녀의 축복을 받아야 한다</v>
      </c>
      <c r="L4422">
        <v>100</v>
      </c>
      <c r="M4422">
        <v>300</v>
      </c>
      <c r="N4422">
        <v>3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0</v>
      </c>
      <c r="AC4422">
        <v>0</v>
      </c>
      <c r="AD4422">
        <v>0</v>
      </c>
      <c r="AE4422">
        <v>0</v>
      </c>
      <c r="AF4422">
        <v>0</v>
      </c>
      <c r="AG4422">
        <v>0</v>
      </c>
      <c r="AH4422">
        <v>0</v>
      </c>
      <c r="AI4422">
        <v>300</v>
      </c>
      <c r="AJ4422">
        <v>3</v>
      </c>
      <c r="AK4422">
        <v>0</v>
      </c>
      <c r="AL4422">
        <v>0</v>
      </c>
      <c r="AM4422">
        <v>100</v>
      </c>
      <c r="AN4422">
        <v>0</v>
      </c>
      <c r="AO4422">
        <v>240</v>
      </c>
      <c r="AP4422">
        <v>-24</v>
      </c>
      <c r="AQ4422">
        <v>0</v>
      </c>
      <c r="AS4422">
        <v>0</v>
      </c>
      <c r="AT4422">
        <v>0</v>
      </c>
      <c r="AU4422">
        <v>120</v>
      </c>
      <c r="AV4422">
        <v>-12</v>
      </c>
      <c r="AW4422">
        <v>0</v>
      </c>
      <c r="AX4422">
        <v>120</v>
      </c>
      <c r="AY4422">
        <v>-12</v>
      </c>
      <c r="AZ4422">
        <v>0</v>
      </c>
      <c r="BA4422">
        <v>189.6</v>
      </c>
      <c r="BE4422" t="str">
        <f>T("9791172822040")</f>
        <v>9791172822040</v>
      </c>
      <c r="BF4422" t="str">
        <f>T("D158652")</f>
        <v>D158652</v>
      </c>
      <c r="BG4422" t="str">
        <f>T("로판 웹소설 &gt; 서양풍 로판")</f>
        <v>로판 웹소설 &gt; 서양풍 로판</v>
      </c>
    </row>
    <row r="4423" spans="1:59">
      <c r="A4423" t="s">
        <v>60</v>
      </c>
      <c r="B4423" s="1">
        <v>46129</v>
      </c>
      <c r="C4423">
        <v>2378078499</v>
      </c>
      <c r="D4423">
        <v>2378078527</v>
      </c>
      <c r="E4423" t="str">
        <f>T("용사들은 성녀의 축복을 받아야 한다 29화")</f>
        <v>용사들은 성녀의 축복을 받아야 한다 29화</v>
      </c>
      <c r="F4423">
        <v>29</v>
      </c>
      <c r="G4423" t="str">
        <f>T("필밤")</f>
        <v>필밤</v>
      </c>
      <c r="J4423" t="str">
        <f>T("시계토끼")</f>
        <v>시계토끼</v>
      </c>
      <c r="K4423" t="str">
        <f>T("용사들은 성녀의 축복을 받아야 한다")</f>
        <v>용사들은 성녀의 축복을 받아야 한다</v>
      </c>
      <c r="L4423">
        <v>100</v>
      </c>
      <c r="M4423">
        <v>200</v>
      </c>
      <c r="N4423">
        <v>2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0</v>
      </c>
      <c r="AC4423">
        <v>0</v>
      </c>
      <c r="AD4423">
        <v>0</v>
      </c>
      <c r="AE4423">
        <v>0</v>
      </c>
      <c r="AF4423">
        <v>0</v>
      </c>
      <c r="AG4423">
        <v>0</v>
      </c>
      <c r="AH4423">
        <v>0</v>
      </c>
      <c r="AI4423">
        <v>200</v>
      </c>
      <c r="AJ4423">
        <v>2</v>
      </c>
      <c r="AK4423">
        <v>0</v>
      </c>
      <c r="AL4423">
        <v>0</v>
      </c>
      <c r="AM4423">
        <v>100</v>
      </c>
      <c r="AN4423">
        <v>0</v>
      </c>
      <c r="AO4423">
        <v>120</v>
      </c>
      <c r="AP4423">
        <v>-12</v>
      </c>
      <c r="AQ4423">
        <v>0</v>
      </c>
      <c r="AS4423">
        <v>0</v>
      </c>
      <c r="AT4423">
        <v>0</v>
      </c>
      <c r="AV4423">
        <v>0</v>
      </c>
      <c r="AW4423">
        <v>0</v>
      </c>
      <c r="AX4423">
        <v>120</v>
      </c>
      <c r="AY4423">
        <v>-12</v>
      </c>
      <c r="AZ4423">
        <v>0</v>
      </c>
      <c r="BA4423">
        <v>124.8</v>
      </c>
      <c r="BE4423" t="str">
        <f>T("9791172822040")</f>
        <v>9791172822040</v>
      </c>
      <c r="BF4423" t="str">
        <f>T("D158653")</f>
        <v>D158653</v>
      </c>
      <c r="BG4423" t="str">
        <f>T("로판 웹소설 &gt; 서양풍 로판")</f>
        <v>로판 웹소설 &gt; 서양풍 로판</v>
      </c>
    </row>
    <row r="4424" spans="1:59">
      <c r="A4424" t="s">
        <v>60</v>
      </c>
      <c r="B4424" s="1">
        <v>46129</v>
      </c>
      <c r="C4424">
        <v>2378078499</v>
      </c>
      <c r="D4424">
        <v>2378078528</v>
      </c>
      <c r="E4424" t="str">
        <f>T("용사들은 성녀의 축복을 받아야 한다 30화")</f>
        <v>용사들은 성녀의 축복을 받아야 한다 30화</v>
      </c>
      <c r="F4424">
        <v>30</v>
      </c>
      <c r="G4424" t="str">
        <f>T("필밤")</f>
        <v>필밤</v>
      </c>
      <c r="J4424" t="str">
        <f>T("시계토끼")</f>
        <v>시계토끼</v>
      </c>
      <c r="K4424" t="str">
        <f>T("용사들은 성녀의 축복을 받아야 한다")</f>
        <v>용사들은 성녀의 축복을 받아야 한다</v>
      </c>
      <c r="L4424">
        <v>100</v>
      </c>
      <c r="M4424">
        <v>200</v>
      </c>
      <c r="N4424">
        <v>2</v>
      </c>
      <c r="O4424">
        <v>0</v>
      </c>
      <c r="P4424">
        <v>0</v>
      </c>
      <c r="Q4424">
        <v>0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0</v>
      </c>
      <c r="AC4424">
        <v>0</v>
      </c>
      <c r="AD4424">
        <v>0</v>
      </c>
      <c r="AE4424">
        <v>0</v>
      </c>
      <c r="AF4424">
        <v>0</v>
      </c>
      <c r="AG4424">
        <v>0</v>
      </c>
      <c r="AH4424">
        <v>0</v>
      </c>
      <c r="AI4424">
        <v>200</v>
      </c>
      <c r="AJ4424">
        <v>2</v>
      </c>
      <c r="AK4424">
        <v>0</v>
      </c>
      <c r="AL4424">
        <v>0</v>
      </c>
      <c r="AM4424">
        <v>100</v>
      </c>
      <c r="AN4424">
        <v>0</v>
      </c>
      <c r="AO4424">
        <v>120</v>
      </c>
      <c r="AP4424">
        <v>-12</v>
      </c>
      <c r="AQ4424">
        <v>0</v>
      </c>
      <c r="AS4424">
        <v>0</v>
      </c>
      <c r="AT4424">
        <v>0</v>
      </c>
      <c r="AV4424">
        <v>0</v>
      </c>
      <c r="AW4424">
        <v>0</v>
      </c>
      <c r="AX4424">
        <v>120</v>
      </c>
      <c r="AY4424">
        <v>-12</v>
      </c>
      <c r="AZ4424">
        <v>0</v>
      </c>
      <c r="BA4424">
        <v>124.8</v>
      </c>
      <c r="BE4424" t="str">
        <f>T("9791172822040")</f>
        <v>9791172822040</v>
      </c>
      <c r="BF4424" t="str">
        <f>T("D158654")</f>
        <v>D158654</v>
      </c>
      <c r="BG4424" t="str">
        <f>T("로판 웹소설 &gt; 서양풍 로판")</f>
        <v>로판 웹소설 &gt; 서양풍 로판</v>
      </c>
    </row>
    <row r="4425" spans="1:59">
      <c r="A4425" t="s">
        <v>60</v>
      </c>
      <c r="B4425" s="1">
        <v>46129</v>
      </c>
      <c r="C4425">
        <v>2378078499</v>
      </c>
      <c r="D4425">
        <v>2378078529</v>
      </c>
      <c r="E4425" t="str">
        <f>T("용사들은 성녀의 축복을 받아야 한다 31화")</f>
        <v>용사들은 성녀의 축복을 받아야 한다 31화</v>
      </c>
      <c r="F4425">
        <v>31</v>
      </c>
      <c r="G4425" t="str">
        <f>T("필밤")</f>
        <v>필밤</v>
      </c>
      <c r="J4425" t="str">
        <f>T("시계토끼")</f>
        <v>시계토끼</v>
      </c>
      <c r="K4425" t="str">
        <f>T("용사들은 성녀의 축복을 받아야 한다")</f>
        <v>용사들은 성녀의 축복을 받아야 한다</v>
      </c>
      <c r="L4425">
        <v>100</v>
      </c>
      <c r="M4425">
        <v>200</v>
      </c>
      <c r="N4425">
        <v>2</v>
      </c>
      <c r="O4425">
        <v>0</v>
      </c>
      <c r="P4425">
        <v>0</v>
      </c>
      <c r="Q4425">
        <v>0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0</v>
      </c>
      <c r="AC4425">
        <v>0</v>
      </c>
      <c r="AD4425">
        <v>0</v>
      </c>
      <c r="AE4425">
        <v>0</v>
      </c>
      <c r="AF4425">
        <v>0</v>
      </c>
      <c r="AG4425">
        <v>0</v>
      </c>
      <c r="AH4425">
        <v>0</v>
      </c>
      <c r="AI4425">
        <v>200</v>
      </c>
      <c r="AJ4425">
        <v>2</v>
      </c>
      <c r="AK4425">
        <v>0</v>
      </c>
      <c r="AL4425">
        <v>0</v>
      </c>
      <c r="AM4425">
        <v>100</v>
      </c>
      <c r="AN4425">
        <v>0</v>
      </c>
      <c r="AO4425">
        <v>120</v>
      </c>
      <c r="AP4425">
        <v>-12</v>
      </c>
      <c r="AQ4425">
        <v>0</v>
      </c>
      <c r="AS4425">
        <v>0</v>
      </c>
      <c r="AT4425">
        <v>0</v>
      </c>
      <c r="AV4425">
        <v>0</v>
      </c>
      <c r="AW4425">
        <v>0</v>
      </c>
      <c r="AX4425">
        <v>120</v>
      </c>
      <c r="AY4425">
        <v>-12</v>
      </c>
      <c r="AZ4425">
        <v>0</v>
      </c>
      <c r="BA4425">
        <v>124.8</v>
      </c>
      <c r="BE4425" t="str">
        <f>T("9791172822040")</f>
        <v>9791172822040</v>
      </c>
      <c r="BF4425" t="str">
        <f>T("D158655")</f>
        <v>D158655</v>
      </c>
      <c r="BG4425" t="str">
        <f>T("로판 웹소설 &gt; 서양풍 로판")</f>
        <v>로판 웹소설 &gt; 서양풍 로판</v>
      </c>
    </row>
    <row r="4426" spans="1:59">
      <c r="A4426" t="s">
        <v>60</v>
      </c>
      <c r="B4426" s="1">
        <v>46129</v>
      </c>
      <c r="C4426">
        <v>2378078499</v>
      </c>
      <c r="D4426">
        <v>2378078530</v>
      </c>
      <c r="E4426" t="str">
        <f>T("용사들은 성녀의 축복을 받아야 한다 32화")</f>
        <v>용사들은 성녀의 축복을 받아야 한다 32화</v>
      </c>
      <c r="F4426">
        <v>32</v>
      </c>
      <c r="G4426" t="str">
        <f>T("필밤")</f>
        <v>필밤</v>
      </c>
      <c r="J4426" t="str">
        <f>T("시계토끼")</f>
        <v>시계토끼</v>
      </c>
      <c r="K4426" t="str">
        <f>T("용사들은 성녀의 축복을 받아야 한다")</f>
        <v>용사들은 성녀의 축복을 받아야 한다</v>
      </c>
      <c r="L4426">
        <v>100</v>
      </c>
      <c r="M4426">
        <v>200</v>
      </c>
      <c r="N4426">
        <v>2</v>
      </c>
      <c r="O4426">
        <v>0</v>
      </c>
      <c r="P4426">
        <v>0</v>
      </c>
      <c r="Q4426">
        <v>0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0</v>
      </c>
      <c r="AC4426">
        <v>0</v>
      </c>
      <c r="AD4426">
        <v>0</v>
      </c>
      <c r="AE4426">
        <v>0</v>
      </c>
      <c r="AF4426">
        <v>0</v>
      </c>
      <c r="AG4426">
        <v>0</v>
      </c>
      <c r="AH4426">
        <v>0</v>
      </c>
      <c r="AI4426">
        <v>200</v>
      </c>
      <c r="AJ4426">
        <v>2</v>
      </c>
      <c r="AK4426">
        <v>0</v>
      </c>
      <c r="AL4426">
        <v>0</v>
      </c>
      <c r="AM4426">
        <v>100</v>
      </c>
      <c r="AN4426">
        <v>0</v>
      </c>
      <c r="AO4426">
        <v>120</v>
      </c>
      <c r="AP4426">
        <v>-12</v>
      </c>
      <c r="AQ4426">
        <v>0</v>
      </c>
      <c r="AS4426">
        <v>0</v>
      </c>
      <c r="AT4426">
        <v>0</v>
      </c>
      <c r="AV4426">
        <v>0</v>
      </c>
      <c r="AW4426">
        <v>0</v>
      </c>
      <c r="AX4426">
        <v>120</v>
      </c>
      <c r="AY4426">
        <v>-12</v>
      </c>
      <c r="AZ4426">
        <v>0</v>
      </c>
      <c r="BA4426">
        <v>124.8</v>
      </c>
      <c r="BE4426" t="str">
        <f>T("9791172822040")</f>
        <v>9791172822040</v>
      </c>
      <c r="BF4426" t="str">
        <f>T("D158656")</f>
        <v>D158656</v>
      </c>
      <c r="BG4426" t="str">
        <f>T("로판 웹소설 &gt; 서양풍 로판")</f>
        <v>로판 웹소설 &gt; 서양풍 로판</v>
      </c>
    </row>
    <row r="4427" spans="1:59">
      <c r="A4427" t="s">
        <v>60</v>
      </c>
      <c r="B4427" s="1">
        <v>46129</v>
      </c>
      <c r="C4427">
        <v>2378078499</v>
      </c>
      <c r="D4427">
        <v>2378078531</v>
      </c>
      <c r="E4427" t="str">
        <f>T("용사들은 성녀의 축복을 받아야 한다 33화")</f>
        <v>용사들은 성녀의 축복을 받아야 한다 33화</v>
      </c>
      <c r="F4427">
        <v>33</v>
      </c>
      <c r="G4427" t="str">
        <f>T("필밤")</f>
        <v>필밤</v>
      </c>
      <c r="J4427" t="str">
        <f>T("시계토끼")</f>
        <v>시계토끼</v>
      </c>
      <c r="K4427" t="str">
        <f>T("용사들은 성녀의 축복을 받아야 한다")</f>
        <v>용사들은 성녀의 축복을 받아야 한다</v>
      </c>
      <c r="L4427">
        <v>100</v>
      </c>
      <c r="M4427">
        <v>200</v>
      </c>
      <c r="N4427">
        <v>2</v>
      </c>
      <c r="O4427">
        <v>0</v>
      </c>
      <c r="P4427">
        <v>0</v>
      </c>
      <c r="Q4427">
        <v>0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0</v>
      </c>
      <c r="AC4427">
        <v>0</v>
      </c>
      <c r="AD4427">
        <v>0</v>
      </c>
      <c r="AE4427">
        <v>0</v>
      </c>
      <c r="AF4427">
        <v>0</v>
      </c>
      <c r="AG4427">
        <v>0</v>
      </c>
      <c r="AH4427">
        <v>0</v>
      </c>
      <c r="AI4427">
        <v>200</v>
      </c>
      <c r="AJ4427">
        <v>2</v>
      </c>
      <c r="AK4427">
        <v>0</v>
      </c>
      <c r="AL4427">
        <v>0</v>
      </c>
      <c r="AM4427">
        <v>100</v>
      </c>
      <c r="AN4427">
        <v>0</v>
      </c>
      <c r="AO4427">
        <v>120</v>
      </c>
      <c r="AP4427">
        <v>-12</v>
      </c>
      <c r="AQ4427">
        <v>0</v>
      </c>
      <c r="AS4427">
        <v>0</v>
      </c>
      <c r="AT4427">
        <v>0</v>
      </c>
      <c r="AV4427">
        <v>0</v>
      </c>
      <c r="AW4427">
        <v>0</v>
      </c>
      <c r="AX4427">
        <v>120</v>
      </c>
      <c r="AY4427">
        <v>-12</v>
      </c>
      <c r="AZ4427">
        <v>0</v>
      </c>
      <c r="BA4427">
        <v>124.8</v>
      </c>
      <c r="BE4427" t="str">
        <f>T("9791172822040")</f>
        <v>9791172822040</v>
      </c>
      <c r="BF4427" t="str">
        <f>T("D158657")</f>
        <v>D158657</v>
      </c>
      <c r="BG4427" t="str">
        <f>T("로판 웹소설 &gt; 서양풍 로판")</f>
        <v>로판 웹소설 &gt; 서양풍 로판</v>
      </c>
    </row>
    <row r="4428" spans="1:59">
      <c r="A4428" t="s">
        <v>60</v>
      </c>
      <c r="B4428" s="1">
        <v>46129</v>
      </c>
      <c r="C4428">
        <v>2378078499</v>
      </c>
      <c r="D4428">
        <v>2378078532</v>
      </c>
      <c r="E4428" t="str">
        <f>T("용사들은 성녀의 축복을 받아야 한다 34화")</f>
        <v>용사들은 성녀의 축복을 받아야 한다 34화</v>
      </c>
      <c r="F4428">
        <v>34</v>
      </c>
      <c r="G4428" t="str">
        <f>T("필밤")</f>
        <v>필밤</v>
      </c>
      <c r="J4428" t="str">
        <f>T("시계토끼")</f>
        <v>시계토끼</v>
      </c>
      <c r="K4428" t="str">
        <f>T("용사들은 성녀의 축복을 받아야 한다")</f>
        <v>용사들은 성녀의 축복을 받아야 한다</v>
      </c>
      <c r="L4428">
        <v>100</v>
      </c>
      <c r="M4428">
        <v>200</v>
      </c>
      <c r="N4428">
        <v>2</v>
      </c>
      <c r="O4428">
        <v>0</v>
      </c>
      <c r="P4428">
        <v>0</v>
      </c>
      <c r="Q4428">
        <v>0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0</v>
      </c>
      <c r="AC4428">
        <v>0</v>
      </c>
      <c r="AD4428">
        <v>0</v>
      </c>
      <c r="AE4428">
        <v>0</v>
      </c>
      <c r="AF4428">
        <v>0</v>
      </c>
      <c r="AG4428">
        <v>0</v>
      </c>
      <c r="AH4428">
        <v>0</v>
      </c>
      <c r="AI4428">
        <v>200</v>
      </c>
      <c r="AJ4428">
        <v>2</v>
      </c>
      <c r="AK4428">
        <v>0</v>
      </c>
      <c r="AL4428">
        <v>0</v>
      </c>
      <c r="AM4428">
        <v>100</v>
      </c>
      <c r="AN4428">
        <v>0</v>
      </c>
      <c r="AO4428">
        <v>120</v>
      </c>
      <c r="AP4428">
        <v>-12</v>
      </c>
      <c r="AQ4428">
        <v>0</v>
      </c>
      <c r="AS4428">
        <v>0</v>
      </c>
      <c r="AT4428">
        <v>0</v>
      </c>
      <c r="AV4428">
        <v>0</v>
      </c>
      <c r="AW4428">
        <v>0</v>
      </c>
      <c r="AX4428">
        <v>120</v>
      </c>
      <c r="AY4428">
        <v>-12</v>
      </c>
      <c r="AZ4428">
        <v>0</v>
      </c>
      <c r="BA4428">
        <v>124.8</v>
      </c>
      <c r="BE4428" t="str">
        <f>T("9791172822040")</f>
        <v>9791172822040</v>
      </c>
      <c r="BF4428" t="str">
        <f>T("D158658")</f>
        <v>D158658</v>
      </c>
      <c r="BG4428" t="str">
        <f>T("로판 웹소설 &gt; 서양풍 로판")</f>
        <v>로판 웹소설 &gt; 서양풍 로판</v>
      </c>
    </row>
    <row r="4429" spans="1:59">
      <c r="A4429" t="s">
        <v>60</v>
      </c>
      <c r="B4429" s="1">
        <v>46129</v>
      </c>
      <c r="C4429">
        <v>2378078499</v>
      </c>
      <c r="D4429">
        <v>2378078533</v>
      </c>
      <c r="E4429" t="str">
        <f>T("용사들은 성녀의 축복을 받아야 한다 35화")</f>
        <v>용사들은 성녀의 축복을 받아야 한다 35화</v>
      </c>
      <c r="F4429">
        <v>35</v>
      </c>
      <c r="G4429" t="str">
        <f>T("필밤")</f>
        <v>필밤</v>
      </c>
      <c r="J4429" t="str">
        <f>T("시계토끼")</f>
        <v>시계토끼</v>
      </c>
      <c r="K4429" t="str">
        <f>T("용사들은 성녀의 축복을 받아야 한다")</f>
        <v>용사들은 성녀의 축복을 받아야 한다</v>
      </c>
      <c r="L4429">
        <v>100</v>
      </c>
      <c r="M4429">
        <v>100</v>
      </c>
      <c r="N4429">
        <v>1</v>
      </c>
      <c r="O4429">
        <v>0</v>
      </c>
      <c r="P4429">
        <v>0</v>
      </c>
      <c r="Q4429">
        <v>0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0</v>
      </c>
      <c r="AC4429">
        <v>0</v>
      </c>
      <c r="AD4429">
        <v>0</v>
      </c>
      <c r="AE4429">
        <v>0</v>
      </c>
      <c r="AF4429">
        <v>0</v>
      </c>
      <c r="AG4429">
        <v>0</v>
      </c>
      <c r="AH4429">
        <v>0</v>
      </c>
      <c r="AI4429">
        <v>100</v>
      </c>
      <c r="AJ4429">
        <v>1</v>
      </c>
      <c r="AK4429">
        <v>0</v>
      </c>
      <c r="AL4429">
        <v>0</v>
      </c>
      <c r="AM4429">
        <v>0</v>
      </c>
      <c r="AN4429">
        <v>0</v>
      </c>
      <c r="AO4429">
        <v>120</v>
      </c>
      <c r="AP4429">
        <v>-12</v>
      </c>
      <c r="AQ4429">
        <v>0</v>
      </c>
      <c r="AS4429">
        <v>0</v>
      </c>
      <c r="AT4429">
        <v>0</v>
      </c>
      <c r="AV4429">
        <v>0</v>
      </c>
      <c r="AW4429">
        <v>0</v>
      </c>
      <c r="AX4429">
        <v>120</v>
      </c>
      <c r="AY4429">
        <v>-12</v>
      </c>
      <c r="AZ4429">
        <v>0</v>
      </c>
      <c r="BA4429">
        <v>64.8</v>
      </c>
      <c r="BE4429" t="str">
        <f>T("9791172822040")</f>
        <v>9791172822040</v>
      </c>
      <c r="BF4429" t="str">
        <f>T("D158659")</f>
        <v>D158659</v>
      </c>
      <c r="BG4429" t="str">
        <f>T("로판 웹소설 &gt; 서양풍 로판")</f>
        <v>로판 웹소설 &gt; 서양풍 로판</v>
      </c>
    </row>
    <row r="4430" spans="1:59">
      <c r="A4430" t="s">
        <v>60</v>
      </c>
      <c r="B4430" s="1">
        <v>46129</v>
      </c>
      <c r="C4430">
        <v>2378078499</v>
      </c>
      <c r="D4430">
        <v>2378078534</v>
      </c>
      <c r="E4430" t="str">
        <f>T("용사들은 성녀의 축복을 받아야 한다 36화")</f>
        <v>용사들은 성녀의 축복을 받아야 한다 36화</v>
      </c>
      <c r="F4430">
        <v>36</v>
      </c>
      <c r="G4430" t="str">
        <f>T("필밤")</f>
        <v>필밤</v>
      </c>
      <c r="J4430" t="str">
        <f>T("시계토끼")</f>
        <v>시계토끼</v>
      </c>
      <c r="K4430" t="str">
        <f>T("용사들은 성녀의 축복을 받아야 한다")</f>
        <v>용사들은 성녀의 축복을 받아야 한다</v>
      </c>
      <c r="L4430">
        <v>100</v>
      </c>
      <c r="M4430">
        <v>100</v>
      </c>
      <c r="N4430">
        <v>1</v>
      </c>
      <c r="O4430">
        <v>0</v>
      </c>
      <c r="P4430">
        <v>0</v>
      </c>
      <c r="Q4430">
        <v>0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0</v>
      </c>
      <c r="AC4430">
        <v>0</v>
      </c>
      <c r="AD4430">
        <v>0</v>
      </c>
      <c r="AE4430">
        <v>0</v>
      </c>
      <c r="AF4430">
        <v>0</v>
      </c>
      <c r="AG4430">
        <v>0</v>
      </c>
      <c r="AH4430">
        <v>0</v>
      </c>
      <c r="AI4430">
        <v>100</v>
      </c>
      <c r="AJ4430">
        <v>1</v>
      </c>
      <c r="AK4430">
        <v>0</v>
      </c>
      <c r="AL4430">
        <v>0</v>
      </c>
      <c r="AM4430">
        <v>0</v>
      </c>
      <c r="AN4430">
        <v>0</v>
      </c>
      <c r="AO4430">
        <v>120</v>
      </c>
      <c r="AP4430">
        <v>-12</v>
      </c>
      <c r="AQ4430">
        <v>0</v>
      </c>
      <c r="AS4430">
        <v>0</v>
      </c>
      <c r="AT4430">
        <v>0</v>
      </c>
      <c r="AV4430">
        <v>0</v>
      </c>
      <c r="AW4430">
        <v>0</v>
      </c>
      <c r="AX4430">
        <v>120</v>
      </c>
      <c r="AY4430">
        <v>-12</v>
      </c>
      <c r="AZ4430">
        <v>0</v>
      </c>
      <c r="BA4430">
        <v>64.8</v>
      </c>
      <c r="BE4430" t="str">
        <f>T("9791172822040")</f>
        <v>9791172822040</v>
      </c>
      <c r="BF4430" t="str">
        <f>T("D158660")</f>
        <v>D158660</v>
      </c>
      <c r="BG4430" t="str">
        <f>T("로판 웹소설 &gt; 서양풍 로판")</f>
        <v>로판 웹소설 &gt; 서양풍 로판</v>
      </c>
    </row>
    <row r="4431" spans="1:59">
      <c r="A4431" t="s">
        <v>60</v>
      </c>
      <c r="B4431" s="1">
        <v>46129</v>
      </c>
      <c r="C4431">
        <v>2378078499</v>
      </c>
      <c r="D4431">
        <v>2378078535</v>
      </c>
      <c r="E4431" t="str">
        <f>T("용사들은 성녀의 축복을 받아야 한다 37화")</f>
        <v>용사들은 성녀의 축복을 받아야 한다 37화</v>
      </c>
      <c r="F4431">
        <v>37</v>
      </c>
      <c r="G4431" t="str">
        <f>T("필밤")</f>
        <v>필밤</v>
      </c>
      <c r="J4431" t="str">
        <f>T("시계토끼")</f>
        <v>시계토끼</v>
      </c>
      <c r="K4431" t="str">
        <f>T("용사들은 성녀의 축복을 받아야 한다")</f>
        <v>용사들은 성녀의 축복을 받아야 한다</v>
      </c>
      <c r="L4431">
        <v>100</v>
      </c>
      <c r="M4431">
        <v>200</v>
      </c>
      <c r="N4431">
        <v>2</v>
      </c>
      <c r="O4431">
        <v>0</v>
      </c>
      <c r="P4431">
        <v>0</v>
      </c>
      <c r="Q4431">
        <v>0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0</v>
      </c>
      <c r="AC4431">
        <v>0</v>
      </c>
      <c r="AD4431">
        <v>0</v>
      </c>
      <c r="AE4431">
        <v>0</v>
      </c>
      <c r="AF4431">
        <v>0</v>
      </c>
      <c r="AG4431">
        <v>0</v>
      </c>
      <c r="AH4431">
        <v>0</v>
      </c>
      <c r="AI4431">
        <v>200</v>
      </c>
      <c r="AJ4431">
        <v>2</v>
      </c>
      <c r="AK4431">
        <v>0</v>
      </c>
      <c r="AL4431">
        <v>0</v>
      </c>
      <c r="AM4431">
        <v>100</v>
      </c>
      <c r="AN4431">
        <v>0</v>
      </c>
      <c r="AO4431">
        <v>120</v>
      </c>
      <c r="AP4431">
        <v>-12</v>
      </c>
      <c r="AQ4431">
        <v>0</v>
      </c>
      <c r="AS4431">
        <v>0</v>
      </c>
      <c r="AT4431">
        <v>0</v>
      </c>
      <c r="AV4431">
        <v>0</v>
      </c>
      <c r="AW4431">
        <v>0</v>
      </c>
      <c r="AX4431">
        <v>120</v>
      </c>
      <c r="AY4431">
        <v>-12</v>
      </c>
      <c r="AZ4431">
        <v>0</v>
      </c>
      <c r="BA4431">
        <v>124.8</v>
      </c>
      <c r="BE4431" t="str">
        <f>T("9791172822040")</f>
        <v>9791172822040</v>
      </c>
      <c r="BF4431" t="str">
        <f>T("D158661")</f>
        <v>D158661</v>
      </c>
      <c r="BG4431" t="str">
        <f>T("로판 웹소설 &gt; 서양풍 로판")</f>
        <v>로판 웹소설 &gt; 서양풍 로판</v>
      </c>
    </row>
    <row r="4432" spans="1:59">
      <c r="A4432" t="s">
        <v>60</v>
      </c>
      <c r="B4432" s="1">
        <v>46129</v>
      </c>
      <c r="C4432">
        <v>2378078499</v>
      </c>
      <c r="D4432">
        <v>2378078536</v>
      </c>
      <c r="E4432" t="str">
        <f>T("용사들은 성녀의 축복을 받아야 한다 38화")</f>
        <v>용사들은 성녀의 축복을 받아야 한다 38화</v>
      </c>
      <c r="F4432">
        <v>38</v>
      </c>
      <c r="G4432" t="str">
        <f>T("필밤")</f>
        <v>필밤</v>
      </c>
      <c r="J4432" t="str">
        <f>T("시계토끼")</f>
        <v>시계토끼</v>
      </c>
      <c r="K4432" t="str">
        <f>T("용사들은 성녀의 축복을 받아야 한다")</f>
        <v>용사들은 성녀의 축복을 받아야 한다</v>
      </c>
      <c r="L4432">
        <v>100</v>
      </c>
      <c r="M4432">
        <v>200</v>
      </c>
      <c r="N4432">
        <v>2</v>
      </c>
      <c r="O4432">
        <v>0</v>
      </c>
      <c r="P4432">
        <v>0</v>
      </c>
      <c r="Q4432">
        <v>0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0</v>
      </c>
      <c r="AC4432">
        <v>0</v>
      </c>
      <c r="AD4432">
        <v>0</v>
      </c>
      <c r="AE4432">
        <v>0</v>
      </c>
      <c r="AF4432">
        <v>0</v>
      </c>
      <c r="AG4432">
        <v>0</v>
      </c>
      <c r="AH4432">
        <v>0</v>
      </c>
      <c r="AI4432">
        <v>200</v>
      </c>
      <c r="AJ4432">
        <v>2</v>
      </c>
      <c r="AK4432">
        <v>0</v>
      </c>
      <c r="AL4432">
        <v>0</v>
      </c>
      <c r="AM4432">
        <v>100</v>
      </c>
      <c r="AN4432">
        <v>0</v>
      </c>
      <c r="AO4432">
        <v>120</v>
      </c>
      <c r="AP4432">
        <v>-12</v>
      </c>
      <c r="AQ4432">
        <v>0</v>
      </c>
      <c r="AS4432">
        <v>0</v>
      </c>
      <c r="AT4432">
        <v>0</v>
      </c>
      <c r="AV4432">
        <v>0</v>
      </c>
      <c r="AW4432">
        <v>0</v>
      </c>
      <c r="AX4432">
        <v>120</v>
      </c>
      <c r="AY4432">
        <v>-12</v>
      </c>
      <c r="AZ4432">
        <v>0</v>
      </c>
      <c r="BA4432">
        <v>124.8</v>
      </c>
      <c r="BE4432" t="str">
        <f>T("9791172822040")</f>
        <v>9791172822040</v>
      </c>
      <c r="BF4432" t="str">
        <f>T("D158662")</f>
        <v>D158662</v>
      </c>
      <c r="BG4432" t="str">
        <f>T("로판 웹소설 &gt; 서양풍 로판")</f>
        <v>로판 웹소설 &gt; 서양풍 로판</v>
      </c>
    </row>
    <row r="4433" spans="1:59">
      <c r="A4433" t="s">
        <v>60</v>
      </c>
      <c r="B4433" s="1">
        <v>46129</v>
      </c>
      <c r="C4433">
        <v>2378078499</v>
      </c>
      <c r="D4433">
        <v>2378078537</v>
      </c>
      <c r="E4433" t="str">
        <f>T("용사들은 성녀의 축복을 받아야 한다 39화")</f>
        <v>용사들은 성녀의 축복을 받아야 한다 39화</v>
      </c>
      <c r="F4433">
        <v>39</v>
      </c>
      <c r="G4433" t="str">
        <f>T("필밤")</f>
        <v>필밤</v>
      </c>
      <c r="J4433" t="str">
        <f>T("시계토끼")</f>
        <v>시계토끼</v>
      </c>
      <c r="K4433" t="str">
        <f>T("용사들은 성녀의 축복을 받아야 한다")</f>
        <v>용사들은 성녀의 축복을 받아야 한다</v>
      </c>
      <c r="L4433">
        <v>100</v>
      </c>
      <c r="M4433">
        <v>300</v>
      </c>
      <c r="N4433">
        <v>3</v>
      </c>
      <c r="O4433">
        <v>0</v>
      </c>
      <c r="P4433">
        <v>0</v>
      </c>
      <c r="Q4433">
        <v>0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0</v>
      </c>
      <c r="AC4433">
        <v>0</v>
      </c>
      <c r="AD4433">
        <v>0</v>
      </c>
      <c r="AE4433">
        <v>0</v>
      </c>
      <c r="AF4433">
        <v>0</v>
      </c>
      <c r="AG4433">
        <v>0</v>
      </c>
      <c r="AH4433">
        <v>0</v>
      </c>
      <c r="AI4433">
        <v>300</v>
      </c>
      <c r="AJ4433">
        <v>3</v>
      </c>
      <c r="AK4433">
        <v>0</v>
      </c>
      <c r="AL4433">
        <v>0</v>
      </c>
      <c r="AM4433">
        <v>200</v>
      </c>
      <c r="AN4433">
        <v>0</v>
      </c>
      <c r="AO4433">
        <v>120</v>
      </c>
      <c r="AP4433">
        <v>-12</v>
      </c>
      <c r="AQ4433">
        <v>0</v>
      </c>
      <c r="AS4433">
        <v>0</v>
      </c>
      <c r="AT4433">
        <v>0</v>
      </c>
      <c r="AV4433">
        <v>0</v>
      </c>
      <c r="AW4433">
        <v>0</v>
      </c>
      <c r="AX4433">
        <v>120</v>
      </c>
      <c r="AY4433">
        <v>-12</v>
      </c>
      <c r="AZ4433">
        <v>0</v>
      </c>
      <c r="BA4433">
        <v>184.8</v>
      </c>
      <c r="BE4433" t="str">
        <f>T("9791172822040")</f>
        <v>9791172822040</v>
      </c>
      <c r="BF4433" t="str">
        <f>T("D158663")</f>
        <v>D158663</v>
      </c>
      <c r="BG4433" t="str">
        <f>T("로판 웹소설 &gt; 서양풍 로판")</f>
        <v>로판 웹소설 &gt; 서양풍 로판</v>
      </c>
    </row>
    <row r="4434" spans="1:59">
      <c r="A4434" t="s">
        <v>60</v>
      </c>
      <c r="B4434" s="1">
        <v>46129</v>
      </c>
      <c r="C4434">
        <v>2378078499</v>
      </c>
      <c r="D4434">
        <v>2378078538</v>
      </c>
      <c r="E4434" t="str">
        <f>T("용사들은 성녀의 축복을 받아야 한다 40화")</f>
        <v>용사들은 성녀의 축복을 받아야 한다 40화</v>
      </c>
      <c r="F4434">
        <v>40</v>
      </c>
      <c r="G4434" t="str">
        <f>T("필밤")</f>
        <v>필밤</v>
      </c>
      <c r="J4434" t="str">
        <f>T("시계토끼")</f>
        <v>시계토끼</v>
      </c>
      <c r="K4434" t="str">
        <f>T("용사들은 성녀의 축복을 받아야 한다")</f>
        <v>용사들은 성녀의 축복을 받아야 한다</v>
      </c>
      <c r="L4434">
        <v>100</v>
      </c>
      <c r="M4434">
        <v>300</v>
      </c>
      <c r="N4434">
        <v>3</v>
      </c>
      <c r="O4434">
        <v>0</v>
      </c>
      <c r="P4434">
        <v>0</v>
      </c>
      <c r="Q4434">
        <v>0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0</v>
      </c>
      <c r="AC4434">
        <v>0</v>
      </c>
      <c r="AD4434">
        <v>0</v>
      </c>
      <c r="AE4434">
        <v>0</v>
      </c>
      <c r="AF4434">
        <v>0</v>
      </c>
      <c r="AG4434">
        <v>0</v>
      </c>
      <c r="AH4434">
        <v>0</v>
      </c>
      <c r="AI4434">
        <v>300</v>
      </c>
      <c r="AJ4434">
        <v>3</v>
      </c>
      <c r="AK4434">
        <v>0</v>
      </c>
      <c r="AL4434">
        <v>0</v>
      </c>
      <c r="AM4434">
        <v>200</v>
      </c>
      <c r="AN4434">
        <v>0</v>
      </c>
      <c r="AO4434">
        <v>120</v>
      </c>
      <c r="AP4434">
        <v>-12</v>
      </c>
      <c r="AQ4434">
        <v>0</v>
      </c>
      <c r="AS4434">
        <v>0</v>
      </c>
      <c r="AT4434">
        <v>0</v>
      </c>
      <c r="AV4434">
        <v>0</v>
      </c>
      <c r="AW4434">
        <v>0</v>
      </c>
      <c r="AX4434">
        <v>120</v>
      </c>
      <c r="AY4434">
        <v>-12</v>
      </c>
      <c r="AZ4434">
        <v>0</v>
      </c>
      <c r="BA4434">
        <v>184.8</v>
      </c>
      <c r="BE4434" t="str">
        <f>T("9791172822040")</f>
        <v>9791172822040</v>
      </c>
      <c r="BF4434" t="str">
        <f>T("D158664")</f>
        <v>D158664</v>
      </c>
      <c r="BG4434" t="str">
        <f>T("로판 웹소설 &gt; 서양풍 로판")</f>
        <v>로판 웹소설 &gt; 서양풍 로판</v>
      </c>
    </row>
    <row r="4435" spans="1:59">
      <c r="A4435" t="s">
        <v>60</v>
      </c>
      <c r="B4435" s="1">
        <v>46129</v>
      </c>
      <c r="C4435">
        <v>2378078499</v>
      </c>
      <c r="D4435">
        <v>2378078539</v>
      </c>
      <c r="E4435" t="str">
        <f>T("용사들은 성녀의 축복을 받아야 한다 41화")</f>
        <v>용사들은 성녀의 축복을 받아야 한다 41화</v>
      </c>
      <c r="F4435">
        <v>41</v>
      </c>
      <c r="G4435" t="str">
        <f>T("필밤")</f>
        <v>필밤</v>
      </c>
      <c r="J4435" t="str">
        <f>T("시계토끼")</f>
        <v>시계토끼</v>
      </c>
      <c r="K4435" t="str">
        <f>T("용사들은 성녀의 축복을 받아야 한다")</f>
        <v>용사들은 성녀의 축복을 받아야 한다</v>
      </c>
      <c r="L4435">
        <v>100</v>
      </c>
      <c r="M4435">
        <v>300</v>
      </c>
      <c r="N4435">
        <v>3</v>
      </c>
      <c r="O4435">
        <v>0</v>
      </c>
      <c r="P4435">
        <v>0</v>
      </c>
      <c r="Q4435">
        <v>0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0</v>
      </c>
      <c r="AC4435">
        <v>0</v>
      </c>
      <c r="AD4435">
        <v>0</v>
      </c>
      <c r="AE4435">
        <v>0</v>
      </c>
      <c r="AF4435">
        <v>0</v>
      </c>
      <c r="AG4435">
        <v>0</v>
      </c>
      <c r="AH4435">
        <v>0</v>
      </c>
      <c r="AI4435">
        <v>300</v>
      </c>
      <c r="AJ4435">
        <v>3</v>
      </c>
      <c r="AK4435">
        <v>0</v>
      </c>
      <c r="AL4435">
        <v>0</v>
      </c>
      <c r="AM4435">
        <v>200</v>
      </c>
      <c r="AN4435">
        <v>0</v>
      </c>
      <c r="AO4435">
        <v>120</v>
      </c>
      <c r="AP4435">
        <v>-12</v>
      </c>
      <c r="AQ4435">
        <v>0</v>
      </c>
      <c r="AS4435">
        <v>0</v>
      </c>
      <c r="AT4435">
        <v>0</v>
      </c>
      <c r="AV4435">
        <v>0</v>
      </c>
      <c r="AW4435">
        <v>0</v>
      </c>
      <c r="AX4435">
        <v>120</v>
      </c>
      <c r="AY4435">
        <v>-12</v>
      </c>
      <c r="AZ4435">
        <v>0</v>
      </c>
      <c r="BA4435">
        <v>184.8</v>
      </c>
      <c r="BE4435" t="str">
        <f>T("9791172822040")</f>
        <v>9791172822040</v>
      </c>
      <c r="BF4435" t="str">
        <f>T("D158665")</f>
        <v>D158665</v>
      </c>
      <c r="BG4435" t="str">
        <f>T("로판 웹소설 &gt; 서양풍 로판")</f>
        <v>로판 웹소설 &gt; 서양풍 로판</v>
      </c>
    </row>
    <row r="4436" spans="1:59">
      <c r="A4436" t="s">
        <v>60</v>
      </c>
      <c r="B4436" s="1">
        <v>46129</v>
      </c>
      <c r="C4436">
        <v>2378078499</v>
      </c>
      <c r="D4436">
        <v>2378078540</v>
      </c>
      <c r="E4436" t="str">
        <f>T("용사들은 성녀의 축복을 받아야 한다 42화")</f>
        <v>용사들은 성녀의 축복을 받아야 한다 42화</v>
      </c>
      <c r="F4436">
        <v>42</v>
      </c>
      <c r="G4436" t="str">
        <f>T("필밤")</f>
        <v>필밤</v>
      </c>
      <c r="J4436" t="str">
        <f>T("시계토끼")</f>
        <v>시계토끼</v>
      </c>
      <c r="K4436" t="str">
        <f>T("용사들은 성녀의 축복을 받아야 한다")</f>
        <v>용사들은 성녀의 축복을 받아야 한다</v>
      </c>
      <c r="L4436">
        <v>100</v>
      </c>
      <c r="M4436">
        <v>300</v>
      </c>
      <c r="N4436">
        <v>3</v>
      </c>
      <c r="O4436">
        <v>0</v>
      </c>
      <c r="P4436">
        <v>0</v>
      </c>
      <c r="Q4436">
        <v>0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0</v>
      </c>
      <c r="AC4436">
        <v>0</v>
      </c>
      <c r="AD4436">
        <v>0</v>
      </c>
      <c r="AE4436">
        <v>0</v>
      </c>
      <c r="AF4436">
        <v>0</v>
      </c>
      <c r="AG4436">
        <v>0</v>
      </c>
      <c r="AH4436">
        <v>0</v>
      </c>
      <c r="AI4436">
        <v>300</v>
      </c>
      <c r="AJ4436">
        <v>3</v>
      </c>
      <c r="AK4436">
        <v>0</v>
      </c>
      <c r="AL4436">
        <v>0</v>
      </c>
      <c r="AM4436">
        <v>200</v>
      </c>
      <c r="AN4436">
        <v>0</v>
      </c>
      <c r="AO4436">
        <v>120</v>
      </c>
      <c r="AP4436">
        <v>-12</v>
      </c>
      <c r="AQ4436">
        <v>0</v>
      </c>
      <c r="AS4436">
        <v>0</v>
      </c>
      <c r="AT4436">
        <v>0</v>
      </c>
      <c r="AV4436">
        <v>0</v>
      </c>
      <c r="AW4436">
        <v>0</v>
      </c>
      <c r="AX4436">
        <v>120</v>
      </c>
      <c r="AY4436">
        <v>-12</v>
      </c>
      <c r="AZ4436">
        <v>0</v>
      </c>
      <c r="BA4436">
        <v>184.8</v>
      </c>
      <c r="BE4436" t="str">
        <f>T("9791172822040")</f>
        <v>9791172822040</v>
      </c>
      <c r="BF4436" t="str">
        <f>T("D158666")</f>
        <v>D158666</v>
      </c>
      <c r="BG4436" t="str">
        <f>T("로판 웹소설 &gt; 서양풍 로판")</f>
        <v>로판 웹소설 &gt; 서양풍 로판</v>
      </c>
    </row>
    <row r="4437" spans="1:59">
      <c r="A4437" t="s">
        <v>60</v>
      </c>
      <c r="B4437" s="1">
        <v>46129</v>
      </c>
      <c r="C4437">
        <v>2378078499</v>
      </c>
      <c r="D4437">
        <v>2378078541</v>
      </c>
      <c r="E4437" t="str">
        <f>T("용사들은 성녀의 축복을 받아야 한다 43화")</f>
        <v>용사들은 성녀의 축복을 받아야 한다 43화</v>
      </c>
      <c r="F4437">
        <v>43</v>
      </c>
      <c r="G4437" t="str">
        <f>T("필밤")</f>
        <v>필밤</v>
      </c>
      <c r="J4437" t="str">
        <f>T("시계토끼")</f>
        <v>시계토끼</v>
      </c>
      <c r="K4437" t="str">
        <f>T("용사들은 성녀의 축복을 받아야 한다")</f>
        <v>용사들은 성녀의 축복을 받아야 한다</v>
      </c>
      <c r="L4437">
        <v>100</v>
      </c>
      <c r="M4437">
        <v>100</v>
      </c>
      <c r="N4437">
        <v>1</v>
      </c>
      <c r="O4437">
        <v>0</v>
      </c>
      <c r="P4437">
        <v>0</v>
      </c>
      <c r="Q4437">
        <v>0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0</v>
      </c>
      <c r="AC4437">
        <v>0</v>
      </c>
      <c r="AD4437">
        <v>0</v>
      </c>
      <c r="AE4437">
        <v>0</v>
      </c>
      <c r="AF4437">
        <v>0</v>
      </c>
      <c r="AG4437">
        <v>0</v>
      </c>
      <c r="AH4437">
        <v>0</v>
      </c>
      <c r="AI4437">
        <v>100</v>
      </c>
      <c r="AJ4437">
        <v>1</v>
      </c>
      <c r="AK4437">
        <v>0</v>
      </c>
      <c r="AL4437">
        <v>0</v>
      </c>
      <c r="AM4437">
        <v>0</v>
      </c>
      <c r="AN4437">
        <v>0</v>
      </c>
      <c r="AO4437">
        <v>120</v>
      </c>
      <c r="AP4437">
        <v>-12</v>
      </c>
      <c r="AQ4437">
        <v>0</v>
      </c>
      <c r="AS4437">
        <v>0</v>
      </c>
      <c r="AT4437">
        <v>0</v>
      </c>
      <c r="AV4437">
        <v>0</v>
      </c>
      <c r="AW4437">
        <v>0</v>
      </c>
      <c r="AX4437">
        <v>120</v>
      </c>
      <c r="AY4437">
        <v>-12</v>
      </c>
      <c r="AZ4437">
        <v>0</v>
      </c>
      <c r="BA4437">
        <v>64.8</v>
      </c>
      <c r="BE4437" t="str">
        <f>T("9791172822040")</f>
        <v>9791172822040</v>
      </c>
      <c r="BF4437" t="str">
        <f>T("D158667")</f>
        <v>D158667</v>
      </c>
      <c r="BG4437" t="str">
        <f>T("로판 웹소설 &gt; 서양풍 로판")</f>
        <v>로판 웹소설 &gt; 서양풍 로판</v>
      </c>
    </row>
    <row r="4438" spans="1:59">
      <c r="A4438" t="s">
        <v>60</v>
      </c>
      <c r="B4438" s="1">
        <v>46129</v>
      </c>
      <c r="C4438">
        <v>2378078499</v>
      </c>
      <c r="D4438">
        <v>2378078542</v>
      </c>
      <c r="E4438" t="str">
        <f>T("용사들은 성녀의 축복을 받아야 한다 44화")</f>
        <v>용사들은 성녀의 축복을 받아야 한다 44화</v>
      </c>
      <c r="F4438">
        <v>44</v>
      </c>
      <c r="G4438" t="str">
        <f>T("필밤")</f>
        <v>필밤</v>
      </c>
      <c r="J4438" t="str">
        <f>T("시계토끼")</f>
        <v>시계토끼</v>
      </c>
      <c r="K4438" t="str">
        <f>T("용사들은 성녀의 축복을 받아야 한다")</f>
        <v>용사들은 성녀의 축복을 받아야 한다</v>
      </c>
      <c r="L4438">
        <v>100</v>
      </c>
      <c r="M4438">
        <v>100</v>
      </c>
      <c r="N4438">
        <v>1</v>
      </c>
      <c r="O4438">
        <v>0</v>
      </c>
      <c r="P4438">
        <v>0</v>
      </c>
      <c r="Q4438">
        <v>0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0</v>
      </c>
      <c r="AC4438">
        <v>0</v>
      </c>
      <c r="AD4438">
        <v>0</v>
      </c>
      <c r="AE4438">
        <v>0</v>
      </c>
      <c r="AF4438">
        <v>0</v>
      </c>
      <c r="AG4438">
        <v>0</v>
      </c>
      <c r="AH4438">
        <v>0</v>
      </c>
      <c r="AI4438">
        <v>100</v>
      </c>
      <c r="AJ4438">
        <v>1</v>
      </c>
      <c r="AK4438">
        <v>0</v>
      </c>
      <c r="AL4438">
        <v>0</v>
      </c>
      <c r="AM4438">
        <v>0</v>
      </c>
      <c r="AN4438">
        <v>0</v>
      </c>
      <c r="AO4438">
        <v>120</v>
      </c>
      <c r="AP4438">
        <v>-12</v>
      </c>
      <c r="AQ4438">
        <v>0</v>
      </c>
      <c r="AS4438">
        <v>0</v>
      </c>
      <c r="AT4438">
        <v>0</v>
      </c>
      <c r="AV4438">
        <v>0</v>
      </c>
      <c r="AW4438">
        <v>0</v>
      </c>
      <c r="AX4438">
        <v>120</v>
      </c>
      <c r="AY4438">
        <v>-12</v>
      </c>
      <c r="AZ4438">
        <v>0</v>
      </c>
      <c r="BA4438">
        <v>64.8</v>
      </c>
      <c r="BE4438" t="str">
        <f>T("9791172822040")</f>
        <v>9791172822040</v>
      </c>
      <c r="BF4438" t="str">
        <f>T("D158668")</f>
        <v>D158668</v>
      </c>
      <c r="BG4438" t="str">
        <f>T("로판 웹소설 &gt; 서양풍 로판")</f>
        <v>로판 웹소설 &gt; 서양풍 로판</v>
      </c>
    </row>
    <row r="4439" spans="1:59">
      <c r="A4439" t="s">
        <v>60</v>
      </c>
      <c r="B4439" s="1">
        <v>46129</v>
      </c>
      <c r="C4439">
        <v>2378078499</v>
      </c>
      <c r="D4439">
        <v>2378078543</v>
      </c>
      <c r="E4439" t="str">
        <f>T("용사들은 성녀의 축복을 받아야 한다 45화")</f>
        <v>용사들은 성녀의 축복을 받아야 한다 45화</v>
      </c>
      <c r="F4439">
        <v>45</v>
      </c>
      <c r="G4439" t="str">
        <f>T("필밤")</f>
        <v>필밤</v>
      </c>
      <c r="J4439" t="str">
        <f>T("시계토끼")</f>
        <v>시계토끼</v>
      </c>
      <c r="K4439" t="str">
        <f>T("용사들은 성녀의 축복을 받아야 한다")</f>
        <v>용사들은 성녀의 축복을 받아야 한다</v>
      </c>
      <c r="L4439">
        <v>100</v>
      </c>
      <c r="M4439">
        <v>200</v>
      </c>
      <c r="N4439">
        <v>2</v>
      </c>
      <c r="O4439">
        <v>0</v>
      </c>
      <c r="P4439">
        <v>0</v>
      </c>
      <c r="Q4439">
        <v>0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0</v>
      </c>
      <c r="AC4439">
        <v>0</v>
      </c>
      <c r="AD4439">
        <v>0</v>
      </c>
      <c r="AE4439">
        <v>0</v>
      </c>
      <c r="AF4439">
        <v>0</v>
      </c>
      <c r="AG4439">
        <v>0</v>
      </c>
      <c r="AH4439">
        <v>0</v>
      </c>
      <c r="AI4439">
        <v>200</v>
      </c>
      <c r="AJ4439">
        <v>2</v>
      </c>
      <c r="AK4439">
        <v>0</v>
      </c>
      <c r="AL4439">
        <v>0</v>
      </c>
      <c r="AM4439">
        <v>100</v>
      </c>
      <c r="AN4439">
        <v>0</v>
      </c>
      <c r="AO4439">
        <v>120</v>
      </c>
      <c r="AP4439">
        <v>-12</v>
      </c>
      <c r="AQ4439">
        <v>0</v>
      </c>
      <c r="AS4439">
        <v>0</v>
      </c>
      <c r="AT4439">
        <v>0</v>
      </c>
      <c r="AV4439">
        <v>0</v>
      </c>
      <c r="AW4439">
        <v>0</v>
      </c>
      <c r="AX4439">
        <v>120</v>
      </c>
      <c r="AY4439">
        <v>-12</v>
      </c>
      <c r="AZ4439">
        <v>0</v>
      </c>
      <c r="BA4439">
        <v>124.8</v>
      </c>
      <c r="BE4439" t="str">
        <f>T("9791172822040")</f>
        <v>9791172822040</v>
      </c>
      <c r="BF4439" t="str">
        <f>T("D158669")</f>
        <v>D158669</v>
      </c>
      <c r="BG4439" t="str">
        <f>T("로판 웹소설 &gt; 서양풍 로판")</f>
        <v>로판 웹소설 &gt; 서양풍 로판</v>
      </c>
    </row>
    <row r="4440" spans="1:59">
      <c r="A4440" t="s">
        <v>60</v>
      </c>
      <c r="B4440" s="1">
        <v>46129</v>
      </c>
      <c r="C4440">
        <v>2378078499</v>
      </c>
      <c r="D4440">
        <v>2378078544</v>
      </c>
      <c r="E4440" t="str">
        <f>T("용사들은 성녀의 축복을 받아야 한다 46화")</f>
        <v>용사들은 성녀의 축복을 받아야 한다 46화</v>
      </c>
      <c r="F4440">
        <v>46</v>
      </c>
      <c r="G4440" t="str">
        <f>T("필밤")</f>
        <v>필밤</v>
      </c>
      <c r="J4440" t="str">
        <f>T("시계토끼")</f>
        <v>시계토끼</v>
      </c>
      <c r="K4440" t="str">
        <f>T("용사들은 성녀의 축복을 받아야 한다")</f>
        <v>용사들은 성녀의 축복을 받아야 한다</v>
      </c>
      <c r="L4440">
        <v>100</v>
      </c>
      <c r="M4440">
        <v>100</v>
      </c>
      <c r="N4440">
        <v>1</v>
      </c>
      <c r="O4440">
        <v>0</v>
      </c>
      <c r="P4440">
        <v>0</v>
      </c>
      <c r="Q4440">
        <v>0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0</v>
      </c>
      <c r="AC4440">
        <v>0</v>
      </c>
      <c r="AD4440">
        <v>0</v>
      </c>
      <c r="AE4440">
        <v>0</v>
      </c>
      <c r="AF4440">
        <v>0</v>
      </c>
      <c r="AG4440">
        <v>0</v>
      </c>
      <c r="AH4440">
        <v>0</v>
      </c>
      <c r="AI4440">
        <v>100</v>
      </c>
      <c r="AJ4440">
        <v>1</v>
      </c>
      <c r="AK4440">
        <v>0</v>
      </c>
      <c r="AL4440">
        <v>0</v>
      </c>
      <c r="AM4440">
        <v>0</v>
      </c>
      <c r="AN4440">
        <v>0</v>
      </c>
      <c r="AO4440">
        <v>120</v>
      </c>
      <c r="AP4440">
        <v>-12</v>
      </c>
      <c r="AQ4440">
        <v>0</v>
      </c>
      <c r="AS4440">
        <v>0</v>
      </c>
      <c r="AT4440">
        <v>0</v>
      </c>
      <c r="AV4440">
        <v>0</v>
      </c>
      <c r="AW4440">
        <v>0</v>
      </c>
      <c r="AX4440">
        <v>120</v>
      </c>
      <c r="AY4440">
        <v>-12</v>
      </c>
      <c r="AZ4440">
        <v>0</v>
      </c>
      <c r="BA4440">
        <v>64.8</v>
      </c>
      <c r="BE4440" t="str">
        <f>T("9791172822040")</f>
        <v>9791172822040</v>
      </c>
      <c r="BF4440" t="str">
        <f>T("D158670")</f>
        <v>D158670</v>
      </c>
      <c r="BG4440" t="str">
        <f>T("로판 웹소설 &gt; 서양풍 로판")</f>
        <v>로판 웹소설 &gt; 서양풍 로판</v>
      </c>
    </row>
    <row r="4441" spans="1:59">
      <c r="A4441" t="s">
        <v>60</v>
      </c>
      <c r="B4441" s="1">
        <v>46129</v>
      </c>
      <c r="C4441">
        <v>2378078499</v>
      </c>
      <c r="D4441">
        <v>2378078545</v>
      </c>
      <c r="E4441" t="str">
        <f>T("용사들은 성녀의 축복을 받아야 한다 47화")</f>
        <v>용사들은 성녀의 축복을 받아야 한다 47화</v>
      </c>
      <c r="F4441">
        <v>47</v>
      </c>
      <c r="G4441" t="str">
        <f>T("필밤")</f>
        <v>필밤</v>
      </c>
      <c r="J4441" t="str">
        <f>T("시계토끼")</f>
        <v>시계토끼</v>
      </c>
      <c r="K4441" t="str">
        <f>T("용사들은 성녀의 축복을 받아야 한다")</f>
        <v>용사들은 성녀의 축복을 받아야 한다</v>
      </c>
      <c r="L4441">
        <v>100</v>
      </c>
      <c r="M4441">
        <v>100</v>
      </c>
      <c r="N4441">
        <v>1</v>
      </c>
      <c r="O4441">
        <v>0</v>
      </c>
      <c r="P4441">
        <v>0</v>
      </c>
      <c r="Q4441">
        <v>0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0</v>
      </c>
      <c r="AC4441">
        <v>0</v>
      </c>
      <c r="AD4441">
        <v>0</v>
      </c>
      <c r="AE4441">
        <v>0</v>
      </c>
      <c r="AF4441">
        <v>0</v>
      </c>
      <c r="AG4441">
        <v>0</v>
      </c>
      <c r="AH4441">
        <v>0</v>
      </c>
      <c r="AI4441">
        <v>100</v>
      </c>
      <c r="AJ4441">
        <v>1</v>
      </c>
      <c r="AK4441">
        <v>0</v>
      </c>
      <c r="AL4441">
        <v>0</v>
      </c>
      <c r="AM4441">
        <v>0</v>
      </c>
      <c r="AN4441">
        <v>0</v>
      </c>
      <c r="AO4441">
        <v>120</v>
      </c>
      <c r="AP4441">
        <v>-12</v>
      </c>
      <c r="AQ4441">
        <v>0</v>
      </c>
      <c r="AS4441">
        <v>0</v>
      </c>
      <c r="AT4441">
        <v>0</v>
      </c>
      <c r="AV4441">
        <v>0</v>
      </c>
      <c r="AW4441">
        <v>0</v>
      </c>
      <c r="AX4441">
        <v>120</v>
      </c>
      <c r="AY4441">
        <v>-12</v>
      </c>
      <c r="AZ4441">
        <v>0</v>
      </c>
      <c r="BA4441">
        <v>64.8</v>
      </c>
      <c r="BE4441" t="str">
        <f>T("9791172822040")</f>
        <v>9791172822040</v>
      </c>
      <c r="BF4441" t="str">
        <f>T("D158671")</f>
        <v>D158671</v>
      </c>
      <c r="BG4441" t="str">
        <f>T("로판 웹소설 &gt; 서양풍 로판")</f>
        <v>로판 웹소설 &gt; 서양풍 로판</v>
      </c>
    </row>
    <row r="4442" spans="1:59">
      <c r="A4442" t="s">
        <v>60</v>
      </c>
      <c r="B4442" s="1">
        <v>46129</v>
      </c>
      <c r="C4442">
        <v>2378078499</v>
      </c>
      <c r="D4442">
        <v>2378078546</v>
      </c>
      <c r="E4442" t="str">
        <f>T("용사들은 성녀의 축복을 받아야 한다 48화")</f>
        <v>용사들은 성녀의 축복을 받아야 한다 48화</v>
      </c>
      <c r="F4442">
        <v>48</v>
      </c>
      <c r="G4442" t="str">
        <f>T("필밤")</f>
        <v>필밤</v>
      </c>
      <c r="J4442" t="str">
        <f>T("시계토끼")</f>
        <v>시계토끼</v>
      </c>
      <c r="K4442" t="str">
        <f>T("용사들은 성녀의 축복을 받아야 한다")</f>
        <v>용사들은 성녀의 축복을 받아야 한다</v>
      </c>
      <c r="L4442">
        <v>100</v>
      </c>
      <c r="M4442">
        <v>100</v>
      </c>
      <c r="N4442">
        <v>1</v>
      </c>
      <c r="O4442">
        <v>0</v>
      </c>
      <c r="P4442">
        <v>0</v>
      </c>
      <c r="Q4442">
        <v>0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0</v>
      </c>
      <c r="AC4442">
        <v>0</v>
      </c>
      <c r="AD4442">
        <v>0</v>
      </c>
      <c r="AE4442">
        <v>0</v>
      </c>
      <c r="AF4442">
        <v>0</v>
      </c>
      <c r="AG4442">
        <v>0</v>
      </c>
      <c r="AH4442">
        <v>0</v>
      </c>
      <c r="AI4442">
        <v>100</v>
      </c>
      <c r="AJ4442">
        <v>1</v>
      </c>
      <c r="AK4442">
        <v>0</v>
      </c>
      <c r="AL4442">
        <v>0</v>
      </c>
      <c r="AM4442">
        <v>0</v>
      </c>
      <c r="AN4442">
        <v>0</v>
      </c>
      <c r="AO4442">
        <v>120</v>
      </c>
      <c r="AP4442">
        <v>-12</v>
      </c>
      <c r="AQ4442">
        <v>0</v>
      </c>
      <c r="AS4442">
        <v>0</v>
      </c>
      <c r="AT4442">
        <v>0</v>
      </c>
      <c r="AV4442">
        <v>0</v>
      </c>
      <c r="AW4442">
        <v>0</v>
      </c>
      <c r="AX4442">
        <v>120</v>
      </c>
      <c r="AY4442">
        <v>-12</v>
      </c>
      <c r="AZ4442">
        <v>0</v>
      </c>
      <c r="BA4442">
        <v>64.8</v>
      </c>
      <c r="BE4442" t="str">
        <f>T("9791172822040")</f>
        <v>9791172822040</v>
      </c>
      <c r="BF4442" t="str">
        <f>T("D158672")</f>
        <v>D158672</v>
      </c>
      <c r="BG4442" t="str">
        <f>T("로판 웹소설 &gt; 서양풍 로판")</f>
        <v>로판 웹소설 &gt; 서양풍 로판</v>
      </c>
    </row>
    <row r="4443" spans="1:59">
      <c r="A4443" t="s">
        <v>60</v>
      </c>
      <c r="B4443" s="1">
        <v>46129</v>
      </c>
      <c r="C4443">
        <v>2378078499</v>
      </c>
      <c r="D4443">
        <v>2378078547</v>
      </c>
      <c r="E4443" t="str">
        <f>T("용사들은 성녀의 축복을 받아야 한다 49화")</f>
        <v>용사들은 성녀의 축복을 받아야 한다 49화</v>
      </c>
      <c r="F4443">
        <v>49</v>
      </c>
      <c r="G4443" t="str">
        <f>T("필밤")</f>
        <v>필밤</v>
      </c>
      <c r="J4443" t="str">
        <f>T("시계토끼")</f>
        <v>시계토끼</v>
      </c>
      <c r="K4443" t="str">
        <f>T("용사들은 성녀의 축복을 받아야 한다")</f>
        <v>용사들은 성녀의 축복을 받아야 한다</v>
      </c>
      <c r="L4443">
        <v>100</v>
      </c>
      <c r="M4443">
        <v>100</v>
      </c>
      <c r="N4443">
        <v>1</v>
      </c>
      <c r="O4443">
        <v>0</v>
      </c>
      <c r="P4443">
        <v>0</v>
      </c>
      <c r="Q4443">
        <v>0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0</v>
      </c>
      <c r="AC4443">
        <v>0</v>
      </c>
      <c r="AD4443">
        <v>0</v>
      </c>
      <c r="AE4443">
        <v>0</v>
      </c>
      <c r="AF4443">
        <v>0</v>
      </c>
      <c r="AG4443">
        <v>0</v>
      </c>
      <c r="AH4443">
        <v>0</v>
      </c>
      <c r="AI4443">
        <v>100</v>
      </c>
      <c r="AJ4443">
        <v>1</v>
      </c>
      <c r="AK4443">
        <v>0</v>
      </c>
      <c r="AL4443">
        <v>0</v>
      </c>
      <c r="AM4443">
        <v>0</v>
      </c>
      <c r="AN4443">
        <v>0</v>
      </c>
      <c r="AO4443">
        <v>120</v>
      </c>
      <c r="AP4443">
        <v>-12</v>
      </c>
      <c r="AQ4443">
        <v>0</v>
      </c>
      <c r="AS4443">
        <v>0</v>
      </c>
      <c r="AT4443">
        <v>0</v>
      </c>
      <c r="AV4443">
        <v>0</v>
      </c>
      <c r="AW4443">
        <v>0</v>
      </c>
      <c r="AX4443">
        <v>120</v>
      </c>
      <c r="AY4443">
        <v>-12</v>
      </c>
      <c r="AZ4443">
        <v>0</v>
      </c>
      <c r="BA4443">
        <v>64.8</v>
      </c>
      <c r="BE4443" t="str">
        <f>T("9791172822040")</f>
        <v>9791172822040</v>
      </c>
      <c r="BF4443" t="str">
        <f>T("D158673")</f>
        <v>D158673</v>
      </c>
      <c r="BG4443" t="str">
        <f>T("로판 웹소설 &gt; 서양풍 로판")</f>
        <v>로판 웹소설 &gt; 서양풍 로판</v>
      </c>
    </row>
    <row r="4444" spans="1:59">
      <c r="A4444" t="s">
        <v>60</v>
      </c>
      <c r="B4444" s="1">
        <v>46129</v>
      </c>
      <c r="C4444">
        <v>2378078499</v>
      </c>
      <c r="D4444">
        <v>2378078548</v>
      </c>
      <c r="E4444" t="str">
        <f>T("용사들은 성녀의 축복을 받아야 한다 50화")</f>
        <v>용사들은 성녀의 축복을 받아야 한다 50화</v>
      </c>
      <c r="F4444">
        <v>50</v>
      </c>
      <c r="G4444" t="str">
        <f>T("필밤")</f>
        <v>필밤</v>
      </c>
      <c r="J4444" t="str">
        <f>T("시계토끼")</f>
        <v>시계토끼</v>
      </c>
      <c r="K4444" t="str">
        <f>T("용사들은 성녀의 축복을 받아야 한다")</f>
        <v>용사들은 성녀의 축복을 받아야 한다</v>
      </c>
      <c r="L4444">
        <v>100</v>
      </c>
      <c r="M4444">
        <v>100</v>
      </c>
      <c r="N4444">
        <v>1</v>
      </c>
      <c r="O4444">
        <v>0</v>
      </c>
      <c r="P4444">
        <v>0</v>
      </c>
      <c r="Q4444">
        <v>0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0</v>
      </c>
      <c r="AC4444">
        <v>0</v>
      </c>
      <c r="AD4444">
        <v>0</v>
      </c>
      <c r="AE4444">
        <v>0</v>
      </c>
      <c r="AF4444">
        <v>0</v>
      </c>
      <c r="AG4444">
        <v>0</v>
      </c>
      <c r="AH4444">
        <v>0</v>
      </c>
      <c r="AI4444">
        <v>100</v>
      </c>
      <c r="AJ4444">
        <v>1</v>
      </c>
      <c r="AK4444">
        <v>0</v>
      </c>
      <c r="AL4444">
        <v>0</v>
      </c>
      <c r="AM4444">
        <v>0</v>
      </c>
      <c r="AN4444">
        <v>0</v>
      </c>
      <c r="AO4444">
        <v>120</v>
      </c>
      <c r="AP4444">
        <v>-12</v>
      </c>
      <c r="AQ4444">
        <v>0</v>
      </c>
      <c r="AS4444">
        <v>0</v>
      </c>
      <c r="AT4444">
        <v>0</v>
      </c>
      <c r="AV4444">
        <v>0</v>
      </c>
      <c r="AW4444">
        <v>0</v>
      </c>
      <c r="AX4444">
        <v>120</v>
      </c>
      <c r="AY4444">
        <v>-12</v>
      </c>
      <c r="AZ4444">
        <v>0</v>
      </c>
      <c r="BA4444">
        <v>64.8</v>
      </c>
      <c r="BE4444" t="str">
        <f>T("9791172822040")</f>
        <v>9791172822040</v>
      </c>
      <c r="BF4444" t="str">
        <f>T("D158674")</f>
        <v>D158674</v>
      </c>
      <c r="BG4444" t="str">
        <f>T("로판 웹소설 &gt; 서양풍 로판")</f>
        <v>로판 웹소설 &gt; 서양풍 로판</v>
      </c>
    </row>
    <row r="4445" spans="1:59">
      <c r="A4445" t="s">
        <v>60</v>
      </c>
      <c r="B4445" s="1">
        <v>46129</v>
      </c>
      <c r="C4445">
        <v>2378078499</v>
      </c>
      <c r="D4445">
        <v>2378078549</v>
      </c>
      <c r="E4445" t="str">
        <f>T("용사들은 성녀의 축복을 받아야 한다 51화")</f>
        <v>용사들은 성녀의 축복을 받아야 한다 51화</v>
      </c>
      <c r="F4445">
        <v>51</v>
      </c>
      <c r="G4445" t="str">
        <f>T("필밤")</f>
        <v>필밤</v>
      </c>
      <c r="J4445" t="str">
        <f>T("시계토끼")</f>
        <v>시계토끼</v>
      </c>
      <c r="K4445" t="str">
        <f>T("용사들은 성녀의 축복을 받아야 한다")</f>
        <v>용사들은 성녀의 축복을 받아야 한다</v>
      </c>
      <c r="L4445">
        <v>100</v>
      </c>
      <c r="M4445">
        <v>200</v>
      </c>
      <c r="N4445">
        <v>2</v>
      </c>
      <c r="O4445">
        <v>0</v>
      </c>
      <c r="P4445">
        <v>0</v>
      </c>
      <c r="Q4445">
        <v>0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0</v>
      </c>
      <c r="AC4445">
        <v>0</v>
      </c>
      <c r="AD4445">
        <v>0</v>
      </c>
      <c r="AE4445">
        <v>0</v>
      </c>
      <c r="AF4445">
        <v>0</v>
      </c>
      <c r="AG4445">
        <v>0</v>
      </c>
      <c r="AH4445">
        <v>0</v>
      </c>
      <c r="AI4445">
        <v>200</v>
      </c>
      <c r="AJ4445">
        <v>2</v>
      </c>
      <c r="AK4445">
        <v>0</v>
      </c>
      <c r="AL4445">
        <v>0</v>
      </c>
      <c r="AM4445">
        <v>100</v>
      </c>
      <c r="AN4445">
        <v>0</v>
      </c>
      <c r="AO4445">
        <v>120</v>
      </c>
      <c r="AP4445">
        <v>-12</v>
      </c>
      <c r="AQ4445">
        <v>0</v>
      </c>
      <c r="AS4445">
        <v>0</v>
      </c>
      <c r="AT4445">
        <v>0</v>
      </c>
      <c r="AV4445">
        <v>0</v>
      </c>
      <c r="AW4445">
        <v>0</v>
      </c>
      <c r="AX4445">
        <v>120</v>
      </c>
      <c r="AY4445">
        <v>-12</v>
      </c>
      <c r="AZ4445">
        <v>0</v>
      </c>
      <c r="BA4445">
        <v>124.8</v>
      </c>
      <c r="BE4445" t="str">
        <f>T("9791172822040")</f>
        <v>9791172822040</v>
      </c>
      <c r="BF4445" t="str">
        <f>T("D158675")</f>
        <v>D158675</v>
      </c>
      <c r="BG4445" t="str">
        <f>T("로판 웹소설 &gt; 서양풍 로판")</f>
        <v>로판 웹소설 &gt; 서양풍 로판</v>
      </c>
    </row>
    <row r="4446" spans="1:59">
      <c r="A4446" t="s">
        <v>60</v>
      </c>
      <c r="B4446" s="1">
        <v>46129</v>
      </c>
      <c r="C4446">
        <v>2378078499</v>
      </c>
      <c r="D4446">
        <v>2378078550</v>
      </c>
      <c r="E4446" t="str">
        <f>T("용사들은 성녀의 축복을 받아야 한다 52화")</f>
        <v>용사들은 성녀의 축복을 받아야 한다 52화</v>
      </c>
      <c r="F4446">
        <v>52</v>
      </c>
      <c r="G4446" t="str">
        <f>T("필밤")</f>
        <v>필밤</v>
      </c>
      <c r="J4446" t="str">
        <f>T("시계토끼")</f>
        <v>시계토끼</v>
      </c>
      <c r="K4446" t="str">
        <f>T("용사들은 성녀의 축복을 받아야 한다")</f>
        <v>용사들은 성녀의 축복을 받아야 한다</v>
      </c>
      <c r="L4446">
        <v>100</v>
      </c>
      <c r="M4446">
        <v>200</v>
      </c>
      <c r="N4446">
        <v>2</v>
      </c>
      <c r="O4446">
        <v>0</v>
      </c>
      <c r="P4446">
        <v>0</v>
      </c>
      <c r="Q4446">
        <v>0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0</v>
      </c>
      <c r="AC4446">
        <v>0</v>
      </c>
      <c r="AD4446">
        <v>0</v>
      </c>
      <c r="AE4446">
        <v>0</v>
      </c>
      <c r="AF4446">
        <v>0</v>
      </c>
      <c r="AG4446">
        <v>0</v>
      </c>
      <c r="AH4446">
        <v>0</v>
      </c>
      <c r="AI4446">
        <v>200</v>
      </c>
      <c r="AJ4446">
        <v>2</v>
      </c>
      <c r="AK4446">
        <v>0</v>
      </c>
      <c r="AL4446">
        <v>0</v>
      </c>
      <c r="AM4446">
        <v>100</v>
      </c>
      <c r="AN4446">
        <v>0</v>
      </c>
      <c r="AO4446">
        <v>120</v>
      </c>
      <c r="AP4446">
        <v>-12</v>
      </c>
      <c r="AQ4446">
        <v>0</v>
      </c>
      <c r="AS4446">
        <v>0</v>
      </c>
      <c r="AT4446">
        <v>0</v>
      </c>
      <c r="AV4446">
        <v>0</v>
      </c>
      <c r="AW4446">
        <v>0</v>
      </c>
      <c r="AX4446">
        <v>120</v>
      </c>
      <c r="AY4446">
        <v>-12</v>
      </c>
      <c r="AZ4446">
        <v>0</v>
      </c>
      <c r="BA4446">
        <v>124.8</v>
      </c>
      <c r="BE4446" t="str">
        <f>T("9791172822040")</f>
        <v>9791172822040</v>
      </c>
      <c r="BF4446" t="str">
        <f>T("D158676")</f>
        <v>D158676</v>
      </c>
      <c r="BG4446" t="str">
        <f>T("로판 웹소설 &gt; 서양풍 로판")</f>
        <v>로판 웹소설 &gt; 서양풍 로판</v>
      </c>
    </row>
    <row r="4447" spans="1:59">
      <c r="A4447" t="s">
        <v>60</v>
      </c>
      <c r="B4447" s="1">
        <v>46129</v>
      </c>
      <c r="C4447">
        <v>2378078499</v>
      </c>
      <c r="D4447">
        <v>2378078551</v>
      </c>
      <c r="E4447" t="str">
        <f>T("용사들은 성녀의 축복을 받아야 한다 53화")</f>
        <v>용사들은 성녀의 축복을 받아야 한다 53화</v>
      </c>
      <c r="F4447">
        <v>53</v>
      </c>
      <c r="G4447" t="str">
        <f>T("필밤")</f>
        <v>필밤</v>
      </c>
      <c r="J4447" t="str">
        <f>T("시계토끼")</f>
        <v>시계토끼</v>
      </c>
      <c r="K4447" t="str">
        <f>T("용사들은 성녀의 축복을 받아야 한다")</f>
        <v>용사들은 성녀의 축복을 받아야 한다</v>
      </c>
      <c r="L4447">
        <v>100</v>
      </c>
      <c r="M4447">
        <v>100</v>
      </c>
      <c r="N4447">
        <v>1</v>
      </c>
      <c r="O4447">
        <v>0</v>
      </c>
      <c r="P4447">
        <v>0</v>
      </c>
      <c r="Q4447">
        <v>0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0</v>
      </c>
      <c r="AC4447">
        <v>0</v>
      </c>
      <c r="AD4447">
        <v>0</v>
      </c>
      <c r="AE4447">
        <v>0</v>
      </c>
      <c r="AF4447">
        <v>0</v>
      </c>
      <c r="AG4447">
        <v>0</v>
      </c>
      <c r="AH4447">
        <v>0</v>
      </c>
      <c r="AI4447">
        <v>100</v>
      </c>
      <c r="AJ4447">
        <v>1</v>
      </c>
      <c r="AK4447">
        <v>0</v>
      </c>
      <c r="AL4447">
        <v>0</v>
      </c>
      <c r="AM4447">
        <v>0</v>
      </c>
      <c r="AN4447">
        <v>0</v>
      </c>
      <c r="AO4447">
        <v>120</v>
      </c>
      <c r="AP4447">
        <v>-12</v>
      </c>
      <c r="AQ4447">
        <v>0</v>
      </c>
      <c r="AS4447">
        <v>0</v>
      </c>
      <c r="AT4447">
        <v>0</v>
      </c>
      <c r="AV4447">
        <v>0</v>
      </c>
      <c r="AW4447">
        <v>0</v>
      </c>
      <c r="AX4447">
        <v>120</v>
      </c>
      <c r="AY4447">
        <v>-12</v>
      </c>
      <c r="AZ4447">
        <v>0</v>
      </c>
      <c r="BA4447">
        <v>64.8</v>
      </c>
      <c r="BE4447" t="str">
        <f>T("9791172822040")</f>
        <v>9791172822040</v>
      </c>
      <c r="BF4447" t="str">
        <f>T("D158677")</f>
        <v>D158677</v>
      </c>
      <c r="BG4447" t="str">
        <f>T("로판 웹소설 &gt; 서양풍 로판")</f>
        <v>로판 웹소설 &gt; 서양풍 로판</v>
      </c>
    </row>
    <row r="4448" spans="1:59">
      <c r="A4448" t="s">
        <v>60</v>
      </c>
      <c r="B4448" s="1">
        <v>46129</v>
      </c>
      <c r="C4448">
        <v>2378078499</v>
      </c>
      <c r="D4448">
        <v>2378078552</v>
      </c>
      <c r="E4448" t="str">
        <f>T("용사들은 성녀의 축복을 받아야 한다 54화")</f>
        <v>용사들은 성녀의 축복을 받아야 한다 54화</v>
      </c>
      <c r="F4448">
        <v>54</v>
      </c>
      <c r="G4448" t="str">
        <f>T("필밤")</f>
        <v>필밤</v>
      </c>
      <c r="J4448" t="str">
        <f>T("시계토끼")</f>
        <v>시계토끼</v>
      </c>
      <c r="K4448" t="str">
        <f>T("용사들은 성녀의 축복을 받아야 한다")</f>
        <v>용사들은 성녀의 축복을 받아야 한다</v>
      </c>
      <c r="L4448">
        <v>100</v>
      </c>
      <c r="M4448">
        <v>100</v>
      </c>
      <c r="N4448">
        <v>1</v>
      </c>
      <c r="O4448">
        <v>0</v>
      </c>
      <c r="P4448">
        <v>0</v>
      </c>
      <c r="Q4448">
        <v>0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0</v>
      </c>
      <c r="AC4448">
        <v>0</v>
      </c>
      <c r="AD4448">
        <v>0</v>
      </c>
      <c r="AE4448">
        <v>0</v>
      </c>
      <c r="AF4448">
        <v>0</v>
      </c>
      <c r="AG4448">
        <v>0</v>
      </c>
      <c r="AH4448">
        <v>0</v>
      </c>
      <c r="AI4448">
        <v>100</v>
      </c>
      <c r="AJ4448">
        <v>1</v>
      </c>
      <c r="AK4448">
        <v>0</v>
      </c>
      <c r="AL4448">
        <v>0</v>
      </c>
      <c r="AM4448">
        <v>0</v>
      </c>
      <c r="AN4448">
        <v>0</v>
      </c>
      <c r="AO4448">
        <v>120</v>
      </c>
      <c r="AP4448">
        <v>-12</v>
      </c>
      <c r="AQ4448">
        <v>0</v>
      </c>
      <c r="AS4448">
        <v>0</v>
      </c>
      <c r="AT4448">
        <v>0</v>
      </c>
      <c r="AV4448">
        <v>0</v>
      </c>
      <c r="AW4448">
        <v>0</v>
      </c>
      <c r="AX4448">
        <v>120</v>
      </c>
      <c r="AY4448">
        <v>-12</v>
      </c>
      <c r="AZ4448">
        <v>0</v>
      </c>
      <c r="BA4448">
        <v>64.8</v>
      </c>
      <c r="BE4448" t="str">
        <f>T("9791172822040")</f>
        <v>9791172822040</v>
      </c>
      <c r="BF4448" t="str">
        <f>T("D158678")</f>
        <v>D158678</v>
      </c>
      <c r="BG4448" t="str">
        <f>T("로판 웹소설 &gt; 서양풍 로판")</f>
        <v>로판 웹소설 &gt; 서양풍 로판</v>
      </c>
    </row>
    <row r="4449" spans="1:59">
      <c r="A4449" t="s">
        <v>60</v>
      </c>
      <c r="B4449" s="1">
        <v>46129</v>
      </c>
      <c r="C4449">
        <v>2378078499</v>
      </c>
      <c r="D4449">
        <v>2378078553</v>
      </c>
      <c r="E4449" t="str">
        <f>T("용사들은 성녀의 축복을 받아야 한다 55화")</f>
        <v>용사들은 성녀의 축복을 받아야 한다 55화</v>
      </c>
      <c r="F4449">
        <v>55</v>
      </c>
      <c r="G4449" t="str">
        <f>T("필밤")</f>
        <v>필밤</v>
      </c>
      <c r="J4449" t="str">
        <f>T("시계토끼")</f>
        <v>시계토끼</v>
      </c>
      <c r="K4449" t="str">
        <f>T("용사들은 성녀의 축복을 받아야 한다")</f>
        <v>용사들은 성녀의 축복을 받아야 한다</v>
      </c>
      <c r="L4449">
        <v>100</v>
      </c>
      <c r="M4449">
        <v>100</v>
      </c>
      <c r="N4449">
        <v>1</v>
      </c>
      <c r="O4449">
        <v>0</v>
      </c>
      <c r="P4449">
        <v>0</v>
      </c>
      <c r="Q4449">
        <v>0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0</v>
      </c>
      <c r="AC4449">
        <v>0</v>
      </c>
      <c r="AD4449">
        <v>0</v>
      </c>
      <c r="AE4449">
        <v>0</v>
      </c>
      <c r="AF4449">
        <v>0</v>
      </c>
      <c r="AG4449">
        <v>0</v>
      </c>
      <c r="AH4449">
        <v>0</v>
      </c>
      <c r="AI4449">
        <v>100</v>
      </c>
      <c r="AJ4449">
        <v>1</v>
      </c>
      <c r="AK4449">
        <v>0</v>
      </c>
      <c r="AL4449">
        <v>0</v>
      </c>
      <c r="AM4449">
        <v>0</v>
      </c>
      <c r="AN4449">
        <v>0</v>
      </c>
      <c r="AO4449">
        <v>120</v>
      </c>
      <c r="AP4449">
        <v>-12</v>
      </c>
      <c r="AQ4449">
        <v>0</v>
      </c>
      <c r="AS4449">
        <v>0</v>
      </c>
      <c r="AT4449">
        <v>0</v>
      </c>
      <c r="AV4449">
        <v>0</v>
      </c>
      <c r="AW4449">
        <v>0</v>
      </c>
      <c r="AX4449">
        <v>120</v>
      </c>
      <c r="AY4449">
        <v>-12</v>
      </c>
      <c r="AZ4449">
        <v>0</v>
      </c>
      <c r="BA4449">
        <v>64.8</v>
      </c>
      <c r="BE4449" t="str">
        <f>T("9791172822040")</f>
        <v>9791172822040</v>
      </c>
      <c r="BF4449" t="str">
        <f>T("D158679")</f>
        <v>D158679</v>
      </c>
      <c r="BG4449" t="str">
        <f>T("로판 웹소설 &gt; 서양풍 로판")</f>
        <v>로판 웹소설 &gt; 서양풍 로판</v>
      </c>
    </row>
    <row r="4450" spans="1:59">
      <c r="A4450" t="s">
        <v>60</v>
      </c>
      <c r="B4450" s="1">
        <v>46129</v>
      </c>
      <c r="C4450">
        <v>2378078499</v>
      </c>
      <c r="D4450">
        <v>2378078554</v>
      </c>
      <c r="E4450" t="str">
        <f>T("용사들은 성녀의 축복을 받아야 한다 56화")</f>
        <v>용사들은 성녀의 축복을 받아야 한다 56화</v>
      </c>
      <c r="F4450">
        <v>56</v>
      </c>
      <c r="G4450" t="str">
        <f>T("필밤")</f>
        <v>필밤</v>
      </c>
      <c r="J4450" t="str">
        <f>T("시계토끼")</f>
        <v>시계토끼</v>
      </c>
      <c r="K4450" t="str">
        <f>T("용사들은 성녀의 축복을 받아야 한다")</f>
        <v>용사들은 성녀의 축복을 받아야 한다</v>
      </c>
      <c r="L4450">
        <v>100</v>
      </c>
      <c r="M4450">
        <v>100</v>
      </c>
      <c r="N4450">
        <v>1</v>
      </c>
      <c r="O4450">
        <v>0</v>
      </c>
      <c r="P4450">
        <v>0</v>
      </c>
      <c r="Q4450">
        <v>0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0</v>
      </c>
      <c r="AC4450">
        <v>0</v>
      </c>
      <c r="AD4450">
        <v>0</v>
      </c>
      <c r="AE4450">
        <v>0</v>
      </c>
      <c r="AF4450">
        <v>0</v>
      </c>
      <c r="AG4450">
        <v>0</v>
      </c>
      <c r="AH4450">
        <v>0</v>
      </c>
      <c r="AI4450">
        <v>100</v>
      </c>
      <c r="AJ4450">
        <v>1</v>
      </c>
      <c r="AK4450">
        <v>0</v>
      </c>
      <c r="AL4450">
        <v>0</v>
      </c>
      <c r="AM4450">
        <v>0</v>
      </c>
      <c r="AN4450">
        <v>0</v>
      </c>
      <c r="AO4450">
        <v>120</v>
      </c>
      <c r="AP4450">
        <v>-12</v>
      </c>
      <c r="AQ4450">
        <v>0</v>
      </c>
      <c r="AS4450">
        <v>0</v>
      </c>
      <c r="AT4450">
        <v>0</v>
      </c>
      <c r="AV4450">
        <v>0</v>
      </c>
      <c r="AW4450">
        <v>0</v>
      </c>
      <c r="AX4450">
        <v>120</v>
      </c>
      <c r="AY4450">
        <v>-12</v>
      </c>
      <c r="AZ4450">
        <v>0</v>
      </c>
      <c r="BA4450">
        <v>64.8</v>
      </c>
      <c r="BE4450" t="str">
        <f>T("9791172822040")</f>
        <v>9791172822040</v>
      </c>
      <c r="BF4450" t="str">
        <f>T("D158680")</f>
        <v>D158680</v>
      </c>
      <c r="BG4450" t="str">
        <f>T("로판 웹소설 &gt; 서양풍 로판")</f>
        <v>로판 웹소설 &gt; 서양풍 로판</v>
      </c>
    </row>
    <row r="4451" spans="1:59">
      <c r="A4451" t="s">
        <v>60</v>
      </c>
      <c r="B4451" s="1">
        <v>46129</v>
      </c>
      <c r="C4451">
        <v>2378078499</v>
      </c>
      <c r="D4451">
        <v>2378078555</v>
      </c>
      <c r="E4451" t="str">
        <f>T("용사들은 성녀의 축복을 받아야 한다 57화")</f>
        <v>용사들은 성녀의 축복을 받아야 한다 57화</v>
      </c>
      <c r="F4451">
        <v>57</v>
      </c>
      <c r="G4451" t="str">
        <f>T("필밤")</f>
        <v>필밤</v>
      </c>
      <c r="J4451" t="str">
        <f>T("시계토끼")</f>
        <v>시계토끼</v>
      </c>
      <c r="K4451" t="str">
        <f>T("용사들은 성녀의 축복을 받아야 한다")</f>
        <v>용사들은 성녀의 축복을 받아야 한다</v>
      </c>
      <c r="L4451">
        <v>100</v>
      </c>
      <c r="M4451">
        <v>200</v>
      </c>
      <c r="N4451">
        <v>2</v>
      </c>
      <c r="O4451">
        <v>0</v>
      </c>
      <c r="P4451">
        <v>0</v>
      </c>
      <c r="Q4451">
        <v>0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0</v>
      </c>
      <c r="AC4451">
        <v>0</v>
      </c>
      <c r="AD4451">
        <v>0</v>
      </c>
      <c r="AE4451">
        <v>0</v>
      </c>
      <c r="AF4451">
        <v>0</v>
      </c>
      <c r="AG4451">
        <v>0</v>
      </c>
      <c r="AH4451">
        <v>0</v>
      </c>
      <c r="AI4451">
        <v>200</v>
      </c>
      <c r="AJ4451">
        <v>2</v>
      </c>
      <c r="AK4451">
        <v>0</v>
      </c>
      <c r="AL4451">
        <v>0</v>
      </c>
      <c r="AM4451">
        <v>100</v>
      </c>
      <c r="AN4451">
        <v>0</v>
      </c>
      <c r="AO4451">
        <v>120</v>
      </c>
      <c r="AP4451">
        <v>-12</v>
      </c>
      <c r="AQ4451">
        <v>0</v>
      </c>
      <c r="AS4451">
        <v>0</v>
      </c>
      <c r="AT4451">
        <v>0</v>
      </c>
      <c r="AV4451">
        <v>0</v>
      </c>
      <c r="AW4451">
        <v>0</v>
      </c>
      <c r="AX4451">
        <v>120</v>
      </c>
      <c r="AY4451">
        <v>-12</v>
      </c>
      <c r="AZ4451">
        <v>0</v>
      </c>
      <c r="BA4451">
        <v>124.8</v>
      </c>
      <c r="BE4451" t="str">
        <f>T("9791172822040")</f>
        <v>9791172822040</v>
      </c>
      <c r="BF4451" t="str">
        <f>T("D158681")</f>
        <v>D158681</v>
      </c>
      <c r="BG4451" t="str">
        <f>T("로판 웹소설 &gt; 서양풍 로판")</f>
        <v>로판 웹소설 &gt; 서양풍 로판</v>
      </c>
    </row>
    <row r="4452" spans="1:59">
      <c r="A4452" t="s">
        <v>60</v>
      </c>
      <c r="B4452" s="1">
        <v>46129</v>
      </c>
      <c r="C4452">
        <v>2378078499</v>
      </c>
      <c r="D4452">
        <v>2378078556</v>
      </c>
      <c r="E4452" t="str">
        <f>T("용사들은 성녀의 축복을 받아야 한다 58화")</f>
        <v>용사들은 성녀의 축복을 받아야 한다 58화</v>
      </c>
      <c r="F4452">
        <v>58</v>
      </c>
      <c r="G4452" t="str">
        <f>T("필밤")</f>
        <v>필밤</v>
      </c>
      <c r="J4452" t="str">
        <f>T("시계토끼")</f>
        <v>시계토끼</v>
      </c>
      <c r="K4452" t="str">
        <f>T("용사들은 성녀의 축복을 받아야 한다")</f>
        <v>용사들은 성녀의 축복을 받아야 한다</v>
      </c>
      <c r="L4452">
        <v>100</v>
      </c>
      <c r="M4452">
        <v>100</v>
      </c>
      <c r="N4452">
        <v>1</v>
      </c>
      <c r="O4452">
        <v>0</v>
      </c>
      <c r="P4452">
        <v>0</v>
      </c>
      <c r="Q4452">
        <v>0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0</v>
      </c>
      <c r="AC4452">
        <v>0</v>
      </c>
      <c r="AD4452">
        <v>0</v>
      </c>
      <c r="AE4452">
        <v>0</v>
      </c>
      <c r="AF4452">
        <v>0</v>
      </c>
      <c r="AG4452">
        <v>0</v>
      </c>
      <c r="AH4452">
        <v>0</v>
      </c>
      <c r="AI4452">
        <v>100</v>
      </c>
      <c r="AJ4452">
        <v>1</v>
      </c>
      <c r="AK4452">
        <v>0</v>
      </c>
      <c r="AL4452">
        <v>0</v>
      </c>
      <c r="AM4452">
        <v>0</v>
      </c>
      <c r="AN4452">
        <v>0</v>
      </c>
      <c r="AO4452">
        <v>120</v>
      </c>
      <c r="AP4452">
        <v>-12</v>
      </c>
      <c r="AQ4452">
        <v>0</v>
      </c>
      <c r="AS4452">
        <v>0</v>
      </c>
      <c r="AT4452">
        <v>0</v>
      </c>
      <c r="AV4452">
        <v>0</v>
      </c>
      <c r="AW4452">
        <v>0</v>
      </c>
      <c r="AX4452">
        <v>120</v>
      </c>
      <c r="AY4452">
        <v>-12</v>
      </c>
      <c r="AZ4452">
        <v>0</v>
      </c>
      <c r="BA4452">
        <v>64.8</v>
      </c>
      <c r="BE4452" t="str">
        <f>T("9791172822040")</f>
        <v>9791172822040</v>
      </c>
      <c r="BF4452" t="str">
        <f>T("D158682")</f>
        <v>D158682</v>
      </c>
      <c r="BG4452" t="str">
        <f>T("로판 웹소설 &gt; 서양풍 로판")</f>
        <v>로판 웹소설 &gt; 서양풍 로판</v>
      </c>
    </row>
    <row r="4453" spans="1:59">
      <c r="A4453" t="s">
        <v>60</v>
      </c>
      <c r="B4453" s="1">
        <v>46129</v>
      </c>
      <c r="C4453">
        <v>2378078499</v>
      </c>
      <c r="D4453">
        <v>2378078557</v>
      </c>
      <c r="E4453" t="str">
        <f>T("용사들은 성녀의 축복을 받아야 한다 59화")</f>
        <v>용사들은 성녀의 축복을 받아야 한다 59화</v>
      </c>
      <c r="F4453">
        <v>59</v>
      </c>
      <c r="G4453" t="str">
        <f>T("필밤")</f>
        <v>필밤</v>
      </c>
      <c r="J4453" t="str">
        <f>T("시계토끼")</f>
        <v>시계토끼</v>
      </c>
      <c r="K4453" t="str">
        <f>T("용사들은 성녀의 축복을 받아야 한다")</f>
        <v>용사들은 성녀의 축복을 받아야 한다</v>
      </c>
      <c r="L4453">
        <v>100</v>
      </c>
      <c r="M4453">
        <v>100</v>
      </c>
      <c r="N4453">
        <v>1</v>
      </c>
      <c r="O4453">
        <v>0</v>
      </c>
      <c r="P4453">
        <v>0</v>
      </c>
      <c r="Q4453">
        <v>0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0</v>
      </c>
      <c r="AC4453">
        <v>0</v>
      </c>
      <c r="AD4453">
        <v>0</v>
      </c>
      <c r="AE4453">
        <v>0</v>
      </c>
      <c r="AF4453">
        <v>0</v>
      </c>
      <c r="AG4453">
        <v>0</v>
      </c>
      <c r="AH4453">
        <v>0</v>
      </c>
      <c r="AI4453">
        <v>100</v>
      </c>
      <c r="AJ4453">
        <v>1</v>
      </c>
      <c r="AK4453">
        <v>0</v>
      </c>
      <c r="AL4453">
        <v>0</v>
      </c>
      <c r="AM4453">
        <v>0</v>
      </c>
      <c r="AN4453">
        <v>0</v>
      </c>
      <c r="AO4453">
        <v>120</v>
      </c>
      <c r="AP4453">
        <v>-12</v>
      </c>
      <c r="AQ4453">
        <v>0</v>
      </c>
      <c r="AS4453">
        <v>0</v>
      </c>
      <c r="AT4453">
        <v>0</v>
      </c>
      <c r="AV4453">
        <v>0</v>
      </c>
      <c r="AW4453">
        <v>0</v>
      </c>
      <c r="AX4453">
        <v>120</v>
      </c>
      <c r="AY4453">
        <v>-12</v>
      </c>
      <c r="AZ4453">
        <v>0</v>
      </c>
      <c r="BA4453">
        <v>64.8</v>
      </c>
      <c r="BE4453" t="str">
        <f>T("9791172822040")</f>
        <v>9791172822040</v>
      </c>
      <c r="BF4453" t="str">
        <f>T("D158683")</f>
        <v>D158683</v>
      </c>
      <c r="BG4453" t="str">
        <f>T("로판 웹소설 &gt; 서양풍 로판")</f>
        <v>로판 웹소설 &gt; 서양풍 로판</v>
      </c>
    </row>
    <row r="4454" spans="1:59">
      <c r="A4454" t="s">
        <v>60</v>
      </c>
      <c r="B4454" s="1">
        <v>46129</v>
      </c>
      <c r="C4454">
        <v>2378078499</v>
      </c>
      <c r="D4454">
        <v>2378078558</v>
      </c>
      <c r="E4454" t="str">
        <f>T("용사들은 성녀의 축복을 받아야 한다 60화")</f>
        <v>용사들은 성녀의 축복을 받아야 한다 60화</v>
      </c>
      <c r="F4454">
        <v>60</v>
      </c>
      <c r="G4454" t="str">
        <f>T("필밤")</f>
        <v>필밤</v>
      </c>
      <c r="J4454" t="str">
        <f>T("시계토끼")</f>
        <v>시계토끼</v>
      </c>
      <c r="K4454" t="str">
        <f>T("용사들은 성녀의 축복을 받아야 한다")</f>
        <v>용사들은 성녀의 축복을 받아야 한다</v>
      </c>
      <c r="L4454">
        <v>100</v>
      </c>
      <c r="M4454">
        <v>200</v>
      </c>
      <c r="N4454">
        <v>2</v>
      </c>
      <c r="O4454">
        <v>0</v>
      </c>
      <c r="P4454">
        <v>0</v>
      </c>
      <c r="Q4454">
        <v>0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0</v>
      </c>
      <c r="AC4454">
        <v>0</v>
      </c>
      <c r="AD4454">
        <v>0</v>
      </c>
      <c r="AE4454">
        <v>0</v>
      </c>
      <c r="AF4454">
        <v>0</v>
      </c>
      <c r="AG4454">
        <v>0</v>
      </c>
      <c r="AH4454">
        <v>0</v>
      </c>
      <c r="AI4454">
        <v>200</v>
      </c>
      <c r="AJ4454">
        <v>2</v>
      </c>
      <c r="AK4454">
        <v>0</v>
      </c>
      <c r="AL4454">
        <v>0</v>
      </c>
      <c r="AM4454">
        <v>100</v>
      </c>
      <c r="AN4454">
        <v>0</v>
      </c>
      <c r="AO4454">
        <v>120</v>
      </c>
      <c r="AP4454">
        <v>-12</v>
      </c>
      <c r="AQ4454">
        <v>0</v>
      </c>
      <c r="AS4454">
        <v>0</v>
      </c>
      <c r="AT4454">
        <v>0</v>
      </c>
      <c r="AV4454">
        <v>0</v>
      </c>
      <c r="AW4454">
        <v>0</v>
      </c>
      <c r="AX4454">
        <v>120</v>
      </c>
      <c r="AY4454">
        <v>-12</v>
      </c>
      <c r="AZ4454">
        <v>0</v>
      </c>
      <c r="BA4454">
        <v>124.8</v>
      </c>
      <c r="BE4454" t="str">
        <f>T("9791172822040")</f>
        <v>9791172822040</v>
      </c>
      <c r="BF4454" t="str">
        <f>T("D158684")</f>
        <v>D158684</v>
      </c>
      <c r="BG4454" t="str">
        <f>T("로판 웹소설 &gt; 서양풍 로판")</f>
        <v>로판 웹소설 &gt; 서양풍 로판</v>
      </c>
    </row>
    <row r="4455" spans="1:59">
      <c r="A4455" t="s">
        <v>60</v>
      </c>
      <c r="B4455" s="1">
        <v>46129</v>
      </c>
      <c r="C4455">
        <v>2378078499</v>
      </c>
      <c r="D4455">
        <v>2378078559</v>
      </c>
      <c r="E4455" t="str">
        <f>T("용사들은 성녀의 축복을 받아야 한다 61화")</f>
        <v>용사들은 성녀의 축복을 받아야 한다 61화</v>
      </c>
      <c r="F4455">
        <v>61</v>
      </c>
      <c r="G4455" t="str">
        <f>T("필밤")</f>
        <v>필밤</v>
      </c>
      <c r="J4455" t="str">
        <f>T("시계토끼")</f>
        <v>시계토끼</v>
      </c>
      <c r="K4455" t="str">
        <f>T("용사들은 성녀의 축복을 받아야 한다")</f>
        <v>용사들은 성녀의 축복을 받아야 한다</v>
      </c>
      <c r="L4455">
        <v>100</v>
      </c>
      <c r="M4455">
        <v>200</v>
      </c>
      <c r="N4455">
        <v>2</v>
      </c>
      <c r="O4455">
        <v>0</v>
      </c>
      <c r="P4455">
        <v>0</v>
      </c>
      <c r="Q4455">
        <v>0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0</v>
      </c>
      <c r="AC4455">
        <v>0</v>
      </c>
      <c r="AD4455">
        <v>0</v>
      </c>
      <c r="AE4455">
        <v>0</v>
      </c>
      <c r="AF4455">
        <v>0</v>
      </c>
      <c r="AG4455">
        <v>0</v>
      </c>
      <c r="AH4455">
        <v>0</v>
      </c>
      <c r="AI4455">
        <v>200</v>
      </c>
      <c r="AJ4455">
        <v>2</v>
      </c>
      <c r="AK4455">
        <v>0</v>
      </c>
      <c r="AL4455">
        <v>0</v>
      </c>
      <c r="AM4455">
        <v>100</v>
      </c>
      <c r="AN4455">
        <v>0</v>
      </c>
      <c r="AO4455">
        <v>120</v>
      </c>
      <c r="AP4455">
        <v>-12</v>
      </c>
      <c r="AQ4455">
        <v>0</v>
      </c>
      <c r="AS4455">
        <v>0</v>
      </c>
      <c r="AT4455">
        <v>0</v>
      </c>
      <c r="AV4455">
        <v>0</v>
      </c>
      <c r="AW4455">
        <v>0</v>
      </c>
      <c r="AX4455">
        <v>120</v>
      </c>
      <c r="AY4455">
        <v>-12</v>
      </c>
      <c r="AZ4455">
        <v>0</v>
      </c>
      <c r="BA4455">
        <v>124.8</v>
      </c>
      <c r="BE4455" t="str">
        <f>T("9791172822040")</f>
        <v>9791172822040</v>
      </c>
      <c r="BF4455" t="str">
        <f>T("D158685")</f>
        <v>D158685</v>
      </c>
      <c r="BG4455" t="str">
        <f>T("로판 웹소설 &gt; 서양풍 로판")</f>
        <v>로판 웹소설 &gt; 서양풍 로판</v>
      </c>
    </row>
    <row r="4456" spans="1:59">
      <c r="A4456" t="s">
        <v>60</v>
      </c>
      <c r="B4456" s="1">
        <v>46129</v>
      </c>
      <c r="C4456">
        <v>2378078499</v>
      </c>
      <c r="D4456">
        <v>2378078560</v>
      </c>
      <c r="E4456" t="str">
        <f>T("용사들은 성녀의 축복을 받아야 한다 62화")</f>
        <v>용사들은 성녀의 축복을 받아야 한다 62화</v>
      </c>
      <c r="F4456">
        <v>62</v>
      </c>
      <c r="G4456" t="str">
        <f>T("필밤")</f>
        <v>필밤</v>
      </c>
      <c r="J4456" t="str">
        <f>T("시계토끼")</f>
        <v>시계토끼</v>
      </c>
      <c r="K4456" t="str">
        <f>T("용사들은 성녀의 축복을 받아야 한다")</f>
        <v>용사들은 성녀의 축복을 받아야 한다</v>
      </c>
      <c r="L4456">
        <v>100</v>
      </c>
      <c r="M4456">
        <v>200</v>
      </c>
      <c r="N4456">
        <v>2</v>
      </c>
      <c r="O4456">
        <v>0</v>
      </c>
      <c r="P4456">
        <v>0</v>
      </c>
      <c r="Q4456">
        <v>0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0</v>
      </c>
      <c r="AC4456">
        <v>0</v>
      </c>
      <c r="AD4456">
        <v>0</v>
      </c>
      <c r="AE4456">
        <v>0</v>
      </c>
      <c r="AF4456">
        <v>0</v>
      </c>
      <c r="AG4456">
        <v>0</v>
      </c>
      <c r="AH4456">
        <v>0</v>
      </c>
      <c r="AI4456">
        <v>200</v>
      </c>
      <c r="AJ4456">
        <v>2</v>
      </c>
      <c r="AK4456">
        <v>0</v>
      </c>
      <c r="AL4456">
        <v>0</v>
      </c>
      <c r="AM4456">
        <v>100</v>
      </c>
      <c r="AN4456">
        <v>0</v>
      </c>
      <c r="AO4456">
        <v>120</v>
      </c>
      <c r="AP4456">
        <v>-12</v>
      </c>
      <c r="AQ4456">
        <v>0</v>
      </c>
      <c r="AS4456">
        <v>0</v>
      </c>
      <c r="AT4456">
        <v>0</v>
      </c>
      <c r="AV4456">
        <v>0</v>
      </c>
      <c r="AW4456">
        <v>0</v>
      </c>
      <c r="AX4456">
        <v>120</v>
      </c>
      <c r="AY4456">
        <v>-12</v>
      </c>
      <c r="AZ4456">
        <v>0</v>
      </c>
      <c r="BA4456">
        <v>124.8</v>
      </c>
      <c r="BE4456" t="str">
        <f>T("9791172822040")</f>
        <v>9791172822040</v>
      </c>
      <c r="BF4456" t="str">
        <f>T("D158686")</f>
        <v>D158686</v>
      </c>
      <c r="BG4456" t="str">
        <f>T("로판 웹소설 &gt; 서양풍 로판")</f>
        <v>로판 웹소설 &gt; 서양풍 로판</v>
      </c>
    </row>
    <row r="4457" spans="1:59">
      <c r="A4457" t="s">
        <v>60</v>
      </c>
      <c r="B4457" s="1">
        <v>46129</v>
      </c>
      <c r="C4457">
        <v>2378078499</v>
      </c>
      <c r="D4457">
        <v>2378078561</v>
      </c>
      <c r="E4457" t="str">
        <f>T("용사들은 성녀의 축복을 받아야 한다 63화")</f>
        <v>용사들은 성녀의 축복을 받아야 한다 63화</v>
      </c>
      <c r="F4457">
        <v>63</v>
      </c>
      <c r="G4457" t="str">
        <f>T("필밤")</f>
        <v>필밤</v>
      </c>
      <c r="J4457" t="str">
        <f>T("시계토끼")</f>
        <v>시계토끼</v>
      </c>
      <c r="K4457" t="str">
        <f>T("용사들은 성녀의 축복을 받아야 한다")</f>
        <v>용사들은 성녀의 축복을 받아야 한다</v>
      </c>
      <c r="L4457">
        <v>100</v>
      </c>
      <c r="M4457">
        <v>200</v>
      </c>
      <c r="N4457">
        <v>2</v>
      </c>
      <c r="O4457">
        <v>0</v>
      </c>
      <c r="P4457">
        <v>0</v>
      </c>
      <c r="Q4457">
        <v>0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0</v>
      </c>
      <c r="AC4457">
        <v>0</v>
      </c>
      <c r="AD4457">
        <v>0</v>
      </c>
      <c r="AE4457">
        <v>0</v>
      </c>
      <c r="AF4457">
        <v>0</v>
      </c>
      <c r="AG4457">
        <v>0</v>
      </c>
      <c r="AH4457">
        <v>0</v>
      </c>
      <c r="AI4457">
        <v>200</v>
      </c>
      <c r="AJ4457">
        <v>2</v>
      </c>
      <c r="AK4457">
        <v>0</v>
      </c>
      <c r="AL4457">
        <v>0</v>
      </c>
      <c r="AM4457">
        <v>100</v>
      </c>
      <c r="AN4457">
        <v>0</v>
      </c>
      <c r="AO4457">
        <v>120</v>
      </c>
      <c r="AP4457">
        <v>-12</v>
      </c>
      <c r="AQ4457">
        <v>0</v>
      </c>
      <c r="AS4457">
        <v>0</v>
      </c>
      <c r="AT4457">
        <v>0</v>
      </c>
      <c r="AV4457">
        <v>0</v>
      </c>
      <c r="AW4457">
        <v>0</v>
      </c>
      <c r="AX4457">
        <v>120</v>
      </c>
      <c r="AY4457">
        <v>-12</v>
      </c>
      <c r="AZ4457">
        <v>0</v>
      </c>
      <c r="BA4457">
        <v>124.8</v>
      </c>
      <c r="BE4457" t="str">
        <f>T("9791172822040")</f>
        <v>9791172822040</v>
      </c>
      <c r="BF4457" t="str">
        <f>T("D158687")</f>
        <v>D158687</v>
      </c>
      <c r="BG4457" t="str">
        <f>T("로판 웹소설 &gt; 서양풍 로판")</f>
        <v>로판 웹소설 &gt; 서양풍 로판</v>
      </c>
    </row>
    <row r="4458" spans="1:59">
      <c r="A4458" t="s">
        <v>60</v>
      </c>
      <c r="B4458" s="1">
        <v>46129</v>
      </c>
      <c r="C4458">
        <v>2378078499</v>
      </c>
      <c r="D4458">
        <v>2378078562</v>
      </c>
      <c r="E4458" t="str">
        <f>T("용사들은 성녀의 축복을 받아야 한다 64화")</f>
        <v>용사들은 성녀의 축복을 받아야 한다 64화</v>
      </c>
      <c r="F4458">
        <v>64</v>
      </c>
      <c r="G4458" t="str">
        <f>T("필밤")</f>
        <v>필밤</v>
      </c>
      <c r="J4458" t="str">
        <f>T("시계토끼")</f>
        <v>시계토끼</v>
      </c>
      <c r="K4458" t="str">
        <f>T("용사들은 성녀의 축복을 받아야 한다")</f>
        <v>용사들은 성녀의 축복을 받아야 한다</v>
      </c>
      <c r="L4458">
        <v>100</v>
      </c>
      <c r="M4458">
        <v>100</v>
      </c>
      <c r="N4458">
        <v>1</v>
      </c>
      <c r="O4458">
        <v>0</v>
      </c>
      <c r="P4458">
        <v>0</v>
      </c>
      <c r="Q4458">
        <v>0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0</v>
      </c>
      <c r="AC4458">
        <v>0</v>
      </c>
      <c r="AD4458">
        <v>0</v>
      </c>
      <c r="AE4458">
        <v>0</v>
      </c>
      <c r="AF4458">
        <v>0</v>
      </c>
      <c r="AG4458">
        <v>0</v>
      </c>
      <c r="AH4458">
        <v>0</v>
      </c>
      <c r="AI4458">
        <v>100</v>
      </c>
      <c r="AJ4458">
        <v>1</v>
      </c>
      <c r="AK4458">
        <v>0</v>
      </c>
      <c r="AL4458">
        <v>0</v>
      </c>
      <c r="AM4458">
        <v>0</v>
      </c>
      <c r="AN4458">
        <v>0</v>
      </c>
      <c r="AO4458">
        <v>120</v>
      </c>
      <c r="AP4458">
        <v>-12</v>
      </c>
      <c r="AQ4458">
        <v>0</v>
      </c>
      <c r="AS4458">
        <v>0</v>
      </c>
      <c r="AT4458">
        <v>0</v>
      </c>
      <c r="AV4458">
        <v>0</v>
      </c>
      <c r="AW4458">
        <v>0</v>
      </c>
      <c r="AX4458">
        <v>120</v>
      </c>
      <c r="AY4458">
        <v>-12</v>
      </c>
      <c r="AZ4458">
        <v>0</v>
      </c>
      <c r="BA4458">
        <v>64.8</v>
      </c>
      <c r="BE4458" t="str">
        <f>T("9791172822040")</f>
        <v>9791172822040</v>
      </c>
      <c r="BF4458" t="str">
        <f>T("D158688")</f>
        <v>D158688</v>
      </c>
      <c r="BG4458" t="str">
        <f>T("로판 웹소설 &gt; 서양풍 로판")</f>
        <v>로판 웹소설 &gt; 서양풍 로판</v>
      </c>
    </row>
    <row r="4459" spans="1:59">
      <c r="A4459" t="s">
        <v>60</v>
      </c>
      <c r="B4459" s="1">
        <v>46129</v>
      </c>
      <c r="C4459">
        <v>2378078499</v>
      </c>
      <c r="D4459">
        <v>2378078563</v>
      </c>
      <c r="E4459" t="str">
        <f>T("용사들은 성녀의 축복을 받아야 한다 65화")</f>
        <v>용사들은 성녀의 축복을 받아야 한다 65화</v>
      </c>
      <c r="F4459">
        <v>65</v>
      </c>
      <c r="G4459" t="str">
        <f>T("필밤")</f>
        <v>필밤</v>
      </c>
      <c r="J4459" t="str">
        <f>T("시계토끼")</f>
        <v>시계토끼</v>
      </c>
      <c r="K4459" t="str">
        <f>T("용사들은 성녀의 축복을 받아야 한다")</f>
        <v>용사들은 성녀의 축복을 받아야 한다</v>
      </c>
      <c r="L4459">
        <v>100</v>
      </c>
      <c r="M4459">
        <v>100</v>
      </c>
      <c r="N4459">
        <v>1</v>
      </c>
      <c r="O4459">
        <v>0</v>
      </c>
      <c r="P4459">
        <v>0</v>
      </c>
      <c r="Q4459">
        <v>0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0</v>
      </c>
      <c r="AC4459">
        <v>0</v>
      </c>
      <c r="AD4459">
        <v>0</v>
      </c>
      <c r="AE4459">
        <v>0</v>
      </c>
      <c r="AF4459">
        <v>0</v>
      </c>
      <c r="AG4459">
        <v>0</v>
      </c>
      <c r="AH4459">
        <v>0</v>
      </c>
      <c r="AI4459">
        <v>100</v>
      </c>
      <c r="AJ4459">
        <v>1</v>
      </c>
      <c r="AK4459">
        <v>0</v>
      </c>
      <c r="AL4459">
        <v>0</v>
      </c>
      <c r="AM4459">
        <v>0</v>
      </c>
      <c r="AN4459">
        <v>0</v>
      </c>
      <c r="AO4459">
        <v>120</v>
      </c>
      <c r="AP4459">
        <v>-12</v>
      </c>
      <c r="AQ4459">
        <v>0</v>
      </c>
      <c r="AS4459">
        <v>0</v>
      </c>
      <c r="AT4459">
        <v>0</v>
      </c>
      <c r="AV4459">
        <v>0</v>
      </c>
      <c r="AW4459">
        <v>0</v>
      </c>
      <c r="AX4459">
        <v>120</v>
      </c>
      <c r="AY4459">
        <v>-12</v>
      </c>
      <c r="AZ4459">
        <v>0</v>
      </c>
      <c r="BA4459">
        <v>64.8</v>
      </c>
      <c r="BE4459" t="str">
        <f>T("9791172822040")</f>
        <v>9791172822040</v>
      </c>
      <c r="BF4459" t="str">
        <f>T("D158689")</f>
        <v>D158689</v>
      </c>
      <c r="BG4459" t="str">
        <f>T("로판 웹소설 &gt; 서양풍 로판")</f>
        <v>로판 웹소설 &gt; 서양풍 로판</v>
      </c>
    </row>
    <row r="4460" spans="1:59">
      <c r="A4460" t="s">
        <v>60</v>
      </c>
      <c r="B4460" s="1">
        <v>46129</v>
      </c>
      <c r="C4460">
        <v>2378078499</v>
      </c>
      <c r="D4460">
        <v>2378078564</v>
      </c>
      <c r="E4460" t="str">
        <f>T("용사들은 성녀의 축복을 받아야 한다 66화")</f>
        <v>용사들은 성녀의 축복을 받아야 한다 66화</v>
      </c>
      <c r="F4460">
        <v>66</v>
      </c>
      <c r="G4460" t="str">
        <f>T("필밤")</f>
        <v>필밤</v>
      </c>
      <c r="J4460" t="str">
        <f>T("시계토끼")</f>
        <v>시계토끼</v>
      </c>
      <c r="K4460" t="str">
        <f>T("용사들은 성녀의 축복을 받아야 한다")</f>
        <v>용사들은 성녀의 축복을 받아야 한다</v>
      </c>
      <c r="L4460">
        <v>100</v>
      </c>
      <c r="M4460">
        <v>300</v>
      </c>
      <c r="N4460">
        <v>3</v>
      </c>
      <c r="O4460">
        <v>0</v>
      </c>
      <c r="P4460">
        <v>0</v>
      </c>
      <c r="Q4460">
        <v>0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0</v>
      </c>
      <c r="AC4460">
        <v>0</v>
      </c>
      <c r="AD4460">
        <v>0</v>
      </c>
      <c r="AE4460">
        <v>0</v>
      </c>
      <c r="AF4460">
        <v>0</v>
      </c>
      <c r="AG4460">
        <v>0</v>
      </c>
      <c r="AH4460">
        <v>0</v>
      </c>
      <c r="AI4460">
        <v>300</v>
      </c>
      <c r="AJ4460">
        <v>3</v>
      </c>
      <c r="AK4460">
        <v>0</v>
      </c>
      <c r="AL4460">
        <v>0</v>
      </c>
      <c r="AM4460">
        <v>100</v>
      </c>
      <c r="AN4460">
        <v>0</v>
      </c>
      <c r="AO4460">
        <v>240</v>
      </c>
      <c r="AP4460">
        <v>-24</v>
      </c>
      <c r="AQ4460">
        <v>0</v>
      </c>
      <c r="AS4460">
        <v>0</v>
      </c>
      <c r="AT4460">
        <v>0</v>
      </c>
      <c r="AV4460">
        <v>0</v>
      </c>
      <c r="AW4460">
        <v>0</v>
      </c>
      <c r="AX4460">
        <v>240</v>
      </c>
      <c r="AY4460">
        <v>-24</v>
      </c>
      <c r="AZ4460">
        <v>0</v>
      </c>
      <c r="BA4460">
        <v>189.6</v>
      </c>
      <c r="BE4460" t="str">
        <f>T("9791172822040")</f>
        <v>9791172822040</v>
      </c>
      <c r="BF4460" t="str">
        <f>T("D158690")</f>
        <v>D158690</v>
      </c>
      <c r="BG4460" t="str">
        <f>T("로판 웹소설 &gt; 서양풍 로판")</f>
        <v>로판 웹소설 &gt; 서양풍 로판</v>
      </c>
    </row>
    <row r="4461" spans="1:59">
      <c r="A4461" t="s">
        <v>60</v>
      </c>
      <c r="B4461" s="1">
        <v>46129</v>
      </c>
      <c r="C4461">
        <v>2378078499</v>
      </c>
      <c r="D4461">
        <v>2378078565</v>
      </c>
      <c r="E4461" t="str">
        <f>T("용사들은 성녀의 축복을 받아야 한다 67화")</f>
        <v>용사들은 성녀의 축복을 받아야 한다 67화</v>
      </c>
      <c r="F4461">
        <v>67</v>
      </c>
      <c r="G4461" t="str">
        <f>T("필밤")</f>
        <v>필밤</v>
      </c>
      <c r="J4461" t="str">
        <f>T("시계토끼")</f>
        <v>시계토끼</v>
      </c>
      <c r="K4461" t="str">
        <f>T("용사들은 성녀의 축복을 받아야 한다")</f>
        <v>용사들은 성녀의 축복을 받아야 한다</v>
      </c>
      <c r="L4461">
        <v>100</v>
      </c>
      <c r="M4461">
        <v>300</v>
      </c>
      <c r="N4461">
        <v>3</v>
      </c>
      <c r="O4461">
        <v>0</v>
      </c>
      <c r="P4461">
        <v>0</v>
      </c>
      <c r="Q4461">
        <v>0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0</v>
      </c>
      <c r="AC4461">
        <v>0</v>
      </c>
      <c r="AD4461">
        <v>0</v>
      </c>
      <c r="AE4461">
        <v>0</v>
      </c>
      <c r="AF4461">
        <v>0</v>
      </c>
      <c r="AG4461">
        <v>0</v>
      </c>
      <c r="AH4461">
        <v>0</v>
      </c>
      <c r="AI4461">
        <v>300</v>
      </c>
      <c r="AJ4461">
        <v>3</v>
      </c>
      <c r="AK4461">
        <v>0</v>
      </c>
      <c r="AL4461">
        <v>0</v>
      </c>
      <c r="AM4461">
        <v>100</v>
      </c>
      <c r="AN4461">
        <v>0</v>
      </c>
      <c r="AO4461">
        <v>240</v>
      </c>
      <c r="AP4461">
        <v>-24</v>
      </c>
      <c r="AQ4461">
        <v>0</v>
      </c>
      <c r="AS4461">
        <v>0</v>
      </c>
      <c r="AT4461">
        <v>0</v>
      </c>
      <c r="AV4461">
        <v>0</v>
      </c>
      <c r="AW4461">
        <v>0</v>
      </c>
      <c r="AX4461">
        <v>240</v>
      </c>
      <c r="AY4461">
        <v>-24</v>
      </c>
      <c r="AZ4461">
        <v>0</v>
      </c>
      <c r="BA4461">
        <v>189.6</v>
      </c>
      <c r="BE4461" t="str">
        <f>T("9791172822040")</f>
        <v>9791172822040</v>
      </c>
      <c r="BF4461" t="str">
        <f>T("D158691")</f>
        <v>D158691</v>
      </c>
      <c r="BG4461" t="str">
        <f>T("로판 웹소설 &gt; 서양풍 로판")</f>
        <v>로판 웹소설 &gt; 서양풍 로판</v>
      </c>
    </row>
    <row r="4462" spans="1:59">
      <c r="A4462" t="s">
        <v>60</v>
      </c>
      <c r="B4462" s="1">
        <v>46129</v>
      </c>
      <c r="C4462">
        <v>2378078499</v>
      </c>
      <c r="D4462">
        <v>2378078566</v>
      </c>
      <c r="E4462" t="str">
        <f>T("용사들은 성녀의 축복을 받아야 한다 68화")</f>
        <v>용사들은 성녀의 축복을 받아야 한다 68화</v>
      </c>
      <c r="F4462">
        <v>68</v>
      </c>
      <c r="G4462" t="str">
        <f>T("필밤")</f>
        <v>필밤</v>
      </c>
      <c r="J4462" t="str">
        <f>T("시계토끼")</f>
        <v>시계토끼</v>
      </c>
      <c r="K4462" t="str">
        <f>T("용사들은 성녀의 축복을 받아야 한다")</f>
        <v>용사들은 성녀의 축복을 받아야 한다</v>
      </c>
      <c r="L4462">
        <v>100</v>
      </c>
      <c r="M4462">
        <v>500</v>
      </c>
      <c r="N4462">
        <v>5</v>
      </c>
      <c r="O4462">
        <v>0</v>
      </c>
      <c r="P4462">
        <v>0</v>
      </c>
      <c r="Q4462">
        <v>0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0</v>
      </c>
      <c r="AC4462">
        <v>0</v>
      </c>
      <c r="AD4462">
        <v>0</v>
      </c>
      <c r="AE4462">
        <v>0</v>
      </c>
      <c r="AF4462">
        <v>0</v>
      </c>
      <c r="AG4462">
        <v>0</v>
      </c>
      <c r="AH4462">
        <v>0</v>
      </c>
      <c r="AI4462">
        <v>500</v>
      </c>
      <c r="AJ4462">
        <v>5</v>
      </c>
      <c r="AK4462">
        <v>0</v>
      </c>
      <c r="AL4462">
        <v>0</v>
      </c>
      <c r="AM4462">
        <v>300</v>
      </c>
      <c r="AN4462">
        <v>0</v>
      </c>
      <c r="AO4462">
        <v>240</v>
      </c>
      <c r="AP4462">
        <v>-24</v>
      </c>
      <c r="AQ4462">
        <v>0</v>
      </c>
      <c r="AS4462">
        <v>0</v>
      </c>
      <c r="AT4462">
        <v>0</v>
      </c>
      <c r="AV4462">
        <v>0</v>
      </c>
      <c r="AW4462">
        <v>0</v>
      </c>
      <c r="AX4462">
        <v>240</v>
      </c>
      <c r="AY4462">
        <v>-24</v>
      </c>
      <c r="AZ4462">
        <v>0</v>
      </c>
      <c r="BA4462">
        <v>309.60000000000002</v>
      </c>
      <c r="BE4462" t="str">
        <f>T("9791172822040")</f>
        <v>9791172822040</v>
      </c>
      <c r="BF4462" t="str">
        <f>T("D158692")</f>
        <v>D158692</v>
      </c>
      <c r="BG4462" t="str">
        <f>T("로판 웹소설 &gt; 서양풍 로판")</f>
        <v>로판 웹소설 &gt; 서양풍 로판</v>
      </c>
    </row>
    <row r="4463" spans="1:59">
      <c r="A4463" t="s">
        <v>60</v>
      </c>
      <c r="B4463" s="1">
        <v>46129</v>
      </c>
      <c r="C4463">
        <v>2378078499</v>
      </c>
      <c r="D4463">
        <v>2378078567</v>
      </c>
      <c r="E4463" t="str">
        <f>T("용사들은 성녀의 축복을 받아야 한다 69화")</f>
        <v>용사들은 성녀의 축복을 받아야 한다 69화</v>
      </c>
      <c r="F4463">
        <v>69</v>
      </c>
      <c r="G4463" t="str">
        <f>T("필밤")</f>
        <v>필밤</v>
      </c>
      <c r="J4463" t="str">
        <f>T("시계토끼")</f>
        <v>시계토끼</v>
      </c>
      <c r="K4463" t="str">
        <f>T("용사들은 성녀의 축복을 받아야 한다")</f>
        <v>용사들은 성녀의 축복을 받아야 한다</v>
      </c>
      <c r="L4463">
        <v>100</v>
      </c>
      <c r="M4463">
        <v>400</v>
      </c>
      <c r="N4463">
        <v>4</v>
      </c>
      <c r="O4463">
        <v>0</v>
      </c>
      <c r="P4463">
        <v>0</v>
      </c>
      <c r="Q4463">
        <v>0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0</v>
      </c>
      <c r="AC4463">
        <v>0</v>
      </c>
      <c r="AD4463">
        <v>0</v>
      </c>
      <c r="AE4463">
        <v>0</v>
      </c>
      <c r="AF4463">
        <v>0</v>
      </c>
      <c r="AG4463">
        <v>0</v>
      </c>
      <c r="AH4463">
        <v>0</v>
      </c>
      <c r="AI4463">
        <v>400</v>
      </c>
      <c r="AJ4463">
        <v>4</v>
      </c>
      <c r="AK4463">
        <v>0</v>
      </c>
      <c r="AL4463">
        <v>0</v>
      </c>
      <c r="AM4463">
        <v>200</v>
      </c>
      <c r="AN4463">
        <v>0</v>
      </c>
      <c r="AO4463">
        <v>240</v>
      </c>
      <c r="AP4463">
        <v>-24</v>
      </c>
      <c r="AQ4463">
        <v>0</v>
      </c>
      <c r="AS4463">
        <v>0</v>
      </c>
      <c r="AT4463">
        <v>0</v>
      </c>
      <c r="AV4463">
        <v>0</v>
      </c>
      <c r="AW4463">
        <v>0</v>
      </c>
      <c r="AX4463">
        <v>240</v>
      </c>
      <c r="AY4463">
        <v>-24</v>
      </c>
      <c r="AZ4463">
        <v>0</v>
      </c>
      <c r="BA4463">
        <v>249.6</v>
      </c>
      <c r="BE4463" t="str">
        <f>T("9791172822040")</f>
        <v>9791172822040</v>
      </c>
      <c r="BF4463" t="str">
        <f>T("D158693")</f>
        <v>D158693</v>
      </c>
      <c r="BG4463" t="str">
        <f>T("로판 웹소설 &gt; 서양풍 로판")</f>
        <v>로판 웹소설 &gt; 서양풍 로판</v>
      </c>
    </row>
    <row r="4464" spans="1:59">
      <c r="A4464" t="s">
        <v>60</v>
      </c>
      <c r="B4464" s="1">
        <v>46129</v>
      </c>
      <c r="C4464">
        <v>2378078499</v>
      </c>
      <c r="D4464">
        <v>2378078568</v>
      </c>
      <c r="E4464" t="str">
        <f>T("용사들은 성녀의 축복을 받아야 한다 70화")</f>
        <v>용사들은 성녀의 축복을 받아야 한다 70화</v>
      </c>
      <c r="F4464">
        <v>70</v>
      </c>
      <c r="G4464" t="str">
        <f>T("필밤")</f>
        <v>필밤</v>
      </c>
      <c r="J4464" t="str">
        <f>T("시계토끼")</f>
        <v>시계토끼</v>
      </c>
      <c r="K4464" t="str">
        <f>T("용사들은 성녀의 축복을 받아야 한다")</f>
        <v>용사들은 성녀의 축복을 받아야 한다</v>
      </c>
      <c r="L4464">
        <v>100</v>
      </c>
      <c r="M4464">
        <v>400</v>
      </c>
      <c r="N4464">
        <v>4</v>
      </c>
      <c r="O4464">
        <v>0</v>
      </c>
      <c r="P4464">
        <v>0</v>
      </c>
      <c r="Q4464">
        <v>0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0</v>
      </c>
      <c r="AC4464">
        <v>0</v>
      </c>
      <c r="AD4464">
        <v>0</v>
      </c>
      <c r="AE4464">
        <v>0</v>
      </c>
      <c r="AF4464">
        <v>0</v>
      </c>
      <c r="AG4464">
        <v>0</v>
      </c>
      <c r="AH4464">
        <v>0</v>
      </c>
      <c r="AI4464">
        <v>400</v>
      </c>
      <c r="AJ4464">
        <v>4</v>
      </c>
      <c r="AK4464">
        <v>0</v>
      </c>
      <c r="AL4464">
        <v>0</v>
      </c>
      <c r="AM4464">
        <v>200</v>
      </c>
      <c r="AN4464">
        <v>0</v>
      </c>
      <c r="AO4464">
        <v>240</v>
      </c>
      <c r="AP4464">
        <v>-24</v>
      </c>
      <c r="AQ4464">
        <v>0</v>
      </c>
      <c r="AS4464">
        <v>0</v>
      </c>
      <c r="AT4464">
        <v>0</v>
      </c>
      <c r="AV4464">
        <v>0</v>
      </c>
      <c r="AW4464">
        <v>0</v>
      </c>
      <c r="AX4464">
        <v>240</v>
      </c>
      <c r="AY4464">
        <v>-24</v>
      </c>
      <c r="AZ4464">
        <v>0</v>
      </c>
      <c r="BA4464">
        <v>249.6</v>
      </c>
      <c r="BE4464" t="str">
        <f>T("9791172822040")</f>
        <v>9791172822040</v>
      </c>
      <c r="BF4464" t="str">
        <f>T("D158694")</f>
        <v>D158694</v>
      </c>
      <c r="BG4464" t="str">
        <f>T("로판 웹소설 &gt; 서양풍 로판")</f>
        <v>로판 웹소설 &gt; 서양풍 로판</v>
      </c>
    </row>
    <row r="4465" spans="1:59">
      <c r="A4465" t="s">
        <v>60</v>
      </c>
      <c r="B4465" s="1">
        <v>46129</v>
      </c>
      <c r="C4465">
        <v>2378078499</v>
      </c>
      <c r="D4465">
        <v>2378078569</v>
      </c>
      <c r="E4465" t="str">
        <f>T("용사들은 성녀의 축복을 받아야 한다 71화")</f>
        <v>용사들은 성녀의 축복을 받아야 한다 71화</v>
      </c>
      <c r="F4465">
        <v>71</v>
      </c>
      <c r="G4465" t="str">
        <f>T("필밤")</f>
        <v>필밤</v>
      </c>
      <c r="J4465" t="str">
        <f>T("시계토끼")</f>
        <v>시계토끼</v>
      </c>
      <c r="K4465" t="str">
        <f>T("용사들은 성녀의 축복을 받아야 한다")</f>
        <v>용사들은 성녀의 축복을 받아야 한다</v>
      </c>
      <c r="L4465">
        <v>100</v>
      </c>
      <c r="M4465">
        <v>200</v>
      </c>
      <c r="N4465">
        <v>2</v>
      </c>
      <c r="O4465">
        <v>0</v>
      </c>
      <c r="P4465">
        <v>0</v>
      </c>
      <c r="Q4465">
        <v>0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0</v>
      </c>
      <c r="AC4465">
        <v>0</v>
      </c>
      <c r="AD4465">
        <v>0</v>
      </c>
      <c r="AE4465">
        <v>0</v>
      </c>
      <c r="AF4465">
        <v>0</v>
      </c>
      <c r="AG4465">
        <v>0</v>
      </c>
      <c r="AH4465">
        <v>0</v>
      </c>
      <c r="AI4465">
        <v>200</v>
      </c>
      <c r="AJ4465">
        <v>2</v>
      </c>
      <c r="AK4465">
        <v>0</v>
      </c>
      <c r="AL4465">
        <v>0</v>
      </c>
      <c r="AM4465">
        <v>100</v>
      </c>
      <c r="AN4465">
        <v>0</v>
      </c>
      <c r="AO4465">
        <v>120</v>
      </c>
      <c r="AP4465">
        <v>-12</v>
      </c>
      <c r="AQ4465">
        <v>0</v>
      </c>
      <c r="AS4465">
        <v>0</v>
      </c>
      <c r="AT4465">
        <v>0</v>
      </c>
      <c r="AV4465">
        <v>0</v>
      </c>
      <c r="AW4465">
        <v>0</v>
      </c>
      <c r="AX4465">
        <v>120</v>
      </c>
      <c r="AY4465">
        <v>-12</v>
      </c>
      <c r="AZ4465">
        <v>0</v>
      </c>
      <c r="BA4465">
        <v>124.8</v>
      </c>
      <c r="BE4465" t="str">
        <f>T("9791172822040")</f>
        <v>9791172822040</v>
      </c>
      <c r="BF4465" t="str">
        <f>T("D158695")</f>
        <v>D158695</v>
      </c>
      <c r="BG4465" t="str">
        <f>T("로판 웹소설 &gt; 서양풍 로판")</f>
        <v>로판 웹소설 &gt; 서양풍 로판</v>
      </c>
    </row>
    <row r="4466" spans="1:59">
      <c r="A4466" t="s">
        <v>60</v>
      </c>
      <c r="B4466" s="1">
        <v>46129</v>
      </c>
      <c r="C4466">
        <v>2378078499</v>
      </c>
      <c r="D4466">
        <v>2378078570</v>
      </c>
      <c r="E4466" t="str">
        <f>T("용사들은 성녀의 축복을 받아야 한다 72화")</f>
        <v>용사들은 성녀의 축복을 받아야 한다 72화</v>
      </c>
      <c r="F4466">
        <v>72</v>
      </c>
      <c r="G4466" t="str">
        <f>T("필밤")</f>
        <v>필밤</v>
      </c>
      <c r="J4466" t="str">
        <f>T("시계토끼")</f>
        <v>시계토끼</v>
      </c>
      <c r="K4466" t="str">
        <f>T("용사들은 성녀의 축복을 받아야 한다")</f>
        <v>용사들은 성녀의 축복을 받아야 한다</v>
      </c>
      <c r="L4466">
        <v>100</v>
      </c>
      <c r="M4466">
        <v>200</v>
      </c>
      <c r="N4466">
        <v>2</v>
      </c>
      <c r="O4466">
        <v>0</v>
      </c>
      <c r="P4466">
        <v>0</v>
      </c>
      <c r="Q4466">
        <v>0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0</v>
      </c>
      <c r="AC4466">
        <v>0</v>
      </c>
      <c r="AD4466">
        <v>0</v>
      </c>
      <c r="AE4466">
        <v>0</v>
      </c>
      <c r="AF4466">
        <v>0</v>
      </c>
      <c r="AG4466">
        <v>0</v>
      </c>
      <c r="AH4466">
        <v>0</v>
      </c>
      <c r="AI4466">
        <v>200</v>
      </c>
      <c r="AJ4466">
        <v>2</v>
      </c>
      <c r="AK4466">
        <v>0</v>
      </c>
      <c r="AL4466">
        <v>0</v>
      </c>
      <c r="AM4466">
        <v>100</v>
      </c>
      <c r="AN4466">
        <v>0</v>
      </c>
      <c r="AO4466">
        <v>120</v>
      </c>
      <c r="AP4466">
        <v>-12</v>
      </c>
      <c r="AQ4466">
        <v>0</v>
      </c>
      <c r="AS4466">
        <v>0</v>
      </c>
      <c r="AT4466">
        <v>0</v>
      </c>
      <c r="AV4466">
        <v>0</v>
      </c>
      <c r="AW4466">
        <v>0</v>
      </c>
      <c r="AX4466">
        <v>120</v>
      </c>
      <c r="AY4466">
        <v>-12</v>
      </c>
      <c r="AZ4466">
        <v>0</v>
      </c>
      <c r="BA4466">
        <v>124.8</v>
      </c>
      <c r="BE4466" t="str">
        <f>T("9791172822040")</f>
        <v>9791172822040</v>
      </c>
      <c r="BF4466" t="str">
        <f>T("D158696")</f>
        <v>D158696</v>
      </c>
      <c r="BG4466" t="str">
        <f>T("로판 웹소설 &gt; 서양풍 로판")</f>
        <v>로판 웹소설 &gt; 서양풍 로판</v>
      </c>
    </row>
    <row r="4467" spans="1:59">
      <c r="A4467" t="s">
        <v>60</v>
      </c>
      <c r="B4467" s="1">
        <v>46129</v>
      </c>
      <c r="C4467">
        <v>2378078499</v>
      </c>
      <c r="D4467">
        <v>2378078571</v>
      </c>
      <c r="E4467" t="str">
        <f>T("용사들은 성녀의 축복을 받아야 한다 73화")</f>
        <v>용사들은 성녀의 축복을 받아야 한다 73화</v>
      </c>
      <c r="F4467">
        <v>73</v>
      </c>
      <c r="G4467" t="str">
        <f>T("필밤")</f>
        <v>필밤</v>
      </c>
      <c r="J4467" t="str">
        <f>T("시계토끼")</f>
        <v>시계토끼</v>
      </c>
      <c r="K4467" t="str">
        <f>T("용사들은 성녀의 축복을 받아야 한다")</f>
        <v>용사들은 성녀의 축복을 받아야 한다</v>
      </c>
      <c r="L4467">
        <v>100</v>
      </c>
      <c r="M4467">
        <v>200</v>
      </c>
      <c r="N4467">
        <v>2</v>
      </c>
      <c r="O4467">
        <v>0</v>
      </c>
      <c r="P4467">
        <v>0</v>
      </c>
      <c r="Q4467">
        <v>0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0</v>
      </c>
      <c r="AC4467">
        <v>0</v>
      </c>
      <c r="AD4467">
        <v>0</v>
      </c>
      <c r="AE4467">
        <v>0</v>
      </c>
      <c r="AF4467">
        <v>0</v>
      </c>
      <c r="AG4467">
        <v>0</v>
      </c>
      <c r="AH4467">
        <v>0</v>
      </c>
      <c r="AI4467">
        <v>200</v>
      </c>
      <c r="AJ4467">
        <v>2</v>
      </c>
      <c r="AK4467">
        <v>0</v>
      </c>
      <c r="AL4467">
        <v>0</v>
      </c>
      <c r="AM4467">
        <v>100</v>
      </c>
      <c r="AN4467">
        <v>0</v>
      </c>
      <c r="AO4467">
        <v>120</v>
      </c>
      <c r="AP4467">
        <v>-12</v>
      </c>
      <c r="AQ4467">
        <v>0</v>
      </c>
      <c r="AS4467">
        <v>0</v>
      </c>
      <c r="AT4467">
        <v>0</v>
      </c>
      <c r="AV4467">
        <v>0</v>
      </c>
      <c r="AW4467">
        <v>0</v>
      </c>
      <c r="AX4467">
        <v>120</v>
      </c>
      <c r="AY4467">
        <v>-12</v>
      </c>
      <c r="AZ4467">
        <v>0</v>
      </c>
      <c r="BA4467">
        <v>124.8</v>
      </c>
      <c r="BE4467" t="str">
        <f>T("9791172822040")</f>
        <v>9791172822040</v>
      </c>
      <c r="BF4467" t="str">
        <f>T("D158697")</f>
        <v>D158697</v>
      </c>
      <c r="BG4467" t="str">
        <f>T("로판 웹소설 &gt; 서양풍 로판")</f>
        <v>로판 웹소설 &gt; 서양풍 로판</v>
      </c>
    </row>
    <row r="4468" spans="1:59">
      <c r="A4468" t="s">
        <v>60</v>
      </c>
      <c r="B4468" s="1">
        <v>46129</v>
      </c>
      <c r="C4468">
        <v>2378078499</v>
      </c>
      <c r="D4468">
        <v>2378078572</v>
      </c>
      <c r="E4468" t="str">
        <f>T("용사들은 성녀의 축복을 받아야 한다 74화")</f>
        <v>용사들은 성녀의 축복을 받아야 한다 74화</v>
      </c>
      <c r="F4468">
        <v>74</v>
      </c>
      <c r="G4468" t="str">
        <f>T("필밤")</f>
        <v>필밤</v>
      </c>
      <c r="J4468" t="str">
        <f>T("시계토끼")</f>
        <v>시계토끼</v>
      </c>
      <c r="K4468" t="str">
        <f>T("용사들은 성녀의 축복을 받아야 한다")</f>
        <v>용사들은 성녀의 축복을 받아야 한다</v>
      </c>
      <c r="L4468">
        <v>100</v>
      </c>
      <c r="M4468">
        <v>200</v>
      </c>
      <c r="N4468">
        <v>2</v>
      </c>
      <c r="O4468">
        <v>0</v>
      </c>
      <c r="P4468">
        <v>0</v>
      </c>
      <c r="Q4468">
        <v>0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0</v>
      </c>
      <c r="AC4468">
        <v>0</v>
      </c>
      <c r="AD4468">
        <v>0</v>
      </c>
      <c r="AE4468">
        <v>0</v>
      </c>
      <c r="AF4468">
        <v>0</v>
      </c>
      <c r="AG4468">
        <v>0</v>
      </c>
      <c r="AH4468">
        <v>0</v>
      </c>
      <c r="AI4468">
        <v>200</v>
      </c>
      <c r="AJ4468">
        <v>2</v>
      </c>
      <c r="AK4468">
        <v>0</v>
      </c>
      <c r="AL4468">
        <v>0</v>
      </c>
      <c r="AM4468">
        <v>100</v>
      </c>
      <c r="AN4468">
        <v>0</v>
      </c>
      <c r="AO4468">
        <v>120</v>
      </c>
      <c r="AP4468">
        <v>-12</v>
      </c>
      <c r="AQ4468">
        <v>0</v>
      </c>
      <c r="AS4468">
        <v>0</v>
      </c>
      <c r="AT4468">
        <v>0</v>
      </c>
      <c r="AV4468">
        <v>0</v>
      </c>
      <c r="AW4468">
        <v>0</v>
      </c>
      <c r="AX4468">
        <v>120</v>
      </c>
      <c r="AY4468">
        <v>-12</v>
      </c>
      <c r="AZ4468">
        <v>0</v>
      </c>
      <c r="BA4468">
        <v>124.8</v>
      </c>
      <c r="BE4468" t="str">
        <f>T("9791172822040")</f>
        <v>9791172822040</v>
      </c>
      <c r="BF4468" t="str">
        <f>T("D158698")</f>
        <v>D158698</v>
      </c>
      <c r="BG4468" t="str">
        <f>T("로판 웹소설 &gt; 서양풍 로판")</f>
        <v>로판 웹소설 &gt; 서양풍 로판</v>
      </c>
    </row>
    <row r="4469" spans="1:59">
      <c r="A4469" t="s">
        <v>60</v>
      </c>
      <c r="B4469" s="1">
        <v>46129</v>
      </c>
      <c r="C4469">
        <v>2378078499</v>
      </c>
      <c r="D4469">
        <v>2378078573</v>
      </c>
      <c r="E4469" t="str">
        <f>T("용사들은 성녀의 축복을 받아야 한다 75화")</f>
        <v>용사들은 성녀의 축복을 받아야 한다 75화</v>
      </c>
      <c r="F4469">
        <v>75</v>
      </c>
      <c r="G4469" t="str">
        <f>T("필밤")</f>
        <v>필밤</v>
      </c>
      <c r="J4469" t="str">
        <f>T("시계토끼")</f>
        <v>시계토끼</v>
      </c>
      <c r="K4469" t="str">
        <f>T("용사들은 성녀의 축복을 받아야 한다")</f>
        <v>용사들은 성녀의 축복을 받아야 한다</v>
      </c>
      <c r="L4469">
        <v>100</v>
      </c>
      <c r="M4469">
        <v>100</v>
      </c>
      <c r="N4469">
        <v>1</v>
      </c>
      <c r="O4469">
        <v>0</v>
      </c>
      <c r="P4469">
        <v>0</v>
      </c>
      <c r="Q4469">
        <v>0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0</v>
      </c>
      <c r="AC4469">
        <v>0</v>
      </c>
      <c r="AD4469">
        <v>0</v>
      </c>
      <c r="AE4469">
        <v>0</v>
      </c>
      <c r="AF4469">
        <v>0</v>
      </c>
      <c r="AG4469">
        <v>0</v>
      </c>
      <c r="AH4469">
        <v>0</v>
      </c>
      <c r="AI4469">
        <v>100</v>
      </c>
      <c r="AJ4469">
        <v>1</v>
      </c>
      <c r="AK4469">
        <v>0</v>
      </c>
      <c r="AL4469">
        <v>0</v>
      </c>
      <c r="AM4469">
        <v>100</v>
      </c>
      <c r="AN4469">
        <v>0</v>
      </c>
      <c r="AO4469">
        <v>0</v>
      </c>
      <c r="AP4469">
        <v>0</v>
      </c>
      <c r="AQ4469">
        <v>0</v>
      </c>
      <c r="AS4469">
        <v>0</v>
      </c>
      <c r="AT4469">
        <v>0</v>
      </c>
      <c r="AV4469">
        <v>0</v>
      </c>
      <c r="AW4469">
        <v>0</v>
      </c>
      <c r="AY4469">
        <v>0</v>
      </c>
      <c r="AZ4469">
        <v>0</v>
      </c>
      <c r="BA4469">
        <v>60</v>
      </c>
      <c r="BE4469" t="str">
        <f>T("9791172822040")</f>
        <v>9791172822040</v>
      </c>
      <c r="BF4469" t="str">
        <f>T("D158699")</f>
        <v>D158699</v>
      </c>
      <c r="BG4469" t="str">
        <f>T("로판 웹소설 &gt; 서양풍 로판")</f>
        <v>로판 웹소설 &gt; 서양풍 로판</v>
      </c>
    </row>
    <row r="4470" spans="1:59">
      <c r="A4470" t="s">
        <v>60</v>
      </c>
      <c r="B4470" s="1">
        <v>46129</v>
      </c>
      <c r="C4470">
        <v>2378078499</v>
      </c>
      <c r="D4470">
        <v>2378078574</v>
      </c>
      <c r="E4470" t="str">
        <f>T("용사들은 성녀의 축복을 받아야 한다 76화")</f>
        <v>용사들은 성녀의 축복을 받아야 한다 76화</v>
      </c>
      <c r="F4470">
        <v>76</v>
      </c>
      <c r="G4470" t="str">
        <f>T("필밤")</f>
        <v>필밤</v>
      </c>
      <c r="J4470" t="str">
        <f>T("시계토끼")</f>
        <v>시계토끼</v>
      </c>
      <c r="K4470" t="str">
        <f>T("용사들은 성녀의 축복을 받아야 한다")</f>
        <v>용사들은 성녀의 축복을 받아야 한다</v>
      </c>
      <c r="L4470">
        <v>100</v>
      </c>
      <c r="M4470">
        <v>100</v>
      </c>
      <c r="N4470">
        <v>1</v>
      </c>
      <c r="O4470">
        <v>0</v>
      </c>
      <c r="P4470">
        <v>0</v>
      </c>
      <c r="Q4470">
        <v>0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0</v>
      </c>
      <c r="AC4470">
        <v>0</v>
      </c>
      <c r="AD4470">
        <v>0</v>
      </c>
      <c r="AE4470">
        <v>0</v>
      </c>
      <c r="AF4470">
        <v>0</v>
      </c>
      <c r="AG4470">
        <v>0</v>
      </c>
      <c r="AH4470">
        <v>0</v>
      </c>
      <c r="AI4470">
        <v>100</v>
      </c>
      <c r="AJ4470">
        <v>1</v>
      </c>
      <c r="AK4470">
        <v>0</v>
      </c>
      <c r="AL4470">
        <v>0</v>
      </c>
      <c r="AM4470">
        <v>0</v>
      </c>
      <c r="AN4470">
        <v>0</v>
      </c>
      <c r="AO4470">
        <v>120</v>
      </c>
      <c r="AP4470">
        <v>-12</v>
      </c>
      <c r="AQ4470">
        <v>0</v>
      </c>
      <c r="AS4470">
        <v>0</v>
      </c>
      <c r="AT4470">
        <v>0</v>
      </c>
      <c r="AV4470">
        <v>0</v>
      </c>
      <c r="AW4470">
        <v>0</v>
      </c>
      <c r="AX4470">
        <v>120</v>
      </c>
      <c r="AY4470">
        <v>-12</v>
      </c>
      <c r="AZ4470">
        <v>0</v>
      </c>
      <c r="BA4470">
        <v>64.8</v>
      </c>
      <c r="BE4470" t="str">
        <f>T("9791172822040")</f>
        <v>9791172822040</v>
      </c>
      <c r="BF4470" t="str">
        <f>T("D158700")</f>
        <v>D158700</v>
      </c>
      <c r="BG4470" t="str">
        <f>T("로판 웹소설 &gt; 서양풍 로판")</f>
        <v>로판 웹소설 &gt; 서양풍 로판</v>
      </c>
    </row>
    <row r="4471" spans="1:59">
      <c r="A4471" t="s">
        <v>60</v>
      </c>
      <c r="B4471" s="1">
        <v>46129</v>
      </c>
      <c r="C4471">
        <v>2378078499</v>
      </c>
      <c r="D4471">
        <v>2378078575</v>
      </c>
      <c r="E4471" t="str">
        <f>T("용사들은 성녀의 축복을 받아야 한다 77화")</f>
        <v>용사들은 성녀의 축복을 받아야 한다 77화</v>
      </c>
      <c r="F4471">
        <v>77</v>
      </c>
      <c r="G4471" t="str">
        <f>T("필밤")</f>
        <v>필밤</v>
      </c>
      <c r="J4471" t="str">
        <f>T("시계토끼")</f>
        <v>시계토끼</v>
      </c>
      <c r="K4471" t="str">
        <f>T("용사들은 성녀의 축복을 받아야 한다")</f>
        <v>용사들은 성녀의 축복을 받아야 한다</v>
      </c>
      <c r="L4471">
        <v>100</v>
      </c>
      <c r="M4471">
        <v>100</v>
      </c>
      <c r="N4471">
        <v>1</v>
      </c>
      <c r="O4471">
        <v>0</v>
      </c>
      <c r="P4471">
        <v>0</v>
      </c>
      <c r="Q4471">
        <v>0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0</v>
      </c>
      <c r="AC4471">
        <v>0</v>
      </c>
      <c r="AD4471">
        <v>0</v>
      </c>
      <c r="AE4471">
        <v>0</v>
      </c>
      <c r="AF4471">
        <v>0</v>
      </c>
      <c r="AG4471">
        <v>0</v>
      </c>
      <c r="AH4471">
        <v>0</v>
      </c>
      <c r="AI4471">
        <v>100</v>
      </c>
      <c r="AJ4471">
        <v>1</v>
      </c>
      <c r="AK4471">
        <v>0</v>
      </c>
      <c r="AL4471">
        <v>0</v>
      </c>
      <c r="AM4471">
        <v>0</v>
      </c>
      <c r="AN4471">
        <v>0</v>
      </c>
      <c r="AO4471">
        <v>120</v>
      </c>
      <c r="AP4471">
        <v>-12</v>
      </c>
      <c r="AQ4471">
        <v>0</v>
      </c>
      <c r="AS4471">
        <v>0</v>
      </c>
      <c r="AT4471">
        <v>0</v>
      </c>
      <c r="AV4471">
        <v>0</v>
      </c>
      <c r="AW4471">
        <v>0</v>
      </c>
      <c r="AX4471">
        <v>120</v>
      </c>
      <c r="AY4471">
        <v>-12</v>
      </c>
      <c r="AZ4471">
        <v>0</v>
      </c>
      <c r="BA4471">
        <v>64.8</v>
      </c>
      <c r="BE4471" t="str">
        <f>T("9791172822040")</f>
        <v>9791172822040</v>
      </c>
      <c r="BF4471" t="str">
        <f>T("D158701")</f>
        <v>D158701</v>
      </c>
      <c r="BG4471" t="str">
        <f>T("로판 웹소설 &gt; 서양풍 로판")</f>
        <v>로판 웹소설 &gt; 서양풍 로판</v>
      </c>
    </row>
    <row r="4472" spans="1:59">
      <c r="A4472" t="s">
        <v>60</v>
      </c>
      <c r="B4472" s="1">
        <v>46129</v>
      </c>
      <c r="C4472">
        <v>2378078499</v>
      </c>
      <c r="D4472">
        <v>2378078576</v>
      </c>
      <c r="E4472" t="str">
        <f>T("용사들은 성녀의 축복을 받아야 한다 78화")</f>
        <v>용사들은 성녀의 축복을 받아야 한다 78화</v>
      </c>
      <c r="F4472">
        <v>78</v>
      </c>
      <c r="G4472" t="str">
        <f>T("필밤")</f>
        <v>필밤</v>
      </c>
      <c r="J4472" t="str">
        <f>T("시계토끼")</f>
        <v>시계토끼</v>
      </c>
      <c r="K4472" t="str">
        <f>T("용사들은 성녀의 축복을 받아야 한다")</f>
        <v>용사들은 성녀의 축복을 받아야 한다</v>
      </c>
      <c r="L4472">
        <v>100</v>
      </c>
      <c r="M4472">
        <v>100</v>
      </c>
      <c r="N4472">
        <v>1</v>
      </c>
      <c r="O4472">
        <v>0</v>
      </c>
      <c r="P4472">
        <v>0</v>
      </c>
      <c r="Q4472">
        <v>0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0</v>
      </c>
      <c r="AC4472">
        <v>0</v>
      </c>
      <c r="AD4472">
        <v>0</v>
      </c>
      <c r="AE4472">
        <v>0</v>
      </c>
      <c r="AF4472">
        <v>0</v>
      </c>
      <c r="AG4472">
        <v>0</v>
      </c>
      <c r="AH4472">
        <v>0</v>
      </c>
      <c r="AI4472">
        <v>100</v>
      </c>
      <c r="AJ4472">
        <v>1</v>
      </c>
      <c r="AK4472">
        <v>0</v>
      </c>
      <c r="AL4472">
        <v>0</v>
      </c>
      <c r="AM4472">
        <v>0</v>
      </c>
      <c r="AN4472">
        <v>0</v>
      </c>
      <c r="AO4472">
        <v>120</v>
      </c>
      <c r="AP4472">
        <v>-12</v>
      </c>
      <c r="AQ4472">
        <v>0</v>
      </c>
      <c r="AS4472">
        <v>0</v>
      </c>
      <c r="AT4472">
        <v>0</v>
      </c>
      <c r="AV4472">
        <v>0</v>
      </c>
      <c r="AW4472">
        <v>0</v>
      </c>
      <c r="AX4472">
        <v>120</v>
      </c>
      <c r="AY4472">
        <v>-12</v>
      </c>
      <c r="AZ4472">
        <v>0</v>
      </c>
      <c r="BA4472">
        <v>64.8</v>
      </c>
      <c r="BE4472" t="str">
        <f>T("9791172822040")</f>
        <v>9791172822040</v>
      </c>
      <c r="BF4472" t="str">
        <f>T("D158702")</f>
        <v>D158702</v>
      </c>
      <c r="BG4472" t="str">
        <f>T("로판 웹소설 &gt; 서양풍 로판")</f>
        <v>로판 웹소설 &gt; 서양풍 로판</v>
      </c>
    </row>
    <row r="4473" spans="1:59">
      <c r="A4473" t="s">
        <v>60</v>
      </c>
      <c r="B4473" s="1">
        <v>46129</v>
      </c>
      <c r="C4473">
        <v>2378078499</v>
      </c>
      <c r="D4473">
        <v>2378078578</v>
      </c>
      <c r="E4473" t="str">
        <f>T("용사들은 성녀의 축복을 받아야 한다 80화")</f>
        <v>용사들은 성녀의 축복을 받아야 한다 80화</v>
      </c>
      <c r="F4473">
        <v>80</v>
      </c>
      <c r="G4473" t="str">
        <f>T("필밤")</f>
        <v>필밤</v>
      </c>
      <c r="J4473" t="str">
        <f>T("시계토끼")</f>
        <v>시계토끼</v>
      </c>
      <c r="K4473" t="str">
        <f>T("용사들은 성녀의 축복을 받아야 한다")</f>
        <v>용사들은 성녀의 축복을 받아야 한다</v>
      </c>
      <c r="L4473">
        <v>100</v>
      </c>
      <c r="M4473">
        <v>100</v>
      </c>
      <c r="N4473">
        <v>1</v>
      </c>
      <c r="O4473">
        <v>0</v>
      </c>
      <c r="P4473">
        <v>0</v>
      </c>
      <c r="Q4473">
        <v>0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0</v>
      </c>
      <c r="AC4473">
        <v>0</v>
      </c>
      <c r="AD4473">
        <v>0</v>
      </c>
      <c r="AE4473">
        <v>0</v>
      </c>
      <c r="AF4473">
        <v>0</v>
      </c>
      <c r="AG4473">
        <v>0</v>
      </c>
      <c r="AH4473">
        <v>0</v>
      </c>
      <c r="AI4473">
        <v>100</v>
      </c>
      <c r="AJ4473">
        <v>1</v>
      </c>
      <c r="AK4473">
        <v>0</v>
      </c>
      <c r="AL4473">
        <v>0</v>
      </c>
      <c r="AM4473">
        <v>100</v>
      </c>
      <c r="AN4473">
        <v>0</v>
      </c>
      <c r="AO4473">
        <v>0</v>
      </c>
      <c r="AP4473">
        <v>0</v>
      </c>
      <c r="AQ4473">
        <v>0</v>
      </c>
      <c r="AS4473">
        <v>0</v>
      </c>
      <c r="AT4473">
        <v>0</v>
      </c>
      <c r="AV4473">
        <v>0</v>
      </c>
      <c r="AW4473">
        <v>0</v>
      </c>
      <c r="AY4473">
        <v>0</v>
      </c>
      <c r="AZ4473">
        <v>0</v>
      </c>
      <c r="BA4473">
        <v>60</v>
      </c>
      <c r="BE4473" t="str">
        <f>T("9791172822040")</f>
        <v>9791172822040</v>
      </c>
      <c r="BF4473" t="str">
        <f>T("D158704")</f>
        <v>D158704</v>
      </c>
      <c r="BG4473" t="str">
        <f>T("로판 웹소설 &gt; 서양풍 로판")</f>
        <v>로판 웹소설 &gt; 서양풍 로판</v>
      </c>
    </row>
    <row r="4474" spans="1:59">
      <c r="A4474" t="s">
        <v>60</v>
      </c>
      <c r="B4474" s="1">
        <v>46129</v>
      </c>
      <c r="C4474">
        <v>2378078499</v>
      </c>
      <c r="D4474">
        <v>2378078581</v>
      </c>
      <c r="E4474" t="str">
        <f>T("용사들은 성녀의 축복을 받아야 한다 83화")</f>
        <v>용사들은 성녀의 축복을 받아야 한다 83화</v>
      </c>
      <c r="F4474">
        <v>83</v>
      </c>
      <c r="G4474" t="str">
        <f>T("필밤")</f>
        <v>필밤</v>
      </c>
      <c r="J4474" t="str">
        <f>T("시계토끼")</f>
        <v>시계토끼</v>
      </c>
      <c r="K4474" t="str">
        <f>T("용사들은 성녀의 축복을 받아야 한다")</f>
        <v>용사들은 성녀의 축복을 받아야 한다</v>
      </c>
      <c r="L4474">
        <v>100</v>
      </c>
      <c r="M4474">
        <v>100</v>
      </c>
      <c r="N4474">
        <v>1</v>
      </c>
      <c r="O4474">
        <v>0</v>
      </c>
      <c r="P4474">
        <v>0</v>
      </c>
      <c r="Q4474">
        <v>0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0</v>
      </c>
      <c r="AC4474">
        <v>0</v>
      </c>
      <c r="AD4474">
        <v>0</v>
      </c>
      <c r="AE4474">
        <v>0</v>
      </c>
      <c r="AF4474">
        <v>0</v>
      </c>
      <c r="AG4474">
        <v>0</v>
      </c>
      <c r="AH4474">
        <v>0</v>
      </c>
      <c r="AI4474">
        <v>100</v>
      </c>
      <c r="AJ4474">
        <v>1</v>
      </c>
      <c r="AK4474">
        <v>0</v>
      </c>
      <c r="AL4474">
        <v>0</v>
      </c>
      <c r="AM4474">
        <v>100</v>
      </c>
      <c r="AN4474">
        <v>0</v>
      </c>
      <c r="AO4474">
        <v>0</v>
      </c>
      <c r="AP4474">
        <v>0</v>
      </c>
      <c r="AQ4474">
        <v>0</v>
      </c>
      <c r="AS4474">
        <v>0</v>
      </c>
      <c r="AT4474">
        <v>0</v>
      </c>
      <c r="AV4474">
        <v>0</v>
      </c>
      <c r="AW4474">
        <v>0</v>
      </c>
      <c r="AY4474">
        <v>0</v>
      </c>
      <c r="AZ4474">
        <v>0</v>
      </c>
      <c r="BA4474">
        <v>60</v>
      </c>
      <c r="BE4474" t="str">
        <f>T("9791172822040")</f>
        <v>9791172822040</v>
      </c>
      <c r="BF4474" t="str">
        <f>T("D158707")</f>
        <v>D158707</v>
      </c>
      <c r="BG4474" t="str">
        <f>T("로판 웹소설 &gt; 서양풍 로판")</f>
        <v>로판 웹소설 &gt; 서양풍 로판</v>
      </c>
    </row>
    <row r="4475" spans="1:59">
      <c r="A4475" t="s">
        <v>60</v>
      </c>
      <c r="B4475" s="1">
        <v>46129</v>
      </c>
      <c r="C4475">
        <v>2378078499</v>
      </c>
      <c r="D4475">
        <v>2378078582</v>
      </c>
      <c r="E4475" t="str">
        <f>T("용사들은 성녀의 축복을 받아야 한다 84화")</f>
        <v>용사들은 성녀의 축복을 받아야 한다 84화</v>
      </c>
      <c r="F4475">
        <v>84</v>
      </c>
      <c r="G4475" t="str">
        <f>T("필밤")</f>
        <v>필밤</v>
      </c>
      <c r="J4475" t="str">
        <f>T("시계토끼")</f>
        <v>시계토끼</v>
      </c>
      <c r="K4475" t="str">
        <f>T("용사들은 성녀의 축복을 받아야 한다")</f>
        <v>용사들은 성녀의 축복을 받아야 한다</v>
      </c>
      <c r="L4475">
        <v>100</v>
      </c>
      <c r="M4475">
        <v>100</v>
      </c>
      <c r="N4475">
        <v>1</v>
      </c>
      <c r="O4475">
        <v>0</v>
      </c>
      <c r="P4475">
        <v>0</v>
      </c>
      <c r="Q4475">
        <v>0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0</v>
      </c>
      <c r="AC4475">
        <v>0</v>
      </c>
      <c r="AD4475">
        <v>0</v>
      </c>
      <c r="AE4475">
        <v>0</v>
      </c>
      <c r="AF4475">
        <v>0</v>
      </c>
      <c r="AG4475">
        <v>0</v>
      </c>
      <c r="AH4475">
        <v>0</v>
      </c>
      <c r="AI4475">
        <v>100</v>
      </c>
      <c r="AJ4475">
        <v>1</v>
      </c>
      <c r="AK4475">
        <v>0</v>
      </c>
      <c r="AL4475">
        <v>0</v>
      </c>
      <c r="AM4475">
        <v>100</v>
      </c>
      <c r="AN4475">
        <v>0</v>
      </c>
      <c r="AO4475">
        <v>0</v>
      </c>
      <c r="AP4475">
        <v>0</v>
      </c>
      <c r="AQ4475">
        <v>0</v>
      </c>
      <c r="AS4475">
        <v>0</v>
      </c>
      <c r="AT4475">
        <v>0</v>
      </c>
      <c r="AV4475">
        <v>0</v>
      </c>
      <c r="AW4475">
        <v>0</v>
      </c>
      <c r="AY4475">
        <v>0</v>
      </c>
      <c r="AZ4475">
        <v>0</v>
      </c>
      <c r="BA4475">
        <v>60</v>
      </c>
      <c r="BE4475" t="str">
        <f>T("9791172822040")</f>
        <v>9791172822040</v>
      </c>
      <c r="BF4475" t="str">
        <f>T("D158708")</f>
        <v>D158708</v>
      </c>
      <c r="BG4475" t="str">
        <f>T("로판 웹소설 &gt; 서양풍 로판")</f>
        <v>로판 웹소설 &gt; 서양풍 로판</v>
      </c>
    </row>
    <row r="4476" spans="1:59">
      <c r="A4476" t="s">
        <v>60</v>
      </c>
      <c r="B4476" s="1">
        <v>46129</v>
      </c>
      <c r="C4476">
        <v>2378078499</v>
      </c>
      <c r="D4476">
        <v>2378078583</v>
      </c>
      <c r="E4476" t="str">
        <f>T("용사들은 성녀의 축복을 받아야 한다 85화")</f>
        <v>용사들은 성녀의 축복을 받아야 한다 85화</v>
      </c>
      <c r="F4476">
        <v>85</v>
      </c>
      <c r="G4476" t="str">
        <f>T("필밤")</f>
        <v>필밤</v>
      </c>
      <c r="J4476" t="str">
        <f>T("시계토끼")</f>
        <v>시계토끼</v>
      </c>
      <c r="K4476" t="str">
        <f>T("용사들은 성녀의 축복을 받아야 한다")</f>
        <v>용사들은 성녀의 축복을 받아야 한다</v>
      </c>
      <c r="L4476">
        <v>100</v>
      </c>
      <c r="M4476">
        <v>100</v>
      </c>
      <c r="N4476">
        <v>1</v>
      </c>
      <c r="O4476">
        <v>0</v>
      </c>
      <c r="P4476">
        <v>0</v>
      </c>
      <c r="Q4476">
        <v>0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0</v>
      </c>
      <c r="AC4476">
        <v>0</v>
      </c>
      <c r="AD4476">
        <v>0</v>
      </c>
      <c r="AE4476">
        <v>0</v>
      </c>
      <c r="AF4476">
        <v>0</v>
      </c>
      <c r="AG4476">
        <v>0</v>
      </c>
      <c r="AH4476">
        <v>0</v>
      </c>
      <c r="AI4476">
        <v>100</v>
      </c>
      <c r="AJ4476">
        <v>1</v>
      </c>
      <c r="AK4476">
        <v>0</v>
      </c>
      <c r="AL4476">
        <v>0</v>
      </c>
      <c r="AM4476">
        <v>100</v>
      </c>
      <c r="AN4476">
        <v>0</v>
      </c>
      <c r="AO4476">
        <v>0</v>
      </c>
      <c r="AP4476">
        <v>0</v>
      </c>
      <c r="AQ4476">
        <v>0</v>
      </c>
      <c r="AS4476">
        <v>0</v>
      </c>
      <c r="AT4476">
        <v>0</v>
      </c>
      <c r="AV4476">
        <v>0</v>
      </c>
      <c r="AW4476">
        <v>0</v>
      </c>
      <c r="AY4476">
        <v>0</v>
      </c>
      <c r="AZ4476">
        <v>0</v>
      </c>
      <c r="BA4476">
        <v>60</v>
      </c>
      <c r="BE4476" t="str">
        <f>T("9791172822040")</f>
        <v>9791172822040</v>
      </c>
      <c r="BF4476" t="str">
        <f>T("D158709")</f>
        <v>D158709</v>
      </c>
      <c r="BG4476" t="str">
        <f>T("로판 웹소설 &gt; 서양풍 로판")</f>
        <v>로판 웹소설 &gt; 서양풍 로판</v>
      </c>
    </row>
    <row r="4477" spans="1:59">
      <c r="A4477" t="s">
        <v>60</v>
      </c>
      <c r="B4477" s="1">
        <v>46129</v>
      </c>
      <c r="C4477">
        <v>2378078499</v>
      </c>
      <c r="D4477">
        <v>2378078648</v>
      </c>
      <c r="E4477" t="str">
        <f>T("용사들은 성녀의 축복을 받아야 한다 94화")</f>
        <v>용사들은 성녀의 축복을 받아야 한다 94화</v>
      </c>
      <c r="F4477">
        <v>94</v>
      </c>
      <c r="G4477" t="str">
        <f>T("필밤")</f>
        <v>필밤</v>
      </c>
      <c r="J4477" t="str">
        <f>T("시계토끼")</f>
        <v>시계토끼</v>
      </c>
      <c r="K4477" t="str">
        <f>T("용사들은 성녀의 축복을 받아야 한다")</f>
        <v>용사들은 성녀의 축복을 받아야 한다</v>
      </c>
      <c r="L4477">
        <v>100</v>
      </c>
      <c r="M4477">
        <v>100</v>
      </c>
      <c r="N4477">
        <v>1</v>
      </c>
      <c r="O4477">
        <v>0</v>
      </c>
      <c r="P4477">
        <v>0</v>
      </c>
      <c r="Q4477">
        <v>0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0</v>
      </c>
      <c r="AC4477">
        <v>0</v>
      </c>
      <c r="AD4477">
        <v>0</v>
      </c>
      <c r="AE4477">
        <v>0</v>
      </c>
      <c r="AF4477">
        <v>0</v>
      </c>
      <c r="AG4477">
        <v>0</v>
      </c>
      <c r="AH4477">
        <v>0</v>
      </c>
      <c r="AI4477">
        <v>100</v>
      </c>
      <c r="AJ4477">
        <v>1</v>
      </c>
      <c r="AK4477">
        <v>0</v>
      </c>
      <c r="AL4477">
        <v>0</v>
      </c>
      <c r="AM4477">
        <v>100</v>
      </c>
      <c r="AN4477">
        <v>0</v>
      </c>
      <c r="AO4477">
        <v>0</v>
      </c>
      <c r="AP4477">
        <v>0</v>
      </c>
      <c r="AQ4477">
        <v>0</v>
      </c>
      <c r="AS4477">
        <v>0</v>
      </c>
      <c r="AT4477">
        <v>0</v>
      </c>
      <c r="AV4477">
        <v>0</v>
      </c>
      <c r="AW4477">
        <v>0</v>
      </c>
      <c r="AY4477">
        <v>0</v>
      </c>
      <c r="AZ4477">
        <v>0</v>
      </c>
      <c r="BA4477">
        <v>60</v>
      </c>
      <c r="BE4477" t="str">
        <f>T("9791172822040")</f>
        <v>9791172822040</v>
      </c>
      <c r="BF4477" t="str">
        <f>T("D158718")</f>
        <v>D158718</v>
      </c>
      <c r="BG4477" t="str">
        <f>T("로판 웹소설 &gt; 서양풍 로판")</f>
        <v>로판 웹소설 &gt; 서양풍 로판</v>
      </c>
    </row>
    <row r="4478" spans="1:59">
      <c r="A4478" t="s">
        <v>60</v>
      </c>
      <c r="B4478" s="1">
        <v>46129</v>
      </c>
      <c r="C4478">
        <v>2378078499</v>
      </c>
      <c r="D4478">
        <v>2378078669</v>
      </c>
      <c r="E4478" t="str">
        <f>T("용사들은 성녀의 축복을 받아야 한다 95화")</f>
        <v>용사들은 성녀의 축복을 받아야 한다 95화</v>
      </c>
      <c r="F4478">
        <v>95</v>
      </c>
      <c r="G4478" t="str">
        <f>T("필밤")</f>
        <v>필밤</v>
      </c>
      <c r="J4478" t="str">
        <f>T("시계토끼")</f>
        <v>시계토끼</v>
      </c>
      <c r="K4478" t="str">
        <f>T("용사들은 성녀의 축복을 받아야 한다")</f>
        <v>용사들은 성녀의 축복을 받아야 한다</v>
      </c>
      <c r="L4478">
        <v>100</v>
      </c>
      <c r="M4478">
        <v>100</v>
      </c>
      <c r="N4478">
        <v>1</v>
      </c>
      <c r="O4478">
        <v>0</v>
      </c>
      <c r="P4478">
        <v>0</v>
      </c>
      <c r="Q4478">
        <v>0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0</v>
      </c>
      <c r="AC4478">
        <v>0</v>
      </c>
      <c r="AD4478">
        <v>0</v>
      </c>
      <c r="AE4478">
        <v>0</v>
      </c>
      <c r="AF4478">
        <v>0</v>
      </c>
      <c r="AG4478">
        <v>0</v>
      </c>
      <c r="AH4478">
        <v>0</v>
      </c>
      <c r="AI4478">
        <v>100</v>
      </c>
      <c r="AJ4478">
        <v>1</v>
      </c>
      <c r="AK4478">
        <v>0</v>
      </c>
      <c r="AL4478">
        <v>0</v>
      </c>
      <c r="AM4478">
        <v>100</v>
      </c>
      <c r="AN4478">
        <v>0</v>
      </c>
      <c r="AO4478">
        <v>0</v>
      </c>
      <c r="AP4478">
        <v>0</v>
      </c>
      <c r="AQ4478">
        <v>0</v>
      </c>
      <c r="AS4478">
        <v>0</v>
      </c>
      <c r="AT4478">
        <v>0</v>
      </c>
      <c r="AV4478">
        <v>0</v>
      </c>
      <c r="AW4478">
        <v>0</v>
      </c>
      <c r="AY4478">
        <v>0</v>
      </c>
      <c r="AZ4478">
        <v>0</v>
      </c>
      <c r="BA4478">
        <v>60</v>
      </c>
      <c r="BE4478" t="str">
        <f>T("9791172822040")</f>
        <v>9791172822040</v>
      </c>
      <c r="BF4478" t="str">
        <f>T("D158719")</f>
        <v>D158719</v>
      </c>
      <c r="BG4478" t="str">
        <f>T("로판 웹소설 &gt; 서양풍 로판")</f>
        <v>로판 웹소설 &gt; 서양풍 로판</v>
      </c>
    </row>
    <row r="4479" spans="1:59">
      <c r="A4479" t="s">
        <v>60</v>
      </c>
      <c r="B4479" s="1">
        <v>46129</v>
      </c>
      <c r="C4479">
        <v>2378078499</v>
      </c>
      <c r="D4479">
        <v>2378078796</v>
      </c>
      <c r="E4479" t="str">
        <f>T("용사들은 성녀의 축복을 받아야 한다 101화")</f>
        <v>용사들은 성녀의 축복을 받아야 한다 101화</v>
      </c>
      <c r="F4479">
        <v>101</v>
      </c>
      <c r="G4479" t="str">
        <f>T("필밤")</f>
        <v>필밤</v>
      </c>
      <c r="J4479" t="str">
        <f>T("시계토끼")</f>
        <v>시계토끼</v>
      </c>
      <c r="K4479" t="str">
        <f>T("용사들은 성녀의 축복을 받아야 한다")</f>
        <v>용사들은 성녀의 축복을 받아야 한다</v>
      </c>
      <c r="L4479">
        <v>100</v>
      </c>
      <c r="M4479">
        <v>100</v>
      </c>
      <c r="N4479">
        <v>1</v>
      </c>
      <c r="O4479">
        <v>0</v>
      </c>
      <c r="P4479">
        <v>0</v>
      </c>
      <c r="Q4479">
        <v>0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0</v>
      </c>
      <c r="AC4479">
        <v>0</v>
      </c>
      <c r="AD4479">
        <v>0</v>
      </c>
      <c r="AE4479">
        <v>0</v>
      </c>
      <c r="AF4479">
        <v>0</v>
      </c>
      <c r="AG4479">
        <v>0</v>
      </c>
      <c r="AH4479">
        <v>0</v>
      </c>
      <c r="AI4479">
        <v>100</v>
      </c>
      <c r="AJ4479">
        <v>1</v>
      </c>
      <c r="AK4479">
        <v>0</v>
      </c>
      <c r="AL4479">
        <v>0</v>
      </c>
      <c r="AM4479">
        <v>100</v>
      </c>
      <c r="AN4479">
        <v>0</v>
      </c>
      <c r="AO4479">
        <v>0</v>
      </c>
      <c r="AP4479">
        <v>0</v>
      </c>
      <c r="AQ4479">
        <v>0</v>
      </c>
      <c r="AS4479">
        <v>0</v>
      </c>
      <c r="AT4479">
        <v>0</v>
      </c>
      <c r="AV4479">
        <v>0</v>
      </c>
      <c r="AW4479">
        <v>0</v>
      </c>
      <c r="AY4479">
        <v>0</v>
      </c>
      <c r="AZ4479">
        <v>0</v>
      </c>
      <c r="BA4479">
        <v>60</v>
      </c>
      <c r="BE4479" t="str">
        <f>T("9791172822040")</f>
        <v>9791172822040</v>
      </c>
      <c r="BF4479" t="str">
        <f>T("D158725")</f>
        <v>D158725</v>
      </c>
      <c r="BG4479" t="str">
        <f>T("로판 웹소설 &gt; 서양풍 로판")</f>
        <v>로판 웹소설 &gt; 서양풍 로판</v>
      </c>
    </row>
    <row r="4480" spans="1:59">
      <c r="A4480" t="s">
        <v>60</v>
      </c>
      <c r="B4480" s="1">
        <v>46129</v>
      </c>
      <c r="C4480">
        <v>2378078499</v>
      </c>
      <c r="D4480">
        <v>2378078801</v>
      </c>
      <c r="E4480" t="str">
        <f>T("용사들은 성녀의 축복을 받아야 한다 102화")</f>
        <v>용사들은 성녀의 축복을 받아야 한다 102화</v>
      </c>
      <c r="F4480">
        <v>102</v>
      </c>
      <c r="G4480" t="str">
        <f>T("필밤")</f>
        <v>필밤</v>
      </c>
      <c r="J4480" t="str">
        <f>T("시계토끼")</f>
        <v>시계토끼</v>
      </c>
      <c r="K4480" t="str">
        <f>T("용사들은 성녀의 축복을 받아야 한다")</f>
        <v>용사들은 성녀의 축복을 받아야 한다</v>
      </c>
      <c r="L4480">
        <v>100</v>
      </c>
      <c r="M4480">
        <v>100</v>
      </c>
      <c r="N4480">
        <v>1</v>
      </c>
      <c r="O4480">
        <v>0</v>
      </c>
      <c r="P4480">
        <v>0</v>
      </c>
      <c r="Q4480">
        <v>0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0</v>
      </c>
      <c r="AC4480">
        <v>0</v>
      </c>
      <c r="AD4480">
        <v>0</v>
      </c>
      <c r="AE4480">
        <v>0</v>
      </c>
      <c r="AF4480">
        <v>0</v>
      </c>
      <c r="AG4480">
        <v>0</v>
      </c>
      <c r="AH4480">
        <v>0</v>
      </c>
      <c r="AI4480">
        <v>100</v>
      </c>
      <c r="AJ4480">
        <v>1</v>
      </c>
      <c r="AK4480">
        <v>0</v>
      </c>
      <c r="AL4480">
        <v>0</v>
      </c>
      <c r="AM4480">
        <v>100</v>
      </c>
      <c r="AN4480">
        <v>0</v>
      </c>
      <c r="AO4480">
        <v>0</v>
      </c>
      <c r="AP4480">
        <v>0</v>
      </c>
      <c r="AQ4480">
        <v>0</v>
      </c>
      <c r="AS4480">
        <v>0</v>
      </c>
      <c r="AT4480">
        <v>0</v>
      </c>
      <c r="AV4480">
        <v>0</v>
      </c>
      <c r="AW4480">
        <v>0</v>
      </c>
      <c r="AY4480">
        <v>0</v>
      </c>
      <c r="AZ4480">
        <v>0</v>
      </c>
      <c r="BA4480">
        <v>60</v>
      </c>
      <c r="BE4480" t="str">
        <f>T("9791172822040")</f>
        <v>9791172822040</v>
      </c>
      <c r="BF4480" t="str">
        <f>T("D158726")</f>
        <v>D158726</v>
      </c>
      <c r="BG4480" t="str">
        <f>T("로판 웹소설 &gt; 서양풍 로판")</f>
        <v>로판 웹소설 &gt; 서양풍 로판</v>
      </c>
    </row>
    <row r="4481" spans="1:59">
      <c r="A4481" t="s">
        <v>60</v>
      </c>
      <c r="B4481" s="1">
        <v>46129</v>
      </c>
      <c r="C4481">
        <v>2378078499</v>
      </c>
      <c r="D4481">
        <v>2378078985</v>
      </c>
      <c r="E4481" t="str">
        <f>T("용사들은 성녀의 축복을 받아야 한다 103화")</f>
        <v>용사들은 성녀의 축복을 받아야 한다 103화</v>
      </c>
      <c r="F4481">
        <v>103</v>
      </c>
      <c r="G4481" t="str">
        <f>T("필밤")</f>
        <v>필밤</v>
      </c>
      <c r="J4481" t="str">
        <f>T("시계토끼")</f>
        <v>시계토끼</v>
      </c>
      <c r="K4481" t="str">
        <f>T("용사들은 성녀의 축복을 받아야 한다")</f>
        <v>용사들은 성녀의 축복을 받아야 한다</v>
      </c>
      <c r="L4481">
        <v>100</v>
      </c>
      <c r="M4481">
        <v>100</v>
      </c>
      <c r="N4481">
        <v>1</v>
      </c>
      <c r="O4481">
        <v>0</v>
      </c>
      <c r="P4481">
        <v>0</v>
      </c>
      <c r="Q4481">
        <v>0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0</v>
      </c>
      <c r="AC4481">
        <v>0</v>
      </c>
      <c r="AD4481">
        <v>0</v>
      </c>
      <c r="AE4481">
        <v>0</v>
      </c>
      <c r="AF4481">
        <v>0</v>
      </c>
      <c r="AG4481">
        <v>0</v>
      </c>
      <c r="AH4481">
        <v>0</v>
      </c>
      <c r="AI4481">
        <v>100</v>
      </c>
      <c r="AJ4481">
        <v>1</v>
      </c>
      <c r="AK4481">
        <v>0</v>
      </c>
      <c r="AL4481">
        <v>0</v>
      </c>
      <c r="AM4481">
        <v>100</v>
      </c>
      <c r="AN4481">
        <v>0</v>
      </c>
      <c r="AO4481">
        <v>0</v>
      </c>
      <c r="AP4481">
        <v>0</v>
      </c>
      <c r="AQ4481">
        <v>0</v>
      </c>
      <c r="AS4481">
        <v>0</v>
      </c>
      <c r="AT4481">
        <v>0</v>
      </c>
      <c r="AV4481">
        <v>0</v>
      </c>
      <c r="AW4481">
        <v>0</v>
      </c>
      <c r="AY4481">
        <v>0</v>
      </c>
      <c r="AZ4481">
        <v>0</v>
      </c>
      <c r="BA4481">
        <v>60</v>
      </c>
      <c r="BE4481" t="str">
        <f>T("9791172822040")</f>
        <v>9791172822040</v>
      </c>
      <c r="BF4481" t="str">
        <f>T("D158727")</f>
        <v>D158727</v>
      </c>
      <c r="BG4481" t="str">
        <f>T("로판 웹소설 &gt; 서양풍 로판")</f>
        <v>로판 웹소설 &gt; 서양풍 로판</v>
      </c>
    </row>
    <row r="4482" spans="1:59">
      <c r="A4482" t="s">
        <v>60</v>
      </c>
      <c r="B4482" s="1">
        <v>46129</v>
      </c>
      <c r="C4482">
        <v>2378078499</v>
      </c>
      <c r="D4482">
        <v>2378079002</v>
      </c>
      <c r="E4482" t="str">
        <f>T("용사들은 성녀의 축복을 받아야 한다 105화")</f>
        <v>용사들은 성녀의 축복을 받아야 한다 105화</v>
      </c>
      <c r="F4482">
        <v>105</v>
      </c>
      <c r="G4482" t="str">
        <f>T("필밤")</f>
        <v>필밤</v>
      </c>
      <c r="J4482" t="str">
        <f>T("시계토끼")</f>
        <v>시계토끼</v>
      </c>
      <c r="K4482" t="str">
        <f>T("용사들은 성녀의 축복을 받아야 한다")</f>
        <v>용사들은 성녀의 축복을 받아야 한다</v>
      </c>
      <c r="L4482">
        <v>100</v>
      </c>
      <c r="M4482">
        <v>100</v>
      </c>
      <c r="N4482">
        <v>1</v>
      </c>
      <c r="O4482">
        <v>0</v>
      </c>
      <c r="P4482">
        <v>0</v>
      </c>
      <c r="Q4482">
        <v>0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0</v>
      </c>
      <c r="AC4482">
        <v>0</v>
      </c>
      <c r="AD4482">
        <v>0</v>
      </c>
      <c r="AE4482">
        <v>0</v>
      </c>
      <c r="AF4482">
        <v>0</v>
      </c>
      <c r="AG4482">
        <v>0</v>
      </c>
      <c r="AH4482">
        <v>0</v>
      </c>
      <c r="AI4482">
        <v>100</v>
      </c>
      <c r="AJ4482">
        <v>1</v>
      </c>
      <c r="AK4482">
        <v>0</v>
      </c>
      <c r="AL4482">
        <v>0</v>
      </c>
      <c r="AM4482">
        <v>0</v>
      </c>
      <c r="AN4482">
        <v>0</v>
      </c>
      <c r="AO4482">
        <v>120</v>
      </c>
      <c r="AP4482">
        <v>-12</v>
      </c>
      <c r="AQ4482">
        <v>0</v>
      </c>
      <c r="AS4482">
        <v>0</v>
      </c>
      <c r="AT4482">
        <v>0</v>
      </c>
      <c r="AU4482">
        <v>120</v>
      </c>
      <c r="AV4482">
        <v>-12</v>
      </c>
      <c r="AW4482">
        <v>0</v>
      </c>
      <c r="AY4482">
        <v>0</v>
      </c>
      <c r="AZ4482">
        <v>0</v>
      </c>
      <c r="BA4482">
        <v>64.8</v>
      </c>
      <c r="BE4482" t="str">
        <f>T("9791172822040")</f>
        <v>9791172822040</v>
      </c>
      <c r="BF4482" t="str">
        <f>T("D158729")</f>
        <v>D158729</v>
      </c>
      <c r="BG4482" t="str">
        <f>T("로판 웹소설 &gt; 서양풍 로판")</f>
        <v>로판 웹소설 &gt; 서양풍 로판</v>
      </c>
    </row>
    <row r="4483" spans="1:59">
      <c r="A4483" t="s">
        <v>60</v>
      </c>
      <c r="B4483" s="1">
        <v>46129</v>
      </c>
      <c r="C4483">
        <v>2378078499</v>
      </c>
      <c r="D4483">
        <v>2378079010</v>
      </c>
      <c r="E4483" t="str">
        <f>T("용사들은 성녀의 축복을 받아야 한다 107화")</f>
        <v>용사들은 성녀의 축복을 받아야 한다 107화</v>
      </c>
      <c r="F4483">
        <v>107</v>
      </c>
      <c r="G4483" t="str">
        <f>T("필밤")</f>
        <v>필밤</v>
      </c>
      <c r="J4483" t="str">
        <f>T("시계토끼")</f>
        <v>시계토끼</v>
      </c>
      <c r="K4483" t="str">
        <f>T("용사들은 성녀의 축복을 받아야 한다")</f>
        <v>용사들은 성녀의 축복을 받아야 한다</v>
      </c>
      <c r="L4483">
        <v>100</v>
      </c>
      <c r="M4483">
        <v>100</v>
      </c>
      <c r="N4483">
        <v>1</v>
      </c>
      <c r="O4483">
        <v>0</v>
      </c>
      <c r="P4483">
        <v>0</v>
      </c>
      <c r="Q4483">
        <v>0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0</v>
      </c>
      <c r="AC4483">
        <v>0</v>
      </c>
      <c r="AD4483">
        <v>0</v>
      </c>
      <c r="AE4483">
        <v>0</v>
      </c>
      <c r="AF4483">
        <v>0</v>
      </c>
      <c r="AG4483">
        <v>0</v>
      </c>
      <c r="AH4483">
        <v>0</v>
      </c>
      <c r="AI4483">
        <v>100</v>
      </c>
      <c r="AJ4483">
        <v>1</v>
      </c>
      <c r="AK4483">
        <v>0</v>
      </c>
      <c r="AL4483">
        <v>0</v>
      </c>
      <c r="AM4483">
        <v>100</v>
      </c>
      <c r="AN4483">
        <v>0</v>
      </c>
      <c r="AO4483">
        <v>0</v>
      </c>
      <c r="AP4483">
        <v>0</v>
      </c>
      <c r="AQ4483">
        <v>0</v>
      </c>
      <c r="AS4483">
        <v>0</v>
      </c>
      <c r="AT4483">
        <v>0</v>
      </c>
      <c r="AV4483">
        <v>0</v>
      </c>
      <c r="AW4483">
        <v>0</v>
      </c>
      <c r="AY4483">
        <v>0</v>
      </c>
      <c r="AZ4483">
        <v>0</v>
      </c>
      <c r="BA4483">
        <v>60</v>
      </c>
      <c r="BE4483" t="str">
        <f>T("9791172822040")</f>
        <v>9791172822040</v>
      </c>
      <c r="BF4483" t="str">
        <f>T("D158731")</f>
        <v>D158731</v>
      </c>
      <c r="BG4483" t="str">
        <f>T("로판 웹소설 &gt; 서양풍 로판")</f>
        <v>로판 웹소설 &gt; 서양풍 로판</v>
      </c>
    </row>
    <row r="4484" spans="1:59">
      <c r="A4484" t="s">
        <v>60</v>
      </c>
      <c r="B4484" s="1">
        <v>46129</v>
      </c>
      <c r="C4484">
        <v>2378078499</v>
      </c>
      <c r="D4484">
        <v>2378079019</v>
      </c>
      <c r="E4484" t="str">
        <f>T("용사들은 성녀의 축복을 받아야 한다 108화")</f>
        <v>용사들은 성녀의 축복을 받아야 한다 108화</v>
      </c>
      <c r="F4484">
        <v>108</v>
      </c>
      <c r="G4484" t="str">
        <f>T("필밤")</f>
        <v>필밤</v>
      </c>
      <c r="J4484" t="str">
        <f>T("시계토끼")</f>
        <v>시계토끼</v>
      </c>
      <c r="K4484" t="str">
        <f>T("용사들은 성녀의 축복을 받아야 한다")</f>
        <v>용사들은 성녀의 축복을 받아야 한다</v>
      </c>
      <c r="L4484">
        <v>100</v>
      </c>
      <c r="M4484">
        <v>100</v>
      </c>
      <c r="N4484">
        <v>1</v>
      </c>
      <c r="O4484">
        <v>0</v>
      </c>
      <c r="P4484">
        <v>0</v>
      </c>
      <c r="Q4484">
        <v>0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0</v>
      </c>
      <c r="AC4484">
        <v>0</v>
      </c>
      <c r="AD4484">
        <v>0</v>
      </c>
      <c r="AE4484">
        <v>0</v>
      </c>
      <c r="AF4484">
        <v>0</v>
      </c>
      <c r="AG4484">
        <v>0</v>
      </c>
      <c r="AH4484">
        <v>0</v>
      </c>
      <c r="AI4484">
        <v>100</v>
      </c>
      <c r="AJ4484">
        <v>1</v>
      </c>
      <c r="AK4484">
        <v>0</v>
      </c>
      <c r="AL4484">
        <v>0</v>
      </c>
      <c r="AM4484">
        <v>100</v>
      </c>
      <c r="AN4484">
        <v>0</v>
      </c>
      <c r="AO4484">
        <v>0</v>
      </c>
      <c r="AP4484">
        <v>0</v>
      </c>
      <c r="AQ4484">
        <v>0</v>
      </c>
      <c r="AS4484">
        <v>0</v>
      </c>
      <c r="AT4484">
        <v>0</v>
      </c>
      <c r="AV4484">
        <v>0</v>
      </c>
      <c r="AW4484">
        <v>0</v>
      </c>
      <c r="AY4484">
        <v>0</v>
      </c>
      <c r="AZ4484">
        <v>0</v>
      </c>
      <c r="BA4484">
        <v>60</v>
      </c>
      <c r="BE4484" t="str">
        <f>T("9791172822040")</f>
        <v>9791172822040</v>
      </c>
      <c r="BF4484" t="str">
        <f>T("D158732")</f>
        <v>D158732</v>
      </c>
      <c r="BG4484" t="str">
        <f>T("로판 웹소설 &gt; 서양풍 로판")</f>
        <v>로판 웹소설 &gt; 서양풍 로판</v>
      </c>
    </row>
    <row r="4485" spans="1:59">
      <c r="A4485" t="s">
        <v>60</v>
      </c>
      <c r="B4485" s="1">
        <v>46129</v>
      </c>
      <c r="C4485">
        <v>2378078499</v>
      </c>
      <c r="D4485">
        <v>2378079024</v>
      </c>
      <c r="E4485" t="str">
        <f>T("용사들은 성녀의 축복을 받아야 한다 109화")</f>
        <v>용사들은 성녀의 축복을 받아야 한다 109화</v>
      </c>
      <c r="F4485">
        <v>109</v>
      </c>
      <c r="G4485" t="str">
        <f>T("필밤")</f>
        <v>필밤</v>
      </c>
      <c r="J4485" t="str">
        <f>T("시계토끼")</f>
        <v>시계토끼</v>
      </c>
      <c r="K4485" t="str">
        <f>T("용사들은 성녀의 축복을 받아야 한다")</f>
        <v>용사들은 성녀의 축복을 받아야 한다</v>
      </c>
      <c r="L4485">
        <v>100</v>
      </c>
      <c r="M4485">
        <v>100</v>
      </c>
      <c r="N4485">
        <v>1</v>
      </c>
      <c r="O4485">
        <v>0</v>
      </c>
      <c r="P4485">
        <v>0</v>
      </c>
      <c r="Q4485">
        <v>0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0</v>
      </c>
      <c r="AC4485">
        <v>0</v>
      </c>
      <c r="AD4485">
        <v>0</v>
      </c>
      <c r="AE4485">
        <v>0</v>
      </c>
      <c r="AF4485">
        <v>0</v>
      </c>
      <c r="AG4485">
        <v>0</v>
      </c>
      <c r="AH4485">
        <v>0</v>
      </c>
      <c r="AI4485">
        <v>100</v>
      </c>
      <c r="AJ4485">
        <v>1</v>
      </c>
      <c r="AK4485">
        <v>0</v>
      </c>
      <c r="AL4485">
        <v>0</v>
      </c>
      <c r="AM4485">
        <v>100</v>
      </c>
      <c r="AN4485">
        <v>0</v>
      </c>
      <c r="AO4485">
        <v>0</v>
      </c>
      <c r="AP4485">
        <v>0</v>
      </c>
      <c r="AQ4485">
        <v>0</v>
      </c>
      <c r="AS4485">
        <v>0</v>
      </c>
      <c r="AT4485">
        <v>0</v>
      </c>
      <c r="AV4485">
        <v>0</v>
      </c>
      <c r="AW4485">
        <v>0</v>
      </c>
      <c r="AY4485">
        <v>0</v>
      </c>
      <c r="AZ4485">
        <v>0</v>
      </c>
      <c r="BA4485">
        <v>60</v>
      </c>
      <c r="BE4485" t="str">
        <f>T("9791172822040")</f>
        <v>9791172822040</v>
      </c>
      <c r="BF4485" t="str">
        <f>T("D158733")</f>
        <v>D158733</v>
      </c>
      <c r="BG4485" t="str">
        <f>T("로판 웹소설 &gt; 서양풍 로판")</f>
        <v>로판 웹소설 &gt; 서양풍 로판</v>
      </c>
    </row>
    <row r="4486" spans="1:59">
      <c r="A4486" t="s">
        <v>60</v>
      </c>
      <c r="B4486" s="1">
        <v>46129</v>
      </c>
      <c r="C4486">
        <v>2378078499</v>
      </c>
      <c r="D4486">
        <v>2378079033</v>
      </c>
      <c r="E4486" t="str">
        <f>T("용사들은 성녀의 축복을 받아야 한다 110화")</f>
        <v>용사들은 성녀의 축복을 받아야 한다 110화</v>
      </c>
      <c r="F4486">
        <v>110</v>
      </c>
      <c r="G4486" t="str">
        <f>T("필밤")</f>
        <v>필밤</v>
      </c>
      <c r="J4486" t="str">
        <f>T("시계토끼")</f>
        <v>시계토끼</v>
      </c>
      <c r="K4486" t="str">
        <f>T("용사들은 성녀의 축복을 받아야 한다")</f>
        <v>용사들은 성녀의 축복을 받아야 한다</v>
      </c>
      <c r="L4486">
        <v>100</v>
      </c>
      <c r="M4486">
        <v>100</v>
      </c>
      <c r="N4486">
        <v>1</v>
      </c>
      <c r="O4486">
        <v>0</v>
      </c>
      <c r="P4486">
        <v>0</v>
      </c>
      <c r="Q4486">
        <v>0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0</v>
      </c>
      <c r="AC4486">
        <v>0</v>
      </c>
      <c r="AD4486">
        <v>0</v>
      </c>
      <c r="AE4486">
        <v>0</v>
      </c>
      <c r="AF4486">
        <v>0</v>
      </c>
      <c r="AG4486">
        <v>0</v>
      </c>
      <c r="AH4486">
        <v>0</v>
      </c>
      <c r="AI4486">
        <v>100</v>
      </c>
      <c r="AJ4486">
        <v>1</v>
      </c>
      <c r="AK4486">
        <v>0</v>
      </c>
      <c r="AL4486">
        <v>0</v>
      </c>
      <c r="AM4486">
        <v>100</v>
      </c>
      <c r="AN4486">
        <v>0</v>
      </c>
      <c r="AO4486">
        <v>0</v>
      </c>
      <c r="AP4486">
        <v>0</v>
      </c>
      <c r="AQ4486">
        <v>0</v>
      </c>
      <c r="AS4486">
        <v>0</v>
      </c>
      <c r="AT4486">
        <v>0</v>
      </c>
      <c r="AV4486">
        <v>0</v>
      </c>
      <c r="AW4486">
        <v>0</v>
      </c>
      <c r="AY4486">
        <v>0</v>
      </c>
      <c r="AZ4486">
        <v>0</v>
      </c>
      <c r="BA4486">
        <v>60</v>
      </c>
      <c r="BE4486" t="str">
        <f>T("9791172822040")</f>
        <v>9791172822040</v>
      </c>
      <c r="BF4486" t="str">
        <f>T("D158734")</f>
        <v>D158734</v>
      </c>
      <c r="BG4486" t="str">
        <f>T("로판 웹소설 &gt; 서양풍 로판")</f>
        <v>로판 웹소설 &gt; 서양풍 로판</v>
      </c>
    </row>
    <row r="4487" spans="1:59">
      <c r="A4487" t="s">
        <v>60</v>
      </c>
      <c r="B4487" s="1">
        <v>46129</v>
      </c>
      <c r="C4487">
        <v>2378078499</v>
      </c>
      <c r="D4487">
        <v>2378080103</v>
      </c>
      <c r="E4487" t="str">
        <f>T("용사들은 성녀의 축복을 받아야 한다 129화")</f>
        <v>용사들은 성녀의 축복을 받아야 한다 129화</v>
      </c>
      <c r="F4487">
        <v>129</v>
      </c>
      <c r="G4487" t="str">
        <f>T("필밤")</f>
        <v>필밤</v>
      </c>
      <c r="J4487" t="str">
        <f>T("시계토끼")</f>
        <v>시계토끼</v>
      </c>
      <c r="K4487" t="str">
        <f>T("용사들은 성녀의 축복을 받아야 한다")</f>
        <v>용사들은 성녀의 축복을 받아야 한다</v>
      </c>
      <c r="L4487">
        <v>100</v>
      </c>
      <c r="M4487">
        <v>100</v>
      </c>
      <c r="N4487">
        <v>1</v>
      </c>
      <c r="O4487">
        <v>0</v>
      </c>
      <c r="P4487">
        <v>0</v>
      </c>
      <c r="Q4487">
        <v>0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0</v>
      </c>
      <c r="AC4487">
        <v>0</v>
      </c>
      <c r="AD4487">
        <v>0</v>
      </c>
      <c r="AE4487">
        <v>0</v>
      </c>
      <c r="AF4487">
        <v>0</v>
      </c>
      <c r="AG4487">
        <v>0</v>
      </c>
      <c r="AH4487">
        <v>0</v>
      </c>
      <c r="AI4487">
        <v>100</v>
      </c>
      <c r="AJ4487">
        <v>1</v>
      </c>
      <c r="AK4487">
        <v>0</v>
      </c>
      <c r="AL4487">
        <v>0</v>
      </c>
      <c r="AM4487">
        <v>100</v>
      </c>
      <c r="AN4487">
        <v>0</v>
      </c>
      <c r="AO4487">
        <v>0</v>
      </c>
      <c r="AP4487">
        <v>0</v>
      </c>
      <c r="AQ4487">
        <v>0</v>
      </c>
      <c r="AS4487">
        <v>0</v>
      </c>
      <c r="AT4487">
        <v>0</v>
      </c>
      <c r="AV4487">
        <v>0</v>
      </c>
      <c r="AW4487">
        <v>0</v>
      </c>
      <c r="AY4487">
        <v>0</v>
      </c>
      <c r="AZ4487">
        <v>0</v>
      </c>
      <c r="BA4487">
        <v>60</v>
      </c>
      <c r="BE4487" t="str">
        <f>T("9791172822040")</f>
        <v>9791172822040</v>
      </c>
      <c r="BF4487" t="str">
        <f>T("D183628")</f>
        <v>D183628</v>
      </c>
      <c r="BG4487" t="str">
        <f>T("로판 웹소설 &gt; 서양풍 로판")</f>
        <v>로판 웹소설 &gt; 서양풍 로판</v>
      </c>
    </row>
    <row r="4488" spans="1:59">
      <c r="A4488" t="s">
        <v>60</v>
      </c>
      <c r="B4488" s="1">
        <v>46129</v>
      </c>
      <c r="C4488">
        <v>2378078499</v>
      </c>
      <c r="D4488">
        <v>2378080108</v>
      </c>
      <c r="E4488" t="str">
        <f>T("용사들은 성녀의 축복을 받아야 한다 130화 (완결)")</f>
        <v>용사들은 성녀의 축복을 받아야 한다 130화 (완결)</v>
      </c>
      <c r="F4488">
        <v>130</v>
      </c>
      <c r="G4488" t="str">
        <f>T("필밤")</f>
        <v>필밤</v>
      </c>
      <c r="J4488" t="str">
        <f>T("시계토끼")</f>
        <v>시계토끼</v>
      </c>
      <c r="K4488" t="str">
        <f>T("용사들은 성녀의 축복을 받아야 한다")</f>
        <v>용사들은 성녀의 축복을 받아야 한다</v>
      </c>
      <c r="L4488">
        <v>100</v>
      </c>
      <c r="M4488">
        <v>100</v>
      </c>
      <c r="N4488">
        <v>1</v>
      </c>
      <c r="O4488">
        <v>0</v>
      </c>
      <c r="P4488">
        <v>0</v>
      </c>
      <c r="Q4488">
        <v>0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0</v>
      </c>
      <c r="AC4488">
        <v>0</v>
      </c>
      <c r="AD4488">
        <v>0</v>
      </c>
      <c r="AE4488">
        <v>0</v>
      </c>
      <c r="AF4488">
        <v>0</v>
      </c>
      <c r="AG4488">
        <v>0</v>
      </c>
      <c r="AH4488">
        <v>0</v>
      </c>
      <c r="AI4488">
        <v>100</v>
      </c>
      <c r="AJ4488">
        <v>1</v>
      </c>
      <c r="AK4488">
        <v>0</v>
      </c>
      <c r="AL4488">
        <v>0</v>
      </c>
      <c r="AM4488">
        <v>100</v>
      </c>
      <c r="AN4488">
        <v>0</v>
      </c>
      <c r="AO4488">
        <v>0</v>
      </c>
      <c r="AP4488">
        <v>0</v>
      </c>
      <c r="AQ4488">
        <v>0</v>
      </c>
      <c r="AS4488">
        <v>0</v>
      </c>
      <c r="AT4488">
        <v>0</v>
      </c>
      <c r="AV4488">
        <v>0</v>
      </c>
      <c r="AW4488">
        <v>0</v>
      </c>
      <c r="AY4488">
        <v>0</v>
      </c>
      <c r="AZ4488">
        <v>0</v>
      </c>
      <c r="BA4488">
        <v>60</v>
      </c>
      <c r="BE4488" t="str">
        <f>T("9791172822040")</f>
        <v>9791172822040</v>
      </c>
      <c r="BF4488" t="str">
        <f>T("D183629")</f>
        <v>D183629</v>
      </c>
      <c r="BG4488" t="str">
        <f>T("로판 웹소설 &gt; 서양풍 로판")</f>
        <v>로판 웹소설 &gt; 서양풍 로판</v>
      </c>
    </row>
    <row r="4489" spans="1:59">
      <c r="A4489" t="s">
        <v>60</v>
      </c>
      <c r="B4489" s="1">
        <v>46130</v>
      </c>
      <c r="C4489">
        <v>2378078499</v>
      </c>
      <c r="D4489">
        <v>2378078577</v>
      </c>
      <c r="E4489" t="str">
        <f>T("용사들은 성녀의 축복을 받아야 한다 79화")</f>
        <v>용사들은 성녀의 축복을 받아야 한다 79화</v>
      </c>
      <c r="F4489">
        <v>79</v>
      </c>
      <c r="G4489" t="str">
        <f>T("필밤")</f>
        <v>필밤</v>
      </c>
      <c r="J4489" t="str">
        <f>T("시계토끼")</f>
        <v>시계토끼</v>
      </c>
      <c r="K4489" t="str">
        <f>T("용사들은 성녀의 축복을 받아야 한다")</f>
        <v>용사들은 성녀의 축복을 받아야 한다</v>
      </c>
      <c r="L4489">
        <v>100</v>
      </c>
      <c r="M4489">
        <v>200</v>
      </c>
      <c r="N4489">
        <v>2</v>
      </c>
      <c r="O4489">
        <v>0</v>
      </c>
      <c r="P4489">
        <v>0</v>
      </c>
      <c r="Q4489">
        <v>0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0</v>
      </c>
      <c r="AC4489">
        <v>0</v>
      </c>
      <c r="AD4489">
        <v>0</v>
      </c>
      <c r="AE4489">
        <v>0</v>
      </c>
      <c r="AF4489">
        <v>0</v>
      </c>
      <c r="AG4489">
        <v>0</v>
      </c>
      <c r="AH4489">
        <v>0</v>
      </c>
      <c r="AI4489">
        <v>200</v>
      </c>
      <c r="AJ4489">
        <v>2</v>
      </c>
      <c r="AK4489">
        <v>0</v>
      </c>
      <c r="AL4489">
        <v>0</v>
      </c>
      <c r="AM4489">
        <v>100</v>
      </c>
      <c r="AN4489">
        <v>0</v>
      </c>
      <c r="AO4489">
        <v>120</v>
      </c>
      <c r="AP4489">
        <v>-12</v>
      </c>
      <c r="AQ4489">
        <v>0</v>
      </c>
      <c r="AS4489">
        <v>0</v>
      </c>
      <c r="AT4489">
        <v>0</v>
      </c>
      <c r="AV4489">
        <v>0</v>
      </c>
      <c r="AW4489">
        <v>0</v>
      </c>
      <c r="AX4489">
        <v>120</v>
      </c>
      <c r="AY4489">
        <v>-12</v>
      </c>
      <c r="AZ4489">
        <v>0</v>
      </c>
      <c r="BA4489">
        <v>124.8</v>
      </c>
      <c r="BE4489" t="str">
        <f>T("9791172822040")</f>
        <v>9791172822040</v>
      </c>
      <c r="BF4489" t="str">
        <f>T("D158703")</f>
        <v>D158703</v>
      </c>
      <c r="BG4489" t="str">
        <f>T("로판 웹소설 &gt; 서양풍 로판")</f>
        <v>로판 웹소설 &gt; 서양풍 로판</v>
      </c>
    </row>
    <row r="4490" spans="1:59">
      <c r="A4490" t="s">
        <v>60</v>
      </c>
      <c r="B4490" s="1">
        <v>46130</v>
      </c>
      <c r="C4490">
        <v>2378078499</v>
      </c>
      <c r="D4490">
        <v>2378078499</v>
      </c>
      <c r="E4490" t="str">
        <f>T("용사들은 성녀의 축복을 받아야 한다 1화")</f>
        <v>용사들은 성녀의 축복을 받아야 한다 1화</v>
      </c>
      <c r="F4490">
        <v>1</v>
      </c>
      <c r="G4490" t="str">
        <f>T("필밤")</f>
        <v>필밤</v>
      </c>
      <c r="J4490" t="str">
        <f>T("시계토끼")</f>
        <v>시계토끼</v>
      </c>
      <c r="K4490" t="str">
        <f>T("용사들은 성녀의 축복을 받아야 한다")</f>
        <v>용사들은 성녀의 축복을 받아야 한다</v>
      </c>
      <c r="L4490">
        <v>0</v>
      </c>
      <c r="M4490">
        <v>0</v>
      </c>
      <c r="N4490">
        <v>0</v>
      </c>
      <c r="O4490">
        <v>6</v>
      </c>
      <c r="P4490">
        <v>0</v>
      </c>
      <c r="Q4490">
        <v>0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0</v>
      </c>
      <c r="AC4490">
        <v>0</v>
      </c>
      <c r="AD4490">
        <v>0</v>
      </c>
      <c r="AE4490">
        <v>0</v>
      </c>
      <c r="AF4490">
        <v>0</v>
      </c>
      <c r="AG4490">
        <v>0</v>
      </c>
      <c r="AH4490">
        <v>0</v>
      </c>
      <c r="AI4490">
        <v>0</v>
      </c>
      <c r="AJ4490">
        <v>6</v>
      </c>
      <c r="AK4490">
        <v>0</v>
      </c>
      <c r="AL4490">
        <v>0</v>
      </c>
      <c r="AM4490">
        <v>0</v>
      </c>
      <c r="AN4490">
        <v>0</v>
      </c>
      <c r="AO4490">
        <v>0</v>
      </c>
      <c r="AP4490">
        <v>0</v>
      </c>
      <c r="AQ4490">
        <v>0</v>
      </c>
      <c r="AS4490">
        <v>0</v>
      </c>
      <c r="AT4490">
        <v>0</v>
      </c>
      <c r="AV4490">
        <v>0</v>
      </c>
      <c r="AW4490">
        <v>0</v>
      </c>
      <c r="AY4490">
        <v>0</v>
      </c>
      <c r="AZ4490">
        <v>0</v>
      </c>
      <c r="BA4490">
        <v>0</v>
      </c>
      <c r="BE4490" t="str">
        <f>T("9791172822040")</f>
        <v>9791172822040</v>
      </c>
      <c r="BF4490" t="str">
        <f>T("D158625")</f>
        <v>D158625</v>
      </c>
      <c r="BG4490" t="str">
        <f>T("로판 웹소설 &gt; 서양풍 로판")</f>
        <v>로판 웹소설 &gt; 서양풍 로판</v>
      </c>
    </row>
    <row r="4491" spans="1:59">
      <c r="A4491" t="s">
        <v>60</v>
      </c>
      <c r="B4491" s="1">
        <v>46130</v>
      </c>
      <c r="C4491">
        <v>2378078499</v>
      </c>
      <c r="D4491">
        <v>2378078578</v>
      </c>
      <c r="E4491" t="str">
        <f>T("용사들은 성녀의 축복을 받아야 한다 80화")</f>
        <v>용사들은 성녀의 축복을 받아야 한다 80화</v>
      </c>
      <c r="F4491">
        <v>80</v>
      </c>
      <c r="G4491" t="str">
        <f>T("필밤")</f>
        <v>필밤</v>
      </c>
      <c r="J4491" t="str">
        <f>T("시계토끼")</f>
        <v>시계토끼</v>
      </c>
      <c r="K4491" t="str">
        <f>T("용사들은 성녀의 축복을 받아야 한다")</f>
        <v>용사들은 성녀의 축복을 받아야 한다</v>
      </c>
      <c r="L4491">
        <v>100</v>
      </c>
      <c r="M4491">
        <v>100</v>
      </c>
      <c r="N4491">
        <v>1</v>
      </c>
      <c r="O4491">
        <v>0</v>
      </c>
      <c r="P4491">
        <v>0</v>
      </c>
      <c r="Q4491">
        <v>0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0</v>
      </c>
      <c r="AC4491">
        <v>0</v>
      </c>
      <c r="AD4491">
        <v>0</v>
      </c>
      <c r="AE4491">
        <v>0</v>
      </c>
      <c r="AF4491">
        <v>0</v>
      </c>
      <c r="AG4491">
        <v>0</v>
      </c>
      <c r="AH4491">
        <v>0</v>
      </c>
      <c r="AI4491">
        <v>100</v>
      </c>
      <c r="AJ4491">
        <v>1</v>
      </c>
      <c r="AK4491">
        <v>0</v>
      </c>
      <c r="AL4491">
        <v>0</v>
      </c>
      <c r="AM4491">
        <v>0</v>
      </c>
      <c r="AN4491">
        <v>0</v>
      </c>
      <c r="AO4491">
        <v>120</v>
      </c>
      <c r="AP4491">
        <v>-12</v>
      </c>
      <c r="AQ4491">
        <v>0</v>
      </c>
      <c r="AS4491">
        <v>0</v>
      </c>
      <c r="AT4491">
        <v>0</v>
      </c>
      <c r="AV4491">
        <v>0</v>
      </c>
      <c r="AW4491">
        <v>0</v>
      </c>
      <c r="AX4491">
        <v>120</v>
      </c>
      <c r="AY4491">
        <v>-12</v>
      </c>
      <c r="AZ4491">
        <v>0</v>
      </c>
      <c r="BA4491">
        <v>64.8</v>
      </c>
      <c r="BE4491" t="str">
        <f>T("9791172822040")</f>
        <v>9791172822040</v>
      </c>
      <c r="BF4491" t="str">
        <f>T("D158704")</f>
        <v>D158704</v>
      </c>
      <c r="BG4491" t="str">
        <f>T("로판 웹소설 &gt; 서양풍 로판")</f>
        <v>로판 웹소설 &gt; 서양풍 로판</v>
      </c>
    </row>
    <row r="4492" spans="1:59">
      <c r="A4492" t="s">
        <v>60</v>
      </c>
      <c r="B4492" s="1">
        <v>46130</v>
      </c>
      <c r="C4492">
        <v>2378078499</v>
      </c>
      <c r="D4492">
        <v>2378078500</v>
      </c>
      <c r="E4492" t="str">
        <f>T("용사들은 성녀의 축복을 받아야 한다 2화")</f>
        <v>용사들은 성녀의 축복을 받아야 한다 2화</v>
      </c>
      <c r="F4492">
        <v>2</v>
      </c>
      <c r="G4492" t="str">
        <f>T("필밤")</f>
        <v>필밤</v>
      </c>
      <c r="J4492" t="str">
        <f>T("시계토끼")</f>
        <v>시계토끼</v>
      </c>
      <c r="K4492" t="str">
        <f>T("용사들은 성녀의 축복을 받아야 한다")</f>
        <v>용사들은 성녀의 축복을 받아야 한다</v>
      </c>
      <c r="L4492">
        <v>0</v>
      </c>
      <c r="M4492">
        <v>0</v>
      </c>
      <c r="N4492">
        <v>0</v>
      </c>
      <c r="O4492">
        <v>6</v>
      </c>
      <c r="P4492">
        <v>0</v>
      </c>
      <c r="Q4492">
        <v>0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0</v>
      </c>
      <c r="AC4492">
        <v>0</v>
      </c>
      <c r="AD4492">
        <v>0</v>
      </c>
      <c r="AE4492">
        <v>0</v>
      </c>
      <c r="AF4492">
        <v>0</v>
      </c>
      <c r="AG4492">
        <v>0</v>
      </c>
      <c r="AH4492">
        <v>0</v>
      </c>
      <c r="AI4492">
        <v>0</v>
      </c>
      <c r="AJ4492">
        <v>6</v>
      </c>
      <c r="AK4492">
        <v>0</v>
      </c>
      <c r="AL4492">
        <v>0</v>
      </c>
      <c r="AM4492">
        <v>0</v>
      </c>
      <c r="AN4492">
        <v>0</v>
      </c>
      <c r="AO4492">
        <v>0</v>
      </c>
      <c r="AP4492">
        <v>0</v>
      </c>
      <c r="AQ4492">
        <v>0</v>
      </c>
      <c r="AS4492">
        <v>0</v>
      </c>
      <c r="AT4492">
        <v>0</v>
      </c>
      <c r="AV4492">
        <v>0</v>
      </c>
      <c r="AW4492">
        <v>0</v>
      </c>
      <c r="AY4492">
        <v>0</v>
      </c>
      <c r="AZ4492">
        <v>0</v>
      </c>
      <c r="BA4492">
        <v>0</v>
      </c>
      <c r="BE4492" t="str">
        <f>T("9791172822040")</f>
        <v>9791172822040</v>
      </c>
      <c r="BF4492" t="str">
        <f>T("D158626")</f>
        <v>D158626</v>
      </c>
      <c r="BG4492" t="str">
        <f>T("로판 웹소설 &gt; 서양풍 로판")</f>
        <v>로판 웹소설 &gt; 서양풍 로판</v>
      </c>
    </row>
    <row r="4493" spans="1:59">
      <c r="A4493" t="s">
        <v>60</v>
      </c>
      <c r="B4493" s="1">
        <v>46130</v>
      </c>
      <c r="C4493">
        <v>2378078499</v>
      </c>
      <c r="D4493">
        <v>2378078501</v>
      </c>
      <c r="E4493" t="str">
        <f>T("용사들은 성녀의 축복을 받아야 한다 3화")</f>
        <v>용사들은 성녀의 축복을 받아야 한다 3화</v>
      </c>
      <c r="F4493">
        <v>3</v>
      </c>
      <c r="G4493" t="str">
        <f>T("필밤")</f>
        <v>필밤</v>
      </c>
      <c r="J4493" t="str">
        <f>T("시계토끼")</f>
        <v>시계토끼</v>
      </c>
      <c r="K4493" t="str">
        <f>T("용사들은 성녀의 축복을 받아야 한다")</f>
        <v>용사들은 성녀의 축복을 받아야 한다</v>
      </c>
      <c r="L4493">
        <v>0</v>
      </c>
      <c r="M4493">
        <v>0</v>
      </c>
      <c r="N4493">
        <v>0</v>
      </c>
      <c r="O4493">
        <v>4</v>
      </c>
      <c r="P4493">
        <v>0</v>
      </c>
      <c r="Q4493">
        <v>0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0</v>
      </c>
      <c r="AC4493">
        <v>0</v>
      </c>
      <c r="AD4493">
        <v>0</v>
      </c>
      <c r="AE4493">
        <v>0</v>
      </c>
      <c r="AF4493">
        <v>0</v>
      </c>
      <c r="AG4493">
        <v>0</v>
      </c>
      <c r="AH4493">
        <v>0</v>
      </c>
      <c r="AI4493">
        <v>0</v>
      </c>
      <c r="AJ4493">
        <v>4</v>
      </c>
      <c r="AK4493">
        <v>0</v>
      </c>
      <c r="AL4493">
        <v>0</v>
      </c>
      <c r="AM4493">
        <v>0</v>
      </c>
      <c r="AN4493">
        <v>0</v>
      </c>
      <c r="AO4493">
        <v>0</v>
      </c>
      <c r="AP4493">
        <v>0</v>
      </c>
      <c r="AQ4493">
        <v>0</v>
      </c>
      <c r="AS4493">
        <v>0</v>
      </c>
      <c r="AT4493">
        <v>0</v>
      </c>
      <c r="AV4493">
        <v>0</v>
      </c>
      <c r="AW4493">
        <v>0</v>
      </c>
      <c r="AY4493">
        <v>0</v>
      </c>
      <c r="AZ4493">
        <v>0</v>
      </c>
      <c r="BA4493">
        <v>0</v>
      </c>
      <c r="BE4493" t="str">
        <f>T("9791172822040")</f>
        <v>9791172822040</v>
      </c>
      <c r="BF4493" t="str">
        <f>T("D158627")</f>
        <v>D158627</v>
      </c>
      <c r="BG4493" t="str">
        <f>T("로판 웹소설 &gt; 서양풍 로판")</f>
        <v>로판 웹소설 &gt; 서양풍 로판</v>
      </c>
    </row>
    <row r="4494" spans="1:59">
      <c r="A4494" t="s">
        <v>60</v>
      </c>
      <c r="B4494" s="1">
        <v>46130</v>
      </c>
      <c r="C4494">
        <v>2378078499</v>
      </c>
      <c r="D4494">
        <v>2378078502</v>
      </c>
      <c r="E4494" t="str">
        <f>T("용사들은 성녀의 축복을 받아야 한다 4화")</f>
        <v>용사들은 성녀의 축복을 받아야 한다 4화</v>
      </c>
      <c r="F4494">
        <v>4</v>
      </c>
      <c r="G4494" t="str">
        <f>T("필밤")</f>
        <v>필밤</v>
      </c>
      <c r="J4494" t="str">
        <f>T("시계토끼")</f>
        <v>시계토끼</v>
      </c>
      <c r="K4494" t="str">
        <f>T("용사들은 성녀의 축복을 받아야 한다")</f>
        <v>용사들은 성녀의 축복을 받아야 한다</v>
      </c>
      <c r="L4494">
        <v>0</v>
      </c>
      <c r="M4494">
        <v>0</v>
      </c>
      <c r="N4494">
        <v>0</v>
      </c>
      <c r="O4494">
        <v>5</v>
      </c>
      <c r="P4494">
        <v>0</v>
      </c>
      <c r="Q4494">
        <v>0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0</v>
      </c>
      <c r="AC4494">
        <v>0</v>
      </c>
      <c r="AD4494">
        <v>0</v>
      </c>
      <c r="AE4494">
        <v>0</v>
      </c>
      <c r="AF4494">
        <v>0</v>
      </c>
      <c r="AG4494">
        <v>0</v>
      </c>
      <c r="AH4494">
        <v>0</v>
      </c>
      <c r="AI4494">
        <v>0</v>
      </c>
      <c r="AJ4494">
        <v>5</v>
      </c>
      <c r="AK4494">
        <v>0</v>
      </c>
      <c r="AL4494">
        <v>0</v>
      </c>
      <c r="AM4494">
        <v>0</v>
      </c>
      <c r="AN4494">
        <v>0</v>
      </c>
      <c r="AO4494">
        <v>0</v>
      </c>
      <c r="AP4494">
        <v>0</v>
      </c>
      <c r="AQ4494">
        <v>0</v>
      </c>
      <c r="AS4494">
        <v>0</v>
      </c>
      <c r="AT4494">
        <v>0</v>
      </c>
      <c r="AV4494">
        <v>0</v>
      </c>
      <c r="AW4494">
        <v>0</v>
      </c>
      <c r="AY4494">
        <v>0</v>
      </c>
      <c r="AZ4494">
        <v>0</v>
      </c>
      <c r="BA4494">
        <v>0</v>
      </c>
      <c r="BE4494" t="str">
        <f>T("9791172822040")</f>
        <v>9791172822040</v>
      </c>
      <c r="BF4494" t="str">
        <f>T("D158628")</f>
        <v>D158628</v>
      </c>
      <c r="BG4494" t="str">
        <f>T("로판 웹소설 &gt; 서양풍 로판")</f>
        <v>로판 웹소설 &gt; 서양풍 로판</v>
      </c>
    </row>
    <row r="4495" spans="1:59">
      <c r="A4495" t="s">
        <v>60</v>
      </c>
      <c r="B4495" s="1">
        <v>46130</v>
      </c>
      <c r="C4495">
        <v>2378078499</v>
      </c>
      <c r="D4495">
        <v>2378078503</v>
      </c>
      <c r="E4495" t="str">
        <f>T("용사들은 성녀의 축복을 받아야 한다 5화")</f>
        <v>용사들은 성녀의 축복을 받아야 한다 5화</v>
      </c>
      <c r="F4495">
        <v>5</v>
      </c>
      <c r="G4495" t="str">
        <f>T("필밤")</f>
        <v>필밤</v>
      </c>
      <c r="J4495" t="str">
        <f>T("시계토끼")</f>
        <v>시계토끼</v>
      </c>
      <c r="K4495" t="str">
        <f>T("용사들은 성녀의 축복을 받아야 한다")</f>
        <v>용사들은 성녀의 축복을 받아야 한다</v>
      </c>
      <c r="L4495">
        <v>0</v>
      </c>
      <c r="M4495">
        <v>0</v>
      </c>
      <c r="N4495">
        <v>0</v>
      </c>
      <c r="O4495">
        <v>4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0</v>
      </c>
      <c r="AC4495">
        <v>0</v>
      </c>
      <c r="AD4495">
        <v>0</v>
      </c>
      <c r="AE4495">
        <v>0</v>
      </c>
      <c r="AF4495">
        <v>0</v>
      </c>
      <c r="AG4495">
        <v>0</v>
      </c>
      <c r="AH4495">
        <v>0</v>
      </c>
      <c r="AI4495">
        <v>0</v>
      </c>
      <c r="AJ4495">
        <v>4</v>
      </c>
      <c r="AK4495">
        <v>0</v>
      </c>
      <c r="AL4495">
        <v>0</v>
      </c>
      <c r="AM4495">
        <v>0</v>
      </c>
      <c r="AN4495">
        <v>0</v>
      </c>
      <c r="AO4495">
        <v>0</v>
      </c>
      <c r="AP4495">
        <v>0</v>
      </c>
      <c r="AQ4495">
        <v>0</v>
      </c>
      <c r="AS4495">
        <v>0</v>
      </c>
      <c r="AT4495">
        <v>0</v>
      </c>
      <c r="AV4495">
        <v>0</v>
      </c>
      <c r="AW4495">
        <v>0</v>
      </c>
      <c r="AY4495">
        <v>0</v>
      </c>
      <c r="AZ4495">
        <v>0</v>
      </c>
      <c r="BA4495">
        <v>0</v>
      </c>
      <c r="BE4495" t="str">
        <f>T("9791172822040")</f>
        <v>9791172822040</v>
      </c>
      <c r="BF4495" t="str">
        <f>T("D158629")</f>
        <v>D158629</v>
      </c>
      <c r="BG4495" t="str">
        <f>T("로판 웹소설 &gt; 서양풍 로판")</f>
        <v>로판 웹소설 &gt; 서양풍 로판</v>
      </c>
    </row>
    <row r="4496" spans="1:59">
      <c r="A4496" t="s">
        <v>60</v>
      </c>
      <c r="B4496" s="1">
        <v>46130</v>
      </c>
      <c r="C4496">
        <v>2378078499</v>
      </c>
      <c r="D4496">
        <v>2378078505</v>
      </c>
      <c r="E4496" t="str">
        <f>T("용사들은 성녀의 축복을 받아야 한다 7화")</f>
        <v>용사들은 성녀의 축복을 받아야 한다 7화</v>
      </c>
      <c r="F4496">
        <v>7</v>
      </c>
      <c r="G4496" t="str">
        <f>T("필밤")</f>
        <v>필밤</v>
      </c>
      <c r="J4496" t="str">
        <f>T("시계토끼")</f>
        <v>시계토끼</v>
      </c>
      <c r="K4496" t="str">
        <f>T("용사들은 성녀의 축복을 받아야 한다")</f>
        <v>용사들은 성녀의 축복을 받아야 한다</v>
      </c>
      <c r="L4496">
        <v>100</v>
      </c>
      <c r="M4496">
        <v>300</v>
      </c>
      <c r="N4496">
        <v>3</v>
      </c>
      <c r="O4496">
        <v>0</v>
      </c>
      <c r="P4496">
        <v>0</v>
      </c>
      <c r="Q4496">
        <v>0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0</v>
      </c>
      <c r="AC4496">
        <v>0</v>
      </c>
      <c r="AD4496">
        <v>0</v>
      </c>
      <c r="AE4496">
        <v>0</v>
      </c>
      <c r="AF4496">
        <v>0</v>
      </c>
      <c r="AG4496">
        <v>0</v>
      </c>
      <c r="AH4496">
        <v>0</v>
      </c>
      <c r="AI4496">
        <v>300</v>
      </c>
      <c r="AJ4496">
        <v>3</v>
      </c>
      <c r="AK4496">
        <v>0</v>
      </c>
      <c r="AL4496">
        <v>0</v>
      </c>
      <c r="AM4496">
        <v>200</v>
      </c>
      <c r="AN4496">
        <v>0</v>
      </c>
      <c r="AO4496">
        <v>120</v>
      </c>
      <c r="AP4496">
        <v>-36</v>
      </c>
      <c r="AQ4496">
        <v>0</v>
      </c>
      <c r="AR4496">
        <v>120</v>
      </c>
      <c r="AS4496">
        <v>-36</v>
      </c>
      <c r="AT4496">
        <v>0</v>
      </c>
      <c r="AV4496">
        <v>0</v>
      </c>
      <c r="AW4496">
        <v>0</v>
      </c>
      <c r="AY4496">
        <v>0</v>
      </c>
      <c r="AZ4496">
        <v>0</v>
      </c>
      <c r="BA4496">
        <v>170.4</v>
      </c>
      <c r="BE4496" t="str">
        <f>T("9791172822040")</f>
        <v>9791172822040</v>
      </c>
      <c r="BF4496" t="str">
        <f>T("D158631")</f>
        <v>D158631</v>
      </c>
      <c r="BG4496" t="str">
        <f>T("로판 웹소설 &gt; 서양풍 로판")</f>
        <v>로판 웹소설 &gt; 서양풍 로판</v>
      </c>
    </row>
    <row r="4497" spans="1:59">
      <c r="A4497" t="s">
        <v>60</v>
      </c>
      <c r="B4497" s="1">
        <v>46130</v>
      </c>
      <c r="C4497">
        <v>2378078499</v>
      </c>
      <c r="D4497">
        <v>2378078506</v>
      </c>
      <c r="E4497" t="str">
        <f>T("용사들은 성녀의 축복을 받아야 한다 8화")</f>
        <v>용사들은 성녀의 축복을 받아야 한다 8화</v>
      </c>
      <c r="F4497">
        <v>8</v>
      </c>
      <c r="G4497" t="str">
        <f>T("필밤")</f>
        <v>필밤</v>
      </c>
      <c r="J4497" t="str">
        <f>T("시계토끼")</f>
        <v>시계토끼</v>
      </c>
      <c r="K4497" t="str">
        <f>T("용사들은 성녀의 축복을 받아야 한다")</f>
        <v>용사들은 성녀의 축복을 받아야 한다</v>
      </c>
      <c r="L4497">
        <v>100</v>
      </c>
      <c r="M4497">
        <v>200</v>
      </c>
      <c r="N4497">
        <v>2</v>
      </c>
      <c r="O4497">
        <v>0</v>
      </c>
      <c r="P4497">
        <v>0</v>
      </c>
      <c r="Q4497">
        <v>0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0</v>
      </c>
      <c r="AC4497">
        <v>0</v>
      </c>
      <c r="AD4497">
        <v>0</v>
      </c>
      <c r="AE4497">
        <v>0</v>
      </c>
      <c r="AF4497">
        <v>0</v>
      </c>
      <c r="AG4497">
        <v>0</v>
      </c>
      <c r="AH4497">
        <v>0</v>
      </c>
      <c r="AI4497">
        <v>200</v>
      </c>
      <c r="AJ4497">
        <v>2</v>
      </c>
      <c r="AK4497">
        <v>0</v>
      </c>
      <c r="AL4497">
        <v>0</v>
      </c>
      <c r="AM4497">
        <v>200</v>
      </c>
      <c r="AN4497">
        <v>0</v>
      </c>
      <c r="AO4497">
        <v>0</v>
      </c>
      <c r="AP4497">
        <v>0</v>
      </c>
      <c r="AQ4497">
        <v>0</v>
      </c>
      <c r="AS4497">
        <v>0</v>
      </c>
      <c r="AT4497">
        <v>0</v>
      </c>
      <c r="AV4497">
        <v>0</v>
      </c>
      <c r="AW4497">
        <v>0</v>
      </c>
      <c r="AY4497">
        <v>0</v>
      </c>
      <c r="AZ4497">
        <v>0</v>
      </c>
      <c r="BA4497">
        <v>120</v>
      </c>
      <c r="BE4497" t="str">
        <f>T("9791172822040")</f>
        <v>9791172822040</v>
      </c>
      <c r="BF4497" t="str">
        <f>T("D158632")</f>
        <v>D158632</v>
      </c>
      <c r="BG4497" t="str">
        <f>T("로판 웹소설 &gt; 서양풍 로판")</f>
        <v>로판 웹소설 &gt; 서양풍 로판</v>
      </c>
    </row>
    <row r="4498" spans="1:59">
      <c r="A4498" t="s">
        <v>60</v>
      </c>
      <c r="B4498" s="1">
        <v>46130</v>
      </c>
      <c r="C4498">
        <v>2378078499</v>
      </c>
      <c r="D4498">
        <v>2378078507</v>
      </c>
      <c r="E4498" t="str">
        <f>T("용사들은 성녀의 축복을 받아야 한다 9화")</f>
        <v>용사들은 성녀의 축복을 받아야 한다 9화</v>
      </c>
      <c r="F4498">
        <v>9</v>
      </c>
      <c r="G4498" t="str">
        <f>T("필밤")</f>
        <v>필밤</v>
      </c>
      <c r="J4498" t="str">
        <f>T("시계토끼")</f>
        <v>시계토끼</v>
      </c>
      <c r="K4498" t="str">
        <f>T("용사들은 성녀의 축복을 받아야 한다")</f>
        <v>용사들은 성녀의 축복을 받아야 한다</v>
      </c>
      <c r="L4498">
        <v>100</v>
      </c>
      <c r="M4498">
        <v>200</v>
      </c>
      <c r="N4498">
        <v>2</v>
      </c>
      <c r="O4498">
        <v>0</v>
      </c>
      <c r="P4498">
        <v>0</v>
      </c>
      <c r="Q4498">
        <v>0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0</v>
      </c>
      <c r="AC4498">
        <v>0</v>
      </c>
      <c r="AD4498">
        <v>0</v>
      </c>
      <c r="AE4498">
        <v>0</v>
      </c>
      <c r="AF4498">
        <v>0</v>
      </c>
      <c r="AG4498">
        <v>0</v>
      </c>
      <c r="AH4498">
        <v>0</v>
      </c>
      <c r="AI4498">
        <v>200</v>
      </c>
      <c r="AJ4498">
        <v>2</v>
      </c>
      <c r="AK4498">
        <v>0</v>
      </c>
      <c r="AL4498">
        <v>0</v>
      </c>
      <c r="AM4498">
        <v>200</v>
      </c>
      <c r="AN4498">
        <v>0</v>
      </c>
      <c r="AO4498">
        <v>0</v>
      </c>
      <c r="AP4498">
        <v>0</v>
      </c>
      <c r="AQ4498">
        <v>0</v>
      </c>
      <c r="AS4498">
        <v>0</v>
      </c>
      <c r="AT4498">
        <v>0</v>
      </c>
      <c r="AV4498">
        <v>0</v>
      </c>
      <c r="AW4498">
        <v>0</v>
      </c>
      <c r="AY4498">
        <v>0</v>
      </c>
      <c r="AZ4498">
        <v>0</v>
      </c>
      <c r="BA4498">
        <v>120</v>
      </c>
      <c r="BE4498" t="str">
        <f>T("9791172822040")</f>
        <v>9791172822040</v>
      </c>
      <c r="BF4498" t="str">
        <f>T("D158633")</f>
        <v>D158633</v>
      </c>
      <c r="BG4498" t="str">
        <f>T("로판 웹소설 &gt; 서양풍 로판")</f>
        <v>로판 웹소설 &gt; 서양풍 로판</v>
      </c>
    </row>
    <row r="4499" spans="1:59">
      <c r="A4499" t="s">
        <v>60</v>
      </c>
      <c r="B4499" s="1">
        <v>46130</v>
      </c>
      <c r="C4499">
        <v>2378078499</v>
      </c>
      <c r="D4499">
        <v>2378078579</v>
      </c>
      <c r="E4499" t="str">
        <f>T("용사들은 성녀의 축복을 받아야 한다 81화")</f>
        <v>용사들은 성녀의 축복을 받아야 한다 81화</v>
      </c>
      <c r="F4499">
        <v>81</v>
      </c>
      <c r="G4499" t="str">
        <f>T("필밤")</f>
        <v>필밤</v>
      </c>
      <c r="J4499" t="str">
        <f>T("시계토끼")</f>
        <v>시계토끼</v>
      </c>
      <c r="K4499" t="str">
        <f>T("용사들은 성녀의 축복을 받아야 한다")</f>
        <v>용사들은 성녀의 축복을 받아야 한다</v>
      </c>
      <c r="L4499">
        <v>100</v>
      </c>
      <c r="M4499">
        <v>200</v>
      </c>
      <c r="N4499">
        <v>2</v>
      </c>
      <c r="O4499">
        <v>0</v>
      </c>
      <c r="P4499">
        <v>0</v>
      </c>
      <c r="Q4499">
        <v>0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0</v>
      </c>
      <c r="AC4499">
        <v>0</v>
      </c>
      <c r="AD4499">
        <v>0</v>
      </c>
      <c r="AE4499">
        <v>0</v>
      </c>
      <c r="AF4499">
        <v>0</v>
      </c>
      <c r="AG4499">
        <v>0</v>
      </c>
      <c r="AH4499">
        <v>0</v>
      </c>
      <c r="AI4499">
        <v>200</v>
      </c>
      <c r="AJ4499">
        <v>2</v>
      </c>
      <c r="AK4499">
        <v>0</v>
      </c>
      <c r="AL4499">
        <v>0</v>
      </c>
      <c r="AM4499">
        <v>100</v>
      </c>
      <c r="AN4499">
        <v>0</v>
      </c>
      <c r="AO4499">
        <v>120</v>
      </c>
      <c r="AP4499">
        <v>-12</v>
      </c>
      <c r="AQ4499">
        <v>0</v>
      </c>
      <c r="AS4499">
        <v>0</v>
      </c>
      <c r="AT4499">
        <v>0</v>
      </c>
      <c r="AV4499">
        <v>0</v>
      </c>
      <c r="AW4499">
        <v>0</v>
      </c>
      <c r="AX4499">
        <v>120</v>
      </c>
      <c r="AY4499">
        <v>-12</v>
      </c>
      <c r="AZ4499">
        <v>0</v>
      </c>
      <c r="BA4499">
        <v>124.8</v>
      </c>
      <c r="BE4499" t="str">
        <f>T("9791172822040")</f>
        <v>9791172822040</v>
      </c>
      <c r="BF4499" t="str">
        <f>T("D158705")</f>
        <v>D158705</v>
      </c>
      <c r="BG4499" t="str">
        <f>T("로판 웹소설 &gt; 서양풍 로판")</f>
        <v>로판 웹소설 &gt; 서양풍 로판</v>
      </c>
    </row>
    <row r="4500" spans="1:59">
      <c r="A4500" t="s">
        <v>60</v>
      </c>
      <c r="B4500" s="1">
        <v>46130</v>
      </c>
      <c r="C4500">
        <v>2378078499</v>
      </c>
      <c r="D4500">
        <v>2378078508</v>
      </c>
      <c r="E4500" t="str">
        <f>T("용사들은 성녀의 축복을 받아야 한다 10화")</f>
        <v>용사들은 성녀의 축복을 받아야 한다 10화</v>
      </c>
      <c r="F4500">
        <v>10</v>
      </c>
      <c r="G4500" t="str">
        <f>T("필밤")</f>
        <v>필밤</v>
      </c>
      <c r="J4500" t="str">
        <f>T("시계토끼")</f>
        <v>시계토끼</v>
      </c>
      <c r="K4500" t="str">
        <f>T("용사들은 성녀의 축복을 받아야 한다")</f>
        <v>용사들은 성녀의 축복을 받아야 한다</v>
      </c>
      <c r="L4500">
        <v>100</v>
      </c>
      <c r="M4500">
        <v>200</v>
      </c>
      <c r="N4500">
        <v>2</v>
      </c>
      <c r="O4500">
        <v>0</v>
      </c>
      <c r="P4500">
        <v>0</v>
      </c>
      <c r="Q4500">
        <v>0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0</v>
      </c>
      <c r="AC4500">
        <v>0</v>
      </c>
      <c r="AD4500">
        <v>0</v>
      </c>
      <c r="AE4500">
        <v>0</v>
      </c>
      <c r="AF4500">
        <v>0</v>
      </c>
      <c r="AG4500">
        <v>0</v>
      </c>
      <c r="AH4500">
        <v>0</v>
      </c>
      <c r="AI4500">
        <v>200</v>
      </c>
      <c r="AJ4500">
        <v>2</v>
      </c>
      <c r="AK4500">
        <v>0</v>
      </c>
      <c r="AL4500">
        <v>0</v>
      </c>
      <c r="AM4500">
        <v>200</v>
      </c>
      <c r="AN4500">
        <v>0</v>
      </c>
      <c r="AO4500">
        <v>0</v>
      </c>
      <c r="AP4500">
        <v>0</v>
      </c>
      <c r="AQ4500">
        <v>0</v>
      </c>
      <c r="AS4500">
        <v>0</v>
      </c>
      <c r="AT4500">
        <v>0</v>
      </c>
      <c r="AV4500">
        <v>0</v>
      </c>
      <c r="AW4500">
        <v>0</v>
      </c>
      <c r="AY4500">
        <v>0</v>
      </c>
      <c r="AZ4500">
        <v>0</v>
      </c>
      <c r="BA4500">
        <v>120</v>
      </c>
      <c r="BE4500" t="str">
        <f>T("9791172822040")</f>
        <v>9791172822040</v>
      </c>
      <c r="BF4500" t="str">
        <f>T("D158634")</f>
        <v>D158634</v>
      </c>
      <c r="BG4500" t="str">
        <f>T("로판 웹소설 &gt; 서양풍 로판")</f>
        <v>로판 웹소설 &gt; 서양풍 로판</v>
      </c>
    </row>
    <row r="4501" spans="1:59">
      <c r="A4501" t="s">
        <v>60</v>
      </c>
      <c r="B4501" s="1">
        <v>46130</v>
      </c>
      <c r="C4501">
        <v>2378078499</v>
      </c>
      <c r="D4501">
        <v>2378078509</v>
      </c>
      <c r="E4501" t="str">
        <f>T("용사들은 성녀의 축복을 받아야 한다 11화")</f>
        <v>용사들은 성녀의 축복을 받아야 한다 11화</v>
      </c>
      <c r="F4501">
        <v>11</v>
      </c>
      <c r="G4501" t="str">
        <f>T("필밤")</f>
        <v>필밤</v>
      </c>
      <c r="J4501" t="str">
        <f>T("시계토끼")</f>
        <v>시계토끼</v>
      </c>
      <c r="K4501" t="str">
        <f>T("용사들은 성녀의 축복을 받아야 한다")</f>
        <v>용사들은 성녀의 축복을 받아야 한다</v>
      </c>
      <c r="L4501">
        <v>100</v>
      </c>
      <c r="M4501">
        <v>200</v>
      </c>
      <c r="N4501">
        <v>2</v>
      </c>
      <c r="O4501">
        <v>0</v>
      </c>
      <c r="P4501">
        <v>0</v>
      </c>
      <c r="Q4501">
        <v>0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0</v>
      </c>
      <c r="AC4501">
        <v>0</v>
      </c>
      <c r="AD4501">
        <v>0</v>
      </c>
      <c r="AE4501">
        <v>0</v>
      </c>
      <c r="AF4501">
        <v>0</v>
      </c>
      <c r="AG4501">
        <v>0</v>
      </c>
      <c r="AH4501">
        <v>0</v>
      </c>
      <c r="AI4501">
        <v>200</v>
      </c>
      <c r="AJ4501">
        <v>2</v>
      </c>
      <c r="AK4501">
        <v>0</v>
      </c>
      <c r="AL4501">
        <v>0</v>
      </c>
      <c r="AM4501">
        <v>200</v>
      </c>
      <c r="AN4501">
        <v>0</v>
      </c>
      <c r="AO4501">
        <v>0</v>
      </c>
      <c r="AP4501">
        <v>0</v>
      </c>
      <c r="AQ4501">
        <v>0</v>
      </c>
      <c r="AS4501">
        <v>0</v>
      </c>
      <c r="AT4501">
        <v>0</v>
      </c>
      <c r="AV4501">
        <v>0</v>
      </c>
      <c r="AW4501">
        <v>0</v>
      </c>
      <c r="AY4501">
        <v>0</v>
      </c>
      <c r="AZ4501">
        <v>0</v>
      </c>
      <c r="BA4501">
        <v>120</v>
      </c>
      <c r="BE4501" t="str">
        <f>T("9791172822040")</f>
        <v>9791172822040</v>
      </c>
      <c r="BF4501" t="str">
        <f>T("D158635")</f>
        <v>D158635</v>
      </c>
      <c r="BG4501" t="str">
        <f>T("로판 웹소설 &gt; 서양풍 로판")</f>
        <v>로판 웹소설 &gt; 서양풍 로판</v>
      </c>
    </row>
    <row r="4502" spans="1:59">
      <c r="A4502" t="s">
        <v>60</v>
      </c>
      <c r="B4502" s="1">
        <v>46130</v>
      </c>
      <c r="C4502">
        <v>2378078499</v>
      </c>
      <c r="D4502">
        <v>2378078510</v>
      </c>
      <c r="E4502" t="str">
        <f>T("용사들은 성녀의 축복을 받아야 한다 12화")</f>
        <v>용사들은 성녀의 축복을 받아야 한다 12화</v>
      </c>
      <c r="F4502">
        <v>12</v>
      </c>
      <c r="G4502" t="str">
        <f>T("필밤")</f>
        <v>필밤</v>
      </c>
      <c r="J4502" t="str">
        <f>T("시계토끼")</f>
        <v>시계토끼</v>
      </c>
      <c r="K4502" t="str">
        <f>T("용사들은 성녀의 축복을 받아야 한다")</f>
        <v>용사들은 성녀의 축복을 받아야 한다</v>
      </c>
      <c r="L4502">
        <v>100</v>
      </c>
      <c r="M4502">
        <v>200</v>
      </c>
      <c r="N4502">
        <v>2</v>
      </c>
      <c r="O4502">
        <v>0</v>
      </c>
      <c r="P4502">
        <v>0</v>
      </c>
      <c r="Q4502">
        <v>0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0</v>
      </c>
      <c r="AC4502">
        <v>0</v>
      </c>
      <c r="AD4502">
        <v>0</v>
      </c>
      <c r="AE4502">
        <v>0</v>
      </c>
      <c r="AF4502">
        <v>0</v>
      </c>
      <c r="AG4502">
        <v>0</v>
      </c>
      <c r="AH4502">
        <v>0</v>
      </c>
      <c r="AI4502">
        <v>200</v>
      </c>
      <c r="AJ4502">
        <v>2</v>
      </c>
      <c r="AK4502">
        <v>0</v>
      </c>
      <c r="AL4502">
        <v>0</v>
      </c>
      <c r="AM4502">
        <v>200</v>
      </c>
      <c r="AN4502">
        <v>0</v>
      </c>
      <c r="AO4502">
        <v>0</v>
      </c>
      <c r="AP4502">
        <v>0</v>
      </c>
      <c r="AQ4502">
        <v>0</v>
      </c>
      <c r="AS4502">
        <v>0</v>
      </c>
      <c r="AT4502">
        <v>0</v>
      </c>
      <c r="AV4502">
        <v>0</v>
      </c>
      <c r="AW4502">
        <v>0</v>
      </c>
      <c r="AY4502">
        <v>0</v>
      </c>
      <c r="AZ4502">
        <v>0</v>
      </c>
      <c r="BA4502">
        <v>120</v>
      </c>
      <c r="BE4502" t="str">
        <f>T("9791172822040")</f>
        <v>9791172822040</v>
      </c>
      <c r="BF4502" t="str">
        <f>T("D158636")</f>
        <v>D158636</v>
      </c>
      <c r="BG4502" t="str">
        <f>T("로판 웹소설 &gt; 서양풍 로판")</f>
        <v>로판 웹소설 &gt; 서양풍 로판</v>
      </c>
    </row>
    <row r="4503" spans="1:59">
      <c r="A4503" t="s">
        <v>60</v>
      </c>
      <c r="B4503" s="1">
        <v>46130</v>
      </c>
      <c r="C4503">
        <v>2378078499</v>
      </c>
      <c r="D4503">
        <v>2378078511</v>
      </c>
      <c r="E4503" t="str">
        <f>T("용사들은 성녀의 축복을 받아야 한다 13화")</f>
        <v>용사들은 성녀의 축복을 받아야 한다 13화</v>
      </c>
      <c r="F4503">
        <v>13</v>
      </c>
      <c r="G4503" t="str">
        <f>T("필밤")</f>
        <v>필밤</v>
      </c>
      <c r="J4503" t="str">
        <f>T("시계토끼")</f>
        <v>시계토끼</v>
      </c>
      <c r="K4503" t="str">
        <f>T("용사들은 성녀의 축복을 받아야 한다")</f>
        <v>용사들은 성녀의 축복을 받아야 한다</v>
      </c>
      <c r="L4503">
        <v>100</v>
      </c>
      <c r="M4503">
        <v>200</v>
      </c>
      <c r="N4503">
        <v>2</v>
      </c>
      <c r="O4503">
        <v>0</v>
      </c>
      <c r="P4503">
        <v>0</v>
      </c>
      <c r="Q4503">
        <v>0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0</v>
      </c>
      <c r="AC4503">
        <v>0</v>
      </c>
      <c r="AD4503">
        <v>0</v>
      </c>
      <c r="AE4503">
        <v>0</v>
      </c>
      <c r="AF4503">
        <v>0</v>
      </c>
      <c r="AG4503">
        <v>0</v>
      </c>
      <c r="AH4503">
        <v>0</v>
      </c>
      <c r="AI4503">
        <v>200</v>
      </c>
      <c r="AJ4503">
        <v>2</v>
      </c>
      <c r="AK4503">
        <v>0</v>
      </c>
      <c r="AL4503">
        <v>0</v>
      </c>
      <c r="AM4503">
        <v>200</v>
      </c>
      <c r="AN4503">
        <v>0</v>
      </c>
      <c r="AO4503">
        <v>0</v>
      </c>
      <c r="AP4503">
        <v>0</v>
      </c>
      <c r="AQ4503">
        <v>0</v>
      </c>
      <c r="AS4503">
        <v>0</v>
      </c>
      <c r="AT4503">
        <v>0</v>
      </c>
      <c r="AV4503">
        <v>0</v>
      </c>
      <c r="AW4503">
        <v>0</v>
      </c>
      <c r="AY4503">
        <v>0</v>
      </c>
      <c r="AZ4503">
        <v>0</v>
      </c>
      <c r="BA4503">
        <v>120</v>
      </c>
      <c r="BE4503" t="str">
        <f>T("9791172822040")</f>
        <v>9791172822040</v>
      </c>
      <c r="BF4503" t="str">
        <f>T("D158637")</f>
        <v>D158637</v>
      </c>
      <c r="BG4503" t="str">
        <f>T("로판 웹소설 &gt; 서양풍 로판")</f>
        <v>로판 웹소설 &gt; 서양풍 로판</v>
      </c>
    </row>
    <row r="4504" spans="1:59">
      <c r="A4504" t="s">
        <v>60</v>
      </c>
      <c r="B4504" s="1">
        <v>46130</v>
      </c>
      <c r="C4504">
        <v>2378078499</v>
      </c>
      <c r="D4504">
        <v>2378078512</v>
      </c>
      <c r="E4504" t="str">
        <f>T("용사들은 성녀의 축복을 받아야 한다 14화")</f>
        <v>용사들은 성녀의 축복을 받아야 한다 14화</v>
      </c>
      <c r="F4504">
        <v>14</v>
      </c>
      <c r="G4504" t="str">
        <f>T("필밤")</f>
        <v>필밤</v>
      </c>
      <c r="J4504" t="str">
        <f>T("시계토끼")</f>
        <v>시계토끼</v>
      </c>
      <c r="K4504" t="str">
        <f>T("용사들은 성녀의 축복을 받아야 한다")</f>
        <v>용사들은 성녀의 축복을 받아야 한다</v>
      </c>
      <c r="L4504">
        <v>100</v>
      </c>
      <c r="M4504">
        <v>300</v>
      </c>
      <c r="N4504">
        <v>3</v>
      </c>
      <c r="O4504">
        <v>0</v>
      </c>
      <c r="P4504">
        <v>0</v>
      </c>
      <c r="Q4504">
        <v>0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0</v>
      </c>
      <c r="AC4504">
        <v>0</v>
      </c>
      <c r="AD4504">
        <v>0</v>
      </c>
      <c r="AE4504">
        <v>0</v>
      </c>
      <c r="AF4504">
        <v>0</v>
      </c>
      <c r="AG4504">
        <v>0</v>
      </c>
      <c r="AH4504">
        <v>0</v>
      </c>
      <c r="AI4504">
        <v>300</v>
      </c>
      <c r="AJ4504">
        <v>3</v>
      </c>
      <c r="AK4504">
        <v>0</v>
      </c>
      <c r="AL4504">
        <v>0</v>
      </c>
      <c r="AM4504">
        <v>300</v>
      </c>
      <c r="AN4504">
        <v>0</v>
      </c>
      <c r="AO4504">
        <v>0</v>
      </c>
      <c r="AP4504">
        <v>0</v>
      </c>
      <c r="AQ4504">
        <v>0</v>
      </c>
      <c r="AS4504">
        <v>0</v>
      </c>
      <c r="AT4504">
        <v>0</v>
      </c>
      <c r="AV4504">
        <v>0</v>
      </c>
      <c r="AW4504">
        <v>0</v>
      </c>
      <c r="AY4504">
        <v>0</v>
      </c>
      <c r="AZ4504">
        <v>0</v>
      </c>
      <c r="BA4504">
        <v>180</v>
      </c>
      <c r="BE4504" t="str">
        <f>T("9791172822040")</f>
        <v>9791172822040</v>
      </c>
      <c r="BF4504" t="str">
        <f>T("D158638")</f>
        <v>D158638</v>
      </c>
      <c r="BG4504" t="str">
        <f>T("로판 웹소설 &gt; 서양풍 로판")</f>
        <v>로판 웹소설 &gt; 서양풍 로판</v>
      </c>
    </row>
    <row r="4505" spans="1:59">
      <c r="A4505" t="s">
        <v>60</v>
      </c>
      <c r="B4505" s="1">
        <v>46130</v>
      </c>
      <c r="C4505">
        <v>2378078499</v>
      </c>
      <c r="D4505">
        <v>2378078513</v>
      </c>
      <c r="E4505" t="str">
        <f>T("용사들은 성녀의 축복을 받아야 한다 15화")</f>
        <v>용사들은 성녀의 축복을 받아야 한다 15화</v>
      </c>
      <c r="F4505">
        <v>15</v>
      </c>
      <c r="G4505" t="str">
        <f>T("필밤")</f>
        <v>필밤</v>
      </c>
      <c r="J4505" t="str">
        <f>T("시계토끼")</f>
        <v>시계토끼</v>
      </c>
      <c r="K4505" t="str">
        <f>T("용사들은 성녀의 축복을 받아야 한다")</f>
        <v>용사들은 성녀의 축복을 받아야 한다</v>
      </c>
      <c r="L4505">
        <v>100</v>
      </c>
      <c r="M4505">
        <v>200</v>
      </c>
      <c r="N4505">
        <v>2</v>
      </c>
      <c r="O4505">
        <v>0</v>
      </c>
      <c r="P4505">
        <v>0</v>
      </c>
      <c r="Q4505">
        <v>0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0</v>
      </c>
      <c r="AC4505">
        <v>0</v>
      </c>
      <c r="AD4505">
        <v>0</v>
      </c>
      <c r="AE4505">
        <v>0</v>
      </c>
      <c r="AF4505">
        <v>0</v>
      </c>
      <c r="AG4505">
        <v>0</v>
      </c>
      <c r="AH4505">
        <v>0</v>
      </c>
      <c r="AI4505">
        <v>200</v>
      </c>
      <c r="AJ4505">
        <v>2</v>
      </c>
      <c r="AK4505">
        <v>0</v>
      </c>
      <c r="AL4505">
        <v>0</v>
      </c>
      <c r="AM4505">
        <v>200</v>
      </c>
      <c r="AN4505">
        <v>0</v>
      </c>
      <c r="AO4505">
        <v>0</v>
      </c>
      <c r="AP4505">
        <v>0</v>
      </c>
      <c r="AQ4505">
        <v>0</v>
      </c>
      <c r="AS4505">
        <v>0</v>
      </c>
      <c r="AT4505">
        <v>0</v>
      </c>
      <c r="AV4505">
        <v>0</v>
      </c>
      <c r="AW4505">
        <v>0</v>
      </c>
      <c r="AY4505">
        <v>0</v>
      </c>
      <c r="AZ4505">
        <v>0</v>
      </c>
      <c r="BA4505">
        <v>120</v>
      </c>
      <c r="BE4505" t="str">
        <f>T("9791172822040")</f>
        <v>9791172822040</v>
      </c>
      <c r="BF4505" t="str">
        <f>T("D158639")</f>
        <v>D158639</v>
      </c>
      <c r="BG4505" t="str">
        <f>T("로판 웹소설 &gt; 서양풍 로판")</f>
        <v>로판 웹소설 &gt; 서양풍 로판</v>
      </c>
    </row>
    <row r="4506" spans="1:59">
      <c r="A4506" t="s">
        <v>60</v>
      </c>
      <c r="B4506" s="1">
        <v>46130</v>
      </c>
      <c r="C4506">
        <v>2378078499</v>
      </c>
      <c r="D4506">
        <v>2378078580</v>
      </c>
      <c r="E4506" t="str">
        <f>T("용사들은 성녀의 축복을 받아야 한다 82화")</f>
        <v>용사들은 성녀의 축복을 받아야 한다 82화</v>
      </c>
      <c r="F4506">
        <v>82</v>
      </c>
      <c r="G4506" t="str">
        <f>T("필밤")</f>
        <v>필밤</v>
      </c>
      <c r="J4506" t="str">
        <f>T("시계토끼")</f>
        <v>시계토끼</v>
      </c>
      <c r="K4506" t="str">
        <f>T("용사들은 성녀의 축복을 받아야 한다")</f>
        <v>용사들은 성녀의 축복을 받아야 한다</v>
      </c>
      <c r="L4506">
        <v>100</v>
      </c>
      <c r="M4506">
        <v>100</v>
      </c>
      <c r="N4506">
        <v>1</v>
      </c>
      <c r="O4506">
        <v>0</v>
      </c>
      <c r="P4506">
        <v>0</v>
      </c>
      <c r="Q4506">
        <v>0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0</v>
      </c>
      <c r="AC4506">
        <v>0</v>
      </c>
      <c r="AD4506">
        <v>0</v>
      </c>
      <c r="AE4506">
        <v>0</v>
      </c>
      <c r="AF4506">
        <v>0</v>
      </c>
      <c r="AG4506">
        <v>0</v>
      </c>
      <c r="AH4506">
        <v>0</v>
      </c>
      <c r="AI4506">
        <v>100</v>
      </c>
      <c r="AJ4506">
        <v>1</v>
      </c>
      <c r="AK4506">
        <v>0</v>
      </c>
      <c r="AL4506">
        <v>0</v>
      </c>
      <c r="AM4506">
        <v>0</v>
      </c>
      <c r="AN4506">
        <v>0</v>
      </c>
      <c r="AO4506">
        <v>120</v>
      </c>
      <c r="AP4506">
        <v>-12</v>
      </c>
      <c r="AQ4506">
        <v>0</v>
      </c>
      <c r="AS4506">
        <v>0</v>
      </c>
      <c r="AT4506">
        <v>0</v>
      </c>
      <c r="AV4506">
        <v>0</v>
      </c>
      <c r="AW4506">
        <v>0</v>
      </c>
      <c r="AX4506">
        <v>120</v>
      </c>
      <c r="AY4506">
        <v>-12</v>
      </c>
      <c r="AZ4506">
        <v>0</v>
      </c>
      <c r="BA4506">
        <v>64.8</v>
      </c>
      <c r="BE4506" t="str">
        <f>T("9791172822040")</f>
        <v>9791172822040</v>
      </c>
      <c r="BF4506" t="str">
        <f>T("D158706")</f>
        <v>D158706</v>
      </c>
      <c r="BG4506" t="str">
        <f>T("로판 웹소설 &gt; 서양풍 로판")</f>
        <v>로판 웹소설 &gt; 서양풍 로판</v>
      </c>
    </row>
    <row r="4507" spans="1:59">
      <c r="A4507" t="s">
        <v>60</v>
      </c>
      <c r="B4507" s="1">
        <v>46130</v>
      </c>
      <c r="C4507">
        <v>2378078499</v>
      </c>
      <c r="D4507">
        <v>2378078549</v>
      </c>
      <c r="E4507" t="str">
        <f>T("용사들은 성녀의 축복을 받아야 한다 51화")</f>
        <v>용사들은 성녀의 축복을 받아야 한다 51화</v>
      </c>
      <c r="F4507">
        <v>51</v>
      </c>
      <c r="G4507" t="str">
        <f>T("필밤")</f>
        <v>필밤</v>
      </c>
      <c r="J4507" t="str">
        <f>T("시계토끼")</f>
        <v>시계토끼</v>
      </c>
      <c r="K4507" t="str">
        <f>T("용사들은 성녀의 축복을 받아야 한다")</f>
        <v>용사들은 성녀의 축복을 받아야 한다</v>
      </c>
      <c r="L4507">
        <v>100</v>
      </c>
      <c r="M4507">
        <v>400</v>
      </c>
      <c r="N4507">
        <v>4</v>
      </c>
      <c r="O4507">
        <v>0</v>
      </c>
      <c r="P4507">
        <v>0</v>
      </c>
      <c r="Q4507">
        <v>0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0</v>
      </c>
      <c r="AC4507">
        <v>0</v>
      </c>
      <c r="AD4507">
        <v>0</v>
      </c>
      <c r="AE4507">
        <v>0</v>
      </c>
      <c r="AF4507">
        <v>0</v>
      </c>
      <c r="AG4507">
        <v>0</v>
      </c>
      <c r="AH4507">
        <v>0</v>
      </c>
      <c r="AI4507">
        <v>400</v>
      </c>
      <c r="AJ4507">
        <v>4</v>
      </c>
      <c r="AK4507">
        <v>0</v>
      </c>
      <c r="AL4507">
        <v>0</v>
      </c>
      <c r="AM4507">
        <v>200</v>
      </c>
      <c r="AN4507">
        <v>0</v>
      </c>
      <c r="AO4507">
        <v>240</v>
      </c>
      <c r="AP4507">
        <v>-72</v>
      </c>
      <c r="AQ4507">
        <v>0</v>
      </c>
      <c r="AR4507">
        <v>240</v>
      </c>
      <c r="AS4507">
        <v>-72</v>
      </c>
      <c r="AT4507">
        <v>0</v>
      </c>
      <c r="AV4507">
        <v>0</v>
      </c>
      <c r="AW4507">
        <v>0</v>
      </c>
      <c r="AY4507">
        <v>0</v>
      </c>
      <c r="AZ4507">
        <v>0</v>
      </c>
      <c r="BA4507">
        <v>220.8</v>
      </c>
      <c r="BE4507" t="str">
        <f>T("9791172822040")</f>
        <v>9791172822040</v>
      </c>
      <c r="BF4507" t="str">
        <f>T("D158675")</f>
        <v>D158675</v>
      </c>
      <c r="BG4507" t="str">
        <f>T("로판 웹소설 &gt; 서양풍 로판")</f>
        <v>로판 웹소설 &gt; 서양풍 로판</v>
      </c>
    </row>
    <row r="4508" spans="1:59">
      <c r="A4508" t="s">
        <v>60</v>
      </c>
      <c r="B4508" s="1">
        <v>46130</v>
      </c>
      <c r="C4508">
        <v>2378078499</v>
      </c>
      <c r="D4508">
        <v>2378078514</v>
      </c>
      <c r="E4508" t="str">
        <f>T("용사들은 성녀의 축복을 받아야 한다 16화")</f>
        <v>용사들은 성녀의 축복을 받아야 한다 16화</v>
      </c>
      <c r="F4508">
        <v>16</v>
      </c>
      <c r="G4508" t="str">
        <f>T("필밤")</f>
        <v>필밤</v>
      </c>
      <c r="J4508" t="str">
        <f>T("시계토끼")</f>
        <v>시계토끼</v>
      </c>
      <c r="K4508" t="str">
        <f>T("용사들은 성녀의 축복을 받아야 한다")</f>
        <v>용사들은 성녀의 축복을 받아야 한다</v>
      </c>
      <c r="L4508">
        <v>100</v>
      </c>
      <c r="M4508">
        <v>200</v>
      </c>
      <c r="N4508">
        <v>2</v>
      </c>
      <c r="O4508">
        <v>0</v>
      </c>
      <c r="P4508">
        <v>0</v>
      </c>
      <c r="Q4508">
        <v>0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0</v>
      </c>
      <c r="AC4508">
        <v>0</v>
      </c>
      <c r="AD4508">
        <v>0</v>
      </c>
      <c r="AE4508">
        <v>0</v>
      </c>
      <c r="AF4508">
        <v>0</v>
      </c>
      <c r="AG4508">
        <v>0</v>
      </c>
      <c r="AH4508">
        <v>0</v>
      </c>
      <c r="AI4508">
        <v>200</v>
      </c>
      <c r="AJ4508">
        <v>2</v>
      </c>
      <c r="AK4508">
        <v>0</v>
      </c>
      <c r="AL4508">
        <v>0</v>
      </c>
      <c r="AM4508">
        <v>200</v>
      </c>
      <c r="AN4508">
        <v>0</v>
      </c>
      <c r="AO4508">
        <v>0</v>
      </c>
      <c r="AP4508">
        <v>0</v>
      </c>
      <c r="AQ4508">
        <v>0</v>
      </c>
      <c r="AS4508">
        <v>0</v>
      </c>
      <c r="AT4508">
        <v>0</v>
      </c>
      <c r="AV4508">
        <v>0</v>
      </c>
      <c r="AW4508">
        <v>0</v>
      </c>
      <c r="AY4508">
        <v>0</v>
      </c>
      <c r="AZ4508">
        <v>0</v>
      </c>
      <c r="BA4508">
        <v>120</v>
      </c>
      <c r="BE4508" t="str">
        <f>T("9791172822040")</f>
        <v>9791172822040</v>
      </c>
      <c r="BF4508" t="str">
        <f>T("D158640")</f>
        <v>D158640</v>
      </c>
      <c r="BG4508" t="str">
        <f>T("로판 웹소설 &gt; 서양풍 로판")</f>
        <v>로판 웹소설 &gt; 서양풍 로판</v>
      </c>
    </row>
    <row r="4509" spans="1:59">
      <c r="A4509" t="s">
        <v>60</v>
      </c>
      <c r="B4509" s="1">
        <v>46130</v>
      </c>
      <c r="C4509">
        <v>2378078499</v>
      </c>
      <c r="D4509">
        <v>2378078515</v>
      </c>
      <c r="E4509" t="str">
        <f>T("용사들은 성녀의 축복을 받아야 한다 17화")</f>
        <v>용사들은 성녀의 축복을 받아야 한다 17화</v>
      </c>
      <c r="F4509">
        <v>17</v>
      </c>
      <c r="G4509" t="str">
        <f>T("필밤")</f>
        <v>필밤</v>
      </c>
      <c r="J4509" t="str">
        <f>T("시계토끼")</f>
        <v>시계토끼</v>
      </c>
      <c r="K4509" t="str">
        <f>T("용사들은 성녀의 축복을 받아야 한다")</f>
        <v>용사들은 성녀의 축복을 받아야 한다</v>
      </c>
      <c r="L4509">
        <v>100</v>
      </c>
      <c r="M4509">
        <v>200</v>
      </c>
      <c r="N4509">
        <v>2</v>
      </c>
      <c r="O4509">
        <v>0</v>
      </c>
      <c r="P4509">
        <v>0</v>
      </c>
      <c r="Q4509">
        <v>0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0</v>
      </c>
      <c r="AC4509">
        <v>0</v>
      </c>
      <c r="AD4509">
        <v>0</v>
      </c>
      <c r="AE4509">
        <v>0</v>
      </c>
      <c r="AF4509">
        <v>0</v>
      </c>
      <c r="AG4509">
        <v>0</v>
      </c>
      <c r="AH4509">
        <v>0</v>
      </c>
      <c r="AI4509">
        <v>200</v>
      </c>
      <c r="AJ4509">
        <v>2</v>
      </c>
      <c r="AK4509">
        <v>0</v>
      </c>
      <c r="AL4509">
        <v>0</v>
      </c>
      <c r="AM4509">
        <v>200</v>
      </c>
      <c r="AN4509">
        <v>0</v>
      </c>
      <c r="AO4509">
        <v>0</v>
      </c>
      <c r="AP4509">
        <v>0</v>
      </c>
      <c r="AQ4509">
        <v>0</v>
      </c>
      <c r="AS4509">
        <v>0</v>
      </c>
      <c r="AT4509">
        <v>0</v>
      </c>
      <c r="AV4509">
        <v>0</v>
      </c>
      <c r="AW4509">
        <v>0</v>
      </c>
      <c r="AY4509">
        <v>0</v>
      </c>
      <c r="AZ4509">
        <v>0</v>
      </c>
      <c r="BA4509">
        <v>120</v>
      </c>
      <c r="BE4509" t="str">
        <f>T("9791172822040")</f>
        <v>9791172822040</v>
      </c>
      <c r="BF4509" t="str">
        <f>T("D158641")</f>
        <v>D158641</v>
      </c>
      <c r="BG4509" t="str">
        <f>T("로판 웹소설 &gt; 서양풍 로판")</f>
        <v>로판 웹소설 &gt; 서양풍 로판</v>
      </c>
    </row>
    <row r="4510" spans="1:59">
      <c r="A4510" t="s">
        <v>60</v>
      </c>
      <c r="B4510" s="1">
        <v>46130</v>
      </c>
      <c r="C4510">
        <v>2378078499</v>
      </c>
      <c r="D4510">
        <v>2378078516</v>
      </c>
      <c r="E4510" t="str">
        <f>T("용사들은 성녀의 축복을 받아야 한다 18화")</f>
        <v>용사들은 성녀의 축복을 받아야 한다 18화</v>
      </c>
      <c r="F4510">
        <v>18</v>
      </c>
      <c r="G4510" t="str">
        <f>T("필밤")</f>
        <v>필밤</v>
      </c>
      <c r="J4510" t="str">
        <f>T("시계토끼")</f>
        <v>시계토끼</v>
      </c>
      <c r="K4510" t="str">
        <f>T("용사들은 성녀의 축복을 받아야 한다")</f>
        <v>용사들은 성녀의 축복을 받아야 한다</v>
      </c>
      <c r="L4510">
        <v>100</v>
      </c>
      <c r="M4510">
        <v>200</v>
      </c>
      <c r="N4510">
        <v>2</v>
      </c>
      <c r="O4510">
        <v>0</v>
      </c>
      <c r="P4510">
        <v>0</v>
      </c>
      <c r="Q4510">
        <v>0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0</v>
      </c>
      <c r="AC4510">
        <v>0</v>
      </c>
      <c r="AD4510">
        <v>0</v>
      </c>
      <c r="AE4510">
        <v>0</v>
      </c>
      <c r="AF4510">
        <v>0</v>
      </c>
      <c r="AG4510">
        <v>0</v>
      </c>
      <c r="AH4510">
        <v>0</v>
      </c>
      <c r="AI4510">
        <v>200</v>
      </c>
      <c r="AJ4510">
        <v>2</v>
      </c>
      <c r="AK4510">
        <v>0</v>
      </c>
      <c r="AL4510">
        <v>0</v>
      </c>
      <c r="AM4510">
        <v>200</v>
      </c>
      <c r="AN4510">
        <v>0</v>
      </c>
      <c r="AO4510">
        <v>0</v>
      </c>
      <c r="AP4510">
        <v>0</v>
      </c>
      <c r="AQ4510">
        <v>0</v>
      </c>
      <c r="AS4510">
        <v>0</v>
      </c>
      <c r="AT4510">
        <v>0</v>
      </c>
      <c r="AV4510">
        <v>0</v>
      </c>
      <c r="AW4510">
        <v>0</v>
      </c>
      <c r="AY4510">
        <v>0</v>
      </c>
      <c r="AZ4510">
        <v>0</v>
      </c>
      <c r="BA4510">
        <v>120</v>
      </c>
      <c r="BE4510" t="str">
        <f>T("9791172822040")</f>
        <v>9791172822040</v>
      </c>
      <c r="BF4510" t="str">
        <f>T("D158642")</f>
        <v>D158642</v>
      </c>
      <c r="BG4510" t="str">
        <f>T("로판 웹소설 &gt; 서양풍 로판")</f>
        <v>로판 웹소설 &gt; 서양풍 로판</v>
      </c>
    </row>
    <row r="4511" spans="1:59">
      <c r="A4511" t="s">
        <v>60</v>
      </c>
      <c r="B4511" s="1">
        <v>46130</v>
      </c>
      <c r="C4511">
        <v>2378078499</v>
      </c>
      <c r="D4511">
        <v>2378078517</v>
      </c>
      <c r="E4511" t="str">
        <f>T("용사들은 성녀의 축복을 받아야 한다 19화")</f>
        <v>용사들은 성녀의 축복을 받아야 한다 19화</v>
      </c>
      <c r="F4511">
        <v>19</v>
      </c>
      <c r="G4511" t="str">
        <f>T("필밤")</f>
        <v>필밤</v>
      </c>
      <c r="J4511" t="str">
        <f>T("시계토끼")</f>
        <v>시계토끼</v>
      </c>
      <c r="K4511" t="str">
        <f>T("용사들은 성녀의 축복을 받아야 한다")</f>
        <v>용사들은 성녀의 축복을 받아야 한다</v>
      </c>
      <c r="L4511">
        <v>100</v>
      </c>
      <c r="M4511">
        <v>200</v>
      </c>
      <c r="N4511">
        <v>2</v>
      </c>
      <c r="O4511">
        <v>0</v>
      </c>
      <c r="P4511">
        <v>0</v>
      </c>
      <c r="Q4511">
        <v>0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0</v>
      </c>
      <c r="AC4511">
        <v>0</v>
      </c>
      <c r="AD4511">
        <v>0</v>
      </c>
      <c r="AE4511">
        <v>0</v>
      </c>
      <c r="AF4511">
        <v>0</v>
      </c>
      <c r="AG4511">
        <v>0</v>
      </c>
      <c r="AH4511">
        <v>0</v>
      </c>
      <c r="AI4511">
        <v>200</v>
      </c>
      <c r="AJ4511">
        <v>2</v>
      </c>
      <c r="AK4511">
        <v>0</v>
      </c>
      <c r="AL4511">
        <v>0</v>
      </c>
      <c r="AM4511">
        <v>200</v>
      </c>
      <c r="AN4511">
        <v>0</v>
      </c>
      <c r="AO4511">
        <v>0</v>
      </c>
      <c r="AP4511">
        <v>0</v>
      </c>
      <c r="AQ4511">
        <v>0</v>
      </c>
      <c r="AS4511">
        <v>0</v>
      </c>
      <c r="AT4511">
        <v>0</v>
      </c>
      <c r="AV4511">
        <v>0</v>
      </c>
      <c r="AW4511">
        <v>0</v>
      </c>
      <c r="AY4511">
        <v>0</v>
      </c>
      <c r="AZ4511">
        <v>0</v>
      </c>
      <c r="BA4511">
        <v>120</v>
      </c>
      <c r="BE4511" t="str">
        <f>T("9791172822040")</f>
        <v>9791172822040</v>
      </c>
      <c r="BF4511" t="str">
        <f>T("D158643")</f>
        <v>D158643</v>
      </c>
      <c r="BG4511" t="str">
        <f>T("로판 웹소설 &gt; 서양풍 로판")</f>
        <v>로판 웹소설 &gt; 서양풍 로판</v>
      </c>
    </row>
    <row r="4512" spans="1:59">
      <c r="A4512" t="s">
        <v>60</v>
      </c>
      <c r="B4512" s="1">
        <v>46130</v>
      </c>
      <c r="C4512">
        <v>2378078499</v>
      </c>
      <c r="D4512">
        <v>2378078518</v>
      </c>
      <c r="E4512" t="str">
        <f>T("용사들은 성녀의 축복을 받아야 한다 20화")</f>
        <v>용사들은 성녀의 축복을 받아야 한다 20화</v>
      </c>
      <c r="F4512">
        <v>20</v>
      </c>
      <c r="G4512" t="str">
        <f>T("필밤")</f>
        <v>필밤</v>
      </c>
      <c r="J4512" t="str">
        <f>T("시계토끼")</f>
        <v>시계토끼</v>
      </c>
      <c r="K4512" t="str">
        <f>T("용사들은 성녀의 축복을 받아야 한다")</f>
        <v>용사들은 성녀의 축복을 받아야 한다</v>
      </c>
      <c r="L4512">
        <v>100</v>
      </c>
      <c r="M4512">
        <v>200</v>
      </c>
      <c r="N4512">
        <v>2</v>
      </c>
      <c r="O4512">
        <v>0</v>
      </c>
      <c r="P4512">
        <v>0</v>
      </c>
      <c r="Q4512">
        <v>0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0</v>
      </c>
      <c r="AC4512">
        <v>0</v>
      </c>
      <c r="AD4512">
        <v>0</v>
      </c>
      <c r="AE4512">
        <v>0</v>
      </c>
      <c r="AF4512">
        <v>0</v>
      </c>
      <c r="AG4512">
        <v>0</v>
      </c>
      <c r="AH4512">
        <v>0</v>
      </c>
      <c r="AI4512">
        <v>200</v>
      </c>
      <c r="AJ4512">
        <v>2</v>
      </c>
      <c r="AK4512">
        <v>0</v>
      </c>
      <c r="AL4512">
        <v>0</v>
      </c>
      <c r="AM4512">
        <v>200</v>
      </c>
      <c r="AN4512">
        <v>0</v>
      </c>
      <c r="AO4512">
        <v>0</v>
      </c>
      <c r="AP4512">
        <v>0</v>
      </c>
      <c r="AQ4512">
        <v>0</v>
      </c>
      <c r="AS4512">
        <v>0</v>
      </c>
      <c r="AT4512">
        <v>0</v>
      </c>
      <c r="AV4512">
        <v>0</v>
      </c>
      <c r="AW4512">
        <v>0</v>
      </c>
      <c r="AY4512">
        <v>0</v>
      </c>
      <c r="AZ4512">
        <v>0</v>
      </c>
      <c r="BA4512">
        <v>120</v>
      </c>
      <c r="BE4512" t="str">
        <f>T("9791172822040")</f>
        <v>9791172822040</v>
      </c>
      <c r="BF4512" t="str">
        <f>T("D158644")</f>
        <v>D158644</v>
      </c>
      <c r="BG4512" t="str">
        <f>T("로판 웹소설 &gt; 서양풍 로판")</f>
        <v>로판 웹소설 &gt; 서양풍 로판</v>
      </c>
    </row>
    <row r="4513" spans="1:59">
      <c r="A4513" t="s">
        <v>60</v>
      </c>
      <c r="B4513" s="1">
        <v>46130</v>
      </c>
      <c r="C4513">
        <v>2378078499</v>
      </c>
      <c r="D4513">
        <v>2378078519</v>
      </c>
      <c r="E4513" t="str">
        <f>T("용사들은 성녀의 축복을 받아야 한다 21화")</f>
        <v>용사들은 성녀의 축복을 받아야 한다 21화</v>
      </c>
      <c r="F4513">
        <v>21</v>
      </c>
      <c r="G4513" t="str">
        <f>T("필밤")</f>
        <v>필밤</v>
      </c>
      <c r="J4513" t="str">
        <f>T("시계토끼")</f>
        <v>시계토끼</v>
      </c>
      <c r="K4513" t="str">
        <f>T("용사들은 성녀의 축복을 받아야 한다")</f>
        <v>용사들은 성녀의 축복을 받아야 한다</v>
      </c>
      <c r="L4513">
        <v>100</v>
      </c>
      <c r="M4513">
        <v>200</v>
      </c>
      <c r="N4513">
        <v>2</v>
      </c>
      <c r="O4513">
        <v>0</v>
      </c>
      <c r="P4513">
        <v>0</v>
      </c>
      <c r="Q4513">
        <v>0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0</v>
      </c>
      <c r="AC4513">
        <v>0</v>
      </c>
      <c r="AD4513">
        <v>0</v>
      </c>
      <c r="AE4513">
        <v>0</v>
      </c>
      <c r="AF4513">
        <v>0</v>
      </c>
      <c r="AG4513">
        <v>0</v>
      </c>
      <c r="AH4513">
        <v>0</v>
      </c>
      <c r="AI4513">
        <v>200</v>
      </c>
      <c r="AJ4513">
        <v>2</v>
      </c>
      <c r="AK4513">
        <v>0</v>
      </c>
      <c r="AL4513">
        <v>0</v>
      </c>
      <c r="AM4513">
        <v>200</v>
      </c>
      <c r="AN4513">
        <v>0</v>
      </c>
      <c r="AO4513">
        <v>0</v>
      </c>
      <c r="AP4513">
        <v>0</v>
      </c>
      <c r="AQ4513">
        <v>0</v>
      </c>
      <c r="AS4513">
        <v>0</v>
      </c>
      <c r="AT4513">
        <v>0</v>
      </c>
      <c r="AV4513">
        <v>0</v>
      </c>
      <c r="AW4513">
        <v>0</v>
      </c>
      <c r="AY4513">
        <v>0</v>
      </c>
      <c r="AZ4513">
        <v>0</v>
      </c>
      <c r="BA4513">
        <v>120</v>
      </c>
      <c r="BE4513" t="str">
        <f>T("9791172822040")</f>
        <v>9791172822040</v>
      </c>
      <c r="BF4513" t="str">
        <f>T("D158645")</f>
        <v>D158645</v>
      </c>
      <c r="BG4513" t="str">
        <f>T("로판 웹소설 &gt; 서양풍 로판")</f>
        <v>로판 웹소설 &gt; 서양풍 로판</v>
      </c>
    </row>
    <row r="4514" spans="1:59">
      <c r="A4514" t="s">
        <v>60</v>
      </c>
      <c r="B4514" s="1">
        <v>46130</v>
      </c>
      <c r="C4514">
        <v>2378078499</v>
      </c>
      <c r="D4514">
        <v>2378078520</v>
      </c>
      <c r="E4514" t="str">
        <f>T("용사들은 성녀의 축복을 받아야 한다 22화")</f>
        <v>용사들은 성녀의 축복을 받아야 한다 22화</v>
      </c>
      <c r="F4514">
        <v>22</v>
      </c>
      <c r="G4514" t="str">
        <f>T("필밤")</f>
        <v>필밤</v>
      </c>
      <c r="J4514" t="str">
        <f>T("시계토끼")</f>
        <v>시계토끼</v>
      </c>
      <c r="K4514" t="str">
        <f>T("용사들은 성녀의 축복을 받아야 한다")</f>
        <v>용사들은 성녀의 축복을 받아야 한다</v>
      </c>
      <c r="L4514">
        <v>100</v>
      </c>
      <c r="M4514">
        <v>200</v>
      </c>
      <c r="N4514">
        <v>2</v>
      </c>
      <c r="O4514">
        <v>0</v>
      </c>
      <c r="P4514">
        <v>0</v>
      </c>
      <c r="Q4514">
        <v>0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0</v>
      </c>
      <c r="AC4514">
        <v>0</v>
      </c>
      <c r="AD4514">
        <v>0</v>
      </c>
      <c r="AE4514">
        <v>0</v>
      </c>
      <c r="AF4514">
        <v>0</v>
      </c>
      <c r="AG4514">
        <v>0</v>
      </c>
      <c r="AH4514">
        <v>0</v>
      </c>
      <c r="AI4514">
        <v>200</v>
      </c>
      <c r="AJ4514">
        <v>2</v>
      </c>
      <c r="AK4514">
        <v>0</v>
      </c>
      <c r="AL4514">
        <v>0</v>
      </c>
      <c r="AM4514">
        <v>200</v>
      </c>
      <c r="AN4514">
        <v>0</v>
      </c>
      <c r="AO4514">
        <v>0</v>
      </c>
      <c r="AP4514">
        <v>0</v>
      </c>
      <c r="AQ4514">
        <v>0</v>
      </c>
      <c r="AS4514">
        <v>0</v>
      </c>
      <c r="AT4514">
        <v>0</v>
      </c>
      <c r="AV4514">
        <v>0</v>
      </c>
      <c r="AW4514">
        <v>0</v>
      </c>
      <c r="AY4514">
        <v>0</v>
      </c>
      <c r="AZ4514">
        <v>0</v>
      </c>
      <c r="BA4514">
        <v>120</v>
      </c>
      <c r="BE4514" t="str">
        <f>T("9791172822040")</f>
        <v>9791172822040</v>
      </c>
      <c r="BF4514" t="str">
        <f>T("D158646")</f>
        <v>D158646</v>
      </c>
      <c r="BG4514" t="str">
        <f>T("로판 웹소설 &gt; 서양풍 로판")</f>
        <v>로판 웹소설 &gt; 서양풍 로판</v>
      </c>
    </row>
    <row r="4515" spans="1:59">
      <c r="A4515" t="s">
        <v>60</v>
      </c>
      <c r="B4515" s="1">
        <v>46130</v>
      </c>
      <c r="C4515">
        <v>2378078499</v>
      </c>
      <c r="D4515">
        <v>2378078521</v>
      </c>
      <c r="E4515" t="str">
        <f>T("용사들은 성녀의 축복을 받아야 한다 23화")</f>
        <v>용사들은 성녀의 축복을 받아야 한다 23화</v>
      </c>
      <c r="F4515">
        <v>23</v>
      </c>
      <c r="G4515" t="str">
        <f>T("필밤")</f>
        <v>필밤</v>
      </c>
      <c r="J4515" t="str">
        <f>T("시계토끼")</f>
        <v>시계토끼</v>
      </c>
      <c r="K4515" t="str">
        <f>T("용사들은 성녀의 축복을 받아야 한다")</f>
        <v>용사들은 성녀의 축복을 받아야 한다</v>
      </c>
      <c r="L4515">
        <v>100</v>
      </c>
      <c r="M4515">
        <v>200</v>
      </c>
      <c r="N4515">
        <v>2</v>
      </c>
      <c r="O4515">
        <v>0</v>
      </c>
      <c r="P4515">
        <v>0</v>
      </c>
      <c r="Q4515">
        <v>0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0</v>
      </c>
      <c r="AC4515">
        <v>0</v>
      </c>
      <c r="AD4515">
        <v>0</v>
      </c>
      <c r="AE4515">
        <v>0</v>
      </c>
      <c r="AF4515">
        <v>0</v>
      </c>
      <c r="AG4515">
        <v>0</v>
      </c>
      <c r="AH4515">
        <v>0</v>
      </c>
      <c r="AI4515">
        <v>200</v>
      </c>
      <c r="AJ4515">
        <v>2</v>
      </c>
      <c r="AK4515">
        <v>0</v>
      </c>
      <c r="AL4515">
        <v>0</v>
      </c>
      <c r="AM4515">
        <v>200</v>
      </c>
      <c r="AN4515">
        <v>0</v>
      </c>
      <c r="AO4515">
        <v>0</v>
      </c>
      <c r="AP4515">
        <v>0</v>
      </c>
      <c r="AQ4515">
        <v>0</v>
      </c>
      <c r="AS4515">
        <v>0</v>
      </c>
      <c r="AT4515">
        <v>0</v>
      </c>
      <c r="AV4515">
        <v>0</v>
      </c>
      <c r="AW4515">
        <v>0</v>
      </c>
      <c r="AY4515">
        <v>0</v>
      </c>
      <c r="AZ4515">
        <v>0</v>
      </c>
      <c r="BA4515">
        <v>120</v>
      </c>
      <c r="BE4515" t="str">
        <f>T("9791172822040")</f>
        <v>9791172822040</v>
      </c>
      <c r="BF4515" t="str">
        <f>T("D158647")</f>
        <v>D158647</v>
      </c>
      <c r="BG4515" t="str">
        <f>T("로판 웹소설 &gt; 서양풍 로판")</f>
        <v>로판 웹소설 &gt; 서양풍 로판</v>
      </c>
    </row>
    <row r="4516" spans="1:59">
      <c r="A4516" t="s">
        <v>60</v>
      </c>
      <c r="B4516" s="1">
        <v>46130</v>
      </c>
      <c r="C4516">
        <v>2378078499</v>
      </c>
      <c r="D4516">
        <v>2378078522</v>
      </c>
      <c r="E4516" t="str">
        <f>T("용사들은 성녀의 축복을 받아야 한다 24화")</f>
        <v>용사들은 성녀의 축복을 받아야 한다 24화</v>
      </c>
      <c r="F4516">
        <v>24</v>
      </c>
      <c r="G4516" t="str">
        <f>T("필밤")</f>
        <v>필밤</v>
      </c>
      <c r="J4516" t="str">
        <f>T("시계토끼")</f>
        <v>시계토끼</v>
      </c>
      <c r="K4516" t="str">
        <f>T("용사들은 성녀의 축복을 받아야 한다")</f>
        <v>용사들은 성녀의 축복을 받아야 한다</v>
      </c>
      <c r="L4516">
        <v>100</v>
      </c>
      <c r="M4516">
        <v>200</v>
      </c>
      <c r="N4516">
        <v>2</v>
      </c>
      <c r="O4516">
        <v>0</v>
      </c>
      <c r="P4516">
        <v>0</v>
      </c>
      <c r="Q4516">
        <v>0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0</v>
      </c>
      <c r="AC4516">
        <v>0</v>
      </c>
      <c r="AD4516">
        <v>0</v>
      </c>
      <c r="AE4516">
        <v>0</v>
      </c>
      <c r="AF4516">
        <v>0</v>
      </c>
      <c r="AG4516">
        <v>0</v>
      </c>
      <c r="AH4516">
        <v>0</v>
      </c>
      <c r="AI4516">
        <v>200</v>
      </c>
      <c r="AJ4516">
        <v>2</v>
      </c>
      <c r="AK4516">
        <v>0</v>
      </c>
      <c r="AL4516">
        <v>0</v>
      </c>
      <c r="AM4516">
        <v>200</v>
      </c>
      <c r="AN4516">
        <v>0</v>
      </c>
      <c r="AO4516">
        <v>0</v>
      </c>
      <c r="AP4516">
        <v>0</v>
      </c>
      <c r="AQ4516">
        <v>0</v>
      </c>
      <c r="AS4516">
        <v>0</v>
      </c>
      <c r="AT4516">
        <v>0</v>
      </c>
      <c r="AV4516">
        <v>0</v>
      </c>
      <c r="AW4516">
        <v>0</v>
      </c>
      <c r="AY4516">
        <v>0</v>
      </c>
      <c r="AZ4516">
        <v>0</v>
      </c>
      <c r="BA4516">
        <v>120</v>
      </c>
      <c r="BE4516" t="str">
        <f>T("9791172822040")</f>
        <v>9791172822040</v>
      </c>
      <c r="BF4516" t="str">
        <f>T("D158648")</f>
        <v>D158648</v>
      </c>
      <c r="BG4516" t="str">
        <f>T("로판 웹소설 &gt; 서양풍 로판")</f>
        <v>로판 웹소설 &gt; 서양풍 로판</v>
      </c>
    </row>
    <row r="4517" spans="1:59">
      <c r="A4517" t="s">
        <v>60</v>
      </c>
      <c r="B4517" s="1">
        <v>46130</v>
      </c>
      <c r="C4517">
        <v>2378078499</v>
      </c>
      <c r="D4517">
        <v>2378078550</v>
      </c>
      <c r="E4517" t="str">
        <f>T("용사들은 성녀의 축복을 받아야 한다 52화")</f>
        <v>용사들은 성녀의 축복을 받아야 한다 52화</v>
      </c>
      <c r="F4517">
        <v>52</v>
      </c>
      <c r="G4517" t="str">
        <f>T("필밤")</f>
        <v>필밤</v>
      </c>
      <c r="J4517" t="str">
        <f>T("시계토끼")</f>
        <v>시계토끼</v>
      </c>
      <c r="K4517" t="str">
        <f>T("용사들은 성녀의 축복을 받아야 한다")</f>
        <v>용사들은 성녀의 축복을 받아야 한다</v>
      </c>
      <c r="L4517">
        <v>100</v>
      </c>
      <c r="M4517">
        <v>300</v>
      </c>
      <c r="N4517">
        <v>3</v>
      </c>
      <c r="O4517">
        <v>0</v>
      </c>
      <c r="P4517">
        <v>0</v>
      </c>
      <c r="Q4517">
        <v>0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0</v>
      </c>
      <c r="AC4517">
        <v>0</v>
      </c>
      <c r="AD4517">
        <v>0</v>
      </c>
      <c r="AE4517">
        <v>0</v>
      </c>
      <c r="AF4517">
        <v>0</v>
      </c>
      <c r="AG4517">
        <v>0</v>
      </c>
      <c r="AH4517">
        <v>0</v>
      </c>
      <c r="AI4517">
        <v>300</v>
      </c>
      <c r="AJ4517">
        <v>3</v>
      </c>
      <c r="AK4517">
        <v>0</v>
      </c>
      <c r="AL4517">
        <v>0</v>
      </c>
      <c r="AM4517">
        <v>100</v>
      </c>
      <c r="AN4517">
        <v>0</v>
      </c>
      <c r="AO4517">
        <v>240</v>
      </c>
      <c r="AP4517">
        <v>-72</v>
      </c>
      <c r="AQ4517">
        <v>0</v>
      </c>
      <c r="AR4517">
        <v>240</v>
      </c>
      <c r="AS4517">
        <v>-72</v>
      </c>
      <c r="AT4517">
        <v>0</v>
      </c>
      <c r="AV4517">
        <v>0</v>
      </c>
      <c r="AW4517">
        <v>0</v>
      </c>
      <c r="AY4517">
        <v>0</v>
      </c>
      <c r="AZ4517">
        <v>0</v>
      </c>
      <c r="BA4517">
        <v>160.80000000000001</v>
      </c>
      <c r="BE4517" t="str">
        <f>T("9791172822040")</f>
        <v>9791172822040</v>
      </c>
      <c r="BF4517" t="str">
        <f>T("D158676")</f>
        <v>D158676</v>
      </c>
      <c r="BG4517" t="str">
        <f>T("로판 웹소설 &gt; 서양풍 로판")</f>
        <v>로판 웹소설 &gt; 서양풍 로판</v>
      </c>
    </row>
    <row r="4518" spans="1:59">
      <c r="A4518" t="s">
        <v>60</v>
      </c>
      <c r="B4518" s="1">
        <v>46130</v>
      </c>
      <c r="C4518">
        <v>2378078499</v>
      </c>
      <c r="D4518">
        <v>2378078523</v>
      </c>
      <c r="E4518" t="str">
        <f>T("용사들은 성녀의 축복을 받아야 한다 25화")</f>
        <v>용사들은 성녀의 축복을 받아야 한다 25화</v>
      </c>
      <c r="F4518">
        <v>25</v>
      </c>
      <c r="G4518" t="str">
        <f>T("필밤")</f>
        <v>필밤</v>
      </c>
      <c r="J4518" t="str">
        <f>T("시계토끼")</f>
        <v>시계토끼</v>
      </c>
      <c r="K4518" t="str">
        <f>T("용사들은 성녀의 축복을 받아야 한다")</f>
        <v>용사들은 성녀의 축복을 받아야 한다</v>
      </c>
      <c r="L4518">
        <v>100</v>
      </c>
      <c r="M4518">
        <v>200</v>
      </c>
      <c r="N4518">
        <v>2</v>
      </c>
      <c r="O4518">
        <v>0</v>
      </c>
      <c r="P4518">
        <v>0</v>
      </c>
      <c r="Q4518">
        <v>0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0</v>
      </c>
      <c r="AC4518">
        <v>0</v>
      </c>
      <c r="AD4518">
        <v>0</v>
      </c>
      <c r="AE4518">
        <v>0</v>
      </c>
      <c r="AF4518">
        <v>0</v>
      </c>
      <c r="AG4518">
        <v>0</v>
      </c>
      <c r="AH4518">
        <v>0</v>
      </c>
      <c r="AI4518">
        <v>200</v>
      </c>
      <c r="AJ4518">
        <v>2</v>
      </c>
      <c r="AK4518">
        <v>0</v>
      </c>
      <c r="AL4518">
        <v>0</v>
      </c>
      <c r="AM4518">
        <v>200</v>
      </c>
      <c r="AN4518">
        <v>0</v>
      </c>
      <c r="AO4518">
        <v>0</v>
      </c>
      <c r="AP4518">
        <v>0</v>
      </c>
      <c r="AQ4518">
        <v>0</v>
      </c>
      <c r="AS4518">
        <v>0</v>
      </c>
      <c r="AT4518">
        <v>0</v>
      </c>
      <c r="AV4518">
        <v>0</v>
      </c>
      <c r="AW4518">
        <v>0</v>
      </c>
      <c r="AY4518">
        <v>0</v>
      </c>
      <c r="AZ4518">
        <v>0</v>
      </c>
      <c r="BA4518">
        <v>120</v>
      </c>
      <c r="BE4518" t="str">
        <f>T("9791172822040")</f>
        <v>9791172822040</v>
      </c>
      <c r="BF4518" t="str">
        <f>T("D158649")</f>
        <v>D158649</v>
      </c>
      <c r="BG4518" t="str">
        <f>T("로판 웹소설 &gt; 서양풍 로판")</f>
        <v>로판 웹소설 &gt; 서양풍 로판</v>
      </c>
    </row>
    <row r="4519" spans="1:59">
      <c r="A4519" t="s">
        <v>60</v>
      </c>
      <c r="B4519" s="1">
        <v>46130</v>
      </c>
      <c r="C4519">
        <v>2378078499</v>
      </c>
      <c r="D4519">
        <v>2378078524</v>
      </c>
      <c r="E4519" t="str">
        <f>T("용사들은 성녀의 축복을 받아야 한다 26화")</f>
        <v>용사들은 성녀의 축복을 받아야 한다 26화</v>
      </c>
      <c r="F4519">
        <v>26</v>
      </c>
      <c r="G4519" t="str">
        <f>T("필밤")</f>
        <v>필밤</v>
      </c>
      <c r="J4519" t="str">
        <f>T("시계토끼")</f>
        <v>시계토끼</v>
      </c>
      <c r="K4519" t="str">
        <f>T("용사들은 성녀의 축복을 받아야 한다")</f>
        <v>용사들은 성녀의 축복을 받아야 한다</v>
      </c>
      <c r="L4519">
        <v>100</v>
      </c>
      <c r="M4519">
        <v>200</v>
      </c>
      <c r="N4519">
        <v>2</v>
      </c>
      <c r="O4519">
        <v>0</v>
      </c>
      <c r="P4519">
        <v>0</v>
      </c>
      <c r="Q4519">
        <v>0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0</v>
      </c>
      <c r="AC4519">
        <v>0</v>
      </c>
      <c r="AD4519">
        <v>0</v>
      </c>
      <c r="AE4519">
        <v>0</v>
      </c>
      <c r="AF4519">
        <v>0</v>
      </c>
      <c r="AG4519">
        <v>0</v>
      </c>
      <c r="AH4519">
        <v>0</v>
      </c>
      <c r="AI4519">
        <v>200</v>
      </c>
      <c r="AJ4519">
        <v>2</v>
      </c>
      <c r="AK4519">
        <v>0</v>
      </c>
      <c r="AL4519">
        <v>0</v>
      </c>
      <c r="AM4519">
        <v>200</v>
      </c>
      <c r="AN4519">
        <v>0</v>
      </c>
      <c r="AO4519">
        <v>0</v>
      </c>
      <c r="AP4519">
        <v>0</v>
      </c>
      <c r="AQ4519">
        <v>0</v>
      </c>
      <c r="AS4519">
        <v>0</v>
      </c>
      <c r="AT4519">
        <v>0</v>
      </c>
      <c r="AV4519">
        <v>0</v>
      </c>
      <c r="AW4519">
        <v>0</v>
      </c>
      <c r="AY4519">
        <v>0</v>
      </c>
      <c r="AZ4519">
        <v>0</v>
      </c>
      <c r="BA4519">
        <v>120</v>
      </c>
      <c r="BE4519" t="str">
        <f>T("9791172822040")</f>
        <v>9791172822040</v>
      </c>
      <c r="BF4519" t="str">
        <f>T("D158650")</f>
        <v>D158650</v>
      </c>
      <c r="BG4519" t="str">
        <f>T("로판 웹소설 &gt; 서양풍 로판")</f>
        <v>로판 웹소설 &gt; 서양풍 로판</v>
      </c>
    </row>
    <row r="4520" spans="1:59">
      <c r="A4520" t="s">
        <v>60</v>
      </c>
      <c r="B4520" s="1">
        <v>46130</v>
      </c>
      <c r="C4520">
        <v>2378078499</v>
      </c>
      <c r="D4520">
        <v>2378078525</v>
      </c>
      <c r="E4520" t="str">
        <f>T("용사들은 성녀의 축복을 받아야 한다 27화")</f>
        <v>용사들은 성녀의 축복을 받아야 한다 27화</v>
      </c>
      <c r="F4520">
        <v>27</v>
      </c>
      <c r="G4520" t="str">
        <f>T("필밤")</f>
        <v>필밤</v>
      </c>
      <c r="J4520" t="str">
        <f>T("시계토끼")</f>
        <v>시계토끼</v>
      </c>
      <c r="K4520" t="str">
        <f>T("용사들은 성녀의 축복을 받아야 한다")</f>
        <v>용사들은 성녀의 축복을 받아야 한다</v>
      </c>
      <c r="L4520">
        <v>100</v>
      </c>
      <c r="M4520">
        <v>200</v>
      </c>
      <c r="N4520">
        <v>2</v>
      </c>
      <c r="O4520">
        <v>0</v>
      </c>
      <c r="P4520">
        <v>0</v>
      </c>
      <c r="Q4520">
        <v>0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0</v>
      </c>
      <c r="AC4520">
        <v>0</v>
      </c>
      <c r="AD4520">
        <v>0</v>
      </c>
      <c r="AE4520">
        <v>0</v>
      </c>
      <c r="AF4520">
        <v>0</v>
      </c>
      <c r="AG4520">
        <v>0</v>
      </c>
      <c r="AH4520">
        <v>0</v>
      </c>
      <c r="AI4520">
        <v>200</v>
      </c>
      <c r="AJ4520">
        <v>2</v>
      </c>
      <c r="AK4520">
        <v>0</v>
      </c>
      <c r="AL4520">
        <v>0</v>
      </c>
      <c r="AM4520">
        <v>200</v>
      </c>
      <c r="AN4520">
        <v>0</v>
      </c>
      <c r="AO4520">
        <v>0</v>
      </c>
      <c r="AP4520">
        <v>0</v>
      </c>
      <c r="AQ4520">
        <v>0</v>
      </c>
      <c r="AS4520">
        <v>0</v>
      </c>
      <c r="AT4520">
        <v>0</v>
      </c>
      <c r="AV4520">
        <v>0</v>
      </c>
      <c r="AW4520">
        <v>0</v>
      </c>
      <c r="AY4520">
        <v>0</v>
      </c>
      <c r="AZ4520">
        <v>0</v>
      </c>
      <c r="BA4520">
        <v>120</v>
      </c>
      <c r="BE4520" t="str">
        <f>T("9791172822040")</f>
        <v>9791172822040</v>
      </c>
      <c r="BF4520" t="str">
        <f>T("D158651")</f>
        <v>D158651</v>
      </c>
      <c r="BG4520" t="str">
        <f>T("로판 웹소설 &gt; 서양풍 로판")</f>
        <v>로판 웹소설 &gt; 서양풍 로판</v>
      </c>
    </row>
    <row r="4521" spans="1:59">
      <c r="A4521" t="s">
        <v>60</v>
      </c>
      <c r="B4521" s="1">
        <v>46130</v>
      </c>
      <c r="C4521">
        <v>2378078499</v>
      </c>
      <c r="D4521">
        <v>2378078526</v>
      </c>
      <c r="E4521" t="str">
        <f>T("용사들은 성녀의 축복을 받아야 한다 28화")</f>
        <v>용사들은 성녀의 축복을 받아야 한다 28화</v>
      </c>
      <c r="F4521">
        <v>28</v>
      </c>
      <c r="G4521" t="str">
        <f>T("필밤")</f>
        <v>필밤</v>
      </c>
      <c r="J4521" t="str">
        <f>T("시계토끼")</f>
        <v>시계토끼</v>
      </c>
      <c r="K4521" t="str">
        <f>T("용사들은 성녀의 축복을 받아야 한다")</f>
        <v>용사들은 성녀의 축복을 받아야 한다</v>
      </c>
      <c r="L4521">
        <v>100</v>
      </c>
      <c r="M4521">
        <v>200</v>
      </c>
      <c r="N4521">
        <v>2</v>
      </c>
      <c r="O4521">
        <v>0</v>
      </c>
      <c r="P4521">
        <v>0</v>
      </c>
      <c r="Q4521">
        <v>0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0</v>
      </c>
      <c r="AC4521">
        <v>0</v>
      </c>
      <c r="AD4521">
        <v>0</v>
      </c>
      <c r="AE4521">
        <v>0</v>
      </c>
      <c r="AF4521">
        <v>0</v>
      </c>
      <c r="AG4521">
        <v>0</v>
      </c>
      <c r="AH4521">
        <v>0</v>
      </c>
      <c r="AI4521">
        <v>200</v>
      </c>
      <c r="AJ4521">
        <v>2</v>
      </c>
      <c r="AK4521">
        <v>0</v>
      </c>
      <c r="AL4521">
        <v>0</v>
      </c>
      <c r="AM4521">
        <v>200</v>
      </c>
      <c r="AN4521">
        <v>0</v>
      </c>
      <c r="AO4521">
        <v>0</v>
      </c>
      <c r="AP4521">
        <v>0</v>
      </c>
      <c r="AQ4521">
        <v>0</v>
      </c>
      <c r="AS4521">
        <v>0</v>
      </c>
      <c r="AT4521">
        <v>0</v>
      </c>
      <c r="AV4521">
        <v>0</v>
      </c>
      <c r="AW4521">
        <v>0</v>
      </c>
      <c r="AY4521">
        <v>0</v>
      </c>
      <c r="AZ4521">
        <v>0</v>
      </c>
      <c r="BA4521">
        <v>120</v>
      </c>
      <c r="BE4521" t="str">
        <f>T("9791172822040")</f>
        <v>9791172822040</v>
      </c>
      <c r="BF4521" t="str">
        <f>T("D158652")</f>
        <v>D158652</v>
      </c>
      <c r="BG4521" t="str">
        <f>T("로판 웹소설 &gt; 서양풍 로판")</f>
        <v>로판 웹소설 &gt; 서양풍 로판</v>
      </c>
    </row>
    <row r="4522" spans="1:59">
      <c r="A4522" t="s">
        <v>60</v>
      </c>
      <c r="B4522" s="1">
        <v>46130</v>
      </c>
      <c r="C4522">
        <v>2378078499</v>
      </c>
      <c r="D4522">
        <v>2378078527</v>
      </c>
      <c r="E4522" t="str">
        <f>T("용사들은 성녀의 축복을 받아야 한다 29화")</f>
        <v>용사들은 성녀의 축복을 받아야 한다 29화</v>
      </c>
      <c r="F4522">
        <v>29</v>
      </c>
      <c r="G4522" t="str">
        <f>T("필밤")</f>
        <v>필밤</v>
      </c>
      <c r="J4522" t="str">
        <f>T("시계토끼")</f>
        <v>시계토끼</v>
      </c>
      <c r="K4522" t="str">
        <f>T("용사들은 성녀의 축복을 받아야 한다")</f>
        <v>용사들은 성녀의 축복을 받아야 한다</v>
      </c>
      <c r="L4522">
        <v>100</v>
      </c>
      <c r="M4522">
        <v>200</v>
      </c>
      <c r="N4522">
        <v>2</v>
      </c>
      <c r="O4522">
        <v>0</v>
      </c>
      <c r="P4522">
        <v>0</v>
      </c>
      <c r="Q4522">
        <v>0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0</v>
      </c>
      <c r="AC4522">
        <v>0</v>
      </c>
      <c r="AD4522">
        <v>0</v>
      </c>
      <c r="AE4522">
        <v>0</v>
      </c>
      <c r="AF4522">
        <v>0</v>
      </c>
      <c r="AG4522">
        <v>0</v>
      </c>
      <c r="AH4522">
        <v>0</v>
      </c>
      <c r="AI4522">
        <v>200</v>
      </c>
      <c r="AJ4522">
        <v>2</v>
      </c>
      <c r="AK4522">
        <v>0</v>
      </c>
      <c r="AL4522">
        <v>0</v>
      </c>
      <c r="AM4522">
        <v>200</v>
      </c>
      <c r="AN4522">
        <v>0</v>
      </c>
      <c r="AO4522">
        <v>0</v>
      </c>
      <c r="AP4522">
        <v>0</v>
      </c>
      <c r="AQ4522">
        <v>0</v>
      </c>
      <c r="AS4522">
        <v>0</v>
      </c>
      <c r="AT4522">
        <v>0</v>
      </c>
      <c r="AV4522">
        <v>0</v>
      </c>
      <c r="AW4522">
        <v>0</v>
      </c>
      <c r="AY4522">
        <v>0</v>
      </c>
      <c r="AZ4522">
        <v>0</v>
      </c>
      <c r="BA4522">
        <v>120</v>
      </c>
      <c r="BE4522" t="str">
        <f>T("9791172822040")</f>
        <v>9791172822040</v>
      </c>
      <c r="BF4522" t="str">
        <f>T("D158653")</f>
        <v>D158653</v>
      </c>
      <c r="BG4522" t="str">
        <f>T("로판 웹소설 &gt; 서양풍 로판")</f>
        <v>로판 웹소설 &gt; 서양풍 로판</v>
      </c>
    </row>
    <row r="4523" spans="1:59">
      <c r="A4523" t="s">
        <v>60</v>
      </c>
      <c r="B4523" s="1">
        <v>46130</v>
      </c>
      <c r="C4523">
        <v>2378078499</v>
      </c>
      <c r="D4523">
        <v>2378078528</v>
      </c>
      <c r="E4523" t="str">
        <f>T("용사들은 성녀의 축복을 받아야 한다 30화")</f>
        <v>용사들은 성녀의 축복을 받아야 한다 30화</v>
      </c>
      <c r="F4523">
        <v>30</v>
      </c>
      <c r="G4523" t="str">
        <f>T("필밤")</f>
        <v>필밤</v>
      </c>
      <c r="J4523" t="str">
        <f>T("시계토끼")</f>
        <v>시계토끼</v>
      </c>
      <c r="K4523" t="str">
        <f>T("용사들은 성녀의 축복을 받아야 한다")</f>
        <v>용사들은 성녀의 축복을 받아야 한다</v>
      </c>
      <c r="L4523">
        <v>100</v>
      </c>
      <c r="M4523">
        <v>200</v>
      </c>
      <c r="N4523">
        <v>2</v>
      </c>
      <c r="O4523">
        <v>0</v>
      </c>
      <c r="P4523">
        <v>0</v>
      </c>
      <c r="Q4523">
        <v>0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0</v>
      </c>
      <c r="AC4523">
        <v>0</v>
      </c>
      <c r="AD4523">
        <v>0</v>
      </c>
      <c r="AE4523">
        <v>0</v>
      </c>
      <c r="AF4523">
        <v>0</v>
      </c>
      <c r="AG4523">
        <v>0</v>
      </c>
      <c r="AH4523">
        <v>0</v>
      </c>
      <c r="AI4523">
        <v>200</v>
      </c>
      <c r="AJ4523">
        <v>2</v>
      </c>
      <c r="AK4523">
        <v>0</v>
      </c>
      <c r="AL4523">
        <v>0</v>
      </c>
      <c r="AM4523">
        <v>200</v>
      </c>
      <c r="AN4523">
        <v>0</v>
      </c>
      <c r="AO4523">
        <v>0</v>
      </c>
      <c r="AP4523">
        <v>0</v>
      </c>
      <c r="AQ4523">
        <v>0</v>
      </c>
      <c r="AS4523">
        <v>0</v>
      </c>
      <c r="AT4523">
        <v>0</v>
      </c>
      <c r="AV4523">
        <v>0</v>
      </c>
      <c r="AW4523">
        <v>0</v>
      </c>
      <c r="AY4523">
        <v>0</v>
      </c>
      <c r="AZ4523">
        <v>0</v>
      </c>
      <c r="BA4523">
        <v>120</v>
      </c>
      <c r="BE4523" t="str">
        <f>T("9791172822040")</f>
        <v>9791172822040</v>
      </c>
      <c r="BF4523" t="str">
        <f>T("D158654")</f>
        <v>D158654</v>
      </c>
      <c r="BG4523" t="str">
        <f>T("로판 웹소설 &gt; 서양풍 로판")</f>
        <v>로판 웹소설 &gt; 서양풍 로판</v>
      </c>
    </row>
    <row r="4524" spans="1:59">
      <c r="A4524" t="s">
        <v>60</v>
      </c>
      <c r="B4524" s="1">
        <v>46130</v>
      </c>
      <c r="C4524">
        <v>2378078499</v>
      </c>
      <c r="D4524">
        <v>2378078529</v>
      </c>
      <c r="E4524" t="str">
        <f>T("용사들은 성녀의 축복을 받아야 한다 31화")</f>
        <v>용사들은 성녀의 축복을 받아야 한다 31화</v>
      </c>
      <c r="F4524">
        <v>31</v>
      </c>
      <c r="G4524" t="str">
        <f>T("필밤")</f>
        <v>필밤</v>
      </c>
      <c r="J4524" t="str">
        <f>T("시계토끼")</f>
        <v>시계토끼</v>
      </c>
      <c r="K4524" t="str">
        <f>T("용사들은 성녀의 축복을 받아야 한다")</f>
        <v>용사들은 성녀의 축복을 받아야 한다</v>
      </c>
      <c r="L4524">
        <v>100</v>
      </c>
      <c r="M4524">
        <v>200</v>
      </c>
      <c r="N4524">
        <v>2</v>
      </c>
      <c r="O4524">
        <v>0</v>
      </c>
      <c r="P4524">
        <v>0</v>
      </c>
      <c r="Q4524">
        <v>0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0</v>
      </c>
      <c r="AC4524">
        <v>0</v>
      </c>
      <c r="AD4524">
        <v>0</v>
      </c>
      <c r="AE4524">
        <v>0</v>
      </c>
      <c r="AF4524">
        <v>0</v>
      </c>
      <c r="AG4524">
        <v>0</v>
      </c>
      <c r="AH4524">
        <v>0</v>
      </c>
      <c r="AI4524">
        <v>200</v>
      </c>
      <c r="AJ4524">
        <v>2</v>
      </c>
      <c r="AK4524">
        <v>0</v>
      </c>
      <c r="AL4524">
        <v>0</v>
      </c>
      <c r="AM4524">
        <v>200</v>
      </c>
      <c r="AN4524">
        <v>0</v>
      </c>
      <c r="AO4524">
        <v>0</v>
      </c>
      <c r="AP4524">
        <v>0</v>
      </c>
      <c r="AQ4524">
        <v>0</v>
      </c>
      <c r="AS4524">
        <v>0</v>
      </c>
      <c r="AT4524">
        <v>0</v>
      </c>
      <c r="AV4524">
        <v>0</v>
      </c>
      <c r="AW4524">
        <v>0</v>
      </c>
      <c r="AY4524">
        <v>0</v>
      </c>
      <c r="AZ4524">
        <v>0</v>
      </c>
      <c r="BA4524">
        <v>120</v>
      </c>
      <c r="BE4524" t="str">
        <f>T("9791172822040")</f>
        <v>9791172822040</v>
      </c>
      <c r="BF4524" t="str">
        <f>T("D158655")</f>
        <v>D158655</v>
      </c>
      <c r="BG4524" t="str">
        <f>T("로판 웹소설 &gt; 서양풍 로판")</f>
        <v>로판 웹소설 &gt; 서양풍 로판</v>
      </c>
    </row>
    <row r="4525" spans="1:59">
      <c r="A4525" t="s">
        <v>60</v>
      </c>
      <c r="B4525" s="1">
        <v>46130</v>
      </c>
      <c r="C4525">
        <v>2378078499</v>
      </c>
      <c r="D4525">
        <v>2378078551</v>
      </c>
      <c r="E4525" t="str">
        <f>T("용사들은 성녀의 축복을 받아야 한다 53화")</f>
        <v>용사들은 성녀의 축복을 받아야 한다 53화</v>
      </c>
      <c r="F4525">
        <v>53</v>
      </c>
      <c r="G4525" t="str">
        <f>T("필밤")</f>
        <v>필밤</v>
      </c>
      <c r="J4525" t="str">
        <f>T("시계토끼")</f>
        <v>시계토끼</v>
      </c>
      <c r="K4525" t="str">
        <f>T("용사들은 성녀의 축복을 받아야 한다")</f>
        <v>용사들은 성녀의 축복을 받아야 한다</v>
      </c>
      <c r="L4525">
        <v>100</v>
      </c>
      <c r="M4525">
        <v>300</v>
      </c>
      <c r="N4525">
        <v>3</v>
      </c>
      <c r="O4525">
        <v>0</v>
      </c>
      <c r="P4525">
        <v>0</v>
      </c>
      <c r="Q4525">
        <v>0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0</v>
      </c>
      <c r="AC4525">
        <v>0</v>
      </c>
      <c r="AD4525">
        <v>0</v>
      </c>
      <c r="AE4525">
        <v>0</v>
      </c>
      <c r="AF4525">
        <v>0</v>
      </c>
      <c r="AG4525">
        <v>0</v>
      </c>
      <c r="AH4525">
        <v>0</v>
      </c>
      <c r="AI4525">
        <v>300</v>
      </c>
      <c r="AJ4525">
        <v>3</v>
      </c>
      <c r="AK4525">
        <v>0</v>
      </c>
      <c r="AL4525">
        <v>0</v>
      </c>
      <c r="AM4525">
        <v>100</v>
      </c>
      <c r="AN4525">
        <v>0</v>
      </c>
      <c r="AO4525">
        <v>240</v>
      </c>
      <c r="AP4525">
        <v>-72</v>
      </c>
      <c r="AQ4525">
        <v>0</v>
      </c>
      <c r="AR4525">
        <v>240</v>
      </c>
      <c r="AS4525">
        <v>-72</v>
      </c>
      <c r="AT4525">
        <v>0</v>
      </c>
      <c r="AV4525">
        <v>0</v>
      </c>
      <c r="AW4525">
        <v>0</v>
      </c>
      <c r="AY4525">
        <v>0</v>
      </c>
      <c r="AZ4525">
        <v>0</v>
      </c>
      <c r="BA4525">
        <v>160.80000000000001</v>
      </c>
      <c r="BE4525" t="str">
        <f>T("9791172822040")</f>
        <v>9791172822040</v>
      </c>
      <c r="BF4525" t="str">
        <f>T("D158677")</f>
        <v>D158677</v>
      </c>
      <c r="BG4525" t="str">
        <f>T("로판 웹소설 &gt; 서양풍 로판")</f>
        <v>로판 웹소설 &gt; 서양풍 로판</v>
      </c>
    </row>
    <row r="4526" spans="1:59">
      <c r="A4526" t="s">
        <v>60</v>
      </c>
      <c r="B4526" s="1">
        <v>46130</v>
      </c>
      <c r="C4526">
        <v>2378078499</v>
      </c>
      <c r="D4526">
        <v>2378078530</v>
      </c>
      <c r="E4526" t="str">
        <f>T("용사들은 성녀의 축복을 받아야 한다 32화")</f>
        <v>용사들은 성녀의 축복을 받아야 한다 32화</v>
      </c>
      <c r="F4526">
        <v>32</v>
      </c>
      <c r="G4526" t="str">
        <f>T("필밤")</f>
        <v>필밤</v>
      </c>
      <c r="J4526" t="str">
        <f>T("시계토끼")</f>
        <v>시계토끼</v>
      </c>
      <c r="K4526" t="str">
        <f>T("용사들은 성녀의 축복을 받아야 한다")</f>
        <v>용사들은 성녀의 축복을 받아야 한다</v>
      </c>
      <c r="L4526">
        <v>100</v>
      </c>
      <c r="M4526">
        <v>200</v>
      </c>
      <c r="N4526">
        <v>2</v>
      </c>
      <c r="O4526">
        <v>0</v>
      </c>
      <c r="P4526">
        <v>0</v>
      </c>
      <c r="Q4526">
        <v>0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0</v>
      </c>
      <c r="AC4526">
        <v>0</v>
      </c>
      <c r="AD4526">
        <v>0</v>
      </c>
      <c r="AE4526">
        <v>0</v>
      </c>
      <c r="AF4526">
        <v>0</v>
      </c>
      <c r="AG4526">
        <v>0</v>
      </c>
      <c r="AH4526">
        <v>0</v>
      </c>
      <c r="AI4526">
        <v>200</v>
      </c>
      <c r="AJ4526">
        <v>2</v>
      </c>
      <c r="AK4526">
        <v>0</v>
      </c>
      <c r="AL4526">
        <v>0</v>
      </c>
      <c r="AM4526">
        <v>200</v>
      </c>
      <c r="AN4526">
        <v>0</v>
      </c>
      <c r="AO4526">
        <v>0</v>
      </c>
      <c r="AP4526">
        <v>0</v>
      </c>
      <c r="AQ4526">
        <v>0</v>
      </c>
      <c r="AS4526">
        <v>0</v>
      </c>
      <c r="AT4526">
        <v>0</v>
      </c>
      <c r="AV4526">
        <v>0</v>
      </c>
      <c r="AW4526">
        <v>0</v>
      </c>
      <c r="AY4526">
        <v>0</v>
      </c>
      <c r="AZ4526">
        <v>0</v>
      </c>
      <c r="BA4526">
        <v>120</v>
      </c>
      <c r="BE4526" t="str">
        <f>T("9791172822040")</f>
        <v>9791172822040</v>
      </c>
      <c r="BF4526" t="str">
        <f>T("D158656")</f>
        <v>D158656</v>
      </c>
      <c r="BG4526" t="str">
        <f>T("로판 웹소설 &gt; 서양풍 로판")</f>
        <v>로판 웹소설 &gt; 서양풍 로판</v>
      </c>
    </row>
    <row r="4527" spans="1:59">
      <c r="A4527" t="s">
        <v>60</v>
      </c>
      <c r="B4527" s="1">
        <v>46130</v>
      </c>
      <c r="C4527">
        <v>2378078499</v>
      </c>
      <c r="D4527">
        <v>2378078531</v>
      </c>
      <c r="E4527" t="str">
        <f>T("용사들은 성녀의 축복을 받아야 한다 33화")</f>
        <v>용사들은 성녀의 축복을 받아야 한다 33화</v>
      </c>
      <c r="F4527">
        <v>33</v>
      </c>
      <c r="G4527" t="str">
        <f>T("필밤")</f>
        <v>필밤</v>
      </c>
      <c r="J4527" t="str">
        <f>T("시계토끼")</f>
        <v>시계토끼</v>
      </c>
      <c r="K4527" t="str">
        <f>T("용사들은 성녀의 축복을 받아야 한다")</f>
        <v>용사들은 성녀의 축복을 받아야 한다</v>
      </c>
      <c r="L4527">
        <v>100</v>
      </c>
      <c r="M4527">
        <v>200</v>
      </c>
      <c r="N4527">
        <v>2</v>
      </c>
      <c r="O4527">
        <v>0</v>
      </c>
      <c r="P4527">
        <v>0</v>
      </c>
      <c r="Q4527">
        <v>0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0</v>
      </c>
      <c r="AC4527">
        <v>0</v>
      </c>
      <c r="AD4527">
        <v>0</v>
      </c>
      <c r="AE4527">
        <v>0</v>
      </c>
      <c r="AF4527">
        <v>0</v>
      </c>
      <c r="AG4527">
        <v>0</v>
      </c>
      <c r="AH4527">
        <v>0</v>
      </c>
      <c r="AI4527">
        <v>200</v>
      </c>
      <c r="AJ4527">
        <v>2</v>
      </c>
      <c r="AK4527">
        <v>0</v>
      </c>
      <c r="AL4527">
        <v>0</v>
      </c>
      <c r="AM4527">
        <v>200</v>
      </c>
      <c r="AN4527">
        <v>0</v>
      </c>
      <c r="AO4527">
        <v>0</v>
      </c>
      <c r="AP4527">
        <v>0</v>
      </c>
      <c r="AQ4527">
        <v>0</v>
      </c>
      <c r="AS4527">
        <v>0</v>
      </c>
      <c r="AT4527">
        <v>0</v>
      </c>
      <c r="AV4527">
        <v>0</v>
      </c>
      <c r="AW4527">
        <v>0</v>
      </c>
      <c r="AY4527">
        <v>0</v>
      </c>
      <c r="AZ4527">
        <v>0</v>
      </c>
      <c r="BA4527">
        <v>120</v>
      </c>
      <c r="BE4527" t="str">
        <f>T("9791172822040")</f>
        <v>9791172822040</v>
      </c>
      <c r="BF4527" t="str">
        <f>T("D158657")</f>
        <v>D158657</v>
      </c>
      <c r="BG4527" t="str">
        <f>T("로판 웹소설 &gt; 서양풍 로판")</f>
        <v>로판 웹소설 &gt; 서양풍 로판</v>
      </c>
    </row>
    <row r="4528" spans="1:59">
      <c r="A4528" t="s">
        <v>60</v>
      </c>
      <c r="B4528" s="1">
        <v>46130</v>
      </c>
      <c r="C4528">
        <v>2378078499</v>
      </c>
      <c r="D4528">
        <v>2378078532</v>
      </c>
      <c r="E4528" t="str">
        <f>T("용사들은 성녀의 축복을 받아야 한다 34화")</f>
        <v>용사들은 성녀의 축복을 받아야 한다 34화</v>
      </c>
      <c r="F4528">
        <v>34</v>
      </c>
      <c r="G4528" t="str">
        <f>T("필밤")</f>
        <v>필밤</v>
      </c>
      <c r="J4528" t="str">
        <f>T("시계토끼")</f>
        <v>시계토끼</v>
      </c>
      <c r="K4528" t="str">
        <f>T("용사들은 성녀의 축복을 받아야 한다")</f>
        <v>용사들은 성녀의 축복을 받아야 한다</v>
      </c>
      <c r="L4528">
        <v>100</v>
      </c>
      <c r="M4528">
        <v>100</v>
      </c>
      <c r="N4528">
        <v>1</v>
      </c>
      <c r="O4528">
        <v>0</v>
      </c>
      <c r="P4528">
        <v>0</v>
      </c>
      <c r="Q4528">
        <v>0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0</v>
      </c>
      <c r="AC4528">
        <v>0</v>
      </c>
      <c r="AD4528">
        <v>0</v>
      </c>
      <c r="AE4528">
        <v>0</v>
      </c>
      <c r="AF4528">
        <v>0</v>
      </c>
      <c r="AG4528">
        <v>0</v>
      </c>
      <c r="AH4528">
        <v>0</v>
      </c>
      <c r="AI4528">
        <v>100</v>
      </c>
      <c r="AJ4528">
        <v>1</v>
      </c>
      <c r="AK4528">
        <v>0</v>
      </c>
      <c r="AL4528">
        <v>0</v>
      </c>
      <c r="AM4528">
        <v>100</v>
      </c>
      <c r="AN4528">
        <v>0</v>
      </c>
      <c r="AO4528">
        <v>0</v>
      </c>
      <c r="AP4528">
        <v>0</v>
      </c>
      <c r="AQ4528">
        <v>0</v>
      </c>
      <c r="AS4528">
        <v>0</v>
      </c>
      <c r="AT4528">
        <v>0</v>
      </c>
      <c r="AV4528">
        <v>0</v>
      </c>
      <c r="AW4528">
        <v>0</v>
      </c>
      <c r="AY4528">
        <v>0</v>
      </c>
      <c r="AZ4528">
        <v>0</v>
      </c>
      <c r="BA4528">
        <v>60</v>
      </c>
      <c r="BE4528" t="str">
        <f>T("9791172822040")</f>
        <v>9791172822040</v>
      </c>
      <c r="BF4528" t="str">
        <f>T("D158658")</f>
        <v>D158658</v>
      </c>
      <c r="BG4528" t="str">
        <f>T("로판 웹소설 &gt; 서양풍 로판")</f>
        <v>로판 웹소설 &gt; 서양풍 로판</v>
      </c>
    </row>
    <row r="4529" spans="1:59">
      <c r="A4529" t="s">
        <v>60</v>
      </c>
      <c r="B4529" s="1">
        <v>46130</v>
      </c>
      <c r="C4529">
        <v>2378078499</v>
      </c>
      <c r="D4529">
        <v>2378078533</v>
      </c>
      <c r="E4529" t="str">
        <f>T("용사들은 성녀의 축복을 받아야 한다 35화")</f>
        <v>용사들은 성녀의 축복을 받아야 한다 35화</v>
      </c>
      <c r="F4529">
        <v>35</v>
      </c>
      <c r="G4529" t="str">
        <f>T("필밤")</f>
        <v>필밤</v>
      </c>
      <c r="J4529" t="str">
        <f>T("시계토끼")</f>
        <v>시계토끼</v>
      </c>
      <c r="K4529" t="str">
        <f>T("용사들은 성녀의 축복을 받아야 한다")</f>
        <v>용사들은 성녀의 축복을 받아야 한다</v>
      </c>
      <c r="L4529">
        <v>100</v>
      </c>
      <c r="M4529">
        <v>100</v>
      </c>
      <c r="N4529">
        <v>1</v>
      </c>
      <c r="O4529">
        <v>0</v>
      </c>
      <c r="P4529">
        <v>0</v>
      </c>
      <c r="Q4529">
        <v>0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0</v>
      </c>
      <c r="AC4529">
        <v>0</v>
      </c>
      <c r="AD4529">
        <v>0</v>
      </c>
      <c r="AE4529">
        <v>0</v>
      </c>
      <c r="AF4529">
        <v>0</v>
      </c>
      <c r="AG4529">
        <v>0</v>
      </c>
      <c r="AH4529">
        <v>0</v>
      </c>
      <c r="AI4529">
        <v>100</v>
      </c>
      <c r="AJ4529">
        <v>1</v>
      </c>
      <c r="AK4529">
        <v>0</v>
      </c>
      <c r="AL4529">
        <v>0</v>
      </c>
      <c r="AM4529">
        <v>100</v>
      </c>
      <c r="AN4529">
        <v>0</v>
      </c>
      <c r="AO4529">
        <v>0</v>
      </c>
      <c r="AP4529">
        <v>0</v>
      </c>
      <c r="AQ4529">
        <v>0</v>
      </c>
      <c r="AS4529">
        <v>0</v>
      </c>
      <c r="AT4529">
        <v>0</v>
      </c>
      <c r="AV4529">
        <v>0</v>
      </c>
      <c r="AW4529">
        <v>0</v>
      </c>
      <c r="AY4529">
        <v>0</v>
      </c>
      <c r="AZ4529">
        <v>0</v>
      </c>
      <c r="BA4529">
        <v>60</v>
      </c>
      <c r="BE4529" t="str">
        <f>T("9791172822040")</f>
        <v>9791172822040</v>
      </c>
      <c r="BF4529" t="str">
        <f>T("D158659")</f>
        <v>D158659</v>
      </c>
      <c r="BG4529" t="str">
        <f>T("로판 웹소설 &gt; 서양풍 로판")</f>
        <v>로판 웹소설 &gt; 서양풍 로판</v>
      </c>
    </row>
    <row r="4530" spans="1:59">
      <c r="A4530" t="s">
        <v>60</v>
      </c>
      <c r="B4530" s="1">
        <v>46130</v>
      </c>
      <c r="C4530">
        <v>2378078499</v>
      </c>
      <c r="D4530">
        <v>2378078534</v>
      </c>
      <c r="E4530" t="str">
        <f>T("용사들은 성녀의 축복을 받아야 한다 36화")</f>
        <v>용사들은 성녀의 축복을 받아야 한다 36화</v>
      </c>
      <c r="F4530">
        <v>36</v>
      </c>
      <c r="G4530" t="str">
        <f>T("필밤")</f>
        <v>필밤</v>
      </c>
      <c r="J4530" t="str">
        <f>T("시계토끼")</f>
        <v>시계토끼</v>
      </c>
      <c r="K4530" t="str">
        <f>T("용사들은 성녀의 축복을 받아야 한다")</f>
        <v>용사들은 성녀의 축복을 받아야 한다</v>
      </c>
      <c r="L4530">
        <v>100</v>
      </c>
      <c r="M4530">
        <v>100</v>
      </c>
      <c r="N4530">
        <v>1</v>
      </c>
      <c r="O4530">
        <v>0</v>
      </c>
      <c r="P4530">
        <v>0</v>
      </c>
      <c r="Q4530">
        <v>0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0</v>
      </c>
      <c r="AC4530">
        <v>0</v>
      </c>
      <c r="AD4530">
        <v>0</v>
      </c>
      <c r="AE4530">
        <v>0</v>
      </c>
      <c r="AF4530">
        <v>0</v>
      </c>
      <c r="AG4530">
        <v>0</v>
      </c>
      <c r="AH4530">
        <v>0</v>
      </c>
      <c r="AI4530">
        <v>100</v>
      </c>
      <c r="AJ4530">
        <v>1</v>
      </c>
      <c r="AK4530">
        <v>0</v>
      </c>
      <c r="AL4530">
        <v>0</v>
      </c>
      <c r="AM4530">
        <v>100</v>
      </c>
      <c r="AN4530">
        <v>0</v>
      </c>
      <c r="AO4530">
        <v>0</v>
      </c>
      <c r="AP4530">
        <v>0</v>
      </c>
      <c r="AQ4530">
        <v>0</v>
      </c>
      <c r="AS4530">
        <v>0</v>
      </c>
      <c r="AT4530">
        <v>0</v>
      </c>
      <c r="AV4530">
        <v>0</v>
      </c>
      <c r="AW4530">
        <v>0</v>
      </c>
      <c r="AY4530">
        <v>0</v>
      </c>
      <c r="AZ4530">
        <v>0</v>
      </c>
      <c r="BA4530">
        <v>60</v>
      </c>
      <c r="BE4530" t="str">
        <f>T("9791172822040")</f>
        <v>9791172822040</v>
      </c>
      <c r="BF4530" t="str">
        <f>T("D158660")</f>
        <v>D158660</v>
      </c>
      <c r="BG4530" t="str">
        <f>T("로판 웹소설 &gt; 서양풍 로판")</f>
        <v>로판 웹소설 &gt; 서양풍 로판</v>
      </c>
    </row>
    <row r="4531" spans="1:59">
      <c r="A4531" t="s">
        <v>60</v>
      </c>
      <c r="B4531" s="1">
        <v>46130</v>
      </c>
      <c r="C4531">
        <v>2378078499</v>
      </c>
      <c r="D4531">
        <v>2378078535</v>
      </c>
      <c r="E4531" t="str">
        <f>T("용사들은 성녀의 축복을 받아야 한다 37화")</f>
        <v>용사들은 성녀의 축복을 받아야 한다 37화</v>
      </c>
      <c r="F4531">
        <v>37</v>
      </c>
      <c r="G4531" t="str">
        <f>T("필밤")</f>
        <v>필밤</v>
      </c>
      <c r="J4531" t="str">
        <f>T("시계토끼")</f>
        <v>시계토끼</v>
      </c>
      <c r="K4531" t="str">
        <f>T("용사들은 성녀의 축복을 받아야 한다")</f>
        <v>용사들은 성녀의 축복을 받아야 한다</v>
      </c>
      <c r="L4531">
        <v>100</v>
      </c>
      <c r="M4531">
        <v>100</v>
      </c>
      <c r="N4531">
        <v>1</v>
      </c>
      <c r="O4531">
        <v>0</v>
      </c>
      <c r="P4531">
        <v>0</v>
      </c>
      <c r="Q4531">
        <v>0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0</v>
      </c>
      <c r="AC4531">
        <v>0</v>
      </c>
      <c r="AD4531">
        <v>0</v>
      </c>
      <c r="AE4531">
        <v>0</v>
      </c>
      <c r="AF4531">
        <v>0</v>
      </c>
      <c r="AG4531">
        <v>0</v>
      </c>
      <c r="AH4531">
        <v>0</v>
      </c>
      <c r="AI4531">
        <v>100</v>
      </c>
      <c r="AJ4531">
        <v>1</v>
      </c>
      <c r="AK4531">
        <v>0</v>
      </c>
      <c r="AL4531">
        <v>0</v>
      </c>
      <c r="AM4531">
        <v>100</v>
      </c>
      <c r="AN4531">
        <v>0</v>
      </c>
      <c r="AO4531">
        <v>0</v>
      </c>
      <c r="AP4531">
        <v>0</v>
      </c>
      <c r="AQ4531">
        <v>0</v>
      </c>
      <c r="AS4531">
        <v>0</v>
      </c>
      <c r="AT4531">
        <v>0</v>
      </c>
      <c r="AV4531">
        <v>0</v>
      </c>
      <c r="AW4531">
        <v>0</v>
      </c>
      <c r="AY4531">
        <v>0</v>
      </c>
      <c r="AZ4531">
        <v>0</v>
      </c>
      <c r="BA4531">
        <v>60</v>
      </c>
      <c r="BE4531" t="str">
        <f>T("9791172822040")</f>
        <v>9791172822040</v>
      </c>
      <c r="BF4531" t="str">
        <f>T("D158661")</f>
        <v>D158661</v>
      </c>
      <c r="BG4531" t="str">
        <f>T("로판 웹소설 &gt; 서양풍 로판")</f>
        <v>로판 웹소설 &gt; 서양풍 로판</v>
      </c>
    </row>
    <row r="4532" spans="1:59">
      <c r="A4532" t="s">
        <v>60</v>
      </c>
      <c r="B4532" s="1">
        <v>46130</v>
      </c>
      <c r="C4532">
        <v>2378078499</v>
      </c>
      <c r="D4532">
        <v>2378078536</v>
      </c>
      <c r="E4532" t="str">
        <f>T("용사들은 성녀의 축복을 받아야 한다 38화")</f>
        <v>용사들은 성녀의 축복을 받아야 한다 38화</v>
      </c>
      <c r="F4532">
        <v>38</v>
      </c>
      <c r="G4532" t="str">
        <f>T("필밤")</f>
        <v>필밤</v>
      </c>
      <c r="J4532" t="str">
        <f>T("시계토끼")</f>
        <v>시계토끼</v>
      </c>
      <c r="K4532" t="str">
        <f>T("용사들은 성녀의 축복을 받아야 한다")</f>
        <v>용사들은 성녀의 축복을 받아야 한다</v>
      </c>
      <c r="L4532">
        <v>100</v>
      </c>
      <c r="M4532">
        <v>100</v>
      </c>
      <c r="N4532">
        <v>1</v>
      </c>
      <c r="O4532">
        <v>0</v>
      </c>
      <c r="P4532">
        <v>0</v>
      </c>
      <c r="Q4532">
        <v>0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0</v>
      </c>
      <c r="AC4532">
        <v>0</v>
      </c>
      <c r="AD4532">
        <v>0</v>
      </c>
      <c r="AE4532">
        <v>0</v>
      </c>
      <c r="AF4532">
        <v>0</v>
      </c>
      <c r="AG4532">
        <v>0</v>
      </c>
      <c r="AH4532">
        <v>0</v>
      </c>
      <c r="AI4532">
        <v>100</v>
      </c>
      <c r="AJ4532">
        <v>1</v>
      </c>
      <c r="AK4532">
        <v>0</v>
      </c>
      <c r="AL4532">
        <v>0</v>
      </c>
      <c r="AM4532">
        <v>100</v>
      </c>
      <c r="AN4532">
        <v>0</v>
      </c>
      <c r="AO4532">
        <v>0</v>
      </c>
      <c r="AP4532">
        <v>0</v>
      </c>
      <c r="AQ4532">
        <v>0</v>
      </c>
      <c r="AS4532">
        <v>0</v>
      </c>
      <c r="AT4532">
        <v>0</v>
      </c>
      <c r="AV4532">
        <v>0</v>
      </c>
      <c r="AW4532">
        <v>0</v>
      </c>
      <c r="AY4532">
        <v>0</v>
      </c>
      <c r="AZ4532">
        <v>0</v>
      </c>
      <c r="BA4532">
        <v>60</v>
      </c>
      <c r="BE4532" t="str">
        <f>T("9791172822040")</f>
        <v>9791172822040</v>
      </c>
      <c r="BF4532" t="str">
        <f>T("D158662")</f>
        <v>D158662</v>
      </c>
      <c r="BG4532" t="str">
        <f>T("로판 웹소설 &gt; 서양풍 로판")</f>
        <v>로판 웹소설 &gt; 서양풍 로판</v>
      </c>
    </row>
    <row r="4533" spans="1:59">
      <c r="A4533" t="s">
        <v>60</v>
      </c>
      <c r="B4533" s="1">
        <v>46130</v>
      </c>
      <c r="C4533">
        <v>2378078499</v>
      </c>
      <c r="D4533">
        <v>2378078647</v>
      </c>
      <c r="E4533" t="str">
        <f>T("용사들은 성녀의 축복을 받아야 한다 93화")</f>
        <v>용사들은 성녀의 축복을 받아야 한다 93화</v>
      </c>
      <c r="F4533">
        <v>93</v>
      </c>
      <c r="G4533" t="str">
        <f>T("필밤")</f>
        <v>필밤</v>
      </c>
      <c r="J4533" t="str">
        <f>T("시계토끼")</f>
        <v>시계토끼</v>
      </c>
      <c r="K4533" t="str">
        <f>T("용사들은 성녀의 축복을 받아야 한다")</f>
        <v>용사들은 성녀의 축복을 받아야 한다</v>
      </c>
      <c r="L4533">
        <v>100</v>
      </c>
      <c r="M4533">
        <v>100</v>
      </c>
      <c r="N4533">
        <v>1</v>
      </c>
      <c r="O4533">
        <v>0</v>
      </c>
      <c r="P4533">
        <v>0</v>
      </c>
      <c r="Q4533">
        <v>0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0</v>
      </c>
      <c r="AC4533">
        <v>0</v>
      </c>
      <c r="AD4533">
        <v>0</v>
      </c>
      <c r="AE4533">
        <v>0</v>
      </c>
      <c r="AF4533">
        <v>0</v>
      </c>
      <c r="AG4533">
        <v>0</v>
      </c>
      <c r="AH4533">
        <v>0</v>
      </c>
      <c r="AI4533">
        <v>100</v>
      </c>
      <c r="AJ4533">
        <v>1</v>
      </c>
      <c r="AK4533">
        <v>0</v>
      </c>
      <c r="AL4533">
        <v>0</v>
      </c>
      <c r="AM4533">
        <v>0</v>
      </c>
      <c r="AN4533">
        <v>0</v>
      </c>
      <c r="AO4533">
        <v>120</v>
      </c>
      <c r="AP4533">
        <v>-12</v>
      </c>
      <c r="AQ4533">
        <v>0</v>
      </c>
      <c r="AS4533">
        <v>0</v>
      </c>
      <c r="AT4533">
        <v>0</v>
      </c>
      <c r="AV4533">
        <v>0</v>
      </c>
      <c r="AW4533">
        <v>0</v>
      </c>
      <c r="AX4533">
        <v>120</v>
      </c>
      <c r="AY4533">
        <v>-12</v>
      </c>
      <c r="AZ4533">
        <v>0</v>
      </c>
      <c r="BA4533">
        <v>64.8</v>
      </c>
      <c r="BE4533" t="str">
        <f>T("9791172822040")</f>
        <v>9791172822040</v>
      </c>
      <c r="BF4533" t="str">
        <f>T("D158717")</f>
        <v>D158717</v>
      </c>
      <c r="BG4533" t="str">
        <f>T("로판 웹소설 &gt; 서양풍 로판")</f>
        <v>로판 웹소설 &gt; 서양풍 로판</v>
      </c>
    </row>
    <row r="4534" spans="1:59">
      <c r="A4534" t="s">
        <v>60</v>
      </c>
      <c r="B4534" s="1">
        <v>46130</v>
      </c>
      <c r="C4534">
        <v>2378078499</v>
      </c>
      <c r="D4534">
        <v>2378078648</v>
      </c>
      <c r="E4534" t="str">
        <f>T("용사들은 성녀의 축복을 받아야 한다 94화")</f>
        <v>용사들은 성녀의 축복을 받아야 한다 94화</v>
      </c>
      <c r="F4534">
        <v>94</v>
      </c>
      <c r="G4534" t="str">
        <f>T("필밤")</f>
        <v>필밤</v>
      </c>
      <c r="J4534" t="str">
        <f>T("시계토끼")</f>
        <v>시계토끼</v>
      </c>
      <c r="K4534" t="str">
        <f>T("용사들은 성녀의 축복을 받아야 한다")</f>
        <v>용사들은 성녀의 축복을 받아야 한다</v>
      </c>
      <c r="L4534">
        <v>100</v>
      </c>
      <c r="M4534">
        <v>100</v>
      </c>
      <c r="N4534">
        <v>1</v>
      </c>
      <c r="O4534">
        <v>0</v>
      </c>
      <c r="P4534">
        <v>0</v>
      </c>
      <c r="Q4534">
        <v>0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0</v>
      </c>
      <c r="AC4534">
        <v>0</v>
      </c>
      <c r="AD4534">
        <v>0</v>
      </c>
      <c r="AE4534">
        <v>0</v>
      </c>
      <c r="AF4534">
        <v>0</v>
      </c>
      <c r="AG4534">
        <v>0</v>
      </c>
      <c r="AH4534">
        <v>0</v>
      </c>
      <c r="AI4534">
        <v>100</v>
      </c>
      <c r="AJ4534">
        <v>1</v>
      </c>
      <c r="AK4534">
        <v>0</v>
      </c>
      <c r="AL4534">
        <v>0</v>
      </c>
      <c r="AM4534">
        <v>0</v>
      </c>
      <c r="AN4534">
        <v>0</v>
      </c>
      <c r="AO4534">
        <v>120</v>
      </c>
      <c r="AP4534">
        <v>-12</v>
      </c>
      <c r="AQ4534">
        <v>0</v>
      </c>
      <c r="AS4534">
        <v>0</v>
      </c>
      <c r="AT4534">
        <v>0</v>
      </c>
      <c r="AV4534">
        <v>0</v>
      </c>
      <c r="AW4534">
        <v>0</v>
      </c>
      <c r="AX4534">
        <v>120</v>
      </c>
      <c r="AY4534">
        <v>-12</v>
      </c>
      <c r="AZ4534">
        <v>0</v>
      </c>
      <c r="BA4534">
        <v>64.8</v>
      </c>
      <c r="BE4534" t="str">
        <f>T("9791172822040")</f>
        <v>9791172822040</v>
      </c>
      <c r="BF4534" t="str">
        <f>T("D158718")</f>
        <v>D158718</v>
      </c>
      <c r="BG4534" t="str">
        <f>T("로판 웹소설 &gt; 서양풍 로판")</f>
        <v>로판 웹소설 &gt; 서양풍 로판</v>
      </c>
    </row>
    <row r="4535" spans="1:59">
      <c r="A4535" t="s">
        <v>60</v>
      </c>
      <c r="B4535" s="1">
        <v>46130</v>
      </c>
      <c r="C4535">
        <v>2378078499</v>
      </c>
      <c r="D4535">
        <v>2378078669</v>
      </c>
      <c r="E4535" t="str">
        <f>T("용사들은 성녀의 축복을 받아야 한다 95화")</f>
        <v>용사들은 성녀의 축복을 받아야 한다 95화</v>
      </c>
      <c r="F4535">
        <v>95</v>
      </c>
      <c r="G4535" t="str">
        <f>T("필밤")</f>
        <v>필밤</v>
      </c>
      <c r="J4535" t="str">
        <f>T("시계토끼")</f>
        <v>시계토끼</v>
      </c>
      <c r="K4535" t="str">
        <f>T("용사들은 성녀의 축복을 받아야 한다")</f>
        <v>용사들은 성녀의 축복을 받아야 한다</v>
      </c>
      <c r="L4535">
        <v>100</v>
      </c>
      <c r="M4535">
        <v>100</v>
      </c>
      <c r="N4535">
        <v>1</v>
      </c>
      <c r="O4535">
        <v>0</v>
      </c>
      <c r="P4535">
        <v>0</v>
      </c>
      <c r="Q4535">
        <v>0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0</v>
      </c>
      <c r="AC4535">
        <v>0</v>
      </c>
      <c r="AD4535">
        <v>0</v>
      </c>
      <c r="AE4535">
        <v>0</v>
      </c>
      <c r="AF4535">
        <v>0</v>
      </c>
      <c r="AG4535">
        <v>0</v>
      </c>
      <c r="AH4535">
        <v>0</v>
      </c>
      <c r="AI4535">
        <v>100</v>
      </c>
      <c r="AJ4535">
        <v>1</v>
      </c>
      <c r="AK4535">
        <v>0</v>
      </c>
      <c r="AL4535">
        <v>0</v>
      </c>
      <c r="AM4535">
        <v>0</v>
      </c>
      <c r="AN4535">
        <v>0</v>
      </c>
      <c r="AO4535">
        <v>120</v>
      </c>
      <c r="AP4535">
        <v>-12</v>
      </c>
      <c r="AQ4535">
        <v>0</v>
      </c>
      <c r="AS4535">
        <v>0</v>
      </c>
      <c r="AT4535">
        <v>0</v>
      </c>
      <c r="AV4535">
        <v>0</v>
      </c>
      <c r="AW4535">
        <v>0</v>
      </c>
      <c r="AX4535">
        <v>120</v>
      </c>
      <c r="AY4535">
        <v>-12</v>
      </c>
      <c r="AZ4535">
        <v>0</v>
      </c>
      <c r="BA4535">
        <v>64.8</v>
      </c>
      <c r="BE4535" t="str">
        <f>T("9791172822040")</f>
        <v>9791172822040</v>
      </c>
      <c r="BF4535" t="str">
        <f>T("D158719")</f>
        <v>D158719</v>
      </c>
      <c r="BG4535" t="str">
        <f>T("로판 웹소설 &gt; 서양풍 로판")</f>
        <v>로판 웹소설 &gt; 서양풍 로판</v>
      </c>
    </row>
    <row r="4536" spans="1:59">
      <c r="A4536" t="s">
        <v>60</v>
      </c>
      <c r="B4536" s="1">
        <v>46130</v>
      </c>
      <c r="C4536">
        <v>2378078499</v>
      </c>
      <c r="D4536">
        <v>2378078681</v>
      </c>
      <c r="E4536" t="str">
        <f>T("용사들은 성녀의 축복을 받아야 한다 96화")</f>
        <v>용사들은 성녀의 축복을 받아야 한다 96화</v>
      </c>
      <c r="F4536">
        <v>96</v>
      </c>
      <c r="G4536" t="str">
        <f>T("필밤")</f>
        <v>필밤</v>
      </c>
      <c r="J4536" t="str">
        <f>T("시계토끼")</f>
        <v>시계토끼</v>
      </c>
      <c r="K4536" t="str">
        <f>T("용사들은 성녀의 축복을 받아야 한다")</f>
        <v>용사들은 성녀의 축복을 받아야 한다</v>
      </c>
      <c r="L4536">
        <v>100</v>
      </c>
      <c r="M4536">
        <v>100</v>
      </c>
      <c r="N4536">
        <v>1</v>
      </c>
      <c r="O4536">
        <v>0</v>
      </c>
      <c r="P4536">
        <v>0</v>
      </c>
      <c r="Q4536">
        <v>0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0</v>
      </c>
      <c r="AC4536">
        <v>0</v>
      </c>
      <c r="AD4536">
        <v>0</v>
      </c>
      <c r="AE4536">
        <v>0</v>
      </c>
      <c r="AF4536">
        <v>0</v>
      </c>
      <c r="AG4536">
        <v>0</v>
      </c>
      <c r="AH4536">
        <v>0</v>
      </c>
      <c r="AI4536">
        <v>100</v>
      </c>
      <c r="AJ4536">
        <v>1</v>
      </c>
      <c r="AK4536">
        <v>0</v>
      </c>
      <c r="AL4536">
        <v>0</v>
      </c>
      <c r="AM4536">
        <v>0</v>
      </c>
      <c r="AN4536">
        <v>0</v>
      </c>
      <c r="AO4536">
        <v>120</v>
      </c>
      <c r="AP4536">
        <v>-12</v>
      </c>
      <c r="AQ4536">
        <v>0</v>
      </c>
      <c r="AS4536">
        <v>0</v>
      </c>
      <c r="AT4536">
        <v>0</v>
      </c>
      <c r="AV4536">
        <v>0</v>
      </c>
      <c r="AW4536">
        <v>0</v>
      </c>
      <c r="AX4536">
        <v>120</v>
      </c>
      <c r="AY4536">
        <v>-12</v>
      </c>
      <c r="AZ4536">
        <v>0</v>
      </c>
      <c r="BA4536">
        <v>64.8</v>
      </c>
      <c r="BE4536" t="str">
        <f>T("9791172822040")</f>
        <v>9791172822040</v>
      </c>
      <c r="BF4536" t="str">
        <f>T("D158720")</f>
        <v>D158720</v>
      </c>
      <c r="BG4536" t="str">
        <f>T("로판 웹소설 &gt; 서양풍 로판")</f>
        <v>로판 웹소설 &gt; 서양풍 로판</v>
      </c>
    </row>
    <row r="4537" spans="1:59">
      <c r="A4537" t="s">
        <v>60</v>
      </c>
      <c r="B4537" s="1">
        <v>46130</v>
      </c>
      <c r="C4537">
        <v>2378078499</v>
      </c>
      <c r="D4537">
        <v>2378078682</v>
      </c>
      <c r="E4537" t="str">
        <f>T("용사들은 성녀의 축복을 받아야 한다 97화")</f>
        <v>용사들은 성녀의 축복을 받아야 한다 97화</v>
      </c>
      <c r="F4537">
        <v>97</v>
      </c>
      <c r="G4537" t="str">
        <f>T("필밤")</f>
        <v>필밤</v>
      </c>
      <c r="J4537" t="str">
        <f>T("시계토끼")</f>
        <v>시계토끼</v>
      </c>
      <c r="K4537" t="str">
        <f>T("용사들은 성녀의 축복을 받아야 한다")</f>
        <v>용사들은 성녀의 축복을 받아야 한다</v>
      </c>
      <c r="L4537">
        <v>100</v>
      </c>
      <c r="M4537">
        <v>100</v>
      </c>
      <c r="N4537">
        <v>1</v>
      </c>
      <c r="O4537">
        <v>0</v>
      </c>
      <c r="P4537">
        <v>0</v>
      </c>
      <c r="Q4537">
        <v>0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0</v>
      </c>
      <c r="AC4537">
        <v>0</v>
      </c>
      <c r="AD4537">
        <v>0</v>
      </c>
      <c r="AE4537">
        <v>0</v>
      </c>
      <c r="AF4537">
        <v>0</v>
      </c>
      <c r="AG4537">
        <v>0</v>
      </c>
      <c r="AH4537">
        <v>0</v>
      </c>
      <c r="AI4537">
        <v>100</v>
      </c>
      <c r="AJ4537">
        <v>1</v>
      </c>
      <c r="AK4537">
        <v>0</v>
      </c>
      <c r="AL4537">
        <v>0</v>
      </c>
      <c r="AM4537">
        <v>0</v>
      </c>
      <c r="AN4537">
        <v>0</v>
      </c>
      <c r="AO4537">
        <v>120</v>
      </c>
      <c r="AP4537">
        <v>-12</v>
      </c>
      <c r="AQ4537">
        <v>0</v>
      </c>
      <c r="AS4537">
        <v>0</v>
      </c>
      <c r="AT4537">
        <v>0</v>
      </c>
      <c r="AV4537">
        <v>0</v>
      </c>
      <c r="AW4537">
        <v>0</v>
      </c>
      <c r="AX4537">
        <v>120</v>
      </c>
      <c r="AY4537">
        <v>-12</v>
      </c>
      <c r="AZ4537">
        <v>0</v>
      </c>
      <c r="BA4537">
        <v>64.8</v>
      </c>
      <c r="BE4537" t="str">
        <f>T("9791172822040")</f>
        <v>9791172822040</v>
      </c>
      <c r="BF4537" t="str">
        <f>T("D158721")</f>
        <v>D158721</v>
      </c>
      <c r="BG4537" t="str">
        <f>T("로판 웹소설 &gt; 서양풍 로판")</f>
        <v>로판 웹소설 &gt; 서양풍 로판</v>
      </c>
    </row>
    <row r="4538" spans="1:59">
      <c r="A4538" t="s">
        <v>60</v>
      </c>
      <c r="B4538" s="1">
        <v>46130</v>
      </c>
      <c r="C4538">
        <v>2378078499</v>
      </c>
      <c r="D4538">
        <v>2378081070</v>
      </c>
      <c r="E4538" t="str">
        <f>T("용사들은 성녀의 축복을 받아야 한다 외전 15화 (완결)")</f>
        <v>용사들은 성녀의 축복을 받아야 한다 외전 15화 (완결)</v>
      </c>
      <c r="F4538">
        <v>145</v>
      </c>
      <c r="G4538" t="str">
        <f>T("필밤")</f>
        <v>필밤</v>
      </c>
      <c r="J4538" t="str">
        <f>T("시계토끼")</f>
        <v>시계토끼</v>
      </c>
      <c r="K4538" t="str">
        <f>T("용사들은 성녀의 축복을 받아야 한다")</f>
        <v>용사들은 성녀의 축복을 받아야 한다</v>
      </c>
      <c r="L4538">
        <v>100</v>
      </c>
      <c r="M4538">
        <v>100</v>
      </c>
      <c r="N4538">
        <v>1</v>
      </c>
      <c r="O4538">
        <v>0</v>
      </c>
      <c r="P4538">
        <v>0</v>
      </c>
      <c r="Q4538">
        <v>0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0</v>
      </c>
      <c r="AC4538">
        <v>0</v>
      </c>
      <c r="AD4538">
        <v>0</v>
      </c>
      <c r="AE4538">
        <v>0</v>
      </c>
      <c r="AF4538">
        <v>0</v>
      </c>
      <c r="AG4538">
        <v>0</v>
      </c>
      <c r="AH4538">
        <v>0</v>
      </c>
      <c r="AI4538">
        <v>100</v>
      </c>
      <c r="AJ4538">
        <v>1</v>
      </c>
      <c r="AK4538">
        <v>0</v>
      </c>
      <c r="AL4538">
        <v>0</v>
      </c>
      <c r="AM4538">
        <v>0</v>
      </c>
      <c r="AN4538">
        <v>0</v>
      </c>
      <c r="AO4538">
        <v>120</v>
      </c>
      <c r="AP4538">
        <v>-36</v>
      </c>
      <c r="AQ4538">
        <v>0</v>
      </c>
      <c r="AR4538">
        <v>120</v>
      </c>
      <c r="AS4538">
        <v>-36</v>
      </c>
      <c r="AT4538">
        <v>0</v>
      </c>
      <c r="AV4538">
        <v>0</v>
      </c>
      <c r="AW4538">
        <v>0</v>
      </c>
      <c r="AY4538">
        <v>0</v>
      </c>
      <c r="AZ4538">
        <v>0</v>
      </c>
      <c r="BA4538">
        <v>50.4</v>
      </c>
      <c r="BE4538" t="str">
        <f>T("9791172822040")</f>
        <v>9791172822040</v>
      </c>
      <c r="BF4538" t="str">
        <f>T("D183644")</f>
        <v>D183644</v>
      </c>
      <c r="BG4538" t="str">
        <f>T("로판 웹소설 &gt; 서양풍 로판")</f>
        <v>로판 웹소설 &gt; 서양풍 로판</v>
      </c>
    </row>
    <row r="4539" spans="1:59">
      <c r="A4539" t="s">
        <v>60</v>
      </c>
      <c r="B4539" s="1">
        <v>46130</v>
      </c>
      <c r="C4539">
        <v>2378078499</v>
      </c>
      <c r="D4539">
        <v>2378078694</v>
      </c>
      <c r="E4539" t="str">
        <f>T("용사들은 성녀의 축복을 받아야 한다 98화")</f>
        <v>용사들은 성녀의 축복을 받아야 한다 98화</v>
      </c>
      <c r="F4539">
        <v>98</v>
      </c>
      <c r="G4539" t="str">
        <f>T("필밤")</f>
        <v>필밤</v>
      </c>
      <c r="J4539" t="str">
        <f>T("시계토끼")</f>
        <v>시계토끼</v>
      </c>
      <c r="K4539" t="str">
        <f>T("용사들은 성녀의 축복을 받아야 한다")</f>
        <v>용사들은 성녀의 축복을 받아야 한다</v>
      </c>
      <c r="L4539">
        <v>100</v>
      </c>
      <c r="M4539">
        <v>100</v>
      </c>
      <c r="N4539">
        <v>1</v>
      </c>
      <c r="O4539">
        <v>0</v>
      </c>
      <c r="P4539">
        <v>0</v>
      </c>
      <c r="Q4539">
        <v>0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0</v>
      </c>
      <c r="AC4539">
        <v>0</v>
      </c>
      <c r="AD4539">
        <v>0</v>
      </c>
      <c r="AE4539">
        <v>0</v>
      </c>
      <c r="AF4539">
        <v>0</v>
      </c>
      <c r="AG4539">
        <v>0</v>
      </c>
      <c r="AH4539">
        <v>0</v>
      </c>
      <c r="AI4539">
        <v>100</v>
      </c>
      <c r="AJ4539">
        <v>1</v>
      </c>
      <c r="AK4539">
        <v>0</v>
      </c>
      <c r="AL4539">
        <v>0</v>
      </c>
      <c r="AM4539">
        <v>0</v>
      </c>
      <c r="AN4539">
        <v>0</v>
      </c>
      <c r="AO4539">
        <v>120</v>
      </c>
      <c r="AP4539">
        <v>-12</v>
      </c>
      <c r="AQ4539">
        <v>0</v>
      </c>
      <c r="AS4539">
        <v>0</v>
      </c>
      <c r="AT4539">
        <v>0</v>
      </c>
      <c r="AV4539">
        <v>0</v>
      </c>
      <c r="AW4539">
        <v>0</v>
      </c>
      <c r="AX4539">
        <v>120</v>
      </c>
      <c r="AY4539">
        <v>-12</v>
      </c>
      <c r="AZ4539">
        <v>0</v>
      </c>
      <c r="BA4539">
        <v>64.8</v>
      </c>
      <c r="BE4539" t="str">
        <f>T("9791172822040")</f>
        <v>9791172822040</v>
      </c>
      <c r="BF4539" t="str">
        <f>T("D158722")</f>
        <v>D158722</v>
      </c>
      <c r="BG4539" t="str">
        <f>T("로판 웹소설 &gt; 서양풍 로판")</f>
        <v>로판 웹소설 &gt; 서양풍 로판</v>
      </c>
    </row>
    <row r="4540" spans="1:59">
      <c r="A4540" t="s">
        <v>60</v>
      </c>
      <c r="B4540" s="1">
        <v>46130</v>
      </c>
      <c r="C4540">
        <v>2378078499</v>
      </c>
      <c r="D4540">
        <v>2378078781</v>
      </c>
      <c r="E4540" t="str">
        <f>T("용사들은 성녀의 축복을 받아야 한다 99화")</f>
        <v>용사들은 성녀의 축복을 받아야 한다 99화</v>
      </c>
      <c r="F4540">
        <v>99</v>
      </c>
      <c r="G4540" t="str">
        <f>T("필밤")</f>
        <v>필밤</v>
      </c>
      <c r="J4540" t="str">
        <f>T("시계토끼")</f>
        <v>시계토끼</v>
      </c>
      <c r="K4540" t="str">
        <f>T("용사들은 성녀의 축복을 받아야 한다")</f>
        <v>용사들은 성녀의 축복을 받아야 한다</v>
      </c>
      <c r="L4540">
        <v>100</v>
      </c>
      <c r="M4540">
        <v>100</v>
      </c>
      <c r="N4540">
        <v>1</v>
      </c>
      <c r="O4540">
        <v>0</v>
      </c>
      <c r="P4540">
        <v>0</v>
      </c>
      <c r="Q4540">
        <v>0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0</v>
      </c>
      <c r="AC4540">
        <v>0</v>
      </c>
      <c r="AD4540">
        <v>0</v>
      </c>
      <c r="AE4540">
        <v>0</v>
      </c>
      <c r="AF4540">
        <v>0</v>
      </c>
      <c r="AG4540">
        <v>0</v>
      </c>
      <c r="AH4540">
        <v>0</v>
      </c>
      <c r="AI4540">
        <v>100</v>
      </c>
      <c r="AJ4540">
        <v>1</v>
      </c>
      <c r="AK4540">
        <v>0</v>
      </c>
      <c r="AL4540">
        <v>0</v>
      </c>
      <c r="AM4540">
        <v>0</v>
      </c>
      <c r="AN4540">
        <v>0</v>
      </c>
      <c r="AO4540">
        <v>120</v>
      </c>
      <c r="AP4540">
        <v>-12</v>
      </c>
      <c r="AQ4540">
        <v>0</v>
      </c>
      <c r="AS4540">
        <v>0</v>
      </c>
      <c r="AT4540">
        <v>0</v>
      </c>
      <c r="AV4540">
        <v>0</v>
      </c>
      <c r="AW4540">
        <v>0</v>
      </c>
      <c r="AX4540">
        <v>120</v>
      </c>
      <c r="AY4540">
        <v>-12</v>
      </c>
      <c r="AZ4540">
        <v>0</v>
      </c>
      <c r="BA4540">
        <v>64.8</v>
      </c>
      <c r="BE4540" t="str">
        <f>T("9791172822040")</f>
        <v>9791172822040</v>
      </c>
      <c r="BF4540" t="str">
        <f>T("D158723")</f>
        <v>D158723</v>
      </c>
      <c r="BG4540" t="str">
        <f>T("로판 웹소설 &gt; 서양풍 로판")</f>
        <v>로판 웹소설 &gt; 서양풍 로판</v>
      </c>
    </row>
    <row r="4541" spans="1:59">
      <c r="A4541" t="s">
        <v>60</v>
      </c>
      <c r="B4541" s="1">
        <v>46130</v>
      </c>
      <c r="C4541">
        <v>2378078499</v>
      </c>
      <c r="D4541">
        <v>2378078782</v>
      </c>
      <c r="E4541" t="str">
        <f>T("용사들은 성녀의 축복을 받아야 한다 100화")</f>
        <v>용사들은 성녀의 축복을 받아야 한다 100화</v>
      </c>
      <c r="F4541">
        <v>100</v>
      </c>
      <c r="G4541" t="str">
        <f>T("필밤")</f>
        <v>필밤</v>
      </c>
      <c r="J4541" t="str">
        <f>T("시계토끼")</f>
        <v>시계토끼</v>
      </c>
      <c r="K4541" t="str">
        <f>T("용사들은 성녀의 축복을 받아야 한다")</f>
        <v>용사들은 성녀의 축복을 받아야 한다</v>
      </c>
      <c r="L4541">
        <v>100</v>
      </c>
      <c r="M4541">
        <v>100</v>
      </c>
      <c r="N4541">
        <v>1</v>
      </c>
      <c r="O4541">
        <v>0</v>
      </c>
      <c r="P4541">
        <v>0</v>
      </c>
      <c r="Q4541">
        <v>0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0</v>
      </c>
      <c r="AC4541">
        <v>0</v>
      </c>
      <c r="AD4541">
        <v>0</v>
      </c>
      <c r="AE4541">
        <v>0</v>
      </c>
      <c r="AF4541">
        <v>0</v>
      </c>
      <c r="AG4541">
        <v>0</v>
      </c>
      <c r="AH4541">
        <v>0</v>
      </c>
      <c r="AI4541">
        <v>100</v>
      </c>
      <c r="AJ4541">
        <v>1</v>
      </c>
      <c r="AK4541">
        <v>0</v>
      </c>
      <c r="AL4541">
        <v>0</v>
      </c>
      <c r="AM4541">
        <v>0</v>
      </c>
      <c r="AN4541">
        <v>0</v>
      </c>
      <c r="AO4541">
        <v>120</v>
      </c>
      <c r="AP4541">
        <v>-12</v>
      </c>
      <c r="AQ4541">
        <v>0</v>
      </c>
      <c r="AS4541">
        <v>0</v>
      </c>
      <c r="AT4541">
        <v>0</v>
      </c>
      <c r="AV4541">
        <v>0</v>
      </c>
      <c r="AW4541">
        <v>0</v>
      </c>
      <c r="AX4541">
        <v>120</v>
      </c>
      <c r="AY4541">
        <v>-12</v>
      </c>
      <c r="AZ4541">
        <v>0</v>
      </c>
      <c r="BA4541">
        <v>64.8</v>
      </c>
      <c r="BE4541" t="str">
        <f>T("9791172822040")</f>
        <v>9791172822040</v>
      </c>
      <c r="BF4541" t="str">
        <f>T("D158724")</f>
        <v>D158724</v>
      </c>
      <c r="BG4541" t="str">
        <f>T("로판 웹소설 &gt; 서양풍 로판")</f>
        <v>로판 웹소설 &gt; 서양풍 로판</v>
      </c>
    </row>
    <row r="4542" spans="1:59">
      <c r="A4542" t="s">
        <v>60</v>
      </c>
      <c r="B4542" s="1">
        <v>46130</v>
      </c>
      <c r="C4542">
        <v>2378078499</v>
      </c>
      <c r="D4542">
        <v>2378078796</v>
      </c>
      <c r="E4542" t="str">
        <f>T("용사들은 성녀의 축복을 받아야 한다 101화")</f>
        <v>용사들은 성녀의 축복을 받아야 한다 101화</v>
      </c>
      <c r="F4542">
        <v>101</v>
      </c>
      <c r="G4542" t="str">
        <f>T("필밤")</f>
        <v>필밤</v>
      </c>
      <c r="J4542" t="str">
        <f>T("시계토끼")</f>
        <v>시계토끼</v>
      </c>
      <c r="K4542" t="str">
        <f>T("용사들은 성녀의 축복을 받아야 한다")</f>
        <v>용사들은 성녀의 축복을 받아야 한다</v>
      </c>
      <c r="L4542">
        <v>100</v>
      </c>
      <c r="M4542">
        <v>100</v>
      </c>
      <c r="N4542">
        <v>1</v>
      </c>
      <c r="O4542">
        <v>0</v>
      </c>
      <c r="P4542">
        <v>0</v>
      </c>
      <c r="Q4542">
        <v>0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0</v>
      </c>
      <c r="AC4542">
        <v>0</v>
      </c>
      <c r="AD4542">
        <v>0</v>
      </c>
      <c r="AE4542">
        <v>0</v>
      </c>
      <c r="AF4542">
        <v>0</v>
      </c>
      <c r="AG4542">
        <v>0</v>
      </c>
      <c r="AH4542">
        <v>0</v>
      </c>
      <c r="AI4542">
        <v>100</v>
      </c>
      <c r="AJ4542">
        <v>1</v>
      </c>
      <c r="AK4542">
        <v>0</v>
      </c>
      <c r="AL4542">
        <v>0</v>
      </c>
      <c r="AM4542">
        <v>0</v>
      </c>
      <c r="AN4542">
        <v>0</v>
      </c>
      <c r="AO4542">
        <v>120</v>
      </c>
      <c r="AP4542">
        <v>-12</v>
      </c>
      <c r="AQ4542">
        <v>0</v>
      </c>
      <c r="AS4542">
        <v>0</v>
      </c>
      <c r="AT4542">
        <v>0</v>
      </c>
      <c r="AV4542">
        <v>0</v>
      </c>
      <c r="AW4542">
        <v>0</v>
      </c>
      <c r="AX4542">
        <v>120</v>
      </c>
      <c r="AY4542">
        <v>-12</v>
      </c>
      <c r="AZ4542">
        <v>0</v>
      </c>
      <c r="BA4542">
        <v>64.8</v>
      </c>
      <c r="BE4542" t="str">
        <f>T("9791172822040")</f>
        <v>9791172822040</v>
      </c>
      <c r="BF4542" t="str">
        <f>T("D158725")</f>
        <v>D158725</v>
      </c>
      <c r="BG4542" t="str">
        <f>T("로판 웹소설 &gt; 서양풍 로판")</f>
        <v>로판 웹소설 &gt; 서양풍 로판</v>
      </c>
    </row>
    <row r="4543" spans="1:59">
      <c r="A4543" t="s">
        <v>60</v>
      </c>
      <c r="B4543" s="1">
        <v>46130</v>
      </c>
      <c r="C4543">
        <v>2378078499</v>
      </c>
      <c r="D4543">
        <v>2378078801</v>
      </c>
      <c r="E4543" t="str">
        <f>T("용사들은 성녀의 축복을 받아야 한다 102화")</f>
        <v>용사들은 성녀의 축복을 받아야 한다 102화</v>
      </c>
      <c r="F4543">
        <v>102</v>
      </c>
      <c r="G4543" t="str">
        <f>T("필밤")</f>
        <v>필밤</v>
      </c>
      <c r="J4543" t="str">
        <f>T("시계토끼")</f>
        <v>시계토끼</v>
      </c>
      <c r="K4543" t="str">
        <f>T("용사들은 성녀의 축복을 받아야 한다")</f>
        <v>용사들은 성녀의 축복을 받아야 한다</v>
      </c>
      <c r="L4543">
        <v>100</v>
      </c>
      <c r="M4543">
        <v>100</v>
      </c>
      <c r="N4543">
        <v>1</v>
      </c>
      <c r="O4543">
        <v>0</v>
      </c>
      <c r="P4543">
        <v>0</v>
      </c>
      <c r="Q4543">
        <v>0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0</v>
      </c>
      <c r="AC4543">
        <v>0</v>
      </c>
      <c r="AD4543">
        <v>0</v>
      </c>
      <c r="AE4543">
        <v>0</v>
      </c>
      <c r="AF4543">
        <v>0</v>
      </c>
      <c r="AG4543">
        <v>0</v>
      </c>
      <c r="AH4543">
        <v>0</v>
      </c>
      <c r="AI4543">
        <v>100</v>
      </c>
      <c r="AJ4543">
        <v>1</v>
      </c>
      <c r="AK4543">
        <v>0</v>
      </c>
      <c r="AL4543">
        <v>0</v>
      </c>
      <c r="AM4543">
        <v>0</v>
      </c>
      <c r="AN4543">
        <v>0</v>
      </c>
      <c r="AO4543">
        <v>120</v>
      </c>
      <c r="AP4543">
        <v>-12</v>
      </c>
      <c r="AQ4543">
        <v>0</v>
      </c>
      <c r="AS4543">
        <v>0</v>
      </c>
      <c r="AT4543">
        <v>0</v>
      </c>
      <c r="AV4543">
        <v>0</v>
      </c>
      <c r="AW4543">
        <v>0</v>
      </c>
      <c r="AX4543">
        <v>120</v>
      </c>
      <c r="AY4543">
        <v>-12</v>
      </c>
      <c r="AZ4543">
        <v>0</v>
      </c>
      <c r="BA4543">
        <v>64.8</v>
      </c>
      <c r="BE4543" t="str">
        <f>T("9791172822040")</f>
        <v>9791172822040</v>
      </c>
      <c r="BF4543" t="str">
        <f>T("D158726")</f>
        <v>D158726</v>
      </c>
      <c r="BG4543" t="str">
        <f>T("로판 웹소설 &gt; 서양풍 로판")</f>
        <v>로판 웹소설 &gt; 서양풍 로판</v>
      </c>
    </row>
    <row r="4544" spans="1:59">
      <c r="A4544" t="s">
        <v>60</v>
      </c>
      <c r="B4544" s="1">
        <v>46130</v>
      </c>
      <c r="C4544">
        <v>2378078499</v>
      </c>
      <c r="D4544">
        <v>2378078985</v>
      </c>
      <c r="E4544" t="str">
        <f>T("용사들은 성녀의 축복을 받아야 한다 103화")</f>
        <v>용사들은 성녀의 축복을 받아야 한다 103화</v>
      </c>
      <c r="F4544">
        <v>103</v>
      </c>
      <c r="G4544" t="str">
        <f>T("필밤")</f>
        <v>필밤</v>
      </c>
      <c r="J4544" t="str">
        <f>T("시계토끼")</f>
        <v>시계토끼</v>
      </c>
      <c r="K4544" t="str">
        <f>T("용사들은 성녀의 축복을 받아야 한다")</f>
        <v>용사들은 성녀의 축복을 받아야 한다</v>
      </c>
      <c r="L4544">
        <v>100</v>
      </c>
      <c r="M4544">
        <v>100</v>
      </c>
      <c r="N4544">
        <v>1</v>
      </c>
      <c r="O4544">
        <v>0</v>
      </c>
      <c r="P4544">
        <v>0</v>
      </c>
      <c r="Q4544">
        <v>0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0</v>
      </c>
      <c r="AC4544">
        <v>0</v>
      </c>
      <c r="AD4544">
        <v>0</v>
      </c>
      <c r="AE4544">
        <v>0</v>
      </c>
      <c r="AF4544">
        <v>0</v>
      </c>
      <c r="AG4544">
        <v>0</v>
      </c>
      <c r="AH4544">
        <v>0</v>
      </c>
      <c r="AI4544">
        <v>100</v>
      </c>
      <c r="AJ4544">
        <v>1</v>
      </c>
      <c r="AK4544">
        <v>0</v>
      </c>
      <c r="AL4544">
        <v>0</v>
      </c>
      <c r="AM4544">
        <v>0</v>
      </c>
      <c r="AN4544">
        <v>0</v>
      </c>
      <c r="AO4544">
        <v>120</v>
      </c>
      <c r="AP4544">
        <v>-12</v>
      </c>
      <c r="AQ4544">
        <v>0</v>
      </c>
      <c r="AS4544">
        <v>0</v>
      </c>
      <c r="AT4544">
        <v>0</v>
      </c>
      <c r="AV4544">
        <v>0</v>
      </c>
      <c r="AW4544">
        <v>0</v>
      </c>
      <c r="AX4544">
        <v>120</v>
      </c>
      <c r="AY4544">
        <v>-12</v>
      </c>
      <c r="AZ4544">
        <v>0</v>
      </c>
      <c r="BA4544">
        <v>64.8</v>
      </c>
      <c r="BE4544" t="str">
        <f>T("9791172822040")</f>
        <v>9791172822040</v>
      </c>
      <c r="BF4544" t="str">
        <f>T("D158727")</f>
        <v>D158727</v>
      </c>
      <c r="BG4544" t="str">
        <f>T("로판 웹소설 &gt; 서양풍 로판")</f>
        <v>로판 웹소설 &gt; 서양풍 로판</v>
      </c>
    </row>
    <row r="4545" spans="1:59">
      <c r="A4545" t="s">
        <v>60</v>
      </c>
      <c r="B4545" s="1">
        <v>46130</v>
      </c>
      <c r="C4545">
        <v>2378078499</v>
      </c>
      <c r="D4545">
        <v>2378078990</v>
      </c>
      <c r="E4545" t="str">
        <f>T("용사들은 성녀의 축복을 받아야 한다 104화")</f>
        <v>용사들은 성녀의 축복을 받아야 한다 104화</v>
      </c>
      <c r="F4545">
        <v>104</v>
      </c>
      <c r="G4545" t="str">
        <f>T("필밤")</f>
        <v>필밤</v>
      </c>
      <c r="J4545" t="str">
        <f>T("시계토끼")</f>
        <v>시계토끼</v>
      </c>
      <c r="K4545" t="str">
        <f>T("용사들은 성녀의 축복을 받아야 한다")</f>
        <v>용사들은 성녀의 축복을 받아야 한다</v>
      </c>
      <c r="L4545">
        <v>100</v>
      </c>
      <c r="M4545">
        <v>100</v>
      </c>
      <c r="N4545">
        <v>1</v>
      </c>
      <c r="O4545">
        <v>0</v>
      </c>
      <c r="P4545">
        <v>0</v>
      </c>
      <c r="Q4545">
        <v>0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0</v>
      </c>
      <c r="AC4545">
        <v>0</v>
      </c>
      <c r="AD4545">
        <v>0</v>
      </c>
      <c r="AE4545">
        <v>0</v>
      </c>
      <c r="AF4545">
        <v>0</v>
      </c>
      <c r="AG4545">
        <v>0</v>
      </c>
      <c r="AH4545">
        <v>0</v>
      </c>
      <c r="AI4545">
        <v>100</v>
      </c>
      <c r="AJ4545">
        <v>1</v>
      </c>
      <c r="AK4545">
        <v>0</v>
      </c>
      <c r="AL4545">
        <v>0</v>
      </c>
      <c r="AM4545">
        <v>0</v>
      </c>
      <c r="AN4545">
        <v>0</v>
      </c>
      <c r="AO4545">
        <v>120</v>
      </c>
      <c r="AP4545">
        <v>-12</v>
      </c>
      <c r="AQ4545">
        <v>0</v>
      </c>
      <c r="AS4545">
        <v>0</v>
      </c>
      <c r="AT4545">
        <v>0</v>
      </c>
      <c r="AV4545">
        <v>0</v>
      </c>
      <c r="AW4545">
        <v>0</v>
      </c>
      <c r="AX4545">
        <v>120</v>
      </c>
      <c r="AY4545">
        <v>-12</v>
      </c>
      <c r="AZ4545">
        <v>0</v>
      </c>
      <c r="BA4545">
        <v>64.8</v>
      </c>
      <c r="BE4545" t="str">
        <f>T("9791172822040")</f>
        <v>9791172822040</v>
      </c>
      <c r="BF4545" t="str">
        <f>T("D158728")</f>
        <v>D158728</v>
      </c>
      <c r="BG4545" t="str">
        <f>T("로판 웹소설 &gt; 서양풍 로판")</f>
        <v>로판 웹소설 &gt; 서양풍 로판</v>
      </c>
    </row>
    <row r="4546" spans="1:59">
      <c r="A4546" t="s">
        <v>60</v>
      </c>
      <c r="B4546" s="1">
        <v>46130</v>
      </c>
      <c r="C4546">
        <v>2378078499</v>
      </c>
      <c r="D4546">
        <v>2378079002</v>
      </c>
      <c r="E4546" t="str">
        <f>T("용사들은 성녀의 축복을 받아야 한다 105화")</f>
        <v>용사들은 성녀의 축복을 받아야 한다 105화</v>
      </c>
      <c r="F4546">
        <v>105</v>
      </c>
      <c r="G4546" t="str">
        <f>T("필밤")</f>
        <v>필밤</v>
      </c>
      <c r="J4546" t="str">
        <f>T("시계토끼")</f>
        <v>시계토끼</v>
      </c>
      <c r="K4546" t="str">
        <f>T("용사들은 성녀의 축복을 받아야 한다")</f>
        <v>용사들은 성녀의 축복을 받아야 한다</v>
      </c>
      <c r="L4546">
        <v>100</v>
      </c>
      <c r="M4546">
        <v>100</v>
      </c>
      <c r="N4546">
        <v>1</v>
      </c>
      <c r="O4546">
        <v>0</v>
      </c>
      <c r="P4546">
        <v>0</v>
      </c>
      <c r="Q4546">
        <v>0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0</v>
      </c>
      <c r="AC4546">
        <v>0</v>
      </c>
      <c r="AD4546">
        <v>0</v>
      </c>
      <c r="AE4546">
        <v>0</v>
      </c>
      <c r="AF4546">
        <v>0</v>
      </c>
      <c r="AG4546">
        <v>0</v>
      </c>
      <c r="AH4546">
        <v>0</v>
      </c>
      <c r="AI4546">
        <v>100</v>
      </c>
      <c r="AJ4546">
        <v>1</v>
      </c>
      <c r="AK4546">
        <v>0</v>
      </c>
      <c r="AL4546">
        <v>0</v>
      </c>
      <c r="AM4546">
        <v>0</v>
      </c>
      <c r="AN4546">
        <v>0</v>
      </c>
      <c r="AO4546">
        <v>120</v>
      </c>
      <c r="AP4546">
        <v>-12</v>
      </c>
      <c r="AQ4546">
        <v>0</v>
      </c>
      <c r="AS4546">
        <v>0</v>
      </c>
      <c r="AT4546">
        <v>0</v>
      </c>
      <c r="AV4546">
        <v>0</v>
      </c>
      <c r="AW4546">
        <v>0</v>
      </c>
      <c r="AX4546">
        <v>120</v>
      </c>
      <c r="AY4546">
        <v>-12</v>
      </c>
      <c r="AZ4546">
        <v>0</v>
      </c>
      <c r="BA4546">
        <v>64.8</v>
      </c>
      <c r="BE4546" t="str">
        <f>T("9791172822040")</f>
        <v>9791172822040</v>
      </c>
      <c r="BF4546" t="str">
        <f>T("D158729")</f>
        <v>D158729</v>
      </c>
      <c r="BG4546" t="str">
        <f>T("로판 웹소설 &gt; 서양풍 로판")</f>
        <v>로판 웹소설 &gt; 서양풍 로판</v>
      </c>
    </row>
    <row r="4547" spans="1:59">
      <c r="A4547" t="s">
        <v>60</v>
      </c>
      <c r="B4547" s="1">
        <v>46130</v>
      </c>
      <c r="C4547">
        <v>2378078499</v>
      </c>
      <c r="D4547">
        <v>2378078504</v>
      </c>
      <c r="E4547" t="str">
        <f>T("용사들은 성녀의 축복을 받아야 한다 6화")</f>
        <v>용사들은 성녀의 축복을 받아야 한다 6화</v>
      </c>
      <c r="F4547">
        <v>6</v>
      </c>
      <c r="G4547" t="str">
        <f>T("필밤")</f>
        <v>필밤</v>
      </c>
      <c r="J4547" t="str">
        <f>T("시계토끼")</f>
        <v>시계토끼</v>
      </c>
      <c r="K4547" t="str">
        <f>T("용사들은 성녀의 축복을 받아야 한다")</f>
        <v>용사들은 성녀의 축복을 받아야 한다</v>
      </c>
      <c r="L4547">
        <v>100</v>
      </c>
      <c r="M4547">
        <v>100</v>
      </c>
      <c r="N4547">
        <v>1</v>
      </c>
      <c r="O4547">
        <v>0</v>
      </c>
      <c r="P4547">
        <v>0</v>
      </c>
      <c r="Q4547">
        <v>0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0</v>
      </c>
      <c r="AC4547">
        <v>0</v>
      </c>
      <c r="AD4547">
        <v>0</v>
      </c>
      <c r="AE4547">
        <v>0</v>
      </c>
      <c r="AF4547">
        <v>0</v>
      </c>
      <c r="AG4547">
        <v>0</v>
      </c>
      <c r="AH4547">
        <v>0</v>
      </c>
      <c r="AI4547">
        <v>100</v>
      </c>
      <c r="AJ4547">
        <v>1</v>
      </c>
      <c r="AK4547">
        <v>0</v>
      </c>
      <c r="AL4547">
        <v>0</v>
      </c>
      <c r="AM4547">
        <v>0</v>
      </c>
      <c r="AN4547">
        <v>0</v>
      </c>
      <c r="AO4547">
        <v>120</v>
      </c>
      <c r="AP4547">
        <v>-36</v>
      </c>
      <c r="AQ4547">
        <v>0</v>
      </c>
      <c r="AR4547">
        <v>120</v>
      </c>
      <c r="AS4547">
        <v>-36</v>
      </c>
      <c r="AT4547">
        <v>0</v>
      </c>
      <c r="AV4547">
        <v>0</v>
      </c>
      <c r="AW4547">
        <v>0</v>
      </c>
      <c r="AY4547">
        <v>0</v>
      </c>
      <c r="AZ4547">
        <v>0</v>
      </c>
      <c r="BA4547">
        <v>50.4</v>
      </c>
      <c r="BE4547" t="str">
        <f>T("9791172822040")</f>
        <v>9791172822040</v>
      </c>
      <c r="BF4547" t="str">
        <f>T("D158630")</f>
        <v>D158630</v>
      </c>
      <c r="BG4547" t="str">
        <f>T("로판 웹소설 &gt; 서양풍 로판")</f>
        <v>로판 웹소설 &gt; 서양풍 로판</v>
      </c>
    </row>
    <row r="4548" spans="1:59">
      <c r="A4548" t="s">
        <v>60</v>
      </c>
      <c r="B4548" s="1">
        <v>46130</v>
      </c>
      <c r="C4548">
        <v>2378078499</v>
      </c>
      <c r="D4548">
        <v>2378079010</v>
      </c>
      <c r="E4548" t="str">
        <f>T("용사들은 성녀의 축복을 받아야 한다 107화")</f>
        <v>용사들은 성녀의 축복을 받아야 한다 107화</v>
      </c>
      <c r="F4548">
        <v>107</v>
      </c>
      <c r="G4548" t="str">
        <f>T("필밤")</f>
        <v>필밤</v>
      </c>
      <c r="J4548" t="str">
        <f>T("시계토끼")</f>
        <v>시계토끼</v>
      </c>
      <c r="K4548" t="str">
        <f>T("용사들은 성녀의 축복을 받아야 한다")</f>
        <v>용사들은 성녀의 축복을 받아야 한다</v>
      </c>
      <c r="L4548">
        <v>100</v>
      </c>
      <c r="M4548">
        <v>100</v>
      </c>
      <c r="N4548">
        <v>1</v>
      </c>
      <c r="O4548">
        <v>0</v>
      </c>
      <c r="P4548">
        <v>0</v>
      </c>
      <c r="Q4548">
        <v>0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0</v>
      </c>
      <c r="AC4548">
        <v>0</v>
      </c>
      <c r="AD4548">
        <v>0</v>
      </c>
      <c r="AE4548">
        <v>0</v>
      </c>
      <c r="AF4548">
        <v>0</v>
      </c>
      <c r="AG4548">
        <v>0</v>
      </c>
      <c r="AH4548">
        <v>0</v>
      </c>
      <c r="AI4548">
        <v>100</v>
      </c>
      <c r="AJ4548">
        <v>1</v>
      </c>
      <c r="AK4548">
        <v>0</v>
      </c>
      <c r="AL4548">
        <v>0</v>
      </c>
      <c r="AM4548">
        <v>100</v>
      </c>
      <c r="AN4548">
        <v>0</v>
      </c>
      <c r="AO4548">
        <v>0</v>
      </c>
      <c r="AP4548">
        <v>0</v>
      </c>
      <c r="AQ4548">
        <v>0</v>
      </c>
      <c r="AS4548">
        <v>0</v>
      </c>
      <c r="AT4548">
        <v>0</v>
      </c>
      <c r="AV4548">
        <v>0</v>
      </c>
      <c r="AW4548">
        <v>0</v>
      </c>
      <c r="AY4548">
        <v>0</v>
      </c>
      <c r="AZ4548">
        <v>0</v>
      </c>
      <c r="BA4548">
        <v>60</v>
      </c>
      <c r="BE4548" t="str">
        <f>T("9791172822040")</f>
        <v>9791172822040</v>
      </c>
      <c r="BF4548" t="str">
        <f>T("D158731")</f>
        <v>D158731</v>
      </c>
      <c r="BG4548" t="str">
        <f>T("로판 웹소설 &gt; 서양풍 로판")</f>
        <v>로판 웹소설 &gt; 서양풍 로판</v>
      </c>
    </row>
    <row r="4549" spans="1:59">
      <c r="A4549" t="s">
        <v>60</v>
      </c>
      <c r="B4549" s="1">
        <v>46130</v>
      </c>
      <c r="C4549">
        <v>2378078499</v>
      </c>
      <c r="D4549">
        <v>2378078567</v>
      </c>
      <c r="E4549" t="str">
        <f>T("용사들은 성녀의 축복을 받아야 한다 69화")</f>
        <v>용사들은 성녀의 축복을 받아야 한다 69화</v>
      </c>
      <c r="F4549">
        <v>69</v>
      </c>
      <c r="G4549" t="str">
        <f>T("필밤")</f>
        <v>필밤</v>
      </c>
      <c r="J4549" t="str">
        <f>T("시계토끼")</f>
        <v>시계토끼</v>
      </c>
      <c r="K4549" t="str">
        <f>T("용사들은 성녀의 축복을 받아야 한다")</f>
        <v>용사들은 성녀의 축복을 받아야 한다</v>
      </c>
      <c r="L4549">
        <v>100</v>
      </c>
      <c r="M4549">
        <v>200</v>
      </c>
      <c r="N4549">
        <v>2</v>
      </c>
      <c r="O4549">
        <v>0</v>
      </c>
      <c r="P4549">
        <v>0</v>
      </c>
      <c r="Q4549">
        <v>0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0</v>
      </c>
      <c r="AC4549">
        <v>0</v>
      </c>
      <c r="AD4549">
        <v>0</v>
      </c>
      <c r="AE4549">
        <v>0</v>
      </c>
      <c r="AF4549">
        <v>0</v>
      </c>
      <c r="AG4549">
        <v>0</v>
      </c>
      <c r="AH4549">
        <v>0</v>
      </c>
      <c r="AI4549">
        <v>200</v>
      </c>
      <c r="AJ4549">
        <v>2</v>
      </c>
      <c r="AK4549">
        <v>0</v>
      </c>
      <c r="AL4549">
        <v>0</v>
      </c>
      <c r="AM4549">
        <v>100</v>
      </c>
      <c r="AN4549">
        <v>0</v>
      </c>
      <c r="AO4549">
        <v>120</v>
      </c>
      <c r="AP4549">
        <v>-36</v>
      </c>
      <c r="AQ4549">
        <v>0</v>
      </c>
      <c r="AR4549">
        <v>120</v>
      </c>
      <c r="AS4549">
        <v>-36</v>
      </c>
      <c r="AT4549">
        <v>0</v>
      </c>
      <c r="AV4549">
        <v>0</v>
      </c>
      <c r="AW4549">
        <v>0</v>
      </c>
      <c r="AY4549">
        <v>0</v>
      </c>
      <c r="AZ4549">
        <v>0</v>
      </c>
      <c r="BA4549">
        <v>110.4</v>
      </c>
      <c r="BE4549" t="str">
        <f>T("9791172822040")</f>
        <v>9791172822040</v>
      </c>
      <c r="BF4549" t="str">
        <f>T("D158693")</f>
        <v>D158693</v>
      </c>
      <c r="BG4549" t="str">
        <f>T("로판 웹소설 &gt; 서양풍 로판")</f>
        <v>로판 웹소설 &gt; 서양풍 로판</v>
      </c>
    </row>
    <row r="4550" spans="1:59">
      <c r="A4550" t="s">
        <v>60</v>
      </c>
      <c r="B4550" s="1">
        <v>46130</v>
      </c>
      <c r="C4550">
        <v>2378078499</v>
      </c>
      <c r="D4550">
        <v>2378080108</v>
      </c>
      <c r="E4550" t="str">
        <f>T("용사들은 성녀의 축복을 받아야 한다 130화 (완결)")</f>
        <v>용사들은 성녀의 축복을 받아야 한다 130화 (완결)</v>
      </c>
      <c r="F4550">
        <v>130</v>
      </c>
      <c r="G4550" t="str">
        <f>T("필밤")</f>
        <v>필밤</v>
      </c>
      <c r="J4550" t="str">
        <f>T("시계토끼")</f>
        <v>시계토끼</v>
      </c>
      <c r="K4550" t="str">
        <f>T("용사들은 성녀의 축복을 받아야 한다")</f>
        <v>용사들은 성녀의 축복을 받아야 한다</v>
      </c>
      <c r="L4550">
        <v>100</v>
      </c>
      <c r="M4550">
        <v>100</v>
      </c>
      <c r="N4550">
        <v>1</v>
      </c>
      <c r="O4550">
        <v>0</v>
      </c>
      <c r="P4550">
        <v>0</v>
      </c>
      <c r="Q4550">
        <v>0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0</v>
      </c>
      <c r="AC4550">
        <v>0</v>
      </c>
      <c r="AD4550">
        <v>0</v>
      </c>
      <c r="AE4550">
        <v>0</v>
      </c>
      <c r="AF4550">
        <v>0</v>
      </c>
      <c r="AG4550">
        <v>0</v>
      </c>
      <c r="AH4550">
        <v>0</v>
      </c>
      <c r="AI4550">
        <v>100</v>
      </c>
      <c r="AJ4550">
        <v>1</v>
      </c>
      <c r="AK4550">
        <v>0</v>
      </c>
      <c r="AL4550">
        <v>0</v>
      </c>
      <c r="AM4550">
        <v>100</v>
      </c>
      <c r="AN4550">
        <v>0</v>
      </c>
      <c r="AO4550">
        <v>0</v>
      </c>
      <c r="AP4550">
        <v>0</v>
      </c>
      <c r="AQ4550">
        <v>0</v>
      </c>
      <c r="AS4550">
        <v>0</v>
      </c>
      <c r="AT4550">
        <v>0</v>
      </c>
      <c r="AV4550">
        <v>0</v>
      </c>
      <c r="AW4550">
        <v>0</v>
      </c>
      <c r="AY4550">
        <v>0</v>
      </c>
      <c r="AZ4550">
        <v>0</v>
      </c>
      <c r="BA4550">
        <v>60</v>
      </c>
      <c r="BE4550" t="str">
        <f>T("9791172822040")</f>
        <v>9791172822040</v>
      </c>
      <c r="BF4550" t="str">
        <f>T("D183629")</f>
        <v>D183629</v>
      </c>
      <c r="BG4550" t="str">
        <f>T("로판 웹소설 &gt; 서양풍 로판")</f>
        <v>로판 웹소설 &gt; 서양풍 로판</v>
      </c>
    </row>
    <row r="4551" spans="1:59">
      <c r="A4551" t="s">
        <v>60</v>
      </c>
      <c r="B4551" s="1">
        <v>46130</v>
      </c>
      <c r="C4551">
        <v>2378078499</v>
      </c>
      <c r="D4551">
        <v>2378081056</v>
      </c>
      <c r="E4551" t="str">
        <f>T("용사들은 성녀의 축복을 받아야 한다 외전 1화")</f>
        <v>용사들은 성녀의 축복을 받아야 한다 외전 1화</v>
      </c>
      <c r="F4551">
        <v>131</v>
      </c>
      <c r="G4551" t="str">
        <f>T("필밤")</f>
        <v>필밤</v>
      </c>
      <c r="J4551" t="str">
        <f>T("시계토끼")</f>
        <v>시계토끼</v>
      </c>
      <c r="K4551" t="str">
        <f>T("용사들은 성녀의 축복을 받아야 한다")</f>
        <v>용사들은 성녀의 축복을 받아야 한다</v>
      </c>
      <c r="L4551">
        <v>100</v>
      </c>
      <c r="M4551">
        <v>100</v>
      </c>
      <c r="N4551">
        <v>1</v>
      </c>
      <c r="O4551">
        <v>0</v>
      </c>
      <c r="P4551">
        <v>0</v>
      </c>
      <c r="Q4551">
        <v>0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0</v>
      </c>
      <c r="AC4551">
        <v>0</v>
      </c>
      <c r="AD4551">
        <v>0</v>
      </c>
      <c r="AE4551">
        <v>0</v>
      </c>
      <c r="AF4551">
        <v>0</v>
      </c>
      <c r="AG4551">
        <v>0</v>
      </c>
      <c r="AH4551">
        <v>0</v>
      </c>
      <c r="AI4551">
        <v>100</v>
      </c>
      <c r="AJ4551">
        <v>1</v>
      </c>
      <c r="AK4551">
        <v>0</v>
      </c>
      <c r="AL4551">
        <v>0</v>
      </c>
      <c r="AM4551">
        <v>100</v>
      </c>
      <c r="AN4551">
        <v>0</v>
      </c>
      <c r="AO4551">
        <v>0</v>
      </c>
      <c r="AP4551">
        <v>0</v>
      </c>
      <c r="AQ4551">
        <v>0</v>
      </c>
      <c r="AS4551">
        <v>0</v>
      </c>
      <c r="AT4551">
        <v>0</v>
      </c>
      <c r="AV4551">
        <v>0</v>
      </c>
      <c r="AW4551">
        <v>0</v>
      </c>
      <c r="AY4551">
        <v>0</v>
      </c>
      <c r="AZ4551">
        <v>0</v>
      </c>
      <c r="BA4551">
        <v>60</v>
      </c>
      <c r="BE4551" t="str">
        <f>T("9791172822040")</f>
        <v>9791172822040</v>
      </c>
      <c r="BF4551" t="str">
        <f>T("D183630")</f>
        <v>D183630</v>
      </c>
      <c r="BG4551" t="str">
        <f>T("로판 웹소설 &gt; 서양풍 로판")</f>
        <v>로판 웹소설 &gt; 서양풍 로판</v>
      </c>
    </row>
    <row r="4552" spans="1:59">
      <c r="A4552" t="s">
        <v>60</v>
      </c>
      <c r="B4552" s="1">
        <v>46130</v>
      </c>
      <c r="C4552">
        <v>2378078499</v>
      </c>
      <c r="D4552">
        <v>2378078554</v>
      </c>
      <c r="E4552" t="str">
        <f>T("용사들은 성녀의 축복을 받아야 한다 56화")</f>
        <v>용사들은 성녀의 축복을 받아야 한다 56화</v>
      </c>
      <c r="F4552">
        <v>56</v>
      </c>
      <c r="G4552" t="str">
        <f>T("필밤")</f>
        <v>필밤</v>
      </c>
      <c r="J4552" t="str">
        <f>T("시계토끼")</f>
        <v>시계토끼</v>
      </c>
      <c r="K4552" t="str">
        <f>T("용사들은 성녀의 축복을 받아야 한다")</f>
        <v>용사들은 성녀의 축복을 받아야 한다</v>
      </c>
      <c r="L4552">
        <v>100</v>
      </c>
      <c r="M4552">
        <v>100</v>
      </c>
      <c r="N4552">
        <v>1</v>
      </c>
      <c r="O4552">
        <v>0</v>
      </c>
      <c r="P4552">
        <v>0</v>
      </c>
      <c r="Q4552">
        <v>0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0</v>
      </c>
      <c r="AC4552">
        <v>0</v>
      </c>
      <c r="AD4552">
        <v>0</v>
      </c>
      <c r="AE4552">
        <v>0</v>
      </c>
      <c r="AF4552">
        <v>0</v>
      </c>
      <c r="AG4552">
        <v>0</v>
      </c>
      <c r="AH4552">
        <v>0</v>
      </c>
      <c r="AI4552">
        <v>100</v>
      </c>
      <c r="AJ4552">
        <v>1</v>
      </c>
      <c r="AK4552">
        <v>0</v>
      </c>
      <c r="AL4552">
        <v>0</v>
      </c>
      <c r="AM4552">
        <v>0</v>
      </c>
      <c r="AN4552">
        <v>0</v>
      </c>
      <c r="AO4552">
        <v>120</v>
      </c>
      <c r="AP4552">
        <v>-36</v>
      </c>
      <c r="AQ4552">
        <v>0</v>
      </c>
      <c r="AR4552">
        <v>120</v>
      </c>
      <c r="AS4552">
        <v>-36</v>
      </c>
      <c r="AT4552">
        <v>0</v>
      </c>
      <c r="AV4552">
        <v>0</v>
      </c>
      <c r="AW4552">
        <v>0</v>
      </c>
      <c r="AY4552">
        <v>0</v>
      </c>
      <c r="AZ4552">
        <v>0</v>
      </c>
      <c r="BA4552">
        <v>50.4</v>
      </c>
      <c r="BE4552" t="str">
        <f>T("9791172822040")</f>
        <v>9791172822040</v>
      </c>
      <c r="BF4552" t="str">
        <f>T("D158680")</f>
        <v>D158680</v>
      </c>
      <c r="BG4552" t="str">
        <f>T("로판 웹소설 &gt; 서양풍 로판")</f>
        <v>로판 웹소설 &gt; 서양풍 로판</v>
      </c>
    </row>
    <row r="4553" spans="1:59">
      <c r="A4553" t="s">
        <v>60</v>
      </c>
      <c r="B4553" s="1">
        <v>46130</v>
      </c>
      <c r="C4553">
        <v>2378078499</v>
      </c>
      <c r="D4553">
        <v>2378078556</v>
      </c>
      <c r="E4553" t="str">
        <f>T("용사들은 성녀의 축복을 받아야 한다 58화")</f>
        <v>용사들은 성녀의 축복을 받아야 한다 58화</v>
      </c>
      <c r="F4553">
        <v>58</v>
      </c>
      <c r="G4553" t="str">
        <f>T("필밤")</f>
        <v>필밤</v>
      </c>
      <c r="J4553" t="str">
        <f>T("시계토끼")</f>
        <v>시계토끼</v>
      </c>
      <c r="K4553" t="str">
        <f>T("용사들은 성녀의 축복을 받아야 한다")</f>
        <v>용사들은 성녀의 축복을 받아야 한다</v>
      </c>
      <c r="L4553">
        <v>100</v>
      </c>
      <c r="M4553">
        <v>100</v>
      </c>
      <c r="N4553">
        <v>1</v>
      </c>
      <c r="O4553">
        <v>0</v>
      </c>
      <c r="P4553">
        <v>0</v>
      </c>
      <c r="Q4553">
        <v>0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0</v>
      </c>
      <c r="AC4553">
        <v>0</v>
      </c>
      <c r="AD4553">
        <v>0</v>
      </c>
      <c r="AE4553">
        <v>0</v>
      </c>
      <c r="AF4553">
        <v>0</v>
      </c>
      <c r="AG4553">
        <v>0</v>
      </c>
      <c r="AH4553">
        <v>0</v>
      </c>
      <c r="AI4553">
        <v>100</v>
      </c>
      <c r="AJ4553">
        <v>1</v>
      </c>
      <c r="AK4553">
        <v>0</v>
      </c>
      <c r="AL4553">
        <v>0</v>
      </c>
      <c r="AM4553">
        <v>0</v>
      </c>
      <c r="AN4553">
        <v>0</v>
      </c>
      <c r="AO4553">
        <v>120</v>
      </c>
      <c r="AP4553">
        <v>-36</v>
      </c>
      <c r="AQ4553">
        <v>0</v>
      </c>
      <c r="AR4553">
        <v>120</v>
      </c>
      <c r="AS4553">
        <v>-36</v>
      </c>
      <c r="AT4553">
        <v>0</v>
      </c>
      <c r="AV4553">
        <v>0</v>
      </c>
      <c r="AW4553">
        <v>0</v>
      </c>
      <c r="AY4553">
        <v>0</v>
      </c>
      <c r="AZ4553">
        <v>0</v>
      </c>
      <c r="BA4553">
        <v>50.4</v>
      </c>
      <c r="BE4553" t="str">
        <f>T("9791172822040")</f>
        <v>9791172822040</v>
      </c>
      <c r="BF4553" t="str">
        <f>T("D158682")</f>
        <v>D158682</v>
      </c>
      <c r="BG4553" t="str">
        <f>T("로판 웹소설 &gt; 서양풍 로판")</f>
        <v>로판 웹소설 &gt; 서양풍 로판</v>
      </c>
    </row>
    <row r="4554" spans="1:59">
      <c r="A4554" t="s">
        <v>60</v>
      </c>
      <c r="B4554" s="1">
        <v>46130</v>
      </c>
      <c r="C4554">
        <v>2378078499</v>
      </c>
      <c r="D4554">
        <v>2378078558</v>
      </c>
      <c r="E4554" t="str">
        <f>T("용사들은 성녀의 축복을 받아야 한다 60화")</f>
        <v>용사들은 성녀의 축복을 받아야 한다 60화</v>
      </c>
      <c r="F4554">
        <v>60</v>
      </c>
      <c r="G4554" t="str">
        <f>T("필밤")</f>
        <v>필밤</v>
      </c>
      <c r="J4554" t="str">
        <f>T("시계토끼")</f>
        <v>시계토끼</v>
      </c>
      <c r="K4554" t="str">
        <f>T("용사들은 성녀의 축복을 받아야 한다")</f>
        <v>용사들은 성녀의 축복을 받아야 한다</v>
      </c>
      <c r="L4554">
        <v>100</v>
      </c>
      <c r="M4554">
        <v>100</v>
      </c>
      <c r="N4554">
        <v>1</v>
      </c>
      <c r="O4554">
        <v>0</v>
      </c>
      <c r="P4554">
        <v>0</v>
      </c>
      <c r="Q4554">
        <v>0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0</v>
      </c>
      <c r="AC4554">
        <v>0</v>
      </c>
      <c r="AD4554">
        <v>0</v>
      </c>
      <c r="AE4554">
        <v>0</v>
      </c>
      <c r="AF4554">
        <v>0</v>
      </c>
      <c r="AG4554">
        <v>0</v>
      </c>
      <c r="AH4554">
        <v>0</v>
      </c>
      <c r="AI4554">
        <v>100</v>
      </c>
      <c r="AJ4554">
        <v>1</v>
      </c>
      <c r="AK4554">
        <v>0</v>
      </c>
      <c r="AL4554">
        <v>0</v>
      </c>
      <c r="AM4554">
        <v>0</v>
      </c>
      <c r="AN4554">
        <v>0</v>
      </c>
      <c r="AO4554">
        <v>120</v>
      </c>
      <c r="AP4554">
        <v>-36</v>
      </c>
      <c r="AQ4554">
        <v>0</v>
      </c>
      <c r="AR4554">
        <v>120</v>
      </c>
      <c r="AS4554">
        <v>-36</v>
      </c>
      <c r="AT4554">
        <v>0</v>
      </c>
      <c r="AV4554">
        <v>0</v>
      </c>
      <c r="AW4554">
        <v>0</v>
      </c>
      <c r="AY4554">
        <v>0</v>
      </c>
      <c r="AZ4554">
        <v>0</v>
      </c>
      <c r="BA4554">
        <v>50.4</v>
      </c>
      <c r="BE4554" t="str">
        <f>T("9791172822040")</f>
        <v>9791172822040</v>
      </c>
      <c r="BF4554" t="str">
        <f>T("D158684")</f>
        <v>D158684</v>
      </c>
      <c r="BG4554" t="str">
        <f>T("로판 웹소설 &gt; 서양풍 로판")</f>
        <v>로판 웹소설 &gt; 서양풍 로판</v>
      </c>
    </row>
    <row r="4555" spans="1:59">
      <c r="A4555" t="s">
        <v>60</v>
      </c>
      <c r="B4555" s="1">
        <v>46130</v>
      </c>
      <c r="C4555">
        <v>2378078499</v>
      </c>
      <c r="D4555">
        <v>2378078561</v>
      </c>
      <c r="E4555" t="str">
        <f>T("용사들은 성녀의 축복을 받아야 한다 63화")</f>
        <v>용사들은 성녀의 축복을 받아야 한다 63화</v>
      </c>
      <c r="F4555">
        <v>63</v>
      </c>
      <c r="G4555" t="str">
        <f>T("필밤")</f>
        <v>필밤</v>
      </c>
      <c r="J4555" t="str">
        <f>T("시계토끼")</f>
        <v>시계토끼</v>
      </c>
      <c r="K4555" t="str">
        <f>T("용사들은 성녀의 축복을 받아야 한다")</f>
        <v>용사들은 성녀의 축복을 받아야 한다</v>
      </c>
      <c r="L4555">
        <v>100</v>
      </c>
      <c r="M4555">
        <v>100</v>
      </c>
      <c r="N4555">
        <v>1</v>
      </c>
      <c r="O4555">
        <v>0</v>
      </c>
      <c r="P4555">
        <v>0</v>
      </c>
      <c r="Q4555">
        <v>0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0</v>
      </c>
      <c r="AC4555">
        <v>0</v>
      </c>
      <c r="AD4555">
        <v>0</v>
      </c>
      <c r="AE4555">
        <v>0</v>
      </c>
      <c r="AF4555">
        <v>0</v>
      </c>
      <c r="AG4555">
        <v>0</v>
      </c>
      <c r="AH4555">
        <v>0</v>
      </c>
      <c r="AI4555">
        <v>100</v>
      </c>
      <c r="AJ4555">
        <v>1</v>
      </c>
      <c r="AK4555">
        <v>0</v>
      </c>
      <c r="AL4555">
        <v>0</v>
      </c>
      <c r="AM4555">
        <v>0</v>
      </c>
      <c r="AN4555">
        <v>0</v>
      </c>
      <c r="AO4555">
        <v>120</v>
      </c>
      <c r="AP4555">
        <v>-36</v>
      </c>
      <c r="AQ4555">
        <v>0</v>
      </c>
      <c r="AR4555">
        <v>120</v>
      </c>
      <c r="AS4555">
        <v>-36</v>
      </c>
      <c r="AT4555">
        <v>0</v>
      </c>
      <c r="AV4555">
        <v>0</v>
      </c>
      <c r="AW4555">
        <v>0</v>
      </c>
      <c r="AY4555">
        <v>0</v>
      </c>
      <c r="AZ4555">
        <v>0</v>
      </c>
      <c r="BA4555">
        <v>50.4</v>
      </c>
      <c r="BE4555" t="str">
        <f>T("9791172822040")</f>
        <v>9791172822040</v>
      </c>
      <c r="BF4555" t="str">
        <f>T("D158687")</f>
        <v>D158687</v>
      </c>
      <c r="BG4555" t="str">
        <f>T("로판 웹소설 &gt; 서양풍 로판")</f>
        <v>로판 웹소설 &gt; 서양풍 로판</v>
      </c>
    </row>
    <row r="4556" spans="1:59">
      <c r="A4556" t="s">
        <v>60</v>
      </c>
      <c r="B4556" s="1">
        <v>46130</v>
      </c>
      <c r="C4556">
        <v>2378078499</v>
      </c>
      <c r="D4556">
        <v>2378078563</v>
      </c>
      <c r="E4556" t="str">
        <f>T("용사들은 성녀의 축복을 받아야 한다 65화")</f>
        <v>용사들은 성녀의 축복을 받아야 한다 65화</v>
      </c>
      <c r="F4556">
        <v>65</v>
      </c>
      <c r="G4556" t="str">
        <f>T("필밤")</f>
        <v>필밤</v>
      </c>
      <c r="J4556" t="str">
        <f>T("시계토끼")</f>
        <v>시계토끼</v>
      </c>
      <c r="K4556" t="str">
        <f>T("용사들은 성녀의 축복을 받아야 한다")</f>
        <v>용사들은 성녀의 축복을 받아야 한다</v>
      </c>
      <c r="L4556">
        <v>100</v>
      </c>
      <c r="M4556">
        <v>100</v>
      </c>
      <c r="N4556">
        <v>1</v>
      </c>
      <c r="O4556">
        <v>0</v>
      </c>
      <c r="P4556">
        <v>0</v>
      </c>
      <c r="Q4556">
        <v>0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0</v>
      </c>
      <c r="AC4556">
        <v>0</v>
      </c>
      <c r="AD4556">
        <v>0</v>
      </c>
      <c r="AE4556">
        <v>0</v>
      </c>
      <c r="AF4556">
        <v>0</v>
      </c>
      <c r="AG4556">
        <v>0</v>
      </c>
      <c r="AH4556">
        <v>0</v>
      </c>
      <c r="AI4556">
        <v>100</v>
      </c>
      <c r="AJ4556">
        <v>1</v>
      </c>
      <c r="AK4556">
        <v>0</v>
      </c>
      <c r="AL4556">
        <v>0</v>
      </c>
      <c r="AM4556">
        <v>0</v>
      </c>
      <c r="AN4556">
        <v>0</v>
      </c>
      <c r="AO4556">
        <v>120</v>
      </c>
      <c r="AP4556">
        <v>-36</v>
      </c>
      <c r="AQ4556">
        <v>0</v>
      </c>
      <c r="AR4556">
        <v>120</v>
      </c>
      <c r="AS4556">
        <v>-36</v>
      </c>
      <c r="AT4556">
        <v>0</v>
      </c>
      <c r="AV4556">
        <v>0</v>
      </c>
      <c r="AW4556">
        <v>0</v>
      </c>
      <c r="AY4556">
        <v>0</v>
      </c>
      <c r="AZ4556">
        <v>0</v>
      </c>
      <c r="BA4556">
        <v>50.4</v>
      </c>
      <c r="BE4556" t="str">
        <f>T("9791172822040")</f>
        <v>9791172822040</v>
      </c>
      <c r="BF4556" t="str">
        <f>T("D158689")</f>
        <v>D158689</v>
      </c>
      <c r="BG4556" t="str">
        <f>T("로판 웹소설 &gt; 서양풍 로판")</f>
        <v>로판 웹소설 &gt; 서양풍 로판</v>
      </c>
    </row>
    <row r="4557" spans="1:59">
      <c r="A4557" t="s">
        <v>60</v>
      </c>
      <c r="B4557" s="1">
        <v>46130</v>
      </c>
      <c r="C4557">
        <v>2378078499</v>
      </c>
      <c r="D4557">
        <v>2378078565</v>
      </c>
      <c r="E4557" t="str">
        <f>T("용사들은 성녀의 축복을 받아야 한다 67화")</f>
        <v>용사들은 성녀의 축복을 받아야 한다 67화</v>
      </c>
      <c r="F4557">
        <v>67</v>
      </c>
      <c r="G4557" t="str">
        <f>T("필밤")</f>
        <v>필밤</v>
      </c>
      <c r="J4557" t="str">
        <f>T("시계토끼")</f>
        <v>시계토끼</v>
      </c>
      <c r="K4557" t="str">
        <f>T("용사들은 성녀의 축복을 받아야 한다")</f>
        <v>용사들은 성녀의 축복을 받아야 한다</v>
      </c>
      <c r="L4557">
        <v>100</v>
      </c>
      <c r="M4557">
        <v>100</v>
      </c>
      <c r="N4557">
        <v>1</v>
      </c>
      <c r="O4557">
        <v>0</v>
      </c>
      <c r="P4557">
        <v>0</v>
      </c>
      <c r="Q4557">
        <v>0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0</v>
      </c>
      <c r="AC4557">
        <v>0</v>
      </c>
      <c r="AD4557">
        <v>0</v>
      </c>
      <c r="AE4557">
        <v>0</v>
      </c>
      <c r="AF4557">
        <v>0</v>
      </c>
      <c r="AG4557">
        <v>0</v>
      </c>
      <c r="AH4557">
        <v>0</v>
      </c>
      <c r="AI4557">
        <v>100</v>
      </c>
      <c r="AJ4557">
        <v>1</v>
      </c>
      <c r="AK4557">
        <v>0</v>
      </c>
      <c r="AL4557">
        <v>0</v>
      </c>
      <c r="AM4557">
        <v>0</v>
      </c>
      <c r="AN4557">
        <v>0</v>
      </c>
      <c r="AO4557">
        <v>120</v>
      </c>
      <c r="AP4557">
        <v>-36</v>
      </c>
      <c r="AQ4557">
        <v>0</v>
      </c>
      <c r="AR4557">
        <v>120</v>
      </c>
      <c r="AS4557">
        <v>-36</v>
      </c>
      <c r="AT4557">
        <v>0</v>
      </c>
      <c r="AV4557">
        <v>0</v>
      </c>
      <c r="AW4557">
        <v>0</v>
      </c>
      <c r="AY4557">
        <v>0</v>
      </c>
      <c r="AZ4557">
        <v>0</v>
      </c>
      <c r="BA4557">
        <v>50.4</v>
      </c>
      <c r="BE4557" t="str">
        <f>T("9791172822040")</f>
        <v>9791172822040</v>
      </c>
      <c r="BF4557" t="str">
        <f>T("D158691")</f>
        <v>D158691</v>
      </c>
      <c r="BG4557" t="str">
        <f>T("로판 웹소설 &gt; 서양풍 로판")</f>
        <v>로판 웹소설 &gt; 서양풍 로판</v>
      </c>
    </row>
    <row r="4558" spans="1:59">
      <c r="A4558" t="s">
        <v>60</v>
      </c>
      <c r="B4558" s="1">
        <v>46130</v>
      </c>
      <c r="C4558">
        <v>2378078499</v>
      </c>
      <c r="D4558">
        <v>2378078566</v>
      </c>
      <c r="E4558" t="str">
        <f>T("용사들은 성녀의 축복을 받아야 한다 68화")</f>
        <v>용사들은 성녀의 축복을 받아야 한다 68화</v>
      </c>
      <c r="F4558">
        <v>68</v>
      </c>
      <c r="G4558" t="str">
        <f>T("필밤")</f>
        <v>필밤</v>
      </c>
      <c r="J4558" t="str">
        <f>T("시계토끼")</f>
        <v>시계토끼</v>
      </c>
      <c r="K4558" t="str">
        <f>T("용사들은 성녀의 축복을 받아야 한다")</f>
        <v>용사들은 성녀의 축복을 받아야 한다</v>
      </c>
      <c r="L4558">
        <v>100</v>
      </c>
      <c r="M4558">
        <v>100</v>
      </c>
      <c r="N4558">
        <v>1</v>
      </c>
      <c r="O4558">
        <v>0</v>
      </c>
      <c r="P4558">
        <v>0</v>
      </c>
      <c r="Q4558">
        <v>0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0</v>
      </c>
      <c r="AC4558">
        <v>0</v>
      </c>
      <c r="AD4558">
        <v>0</v>
      </c>
      <c r="AE4558">
        <v>0</v>
      </c>
      <c r="AF4558">
        <v>0</v>
      </c>
      <c r="AG4558">
        <v>0</v>
      </c>
      <c r="AH4558">
        <v>0</v>
      </c>
      <c r="AI4558">
        <v>100</v>
      </c>
      <c r="AJ4558">
        <v>1</v>
      </c>
      <c r="AK4558">
        <v>0</v>
      </c>
      <c r="AL4558">
        <v>0</v>
      </c>
      <c r="AM4558">
        <v>0</v>
      </c>
      <c r="AN4558">
        <v>0</v>
      </c>
      <c r="AO4558">
        <v>120</v>
      </c>
      <c r="AP4558">
        <v>-36</v>
      </c>
      <c r="AQ4558">
        <v>0</v>
      </c>
      <c r="AR4558">
        <v>120</v>
      </c>
      <c r="AS4558">
        <v>-36</v>
      </c>
      <c r="AT4558">
        <v>0</v>
      </c>
      <c r="AV4558">
        <v>0</v>
      </c>
      <c r="AW4558">
        <v>0</v>
      </c>
      <c r="AY4558">
        <v>0</v>
      </c>
      <c r="AZ4558">
        <v>0</v>
      </c>
      <c r="BA4558">
        <v>50.4</v>
      </c>
      <c r="BE4558" t="str">
        <f>T("9791172822040")</f>
        <v>9791172822040</v>
      </c>
      <c r="BF4558" t="str">
        <f>T("D158692")</f>
        <v>D158692</v>
      </c>
      <c r="BG4558" t="str">
        <f>T("로판 웹소설 &gt; 서양풍 로판")</f>
        <v>로판 웹소설 &gt; 서양풍 로판</v>
      </c>
    </row>
    <row r="4559" spans="1:59">
      <c r="A4559" t="s">
        <v>60</v>
      </c>
      <c r="B4559" s="1">
        <v>46130</v>
      </c>
      <c r="C4559">
        <v>2378078499</v>
      </c>
      <c r="D4559">
        <v>2378078568</v>
      </c>
      <c r="E4559" t="str">
        <f>T("용사들은 성녀의 축복을 받아야 한다 70화")</f>
        <v>용사들은 성녀의 축복을 받아야 한다 70화</v>
      </c>
      <c r="F4559">
        <v>70</v>
      </c>
      <c r="G4559" t="str">
        <f>T("필밤")</f>
        <v>필밤</v>
      </c>
      <c r="J4559" t="str">
        <f>T("시계토끼")</f>
        <v>시계토끼</v>
      </c>
      <c r="K4559" t="str">
        <f>T("용사들은 성녀의 축복을 받아야 한다")</f>
        <v>용사들은 성녀의 축복을 받아야 한다</v>
      </c>
      <c r="L4559">
        <v>100</v>
      </c>
      <c r="M4559">
        <v>100</v>
      </c>
      <c r="N4559">
        <v>1</v>
      </c>
      <c r="O4559">
        <v>0</v>
      </c>
      <c r="P4559">
        <v>0</v>
      </c>
      <c r="Q4559">
        <v>0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0</v>
      </c>
      <c r="AC4559">
        <v>0</v>
      </c>
      <c r="AD4559">
        <v>0</v>
      </c>
      <c r="AE4559">
        <v>0</v>
      </c>
      <c r="AF4559">
        <v>0</v>
      </c>
      <c r="AG4559">
        <v>0</v>
      </c>
      <c r="AH4559">
        <v>0</v>
      </c>
      <c r="AI4559">
        <v>100</v>
      </c>
      <c r="AJ4559">
        <v>1</v>
      </c>
      <c r="AK4559">
        <v>0</v>
      </c>
      <c r="AL4559">
        <v>0</v>
      </c>
      <c r="AM4559">
        <v>0</v>
      </c>
      <c r="AN4559">
        <v>0</v>
      </c>
      <c r="AO4559">
        <v>120</v>
      </c>
      <c r="AP4559">
        <v>-36</v>
      </c>
      <c r="AQ4559">
        <v>0</v>
      </c>
      <c r="AR4559">
        <v>120</v>
      </c>
      <c r="AS4559">
        <v>-36</v>
      </c>
      <c r="AT4559">
        <v>0</v>
      </c>
      <c r="AV4559">
        <v>0</v>
      </c>
      <c r="AW4559">
        <v>0</v>
      </c>
      <c r="AY4559">
        <v>0</v>
      </c>
      <c r="AZ4559">
        <v>0</v>
      </c>
      <c r="BA4559">
        <v>50.4</v>
      </c>
      <c r="BE4559" t="str">
        <f>T("9791172822040")</f>
        <v>9791172822040</v>
      </c>
      <c r="BF4559" t="str">
        <f>T("D158694")</f>
        <v>D158694</v>
      </c>
      <c r="BG4559" t="str">
        <f>T("로판 웹소설 &gt; 서양풍 로판")</f>
        <v>로판 웹소설 &gt; 서양풍 로판</v>
      </c>
    </row>
    <row r="4560" spans="1:59">
      <c r="A4560" t="s">
        <v>60</v>
      </c>
      <c r="B4560" s="1">
        <v>46130</v>
      </c>
      <c r="C4560">
        <v>2378078499</v>
      </c>
      <c r="D4560">
        <v>2378078581</v>
      </c>
      <c r="E4560" t="str">
        <f>T("용사들은 성녀의 축복을 받아야 한다 83화")</f>
        <v>용사들은 성녀의 축복을 받아야 한다 83화</v>
      </c>
      <c r="F4560">
        <v>83</v>
      </c>
      <c r="G4560" t="str">
        <f>T("필밤")</f>
        <v>필밤</v>
      </c>
      <c r="J4560" t="str">
        <f>T("시계토끼")</f>
        <v>시계토끼</v>
      </c>
      <c r="K4560" t="str">
        <f>T("용사들은 성녀의 축복을 받아야 한다")</f>
        <v>용사들은 성녀의 축복을 받아야 한다</v>
      </c>
      <c r="L4560">
        <v>100</v>
      </c>
      <c r="M4560">
        <v>100</v>
      </c>
      <c r="N4560">
        <v>1</v>
      </c>
      <c r="O4560">
        <v>0</v>
      </c>
      <c r="P4560">
        <v>0</v>
      </c>
      <c r="Q4560">
        <v>0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0</v>
      </c>
      <c r="AC4560">
        <v>0</v>
      </c>
      <c r="AD4560">
        <v>0</v>
      </c>
      <c r="AE4560">
        <v>0</v>
      </c>
      <c r="AF4560">
        <v>0</v>
      </c>
      <c r="AG4560">
        <v>0</v>
      </c>
      <c r="AH4560">
        <v>0</v>
      </c>
      <c r="AI4560">
        <v>100</v>
      </c>
      <c r="AJ4560">
        <v>1</v>
      </c>
      <c r="AK4560">
        <v>0</v>
      </c>
      <c r="AL4560">
        <v>0</v>
      </c>
      <c r="AM4560">
        <v>0</v>
      </c>
      <c r="AN4560">
        <v>0</v>
      </c>
      <c r="AO4560">
        <v>120</v>
      </c>
      <c r="AP4560">
        <v>-12</v>
      </c>
      <c r="AQ4560">
        <v>0</v>
      </c>
      <c r="AS4560">
        <v>0</v>
      </c>
      <c r="AT4560">
        <v>0</v>
      </c>
      <c r="AV4560">
        <v>0</v>
      </c>
      <c r="AW4560">
        <v>0</v>
      </c>
      <c r="AX4560">
        <v>120</v>
      </c>
      <c r="AY4560">
        <v>-12</v>
      </c>
      <c r="AZ4560">
        <v>0</v>
      </c>
      <c r="BA4560">
        <v>64.8</v>
      </c>
      <c r="BE4560" t="str">
        <f>T("9791172822040")</f>
        <v>9791172822040</v>
      </c>
      <c r="BF4560" t="str">
        <f>T("D158707")</f>
        <v>D158707</v>
      </c>
      <c r="BG4560" t="str">
        <f>T("로판 웹소설 &gt; 서양풍 로판")</f>
        <v>로판 웹소설 &gt; 서양풍 로판</v>
      </c>
    </row>
    <row r="4561" spans="1:59">
      <c r="A4561" t="s">
        <v>60</v>
      </c>
      <c r="B4561" s="1">
        <v>46130</v>
      </c>
      <c r="C4561">
        <v>2378078499</v>
      </c>
      <c r="D4561">
        <v>2378078582</v>
      </c>
      <c r="E4561" t="str">
        <f>T("용사들은 성녀의 축복을 받아야 한다 84화")</f>
        <v>용사들은 성녀의 축복을 받아야 한다 84화</v>
      </c>
      <c r="F4561">
        <v>84</v>
      </c>
      <c r="G4561" t="str">
        <f>T("필밤")</f>
        <v>필밤</v>
      </c>
      <c r="J4561" t="str">
        <f>T("시계토끼")</f>
        <v>시계토끼</v>
      </c>
      <c r="K4561" t="str">
        <f>T("용사들은 성녀의 축복을 받아야 한다")</f>
        <v>용사들은 성녀의 축복을 받아야 한다</v>
      </c>
      <c r="L4561">
        <v>100</v>
      </c>
      <c r="M4561">
        <v>100</v>
      </c>
      <c r="N4561">
        <v>1</v>
      </c>
      <c r="O4561">
        <v>0</v>
      </c>
      <c r="P4561">
        <v>0</v>
      </c>
      <c r="Q4561">
        <v>0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0</v>
      </c>
      <c r="AC4561">
        <v>0</v>
      </c>
      <c r="AD4561">
        <v>0</v>
      </c>
      <c r="AE4561">
        <v>0</v>
      </c>
      <c r="AF4561">
        <v>0</v>
      </c>
      <c r="AG4561">
        <v>0</v>
      </c>
      <c r="AH4561">
        <v>0</v>
      </c>
      <c r="AI4561">
        <v>100</v>
      </c>
      <c r="AJ4561">
        <v>1</v>
      </c>
      <c r="AK4561">
        <v>0</v>
      </c>
      <c r="AL4561">
        <v>0</v>
      </c>
      <c r="AM4561">
        <v>0</v>
      </c>
      <c r="AN4561">
        <v>0</v>
      </c>
      <c r="AO4561">
        <v>120</v>
      </c>
      <c r="AP4561">
        <v>-12</v>
      </c>
      <c r="AQ4561">
        <v>0</v>
      </c>
      <c r="AS4561">
        <v>0</v>
      </c>
      <c r="AT4561">
        <v>0</v>
      </c>
      <c r="AV4561">
        <v>0</v>
      </c>
      <c r="AW4561">
        <v>0</v>
      </c>
      <c r="AX4561">
        <v>120</v>
      </c>
      <c r="AY4561">
        <v>-12</v>
      </c>
      <c r="AZ4561">
        <v>0</v>
      </c>
      <c r="BA4561">
        <v>64.8</v>
      </c>
      <c r="BE4561" t="str">
        <f>T("9791172822040")</f>
        <v>9791172822040</v>
      </c>
      <c r="BF4561" t="str">
        <f>T("D158708")</f>
        <v>D158708</v>
      </c>
      <c r="BG4561" t="str">
        <f>T("로판 웹소설 &gt; 서양풍 로판")</f>
        <v>로판 웹소설 &gt; 서양풍 로판</v>
      </c>
    </row>
    <row r="4562" spans="1:59">
      <c r="A4562" t="s">
        <v>60</v>
      </c>
      <c r="B4562" s="1">
        <v>46130</v>
      </c>
      <c r="C4562">
        <v>2378078499</v>
      </c>
      <c r="D4562">
        <v>2378078583</v>
      </c>
      <c r="E4562" t="str">
        <f>T("용사들은 성녀의 축복을 받아야 한다 85화")</f>
        <v>용사들은 성녀의 축복을 받아야 한다 85화</v>
      </c>
      <c r="F4562">
        <v>85</v>
      </c>
      <c r="G4562" t="str">
        <f>T("필밤")</f>
        <v>필밤</v>
      </c>
      <c r="J4562" t="str">
        <f>T("시계토끼")</f>
        <v>시계토끼</v>
      </c>
      <c r="K4562" t="str">
        <f>T("용사들은 성녀의 축복을 받아야 한다")</f>
        <v>용사들은 성녀의 축복을 받아야 한다</v>
      </c>
      <c r="L4562">
        <v>100</v>
      </c>
      <c r="M4562">
        <v>100</v>
      </c>
      <c r="N4562">
        <v>1</v>
      </c>
      <c r="O4562">
        <v>0</v>
      </c>
      <c r="P4562">
        <v>0</v>
      </c>
      <c r="Q4562">
        <v>0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0</v>
      </c>
      <c r="AC4562">
        <v>0</v>
      </c>
      <c r="AD4562">
        <v>0</v>
      </c>
      <c r="AE4562">
        <v>0</v>
      </c>
      <c r="AF4562">
        <v>0</v>
      </c>
      <c r="AG4562">
        <v>0</v>
      </c>
      <c r="AH4562">
        <v>0</v>
      </c>
      <c r="AI4562">
        <v>100</v>
      </c>
      <c r="AJ4562">
        <v>1</v>
      </c>
      <c r="AK4562">
        <v>0</v>
      </c>
      <c r="AL4562">
        <v>0</v>
      </c>
      <c r="AM4562">
        <v>0</v>
      </c>
      <c r="AN4562">
        <v>0</v>
      </c>
      <c r="AO4562">
        <v>120</v>
      </c>
      <c r="AP4562">
        <v>-12</v>
      </c>
      <c r="AQ4562">
        <v>0</v>
      </c>
      <c r="AS4562">
        <v>0</v>
      </c>
      <c r="AT4562">
        <v>0</v>
      </c>
      <c r="AV4562">
        <v>0</v>
      </c>
      <c r="AW4562">
        <v>0</v>
      </c>
      <c r="AX4562">
        <v>120</v>
      </c>
      <c r="AY4562">
        <v>-12</v>
      </c>
      <c r="AZ4562">
        <v>0</v>
      </c>
      <c r="BA4562">
        <v>64.8</v>
      </c>
      <c r="BE4562" t="str">
        <f>T("9791172822040")</f>
        <v>9791172822040</v>
      </c>
      <c r="BF4562" t="str">
        <f>T("D158709")</f>
        <v>D158709</v>
      </c>
      <c r="BG4562" t="str">
        <f>T("로판 웹소설 &gt; 서양풍 로판")</f>
        <v>로판 웹소설 &gt; 서양풍 로판</v>
      </c>
    </row>
    <row r="4563" spans="1:59">
      <c r="A4563" t="s">
        <v>60</v>
      </c>
      <c r="B4563" s="1">
        <v>46130</v>
      </c>
      <c r="C4563">
        <v>2378078499</v>
      </c>
      <c r="D4563">
        <v>2378078584</v>
      </c>
      <c r="E4563" t="str">
        <f>T("용사들은 성녀의 축복을 받아야 한다 86화")</f>
        <v>용사들은 성녀의 축복을 받아야 한다 86화</v>
      </c>
      <c r="F4563">
        <v>86</v>
      </c>
      <c r="G4563" t="str">
        <f>T("필밤")</f>
        <v>필밤</v>
      </c>
      <c r="J4563" t="str">
        <f>T("시계토끼")</f>
        <v>시계토끼</v>
      </c>
      <c r="K4563" t="str">
        <f>T("용사들은 성녀의 축복을 받아야 한다")</f>
        <v>용사들은 성녀의 축복을 받아야 한다</v>
      </c>
      <c r="L4563">
        <v>100</v>
      </c>
      <c r="M4563">
        <v>100</v>
      </c>
      <c r="N4563">
        <v>1</v>
      </c>
      <c r="O4563">
        <v>0</v>
      </c>
      <c r="P4563">
        <v>0</v>
      </c>
      <c r="Q4563">
        <v>0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0</v>
      </c>
      <c r="AC4563">
        <v>0</v>
      </c>
      <c r="AD4563">
        <v>0</v>
      </c>
      <c r="AE4563">
        <v>0</v>
      </c>
      <c r="AF4563">
        <v>0</v>
      </c>
      <c r="AG4563">
        <v>0</v>
      </c>
      <c r="AH4563">
        <v>0</v>
      </c>
      <c r="AI4563">
        <v>100</v>
      </c>
      <c r="AJ4563">
        <v>1</v>
      </c>
      <c r="AK4563">
        <v>0</v>
      </c>
      <c r="AL4563">
        <v>0</v>
      </c>
      <c r="AM4563">
        <v>0</v>
      </c>
      <c r="AN4563">
        <v>0</v>
      </c>
      <c r="AO4563">
        <v>120</v>
      </c>
      <c r="AP4563">
        <v>-12</v>
      </c>
      <c r="AQ4563">
        <v>0</v>
      </c>
      <c r="AS4563">
        <v>0</v>
      </c>
      <c r="AT4563">
        <v>0</v>
      </c>
      <c r="AV4563">
        <v>0</v>
      </c>
      <c r="AW4563">
        <v>0</v>
      </c>
      <c r="AX4563">
        <v>120</v>
      </c>
      <c r="AY4563">
        <v>-12</v>
      </c>
      <c r="AZ4563">
        <v>0</v>
      </c>
      <c r="BA4563">
        <v>64.8</v>
      </c>
      <c r="BE4563" t="str">
        <f>T("9791172822040")</f>
        <v>9791172822040</v>
      </c>
      <c r="BF4563" t="str">
        <f>T("D158710")</f>
        <v>D158710</v>
      </c>
      <c r="BG4563" t="str">
        <f>T("로판 웹소설 &gt; 서양풍 로판")</f>
        <v>로판 웹소설 &gt; 서양풍 로판</v>
      </c>
    </row>
    <row r="4564" spans="1:59">
      <c r="A4564" t="s">
        <v>60</v>
      </c>
      <c r="B4564" s="1">
        <v>46130</v>
      </c>
      <c r="C4564">
        <v>2378078499</v>
      </c>
      <c r="D4564">
        <v>2378078585</v>
      </c>
      <c r="E4564" t="str">
        <f>T("용사들은 성녀의 축복을 받아야 한다 87화")</f>
        <v>용사들은 성녀의 축복을 받아야 한다 87화</v>
      </c>
      <c r="F4564">
        <v>87</v>
      </c>
      <c r="G4564" t="str">
        <f>T("필밤")</f>
        <v>필밤</v>
      </c>
      <c r="J4564" t="str">
        <f>T("시계토끼")</f>
        <v>시계토끼</v>
      </c>
      <c r="K4564" t="str">
        <f>T("용사들은 성녀의 축복을 받아야 한다")</f>
        <v>용사들은 성녀의 축복을 받아야 한다</v>
      </c>
      <c r="L4564">
        <v>100</v>
      </c>
      <c r="M4564">
        <v>100</v>
      </c>
      <c r="N4564">
        <v>1</v>
      </c>
      <c r="O4564">
        <v>0</v>
      </c>
      <c r="P4564">
        <v>0</v>
      </c>
      <c r="Q4564">
        <v>0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0</v>
      </c>
      <c r="AC4564">
        <v>0</v>
      </c>
      <c r="AD4564">
        <v>0</v>
      </c>
      <c r="AE4564">
        <v>0</v>
      </c>
      <c r="AF4564">
        <v>0</v>
      </c>
      <c r="AG4564">
        <v>0</v>
      </c>
      <c r="AH4564">
        <v>0</v>
      </c>
      <c r="AI4564">
        <v>100</v>
      </c>
      <c r="AJ4564">
        <v>1</v>
      </c>
      <c r="AK4564">
        <v>0</v>
      </c>
      <c r="AL4564">
        <v>0</v>
      </c>
      <c r="AM4564">
        <v>0</v>
      </c>
      <c r="AN4564">
        <v>0</v>
      </c>
      <c r="AO4564">
        <v>120</v>
      </c>
      <c r="AP4564">
        <v>-12</v>
      </c>
      <c r="AQ4564">
        <v>0</v>
      </c>
      <c r="AS4564">
        <v>0</v>
      </c>
      <c r="AT4564">
        <v>0</v>
      </c>
      <c r="AV4564">
        <v>0</v>
      </c>
      <c r="AW4564">
        <v>0</v>
      </c>
      <c r="AX4564">
        <v>120</v>
      </c>
      <c r="AY4564">
        <v>-12</v>
      </c>
      <c r="AZ4564">
        <v>0</v>
      </c>
      <c r="BA4564">
        <v>64.8</v>
      </c>
      <c r="BE4564" t="str">
        <f>T("9791172822040")</f>
        <v>9791172822040</v>
      </c>
      <c r="BF4564" t="str">
        <f>T("D158711")</f>
        <v>D158711</v>
      </c>
      <c r="BG4564" t="str">
        <f>T("로판 웹소설 &gt; 서양풍 로판")</f>
        <v>로판 웹소설 &gt; 서양풍 로판</v>
      </c>
    </row>
    <row r="4565" spans="1:59">
      <c r="A4565" t="s">
        <v>60</v>
      </c>
      <c r="B4565" s="1">
        <v>46130</v>
      </c>
      <c r="C4565">
        <v>2378078499</v>
      </c>
      <c r="D4565">
        <v>2378078586</v>
      </c>
      <c r="E4565" t="str">
        <f>T("용사들은 성녀의 축복을 받아야 한다 88화")</f>
        <v>용사들은 성녀의 축복을 받아야 한다 88화</v>
      </c>
      <c r="F4565">
        <v>88</v>
      </c>
      <c r="G4565" t="str">
        <f>T("필밤")</f>
        <v>필밤</v>
      </c>
      <c r="J4565" t="str">
        <f>T("시계토끼")</f>
        <v>시계토끼</v>
      </c>
      <c r="K4565" t="str">
        <f>T("용사들은 성녀의 축복을 받아야 한다")</f>
        <v>용사들은 성녀의 축복을 받아야 한다</v>
      </c>
      <c r="L4565">
        <v>100</v>
      </c>
      <c r="M4565">
        <v>100</v>
      </c>
      <c r="N4565">
        <v>1</v>
      </c>
      <c r="O4565">
        <v>0</v>
      </c>
      <c r="P4565">
        <v>0</v>
      </c>
      <c r="Q4565">
        <v>0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0</v>
      </c>
      <c r="AC4565">
        <v>0</v>
      </c>
      <c r="AD4565">
        <v>0</v>
      </c>
      <c r="AE4565">
        <v>0</v>
      </c>
      <c r="AF4565">
        <v>0</v>
      </c>
      <c r="AG4565">
        <v>0</v>
      </c>
      <c r="AH4565">
        <v>0</v>
      </c>
      <c r="AI4565">
        <v>100</v>
      </c>
      <c r="AJ4565">
        <v>1</v>
      </c>
      <c r="AK4565">
        <v>0</v>
      </c>
      <c r="AL4565">
        <v>0</v>
      </c>
      <c r="AM4565">
        <v>0</v>
      </c>
      <c r="AN4565">
        <v>0</v>
      </c>
      <c r="AO4565">
        <v>120</v>
      </c>
      <c r="AP4565">
        <v>-12</v>
      </c>
      <c r="AQ4565">
        <v>0</v>
      </c>
      <c r="AS4565">
        <v>0</v>
      </c>
      <c r="AT4565">
        <v>0</v>
      </c>
      <c r="AV4565">
        <v>0</v>
      </c>
      <c r="AW4565">
        <v>0</v>
      </c>
      <c r="AX4565">
        <v>120</v>
      </c>
      <c r="AY4565">
        <v>-12</v>
      </c>
      <c r="AZ4565">
        <v>0</v>
      </c>
      <c r="BA4565">
        <v>64.8</v>
      </c>
      <c r="BE4565" t="str">
        <f>T("9791172822040")</f>
        <v>9791172822040</v>
      </c>
      <c r="BF4565" t="str">
        <f>T("D158712")</f>
        <v>D158712</v>
      </c>
      <c r="BG4565" t="str">
        <f>T("로판 웹소설 &gt; 서양풍 로판")</f>
        <v>로판 웹소설 &gt; 서양풍 로판</v>
      </c>
    </row>
    <row r="4566" spans="1:59">
      <c r="A4566" t="s">
        <v>60</v>
      </c>
      <c r="B4566" s="1">
        <v>46130</v>
      </c>
      <c r="C4566">
        <v>2378078499</v>
      </c>
      <c r="D4566">
        <v>2378078587</v>
      </c>
      <c r="E4566" t="str">
        <f>T("용사들은 성녀의 축복을 받아야 한다 89화")</f>
        <v>용사들은 성녀의 축복을 받아야 한다 89화</v>
      </c>
      <c r="F4566">
        <v>89</v>
      </c>
      <c r="G4566" t="str">
        <f>T("필밤")</f>
        <v>필밤</v>
      </c>
      <c r="J4566" t="str">
        <f>T("시계토끼")</f>
        <v>시계토끼</v>
      </c>
      <c r="K4566" t="str">
        <f>T("용사들은 성녀의 축복을 받아야 한다")</f>
        <v>용사들은 성녀의 축복을 받아야 한다</v>
      </c>
      <c r="L4566">
        <v>100</v>
      </c>
      <c r="M4566">
        <v>100</v>
      </c>
      <c r="N4566">
        <v>1</v>
      </c>
      <c r="O4566">
        <v>0</v>
      </c>
      <c r="P4566">
        <v>0</v>
      </c>
      <c r="Q4566">
        <v>0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0</v>
      </c>
      <c r="AC4566">
        <v>0</v>
      </c>
      <c r="AD4566">
        <v>0</v>
      </c>
      <c r="AE4566">
        <v>0</v>
      </c>
      <c r="AF4566">
        <v>0</v>
      </c>
      <c r="AG4566">
        <v>0</v>
      </c>
      <c r="AH4566">
        <v>0</v>
      </c>
      <c r="AI4566">
        <v>100</v>
      </c>
      <c r="AJ4566">
        <v>1</v>
      </c>
      <c r="AK4566">
        <v>0</v>
      </c>
      <c r="AL4566">
        <v>0</v>
      </c>
      <c r="AM4566">
        <v>0</v>
      </c>
      <c r="AN4566">
        <v>0</v>
      </c>
      <c r="AO4566">
        <v>120</v>
      </c>
      <c r="AP4566">
        <v>-12</v>
      </c>
      <c r="AQ4566">
        <v>0</v>
      </c>
      <c r="AS4566">
        <v>0</v>
      </c>
      <c r="AT4566">
        <v>0</v>
      </c>
      <c r="AV4566">
        <v>0</v>
      </c>
      <c r="AW4566">
        <v>0</v>
      </c>
      <c r="AX4566">
        <v>120</v>
      </c>
      <c r="AY4566">
        <v>-12</v>
      </c>
      <c r="AZ4566">
        <v>0</v>
      </c>
      <c r="BA4566">
        <v>64.8</v>
      </c>
      <c r="BE4566" t="str">
        <f>T("9791172822040")</f>
        <v>9791172822040</v>
      </c>
      <c r="BF4566" t="str">
        <f>T("D158713")</f>
        <v>D158713</v>
      </c>
      <c r="BG4566" t="str">
        <f>T("로판 웹소설 &gt; 서양풍 로판")</f>
        <v>로판 웹소설 &gt; 서양풍 로판</v>
      </c>
    </row>
    <row r="4567" spans="1:59">
      <c r="A4567" t="s">
        <v>60</v>
      </c>
      <c r="B4567" s="1">
        <v>46130</v>
      </c>
      <c r="C4567">
        <v>2378078499</v>
      </c>
      <c r="D4567">
        <v>2378078588</v>
      </c>
      <c r="E4567" t="str">
        <f>T("용사들은 성녀의 축복을 받아야 한다 90화")</f>
        <v>용사들은 성녀의 축복을 받아야 한다 90화</v>
      </c>
      <c r="F4567">
        <v>90</v>
      </c>
      <c r="G4567" t="str">
        <f>T("필밤")</f>
        <v>필밤</v>
      </c>
      <c r="J4567" t="str">
        <f>T("시계토끼")</f>
        <v>시계토끼</v>
      </c>
      <c r="K4567" t="str">
        <f>T("용사들은 성녀의 축복을 받아야 한다")</f>
        <v>용사들은 성녀의 축복을 받아야 한다</v>
      </c>
      <c r="L4567">
        <v>100</v>
      </c>
      <c r="M4567">
        <v>100</v>
      </c>
      <c r="N4567">
        <v>1</v>
      </c>
      <c r="O4567">
        <v>0</v>
      </c>
      <c r="P4567">
        <v>0</v>
      </c>
      <c r="Q4567">
        <v>0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0</v>
      </c>
      <c r="AC4567">
        <v>0</v>
      </c>
      <c r="AD4567">
        <v>0</v>
      </c>
      <c r="AE4567">
        <v>0</v>
      </c>
      <c r="AF4567">
        <v>0</v>
      </c>
      <c r="AG4567">
        <v>0</v>
      </c>
      <c r="AH4567">
        <v>0</v>
      </c>
      <c r="AI4567">
        <v>100</v>
      </c>
      <c r="AJ4567">
        <v>1</v>
      </c>
      <c r="AK4567">
        <v>0</v>
      </c>
      <c r="AL4567">
        <v>0</v>
      </c>
      <c r="AM4567">
        <v>0</v>
      </c>
      <c r="AN4567">
        <v>0</v>
      </c>
      <c r="AO4567">
        <v>120</v>
      </c>
      <c r="AP4567">
        <v>-12</v>
      </c>
      <c r="AQ4567">
        <v>0</v>
      </c>
      <c r="AS4567">
        <v>0</v>
      </c>
      <c r="AT4567">
        <v>0</v>
      </c>
      <c r="AV4567">
        <v>0</v>
      </c>
      <c r="AW4567">
        <v>0</v>
      </c>
      <c r="AX4567">
        <v>120</v>
      </c>
      <c r="AY4567">
        <v>-12</v>
      </c>
      <c r="AZ4567">
        <v>0</v>
      </c>
      <c r="BA4567">
        <v>64.8</v>
      </c>
      <c r="BE4567" t="str">
        <f>T("9791172822040")</f>
        <v>9791172822040</v>
      </c>
      <c r="BF4567" t="str">
        <f>T("D158714")</f>
        <v>D158714</v>
      </c>
      <c r="BG4567" t="str">
        <f>T("로판 웹소설 &gt; 서양풍 로판")</f>
        <v>로판 웹소설 &gt; 서양풍 로판</v>
      </c>
    </row>
    <row r="4568" spans="1:59">
      <c r="A4568" t="s">
        <v>60</v>
      </c>
      <c r="B4568" s="1">
        <v>46130</v>
      </c>
      <c r="C4568">
        <v>2378078499</v>
      </c>
      <c r="D4568">
        <v>2378078638</v>
      </c>
      <c r="E4568" t="str">
        <f>T("용사들은 성녀의 축복을 받아야 한다 91화")</f>
        <v>용사들은 성녀의 축복을 받아야 한다 91화</v>
      </c>
      <c r="F4568">
        <v>91</v>
      </c>
      <c r="G4568" t="str">
        <f>T("필밤")</f>
        <v>필밤</v>
      </c>
      <c r="J4568" t="str">
        <f>T("시계토끼")</f>
        <v>시계토끼</v>
      </c>
      <c r="K4568" t="str">
        <f>T("용사들은 성녀의 축복을 받아야 한다")</f>
        <v>용사들은 성녀의 축복을 받아야 한다</v>
      </c>
      <c r="L4568">
        <v>100</v>
      </c>
      <c r="M4568">
        <v>100</v>
      </c>
      <c r="N4568">
        <v>1</v>
      </c>
      <c r="O4568">
        <v>0</v>
      </c>
      <c r="P4568">
        <v>0</v>
      </c>
      <c r="Q4568">
        <v>0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0</v>
      </c>
      <c r="AC4568">
        <v>0</v>
      </c>
      <c r="AD4568">
        <v>0</v>
      </c>
      <c r="AE4568">
        <v>0</v>
      </c>
      <c r="AF4568">
        <v>0</v>
      </c>
      <c r="AG4568">
        <v>0</v>
      </c>
      <c r="AH4568">
        <v>0</v>
      </c>
      <c r="AI4568">
        <v>100</v>
      </c>
      <c r="AJ4568">
        <v>1</v>
      </c>
      <c r="AK4568">
        <v>0</v>
      </c>
      <c r="AL4568">
        <v>0</v>
      </c>
      <c r="AM4568">
        <v>0</v>
      </c>
      <c r="AN4568">
        <v>0</v>
      </c>
      <c r="AO4568">
        <v>120</v>
      </c>
      <c r="AP4568">
        <v>-12</v>
      </c>
      <c r="AQ4568">
        <v>0</v>
      </c>
      <c r="AS4568">
        <v>0</v>
      </c>
      <c r="AT4568">
        <v>0</v>
      </c>
      <c r="AV4568">
        <v>0</v>
      </c>
      <c r="AW4568">
        <v>0</v>
      </c>
      <c r="AX4568">
        <v>120</v>
      </c>
      <c r="AY4568">
        <v>-12</v>
      </c>
      <c r="AZ4568">
        <v>0</v>
      </c>
      <c r="BA4568">
        <v>64.8</v>
      </c>
      <c r="BE4568" t="str">
        <f>T("9791172822040")</f>
        <v>9791172822040</v>
      </c>
      <c r="BF4568" t="str">
        <f>T("D158715")</f>
        <v>D158715</v>
      </c>
      <c r="BG4568" t="str">
        <f>T("로판 웹소설 &gt; 서양풍 로판")</f>
        <v>로판 웹소설 &gt; 서양풍 로판</v>
      </c>
    </row>
    <row r="4569" spans="1:59">
      <c r="A4569" t="s">
        <v>60</v>
      </c>
      <c r="B4569" s="1">
        <v>46130</v>
      </c>
      <c r="C4569">
        <v>2378078499</v>
      </c>
      <c r="D4569">
        <v>2378078639</v>
      </c>
      <c r="E4569" t="str">
        <f>T("용사들은 성녀의 축복을 받아야 한다 92화")</f>
        <v>용사들은 성녀의 축복을 받아야 한다 92화</v>
      </c>
      <c r="F4569">
        <v>92</v>
      </c>
      <c r="G4569" t="str">
        <f>T("필밤")</f>
        <v>필밤</v>
      </c>
      <c r="J4569" t="str">
        <f>T("시계토끼")</f>
        <v>시계토끼</v>
      </c>
      <c r="K4569" t="str">
        <f>T("용사들은 성녀의 축복을 받아야 한다")</f>
        <v>용사들은 성녀의 축복을 받아야 한다</v>
      </c>
      <c r="L4569">
        <v>100</v>
      </c>
      <c r="M4569">
        <v>100</v>
      </c>
      <c r="N4569">
        <v>1</v>
      </c>
      <c r="O4569">
        <v>0</v>
      </c>
      <c r="P4569">
        <v>0</v>
      </c>
      <c r="Q4569">
        <v>0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0</v>
      </c>
      <c r="AC4569">
        <v>0</v>
      </c>
      <c r="AD4569">
        <v>0</v>
      </c>
      <c r="AE4569">
        <v>0</v>
      </c>
      <c r="AF4569">
        <v>0</v>
      </c>
      <c r="AG4569">
        <v>0</v>
      </c>
      <c r="AH4569">
        <v>0</v>
      </c>
      <c r="AI4569">
        <v>100</v>
      </c>
      <c r="AJ4569">
        <v>1</v>
      </c>
      <c r="AK4569">
        <v>0</v>
      </c>
      <c r="AL4569">
        <v>0</v>
      </c>
      <c r="AM4569">
        <v>0</v>
      </c>
      <c r="AN4569">
        <v>0</v>
      </c>
      <c r="AO4569">
        <v>120</v>
      </c>
      <c r="AP4569">
        <v>-12</v>
      </c>
      <c r="AQ4569">
        <v>0</v>
      </c>
      <c r="AS4569">
        <v>0</v>
      </c>
      <c r="AT4569">
        <v>0</v>
      </c>
      <c r="AV4569">
        <v>0</v>
      </c>
      <c r="AW4569">
        <v>0</v>
      </c>
      <c r="AX4569">
        <v>120</v>
      </c>
      <c r="AY4569">
        <v>-12</v>
      </c>
      <c r="AZ4569">
        <v>0</v>
      </c>
      <c r="BA4569">
        <v>64.8</v>
      </c>
      <c r="BE4569" t="str">
        <f>T("9791172822040")</f>
        <v>9791172822040</v>
      </c>
      <c r="BF4569" t="str">
        <f>T("D158716")</f>
        <v>D158716</v>
      </c>
      <c r="BG4569" t="str">
        <f>T("로판 웹소설 &gt; 서양풍 로판")</f>
        <v>로판 웹소설 &gt; 서양풍 로판</v>
      </c>
    </row>
    <row r="4570" spans="1:59">
      <c r="A4570" t="s">
        <v>60</v>
      </c>
      <c r="B4570" s="1">
        <v>46130</v>
      </c>
      <c r="C4570">
        <v>2378078499</v>
      </c>
      <c r="D4570">
        <v>2378078537</v>
      </c>
      <c r="E4570" t="str">
        <f>T("용사들은 성녀의 축복을 받아야 한다 39화")</f>
        <v>용사들은 성녀의 축복을 받아야 한다 39화</v>
      </c>
      <c r="F4570">
        <v>39</v>
      </c>
      <c r="G4570" t="str">
        <f>T("필밤")</f>
        <v>필밤</v>
      </c>
      <c r="J4570" t="str">
        <f>T("시계토끼")</f>
        <v>시계토끼</v>
      </c>
      <c r="K4570" t="str">
        <f>T("용사들은 성녀의 축복을 받아야 한다")</f>
        <v>용사들은 성녀의 축복을 받아야 한다</v>
      </c>
      <c r="L4570">
        <v>100</v>
      </c>
      <c r="M4570">
        <v>200</v>
      </c>
      <c r="N4570">
        <v>2</v>
      </c>
      <c r="O4570">
        <v>0</v>
      </c>
      <c r="P4570">
        <v>0</v>
      </c>
      <c r="Q4570">
        <v>0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0</v>
      </c>
      <c r="AC4570">
        <v>0</v>
      </c>
      <c r="AD4570">
        <v>0</v>
      </c>
      <c r="AE4570">
        <v>0</v>
      </c>
      <c r="AF4570">
        <v>0</v>
      </c>
      <c r="AG4570">
        <v>0</v>
      </c>
      <c r="AH4570">
        <v>0</v>
      </c>
      <c r="AI4570">
        <v>200</v>
      </c>
      <c r="AJ4570">
        <v>2</v>
      </c>
      <c r="AK4570">
        <v>0</v>
      </c>
      <c r="AL4570">
        <v>0</v>
      </c>
      <c r="AM4570">
        <v>100</v>
      </c>
      <c r="AN4570">
        <v>0</v>
      </c>
      <c r="AO4570">
        <v>120</v>
      </c>
      <c r="AP4570">
        <v>-36</v>
      </c>
      <c r="AQ4570">
        <v>0</v>
      </c>
      <c r="AR4570">
        <v>120</v>
      </c>
      <c r="AS4570">
        <v>-36</v>
      </c>
      <c r="AT4570">
        <v>0</v>
      </c>
      <c r="AV4570">
        <v>0</v>
      </c>
      <c r="AW4570">
        <v>0</v>
      </c>
      <c r="AY4570">
        <v>0</v>
      </c>
      <c r="AZ4570">
        <v>0</v>
      </c>
      <c r="BA4570">
        <v>110.4</v>
      </c>
      <c r="BE4570" t="str">
        <f>T("9791172822040")</f>
        <v>9791172822040</v>
      </c>
      <c r="BF4570" t="str">
        <f>T("D158663")</f>
        <v>D158663</v>
      </c>
      <c r="BG4570" t="str">
        <f>T("로판 웹소설 &gt; 서양풍 로판")</f>
        <v>로판 웹소설 &gt; 서양풍 로판</v>
      </c>
    </row>
    <row r="4571" spans="1:59">
      <c r="A4571" t="s">
        <v>60</v>
      </c>
      <c r="B4571" s="1">
        <v>46130</v>
      </c>
      <c r="C4571">
        <v>2378078499</v>
      </c>
      <c r="D4571">
        <v>2378078539</v>
      </c>
      <c r="E4571" t="str">
        <f>T("용사들은 성녀의 축복을 받아야 한다 41화")</f>
        <v>용사들은 성녀의 축복을 받아야 한다 41화</v>
      </c>
      <c r="F4571">
        <v>41</v>
      </c>
      <c r="G4571" t="str">
        <f>T("필밤")</f>
        <v>필밤</v>
      </c>
      <c r="J4571" t="str">
        <f>T("시계토끼")</f>
        <v>시계토끼</v>
      </c>
      <c r="K4571" t="str">
        <f>T("용사들은 성녀의 축복을 받아야 한다")</f>
        <v>용사들은 성녀의 축복을 받아야 한다</v>
      </c>
      <c r="L4571">
        <v>100</v>
      </c>
      <c r="M4571">
        <v>200</v>
      </c>
      <c r="N4571">
        <v>2</v>
      </c>
      <c r="O4571">
        <v>0</v>
      </c>
      <c r="P4571">
        <v>0</v>
      </c>
      <c r="Q4571">
        <v>0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0</v>
      </c>
      <c r="AC4571">
        <v>0</v>
      </c>
      <c r="AD4571">
        <v>0</v>
      </c>
      <c r="AE4571">
        <v>0</v>
      </c>
      <c r="AF4571">
        <v>0</v>
      </c>
      <c r="AG4571">
        <v>0</v>
      </c>
      <c r="AH4571">
        <v>0</v>
      </c>
      <c r="AI4571">
        <v>200</v>
      </c>
      <c r="AJ4571">
        <v>2</v>
      </c>
      <c r="AK4571">
        <v>0</v>
      </c>
      <c r="AL4571">
        <v>0</v>
      </c>
      <c r="AM4571">
        <v>0</v>
      </c>
      <c r="AN4571">
        <v>0</v>
      </c>
      <c r="AO4571">
        <v>240</v>
      </c>
      <c r="AP4571">
        <v>-72</v>
      </c>
      <c r="AQ4571">
        <v>0</v>
      </c>
      <c r="AR4571">
        <v>240</v>
      </c>
      <c r="AS4571">
        <v>-72</v>
      </c>
      <c r="AT4571">
        <v>0</v>
      </c>
      <c r="AV4571">
        <v>0</v>
      </c>
      <c r="AW4571">
        <v>0</v>
      </c>
      <c r="AY4571">
        <v>0</v>
      </c>
      <c r="AZ4571">
        <v>0</v>
      </c>
      <c r="BA4571">
        <v>100.8</v>
      </c>
      <c r="BE4571" t="str">
        <f>T("9791172822040")</f>
        <v>9791172822040</v>
      </c>
      <c r="BF4571" t="str">
        <f>T("D158665")</f>
        <v>D158665</v>
      </c>
      <c r="BG4571" t="str">
        <f>T("로판 웹소설 &gt; 서양풍 로판")</f>
        <v>로판 웹소설 &gt; 서양풍 로판</v>
      </c>
    </row>
    <row r="4572" spans="1:59">
      <c r="A4572" t="s">
        <v>60</v>
      </c>
      <c r="B4572" s="1">
        <v>46130</v>
      </c>
      <c r="C4572">
        <v>2378078499</v>
      </c>
      <c r="D4572">
        <v>2378078543</v>
      </c>
      <c r="E4572" t="str">
        <f>T("용사들은 성녀의 축복을 받아야 한다 45화")</f>
        <v>용사들은 성녀의 축복을 받아야 한다 45화</v>
      </c>
      <c r="F4572">
        <v>45</v>
      </c>
      <c r="G4572" t="str">
        <f>T("필밤")</f>
        <v>필밤</v>
      </c>
      <c r="J4572" t="str">
        <f>T("시계토끼")</f>
        <v>시계토끼</v>
      </c>
      <c r="K4572" t="str">
        <f>T("용사들은 성녀의 축복을 받아야 한다")</f>
        <v>용사들은 성녀의 축복을 받아야 한다</v>
      </c>
      <c r="L4572">
        <v>100</v>
      </c>
      <c r="M4572">
        <v>100</v>
      </c>
      <c r="N4572">
        <v>1</v>
      </c>
      <c r="O4572">
        <v>0</v>
      </c>
      <c r="P4572">
        <v>0</v>
      </c>
      <c r="Q4572">
        <v>0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0</v>
      </c>
      <c r="AC4572">
        <v>0</v>
      </c>
      <c r="AD4572">
        <v>0</v>
      </c>
      <c r="AE4572">
        <v>0</v>
      </c>
      <c r="AF4572">
        <v>0</v>
      </c>
      <c r="AG4572">
        <v>0</v>
      </c>
      <c r="AH4572">
        <v>0</v>
      </c>
      <c r="AI4572">
        <v>100</v>
      </c>
      <c r="AJ4572">
        <v>1</v>
      </c>
      <c r="AK4572">
        <v>0</v>
      </c>
      <c r="AL4572">
        <v>0</v>
      </c>
      <c r="AM4572">
        <v>0</v>
      </c>
      <c r="AN4572">
        <v>0</v>
      </c>
      <c r="AO4572">
        <v>120</v>
      </c>
      <c r="AP4572">
        <v>-36</v>
      </c>
      <c r="AQ4572">
        <v>0</v>
      </c>
      <c r="AR4572">
        <v>120</v>
      </c>
      <c r="AS4572">
        <v>-36</v>
      </c>
      <c r="AT4572">
        <v>0</v>
      </c>
      <c r="AV4572">
        <v>0</v>
      </c>
      <c r="AW4572">
        <v>0</v>
      </c>
      <c r="AY4572">
        <v>0</v>
      </c>
      <c r="AZ4572">
        <v>0</v>
      </c>
      <c r="BA4572">
        <v>50.4</v>
      </c>
      <c r="BE4572" t="str">
        <f>T("9791172822040")</f>
        <v>9791172822040</v>
      </c>
      <c r="BF4572" t="str">
        <f>T("D158669")</f>
        <v>D158669</v>
      </c>
      <c r="BG4572" t="str">
        <f>T("로판 웹소설 &gt; 서양풍 로판")</f>
        <v>로판 웹소설 &gt; 서양풍 로판</v>
      </c>
    </row>
    <row r="4573" spans="1:59">
      <c r="A4573" t="s">
        <v>60</v>
      </c>
      <c r="B4573" s="1">
        <v>46130</v>
      </c>
      <c r="C4573">
        <v>2378078499</v>
      </c>
      <c r="D4573">
        <v>2378078544</v>
      </c>
      <c r="E4573" t="str">
        <f>T("용사들은 성녀의 축복을 받아야 한다 46화")</f>
        <v>용사들은 성녀의 축복을 받아야 한다 46화</v>
      </c>
      <c r="F4573">
        <v>46</v>
      </c>
      <c r="G4573" t="str">
        <f>T("필밤")</f>
        <v>필밤</v>
      </c>
      <c r="J4573" t="str">
        <f>T("시계토끼")</f>
        <v>시계토끼</v>
      </c>
      <c r="K4573" t="str">
        <f>T("용사들은 성녀의 축복을 받아야 한다")</f>
        <v>용사들은 성녀의 축복을 받아야 한다</v>
      </c>
      <c r="L4573">
        <v>100</v>
      </c>
      <c r="M4573">
        <v>100</v>
      </c>
      <c r="N4573">
        <v>1</v>
      </c>
      <c r="O4573">
        <v>0</v>
      </c>
      <c r="P4573">
        <v>0</v>
      </c>
      <c r="Q4573">
        <v>0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0</v>
      </c>
      <c r="AC4573">
        <v>0</v>
      </c>
      <c r="AD4573">
        <v>0</v>
      </c>
      <c r="AE4573">
        <v>0</v>
      </c>
      <c r="AF4573">
        <v>0</v>
      </c>
      <c r="AG4573">
        <v>0</v>
      </c>
      <c r="AH4573">
        <v>0</v>
      </c>
      <c r="AI4573">
        <v>100</v>
      </c>
      <c r="AJ4573">
        <v>1</v>
      </c>
      <c r="AK4573">
        <v>0</v>
      </c>
      <c r="AL4573">
        <v>0</v>
      </c>
      <c r="AM4573">
        <v>0</v>
      </c>
      <c r="AN4573">
        <v>0</v>
      </c>
      <c r="AO4573">
        <v>120</v>
      </c>
      <c r="AP4573">
        <v>-36</v>
      </c>
      <c r="AQ4573">
        <v>0</v>
      </c>
      <c r="AR4573">
        <v>120</v>
      </c>
      <c r="AS4573">
        <v>-36</v>
      </c>
      <c r="AT4573">
        <v>0</v>
      </c>
      <c r="AV4573">
        <v>0</v>
      </c>
      <c r="AW4573">
        <v>0</v>
      </c>
      <c r="AY4573">
        <v>0</v>
      </c>
      <c r="AZ4573">
        <v>0</v>
      </c>
      <c r="BA4573">
        <v>50.4</v>
      </c>
      <c r="BE4573" t="str">
        <f>T("9791172822040")</f>
        <v>9791172822040</v>
      </c>
      <c r="BF4573" t="str">
        <f>T("D158670")</f>
        <v>D158670</v>
      </c>
      <c r="BG4573" t="str">
        <f>T("로판 웹소설 &gt; 서양풍 로판")</f>
        <v>로판 웹소설 &gt; 서양풍 로판</v>
      </c>
    </row>
    <row r="4574" spans="1:59">
      <c r="A4574" t="s">
        <v>60</v>
      </c>
      <c r="B4574" s="1">
        <v>46130</v>
      </c>
      <c r="C4574">
        <v>2378078499</v>
      </c>
      <c r="D4574">
        <v>2378078545</v>
      </c>
      <c r="E4574" t="str">
        <f>T("용사들은 성녀의 축복을 받아야 한다 47화")</f>
        <v>용사들은 성녀의 축복을 받아야 한다 47화</v>
      </c>
      <c r="F4574">
        <v>47</v>
      </c>
      <c r="G4574" t="str">
        <f>T("필밤")</f>
        <v>필밤</v>
      </c>
      <c r="J4574" t="str">
        <f>T("시계토끼")</f>
        <v>시계토끼</v>
      </c>
      <c r="K4574" t="str">
        <f>T("용사들은 성녀의 축복을 받아야 한다")</f>
        <v>용사들은 성녀의 축복을 받아야 한다</v>
      </c>
      <c r="L4574">
        <v>100</v>
      </c>
      <c r="M4574">
        <v>200</v>
      </c>
      <c r="N4574">
        <v>2</v>
      </c>
      <c r="O4574">
        <v>0</v>
      </c>
      <c r="P4574">
        <v>0</v>
      </c>
      <c r="Q4574">
        <v>0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0</v>
      </c>
      <c r="AC4574">
        <v>0</v>
      </c>
      <c r="AD4574">
        <v>0</v>
      </c>
      <c r="AE4574">
        <v>0</v>
      </c>
      <c r="AF4574">
        <v>0</v>
      </c>
      <c r="AG4574">
        <v>0</v>
      </c>
      <c r="AH4574">
        <v>0</v>
      </c>
      <c r="AI4574">
        <v>200</v>
      </c>
      <c r="AJ4574">
        <v>2</v>
      </c>
      <c r="AK4574">
        <v>0</v>
      </c>
      <c r="AL4574">
        <v>0</v>
      </c>
      <c r="AM4574">
        <v>0</v>
      </c>
      <c r="AN4574">
        <v>0</v>
      </c>
      <c r="AO4574">
        <v>240</v>
      </c>
      <c r="AP4574">
        <v>-72</v>
      </c>
      <c r="AQ4574">
        <v>0</v>
      </c>
      <c r="AR4574">
        <v>240</v>
      </c>
      <c r="AS4574">
        <v>-72</v>
      </c>
      <c r="AT4574">
        <v>0</v>
      </c>
      <c r="AV4574">
        <v>0</v>
      </c>
      <c r="AW4574">
        <v>0</v>
      </c>
      <c r="AY4574">
        <v>0</v>
      </c>
      <c r="AZ4574">
        <v>0</v>
      </c>
      <c r="BA4574">
        <v>100.8</v>
      </c>
      <c r="BE4574" t="str">
        <f>T("9791172822040")</f>
        <v>9791172822040</v>
      </c>
      <c r="BF4574" t="str">
        <f>T("D158671")</f>
        <v>D158671</v>
      </c>
      <c r="BG4574" t="str">
        <f>T("로판 웹소설 &gt; 서양풍 로판")</f>
        <v>로판 웹소설 &gt; 서양풍 로판</v>
      </c>
    </row>
    <row r="4575" spans="1:59">
      <c r="A4575" t="s">
        <v>60</v>
      </c>
      <c r="B4575" s="1">
        <v>46130</v>
      </c>
      <c r="C4575">
        <v>2378078499</v>
      </c>
      <c r="D4575">
        <v>2378078546</v>
      </c>
      <c r="E4575" t="str">
        <f>T("용사들은 성녀의 축복을 받아야 한다 48화")</f>
        <v>용사들은 성녀의 축복을 받아야 한다 48화</v>
      </c>
      <c r="F4575">
        <v>48</v>
      </c>
      <c r="G4575" t="str">
        <f>T("필밤")</f>
        <v>필밤</v>
      </c>
      <c r="J4575" t="str">
        <f>T("시계토끼")</f>
        <v>시계토끼</v>
      </c>
      <c r="K4575" t="str">
        <f>T("용사들은 성녀의 축복을 받아야 한다")</f>
        <v>용사들은 성녀의 축복을 받아야 한다</v>
      </c>
      <c r="L4575">
        <v>100</v>
      </c>
      <c r="M4575">
        <v>200</v>
      </c>
      <c r="N4575">
        <v>2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0</v>
      </c>
      <c r="AC4575">
        <v>0</v>
      </c>
      <c r="AD4575">
        <v>0</v>
      </c>
      <c r="AE4575">
        <v>0</v>
      </c>
      <c r="AF4575">
        <v>0</v>
      </c>
      <c r="AG4575">
        <v>0</v>
      </c>
      <c r="AH4575">
        <v>0</v>
      </c>
      <c r="AI4575">
        <v>200</v>
      </c>
      <c r="AJ4575">
        <v>2</v>
      </c>
      <c r="AK4575">
        <v>0</v>
      </c>
      <c r="AL4575">
        <v>0</v>
      </c>
      <c r="AM4575">
        <v>0</v>
      </c>
      <c r="AN4575">
        <v>0</v>
      </c>
      <c r="AO4575">
        <v>240</v>
      </c>
      <c r="AP4575">
        <v>-72</v>
      </c>
      <c r="AQ4575">
        <v>0</v>
      </c>
      <c r="AR4575">
        <v>240</v>
      </c>
      <c r="AS4575">
        <v>-72</v>
      </c>
      <c r="AT4575">
        <v>0</v>
      </c>
      <c r="AV4575">
        <v>0</v>
      </c>
      <c r="AW4575">
        <v>0</v>
      </c>
      <c r="AY4575">
        <v>0</v>
      </c>
      <c r="AZ4575">
        <v>0</v>
      </c>
      <c r="BA4575">
        <v>100.8</v>
      </c>
      <c r="BE4575" t="str">
        <f>T("9791172822040")</f>
        <v>9791172822040</v>
      </c>
      <c r="BF4575" t="str">
        <f>T("D158672")</f>
        <v>D158672</v>
      </c>
      <c r="BG4575" t="str">
        <f>T("로판 웹소설 &gt; 서양풍 로판")</f>
        <v>로판 웹소설 &gt; 서양풍 로판</v>
      </c>
    </row>
    <row r="4576" spans="1:59">
      <c r="A4576" t="s">
        <v>60</v>
      </c>
      <c r="B4576" s="1">
        <v>46130</v>
      </c>
      <c r="C4576">
        <v>2378078499</v>
      </c>
      <c r="D4576">
        <v>2378078547</v>
      </c>
      <c r="E4576" t="str">
        <f>T("용사들은 성녀의 축복을 받아야 한다 49화")</f>
        <v>용사들은 성녀의 축복을 받아야 한다 49화</v>
      </c>
      <c r="F4576">
        <v>49</v>
      </c>
      <c r="G4576" t="str">
        <f>T("필밤")</f>
        <v>필밤</v>
      </c>
      <c r="J4576" t="str">
        <f>T("시계토끼")</f>
        <v>시계토끼</v>
      </c>
      <c r="K4576" t="str">
        <f>T("용사들은 성녀의 축복을 받아야 한다")</f>
        <v>용사들은 성녀의 축복을 받아야 한다</v>
      </c>
      <c r="L4576">
        <v>100</v>
      </c>
      <c r="M4576">
        <v>200</v>
      </c>
      <c r="N4576">
        <v>2</v>
      </c>
      <c r="O4576">
        <v>0</v>
      </c>
      <c r="P4576">
        <v>0</v>
      </c>
      <c r="Q4576">
        <v>0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0</v>
      </c>
      <c r="AC4576">
        <v>0</v>
      </c>
      <c r="AD4576">
        <v>0</v>
      </c>
      <c r="AE4576">
        <v>0</v>
      </c>
      <c r="AF4576">
        <v>0</v>
      </c>
      <c r="AG4576">
        <v>0</v>
      </c>
      <c r="AH4576">
        <v>0</v>
      </c>
      <c r="AI4576">
        <v>200</v>
      </c>
      <c r="AJ4576">
        <v>2</v>
      </c>
      <c r="AK4576">
        <v>0</v>
      </c>
      <c r="AL4576">
        <v>0</v>
      </c>
      <c r="AM4576">
        <v>0</v>
      </c>
      <c r="AN4576">
        <v>0</v>
      </c>
      <c r="AO4576">
        <v>240</v>
      </c>
      <c r="AP4576">
        <v>-72</v>
      </c>
      <c r="AQ4576">
        <v>0</v>
      </c>
      <c r="AR4576">
        <v>240</v>
      </c>
      <c r="AS4576">
        <v>-72</v>
      </c>
      <c r="AT4576">
        <v>0</v>
      </c>
      <c r="AV4576">
        <v>0</v>
      </c>
      <c r="AW4576">
        <v>0</v>
      </c>
      <c r="AY4576">
        <v>0</v>
      </c>
      <c r="AZ4576">
        <v>0</v>
      </c>
      <c r="BA4576">
        <v>100.8</v>
      </c>
      <c r="BE4576" t="str">
        <f>T("9791172822040")</f>
        <v>9791172822040</v>
      </c>
      <c r="BF4576" t="str">
        <f>T("D158673")</f>
        <v>D158673</v>
      </c>
      <c r="BG4576" t="str">
        <f>T("로판 웹소설 &gt; 서양풍 로판")</f>
        <v>로판 웹소설 &gt; 서양풍 로판</v>
      </c>
    </row>
    <row r="4577" spans="1:59">
      <c r="A4577" t="s">
        <v>60</v>
      </c>
      <c r="B4577" s="1">
        <v>46130</v>
      </c>
      <c r="C4577">
        <v>2378078499</v>
      </c>
      <c r="D4577">
        <v>2378078548</v>
      </c>
      <c r="E4577" t="str">
        <f>T("용사들은 성녀의 축복을 받아야 한다 50화")</f>
        <v>용사들은 성녀의 축복을 받아야 한다 50화</v>
      </c>
      <c r="F4577">
        <v>50</v>
      </c>
      <c r="G4577" t="str">
        <f>T("필밤")</f>
        <v>필밤</v>
      </c>
      <c r="J4577" t="str">
        <f>T("시계토끼")</f>
        <v>시계토끼</v>
      </c>
      <c r="K4577" t="str">
        <f>T("용사들은 성녀의 축복을 받아야 한다")</f>
        <v>용사들은 성녀의 축복을 받아야 한다</v>
      </c>
      <c r="L4577">
        <v>100</v>
      </c>
      <c r="M4577">
        <v>200</v>
      </c>
      <c r="N4577">
        <v>2</v>
      </c>
      <c r="O4577">
        <v>0</v>
      </c>
      <c r="P4577">
        <v>0</v>
      </c>
      <c r="Q4577">
        <v>0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0</v>
      </c>
      <c r="AC4577">
        <v>0</v>
      </c>
      <c r="AD4577">
        <v>0</v>
      </c>
      <c r="AE4577">
        <v>0</v>
      </c>
      <c r="AF4577">
        <v>0</v>
      </c>
      <c r="AG4577">
        <v>0</v>
      </c>
      <c r="AH4577">
        <v>0</v>
      </c>
      <c r="AI4577">
        <v>200</v>
      </c>
      <c r="AJ4577">
        <v>2</v>
      </c>
      <c r="AK4577">
        <v>0</v>
      </c>
      <c r="AL4577">
        <v>0</v>
      </c>
      <c r="AM4577">
        <v>0</v>
      </c>
      <c r="AN4577">
        <v>0</v>
      </c>
      <c r="AO4577">
        <v>240</v>
      </c>
      <c r="AP4577">
        <v>-72</v>
      </c>
      <c r="AQ4577">
        <v>0</v>
      </c>
      <c r="AR4577">
        <v>240</v>
      </c>
      <c r="AS4577">
        <v>-72</v>
      </c>
      <c r="AT4577">
        <v>0</v>
      </c>
      <c r="AV4577">
        <v>0</v>
      </c>
      <c r="AW4577">
        <v>0</v>
      </c>
      <c r="AY4577">
        <v>0</v>
      </c>
      <c r="AZ4577">
        <v>0</v>
      </c>
      <c r="BA4577">
        <v>100.8</v>
      </c>
      <c r="BE4577" t="str">
        <f>T("9791172822040")</f>
        <v>9791172822040</v>
      </c>
      <c r="BF4577" t="str">
        <f>T("D158674")</f>
        <v>D158674</v>
      </c>
      <c r="BG4577" t="str">
        <f>T("로판 웹소설 &gt; 서양풍 로판")</f>
        <v>로판 웹소설 &gt; 서양풍 로판</v>
      </c>
    </row>
    <row r="4578" spans="1:59">
      <c r="A4578" t="s">
        <v>60</v>
      </c>
      <c r="B4578" s="1">
        <v>46130</v>
      </c>
      <c r="C4578">
        <v>2378078499</v>
      </c>
      <c r="D4578">
        <v>2378078552</v>
      </c>
      <c r="E4578" t="str">
        <f>T("용사들은 성녀의 축복을 받아야 한다 54화")</f>
        <v>용사들은 성녀의 축복을 받아야 한다 54화</v>
      </c>
      <c r="F4578">
        <v>54</v>
      </c>
      <c r="G4578" t="str">
        <f>T("필밤")</f>
        <v>필밤</v>
      </c>
      <c r="J4578" t="str">
        <f>T("시계토끼")</f>
        <v>시계토끼</v>
      </c>
      <c r="K4578" t="str">
        <f>T("용사들은 성녀의 축복을 받아야 한다")</f>
        <v>용사들은 성녀의 축복을 받아야 한다</v>
      </c>
      <c r="L4578">
        <v>100</v>
      </c>
      <c r="M4578">
        <v>200</v>
      </c>
      <c r="N4578">
        <v>2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0</v>
      </c>
      <c r="AC4578">
        <v>0</v>
      </c>
      <c r="AD4578">
        <v>0</v>
      </c>
      <c r="AE4578">
        <v>0</v>
      </c>
      <c r="AF4578">
        <v>0</v>
      </c>
      <c r="AG4578">
        <v>0</v>
      </c>
      <c r="AH4578">
        <v>0</v>
      </c>
      <c r="AI4578">
        <v>200</v>
      </c>
      <c r="AJ4578">
        <v>2</v>
      </c>
      <c r="AK4578">
        <v>0</v>
      </c>
      <c r="AL4578">
        <v>0</v>
      </c>
      <c r="AM4578">
        <v>0</v>
      </c>
      <c r="AN4578">
        <v>0</v>
      </c>
      <c r="AO4578">
        <v>240</v>
      </c>
      <c r="AP4578">
        <v>-72</v>
      </c>
      <c r="AQ4578">
        <v>0</v>
      </c>
      <c r="AR4578">
        <v>240</v>
      </c>
      <c r="AS4578">
        <v>-72</v>
      </c>
      <c r="AT4578">
        <v>0</v>
      </c>
      <c r="AV4578">
        <v>0</v>
      </c>
      <c r="AW4578">
        <v>0</v>
      </c>
      <c r="AY4578">
        <v>0</v>
      </c>
      <c r="AZ4578">
        <v>0</v>
      </c>
      <c r="BA4578">
        <v>100.8</v>
      </c>
      <c r="BE4578" t="str">
        <f>T("9791172822040")</f>
        <v>9791172822040</v>
      </c>
      <c r="BF4578" t="str">
        <f>T("D158678")</f>
        <v>D158678</v>
      </c>
      <c r="BG4578" t="str">
        <f>T("로판 웹소설 &gt; 서양풍 로판")</f>
        <v>로판 웹소설 &gt; 서양풍 로판</v>
      </c>
    </row>
    <row r="4579" spans="1:59">
      <c r="A4579" t="s">
        <v>60</v>
      </c>
      <c r="B4579" s="1">
        <v>46130</v>
      </c>
      <c r="C4579">
        <v>2378078499</v>
      </c>
      <c r="D4579">
        <v>2378078553</v>
      </c>
      <c r="E4579" t="str">
        <f>T("용사들은 성녀의 축복을 받아야 한다 55화")</f>
        <v>용사들은 성녀의 축복을 받아야 한다 55화</v>
      </c>
      <c r="F4579">
        <v>55</v>
      </c>
      <c r="G4579" t="str">
        <f>T("필밤")</f>
        <v>필밤</v>
      </c>
      <c r="J4579" t="str">
        <f>T("시계토끼")</f>
        <v>시계토끼</v>
      </c>
      <c r="K4579" t="str">
        <f>T("용사들은 성녀의 축복을 받아야 한다")</f>
        <v>용사들은 성녀의 축복을 받아야 한다</v>
      </c>
      <c r="L4579">
        <v>100</v>
      </c>
      <c r="M4579">
        <v>200</v>
      </c>
      <c r="N4579">
        <v>2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0</v>
      </c>
      <c r="AC4579">
        <v>0</v>
      </c>
      <c r="AD4579">
        <v>0</v>
      </c>
      <c r="AE4579">
        <v>0</v>
      </c>
      <c r="AF4579">
        <v>0</v>
      </c>
      <c r="AG4579">
        <v>0</v>
      </c>
      <c r="AH4579">
        <v>0</v>
      </c>
      <c r="AI4579">
        <v>200</v>
      </c>
      <c r="AJ4579">
        <v>2</v>
      </c>
      <c r="AK4579">
        <v>0</v>
      </c>
      <c r="AL4579">
        <v>0</v>
      </c>
      <c r="AM4579">
        <v>0</v>
      </c>
      <c r="AN4579">
        <v>0</v>
      </c>
      <c r="AO4579">
        <v>240</v>
      </c>
      <c r="AP4579">
        <v>-72</v>
      </c>
      <c r="AQ4579">
        <v>0</v>
      </c>
      <c r="AR4579">
        <v>240</v>
      </c>
      <c r="AS4579">
        <v>-72</v>
      </c>
      <c r="AT4579">
        <v>0</v>
      </c>
      <c r="AV4579">
        <v>0</v>
      </c>
      <c r="AW4579">
        <v>0</v>
      </c>
      <c r="AY4579">
        <v>0</v>
      </c>
      <c r="AZ4579">
        <v>0</v>
      </c>
      <c r="BA4579">
        <v>100.8</v>
      </c>
      <c r="BE4579" t="str">
        <f>T("9791172822040")</f>
        <v>9791172822040</v>
      </c>
      <c r="BF4579" t="str">
        <f>T("D158679")</f>
        <v>D158679</v>
      </c>
      <c r="BG4579" t="str">
        <f>T("로판 웹소설 &gt; 서양풍 로판")</f>
        <v>로판 웹소설 &gt; 서양풍 로판</v>
      </c>
    </row>
    <row r="4580" spans="1:59">
      <c r="A4580" t="s">
        <v>60</v>
      </c>
      <c r="B4580" s="1">
        <v>46130</v>
      </c>
      <c r="C4580">
        <v>2378078499</v>
      </c>
      <c r="D4580">
        <v>2378078569</v>
      </c>
      <c r="E4580" t="str">
        <f>T("용사들은 성녀의 축복을 받아야 한다 71화")</f>
        <v>용사들은 성녀의 축복을 받아야 한다 71화</v>
      </c>
      <c r="F4580">
        <v>71</v>
      </c>
      <c r="G4580" t="str">
        <f>T("필밤")</f>
        <v>필밤</v>
      </c>
      <c r="J4580" t="str">
        <f>T("시계토끼")</f>
        <v>시계토끼</v>
      </c>
      <c r="K4580" t="str">
        <f>T("용사들은 성녀의 축복을 받아야 한다")</f>
        <v>용사들은 성녀의 축복을 받아야 한다</v>
      </c>
      <c r="L4580">
        <v>100</v>
      </c>
      <c r="M4580">
        <v>100</v>
      </c>
      <c r="N4580">
        <v>1</v>
      </c>
      <c r="O4580">
        <v>0</v>
      </c>
      <c r="P4580">
        <v>0</v>
      </c>
      <c r="Q4580">
        <v>0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0</v>
      </c>
      <c r="AC4580">
        <v>0</v>
      </c>
      <c r="AD4580">
        <v>0</v>
      </c>
      <c r="AE4580">
        <v>0</v>
      </c>
      <c r="AF4580">
        <v>0</v>
      </c>
      <c r="AG4580">
        <v>0</v>
      </c>
      <c r="AH4580">
        <v>0</v>
      </c>
      <c r="AI4580">
        <v>100</v>
      </c>
      <c r="AJ4580">
        <v>1</v>
      </c>
      <c r="AK4580">
        <v>0</v>
      </c>
      <c r="AL4580">
        <v>0</v>
      </c>
      <c r="AM4580">
        <v>0</v>
      </c>
      <c r="AN4580">
        <v>0</v>
      </c>
      <c r="AO4580">
        <v>120</v>
      </c>
      <c r="AP4580">
        <v>-36</v>
      </c>
      <c r="AQ4580">
        <v>0</v>
      </c>
      <c r="AR4580">
        <v>120</v>
      </c>
      <c r="AS4580">
        <v>-36</v>
      </c>
      <c r="AT4580">
        <v>0</v>
      </c>
      <c r="AV4580">
        <v>0</v>
      </c>
      <c r="AW4580">
        <v>0</v>
      </c>
      <c r="AY4580">
        <v>0</v>
      </c>
      <c r="AZ4580">
        <v>0</v>
      </c>
      <c r="BA4580">
        <v>50.4</v>
      </c>
      <c r="BE4580" t="str">
        <f>T("9791172822040")</f>
        <v>9791172822040</v>
      </c>
      <c r="BF4580" t="str">
        <f>T("D158695")</f>
        <v>D158695</v>
      </c>
      <c r="BG4580" t="str">
        <f>T("로판 웹소설 &gt; 서양풍 로판")</f>
        <v>로판 웹소설 &gt; 서양풍 로판</v>
      </c>
    </row>
    <row r="4581" spans="1:59">
      <c r="A4581" t="s">
        <v>60</v>
      </c>
      <c r="B4581" s="1">
        <v>46130</v>
      </c>
      <c r="C4581">
        <v>2378078499</v>
      </c>
      <c r="D4581">
        <v>2378078570</v>
      </c>
      <c r="E4581" t="str">
        <f>T("용사들은 성녀의 축복을 받아야 한다 72화")</f>
        <v>용사들은 성녀의 축복을 받아야 한다 72화</v>
      </c>
      <c r="F4581">
        <v>72</v>
      </c>
      <c r="G4581" t="str">
        <f>T("필밤")</f>
        <v>필밤</v>
      </c>
      <c r="J4581" t="str">
        <f>T("시계토끼")</f>
        <v>시계토끼</v>
      </c>
      <c r="K4581" t="str">
        <f>T("용사들은 성녀의 축복을 받아야 한다")</f>
        <v>용사들은 성녀의 축복을 받아야 한다</v>
      </c>
      <c r="L4581">
        <v>100</v>
      </c>
      <c r="M4581">
        <v>100</v>
      </c>
      <c r="N4581">
        <v>1</v>
      </c>
      <c r="O4581">
        <v>0</v>
      </c>
      <c r="P4581">
        <v>0</v>
      </c>
      <c r="Q4581">
        <v>0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0</v>
      </c>
      <c r="AC4581">
        <v>0</v>
      </c>
      <c r="AD4581">
        <v>0</v>
      </c>
      <c r="AE4581">
        <v>0</v>
      </c>
      <c r="AF4581">
        <v>0</v>
      </c>
      <c r="AG4581">
        <v>0</v>
      </c>
      <c r="AH4581">
        <v>0</v>
      </c>
      <c r="AI4581">
        <v>100</v>
      </c>
      <c r="AJ4581">
        <v>1</v>
      </c>
      <c r="AK4581">
        <v>0</v>
      </c>
      <c r="AL4581">
        <v>0</v>
      </c>
      <c r="AM4581">
        <v>0</v>
      </c>
      <c r="AN4581">
        <v>0</v>
      </c>
      <c r="AO4581">
        <v>120</v>
      </c>
      <c r="AP4581">
        <v>-36</v>
      </c>
      <c r="AQ4581">
        <v>0</v>
      </c>
      <c r="AR4581">
        <v>120</v>
      </c>
      <c r="AS4581">
        <v>-36</v>
      </c>
      <c r="AT4581">
        <v>0</v>
      </c>
      <c r="AV4581">
        <v>0</v>
      </c>
      <c r="AW4581">
        <v>0</v>
      </c>
      <c r="AY4581">
        <v>0</v>
      </c>
      <c r="AZ4581">
        <v>0</v>
      </c>
      <c r="BA4581">
        <v>50.4</v>
      </c>
      <c r="BE4581" t="str">
        <f>T("9791172822040")</f>
        <v>9791172822040</v>
      </c>
      <c r="BF4581" t="str">
        <f>T("D158696")</f>
        <v>D158696</v>
      </c>
      <c r="BG4581" t="str">
        <f>T("로판 웹소설 &gt; 서양풍 로판")</f>
        <v>로판 웹소설 &gt; 서양풍 로판</v>
      </c>
    </row>
    <row r="4582" spans="1:59">
      <c r="A4582" t="s">
        <v>60</v>
      </c>
      <c r="B4582" s="1">
        <v>46130</v>
      </c>
      <c r="C4582">
        <v>2378078499</v>
      </c>
      <c r="D4582">
        <v>2378078571</v>
      </c>
      <c r="E4582" t="str">
        <f>T("용사들은 성녀의 축복을 받아야 한다 73화")</f>
        <v>용사들은 성녀의 축복을 받아야 한다 73화</v>
      </c>
      <c r="F4582">
        <v>73</v>
      </c>
      <c r="G4582" t="str">
        <f>T("필밤")</f>
        <v>필밤</v>
      </c>
      <c r="J4582" t="str">
        <f>T("시계토끼")</f>
        <v>시계토끼</v>
      </c>
      <c r="K4582" t="str">
        <f>T("용사들은 성녀의 축복을 받아야 한다")</f>
        <v>용사들은 성녀의 축복을 받아야 한다</v>
      </c>
      <c r="L4582">
        <v>100</v>
      </c>
      <c r="M4582">
        <v>100</v>
      </c>
      <c r="N4582">
        <v>1</v>
      </c>
      <c r="O4582">
        <v>0</v>
      </c>
      <c r="P4582">
        <v>0</v>
      </c>
      <c r="Q4582">
        <v>0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0</v>
      </c>
      <c r="AC4582">
        <v>0</v>
      </c>
      <c r="AD4582">
        <v>0</v>
      </c>
      <c r="AE4582">
        <v>0</v>
      </c>
      <c r="AF4582">
        <v>0</v>
      </c>
      <c r="AG4582">
        <v>0</v>
      </c>
      <c r="AH4582">
        <v>0</v>
      </c>
      <c r="AI4582">
        <v>100</v>
      </c>
      <c r="AJ4582">
        <v>1</v>
      </c>
      <c r="AK4582">
        <v>0</v>
      </c>
      <c r="AL4582">
        <v>0</v>
      </c>
      <c r="AM4582">
        <v>0</v>
      </c>
      <c r="AN4582">
        <v>0</v>
      </c>
      <c r="AO4582">
        <v>120</v>
      </c>
      <c r="AP4582">
        <v>-36</v>
      </c>
      <c r="AQ4582">
        <v>0</v>
      </c>
      <c r="AR4582">
        <v>120</v>
      </c>
      <c r="AS4582">
        <v>-36</v>
      </c>
      <c r="AT4582">
        <v>0</v>
      </c>
      <c r="AV4582">
        <v>0</v>
      </c>
      <c r="AW4582">
        <v>0</v>
      </c>
      <c r="AY4582">
        <v>0</v>
      </c>
      <c r="AZ4582">
        <v>0</v>
      </c>
      <c r="BA4582">
        <v>50.4</v>
      </c>
      <c r="BE4582" t="str">
        <f>T("9791172822040")</f>
        <v>9791172822040</v>
      </c>
      <c r="BF4582" t="str">
        <f>T("D158697")</f>
        <v>D158697</v>
      </c>
      <c r="BG4582" t="str">
        <f>T("로판 웹소설 &gt; 서양풍 로판")</f>
        <v>로판 웹소설 &gt; 서양풍 로판</v>
      </c>
    </row>
    <row r="4583" spans="1:59">
      <c r="A4583" t="s">
        <v>60</v>
      </c>
      <c r="B4583" s="1">
        <v>46130</v>
      </c>
      <c r="C4583">
        <v>2378078499</v>
      </c>
      <c r="D4583">
        <v>2378078572</v>
      </c>
      <c r="E4583" t="str">
        <f>T("용사들은 성녀의 축복을 받아야 한다 74화")</f>
        <v>용사들은 성녀의 축복을 받아야 한다 74화</v>
      </c>
      <c r="F4583">
        <v>74</v>
      </c>
      <c r="G4583" t="str">
        <f>T("필밤")</f>
        <v>필밤</v>
      </c>
      <c r="J4583" t="str">
        <f>T("시계토끼")</f>
        <v>시계토끼</v>
      </c>
      <c r="K4583" t="str">
        <f>T("용사들은 성녀의 축복을 받아야 한다")</f>
        <v>용사들은 성녀의 축복을 받아야 한다</v>
      </c>
      <c r="L4583">
        <v>100</v>
      </c>
      <c r="M4583">
        <v>100</v>
      </c>
      <c r="N4583">
        <v>1</v>
      </c>
      <c r="O4583">
        <v>0</v>
      </c>
      <c r="P4583">
        <v>0</v>
      </c>
      <c r="Q4583">
        <v>0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0</v>
      </c>
      <c r="AC4583">
        <v>0</v>
      </c>
      <c r="AD4583">
        <v>0</v>
      </c>
      <c r="AE4583">
        <v>0</v>
      </c>
      <c r="AF4583">
        <v>0</v>
      </c>
      <c r="AG4583">
        <v>0</v>
      </c>
      <c r="AH4583">
        <v>0</v>
      </c>
      <c r="AI4583">
        <v>100</v>
      </c>
      <c r="AJ4583">
        <v>1</v>
      </c>
      <c r="AK4583">
        <v>0</v>
      </c>
      <c r="AL4583">
        <v>0</v>
      </c>
      <c r="AM4583">
        <v>0</v>
      </c>
      <c r="AN4583">
        <v>0</v>
      </c>
      <c r="AO4583">
        <v>120</v>
      </c>
      <c r="AP4583">
        <v>-36</v>
      </c>
      <c r="AQ4583">
        <v>0</v>
      </c>
      <c r="AR4583">
        <v>120</v>
      </c>
      <c r="AS4583">
        <v>-36</v>
      </c>
      <c r="AT4583">
        <v>0</v>
      </c>
      <c r="AV4583">
        <v>0</v>
      </c>
      <c r="AW4583">
        <v>0</v>
      </c>
      <c r="AY4583">
        <v>0</v>
      </c>
      <c r="AZ4583">
        <v>0</v>
      </c>
      <c r="BA4583">
        <v>50.4</v>
      </c>
      <c r="BE4583" t="str">
        <f>T("9791172822040")</f>
        <v>9791172822040</v>
      </c>
      <c r="BF4583" t="str">
        <f>T("D158698")</f>
        <v>D158698</v>
      </c>
      <c r="BG4583" t="str">
        <f>T("로판 웹소설 &gt; 서양풍 로판")</f>
        <v>로판 웹소설 &gt; 서양풍 로판</v>
      </c>
    </row>
    <row r="4584" spans="1:59">
      <c r="A4584" t="s">
        <v>60</v>
      </c>
      <c r="B4584" s="1">
        <v>46130</v>
      </c>
      <c r="C4584">
        <v>2378078499</v>
      </c>
      <c r="D4584">
        <v>2378078555</v>
      </c>
      <c r="E4584" t="str">
        <f>T("용사들은 성녀의 축복을 받아야 한다 57화")</f>
        <v>용사들은 성녀의 축복을 받아야 한다 57화</v>
      </c>
      <c r="F4584">
        <v>57</v>
      </c>
      <c r="G4584" t="str">
        <f>T("필밤")</f>
        <v>필밤</v>
      </c>
      <c r="J4584" t="str">
        <f>T("시계토끼")</f>
        <v>시계토끼</v>
      </c>
      <c r="K4584" t="str">
        <f>T("용사들은 성녀의 축복을 받아야 한다")</f>
        <v>용사들은 성녀의 축복을 받아야 한다</v>
      </c>
      <c r="L4584">
        <v>100</v>
      </c>
      <c r="M4584">
        <v>100</v>
      </c>
      <c r="N4584">
        <v>1</v>
      </c>
      <c r="O4584">
        <v>0</v>
      </c>
      <c r="P4584">
        <v>0</v>
      </c>
      <c r="Q4584">
        <v>0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0</v>
      </c>
      <c r="AC4584">
        <v>0</v>
      </c>
      <c r="AD4584">
        <v>0</v>
      </c>
      <c r="AE4584">
        <v>0</v>
      </c>
      <c r="AF4584">
        <v>0</v>
      </c>
      <c r="AG4584">
        <v>0</v>
      </c>
      <c r="AH4584">
        <v>0</v>
      </c>
      <c r="AI4584">
        <v>100</v>
      </c>
      <c r="AJ4584">
        <v>1</v>
      </c>
      <c r="AK4584">
        <v>0</v>
      </c>
      <c r="AL4584">
        <v>0</v>
      </c>
      <c r="AM4584">
        <v>0</v>
      </c>
      <c r="AN4584">
        <v>0</v>
      </c>
      <c r="AO4584">
        <v>120</v>
      </c>
      <c r="AP4584">
        <v>-36</v>
      </c>
      <c r="AQ4584">
        <v>0</v>
      </c>
      <c r="AR4584">
        <v>120</v>
      </c>
      <c r="AS4584">
        <v>-36</v>
      </c>
      <c r="AT4584">
        <v>0</v>
      </c>
      <c r="AV4584">
        <v>0</v>
      </c>
      <c r="AW4584">
        <v>0</v>
      </c>
      <c r="AY4584">
        <v>0</v>
      </c>
      <c r="AZ4584">
        <v>0</v>
      </c>
      <c r="BA4584">
        <v>50.4</v>
      </c>
      <c r="BE4584" t="str">
        <f>T("9791172822040")</f>
        <v>9791172822040</v>
      </c>
      <c r="BF4584" t="str">
        <f>T("D158681")</f>
        <v>D158681</v>
      </c>
      <c r="BG4584" t="str">
        <f>T("로판 웹소설 &gt; 서양풍 로판")</f>
        <v>로판 웹소설 &gt; 서양풍 로판</v>
      </c>
    </row>
    <row r="4585" spans="1:59">
      <c r="A4585" t="s">
        <v>60</v>
      </c>
      <c r="B4585" s="1">
        <v>46131</v>
      </c>
      <c r="C4585">
        <v>2378078499</v>
      </c>
      <c r="D4585">
        <v>2378078508</v>
      </c>
      <c r="E4585" t="str">
        <f>T("용사들은 성녀의 축복을 받아야 한다 10화")</f>
        <v>용사들은 성녀의 축복을 받아야 한다 10화</v>
      </c>
      <c r="F4585">
        <v>10</v>
      </c>
      <c r="G4585" t="str">
        <f>T("필밤")</f>
        <v>필밤</v>
      </c>
      <c r="J4585" t="str">
        <f>T("시계토끼")</f>
        <v>시계토끼</v>
      </c>
      <c r="K4585" t="str">
        <f>T("용사들은 성녀의 축복을 받아야 한다")</f>
        <v>용사들은 성녀의 축복을 받아야 한다</v>
      </c>
      <c r="L4585">
        <v>100</v>
      </c>
      <c r="M4585">
        <v>200</v>
      </c>
      <c r="N4585">
        <v>2</v>
      </c>
      <c r="O4585">
        <v>0</v>
      </c>
      <c r="P4585">
        <v>0</v>
      </c>
      <c r="Q4585">
        <v>0</v>
      </c>
      <c r="R4585">
        <v>2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0</v>
      </c>
      <c r="AC4585">
        <v>0</v>
      </c>
      <c r="AD4585">
        <v>0</v>
      </c>
      <c r="AE4585">
        <v>0</v>
      </c>
      <c r="AF4585">
        <v>0</v>
      </c>
      <c r="AG4585">
        <v>0</v>
      </c>
      <c r="AH4585">
        <v>0</v>
      </c>
      <c r="AI4585">
        <v>200</v>
      </c>
      <c r="AJ4585">
        <v>4</v>
      </c>
      <c r="AK4585">
        <v>0</v>
      </c>
      <c r="AL4585">
        <v>0</v>
      </c>
      <c r="AM4585">
        <v>100</v>
      </c>
      <c r="AN4585">
        <v>0</v>
      </c>
      <c r="AO4585">
        <v>120</v>
      </c>
      <c r="AP4585">
        <v>-36</v>
      </c>
      <c r="AQ4585">
        <v>0</v>
      </c>
      <c r="AR4585">
        <v>120</v>
      </c>
      <c r="AS4585">
        <v>-36</v>
      </c>
      <c r="AT4585">
        <v>0</v>
      </c>
      <c r="AV4585">
        <v>0</v>
      </c>
      <c r="AW4585">
        <v>0</v>
      </c>
      <c r="AY4585">
        <v>0</v>
      </c>
      <c r="AZ4585">
        <v>0</v>
      </c>
      <c r="BA4585">
        <v>110.4</v>
      </c>
      <c r="BE4585" t="str">
        <f>T("9791172822040")</f>
        <v>9791172822040</v>
      </c>
      <c r="BF4585" t="str">
        <f>T("D158634")</f>
        <v>D158634</v>
      </c>
      <c r="BG4585" t="str">
        <f>T("로판 웹소설 &gt; 서양풍 로판")</f>
        <v>로판 웹소설 &gt; 서양풍 로판</v>
      </c>
    </row>
    <row r="4586" spans="1:59">
      <c r="A4586" t="s">
        <v>60</v>
      </c>
      <c r="B4586" s="1">
        <v>46131</v>
      </c>
      <c r="C4586">
        <v>2378078499</v>
      </c>
      <c r="D4586">
        <v>2378078521</v>
      </c>
      <c r="E4586" t="str">
        <f>T("용사들은 성녀의 축복을 받아야 한다 23화")</f>
        <v>용사들은 성녀의 축복을 받아야 한다 23화</v>
      </c>
      <c r="F4586">
        <v>23</v>
      </c>
      <c r="G4586" t="str">
        <f>T("필밤")</f>
        <v>필밤</v>
      </c>
      <c r="J4586" t="str">
        <f>T("시계토끼")</f>
        <v>시계토끼</v>
      </c>
      <c r="K4586" t="str">
        <f>T("용사들은 성녀의 축복을 받아야 한다")</f>
        <v>용사들은 성녀의 축복을 받아야 한다</v>
      </c>
      <c r="L4586">
        <v>100</v>
      </c>
      <c r="M4586">
        <v>200</v>
      </c>
      <c r="N4586">
        <v>2</v>
      </c>
      <c r="O4586">
        <v>0</v>
      </c>
      <c r="P4586">
        <v>0</v>
      </c>
      <c r="Q4586">
        <v>0</v>
      </c>
      <c r="R4586">
        <v>1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0</v>
      </c>
      <c r="AC4586">
        <v>0</v>
      </c>
      <c r="AD4586">
        <v>0</v>
      </c>
      <c r="AE4586">
        <v>0</v>
      </c>
      <c r="AF4586">
        <v>0</v>
      </c>
      <c r="AG4586">
        <v>0</v>
      </c>
      <c r="AH4586">
        <v>0</v>
      </c>
      <c r="AI4586">
        <v>200</v>
      </c>
      <c r="AJ4586">
        <v>3</v>
      </c>
      <c r="AK4586">
        <v>0</v>
      </c>
      <c r="AL4586">
        <v>0</v>
      </c>
      <c r="AM4586">
        <v>100</v>
      </c>
      <c r="AN4586">
        <v>0</v>
      </c>
      <c r="AO4586">
        <v>120</v>
      </c>
      <c r="AP4586">
        <v>-36</v>
      </c>
      <c r="AQ4586">
        <v>0</v>
      </c>
      <c r="AR4586">
        <v>120</v>
      </c>
      <c r="AS4586">
        <v>-36</v>
      </c>
      <c r="AT4586">
        <v>0</v>
      </c>
      <c r="AV4586">
        <v>0</v>
      </c>
      <c r="AW4586">
        <v>0</v>
      </c>
      <c r="AY4586">
        <v>0</v>
      </c>
      <c r="AZ4586">
        <v>0</v>
      </c>
      <c r="BA4586">
        <v>110.4</v>
      </c>
      <c r="BE4586" t="str">
        <f>T("9791172822040")</f>
        <v>9791172822040</v>
      </c>
      <c r="BF4586" t="str">
        <f>T("D158647")</f>
        <v>D158647</v>
      </c>
      <c r="BG4586" t="str">
        <f>T("로판 웹소설 &gt; 서양풍 로판")</f>
        <v>로판 웹소설 &gt; 서양풍 로판</v>
      </c>
    </row>
    <row r="4587" spans="1:59">
      <c r="A4587" t="s">
        <v>60</v>
      </c>
      <c r="B4587" s="1">
        <v>46131</v>
      </c>
      <c r="C4587">
        <v>2378078499</v>
      </c>
      <c r="D4587">
        <v>2378078522</v>
      </c>
      <c r="E4587" t="str">
        <f>T("용사들은 성녀의 축복을 받아야 한다 24화")</f>
        <v>용사들은 성녀의 축복을 받아야 한다 24화</v>
      </c>
      <c r="F4587">
        <v>24</v>
      </c>
      <c r="G4587" t="str">
        <f>T("필밤")</f>
        <v>필밤</v>
      </c>
      <c r="J4587" t="str">
        <f>T("시계토끼")</f>
        <v>시계토끼</v>
      </c>
      <c r="K4587" t="str">
        <f>T("용사들은 성녀의 축복을 받아야 한다")</f>
        <v>용사들은 성녀의 축복을 받아야 한다</v>
      </c>
      <c r="L4587">
        <v>100</v>
      </c>
      <c r="M4587">
        <v>200</v>
      </c>
      <c r="N4587">
        <v>2</v>
      </c>
      <c r="O4587">
        <v>0</v>
      </c>
      <c r="P4587">
        <v>0</v>
      </c>
      <c r="Q4587">
        <v>0</v>
      </c>
      <c r="R4587">
        <v>1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0</v>
      </c>
      <c r="AC4587">
        <v>0</v>
      </c>
      <c r="AD4587">
        <v>0</v>
      </c>
      <c r="AE4587">
        <v>0</v>
      </c>
      <c r="AF4587">
        <v>0</v>
      </c>
      <c r="AG4587">
        <v>0</v>
      </c>
      <c r="AH4587">
        <v>0</v>
      </c>
      <c r="AI4587">
        <v>200</v>
      </c>
      <c r="AJ4587">
        <v>3</v>
      </c>
      <c r="AK4587">
        <v>0</v>
      </c>
      <c r="AL4587">
        <v>0</v>
      </c>
      <c r="AM4587">
        <v>100</v>
      </c>
      <c r="AN4587">
        <v>0</v>
      </c>
      <c r="AO4587">
        <v>120</v>
      </c>
      <c r="AP4587">
        <v>-36</v>
      </c>
      <c r="AQ4587">
        <v>0</v>
      </c>
      <c r="AR4587">
        <v>120</v>
      </c>
      <c r="AS4587">
        <v>-36</v>
      </c>
      <c r="AT4587">
        <v>0</v>
      </c>
      <c r="AV4587">
        <v>0</v>
      </c>
      <c r="AW4587">
        <v>0</v>
      </c>
      <c r="AY4587">
        <v>0</v>
      </c>
      <c r="AZ4587">
        <v>0</v>
      </c>
      <c r="BA4587">
        <v>110.4</v>
      </c>
      <c r="BE4587" t="str">
        <f>T("9791172822040")</f>
        <v>9791172822040</v>
      </c>
      <c r="BF4587" t="str">
        <f>T("D158648")</f>
        <v>D158648</v>
      </c>
      <c r="BG4587" t="str">
        <f>T("로판 웹소설 &gt; 서양풍 로판")</f>
        <v>로판 웹소설 &gt; 서양풍 로판</v>
      </c>
    </row>
    <row r="4588" spans="1:59">
      <c r="A4588" t="s">
        <v>60</v>
      </c>
      <c r="B4588" s="1">
        <v>46131</v>
      </c>
      <c r="C4588">
        <v>2378078499</v>
      </c>
      <c r="D4588">
        <v>2378078527</v>
      </c>
      <c r="E4588" t="str">
        <f>T("용사들은 성녀의 축복을 받아야 한다 29화")</f>
        <v>용사들은 성녀의 축복을 받아야 한다 29화</v>
      </c>
      <c r="F4588">
        <v>29</v>
      </c>
      <c r="G4588" t="str">
        <f>T("필밤")</f>
        <v>필밤</v>
      </c>
      <c r="J4588" t="str">
        <f>T("시계토끼")</f>
        <v>시계토끼</v>
      </c>
      <c r="K4588" t="str">
        <f>T("용사들은 성녀의 축복을 받아야 한다")</f>
        <v>용사들은 성녀의 축복을 받아야 한다</v>
      </c>
      <c r="L4588">
        <v>100</v>
      </c>
      <c r="M4588">
        <v>200</v>
      </c>
      <c r="N4588">
        <v>2</v>
      </c>
      <c r="O4588">
        <v>0</v>
      </c>
      <c r="P4588">
        <v>0</v>
      </c>
      <c r="Q4588">
        <v>0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0</v>
      </c>
      <c r="AC4588">
        <v>0</v>
      </c>
      <c r="AD4588">
        <v>0</v>
      </c>
      <c r="AE4588">
        <v>0</v>
      </c>
      <c r="AF4588">
        <v>0</v>
      </c>
      <c r="AG4588">
        <v>0</v>
      </c>
      <c r="AH4588">
        <v>0</v>
      </c>
      <c r="AI4588">
        <v>200</v>
      </c>
      <c r="AJ4588">
        <v>2</v>
      </c>
      <c r="AK4588">
        <v>0</v>
      </c>
      <c r="AL4588">
        <v>0</v>
      </c>
      <c r="AM4588">
        <v>200</v>
      </c>
      <c r="AN4588">
        <v>0</v>
      </c>
      <c r="AO4588">
        <v>0</v>
      </c>
      <c r="AP4588">
        <v>0</v>
      </c>
      <c r="AQ4588">
        <v>0</v>
      </c>
      <c r="AS4588">
        <v>0</v>
      </c>
      <c r="AT4588">
        <v>0</v>
      </c>
      <c r="AV4588">
        <v>0</v>
      </c>
      <c r="AW4588">
        <v>0</v>
      </c>
      <c r="AY4588">
        <v>0</v>
      </c>
      <c r="AZ4588">
        <v>0</v>
      </c>
      <c r="BA4588">
        <v>120</v>
      </c>
      <c r="BE4588" t="str">
        <f>T("9791172822040")</f>
        <v>9791172822040</v>
      </c>
      <c r="BF4588" t="str">
        <f>T("D158653")</f>
        <v>D158653</v>
      </c>
      <c r="BG4588" t="str">
        <f>T("로판 웹소설 &gt; 서양풍 로판")</f>
        <v>로판 웹소설 &gt; 서양풍 로판</v>
      </c>
    </row>
    <row r="4589" spans="1:59">
      <c r="A4589" t="s">
        <v>60</v>
      </c>
      <c r="B4589" s="1">
        <v>46131</v>
      </c>
      <c r="C4589">
        <v>2378078499</v>
      </c>
      <c r="D4589">
        <v>2378078528</v>
      </c>
      <c r="E4589" t="str">
        <f>T("용사들은 성녀의 축복을 받아야 한다 30화")</f>
        <v>용사들은 성녀의 축복을 받아야 한다 30화</v>
      </c>
      <c r="F4589">
        <v>30</v>
      </c>
      <c r="G4589" t="str">
        <f>T("필밤")</f>
        <v>필밤</v>
      </c>
      <c r="J4589" t="str">
        <f>T("시계토끼")</f>
        <v>시계토끼</v>
      </c>
      <c r="K4589" t="str">
        <f>T("용사들은 성녀의 축복을 받아야 한다")</f>
        <v>용사들은 성녀의 축복을 받아야 한다</v>
      </c>
      <c r="L4589">
        <v>100</v>
      </c>
      <c r="M4589">
        <v>200</v>
      </c>
      <c r="N4589">
        <v>2</v>
      </c>
      <c r="O4589">
        <v>0</v>
      </c>
      <c r="P4589">
        <v>0</v>
      </c>
      <c r="Q4589">
        <v>0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0</v>
      </c>
      <c r="AC4589">
        <v>0</v>
      </c>
      <c r="AD4589">
        <v>0</v>
      </c>
      <c r="AE4589">
        <v>0</v>
      </c>
      <c r="AF4589">
        <v>0</v>
      </c>
      <c r="AG4589">
        <v>0</v>
      </c>
      <c r="AH4589">
        <v>0</v>
      </c>
      <c r="AI4589">
        <v>200</v>
      </c>
      <c r="AJ4589">
        <v>2</v>
      </c>
      <c r="AK4589">
        <v>0</v>
      </c>
      <c r="AL4589">
        <v>0</v>
      </c>
      <c r="AM4589">
        <v>200</v>
      </c>
      <c r="AN4589">
        <v>0</v>
      </c>
      <c r="AO4589">
        <v>0</v>
      </c>
      <c r="AP4589">
        <v>0</v>
      </c>
      <c r="AQ4589">
        <v>0</v>
      </c>
      <c r="AS4589">
        <v>0</v>
      </c>
      <c r="AT4589">
        <v>0</v>
      </c>
      <c r="AV4589">
        <v>0</v>
      </c>
      <c r="AW4589">
        <v>0</v>
      </c>
      <c r="AY4589">
        <v>0</v>
      </c>
      <c r="AZ4589">
        <v>0</v>
      </c>
      <c r="BA4589">
        <v>120</v>
      </c>
      <c r="BE4589" t="str">
        <f>T("9791172822040")</f>
        <v>9791172822040</v>
      </c>
      <c r="BF4589" t="str">
        <f>T("D158654")</f>
        <v>D158654</v>
      </c>
      <c r="BG4589" t="str">
        <f>T("로판 웹소설 &gt; 서양풍 로판")</f>
        <v>로판 웹소설 &gt; 서양풍 로판</v>
      </c>
    </row>
    <row r="4590" spans="1:59">
      <c r="A4590" t="s">
        <v>60</v>
      </c>
      <c r="B4590" s="1">
        <v>46131</v>
      </c>
      <c r="C4590">
        <v>2378078499</v>
      </c>
      <c r="D4590">
        <v>2378078574</v>
      </c>
      <c r="E4590" t="str">
        <f>T("용사들은 성녀의 축복을 받아야 한다 76화")</f>
        <v>용사들은 성녀의 축복을 받아야 한다 76화</v>
      </c>
      <c r="F4590">
        <v>76</v>
      </c>
      <c r="G4590" t="str">
        <f>T("필밤")</f>
        <v>필밤</v>
      </c>
      <c r="J4590" t="str">
        <f>T("시계토끼")</f>
        <v>시계토끼</v>
      </c>
      <c r="K4590" t="str">
        <f>T("용사들은 성녀의 축복을 받아야 한다")</f>
        <v>용사들은 성녀의 축복을 받아야 한다</v>
      </c>
      <c r="L4590">
        <v>100</v>
      </c>
      <c r="M4590">
        <v>100</v>
      </c>
      <c r="N4590">
        <v>1</v>
      </c>
      <c r="O4590">
        <v>0</v>
      </c>
      <c r="P4590">
        <v>0</v>
      </c>
      <c r="Q4590">
        <v>0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0</v>
      </c>
      <c r="AC4590">
        <v>0</v>
      </c>
      <c r="AD4590">
        <v>0</v>
      </c>
      <c r="AE4590">
        <v>0</v>
      </c>
      <c r="AF4590">
        <v>0</v>
      </c>
      <c r="AG4590">
        <v>0</v>
      </c>
      <c r="AH4590">
        <v>0</v>
      </c>
      <c r="AI4590">
        <v>100</v>
      </c>
      <c r="AJ4590">
        <v>1</v>
      </c>
      <c r="AK4590">
        <v>0</v>
      </c>
      <c r="AL4590">
        <v>0</v>
      </c>
      <c r="AM4590">
        <v>0</v>
      </c>
      <c r="AN4590">
        <v>0</v>
      </c>
      <c r="AO4590">
        <v>120</v>
      </c>
      <c r="AP4590">
        <v>-36</v>
      </c>
      <c r="AQ4590">
        <v>0</v>
      </c>
      <c r="AR4590">
        <v>120</v>
      </c>
      <c r="AS4590">
        <v>-36</v>
      </c>
      <c r="AT4590">
        <v>0</v>
      </c>
      <c r="AV4590">
        <v>0</v>
      </c>
      <c r="AW4590">
        <v>0</v>
      </c>
      <c r="AY4590">
        <v>0</v>
      </c>
      <c r="AZ4590">
        <v>0</v>
      </c>
      <c r="BA4590">
        <v>50.4</v>
      </c>
      <c r="BE4590" t="str">
        <f>T("9791172822040")</f>
        <v>9791172822040</v>
      </c>
      <c r="BF4590" t="str">
        <f>T("D158700")</f>
        <v>D158700</v>
      </c>
      <c r="BG4590" t="str">
        <f>T("로판 웹소설 &gt; 서양풍 로판")</f>
        <v>로판 웹소설 &gt; 서양풍 로판</v>
      </c>
    </row>
    <row r="4591" spans="1:59">
      <c r="A4591" t="s">
        <v>60</v>
      </c>
      <c r="B4591" s="1">
        <v>46131</v>
      </c>
      <c r="C4591">
        <v>2378078499</v>
      </c>
      <c r="D4591">
        <v>2378078529</v>
      </c>
      <c r="E4591" t="str">
        <f>T("용사들은 성녀의 축복을 받아야 한다 31화")</f>
        <v>용사들은 성녀의 축복을 받아야 한다 31화</v>
      </c>
      <c r="F4591">
        <v>31</v>
      </c>
      <c r="G4591" t="str">
        <f>T("필밤")</f>
        <v>필밤</v>
      </c>
      <c r="J4591" t="str">
        <f>T("시계토끼")</f>
        <v>시계토끼</v>
      </c>
      <c r="K4591" t="str">
        <f>T("용사들은 성녀의 축복을 받아야 한다")</f>
        <v>용사들은 성녀의 축복을 받아야 한다</v>
      </c>
      <c r="L4591">
        <v>100</v>
      </c>
      <c r="M4591">
        <v>300</v>
      </c>
      <c r="N4591">
        <v>3</v>
      </c>
      <c r="O4591">
        <v>0</v>
      </c>
      <c r="P4591">
        <v>0</v>
      </c>
      <c r="Q4591">
        <v>0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0</v>
      </c>
      <c r="AC4591">
        <v>0</v>
      </c>
      <c r="AD4591">
        <v>0</v>
      </c>
      <c r="AE4591">
        <v>0</v>
      </c>
      <c r="AF4591">
        <v>0</v>
      </c>
      <c r="AG4591">
        <v>0</v>
      </c>
      <c r="AH4591">
        <v>0</v>
      </c>
      <c r="AI4591">
        <v>300</v>
      </c>
      <c r="AJ4591">
        <v>3</v>
      </c>
      <c r="AK4591">
        <v>0</v>
      </c>
      <c r="AL4591">
        <v>0</v>
      </c>
      <c r="AM4591">
        <v>300</v>
      </c>
      <c r="AN4591">
        <v>0</v>
      </c>
      <c r="AO4591">
        <v>0</v>
      </c>
      <c r="AP4591">
        <v>0</v>
      </c>
      <c r="AQ4591">
        <v>0</v>
      </c>
      <c r="AS4591">
        <v>0</v>
      </c>
      <c r="AT4591">
        <v>0</v>
      </c>
      <c r="AV4591">
        <v>0</v>
      </c>
      <c r="AW4591">
        <v>0</v>
      </c>
      <c r="AY4591">
        <v>0</v>
      </c>
      <c r="AZ4591">
        <v>0</v>
      </c>
      <c r="BA4591">
        <v>180</v>
      </c>
      <c r="BE4591" t="str">
        <f>T("9791172822040")</f>
        <v>9791172822040</v>
      </c>
      <c r="BF4591" t="str">
        <f>T("D158655")</f>
        <v>D158655</v>
      </c>
      <c r="BG4591" t="str">
        <f>T("로판 웹소설 &gt; 서양풍 로판")</f>
        <v>로판 웹소설 &gt; 서양풍 로판</v>
      </c>
    </row>
    <row r="4592" spans="1:59">
      <c r="A4592" t="s">
        <v>60</v>
      </c>
      <c r="B4592" s="1">
        <v>46131</v>
      </c>
      <c r="C4592">
        <v>2378078499</v>
      </c>
      <c r="D4592">
        <v>2378078578</v>
      </c>
      <c r="E4592" t="str">
        <f>T("용사들은 성녀의 축복을 받아야 한다 80화")</f>
        <v>용사들은 성녀의 축복을 받아야 한다 80화</v>
      </c>
      <c r="F4592">
        <v>80</v>
      </c>
      <c r="G4592" t="str">
        <f>T("필밤")</f>
        <v>필밤</v>
      </c>
      <c r="J4592" t="str">
        <f>T("시계토끼")</f>
        <v>시계토끼</v>
      </c>
      <c r="K4592" t="str">
        <f>T("용사들은 성녀의 축복을 받아야 한다")</f>
        <v>용사들은 성녀의 축복을 받아야 한다</v>
      </c>
      <c r="L4592">
        <v>100</v>
      </c>
      <c r="M4592">
        <v>100</v>
      </c>
      <c r="N4592">
        <v>1</v>
      </c>
      <c r="O4592">
        <v>0</v>
      </c>
      <c r="P4592">
        <v>0</v>
      </c>
      <c r="Q4592">
        <v>0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0</v>
      </c>
      <c r="AC4592">
        <v>0</v>
      </c>
      <c r="AD4592">
        <v>0</v>
      </c>
      <c r="AE4592">
        <v>0</v>
      </c>
      <c r="AF4592">
        <v>0</v>
      </c>
      <c r="AG4592">
        <v>0</v>
      </c>
      <c r="AH4592">
        <v>0</v>
      </c>
      <c r="AI4592">
        <v>100</v>
      </c>
      <c r="AJ4592">
        <v>1</v>
      </c>
      <c r="AK4592">
        <v>0</v>
      </c>
      <c r="AL4592">
        <v>0</v>
      </c>
      <c r="AM4592">
        <v>0</v>
      </c>
      <c r="AN4592">
        <v>0</v>
      </c>
      <c r="AO4592">
        <v>120</v>
      </c>
      <c r="AP4592">
        <v>-36</v>
      </c>
      <c r="AQ4592">
        <v>0</v>
      </c>
      <c r="AR4592">
        <v>120</v>
      </c>
      <c r="AS4592">
        <v>-36</v>
      </c>
      <c r="AT4592">
        <v>0</v>
      </c>
      <c r="AV4592">
        <v>0</v>
      </c>
      <c r="AW4592">
        <v>0</v>
      </c>
      <c r="AY4592">
        <v>0</v>
      </c>
      <c r="AZ4592">
        <v>0</v>
      </c>
      <c r="BA4592">
        <v>50.4</v>
      </c>
      <c r="BE4592" t="str">
        <f>T("9791172822040")</f>
        <v>9791172822040</v>
      </c>
      <c r="BF4592" t="str">
        <f>T("D158704")</f>
        <v>D158704</v>
      </c>
      <c r="BG4592" t="str">
        <f>T("로판 웹소설 &gt; 서양풍 로판")</f>
        <v>로판 웹소설 &gt; 서양풍 로판</v>
      </c>
    </row>
    <row r="4593" spans="1:59">
      <c r="A4593" t="s">
        <v>60</v>
      </c>
      <c r="B4593" s="1">
        <v>46131</v>
      </c>
      <c r="C4593">
        <v>2378078499</v>
      </c>
      <c r="D4593">
        <v>2378078579</v>
      </c>
      <c r="E4593" t="str">
        <f>T("용사들은 성녀의 축복을 받아야 한다 81화")</f>
        <v>용사들은 성녀의 축복을 받아야 한다 81화</v>
      </c>
      <c r="F4593">
        <v>81</v>
      </c>
      <c r="G4593" t="str">
        <f>T("필밤")</f>
        <v>필밤</v>
      </c>
      <c r="J4593" t="str">
        <f>T("시계토끼")</f>
        <v>시계토끼</v>
      </c>
      <c r="K4593" t="str">
        <f>T("용사들은 성녀의 축복을 받아야 한다")</f>
        <v>용사들은 성녀의 축복을 받아야 한다</v>
      </c>
      <c r="L4593">
        <v>100</v>
      </c>
      <c r="M4593">
        <v>200</v>
      </c>
      <c r="N4593">
        <v>2</v>
      </c>
      <c r="O4593">
        <v>0</v>
      </c>
      <c r="P4593">
        <v>0</v>
      </c>
      <c r="Q4593">
        <v>0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0</v>
      </c>
      <c r="AC4593">
        <v>0</v>
      </c>
      <c r="AD4593">
        <v>0</v>
      </c>
      <c r="AE4593">
        <v>0</v>
      </c>
      <c r="AF4593">
        <v>0</v>
      </c>
      <c r="AG4593">
        <v>0</v>
      </c>
      <c r="AH4593">
        <v>0</v>
      </c>
      <c r="AI4593">
        <v>200</v>
      </c>
      <c r="AJ4593">
        <v>2</v>
      </c>
      <c r="AK4593">
        <v>0</v>
      </c>
      <c r="AL4593">
        <v>0</v>
      </c>
      <c r="AM4593">
        <v>100</v>
      </c>
      <c r="AN4593">
        <v>0</v>
      </c>
      <c r="AO4593">
        <v>120</v>
      </c>
      <c r="AP4593">
        <v>-36</v>
      </c>
      <c r="AQ4593">
        <v>0</v>
      </c>
      <c r="AR4593">
        <v>120</v>
      </c>
      <c r="AS4593">
        <v>-36</v>
      </c>
      <c r="AT4593">
        <v>0</v>
      </c>
      <c r="AV4593">
        <v>0</v>
      </c>
      <c r="AW4593">
        <v>0</v>
      </c>
      <c r="AY4593">
        <v>0</v>
      </c>
      <c r="AZ4593">
        <v>0</v>
      </c>
      <c r="BA4593">
        <v>110.4</v>
      </c>
      <c r="BE4593" t="str">
        <f>T("9791172822040")</f>
        <v>9791172822040</v>
      </c>
      <c r="BF4593" t="str">
        <f>T("D158705")</f>
        <v>D158705</v>
      </c>
      <c r="BG4593" t="str">
        <f>T("로판 웹소설 &gt; 서양풍 로판")</f>
        <v>로판 웹소설 &gt; 서양풍 로판</v>
      </c>
    </row>
    <row r="4594" spans="1:59">
      <c r="A4594" t="s">
        <v>60</v>
      </c>
      <c r="B4594" s="1">
        <v>46131</v>
      </c>
      <c r="C4594">
        <v>2378078499</v>
      </c>
      <c r="D4594">
        <v>2378078580</v>
      </c>
      <c r="E4594" t="str">
        <f>T("용사들은 성녀의 축복을 받아야 한다 82화")</f>
        <v>용사들은 성녀의 축복을 받아야 한다 82화</v>
      </c>
      <c r="F4594">
        <v>82</v>
      </c>
      <c r="G4594" t="str">
        <f>T("필밤")</f>
        <v>필밤</v>
      </c>
      <c r="J4594" t="str">
        <f>T("시계토끼")</f>
        <v>시계토끼</v>
      </c>
      <c r="K4594" t="str">
        <f>T("용사들은 성녀의 축복을 받아야 한다")</f>
        <v>용사들은 성녀의 축복을 받아야 한다</v>
      </c>
      <c r="L4594">
        <v>100</v>
      </c>
      <c r="M4594">
        <v>200</v>
      </c>
      <c r="N4594">
        <v>2</v>
      </c>
      <c r="O4594">
        <v>0</v>
      </c>
      <c r="P4594">
        <v>0</v>
      </c>
      <c r="Q4594">
        <v>0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0</v>
      </c>
      <c r="AC4594">
        <v>0</v>
      </c>
      <c r="AD4594">
        <v>0</v>
      </c>
      <c r="AE4594">
        <v>0</v>
      </c>
      <c r="AF4594">
        <v>0</v>
      </c>
      <c r="AG4594">
        <v>0</v>
      </c>
      <c r="AH4594">
        <v>0</v>
      </c>
      <c r="AI4594">
        <v>200</v>
      </c>
      <c r="AJ4594">
        <v>2</v>
      </c>
      <c r="AK4594">
        <v>0</v>
      </c>
      <c r="AL4594">
        <v>0</v>
      </c>
      <c r="AM4594">
        <v>100</v>
      </c>
      <c r="AN4594">
        <v>0</v>
      </c>
      <c r="AO4594">
        <v>120</v>
      </c>
      <c r="AP4594">
        <v>-36</v>
      </c>
      <c r="AQ4594">
        <v>0</v>
      </c>
      <c r="AR4594">
        <v>120</v>
      </c>
      <c r="AS4594">
        <v>-36</v>
      </c>
      <c r="AT4594">
        <v>0</v>
      </c>
      <c r="AV4594">
        <v>0</v>
      </c>
      <c r="AW4594">
        <v>0</v>
      </c>
      <c r="AY4594">
        <v>0</v>
      </c>
      <c r="AZ4594">
        <v>0</v>
      </c>
      <c r="BA4594">
        <v>110.4</v>
      </c>
      <c r="BE4594" t="str">
        <f>T("9791172822040")</f>
        <v>9791172822040</v>
      </c>
      <c r="BF4594" t="str">
        <f>T("D158706")</f>
        <v>D158706</v>
      </c>
      <c r="BG4594" t="str">
        <f>T("로판 웹소설 &gt; 서양풍 로판")</f>
        <v>로판 웹소설 &gt; 서양풍 로판</v>
      </c>
    </row>
    <row r="4595" spans="1:59">
      <c r="A4595" t="s">
        <v>60</v>
      </c>
      <c r="B4595" s="1">
        <v>46131</v>
      </c>
      <c r="C4595">
        <v>2378078499</v>
      </c>
      <c r="D4595">
        <v>2378078581</v>
      </c>
      <c r="E4595" t="str">
        <f>T("용사들은 성녀의 축복을 받아야 한다 83화")</f>
        <v>용사들은 성녀의 축복을 받아야 한다 83화</v>
      </c>
      <c r="F4595">
        <v>83</v>
      </c>
      <c r="G4595" t="str">
        <f>T("필밤")</f>
        <v>필밤</v>
      </c>
      <c r="J4595" t="str">
        <f>T("시계토끼")</f>
        <v>시계토끼</v>
      </c>
      <c r="K4595" t="str">
        <f>T("용사들은 성녀의 축복을 받아야 한다")</f>
        <v>용사들은 성녀의 축복을 받아야 한다</v>
      </c>
      <c r="L4595">
        <v>100</v>
      </c>
      <c r="M4595">
        <v>200</v>
      </c>
      <c r="N4595">
        <v>2</v>
      </c>
      <c r="O4595">
        <v>0</v>
      </c>
      <c r="P4595">
        <v>0</v>
      </c>
      <c r="Q4595">
        <v>0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0</v>
      </c>
      <c r="AC4595">
        <v>0</v>
      </c>
      <c r="AD4595">
        <v>0</v>
      </c>
      <c r="AE4595">
        <v>0</v>
      </c>
      <c r="AF4595">
        <v>0</v>
      </c>
      <c r="AG4595">
        <v>0</v>
      </c>
      <c r="AH4595">
        <v>0</v>
      </c>
      <c r="AI4595">
        <v>200</v>
      </c>
      <c r="AJ4595">
        <v>2</v>
      </c>
      <c r="AK4595">
        <v>0</v>
      </c>
      <c r="AL4595">
        <v>0</v>
      </c>
      <c r="AM4595">
        <v>100</v>
      </c>
      <c r="AN4595">
        <v>0</v>
      </c>
      <c r="AO4595">
        <v>120</v>
      </c>
      <c r="AP4595">
        <v>-36</v>
      </c>
      <c r="AQ4595">
        <v>0</v>
      </c>
      <c r="AR4595">
        <v>120</v>
      </c>
      <c r="AS4595">
        <v>-36</v>
      </c>
      <c r="AT4595">
        <v>0</v>
      </c>
      <c r="AV4595">
        <v>0</v>
      </c>
      <c r="AW4595">
        <v>0</v>
      </c>
      <c r="AY4595">
        <v>0</v>
      </c>
      <c r="AZ4595">
        <v>0</v>
      </c>
      <c r="BA4595">
        <v>110.4</v>
      </c>
      <c r="BE4595" t="str">
        <f>T("9791172822040")</f>
        <v>9791172822040</v>
      </c>
      <c r="BF4595" t="str">
        <f>T("D158707")</f>
        <v>D158707</v>
      </c>
      <c r="BG4595" t="str">
        <f>T("로판 웹소설 &gt; 서양풍 로판")</f>
        <v>로판 웹소설 &gt; 서양풍 로판</v>
      </c>
    </row>
    <row r="4596" spans="1:59">
      <c r="A4596" t="s">
        <v>60</v>
      </c>
      <c r="B4596" s="1">
        <v>46131</v>
      </c>
      <c r="C4596">
        <v>2378078499</v>
      </c>
      <c r="D4596">
        <v>2378078582</v>
      </c>
      <c r="E4596" t="str">
        <f>T("용사들은 성녀의 축복을 받아야 한다 84화")</f>
        <v>용사들은 성녀의 축복을 받아야 한다 84화</v>
      </c>
      <c r="F4596">
        <v>84</v>
      </c>
      <c r="G4596" t="str">
        <f>T("필밤")</f>
        <v>필밤</v>
      </c>
      <c r="J4596" t="str">
        <f>T("시계토끼")</f>
        <v>시계토끼</v>
      </c>
      <c r="K4596" t="str">
        <f>T("용사들은 성녀의 축복을 받아야 한다")</f>
        <v>용사들은 성녀의 축복을 받아야 한다</v>
      </c>
      <c r="L4596">
        <v>100</v>
      </c>
      <c r="M4596">
        <v>200</v>
      </c>
      <c r="N4596">
        <v>2</v>
      </c>
      <c r="O4596">
        <v>0</v>
      </c>
      <c r="P4596">
        <v>0</v>
      </c>
      <c r="Q4596">
        <v>0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0</v>
      </c>
      <c r="AC4596">
        <v>0</v>
      </c>
      <c r="AD4596">
        <v>0</v>
      </c>
      <c r="AE4596">
        <v>0</v>
      </c>
      <c r="AF4596">
        <v>0</v>
      </c>
      <c r="AG4596">
        <v>0</v>
      </c>
      <c r="AH4596">
        <v>0</v>
      </c>
      <c r="AI4596">
        <v>200</v>
      </c>
      <c r="AJ4596">
        <v>2</v>
      </c>
      <c r="AK4596">
        <v>0</v>
      </c>
      <c r="AL4596">
        <v>0</v>
      </c>
      <c r="AM4596">
        <v>100</v>
      </c>
      <c r="AN4596">
        <v>0</v>
      </c>
      <c r="AO4596">
        <v>120</v>
      </c>
      <c r="AP4596">
        <v>-36</v>
      </c>
      <c r="AQ4596">
        <v>0</v>
      </c>
      <c r="AR4596">
        <v>120</v>
      </c>
      <c r="AS4596">
        <v>-36</v>
      </c>
      <c r="AT4596">
        <v>0</v>
      </c>
      <c r="AV4596">
        <v>0</v>
      </c>
      <c r="AW4596">
        <v>0</v>
      </c>
      <c r="AY4596">
        <v>0</v>
      </c>
      <c r="AZ4596">
        <v>0</v>
      </c>
      <c r="BA4596">
        <v>110.4</v>
      </c>
      <c r="BE4596" t="str">
        <f>T("9791172822040")</f>
        <v>9791172822040</v>
      </c>
      <c r="BF4596" t="str">
        <f>T("D158708")</f>
        <v>D158708</v>
      </c>
      <c r="BG4596" t="str">
        <f>T("로판 웹소설 &gt; 서양풍 로판")</f>
        <v>로판 웹소설 &gt; 서양풍 로판</v>
      </c>
    </row>
    <row r="4597" spans="1:59">
      <c r="A4597" t="s">
        <v>60</v>
      </c>
      <c r="B4597" s="1">
        <v>46131</v>
      </c>
      <c r="C4597">
        <v>2378078499</v>
      </c>
      <c r="D4597">
        <v>2378078499</v>
      </c>
      <c r="E4597" t="str">
        <f>T("용사들은 성녀의 축복을 받아야 한다 1화")</f>
        <v>용사들은 성녀의 축복을 받아야 한다 1화</v>
      </c>
      <c r="F4597">
        <v>1</v>
      </c>
      <c r="G4597" t="str">
        <f>T("필밤")</f>
        <v>필밤</v>
      </c>
      <c r="J4597" t="str">
        <f>T("시계토끼")</f>
        <v>시계토끼</v>
      </c>
      <c r="K4597" t="str">
        <f>T("용사들은 성녀의 축복을 받아야 한다")</f>
        <v>용사들은 성녀의 축복을 받아야 한다</v>
      </c>
      <c r="L4597">
        <v>0</v>
      </c>
      <c r="M4597">
        <v>0</v>
      </c>
      <c r="N4597">
        <v>0</v>
      </c>
      <c r="O4597">
        <v>11</v>
      </c>
      <c r="P4597">
        <v>0</v>
      </c>
      <c r="Q4597">
        <v>0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0</v>
      </c>
      <c r="AC4597">
        <v>0</v>
      </c>
      <c r="AD4597">
        <v>0</v>
      </c>
      <c r="AE4597">
        <v>0</v>
      </c>
      <c r="AF4597">
        <v>0</v>
      </c>
      <c r="AG4597">
        <v>0</v>
      </c>
      <c r="AH4597">
        <v>0</v>
      </c>
      <c r="AI4597">
        <v>0</v>
      </c>
      <c r="AJ4597">
        <v>11</v>
      </c>
      <c r="AK4597">
        <v>0</v>
      </c>
      <c r="AL4597">
        <v>0</v>
      </c>
      <c r="AM4597">
        <v>0</v>
      </c>
      <c r="AN4597">
        <v>0</v>
      </c>
      <c r="AO4597">
        <v>0</v>
      </c>
      <c r="AP4597">
        <v>0</v>
      </c>
      <c r="AQ4597">
        <v>0</v>
      </c>
      <c r="AS4597">
        <v>0</v>
      </c>
      <c r="AT4597">
        <v>0</v>
      </c>
      <c r="AV4597">
        <v>0</v>
      </c>
      <c r="AW4597">
        <v>0</v>
      </c>
      <c r="AY4597">
        <v>0</v>
      </c>
      <c r="AZ4597">
        <v>0</v>
      </c>
      <c r="BA4597">
        <v>0</v>
      </c>
      <c r="BE4597" t="str">
        <f>T("9791172822040")</f>
        <v>9791172822040</v>
      </c>
      <c r="BF4597" t="str">
        <f>T("D158625")</f>
        <v>D158625</v>
      </c>
      <c r="BG4597" t="str">
        <f>T("로판 웹소설 &gt; 서양풍 로판")</f>
        <v>로판 웹소설 &gt; 서양풍 로판</v>
      </c>
    </row>
    <row r="4598" spans="1:59">
      <c r="A4598" t="s">
        <v>60</v>
      </c>
      <c r="B4598" s="1">
        <v>46131</v>
      </c>
      <c r="C4598">
        <v>2378078499</v>
      </c>
      <c r="D4598">
        <v>2378078583</v>
      </c>
      <c r="E4598" t="str">
        <f>T("용사들은 성녀의 축복을 받아야 한다 85화")</f>
        <v>용사들은 성녀의 축복을 받아야 한다 85화</v>
      </c>
      <c r="F4598">
        <v>85</v>
      </c>
      <c r="G4598" t="str">
        <f>T("필밤")</f>
        <v>필밤</v>
      </c>
      <c r="J4598" t="str">
        <f>T("시계토끼")</f>
        <v>시계토끼</v>
      </c>
      <c r="K4598" t="str">
        <f>T("용사들은 성녀의 축복을 받아야 한다")</f>
        <v>용사들은 성녀의 축복을 받아야 한다</v>
      </c>
      <c r="L4598">
        <v>100</v>
      </c>
      <c r="M4598">
        <v>200</v>
      </c>
      <c r="N4598">
        <v>2</v>
      </c>
      <c r="O4598">
        <v>0</v>
      </c>
      <c r="P4598">
        <v>0</v>
      </c>
      <c r="Q4598">
        <v>0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0</v>
      </c>
      <c r="AC4598">
        <v>0</v>
      </c>
      <c r="AD4598">
        <v>0</v>
      </c>
      <c r="AE4598">
        <v>0</v>
      </c>
      <c r="AF4598">
        <v>0</v>
      </c>
      <c r="AG4598">
        <v>0</v>
      </c>
      <c r="AH4598">
        <v>0</v>
      </c>
      <c r="AI4598">
        <v>200</v>
      </c>
      <c r="AJ4598">
        <v>2</v>
      </c>
      <c r="AK4598">
        <v>0</v>
      </c>
      <c r="AL4598">
        <v>0</v>
      </c>
      <c r="AM4598">
        <v>100</v>
      </c>
      <c r="AN4598">
        <v>0</v>
      </c>
      <c r="AO4598">
        <v>120</v>
      </c>
      <c r="AP4598">
        <v>-36</v>
      </c>
      <c r="AQ4598">
        <v>0</v>
      </c>
      <c r="AR4598">
        <v>120</v>
      </c>
      <c r="AS4598">
        <v>-36</v>
      </c>
      <c r="AT4598">
        <v>0</v>
      </c>
      <c r="AV4598">
        <v>0</v>
      </c>
      <c r="AW4598">
        <v>0</v>
      </c>
      <c r="AY4598">
        <v>0</v>
      </c>
      <c r="AZ4598">
        <v>0</v>
      </c>
      <c r="BA4598">
        <v>110.4</v>
      </c>
      <c r="BE4598" t="str">
        <f>T("9791172822040")</f>
        <v>9791172822040</v>
      </c>
      <c r="BF4598" t="str">
        <f>T("D158709")</f>
        <v>D158709</v>
      </c>
      <c r="BG4598" t="str">
        <f>T("로판 웹소설 &gt; 서양풍 로판")</f>
        <v>로판 웹소설 &gt; 서양풍 로판</v>
      </c>
    </row>
    <row r="4599" spans="1:59">
      <c r="A4599" t="s">
        <v>60</v>
      </c>
      <c r="B4599" s="1">
        <v>46131</v>
      </c>
      <c r="C4599">
        <v>2378078499</v>
      </c>
      <c r="D4599">
        <v>2378078584</v>
      </c>
      <c r="E4599" t="str">
        <f>T("용사들은 성녀의 축복을 받아야 한다 86화")</f>
        <v>용사들은 성녀의 축복을 받아야 한다 86화</v>
      </c>
      <c r="F4599">
        <v>86</v>
      </c>
      <c r="G4599" t="str">
        <f>T("필밤")</f>
        <v>필밤</v>
      </c>
      <c r="J4599" t="str">
        <f>T("시계토끼")</f>
        <v>시계토끼</v>
      </c>
      <c r="K4599" t="str">
        <f>T("용사들은 성녀의 축복을 받아야 한다")</f>
        <v>용사들은 성녀의 축복을 받아야 한다</v>
      </c>
      <c r="L4599">
        <v>100</v>
      </c>
      <c r="M4599">
        <v>200</v>
      </c>
      <c r="N4599">
        <v>2</v>
      </c>
      <c r="O4599">
        <v>0</v>
      </c>
      <c r="P4599">
        <v>0</v>
      </c>
      <c r="Q4599">
        <v>0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0</v>
      </c>
      <c r="AC4599">
        <v>0</v>
      </c>
      <c r="AD4599">
        <v>0</v>
      </c>
      <c r="AE4599">
        <v>0</v>
      </c>
      <c r="AF4599">
        <v>0</v>
      </c>
      <c r="AG4599">
        <v>0</v>
      </c>
      <c r="AH4599">
        <v>0</v>
      </c>
      <c r="AI4599">
        <v>200</v>
      </c>
      <c r="AJ4599">
        <v>2</v>
      </c>
      <c r="AK4599">
        <v>0</v>
      </c>
      <c r="AL4599">
        <v>0</v>
      </c>
      <c r="AM4599">
        <v>100</v>
      </c>
      <c r="AN4599">
        <v>0</v>
      </c>
      <c r="AO4599">
        <v>120</v>
      </c>
      <c r="AP4599">
        <v>-36</v>
      </c>
      <c r="AQ4599">
        <v>0</v>
      </c>
      <c r="AR4599">
        <v>120</v>
      </c>
      <c r="AS4599">
        <v>-36</v>
      </c>
      <c r="AT4599">
        <v>0</v>
      </c>
      <c r="AV4599">
        <v>0</v>
      </c>
      <c r="AW4599">
        <v>0</v>
      </c>
      <c r="AY4599">
        <v>0</v>
      </c>
      <c r="AZ4599">
        <v>0</v>
      </c>
      <c r="BA4599">
        <v>110.4</v>
      </c>
      <c r="BE4599" t="str">
        <f>T("9791172822040")</f>
        <v>9791172822040</v>
      </c>
      <c r="BF4599" t="str">
        <f>T("D158710")</f>
        <v>D158710</v>
      </c>
      <c r="BG4599" t="str">
        <f>T("로판 웹소설 &gt; 서양풍 로판")</f>
        <v>로판 웹소설 &gt; 서양풍 로판</v>
      </c>
    </row>
    <row r="4600" spans="1:59">
      <c r="A4600" t="s">
        <v>60</v>
      </c>
      <c r="B4600" s="1">
        <v>46131</v>
      </c>
      <c r="C4600">
        <v>2378078499</v>
      </c>
      <c r="D4600">
        <v>2378078585</v>
      </c>
      <c r="E4600" t="str">
        <f>T("용사들은 성녀의 축복을 받아야 한다 87화")</f>
        <v>용사들은 성녀의 축복을 받아야 한다 87화</v>
      </c>
      <c r="F4600">
        <v>87</v>
      </c>
      <c r="G4600" t="str">
        <f>T("필밤")</f>
        <v>필밤</v>
      </c>
      <c r="J4600" t="str">
        <f>T("시계토끼")</f>
        <v>시계토끼</v>
      </c>
      <c r="K4600" t="str">
        <f>T("용사들은 성녀의 축복을 받아야 한다")</f>
        <v>용사들은 성녀의 축복을 받아야 한다</v>
      </c>
      <c r="L4600">
        <v>100</v>
      </c>
      <c r="M4600">
        <v>200</v>
      </c>
      <c r="N4600">
        <v>2</v>
      </c>
      <c r="O4600">
        <v>0</v>
      </c>
      <c r="P4600">
        <v>0</v>
      </c>
      <c r="Q4600">
        <v>0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0</v>
      </c>
      <c r="AC4600">
        <v>0</v>
      </c>
      <c r="AD4600">
        <v>0</v>
      </c>
      <c r="AE4600">
        <v>0</v>
      </c>
      <c r="AF4600">
        <v>0</v>
      </c>
      <c r="AG4600">
        <v>0</v>
      </c>
      <c r="AH4600">
        <v>0</v>
      </c>
      <c r="AI4600">
        <v>200</v>
      </c>
      <c r="AJ4600">
        <v>2</v>
      </c>
      <c r="AK4600">
        <v>0</v>
      </c>
      <c r="AL4600">
        <v>0</v>
      </c>
      <c r="AM4600">
        <v>100</v>
      </c>
      <c r="AN4600">
        <v>0</v>
      </c>
      <c r="AO4600">
        <v>120</v>
      </c>
      <c r="AP4600">
        <v>-36</v>
      </c>
      <c r="AQ4600">
        <v>0</v>
      </c>
      <c r="AR4600">
        <v>120</v>
      </c>
      <c r="AS4600">
        <v>-36</v>
      </c>
      <c r="AT4600">
        <v>0</v>
      </c>
      <c r="AV4600">
        <v>0</v>
      </c>
      <c r="AW4600">
        <v>0</v>
      </c>
      <c r="AY4600">
        <v>0</v>
      </c>
      <c r="AZ4600">
        <v>0</v>
      </c>
      <c r="BA4600">
        <v>110.4</v>
      </c>
      <c r="BE4600" t="str">
        <f>T("9791172822040")</f>
        <v>9791172822040</v>
      </c>
      <c r="BF4600" t="str">
        <f>T("D158711")</f>
        <v>D158711</v>
      </c>
      <c r="BG4600" t="str">
        <f>T("로판 웹소설 &gt; 서양풍 로판")</f>
        <v>로판 웹소설 &gt; 서양풍 로판</v>
      </c>
    </row>
    <row r="4601" spans="1:59">
      <c r="A4601" t="s">
        <v>60</v>
      </c>
      <c r="B4601" s="1">
        <v>46131</v>
      </c>
      <c r="C4601">
        <v>2378078499</v>
      </c>
      <c r="D4601">
        <v>2378078511</v>
      </c>
      <c r="E4601" t="str">
        <f>T("용사들은 성녀의 축복을 받아야 한다 13화")</f>
        <v>용사들은 성녀의 축복을 받아야 한다 13화</v>
      </c>
      <c r="F4601">
        <v>13</v>
      </c>
      <c r="G4601" t="str">
        <f>T("필밤")</f>
        <v>필밤</v>
      </c>
      <c r="J4601" t="str">
        <f>T("시계토끼")</f>
        <v>시계토끼</v>
      </c>
      <c r="K4601" t="str">
        <f>T("용사들은 성녀의 축복을 받아야 한다")</f>
        <v>용사들은 성녀의 축복을 받아야 한다</v>
      </c>
      <c r="L4601">
        <v>100</v>
      </c>
      <c r="M4601">
        <v>500</v>
      </c>
      <c r="N4601">
        <v>5</v>
      </c>
      <c r="O4601">
        <v>0</v>
      </c>
      <c r="P4601">
        <v>0</v>
      </c>
      <c r="Q4601">
        <v>0</v>
      </c>
      <c r="R4601">
        <v>1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0</v>
      </c>
      <c r="AC4601">
        <v>0</v>
      </c>
      <c r="AD4601">
        <v>0</v>
      </c>
      <c r="AE4601">
        <v>0</v>
      </c>
      <c r="AF4601">
        <v>0</v>
      </c>
      <c r="AG4601">
        <v>0</v>
      </c>
      <c r="AH4601">
        <v>0</v>
      </c>
      <c r="AI4601">
        <v>500</v>
      </c>
      <c r="AJ4601">
        <v>6</v>
      </c>
      <c r="AK4601">
        <v>0</v>
      </c>
      <c r="AL4601">
        <v>0</v>
      </c>
      <c r="AM4601">
        <v>400</v>
      </c>
      <c r="AN4601">
        <v>0</v>
      </c>
      <c r="AO4601">
        <v>120</v>
      </c>
      <c r="AP4601">
        <v>-36</v>
      </c>
      <c r="AQ4601">
        <v>0</v>
      </c>
      <c r="AR4601">
        <v>120</v>
      </c>
      <c r="AS4601">
        <v>-36</v>
      </c>
      <c r="AT4601">
        <v>0</v>
      </c>
      <c r="AV4601">
        <v>0</v>
      </c>
      <c r="AW4601">
        <v>0</v>
      </c>
      <c r="AY4601">
        <v>0</v>
      </c>
      <c r="AZ4601">
        <v>0</v>
      </c>
      <c r="BA4601">
        <v>290.39999999999998</v>
      </c>
      <c r="BE4601" t="str">
        <f>T("9791172822040")</f>
        <v>9791172822040</v>
      </c>
      <c r="BF4601" t="str">
        <f>T("D158637")</f>
        <v>D158637</v>
      </c>
      <c r="BG4601" t="str">
        <f>T("로판 웹소설 &gt; 서양풍 로판")</f>
        <v>로판 웹소설 &gt; 서양풍 로판</v>
      </c>
    </row>
    <row r="4602" spans="1:59">
      <c r="A4602" t="s">
        <v>60</v>
      </c>
      <c r="B4602" s="1">
        <v>46131</v>
      </c>
      <c r="C4602">
        <v>2378078499</v>
      </c>
      <c r="D4602">
        <v>2378078505</v>
      </c>
      <c r="E4602" t="str">
        <f>T("용사들은 성녀의 축복을 받아야 한다 7화")</f>
        <v>용사들은 성녀의 축복을 받아야 한다 7화</v>
      </c>
      <c r="F4602">
        <v>7</v>
      </c>
      <c r="G4602" t="str">
        <f>T("필밤")</f>
        <v>필밤</v>
      </c>
      <c r="J4602" t="str">
        <f>T("시계토끼")</f>
        <v>시계토끼</v>
      </c>
      <c r="K4602" t="str">
        <f>T("용사들은 성녀의 축복을 받아야 한다")</f>
        <v>용사들은 성녀의 축복을 받아야 한다</v>
      </c>
      <c r="L4602">
        <v>100</v>
      </c>
      <c r="M4602">
        <v>200</v>
      </c>
      <c r="N4602">
        <v>2</v>
      </c>
      <c r="O4602">
        <v>0</v>
      </c>
      <c r="P4602">
        <v>0</v>
      </c>
      <c r="Q4602">
        <v>0</v>
      </c>
      <c r="R4602">
        <v>1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0</v>
      </c>
      <c r="AC4602">
        <v>0</v>
      </c>
      <c r="AD4602">
        <v>0</v>
      </c>
      <c r="AE4602">
        <v>0</v>
      </c>
      <c r="AF4602">
        <v>0</v>
      </c>
      <c r="AG4602">
        <v>0</v>
      </c>
      <c r="AH4602">
        <v>0</v>
      </c>
      <c r="AI4602">
        <v>200</v>
      </c>
      <c r="AJ4602">
        <v>3</v>
      </c>
      <c r="AK4602">
        <v>0</v>
      </c>
      <c r="AL4602">
        <v>0</v>
      </c>
      <c r="AM4602">
        <v>200</v>
      </c>
      <c r="AN4602">
        <v>0</v>
      </c>
      <c r="AO4602">
        <v>0</v>
      </c>
      <c r="AP4602">
        <v>0</v>
      </c>
      <c r="AQ4602">
        <v>0</v>
      </c>
      <c r="AS4602">
        <v>0</v>
      </c>
      <c r="AT4602">
        <v>0</v>
      </c>
      <c r="AV4602">
        <v>0</v>
      </c>
      <c r="AW4602">
        <v>0</v>
      </c>
      <c r="AY4602">
        <v>0</v>
      </c>
      <c r="AZ4602">
        <v>0</v>
      </c>
      <c r="BA4602">
        <v>120</v>
      </c>
      <c r="BE4602" t="str">
        <f>T("9791172822040")</f>
        <v>9791172822040</v>
      </c>
      <c r="BF4602" t="str">
        <f>T("D158631")</f>
        <v>D158631</v>
      </c>
      <c r="BG4602" t="str">
        <f>T("로판 웹소설 &gt; 서양풍 로판")</f>
        <v>로판 웹소설 &gt; 서양풍 로판</v>
      </c>
    </row>
    <row r="4603" spans="1:59">
      <c r="A4603" t="s">
        <v>60</v>
      </c>
      <c r="B4603" s="1">
        <v>46131</v>
      </c>
      <c r="C4603">
        <v>2378078499</v>
      </c>
      <c r="D4603">
        <v>2378078512</v>
      </c>
      <c r="E4603" t="str">
        <f>T("용사들은 성녀의 축복을 받아야 한다 14화")</f>
        <v>용사들은 성녀의 축복을 받아야 한다 14화</v>
      </c>
      <c r="F4603">
        <v>14</v>
      </c>
      <c r="G4603" t="str">
        <f>T("필밤")</f>
        <v>필밤</v>
      </c>
      <c r="J4603" t="str">
        <f>T("시계토끼")</f>
        <v>시계토끼</v>
      </c>
      <c r="K4603" t="str">
        <f>T("용사들은 성녀의 축복을 받아야 한다")</f>
        <v>용사들은 성녀의 축복을 받아야 한다</v>
      </c>
      <c r="L4603">
        <v>100</v>
      </c>
      <c r="M4603">
        <v>400</v>
      </c>
      <c r="N4603">
        <v>4</v>
      </c>
      <c r="O4603">
        <v>0</v>
      </c>
      <c r="P4603">
        <v>0</v>
      </c>
      <c r="Q4603">
        <v>0</v>
      </c>
      <c r="R4603">
        <v>1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0</v>
      </c>
      <c r="AC4603">
        <v>0</v>
      </c>
      <c r="AD4603">
        <v>0</v>
      </c>
      <c r="AE4603">
        <v>0</v>
      </c>
      <c r="AF4603">
        <v>0</v>
      </c>
      <c r="AG4603">
        <v>0</v>
      </c>
      <c r="AH4603">
        <v>0</v>
      </c>
      <c r="AI4603">
        <v>400</v>
      </c>
      <c r="AJ4603">
        <v>5</v>
      </c>
      <c r="AK4603">
        <v>0</v>
      </c>
      <c r="AL4603">
        <v>0</v>
      </c>
      <c r="AM4603">
        <v>300</v>
      </c>
      <c r="AN4603">
        <v>0</v>
      </c>
      <c r="AO4603">
        <v>120</v>
      </c>
      <c r="AP4603">
        <v>-36</v>
      </c>
      <c r="AQ4603">
        <v>0</v>
      </c>
      <c r="AR4603">
        <v>120</v>
      </c>
      <c r="AS4603">
        <v>-36</v>
      </c>
      <c r="AT4603">
        <v>0</v>
      </c>
      <c r="AV4603">
        <v>0</v>
      </c>
      <c r="AW4603">
        <v>0</v>
      </c>
      <c r="AY4603">
        <v>0</v>
      </c>
      <c r="AZ4603">
        <v>0</v>
      </c>
      <c r="BA4603">
        <v>230.4</v>
      </c>
      <c r="BE4603" t="str">
        <f>T("9791172822040")</f>
        <v>9791172822040</v>
      </c>
      <c r="BF4603" t="str">
        <f>T("D158638")</f>
        <v>D158638</v>
      </c>
      <c r="BG4603" t="str">
        <f>T("로판 웹소설 &gt; 서양풍 로판")</f>
        <v>로판 웹소설 &gt; 서양풍 로판</v>
      </c>
    </row>
    <row r="4604" spans="1:59">
      <c r="A4604" t="s">
        <v>60</v>
      </c>
      <c r="B4604" s="1">
        <v>46131</v>
      </c>
      <c r="C4604">
        <v>2378078499</v>
      </c>
      <c r="D4604">
        <v>2378078513</v>
      </c>
      <c r="E4604" t="str">
        <f>T("용사들은 성녀의 축복을 받아야 한다 15화")</f>
        <v>용사들은 성녀의 축복을 받아야 한다 15화</v>
      </c>
      <c r="F4604">
        <v>15</v>
      </c>
      <c r="G4604" t="str">
        <f>T("필밤")</f>
        <v>필밤</v>
      </c>
      <c r="J4604" t="str">
        <f>T("시계토끼")</f>
        <v>시계토끼</v>
      </c>
      <c r="K4604" t="str">
        <f>T("용사들은 성녀의 축복을 받아야 한다")</f>
        <v>용사들은 성녀의 축복을 받아야 한다</v>
      </c>
      <c r="L4604">
        <v>100</v>
      </c>
      <c r="M4604">
        <v>300</v>
      </c>
      <c r="N4604">
        <v>3</v>
      </c>
      <c r="O4604">
        <v>0</v>
      </c>
      <c r="P4604">
        <v>0</v>
      </c>
      <c r="Q4604">
        <v>0</v>
      </c>
      <c r="R4604">
        <v>1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0</v>
      </c>
      <c r="AC4604">
        <v>0</v>
      </c>
      <c r="AD4604">
        <v>0</v>
      </c>
      <c r="AE4604">
        <v>0</v>
      </c>
      <c r="AF4604">
        <v>0</v>
      </c>
      <c r="AG4604">
        <v>0</v>
      </c>
      <c r="AH4604">
        <v>0</v>
      </c>
      <c r="AI4604">
        <v>300</v>
      </c>
      <c r="AJ4604">
        <v>4</v>
      </c>
      <c r="AK4604">
        <v>0</v>
      </c>
      <c r="AL4604">
        <v>0</v>
      </c>
      <c r="AM4604">
        <v>200</v>
      </c>
      <c r="AN4604">
        <v>0</v>
      </c>
      <c r="AO4604">
        <v>120</v>
      </c>
      <c r="AP4604">
        <v>-36</v>
      </c>
      <c r="AQ4604">
        <v>0</v>
      </c>
      <c r="AR4604">
        <v>120</v>
      </c>
      <c r="AS4604">
        <v>-36</v>
      </c>
      <c r="AT4604">
        <v>0</v>
      </c>
      <c r="AV4604">
        <v>0</v>
      </c>
      <c r="AW4604">
        <v>0</v>
      </c>
      <c r="AY4604">
        <v>0</v>
      </c>
      <c r="AZ4604">
        <v>0</v>
      </c>
      <c r="BA4604">
        <v>170.4</v>
      </c>
      <c r="BE4604" t="str">
        <f>T("9791172822040")</f>
        <v>9791172822040</v>
      </c>
      <c r="BF4604" t="str">
        <f>T("D158639")</f>
        <v>D158639</v>
      </c>
      <c r="BG4604" t="str">
        <f>T("로판 웹소설 &gt; 서양풍 로판")</f>
        <v>로판 웹소설 &gt; 서양풍 로판</v>
      </c>
    </row>
    <row r="4605" spans="1:59">
      <c r="A4605" t="s">
        <v>60</v>
      </c>
      <c r="B4605" s="1">
        <v>46131</v>
      </c>
      <c r="C4605">
        <v>2378078499</v>
      </c>
      <c r="D4605">
        <v>2378078536</v>
      </c>
      <c r="E4605" t="str">
        <f>T("용사들은 성녀의 축복을 받아야 한다 38화")</f>
        <v>용사들은 성녀의 축복을 받아야 한다 38화</v>
      </c>
      <c r="F4605">
        <v>38</v>
      </c>
      <c r="G4605" t="str">
        <f>T("필밤")</f>
        <v>필밤</v>
      </c>
      <c r="J4605" t="str">
        <f>T("시계토끼")</f>
        <v>시계토끼</v>
      </c>
      <c r="K4605" t="str">
        <f>T("용사들은 성녀의 축복을 받아야 한다")</f>
        <v>용사들은 성녀의 축복을 받아야 한다</v>
      </c>
      <c r="L4605">
        <v>100</v>
      </c>
      <c r="M4605">
        <v>200</v>
      </c>
      <c r="N4605">
        <v>2</v>
      </c>
      <c r="O4605">
        <v>0</v>
      </c>
      <c r="P4605">
        <v>0</v>
      </c>
      <c r="Q4605">
        <v>0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0</v>
      </c>
      <c r="AC4605">
        <v>0</v>
      </c>
      <c r="AD4605">
        <v>0</v>
      </c>
      <c r="AE4605">
        <v>0</v>
      </c>
      <c r="AF4605">
        <v>0</v>
      </c>
      <c r="AG4605">
        <v>0</v>
      </c>
      <c r="AH4605">
        <v>0</v>
      </c>
      <c r="AI4605">
        <v>200</v>
      </c>
      <c r="AJ4605">
        <v>2</v>
      </c>
      <c r="AK4605">
        <v>0</v>
      </c>
      <c r="AL4605">
        <v>0</v>
      </c>
      <c r="AM4605">
        <v>200</v>
      </c>
      <c r="AN4605">
        <v>0</v>
      </c>
      <c r="AO4605">
        <v>0</v>
      </c>
      <c r="AP4605">
        <v>0</v>
      </c>
      <c r="AQ4605">
        <v>0</v>
      </c>
      <c r="AS4605">
        <v>0</v>
      </c>
      <c r="AT4605">
        <v>0</v>
      </c>
      <c r="AV4605">
        <v>0</v>
      </c>
      <c r="AW4605">
        <v>0</v>
      </c>
      <c r="AY4605">
        <v>0</v>
      </c>
      <c r="AZ4605">
        <v>0</v>
      </c>
      <c r="BA4605">
        <v>120</v>
      </c>
      <c r="BE4605" t="str">
        <f>T("9791172822040")</f>
        <v>9791172822040</v>
      </c>
      <c r="BF4605" t="str">
        <f>T("D158662")</f>
        <v>D158662</v>
      </c>
      <c r="BG4605" t="str">
        <f>T("로판 웹소설 &gt; 서양풍 로판")</f>
        <v>로판 웹소설 &gt; 서양풍 로판</v>
      </c>
    </row>
    <row r="4606" spans="1:59">
      <c r="A4606" t="s">
        <v>60</v>
      </c>
      <c r="B4606" s="1">
        <v>46131</v>
      </c>
      <c r="C4606">
        <v>2378078499</v>
      </c>
      <c r="D4606">
        <v>2378078537</v>
      </c>
      <c r="E4606" t="str">
        <f>T("용사들은 성녀의 축복을 받아야 한다 39화")</f>
        <v>용사들은 성녀의 축복을 받아야 한다 39화</v>
      </c>
      <c r="F4606">
        <v>39</v>
      </c>
      <c r="G4606" t="str">
        <f>T("필밤")</f>
        <v>필밤</v>
      </c>
      <c r="J4606" t="str">
        <f>T("시계토끼")</f>
        <v>시계토끼</v>
      </c>
      <c r="K4606" t="str">
        <f>T("용사들은 성녀의 축복을 받아야 한다")</f>
        <v>용사들은 성녀의 축복을 받아야 한다</v>
      </c>
      <c r="L4606">
        <v>100</v>
      </c>
      <c r="M4606">
        <v>200</v>
      </c>
      <c r="N4606">
        <v>2</v>
      </c>
      <c r="O4606">
        <v>0</v>
      </c>
      <c r="P4606">
        <v>0</v>
      </c>
      <c r="Q4606">
        <v>0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0</v>
      </c>
      <c r="AC4606">
        <v>0</v>
      </c>
      <c r="AD4606">
        <v>0</v>
      </c>
      <c r="AE4606">
        <v>0</v>
      </c>
      <c r="AF4606">
        <v>0</v>
      </c>
      <c r="AG4606">
        <v>0</v>
      </c>
      <c r="AH4606">
        <v>0</v>
      </c>
      <c r="AI4606">
        <v>200</v>
      </c>
      <c r="AJ4606">
        <v>2</v>
      </c>
      <c r="AK4606">
        <v>0</v>
      </c>
      <c r="AL4606">
        <v>0</v>
      </c>
      <c r="AM4606">
        <v>200</v>
      </c>
      <c r="AN4606">
        <v>0</v>
      </c>
      <c r="AO4606">
        <v>0</v>
      </c>
      <c r="AP4606">
        <v>0</v>
      </c>
      <c r="AQ4606">
        <v>0</v>
      </c>
      <c r="AS4606">
        <v>0</v>
      </c>
      <c r="AT4606">
        <v>0</v>
      </c>
      <c r="AV4606">
        <v>0</v>
      </c>
      <c r="AW4606">
        <v>0</v>
      </c>
      <c r="AY4606">
        <v>0</v>
      </c>
      <c r="AZ4606">
        <v>0</v>
      </c>
      <c r="BA4606">
        <v>120</v>
      </c>
      <c r="BE4606" t="str">
        <f>T("9791172822040")</f>
        <v>9791172822040</v>
      </c>
      <c r="BF4606" t="str">
        <f>T("D158663")</f>
        <v>D158663</v>
      </c>
      <c r="BG4606" t="str">
        <f>T("로판 웹소설 &gt; 서양풍 로판")</f>
        <v>로판 웹소설 &gt; 서양풍 로판</v>
      </c>
    </row>
    <row r="4607" spans="1:59">
      <c r="A4607" t="s">
        <v>60</v>
      </c>
      <c r="B4607" s="1">
        <v>46131</v>
      </c>
      <c r="C4607">
        <v>2378078499</v>
      </c>
      <c r="D4607">
        <v>2378080099</v>
      </c>
      <c r="E4607" t="str">
        <f>T("용사들은 성녀의 축복을 받아야 한다 128화")</f>
        <v>용사들은 성녀의 축복을 받아야 한다 128화</v>
      </c>
      <c r="F4607">
        <v>128</v>
      </c>
      <c r="G4607" t="str">
        <f>T("필밤")</f>
        <v>필밤</v>
      </c>
      <c r="J4607" t="str">
        <f>T("시계토끼")</f>
        <v>시계토끼</v>
      </c>
      <c r="K4607" t="str">
        <f>T("용사들은 성녀의 축복을 받아야 한다")</f>
        <v>용사들은 성녀의 축복을 받아야 한다</v>
      </c>
      <c r="L4607">
        <v>100</v>
      </c>
      <c r="M4607">
        <v>100</v>
      </c>
      <c r="N4607">
        <v>1</v>
      </c>
      <c r="O4607">
        <v>0</v>
      </c>
      <c r="P4607">
        <v>0</v>
      </c>
      <c r="Q4607">
        <v>0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0</v>
      </c>
      <c r="AC4607">
        <v>0</v>
      </c>
      <c r="AD4607">
        <v>0</v>
      </c>
      <c r="AE4607">
        <v>0</v>
      </c>
      <c r="AF4607">
        <v>0</v>
      </c>
      <c r="AG4607">
        <v>0</v>
      </c>
      <c r="AH4607">
        <v>0</v>
      </c>
      <c r="AI4607">
        <v>100</v>
      </c>
      <c r="AJ4607">
        <v>1</v>
      </c>
      <c r="AK4607">
        <v>0</v>
      </c>
      <c r="AL4607">
        <v>0</v>
      </c>
      <c r="AM4607">
        <v>100</v>
      </c>
      <c r="AN4607">
        <v>0</v>
      </c>
      <c r="AO4607">
        <v>0</v>
      </c>
      <c r="AP4607">
        <v>0</v>
      </c>
      <c r="AQ4607">
        <v>0</v>
      </c>
      <c r="AS4607">
        <v>0</v>
      </c>
      <c r="AT4607">
        <v>0</v>
      </c>
      <c r="AV4607">
        <v>0</v>
      </c>
      <c r="AW4607">
        <v>0</v>
      </c>
      <c r="AY4607">
        <v>0</v>
      </c>
      <c r="AZ4607">
        <v>0</v>
      </c>
      <c r="BA4607">
        <v>60</v>
      </c>
      <c r="BE4607" t="str">
        <f>T("9791172822040")</f>
        <v>9791172822040</v>
      </c>
      <c r="BF4607" t="str">
        <f>T("D183627")</f>
        <v>D183627</v>
      </c>
      <c r="BG4607" t="str">
        <f>T("로판 웹소설 &gt; 서양풍 로판")</f>
        <v>로판 웹소설 &gt; 서양풍 로판</v>
      </c>
    </row>
    <row r="4608" spans="1:59">
      <c r="A4608" t="s">
        <v>60</v>
      </c>
      <c r="B4608" s="1">
        <v>46131</v>
      </c>
      <c r="C4608">
        <v>2378078499</v>
      </c>
      <c r="D4608">
        <v>2378078538</v>
      </c>
      <c r="E4608" t="str">
        <f>T("용사들은 성녀의 축복을 받아야 한다 40화")</f>
        <v>용사들은 성녀의 축복을 받아야 한다 40화</v>
      </c>
      <c r="F4608">
        <v>40</v>
      </c>
      <c r="G4608" t="str">
        <f>T("필밤")</f>
        <v>필밤</v>
      </c>
      <c r="J4608" t="str">
        <f>T("시계토끼")</f>
        <v>시계토끼</v>
      </c>
      <c r="K4608" t="str">
        <f>T("용사들은 성녀의 축복을 받아야 한다")</f>
        <v>용사들은 성녀의 축복을 받아야 한다</v>
      </c>
      <c r="L4608">
        <v>100</v>
      </c>
      <c r="M4608">
        <v>200</v>
      </c>
      <c r="N4608">
        <v>2</v>
      </c>
      <c r="O4608">
        <v>0</v>
      </c>
      <c r="P4608">
        <v>0</v>
      </c>
      <c r="Q4608">
        <v>0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0</v>
      </c>
      <c r="AC4608">
        <v>0</v>
      </c>
      <c r="AD4608">
        <v>0</v>
      </c>
      <c r="AE4608">
        <v>0</v>
      </c>
      <c r="AF4608">
        <v>0</v>
      </c>
      <c r="AG4608">
        <v>0</v>
      </c>
      <c r="AH4608">
        <v>0</v>
      </c>
      <c r="AI4608">
        <v>200</v>
      </c>
      <c r="AJ4608">
        <v>2</v>
      </c>
      <c r="AK4608">
        <v>0</v>
      </c>
      <c r="AL4608">
        <v>0</v>
      </c>
      <c r="AM4608">
        <v>200</v>
      </c>
      <c r="AN4608">
        <v>0</v>
      </c>
      <c r="AO4608">
        <v>0</v>
      </c>
      <c r="AP4608">
        <v>0</v>
      </c>
      <c r="AQ4608">
        <v>0</v>
      </c>
      <c r="AS4608">
        <v>0</v>
      </c>
      <c r="AT4608">
        <v>0</v>
      </c>
      <c r="AV4608">
        <v>0</v>
      </c>
      <c r="AW4608">
        <v>0</v>
      </c>
      <c r="AY4608">
        <v>0</v>
      </c>
      <c r="AZ4608">
        <v>0</v>
      </c>
      <c r="BA4608">
        <v>120</v>
      </c>
      <c r="BE4608" t="str">
        <f>T("9791172822040")</f>
        <v>9791172822040</v>
      </c>
      <c r="BF4608" t="str">
        <f>T("D158664")</f>
        <v>D158664</v>
      </c>
      <c r="BG4608" t="str">
        <f>T("로판 웹소설 &gt; 서양풍 로판")</f>
        <v>로판 웹소설 &gt; 서양풍 로판</v>
      </c>
    </row>
    <row r="4609" spans="1:59">
      <c r="A4609" t="s">
        <v>60</v>
      </c>
      <c r="B4609" s="1">
        <v>46131</v>
      </c>
      <c r="C4609">
        <v>2378078499</v>
      </c>
      <c r="D4609">
        <v>2378080103</v>
      </c>
      <c r="E4609" t="str">
        <f>T("용사들은 성녀의 축복을 받아야 한다 129화")</f>
        <v>용사들은 성녀의 축복을 받아야 한다 129화</v>
      </c>
      <c r="F4609">
        <v>129</v>
      </c>
      <c r="G4609" t="str">
        <f>T("필밤")</f>
        <v>필밤</v>
      </c>
      <c r="J4609" t="str">
        <f>T("시계토끼")</f>
        <v>시계토끼</v>
      </c>
      <c r="K4609" t="str">
        <f>T("용사들은 성녀의 축복을 받아야 한다")</f>
        <v>용사들은 성녀의 축복을 받아야 한다</v>
      </c>
      <c r="L4609">
        <v>100</v>
      </c>
      <c r="M4609">
        <v>100</v>
      </c>
      <c r="N4609">
        <v>1</v>
      </c>
      <c r="O4609">
        <v>0</v>
      </c>
      <c r="P4609">
        <v>0</v>
      </c>
      <c r="Q4609">
        <v>0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0</v>
      </c>
      <c r="AC4609">
        <v>0</v>
      </c>
      <c r="AD4609">
        <v>0</v>
      </c>
      <c r="AE4609">
        <v>0</v>
      </c>
      <c r="AF4609">
        <v>0</v>
      </c>
      <c r="AG4609">
        <v>0</v>
      </c>
      <c r="AH4609">
        <v>0</v>
      </c>
      <c r="AI4609">
        <v>100</v>
      </c>
      <c r="AJ4609">
        <v>1</v>
      </c>
      <c r="AK4609">
        <v>0</v>
      </c>
      <c r="AL4609">
        <v>0</v>
      </c>
      <c r="AM4609">
        <v>100</v>
      </c>
      <c r="AN4609">
        <v>0</v>
      </c>
      <c r="AO4609">
        <v>0</v>
      </c>
      <c r="AP4609">
        <v>0</v>
      </c>
      <c r="AQ4609">
        <v>0</v>
      </c>
      <c r="AS4609">
        <v>0</v>
      </c>
      <c r="AT4609">
        <v>0</v>
      </c>
      <c r="AV4609">
        <v>0</v>
      </c>
      <c r="AW4609">
        <v>0</v>
      </c>
      <c r="AY4609">
        <v>0</v>
      </c>
      <c r="AZ4609">
        <v>0</v>
      </c>
      <c r="BA4609">
        <v>60</v>
      </c>
      <c r="BE4609" t="str">
        <f>T("9791172822040")</f>
        <v>9791172822040</v>
      </c>
      <c r="BF4609" t="str">
        <f>T("D183628")</f>
        <v>D183628</v>
      </c>
      <c r="BG4609" t="str">
        <f>T("로판 웹소설 &gt; 서양풍 로판")</f>
        <v>로판 웹소설 &gt; 서양풍 로판</v>
      </c>
    </row>
    <row r="4610" spans="1:59">
      <c r="A4610" t="s">
        <v>60</v>
      </c>
      <c r="B4610" s="1">
        <v>46131</v>
      </c>
      <c r="C4610">
        <v>2378078499</v>
      </c>
      <c r="D4610">
        <v>2378078539</v>
      </c>
      <c r="E4610" t="str">
        <f>T("용사들은 성녀의 축복을 받아야 한다 41화")</f>
        <v>용사들은 성녀의 축복을 받아야 한다 41화</v>
      </c>
      <c r="F4610">
        <v>41</v>
      </c>
      <c r="G4610" t="str">
        <f>T("필밤")</f>
        <v>필밤</v>
      </c>
      <c r="J4610" t="str">
        <f>T("시계토끼")</f>
        <v>시계토끼</v>
      </c>
      <c r="K4610" t="str">
        <f>T("용사들은 성녀의 축복을 받아야 한다")</f>
        <v>용사들은 성녀의 축복을 받아야 한다</v>
      </c>
      <c r="L4610">
        <v>100</v>
      </c>
      <c r="M4610">
        <v>200</v>
      </c>
      <c r="N4610">
        <v>2</v>
      </c>
      <c r="O4610">
        <v>0</v>
      </c>
      <c r="P4610">
        <v>0</v>
      </c>
      <c r="Q4610">
        <v>0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0</v>
      </c>
      <c r="AC4610">
        <v>0</v>
      </c>
      <c r="AD4610">
        <v>0</v>
      </c>
      <c r="AE4610">
        <v>0</v>
      </c>
      <c r="AF4610">
        <v>0</v>
      </c>
      <c r="AG4610">
        <v>0</v>
      </c>
      <c r="AH4610">
        <v>0</v>
      </c>
      <c r="AI4610">
        <v>200</v>
      </c>
      <c r="AJ4610">
        <v>2</v>
      </c>
      <c r="AK4610">
        <v>0</v>
      </c>
      <c r="AL4610">
        <v>0</v>
      </c>
      <c r="AM4610">
        <v>200</v>
      </c>
      <c r="AN4610">
        <v>0</v>
      </c>
      <c r="AO4610">
        <v>0</v>
      </c>
      <c r="AP4610">
        <v>0</v>
      </c>
      <c r="AQ4610">
        <v>0</v>
      </c>
      <c r="AS4610">
        <v>0</v>
      </c>
      <c r="AT4610">
        <v>0</v>
      </c>
      <c r="AV4610">
        <v>0</v>
      </c>
      <c r="AW4610">
        <v>0</v>
      </c>
      <c r="AY4610">
        <v>0</v>
      </c>
      <c r="AZ4610">
        <v>0</v>
      </c>
      <c r="BA4610">
        <v>120</v>
      </c>
      <c r="BE4610" t="str">
        <f>T("9791172822040")</f>
        <v>9791172822040</v>
      </c>
      <c r="BF4610" t="str">
        <f>T("D158665")</f>
        <v>D158665</v>
      </c>
      <c r="BG4610" t="str">
        <f>T("로판 웹소설 &gt; 서양풍 로판")</f>
        <v>로판 웹소설 &gt; 서양풍 로판</v>
      </c>
    </row>
    <row r="4611" spans="1:59">
      <c r="A4611" t="s">
        <v>60</v>
      </c>
      <c r="B4611" s="1">
        <v>46131</v>
      </c>
      <c r="C4611">
        <v>2378078499</v>
      </c>
      <c r="D4611">
        <v>2378078550</v>
      </c>
      <c r="E4611" t="str">
        <f>T("용사들은 성녀의 축복을 받아야 한다 52화")</f>
        <v>용사들은 성녀의 축복을 받아야 한다 52화</v>
      </c>
      <c r="F4611">
        <v>52</v>
      </c>
      <c r="G4611" t="str">
        <f>T("필밤")</f>
        <v>필밤</v>
      </c>
      <c r="J4611" t="str">
        <f>T("시계토끼")</f>
        <v>시계토끼</v>
      </c>
      <c r="K4611" t="str">
        <f>T("용사들은 성녀의 축복을 받아야 한다")</f>
        <v>용사들은 성녀의 축복을 받아야 한다</v>
      </c>
      <c r="L4611">
        <v>100</v>
      </c>
      <c r="M4611">
        <v>100</v>
      </c>
      <c r="N4611">
        <v>1</v>
      </c>
      <c r="O4611">
        <v>0</v>
      </c>
      <c r="P4611">
        <v>0</v>
      </c>
      <c r="Q4611">
        <v>0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0</v>
      </c>
      <c r="AC4611">
        <v>0</v>
      </c>
      <c r="AD4611">
        <v>0</v>
      </c>
      <c r="AE4611">
        <v>0</v>
      </c>
      <c r="AF4611">
        <v>0</v>
      </c>
      <c r="AG4611">
        <v>0</v>
      </c>
      <c r="AH4611">
        <v>0</v>
      </c>
      <c r="AI4611">
        <v>100</v>
      </c>
      <c r="AJ4611">
        <v>1</v>
      </c>
      <c r="AK4611">
        <v>0</v>
      </c>
      <c r="AL4611">
        <v>0</v>
      </c>
      <c r="AM4611">
        <v>100</v>
      </c>
      <c r="AN4611">
        <v>0</v>
      </c>
      <c r="AO4611">
        <v>0</v>
      </c>
      <c r="AP4611">
        <v>0</v>
      </c>
      <c r="AQ4611">
        <v>0</v>
      </c>
      <c r="AS4611">
        <v>0</v>
      </c>
      <c r="AT4611">
        <v>0</v>
      </c>
      <c r="AV4611">
        <v>0</v>
      </c>
      <c r="AW4611">
        <v>0</v>
      </c>
      <c r="AY4611">
        <v>0</v>
      </c>
      <c r="AZ4611">
        <v>0</v>
      </c>
      <c r="BA4611">
        <v>60</v>
      </c>
      <c r="BE4611" t="str">
        <f>T("9791172822040")</f>
        <v>9791172822040</v>
      </c>
      <c r="BF4611" t="str">
        <f>T("D158676")</f>
        <v>D158676</v>
      </c>
      <c r="BG4611" t="str">
        <f>T("로판 웹소설 &gt; 서양풍 로판")</f>
        <v>로판 웹소설 &gt; 서양풍 로판</v>
      </c>
    </row>
    <row r="4612" spans="1:59">
      <c r="A4612" t="s">
        <v>60</v>
      </c>
      <c r="B4612" s="1">
        <v>46131</v>
      </c>
      <c r="C4612">
        <v>2378078499</v>
      </c>
      <c r="D4612">
        <v>2378078551</v>
      </c>
      <c r="E4612" t="str">
        <f>T("용사들은 성녀의 축복을 받아야 한다 53화")</f>
        <v>용사들은 성녀의 축복을 받아야 한다 53화</v>
      </c>
      <c r="F4612">
        <v>53</v>
      </c>
      <c r="G4612" t="str">
        <f>T("필밤")</f>
        <v>필밤</v>
      </c>
      <c r="J4612" t="str">
        <f>T("시계토끼")</f>
        <v>시계토끼</v>
      </c>
      <c r="K4612" t="str">
        <f>T("용사들은 성녀의 축복을 받아야 한다")</f>
        <v>용사들은 성녀의 축복을 받아야 한다</v>
      </c>
      <c r="L4612">
        <v>100</v>
      </c>
      <c r="M4612">
        <v>100</v>
      </c>
      <c r="N4612">
        <v>1</v>
      </c>
      <c r="O4612">
        <v>0</v>
      </c>
      <c r="P4612">
        <v>0</v>
      </c>
      <c r="Q4612">
        <v>0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0</v>
      </c>
      <c r="AC4612">
        <v>0</v>
      </c>
      <c r="AD4612">
        <v>0</v>
      </c>
      <c r="AE4612">
        <v>0</v>
      </c>
      <c r="AF4612">
        <v>0</v>
      </c>
      <c r="AG4612">
        <v>0</v>
      </c>
      <c r="AH4612">
        <v>0</v>
      </c>
      <c r="AI4612">
        <v>100</v>
      </c>
      <c r="AJ4612">
        <v>1</v>
      </c>
      <c r="AK4612">
        <v>0</v>
      </c>
      <c r="AL4612">
        <v>0</v>
      </c>
      <c r="AM4612">
        <v>100</v>
      </c>
      <c r="AN4612">
        <v>0</v>
      </c>
      <c r="AO4612">
        <v>0</v>
      </c>
      <c r="AP4612">
        <v>0</v>
      </c>
      <c r="AQ4612">
        <v>0</v>
      </c>
      <c r="AS4612">
        <v>0</v>
      </c>
      <c r="AT4612">
        <v>0</v>
      </c>
      <c r="AV4612">
        <v>0</v>
      </c>
      <c r="AW4612">
        <v>0</v>
      </c>
      <c r="AY4612">
        <v>0</v>
      </c>
      <c r="AZ4612">
        <v>0</v>
      </c>
      <c r="BA4612">
        <v>60</v>
      </c>
      <c r="BE4612" t="str">
        <f>T("9791172822040")</f>
        <v>9791172822040</v>
      </c>
      <c r="BF4612" t="str">
        <f>T("D158677")</f>
        <v>D158677</v>
      </c>
      <c r="BG4612" t="str">
        <f>T("로판 웹소설 &gt; 서양풍 로판")</f>
        <v>로판 웹소설 &gt; 서양풍 로판</v>
      </c>
    </row>
    <row r="4613" spans="1:59">
      <c r="A4613" t="s">
        <v>60</v>
      </c>
      <c r="B4613" s="1">
        <v>46131</v>
      </c>
      <c r="C4613">
        <v>2378078499</v>
      </c>
      <c r="D4613">
        <v>2378079024</v>
      </c>
      <c r="E4613" t="str">
        <f>T("용사들은 성녀의 축복을 받아야 한다 109화")</f>
        <v>용사들은 성녀의 축복을 받아야 한다 109화</v>
      </c>
      <c r="F4613">
        <v>109</v>
      </c>
      <c r="G4613" t="str">
        <f>T("필밤")</f>
        <v>필밤</v>
      </c>
      <c r="J4613" t="str">
        <f>T("시계토끼")</f>
        <v>시계토끼</v>
      </c>
      <c r="K4613" t="str">
        <f>T("용사들은 성녀의 축복을 받아야 한다")</f>
        <v>용사들은 성녀의 축복을 받아야 한다</v>
      </c>
      <c r="L4613">
        <v>100</v>
      </c>
      <c r="M4613">
        <v>100</v>
      </c>
      <c r="N4613">
        <v>1</v>
      </c>
      <c r="O4613">
        <v>0</v>
      </c>
      <c r="P4613">
        <v>0</v>
      </c>
      <c r="Q4613">
        <v>0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0</v>
      </c>
      <c r="AC4613">
        <v>0</v>
      </c>
      <c r="AD4613">
        <v>0</v>
      </c>
      <c r="AE4613">
        <v>0</v>
      </c>
      <c r="AF4613">
        <v>0</v>
      </c>
      <c r="AG4613">
        <v>0</v>
      </c>
      <c r="AH4613">
        <v>0</v>
      </c>
      <c r="AI4613">
        <v>100</v>
      </c>
      <c r="AJ4613">
        <v>1</v>
      </c>
      <c r="AK4613">
        <v>0</v>
      </c>
      <c r="AL4613">
        <v>0</v>
      </c>
      <c r="AM4613">
        <v>100</v>
      </c>
      <c r="AN4613">
        <v>0</v>
      </c>
      <c r="AO4613">
        <v>0</v>
      </c>
      <c r="AP4613">
        <v>0</v>
      </c>
      <c r="AQ4613">
        <v>0</v>
      </c>
      <c r="AS4613">
        <v>0</v>
      </c>
      <c r="AT4613">
        <v>0</v>
      </c>
      <c r="AV4613">
        <v>0</v>
      </c>
      <c r="AW4613">
        <v>0</v>
      </c>
      <c r="AY4613">
        <v>0</v>
      </c>
      <c r="AZ4613">
        <v>0</v>
      </c>
      <c r="BA4613">
        <v>60</v>
      </c>
      <c r="BE4613" t="str">
        <f>T("9791172822040")</f>
        <v>9791172822040</v>
      </c>
      <c r="BF4613" t="str">
        <f>T("D158733")</f>
        <v>D158733</v>
      </c>
      <c r="BG4613" t="str">
        <f>T("로판 웹소설 &gt; 서양풍 로판")</f>
        <v>로판 웹소설 &gt; 서양풍 로판</v>
      </c>
    </row>
    <row r="4614" spans="1:59">
      <c r="A4614" t="s">
        <v>60</v>
      </c>
      <c r="B4614" s="1">
        <v>46131</v>
      </c>
      <c r="C4614">
        <v>2378078499</v>
      </c>
      <c r="D4614">
        <v>2378079033</v>
      </c>
      <c r="E4614" t="str">
        <f>T("용사들은 성녀의 축복을 받아야 한다 110화")</f>
        <v>용사들은 성녀의 축복을 받아야 한다 110화</v>
      </c>
      <c r="F4614">
        <v>110</v>
      </c>
      <c r="G4614" t="str">
        <f>T("필밤")</f>
        <v>필밤</v>
      </c>
      <c r="J4614" t="str">
        <f>T("시계토끼")</f>
        <v>시계토끼</v>
      </c>
      <c r="K4614" t="str">
        <f>T("용사들은 성녀의 축복을 받아야 한다")</f>
        <v>용사들은 성녀의 축복을 받아야 한다</v>
      </c>
      <c r="L4614">
        <v>100</v>
      </c>
      <c r="M4614">
        <v>100</v>
      </c>
      <c r="N4614">
        <v>1</v>
      </c>
      <c r="O4614">
        <v>0</v>
      </c>
      <c r="P4614">
        <v>0</v>
      </c>
      <c r="Q4614">
        <v>0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0</v>
      </c>
      <c r="AC4614">
        <v>0</v>
      </c>
      <c r="AD4614">
        <v>0</v>
      </c>
      <c r="AE4614">
        <v>0</v>
      </c>
      <c r="AF4614">
        <v>0</v>
      </c>
      <c r="AG4614">
        <v>0</v>
      </c>
      <c r="AH4614">
        <v>0</v>
      </c>
      <c r="AI4614">
        <v>100</v>
      </c>
      <c r="AJ4614">
        <v>1</v>
      </c>
      <c r="AK4614">
        <v>0</v>
      </c>
      <c r="AL4614">
        <v>0</v>
      </c>
      <c r="AM4614">
        <v>100</v>
      </c>
      <c r="AN4614">
        <v>0</v>
      </c>
      <c r="AO4614">
        <v>0</v>
      </c>
      <c r="AP4614">
        <v>0</v>
      </c>
      <c r="AQ4614">
        <v>0</v>
      </c>
      <c r="AS4614">
        <v>0</v>
      </c>
      <c r="AT4614">
        <v>0</v>
      </c>
      <c r="AV4614">
        <v>0</v>
      </c>
      <c r="AW4614">
        <v>0</v>
      </c>
      <c r="AY4614">
        <v>0</v>
      </c>
      <c r="AZ4614">
        <v>0</v>
      </c>
      <c r="BA4614">
        <v>60</v>
      </c>
      <c r="BE4614" t="str">
        <f>T("9791172822040")</f>
        <v>9791172822040</v>
      </c>
      <c r="BF4614" t="str">
        <f>T("D158734")</f>
        <v>D158734</v>
      </c>
      <c r="BG4614" t="str">
        <f>T("로판 웹소설 &gt; 서양풍 로판")</f>
        <v>로판 웹소설 &gt; 서양풍 로판</v>
      </c>
    </row>
    <row r="4615" spans="1:59">
      <c r="A4615" t="s">
        <v>60</v>
      </c>
      <c r="B4615" s="1">
        <v>46131</v>
      </c>
      <c r="C4615">
        <v>2378078499</v>
      </c>
      <c r="D4615">
        <v>2378078514</v>
      </c>
      <c r="E4615" t="str">
        <f>T("용사들은 성녀의 축복을 받아야 한다 16화")</f>
        <v>용사들은 성녀의 축복을 받아야 한다 16화</v>
      </c>
      <c r="F4615">
        <v>16</v>
      </c>
      <c r="G4615" t="str">
        <f>T("필밤")</f>
        <v>필밤</v>
      </c>
      <c r="J4615" t="str">
        <f>T("시계토끼")</f>
        <v>시계토끼</v>
      </c>
      <c r="K4615" t="str">
        <f>T("용사들은 성녀의 축복을 받아야 한다")</f>
        <v>용사들은 성녀의 축복을 받아야 한다</v>
      </c>
      <c r="L4615">
        <v>100</v>
      </c>
      <c r="M4615">
        <v>200</v>
      </c>
      <c r="N4615">
        <v>2</v>
      </c>
      <c r="O4615">
        <v>0</v>
      </c>
      <c r="P4615">
        <v>0</v>
      </c>
      <c r="Q4615">
        <v>0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0</v>
      </c>
      <c r="AC4615">
        <v>0</v>
      </c>
      <c r="AD4615">
        <v>0</v>
      </c>
      <c r="AE4615">
        <v>0</v>
      </c>
      <c r="AF4615">
        <v>0</v>
      </c>
      <c r="AG4615">
        <v>0</v>
      </c>
      <c r="AH4615">
        <v>0</v>
      </c>
      <c r="AI4615">
        <v>200</v>
      </c>
      <c r="AJ4615">
        <v>2</v>
      </c>
      <c r="AK4615">
        <v>0</v>
      </c>
      <c r="AL4615">
        <v>0</v>
      </c>
      <c r="AM4615">
        <v>100</v>
      </c>
      <c r="AN4615">
        <v>0</v>
      </c>
      <c r="AO4615">
        <v>120</v>
      </c>
      <c r="AP4615">
        <v>-36</v>
      </c>
      <c r="AQ4615">
        <v>0</v>
      </c>
      <c r="AR4615">
        <v>120</v>
      </c>
      <c r="AS4615">
        <v>-36</v>
      </c>
      <c r="AT4615">
        <v>0</v>
      </c>
      <c r="AV4615">
        <v>0</v>
      </c>
      <c r="AW4615">
        <v>0</v>
      </c>
      <c r="AY4615">
        <v>0</v>
      </c>
      <c r="AZ4615">
        <v>0</v>
      </c>
      <c r="BA4615">
        <v>110.4</v>
      </c>
      <c r="BE4615" t="str">
        <f>T("9791172822040")</f>
        <v>9791172822040</v>
      </c>
      <c r="BF4615" t="str">
        <f>T("D158640")</f>
        <v>D158640</v>
      </c>
      <c r="BG4615" t="str">
        <f>T("로판 웹소설 &gt; 서양풍 로판")</f>
        <v>로판 웹소설 &gt; 서양풍 로판</v>
      </c>
    </row>
    <row r="4616" spans="1:59">
      <c r="A4616" t="s">
        <v>60</v>
      </c>
      <c r="B4616" s="1">
        <v>46131</v>
      </c>
      <c r="C4616">
        <v>2378078499</v>
      </c>
      <c r="D4616">
        <v>2378078568</v>
      </c>
      <c r="E4616" t="str">
        <f>T("용사들은 성녀의 축복을 받아야 한다 70화")</f>
        <v>용사들은 성녀의 축복을 받아야 한다 70화</v>
      </c>
      <c r="F4616">
        <v>70</v>
      </c>
      <c r="G4616" t="str">
        <f>T("필밤")</f>
        <v>필밤</v>
      </c>
      <c r="J4616" t="str">
        <f>T("시계토끼")</f>
        <v>시계토끼</v>
      </c>
      <c r="K4616" t="str">
        <f>T("용사들은 성녀의 축복을 받아야 한다")</f>
        <v>용사들은 성녀의 축복을 받아야 한다</v>
      </c>
      <c r="L4616">
        <v>100</v>
      </c>
      <c r="M4616">
        <v>100</v>
      </c>
      <c r="N4616">
        <v>1</v>
      </c>
      <c r="O4616">
        <v>0</v>
      </c>
      <c r="P4616">
        <v>0</v>
      </c>
      <c r="Q4616">
        <v>0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0</v>
      </c>
      <c r="AC4616">
        <v>0</v>
      </c>
      <c r="AD4616">
        <v>0</v>
      </c>
      <c r="AE4616">
        <v>0</v>
      </c>
      <c r="AF4616">
        <v>0</v>
      </c>
      <c r="AG4616">
        <v>0</v>
      </c>
      <c r="AH4616">
        <v>0</v>
      </c>
      <c r="AI4616">
        <v>100</v>
      </c>
      <c r="AJ4616">
        <v>1</v>
      </c>
      <c r="AK4616">
        <v>0</v>
      </c>
      <c r="AL4616">
        <v>0</v>
      </c>
      <c r="AM4616">
        <v>100</v>
      </c>
      <c r="AN4616">
        <v>0</v>
      </c>
      <c r="AO4616">
        <v>0</v>
      </c>
      <c r="AP4616">
        <v>0</v>
      </c>
      <c r="AQ4616">
        <v>0</v>
      </c>
      <c r="AS4616">
        <v>0</v>
      </c>
      <c r="AT4616">
        <v>0</v>
      </c>
      <c r="AV4616">
        <v>0</v>
      </c>
      <c r="AW4616">
        <v>0</v>
      </c>
      <c r="AY4616">
        <v>0</v>
      </c>
      <c r="AZ4616">
        <v>0</v>
      </c>
      <c r="BA4616">
        <v>60</v>
      </c>
      <c r="BE4616" t="str">
        <f>T("9791172822040")</f>
        <v>9791172822040</v>
      </c>
      <c r="BF4616" t="str">
        <f>T("D158694")</f>
        <v>D158694</v>
      </c>
      <c r="BG4616" t="str">
        <f>T("로판 웹소설 &gt; 서양풍 로판")</f>
        <v>로판 웹소설 &gt; 서양풍 로판</v>
      </c>
    </row>
    <row r="4617" spans="1:59">
      <c r="A4617" t="s">
        <v>60</v>
      </c>
      <c r="B4617" s="1">
        <v>46131</v>
      </c>
      <c r="C4617">
        <v>2378078499</v>
      </c>
      <c r="D4617">
        <v>2378078510</v>
      </c>
      <c r="E4617" t="str">
        <f>T("용사들은 성녀의 축복을 받아야 한다 12화")</f>
        <v>용사들은 성녀의 축복을 받아야 한다 12화</v>
      </c>
      <c r="F4617">
        <v>12</v>
      </c>
      <c r="G4617" t="str">
        <f>T("필밤")</f>
        <v>필밤</v>
      </c>
      <c r="J4617" t="str">
        <f>T("시계토끼")</f>
        <v>시계토끼</v>
      </c>
      <c r="K4617" t="str">
        <f>T("용사들은 성녀의 축복을 받아야 한다")</f>
        <v>용사들은 성녀의 축복을 받아야 한다</v>
      </c>
      <c r="L4617">
        <v>100</v>
      </c>
      <c r="M4617">
        <v>300</v>
      </c>
      <c r="N4617">
        <v>3</v>
      </c>
      <c r="O4617">
        <v>0</v>
      </c>
      <c r="P4617">
        <v>0</v>
      </c>
      <c r="Q4617">
        <v>0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0</v>
      </c>
      <c r="AC4617">
        <v>0</v>
      </c>
      <c r="AD4617">
        <v>0</v>
      </c>
      <c r="AE4617">
        <v>0</v>
      </c>
      <c r="AF4617">
        <v>0</v>
      </c>
      <c r="AG4617">
        <v>0</v>
      </c>
      <c r="AH4617">
        <v>0</v>
      </c>
      <c r="AI4617">
        <v>300</v>
      </c>
      <c r="AJ4617">
        <v>3</v>
      </c>
      <c r="AK4617">
        <v>0</v>
      </c>
      <c r="AL4617">
        <v>0</v>
      </c>
      <c r="AM4617">
        <v>300</v>
      </c>
      <c r="AN4617">
        <v>0</v>
      </c>
      <c r="AO4617">
        <v>0</v>
      </c>
      <c r="AP4617">
        <v>0</v>
      </c>
      <c r="AQ4617">
        <v>0</v>
      </c>
      <c r="AS4617">
        <v>0</v>
      </c>
      <c r="AT4617">
        <v>0</v>
      </c>
      <c r="AV4617">
        <v>0</v>
      </c>
      <c r="AW4617">
        <v>0</v>
      </c>
      <c r="AY4617">
        <v>0</v>
      </c>
      <c r="AZ4617">
        <v>0</v>
      </c>
      <c r="BA4617">
        <v>180</v>
      </c>
      <c r="BE4617" t="str">
        <f>T("9791172822040")</f>
        <v>9791172822040</v>
      </c>
      <c r="BF4617" t="str">
        <f>T("D158636")</f>
        <v>D158636</v>
      </c>
      <c r="BG4617" t="str">
        <f>T("로판 웹소설 &gt; 서양풍 로판")</f>
        <v>로판 웹소설 &gt; 서양풍 로판</v>
      </c>
    </row>
    <row r="4618" spans="1:59">
      <c r="A4618" t="s">
        <v>60</v>
      </c>
      <c r="B4618" s="1">
        <v>46131</v>
      </c>
      <c r="C4618">
        <v>2378078499</v>
      </c>
      <c r="D4618">
        <v>2378078515</v>
      </c>
      <c r="E4618" t="str">
        <f>T("용사들은 성녀의 축복을 받아야 한다 17화")</f>
        <v>용사들은 성녀의 축복을 받아야 한다 17화</v>
      </c>
      <c r="F4618">
        <v>17</v>
      </c>
      <c r="G4618" t="str">
        <f>T("필밤")</f>
        <v>필밤</v>
      </c>
      <c r="J4618" t="str">
        <f>T("시계토끼")</f>
        <v>시계토끼</v>
      </c>
      <c r="K4618" t="str">
        <f>T("용사들은 성녀의 축복을 받아야 한다")</f>
        <v>용사들은 성녀의 축복을 받아야 한다</v>
      </c>
      <c r="L4618">
        <v>100</v>
      </c>
      <c r="M4618">
        <v>200</v>
      </c>
      <c r="N4618">
        <v>2</v>
      </c>
      <c r="O4618">
        <v>0</v>
      </c>
      <c r="P4618">
        <v>0</v>
      </c>
      <c r="Q4618">
        <v>0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0</v>
      </c>
      <c r="AC4618">
        <v>0</v>
      </c>
      <c r="AD4618">
        <v>0</v>
      </c>
      <c r="AE4618">
        <v>0</v>
      </c>
      <c r="AF4618">
        <v>0</v>
      </c>
      <c r="AG4618">
        <v>0</v>
      </c>
      <c r="AH4618">
        <v>0</v>
      </c>
      <c r="AI4618">
        <v>200</v>
      </c>
      <c r="AJ4618">
        <v>2</v>
      </c>
      <c r="AK4618">
        <v>0</v>
      </c>
      <c r="AL4618">
        <v>0</v>
      </c>
      <c r="AM4618">
        <v>100</v>
      </c>
      <c r="AN4618">
        <v>0</v>
      </c>
      <c r="AO4618">
        <v>120</v>
      </c>
      <c r="AP4618">
        <v>-36</v>
      </c>
      <c r="AQ4618">
        <v>0</v>
      </c>
      <c r="AR4618">
        <v>120</v>
      </c>
      <c r="AS4618">
        <v>-36</v>
      </c>
      <c r="AT4618">
        <v>0</v>
      </c>
      <c r="AV4618">
        <v>0</v>
      </c>
      <c r="AW4618">
        <v>0</v>
      </c>
      <c r="AY4618">
        <v>0</v>
      </c>
      <c r="AZ4618">
        <v>0</v>
      </c>
      <c r="BA4618">
        <v>110.4</v>
      </c>
      <c r="BE4618" t="str">
        <f>T("9791172822040")</f>
        <v>9791172822040</v>
      </c>
      <c r="BF4618" t="str">
        <f>T("D158641")</f>
        <v>D158641</v>
      </c>
      <c r="BG4618" t="str">
        <f>T("로판 웹소설 &gt; 서양풍 로판")</f>
        <v>로판 웹소설 &gt; 서양풍 로판</v>
      </c>
    </row>
    <row r="4619" spans="1:59">
      <c r="A4619" t="s">
        <v>60</v>
      </c>
      <c r="B4619" s="1">
        <v>46131</v>
      </c>
      <c r="C4619">
        <v>2378078499</v>
      </c>
      <c r="D4619">
        <v>2378078516</v>
      </c>
      <c r="E4619" t="str">
        <f>T("용사들은 성녀의 축복을 받아야 한다 18화")</f>
        <v>용사들은 성녀의 축복을 받아야 한다 18화</v>
      </c>
      <c r="F4619">
        <v>18</v>
      </c>
      <c r="G4619" t="str">
        <f>T("필밤")</f>
        <v>필밤</v>
      </c>
      <c r="J4619" t="str">
        <f>T("시계토끼")</f>
        <v>시계토끼</v>
      </c>
      <c r="K4619" t="str">
        <f>T("용사들은 성녀의 축복을 받아야 한다")</f>
        <v>용사들은 성녀의 축복을 받아야 한다</v>
      </c>
      <c r="L4619">
        <v>100</v>
      </c>
      <c r="M4619">
        <v>200</v>
      </c>
      <c r="N4619">
        <v>2</v>
      </c>
      <c r="O4619">
        <v>0</v>
      </c>
      <c r="P4619">
        <v>0</v>
      </c>
      <c r="Q4619">
        <v>0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0</v>
      </c>
      <c r="AC4619">
        <v>0</v>
      </c>
      <c r="AD4619">
        <v>0</v>
      </c>
      <c r="AE4619">
        <v>0</v>
      </c>
      <c r="AF4619">
        <v>0</v>
      </c>
      <c r="AG4619">
        <v>0</v>
      </c>
      <c r="AH4619">
        <v>0</v>
      </c>
      <c r="AI4619">
        <v>200</v>
      </c>
      <c r="AJ4619">
        <v>2</v>
      </c>
      <c r="AK4619">
        <v>0</v>
      </c>
      <c r="AL4619">
        <v>0</v>
      </c>
      <c r="AM4619">
        <v>100</v>
      </c>
      <c r="AN4619">
        <v>0</v>
      </c>
      <c r="AO4619">
        <v>120</v>
      </c>
      <c r="AP4619">
        <v>-36</v>
      </c>
      <c r="AQ4619">
        <v>0</v>
      </c>
      <c r="AR4619">
        <v>120</v>
      </c>
      <c r="AS4619">
        <v>-36</v>
      </c>
      <c r="AT4619">
        <v>0</v>
      </c>
      <c r="AV4619">
        <v>0</v>
      </c>
      <c r="AW4619">
        <v>0</v>
      </c>
      <c r="AY4619">
        <v>0</v>
      </c>
      <c r="AZ4619">
        <v>0</v>
      </c>
      <c r="BA4619">
        <v>110.4</v>
      </c>
      <c r="BE4619" t="str">
        <f>T("9791172822040")</f>
        <v>9791172822040</v>
      </c>
      <c r="BF4619" t="str">
        <f>T("D158642")</f>
        <v>D158642</v>
      </c>
      <c r="BG4619" t="str">
        <f>T("로판 웹소설 &gt; 서양풍 로판")</f>
        <v>로판 웹소설 &gt; 서양풍 로판</v>
      </c>
    </row>
    <row r="4620" spans="1:59">
      <c r="A4620" t="s">
        <v>60</v>
      </c>
      <c r="B4620" s="1">
        <v>46131</v>
      </c>
      <c r="C4620">
        <v>2378078499</v>
      </c>
      <c r="D4620">
        <v>2378078517</v>
      </c>
      <c r="E4620" t="str">
        <f>T("용사들은 성녀의 축복을 받아야 한다 19화")</f>
        <v>용사들은 성녀의 축복을 받아야 한다 19화</v>
      </c>
      <c r="F4620">
        <v>19</v>
      </c>
      <c r="G4620" t="str">
        <f>T("필밤")</f>
        <v>필밤</v>
      </c>
      <c r="J4620" t="str">
        <f>T("시계토끼")</f>
        <v>시계토끼</v>
      </c>
      <c r="K4620" t="str">
        <f>T("용사들은 성녀의 축복을 받아야 한다")</f>
        <v>용사들은 성녀의 축복을 받아야 한다</v>
      </c>
      <c r="L4620">
        <v>100</v>
      </c>
      <c r="M4620">
        <v>200</v>
      </c>
      <c r="N4620">
        <v>2</v>
      </c>
      <c r="O4620">
        <v>0</v>
      </c>
      <c r="P4620">
        <v>0</v>
      </c>
      <c r="Q4620">
        <v>0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0</v>
      </c>
      <c r="AC4620">
        <v>0</v>
      </c>
      <c r="AD4620">
        <v>0</v>
      </c>
      <c r="AE4620">
        <v>0</v>
      </c>
      <c r="AF4620">
        <v>0</v>
      </c>
      <c r="AG4620">
        <v>0</v>
      </c>
      <c r="AH4620">
        <v>0</v>
      </c>
      <c r="AI4620">
        <v>200</v>
      </c>
      <c r="AJ4620">
        <v>2</v>
      </c>
      <c r="AK4620">
        <v>0</v>
      </c>
      <c r="AL4620">
        <v>0</v>
      </c>
      <c r="AM4620">
        <v>100</v>
      </c>
      <c r="AN4620">
        <v>0</v>
      </c>
      <c r="AO4620">
        <v>120</v>
      </c>
      <c r="AP4620">
        <v>-36</v>
      </c>
      <c r="AQ4620">
        <v>0</v>
      </c>
      <c r="AR4620">
        <v>120</v>
      </c>
      <c r="AS4620">
        <v>-36</v>
      </c>
      <c r="AT4620">
        <v>0</v>
      </c>
      <c r="AV4620">
        <v>0</v>
      </c>
      <c r="AW4620">
        <v>0</v>
      </c>
      <c r="AY4620">
        <v>0</v>
      </c>
      <c r="AZ4620">
        <v>0</v>
      </c>
      <c r="BA4620">
        <v>110.4</v>
      </c>
      <c r="BE4620" t="str">
        <f>T("9791172822040")</f>
        <v>9791172822040</v>
      </c>
      <c r="BF4620" t="str">
        <f>T("D158643")</f>
        <v>D158643</v>
      </c>
      <c r="BG4620" t="str">
        <f>T("로판 웹소설 &gt; 서양풍 로판")</f>
        <v>로판 웹소설 &gt; 서양풍 로판</v>
      </c>
    </row>
    <row r="4621" spans="1:59">
      <c r="A4621" t="s">
        <v>60</v>
      </c>
      <c r="B4621" s="1">
        <v>46131</v>
      </c>
      <c r="C4621">
        <v>2378078499</v>
      </c>
      <c r="D4621">
        <v>2378078518</v>
      </c>
      <c r="E4621" t="str">
        <f>T("용사들은 성녀의 축복을 받아야 한다 20화")</f>
        <v>용사들은 성녀의 축복을 받아야 한다 20화</v>
      </c>
      <c r="F4621">
        <v>20</v>
      </c>
      <c r="G4621" t="str">
        <f>T("필밤")</f>
        <v>필밤</v>
      </c>
      <c r="J4621" t="str">
        <f>T("시계토끼")</f>
        <v>시계토끼</v>
      </c>
      <c r="K4621" t="str">
        <f>T("용사들은 성녀의 축복을 받아야 한다")</f>
        <v>용사들은 성녀의 축복을 받아야 한다</v>
      </c>
      <c r="L4621">
        <v>100</v>
      </c>
      <c r="M4621">
        <v>200</v>
      </c>
      <c r="N4621">
        <v>2</v>
      </c>
      <c r="O4621">
        <v>0</v>
      </c>
      <c r="P4621">
        <v>0</v>
      </c>
      <c r="Q4621">
        <v>0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0</v>
      </c>
      <c r="AC4621">
        <v>0</v>
      </c>
      <c r="AD4621">
        <v>0</v>
      </c>
      <c r="AE4621">
        <v>0</v>
      </c>
      <c r="AF4621">
        <v>0</v>
      </c>
      <c r="AG4621">
        <v>0</v>
      </c>
      <c r="AH4621">
        <v>0</v>
      </c>
      <c r="AI4621">
        <v>200</v>
      </c>
      <c r="AJ4621">
        <v>2</v>
      </c>
      <c r="AK4621">
        <v>0</v>
      </c>
      <c r="AL4621">
        <v>0</v>
      </c>
      <c r="AM4621">
        <v>100</v>
      </c>
      <c r="AN4621">
        <v>0</v>
      </c>
      <c r="AO4621">
        <v>120</v>
      </c>
      <c r="AP4621">
        <v>-36</v>
      </c>
      <c r="AQ4621">
        <v>0</v>
      </c>
      <c r="AR4621">
        <v>120</v>
      </c>
      <c r="AS4621">
        <v>-36</v>
      </c>
      <c r="AT4621">
        <v>0</v>
      </c>
      <c r="AV4621">
        <v>0</v>
      </c>
      <c r="AW4621">
        <v>0</v>
      </c>
      <c r="AY4621">
        <v>0</v>
      </c>
      <c r="AZ4621">
        <v>0</v>
      </c>
      <c r="BA4621">
        <v>110.4</v>
      </c>
      <c r="BE4621" t="str">
        <f>T("9791172822040")</f>
        <v>9791172822040</v>
      </c>
      <c r="BF4621" t="str">
        <f>T("D158644")</f>
        <v>D158644</v>
      </c>
      <c r="BG4621" t="str">
        <f>T("로판 웹소설 &gt; 서양풍 로판")</f>
        <v>로판 웹소설 &gt; 서양풍 로판</v>
      </c>
    </row>
    <row r="4622" spans="1:59">
      <c r="A4622" t="s">
        <v>60</v>
      </c>
      <c r="B4622" s="1">
        <v>46131</v>
      </c>
      <c r="C4622">
        <v>2378078499</v>
      </c>
      <c r="D4622">
        <v>2378078519</v>
      </c>
      <c r="E4622" t="str">
        <f>T("용사들은 성녀의 축복을 받아야 한다 21화")</f>
        <v>용사들은 성녀의 축복을 받아야 한다 21화</v>
      </c>
      <c r="F4622">
        <v>21</v>
      </c>
      <c r="G4622" t="str">
        <f>T("필밤")</f>
        <v>필밤</v>
      </c>
      <c r="J4622" t="str">
        <f>T("시계토끼")</f>
        <v>시계토끼</v>
      </c>
      <c r="K4622" t="str">
        <f>T("용사들은 성녀의 축복을 받아야 한다")</f>
        <v>용사들은 성녀의 축복을 받아야 한다</v>
      </c>
      <c r="L4622">
        <v>100</v>
      </c>
      <c r="M4622">
        <v>200</v>
      </c>
      <c r="N4622">
        <v>2</v>
      </c>
      <c r="O4622">
        <v>0</v>
      </c>
      <c r="P4622">
        <v>0</v>
      </c>
      <c r="Q4622">
        <v>0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0</v>
      </c>
      <c r="AC4622">
        <v>0</v>
      </c>
      <c r="AD4622">
        <v>0</v>
      </c>
      <c r="AE4622">
        <v>0</v>
      </c>
      <c r="AF4622">
        <v>0</v>
      </c>
      <c r="AG4622">
        <v>0</v>
      </c>
      <c r="AH4622">
        <v>0</v>
      </c>
      <c r="AI4622">
        <v>200</v>
      </c>
      <c r="AJ4622">
        <v>2</v>
      </c>
      <c r="AK4622">
        <v>0</v>
      </c>
      <c r="AL4622">
        <v>0</v>
      </c>
      <c r="AM4622">
        <v>100</v>
      </c>
      <c r="AN4622">
        <v>0</v>
      </c>
      <c r="AO4622">
        <v>120</v>
      </c>
      <c r="AP4622">
        <v>-36</v>
      </c>
      <c r="AQ4622">
        <v>0</v>
      </c>
      <c r="AR4622">
        <v>120</v>
      </c>
      <c r="AS4622">
        <v>-36</v>
      </c>
      <c r="AT4622">
        <v>0</v>
      </c>
      <c r="AV4622">
        <v>0</v>
      </c>
      <c r="AW4622">
        <v>0</v>
      </c>
      <c r="AY4622">
        <v>0</v>
      </c>
      <c r="AZ4622">
        <v>0</v>
      </c>
      <c r="BA4622">
        <v>110.4</v>
      </c>
      <c r="BE4622" t="str">
        <f>T("9791172822040")</f>
        <v>9791172822040</v>
      </c>
      <c r="BF4622" t="str">
        <f>T("D158645")</f>
        <v>D158645</v>
      </c>
      <c r="BG4622" t="str">
        <f>T("로판 웹소설 &gt; 서양풍 로판")</f>
        <v>로판 웹소설 &gt; 서양풍 로판</v>
      </c>
    </row>
    <row r="4623" spans="1:59">
      <c r="A4623" t="s">
        <v>60</v>
      </c>
      <c r="B4623" s="1">
        <v>46131</v>
      </c>
      <c r="C4623">
        <v>2378078499</v>
      </c>
      <c r="D4623">
        <v>2378078520</v>
      </c>
      <c r="E4623" t="str">
        <f>T("용사들은 성녀의 축복을 받아야 한다 22화")</f>
        <v>용사들은 성녀의 축복을 받아야 한다 22화</v>
      </c>
      <c r="F4623">
        <v>22</v>
      </c>
      <c r="G4623" t="str">
        <f>T("필밤")</f>
        <v>필밤</v>
      </c>
      <c r="J4623" t="str">
        <f>T("시계토끼")</f>
        <v>시계토끼</v>
      </c>
      <c r="K4623" t="str">
        <f>T("용사들은 성녀의 축복을 받아야 한다")</f>
        <v>용사들은 성녀의 축복을 받아야 한다</v>
      </c>
      <c r="L4623">
        <v>100</v>
      </c>
      <c r="M4623">
        <v>200</v>
      </c>
      <c r="N4623">
        <v>2</v>
      </c>
      <c r="O4623">
        <v>0</v>
      </c>
      <c r="P4623">
        <v>0</v>
      </c>
      <c r="Q4623">
        <v>0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0</v>
      </c>
      <c r="AC4623">
        <v>0</v>
      </c>
      <c r="AD4623">
        <v>0</v>
      </c>
      <c r="AE4623">
        <v>0</v>
      </c>
      <c r="AF4623">
        <v>0</v>
      </c>
      <c r="AG4623">
        <v>0</v>
      </c>
      <c r="AH4623">
        <v>0</v>
      </c>
      <c r="AI4623">
        <v>200</v>
      </c>
      <c r="AJ4623">
        <v>2</v>
      </c>
      <c r="AK4623">
        <v>0</v>
      </c>
      <c r="AL4623">
        <v>0</v>
      </c>
      <c r="AM4623">
        <v>100</v>
      </c>
      <c r="AN4623">
        <v>0</v>
      </c>
      <c r="AO4623">
        <v>120</v>
      </c>
      <c r="AP4623">
        <v>-36</v>
      </c>
      <c r="AQ4623">
        <v>0</v>
      </c>
      <c r="AR4623">
        <v>120</v>
      </c>
      <c r="AS4623">
        <v>-36</v>
      </c>
      <c r="AT4623">
        <v>0</v>
      </c>
      <c r="AV4623">
        <v>0</v>
      </c>
      <c r="AW4623">
        <v>0</v>
      </c>
      <c r="AY4623">
        <v>0</v>
      </c>
      <c r="AZ4623">
        <v>0</v>
      </c>
      <c r="BA4623">
        <v>110.4</v>
      </c>
      <c r="BE4623" t="str">
        <f>T("9791172822040")</f>
        <v>9791172822040</v>
      </c>
      <c r="BF4623" t="str">
        <f>T("D158646")</f>
        <v>D158646</v>
      </c>
      <c r="BG4623" t="str">
        <f>T("로판 웹소설 &gt; 서양풍 로판")</f>
        <v>로판 웹소설 &gt; 서양풍 로판</v>
      </c>
    </row>
    <row r="4624" spans="1:59">
      <c r="A4624" t="s">
        <v>60</v>
      </c>
      <c r="B4624" s="1">
        <v>46131</v>
      </c>
      <c r="C4624">
        <v>2378078499</v>
      </c>
      <c r="D4624">
        <v>2378078523</v>
      </c>
      <c r="E4624" t="str">
        <f>T("용사들은 성녀의 축복을 받아야 한다 25화")</f>
        <v>용사들은 성녀의 축복을 받아야 한다 25화</v>
      </c>
      <c r="F4624">
        <v>25</v>
      </c>
      <c r="G4624" t="str">
        <f>T("필밤")</f>
        <v>필밤</v>
      </c>
      <c r="J4624" t="str">
        <f>T("시계토끼")</f>
        <v>시계토끼</v>
      </c>
      <c r="K4624" t="str">
        <f>T("용사들은 성녀의 축복을 받아야 한다")</f>
        <v>용사들은 성녀의 축복을 받아야 한다</v>
      </c>
      <c r="L4624">
        <v>100</v>
      </c>
      <c r="M4624">
        <v>100</v>
      </c>
      <c r="N4624">
        <v>1</v>
      </c>
      <c r="O4624">
        <v>0</v>
      </c>
      <c r="P4624">
        <v>0</v>
      </c>
      <c r="Q4624">
        <v>0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0</v>
      </c>
      <c r="AC4624">
        <v>0</v>
      </c>
      <c r="AD4624">
        <v>0</v>
      </c>
      <c r="AE4624">
        <v>0</v>
      </c>
      <c r="AF4624">
        <v>0</v>
      </c>
      <c r="AG4624">
        <v>0</v>
      </c>
      <c r="AH4624">
        <v>0</v>
      </c>
      <c r="AI4624">
        <v>100</v>
      </c>
      <c r="AJ4624">
        <v>1</v>
      </c>
      <c r="AK4624">
        <v>0</v>
      </c>
      <c r="AL4624">
        <v>0</v>
      </c>
      <c r="AM4624">
        <v>100</v>
      </c>
      <c r="AN4624">
        <v>0</v>
      </c>
      <c r="AO4624">
        <v>0</v>
      </c>
      <c r="AP4624">
        <v>0</v>
      </c>
      <c r="AQ4624">
        <v>0</v>
      </c>
      <c r="AS4624">
        <v>0</v>
      </c>
      <c r="AT4624">
        <v>0</v>
      </c>
      <c r="AV4624">
        <v>0</v>
      </c>
      <c r="AW4624">
        <v>0</v>
      </c>
      <c r="AY4624">
        <v>0</v>
      </c>
      <c r="AZ4624">
        <v>0</v>
      </c>
      <c r="BA4624">
        <v>60</v>
      </c>
      <c r="BE4624" t="str">
        <f>T("9791172822040")</f>
        <v>9791172822040</v>
      </c>
      <c r="BF4624" t="str">
        <f>T("D158649")</f>
        <v>D158649</v>
      </c>
      <c r="BG4624" t="str">
        <f>T("로판 웹소설 &gt; 서양풍 로판")</f>
        <v>로판 웹소설 &gt; 서양풍 로판</v>
      </c>
    </row>
    <row r="4625" spans="1:59">
      <c r="A4625" t="s">
        <v>60</v>
      </c>
      <c r="B4625" s="1">
        <v>46131</v>
      </c>
      <c r="C4625">
        <v>2378078499</v>
      </c>
      <c r="D4625">
        <v>2378078524</v>
      </c>
      <c r="E4625" t="str">
        <f>T("용사들은 성녀의 축복을 받아야 한다 26화")</f>
        <v>용사들은 성녀의 축복을 받아야 한다 26화</v>
      </c>
      <c r="F4625">
        <v>26</v>
      </c>
      <c r="G4625" t="str">
        <f>T("필밤")</f>
        <v>필밤</v>
      </c>
      <c r="J4625" t="str">
        <f>T("시계토끼")</f>
        <v>시계토끼</v>
      </c>
      <c r="K4625" t="str">
        <f>T("용사들은 성녀의 축복을 받아야 한다")</f>
        <v>용사들은 성녀의 축복을 받아야 한다</v>
      </c>
      <c r="L4625">
        <v>100</v>
      </c>
      <c r="M4625">
        <v>100</v>
      </c>
      <c r="N4625">
        <v>1</v>
      </c>
      <c r="O4625">
        <v>0</v>
      </c>
      <c r="P4625">
        <v>0</v>
      </c>
      <c r="Q4625">
        <v>0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0</v>
      </c>
      <c r="AC4625">
        <v>0</v>
      </c>
      <c r="AD4625">
        <v>0</v>
      </c>
      <c r="AE4625">
        <v>0</v>
      </c>
      <c r="AF4625">
        <v>0</v>
      </c>
      <c r="AG4625">
        <v>0</v>
      </c>
      <c r="AH4625">
        <v>0</v>
      </c>
      <c r="AI4625">
        <v>100</v>
      </c>
      <c r="AJ4625">
        <v>1</v>
      </c>
      <c r="AK4625">
        <v>0</v>
      </c>
      <c r="AL4625">
        <v>0</v>
      </c>
      <c r="AM4625">
        <v>100</v>
      </c>
      <c r="AN4625">
        <v>0</v>
      </c>
      <c r="AO4625">
        <v>0</v>
      </c>
      <c r="AP4625">
        <v>0</v>
      </c>
      <c r="AQ4625">
        <v>0</v>
      </c>
      <c r="AS4625">
        <v>0</v>
      </c>
      <c r="AT4625">
        <v>0</v>
      </c>
      <c r="AV4625">
        <v>0</v>
      </c>
      <c r="AW4625">
        <v>0</v>
      </c>
      <c r="AY4625">
        <v>0</v>
      </c>
      <c r="AZ4625">
        <v>0</v>
      </c>
      <c r="BA4625">
        <v>60</v>
      </c>
      <c r="BE4625" t="str">
        <f>T("9791172822040")</f>
        <v>9791172822040</v>
      </c>
      <c r="BF4625" t="str">
        <f>T("D158650")</f>
        <v>D158650</v>
      </c>
      <c r="BG4625" t="str">
        <f>T("로판 웹소설 &gt; 서양풍 로판")</f>
        <v>로판 웹소설 &gt; 서양풍 로판</v>
      </c>
    </row>
    <row r="4626" spans="1:59">
      <c r="A4626" t="s">
        <v>60</v>
      </c>
      <c r="B4626" s="1">
        <v>46131</v>
      </c>
      <c r="C4626">
        <v>2378078499</v>
      </c>
      <c r="D4626">
        <v>2378078525</v>
      </c>
      <c r="E4626" t="str">
        <f>T("용사들은 성녀의 축복을 받아야 한다 27화")</f>
        <v>용사들은 성녀의 축복을 받아야 한다 27화</v>
      </c>
      <c r="F4626">
        <v>27</v>
      </c>
      <c r="G4626" t="str">
        <f>T("필밤")</f>
        <v>필밤</v>
      </c>
      <c r="J4626" t="str">
        <f>T("시계토끼")</f>
        <v>시계토끼</v>
      </c>
      <c r="K4626" t="str">
        <f>T("용사들은 성녀의 축복을 받아야 한다")</f>
        <v>용사들은 성녀의 축복을 받아야 한다</v>
      </c>
      <c r="L4626">
        <v>100</v>
      </c>
      <c r="M4626">
        <v>100</v>
      </c>
      <c r="N4626">
        <v>1</v>
      </c>
      <c r="O4626">
        <v>0</v>
      </c>
      <c r="P4626">
        <v>0</v>
      </c>
      <c r="Q4626">
        <v>0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0</v>
      </c>
      <c r="AC4626">
        <v>0</v>
      </c>
      <c r="AD4626">
        <v>0</v>
      </c>
      <c r="AE4626">
        <v>0</v>
      </c>
      <c r="AF4626">
        <v>0</v>
      </c>
      <c r="AG4626">
        <v>0</v>
      </c>
      <c r="AH4626">
        <v>0</v>
      </c>
      <c r="AI4626">
        <v>100</v>
      </c>
      <c r="AJ4626">
        <v>1</v>
      </c>
      <c r="AK4626">
        <v>0</v>
      </c>
      <c r="AL4626">
        <v>0</v>
      </c>
      <c r="AM4626">
        <v>100</v>
      </c>
      <c r="AN4626">
        <v>0</v>
      </c>
      <c r="AO4626">
        <v>0</v>
      </c>
      <c r="AP4626">
        <v>0</v>
      </c>
      <c r="AQ4626">
        <v>0</v>
      </c>
      <c r="AS4626">
        <v>0</v>
      </c>
      <c r="AT4626">
        <v>0</v>
      </c>
      <c r="AV4626">
        <v>0</v>
      </c>
      <c r="AW4626">
        <v>0</v>
      </c>
      <c r="AY4626">
        <v>0</v>
      </c>
      <c r="AZ4626">
        <v>0</v>
      </c>
      <c r="BA4626">
        <v>60</v>
      </c>
      <c r="BE4626" t="str">
        <f>T("9791172822040")</f>
        <v>9791172822040</v>
      </c>
      <c r="BF4626" t="str">
        <f>T("D158651")</f>
        <v>D158651</v>
      </c>
      <c r="BG4626" t="str">
        <f>T("로판 웹소설 &gt; 서양풍 로판")</f>
        <v>로판 웹소설 &gt; 서양풍 로판</v>
      </c>
    </row>
    <row r="4627" spans="1:59">
      <c r="A4627" t="s">
        <v>60</v>
      </c>
      <c r="B4627" s="1">
        <v>46131</v>
      </c>
      <c r="C4627">
        <v>2378078499</v>
      </c>
      <c r="D4627">
        <v>2378078526</v>
      </c>
      <c r="E4627" t="str">
        <f>T("용사들은 성녀의 축복을 받아야 한다 28화")</f>
        <v>용사들은 성녀의 축복을 받아야 한다 28화</v>
      </c>
      <c r="F4627">
        <v>28</v>
      </c>
      <c r="G4627" t="str">
        <f>T("필밤")</f>
        <v>필밤</v>
      </c>
      <c r="J4627" t="str">
        <f>T("시계토끼")</f>
        <v>시계토끼</v>
      </c>
      <c r="K4627" t="str">
        <f>T("용사들은 성녀의 축복을 받아야 한다")</f>
        <v>용사들은 성녀의 축복을 받아야 한다</v>
      </c>
      <c r="L4627">
        <v>100</v>
      </c>
      <c r="M4627">
        <v>100</v>
      </c>
      <c r="N4627">
        <v>1</v>
      </c>
      <c r="O4627">
        <v>0</v>
      </c>
      <c r="P4627">
        <v>0</v>
      </c>
      <c r="Q4627">
        <v>0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0</v>
      </c>
      <c r="AC4627">
        <v>0</v>
      </c>
      <c r="AD4627">
        <v>0</v>
      </c>
      <c r="AE4627">
        <v>0</v>
      </c>
      <c r="AF4627">
        <v>0</v>
      </c>
      <c r="AG4627">
        <v>0</v>
      </c>
      <c r="AH4627">
        <v>0</v>
      </c>
      <c r="AI4627">
        <v>100</v>
      </c>
      <c r="AJ4627">
        <v>1</v>
      </c>
      <c r="AK4627">
        <v>0</v>
      </c>
      <c r="AL4627">
        <v>0</v>
      </c>
      <c r="AM4627">
        <v>100</v>
      </c>
      <c r="AN4627">
        <v>0</v>
      </c>
      <c r="AO4627">
        <v>0</v>
      </c>
      <c r="AP4627">
        <v>0</v>
      </c>
      <c r="AQ4627">
        <v>0</v>
      </c>
      <c r="AS4627">
        <v>0</v>
      </c>
      <c r="AT4627">
        <v>0</v>
      </c>
      <c r="AV4627">
        <v>0</v>
      </c>
      <c r="AW4627">
        <v>0</v>
      </c>
      <c r="AY4627">
        <v>0</v>
      </c>
      <c r="AZ4627">
        <v>0</v>
      </c>
      <c r="BA4627">
        <v>60</v>
      </c>
      <c r="BE4627" t="str">
        <f>T("9791172822040")</f>
        <v>9791172822040</v>
      </c>
      <c r="BF4627" t="str">
        <f>T("D158652")</f>
        <v>D158652</v>
      </c>
      <c r="BG4627" t="str">
        <f>T("로판 웹소설 &gt; 서양풍 로판")</f>
        <v>로판 웹소설 &gt; 서양풍 로판</v>
      </c>
    </row>
    <row r="4628" spans="1:59">
      <c r="A4628" t="s">
        <v>60</v>
      </c>
      <c r="B4628" s="1">
        <v>46131</v>
      </c>
      <c r="C4628">
        <v>2378078499</v>
      </c>
      <c r="D4628">
        <v>2378078530</v>
      </c>
      <c r="E4628" t="str">
        <f>T("용사들은 성녀의 축복을 받아야 한다 32화")</f>
        <v>용사들은 성녀의 축복을 받아야 한다 32화</v>
      </c>
      <c r="F4628">
        <v>32</v>
      </c>
      <c r="G4628" t="str">
        <f>T("필밤")</f>
        <v>필밤</v>
      </c>
      <c r="J4628" t="str">
        <f>T("시계토끼")</f>
        <v>시계토끼</v>
      </c>
      <c r="K4628" t="str">
        <f>T("용사들은 성녀의 축복을 받아야 한다")</f>
        <v>용사들은 성녀의 축복을 받아야 한다</v>
      </c>
      <c r="L4628">
        <v>100</v>
      </c>
      <c r="M4628">
        <v>100</v>
      </c>
      <c r="N4628">
        <v>1</v>
      </c>
      <c r="O4628">
        <v>0</v>
      </c>
      <c r="P4628">
        <v>0</v>
      </c>
      <c r="Q4628">
        <v>0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0</v>
      </c>
      <c r="AC4628">
        <v>0</v>
      </c>
      <c r="AD4628">
        <v>0</v>
      </c>
      <c r="AE4628">
        <v>0</v>
      </c>
      <c r="AF4628">
        <v>0</v>
      </c>
      <c r="AG4628">
        <v>0</v>
      </c>
      <c r="AH4628">
        <v>0</v>
      </c>
      <c r="AI4628">
        <v>100</v>
      </c>
      <c r="AJ4628">
        <v>1</v>
      </c>
      <c r="AK4628">
        <v>0</v>
      </c>
      <c r="AL4628">
        <v>0</v>
      </c>
      <c r="AM4628">
        <v>100</v>
      </c>
      <c r="AN4628">
        <v>0</v>
      </c>
      <c r="AO4628">
        <v>0</v>
      </c>
      <c r="AP4628">
        <v>0</v>
      </c>
      <c r="AQ4628">
        <v>0</v>
      </c>
      <c r="AS4628">
        <v>0</v>
      </c>
      <c r="AT4628">
        <v>0</v>
      </c>
      <c r="AV4628">
        <v>0</v>
      </c>
      <c r="AW4628">
        <v>0</v>
      </c>
      <c r="AY4628">
        <v>0</v>
      </c>
      <c r="AZ4628">
        <v>0</v>
      </c>
      <c r="BA4628">
        <v>60</v>
      </c>
      <c r="BE4628" t="str">
        <f>T("9791172822040")</f>
        <v>9791172822040</v>
      </c>
      <c r="BF4628" t="str">
        <f>T("D158656")</f>
        <v>D158656</v>
      </c>
      <c r="BG4628" t="str">
        <f>T("로판 웹소설 &gt; 서양풍 로판")</f>
        <v>로판 웹소설 &gt; 서양풍 로판</v>
      </c>
    </row>
    <row r="4629" spans="1:59">
      <c r="A4629" t="s">
        <v>60</v>
      </c>
      <c r="B4629" s="1">
        <v>46131</v>
      </c>
      <c r="C4629">
        <v>2378078499</v>
      </c>
      <c r="D4629">
        <v>2378078531</v>
      </c>
      <c r="E4629" t="str">
        <f>T("용사들은 성녀의 축복을 받아야 한다 33화")</f>
        <v>용사들은 성녀의 축복을 받아야 한다 33화</v>
      </c>
      <c r="F4629">
        <v>33</v>
      </c>
      <c r="G4629" t="str">
        <f>T("필밤")</f>
        <v>필밤</v>
      </c>
      <c r="J4629" t="str">
        <f>T("시계토끼")</f>
        <v>시계토끼</v>
      </c>
      <c r="K4629" t="str">
        <f>T("용사들은 성녀의 축복을 받아야 한다")</f>
        <v>용사들은 성녀의 축복을 받아야 한다</v>
      </c>
      <c r="L4629">
        <v>100</v>
      </c>
      <c r="M4629">
        <v>100</v>
      </c>
      <c r="N4629">
        <v>1</v>
      </c>
      <c r="O4629">
        <v>0</v>
      </c>
      <c r="P4629">
        <v>0</v>
      </c>
      <c r="Q4629">
        <v>0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0</v>
      </c>
      <c r="AC4629">
        <v>0</v>
      </c>
      <c r="AD4629">
        <v>0</v>
      </c>
      <c r="AE4629">
        <v>0</v>
      </c>
      <c r="AF4629">
        <v>0</v>
      </c>
      <c r="AG4629">
        <v>0</v>
      </c>
      <c r="AH4629">
        <v>0</v>
      </c>
      <c r="AI4629">
        <v>100</v>
      </c>
      <c r="AJ4629">
        <v>1</v>
      </c>
      <c r="AK4629">
        <v>0</v>
      </c>
      <c r="AL4629">
        <v>0</v>
      </c>
      <c r="AM4629">
        <v>100</v>
      </c>
      <c r="AN4629">
        <v>0</v>
      </c>
      <c r="AO4629">
        <v>0</v>
      </c>
      <c r="AP4629">
        <v>0</v>
      </c>
      <c r="AQ4629">
        <v>0</v>
      </c>
      <c r="AS4629">
        <v>0</v>
      </c>
      <c r="AT4629">
        <v>0</v>
      </c>
      <c r="AV4629">
        <v>0</v>
      </c>
      <c r="AW4629">
        <v>0</v>
      </c>
      <c r="AY4629">
        <v>0</v>
      </c>
      <c r="AZ4629">
        <v>0</v>
      </c>
      <c r="BA4629">
        <v>60</v>
      </c>
      <c r="BE4629" t="str">
        <f>T("9791172822040")</f>
        <v>9791172822040</v>
      </c>
      <c r="BF4629" t="str">
        <f>T("D158657")</f>
        <v>D158657</v>
      </c>
      <c r="BG4629" t="str">
        <f>T("로판 웹소설 &gt; 서양풍 로판")</f>
        <v>로판 웹소설 &gt; 서양풍 로판</v>
      </c>
    </row>
    <row r="4630" spans="1:59">
      <c r="A4630" t="s">
        <v>60</v>
      </c>
      <c r="B4630" s="1">
        <v>46131</v>
      </c>
      <c r="C4630">
        <v>2378078499</v>
      </c>
      <c r="D4630">
        <v>2378078532</v>
      </c>
      <c r="E4630" t="str">
        <f>T("용사들은 성녀의 축복을 받아야 한다 34화")</f>
        <v>용사들은 성녀의 축복을 받아야 한다 34화</v>
      </c>
      <c r="F4630">
        <v>34</v>
      </c>
      <c r="G4630" t="str">
        <f>T("필밤")</f>
        <v>필밤</v>
      </c>
      <c r="J4630" t="str">
        <f>T("시계토끼")</f>
        <v>시계토끼</v>
      </c>
      <c r="K4630" t="str">
        <f>T("용사들은 성녀의 축복을 받아야 한다")</f>
        <v>용사들은 성녀의 축복을 받아야 한다</v>
      </c>
      <c r="L4630">
        <v>100</v>
      </c>
      <c r="M4630">
        <v>100</v>
      </c>
      <c r="N4630">
        <v>1</v>
      </c>
      <c r="O4630">
        <v>0</v>
      </c>
      <c r="P4630">
        <v>0</v>
      </c>
      <c r="Q4630">
        <v>0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0</v>
      </c>
      <c r="AC4630">
        <v>0</v>
      </c>
      <c r="AD4630">
        <v>0</v>
      </c>
      <c r="AE4630">
        <v>0</v>
      </c>
      <c r="AF4630">
        <v>0</v>
      </c>
      <c r="AG4630">
        <v>0</v>
      </c>
      <c r="AH4630">
        <v>0</v>
      </c>
      <c r="AI4630">
        <v>100</v>
      </c>
      <c r="AJ4630">
        <v>1</v>
      </c>
      <c r="AK4630">
        <v>0</v>
      </c>
      <c r="AL4630">
        <v>0</v>
      </c>
      <c r="AM4630">
        <v>100</v>
      </c>
      <c r="AN4630">
        <v>0</v>
      </c>
      <c r="AO4630">
        <v>0</v>
      </c>
      <c r="AP4630">
        <v>0</v>
      </c>
      <c r="AQ4630">
        <v>0</v>
      </c>
      <c r="AS4630">
        <v>0</v>
      </c>
      <c r="AT4630">
        <v>0</v>
      </c>
      <c r="AV4630">
        <v>0</v>
      </c>
      <c r="AW4630">
        <v>0</v>
      </c>
      <c r="AY4630">
        <v>0</v>
      </c>
      <c r="AZ4630">
        <v>0</v>
      </c>
      <c r="BA4630">
        <v>60</v>
      </c>
      <c r="BE4630" t="str">
        <f>T("9791172822040")</f>
        <v>9791172822040</v>
      </c>
      <c r="BF4630" t="str">
        <f>T("D158658")</f>
        <v>D158658</v>
      </c>
      <c r="BG4630" t="str">
        <f>T("로판 웹소설 &gt; 서양풍 로판")</f>
        <v>로판 웹소설 &gt; 서양풍 로판</v>
      </c>
    </row>
    <row r="4631" spans="1:59">
      <c r="A4631" t="s">
        <v>60</v>
      </c>
      <c r="B4631" s="1">
        <v>46131</v>
      </c>
      <c r="C4631">
        <v>2378078499</v>
      </c>
      <c r="D4631">
        <v>2378078533</v>
      </c>
      <c r="E4631" t="str">
        <f>T("용사들은 성녀의 축복을 받아야 한다 35화")</f>
        <v>용사들은 성녀의 축복을 받아야 한다 35화</v>
      </c>
      <c r="F4631">
        <v>35</v>
      </c>
      <c r="G4631" t="str">
        <f>T("필밤")</f>
        <v>필밤</v>
      </c>
      <c r="J4631" t="str">
        <f>T("시계토끼")</f>
        <v>시계토끼</v>
      </c>
      <c r="K4631" t="str">
        <f>T("용사들은 성녀의 축복을 받아야 한다")</f>
        <v>용사들은 성녀의 축복을 받아야 한다</v>
      </c>
      <c r="L4631">
        <v>100</v>
      </c>
      <c r="M4631">
        <v>100</v>
      </c>
      <c r="N4631">
        <v>1</v>
      </c>
      <c r="O4631">
        <v>0</v>
      </c>
      <c r="P4631">
        <v>0</v>
      </c>
      <c r="Q4631">
        <v>0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0</v>
      </c>
      <c r="AC4631">
        <v>0</v>
      </c>
      <c r="AD4631">
        <v>0</v>
      </c>
      <c r="AE4631">
        <v>0</v>
      </c>
      <c r="AF4631">
        <v>0</v>
      </c>
      <c r="AG4631">
        <v>0</v>
      </c>
      <c r="AH4631">
        <v>0</v>
      </c>
      <c r="AI4631">
        <v>100</v>
      </c>
      <c r="AJ4631">
        <v>1</v>
      </c>
      <c r="AK4631">
        <v>0</v>
      </c>
      <c r="AL4631">
        <v>0</v>
      </c>
      <c r="AM4631">
        <v>100</v>
      </c>
      <c r="AN4631">
        <v>0</v>
      </c>
      <c r="AO4631">
        <v>0</v>
      </c>
      <c r="AP4631">
        <v>0</v>
      </c>
      <c r="AQ4631">
        <v>0</v>
      </c>
      <c r="AS4631">
        <v>0</v>
      </c>
      <c r="AT4631">
        <v>0</v>
      </c>
      <c r="AV4631">
        <v>0</v>
      </c>
      <c r="AW4631">
        <v>0</v>
      </c>
      <c r="AY4631">
        <v>0</v>
      </c>
      <c r="AZ4631">
        <v>0</v>
      </c>
      <c r="BA4631">
        <v>60</v>
      </c>
      <c r="BE4631" t="str">
        <f>T("9791172822040")</f>
        <v>9791172822040</v>
      </c>
      <c r="BF4631" t="str">
        <f>T("D158659")</f>
        <v>D158659</v>
      </c>
      <c r="BG4631" t="str">
        <f>T("로판 웹소설 &gt; 서양풍 로판")</f>
        <v>로판 웹소설 &gt; 서양풍 로판</v>
      </c>
    </row>
    <row r="4632" spans="1:59">
      <c r="A4632" t="s">
        <v>60</v>
      </c>
      <c r="B4632" s="1">
        <v>46131</v>
      </c>
      <c r="C4632">
        <v>2378078499</v>
      </c>
      <c r="D4632">
        <v>2378078534</v>
      </c>
      <c r="E4632" t="str">
        <f>T("용사들은 성녀의 축복을 받아야 한다 36화")</f>
        <v>용사들은 성녀의 축복을 받아야 한다 36화</v>
      </c>
      <c r="F4632">
        <v>36</v>
      </c>
      <c r="G4632" t="str">
        <f>T("필밤")</f>
        <v>필밤</v>
      </c>
      <c r="J4632" t="str">
        <f>T("시계토끼")</f>
        <v>시계토끼</v>
      </c>
      <c r="K4632" t="str">
        <f>T("용사들은 성녀의 축복을 받아야 한다")</f>
        <v>용사들은 성녀의 축복을 받아야 한다</v>
      </c>
      <c r="L4632">
        <v>100</v>
      </c>
      <c r="M4632">
        <v>100</v>
      </c>
      <c r="N4632">
        <v>1</v>
      </c>
      <c r="O4632">
        <v>0</v>
      </c>
      <c r="P4632">
        <v>0</v>
      </c>
      <c r="Q4632">
        <v>0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0</v>
      </c>
      <c r="AC4632">
        <v>0</v>
      </c>
      <c r="AD4632">
        <v>0</v>
      </c>
      <c r="AE4632">
        <v>0</v>
      </c>
      <c r="AF4632">
        <v>0</v>
      </c>
      <c r="AG4632">
        <v>0</v>
      </c>
      <c r="AH4632">
        <v>0</v>
      </c>
      <c r="AI4632">
        <v>100</v>
      </c>
      <c r="AJ4632">
        <v>1</v>
      </c>
      <c r="AK4632">
        <v>0</v>
      </c>
      <c r="AL4632">
        <v>0</v>
      </c>
      <c r="AM4632">
        <v>100</v>
      </c>
      <c r="AN4632">
        <v>0</v>
      </c>
      <c r="AO4632">
        <v>0</v>
      </c>
      <c r="AP4632">
        <v>0</v>
      </c>
      <c r="AQ4632">
        <v>0</v>
      </c>
      <c r="AS4632">
        <v>0</v>
      </c>
      <c r="AT4632">
        <v>0</v>
      </c>
      <c r="AV4632">
        <v>0</v>
      </c>
      <c r="AW4632">
        <v>0</v>
      </c>
      <c r="AY4632">
        <v>0</v>
      </c>
      <c r="AZ4632">
        <v>0</v>
      </c>
      <c r="BA4632">
        <v>60</v>
      </c>
      <c r="BE4632" t="str">
        <f>T("9791172822040")</f>
        <v>9791172822040</v>
      </c>
      <c r="BF4632" t="str">
        <f>T("D158660")</f>
        <v>D158660</v>
      </c>
      <c r="BG4632" t="str">
        <f>T("로판 웹소설 &gt; 서양풍 로판")</f>
        <v>로판 웹소설 &gt; 서양풍 로판</v>
      </c>
    </row>
    <row r="4633" spans="1:59">
      <c r="A4633" t="s">
        <v>60</v>
      </c>
      <c r="B4633" s="1">
        <v>46131</v>
      </c>
      <c r="C4633">
        <v>2378078499</v>
      </c>
      <c r="D4633">
        <v>2378078535</v>
      </c>
      <c r="E4633" t="str">
        <f>T("용사들은 성녀의 축복을 받아야 한다 37화")</f>
        <v>용사들은 성녀의 축복을 받아야 한다 37화</v>
      </c>
      <c r="F4633">
        <v>37</v>
      </c>
      <c r="G4633" t="str">
        <f>T("필밤")</f>
        <v>필밤</v>
      </c>
      <c r="J4633" t="str">
        <f>T("시계토끼")</f>
        <v>시계토끼</v>
      </c>
      <c r="K4633" t="str">
        <f>T("용사들은 성녀의 축복을 받아야 한다")</f>
        <v>용사들은 성녀의 축복을 받아야 한다</v>
      </c>
      <c r="L4633">
        <v>100</v>
      </c>
      <c r="M4633">
        <v>100</v>
      </c>
      <c r="N4633">
        <v>1</v>
      </c>
      <c r="O4633">
        <v>0</v>
      </c>
      <c r="P4633">
        <v>0</v>
      </c>
      <c r="Q4633">
        <v>0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0</v>
      </c>
      <c r="AC4633">
        <v>0</v>
      </c>
      <c r="AD4633">
        <v>0</v>
      </c>
      <c r="AE4633">
        <v>0</v>
      </c>
      <c r="AF4633">
        <v>0</v>
      </c>
      <c r="AG4633">
        <v>0</v>
      </c>
      <c r="AH4633">
        <v>0</v>
      </c>
      <c r="AI4633">
        <v>100</v>
      </c>
      <c r="AJ4633">
        <v>1</v>
      </c>
      <c r="AK4633">
        <v>0</v>
      </c>
      <c r="AL4633">
        <v>0</v>
      </c>
      <c r="AM4633">
        <v>100</v>
      </c>
      <c r="AN4633">
        <v>0</v>
      </c>
      <c r="AO4633">
        <v>0</v>
      </c>
      <c r="AP4633">
        <v>0</v>
      </c>
      <c r="AQ4633">
        <v>0</v>
      </c>
      <c r="AS4633">
        <v>0</v>
      </c>
      <c r="AT4633">
        <v>0</v>
      </c>
      <c r="AV4633">
        <v>0</v>
      </c>
      <c r="AW4633">
        <v>0</v>
      </c>
      <c r="AY4633">
        <v>0</v>
      </c>
      <c r="AZ4633">
        <v>0</v>
      </c>
      <c r="BA4633">
        <v>60</v>
      </c>
      <c r="BE4633" t="str">
        <f>T("9791172822040")</f>
        <v>9791172822040</v>
      </c>
      <c r="BF4633" t="str">
        <f>T("D158661")</f>
        <v>D158661</v>
      </c>
      <c r="BG4633" t="str">
        <f>T("로판 웹소설 &gt; 서양풍 로판")</f>
        <v>로판 웹소설 &gt; 서양풍 로판</v>
      </c>
    </row>
    <row r="4634" spans="1:59">
      <c r="A4634" t="s">
        <v>60</v>
      </c>
      <c r="B4634" s="1">
        <v>46131</v>
      </c>
      <c r="C4634">
        <v>2378078499</v>
      </c>
      <c r="D4634">
        <v>2378078506</v>
      </c>
      <c r="E4634" t="str">
        <f>T("용사들은 성녀의 축복을 받아야 한다 8화")</f>
        <v>용사들은 성녀의 축복을 받아야 한다 8화</v>
      </c>
      <c r="F4634">
        <v>8</v>
      </c>
      <c r="G4634" t="str">
        <f>T("필밤")</f>
        <v>필밤</v>
      </c>
      <c r="J4634" t="str">
        <f>T("시계토끼")</f>
        <v>시계토끼</v>
      </c>
      <c r="K4634" t="str">
        <f>T("용사들은 성녀의 축복을 받아야 한다")</f>
        <v>용사들은 성녀의 축복을 받아야 한다</v>
      </c>
      <c r="L4634">
        <v>100</v>
      </c>
      <c r="M4634">
        <v>200</v>
      </c>
      <c r="N4634">
        <v>2</v>
      </c>
      <c r="O4634">
        <v>0</v>
      </c>
      <c r="P4634">
        <v>0</v>
      </c>
      <c r="Q4634">
        <v>0</v>
      </c>
      <c r="R4634">
        <v>1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0</v>
      </c>
      <c r="AC4634">
        <v>0</v>
      </c>
      <c r="AD4634">
        <v>0</v>
      </c>
      <c r="AE4634">
        <v>0</v>
      </c>
      <c r="AF4634">
        <v>0</v>
      </c>
      <c r="AG4634">
        <v>0</v>
      </c>
      <c r="AH4634">
        <v>0</v>
      </c>
      <c r="AI4634">
        <v>200</v>
      </c>
      <c r="AJ4634">
        <v>3</v>
      </c>
      <c r="AK4634">
        <v>0</v>
      </c>
      <c r="AL4634">
        <v>0</v>
      </c>
      <c r="AM4634">
        <v>100</v>
      </c>
      <c r="AN4634">
        <v>0</v>
      </c>
      <c r="AO4634">
        <v>120</v>
      </c>
      <c r="AP4634">
        <v>-36</v>
      </c>
      <c r="AQ4634">
        <v>0</v>
      </c>
      <c r="AR4634">
        <v>120</v>
      </c>
      <c r="AS4634">
        <v>-36</v>
      </c>
      <c r="AT4634">
        <v>0</v>
      </c>
      <c r="AV4634">
        <v>0</v>
      </c>
      <c r="AW4634">
        <v>0</v>
      </c>
      <c r="AY4634">
        <v>0</v>
      </c>
      <c r="AZ4634">
        <v>0</v>
      </c>
      <c r="BA4634">
        <v>110.4</v>
      </c>
      <c r="BE4634" t="str">
        <f>T("9791172822040")</f>
        <v>9791172822040</v>
      </c>
      <c r="BF4634" t="str">
        <f>T("D158632")</f>
        <v>D158632</v>
      </c>
      <c r="BG4634" t="str">
        <f>T("로판 웹소설 &gt; 서양풍 로판")</f>
        <v>로판 웹소설 &gt; 서양풍 로판</v>
      </c>
    </row>
    <row r="4635" spans="1:59">
      <c r="A4635" t="s">
        <v>60</v>
      </c>
      <c r="B4635" s="1">
        <v>46131</v>
      </c>
      <c r="C4635">
        <v>2378078499</v>
      </c>
      <c r="D4635">
        <v>2378078507</v>
      </c>
      <c r="E4635" t="str">
        <f>T("용사들은 성녀의 축복을 받아야 한다 9화")</f>
        <v>용사들은 성녀의 축복을 받아야 한다 9화</v>
      </c>
      <c r="F4635">
        <v>9</v>
      </c>
      <c r="G4635" t="str">
        <f>T("필밤")</f>
        <v>필밤</v>
      </c>
      <c r="J4635" t="str">
        <f>T("시계토끼")</f>
        <v>시계토끼</v>
      </c>
      <c r="K4635" t="str">
        <f>T("용사들은 성녀의 축복을 받아야 한다")</f>
        <v>용사들은 성녀의 축복을 받아야 한다</v>
      </c>
      <c r="L4635">
        <v>100</v>
      </c>
      <c r="M4635">
        <v>200</v>
      </c>
      <c r="N4635">
        <v>2</v>
      </c>
      <c r="O4635">
        <v>0</v>
      </c>
      <c r="P4635">
        <v>0</v>
      </c>
      <c r="Q4635">
        <v>0</v>
      </c>
      <c r="R4635">
        <v>2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0</v>
      </c>
      <c r="AC4635">
        <v>0</v>
      </c>
      <c r="AD4635">
        <v>0</v>
      </c>
      <c r="AE4635">
        <v>0</v>
      </c>
      <c r="AF4635">
        <v>0</v>
      </c>
      <c r="AG4635">
        <v>0</v>
      </c>
      <c r="AH4635">
        <v>0</v>
      </c>
      <c r="AI4635">
        <v>200</v>
      </c>
      <c r="AJ4635">
        <v>4</v>
      </c>
      <c r="AK4635">
        <v>0</v>
      </c>
      <c r="AL4635">
        <v>0</v>
      </c>
      <c r="AM4635">
        <v>100</v>
      </c>
      <c r="AN4635">
        <v>0</v>
      </c>
      <c r="AO4635">
        <v>120</v>
      </c>
      <c r="AP4635">
        <v>-36</v>
      </c>
      <c r="AQ4635">
        <v>0</v>
      </c>
      <c r="AR4635">
        <v>120</v>
      </c>
      <c r="AS4635">
        <v>-36</v>
      </c>
      <c r="AT4635">
        <v>0</v>
      </c>
      <c r="AV4635">
        <v>0</v>
      </c>
      <c r="AW4635">
        <v>0</v>
      </c>
      <c r="AY4635">
        <v>0</v>
      </c>
      <c r="AZ4635">
        <v>0</v>
      </c>
      <c r="BA4635">
        <v>110.4</v>
      </c>
      <c r="BE4635" t="str">
        <f>T("9791172822040")</f>
        <v>9791172822040</v>
      </c>
      <c r="BF4635" t="str">
        <f>T("D158633")</f>
        <v>D158633</v>
      </c>
      <c r="BG4635" t="str">
        <f>T("로판 웹소설 &gt; 서양풍 로판")</f>
        <v>로판 웹소설 &gt; 서양풍 로판</v>
      </c>
    </row>
    <row r="4636" spans="1:59">
      <c r="A4636" t="s">
        <v>60</v>
      </c>
      <c r="B4636" s="1">
        <v>46131</v>
      </c>
      <c r="C4636">
        <v>2378078499</v>
      </c>
      <c r="D4636">
        <v>2378078509</v>
      </c>
      <c r="E4636" t="str">
        <f>T("용사들은 성녀의 축복을 받아야 한다 11화")</f>
        <v>용사들은 성녀의 축복을 받아야 한다 11화</v>
      </c>
      <c r="F4636">
        <v>11</v>
      </c>
      <c r="G4636" t="str">
        <f>T("필밤")</f>
        <v>필밤</v>
      </c>
      <c r="J4636" t="str">
        <f>T("시계토끼")</f>
        <v>시계토끼</v>
      </c>
      <c r="K4636" t="str">
        <f>T("용사들은 성녀의 축복을 받아야 한다")</f>
        <v>용사들은 성녀의 축복을 받아야 한다</v>
      </c>
      <c r="L4636">
        <v>100</v>
      </c>
      <c r="M4636">
        <v>400</v>
      </c>
      <c r="N4636">
        <v>4</v>
      </c>
      <c r="O4636">
        <v>0</v>
      </c>
      <c r="P4636">
        <v>0</v>
      </c>
      <c r="Q4636">
        <v>0</v>
      </c>
      <c r="R4636">
        <v>1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0</v>
      </c>
      <c r="AC4636">
        <v>0</v>
      </c>
      <c r="AD4636">
        <v>0</v>
      </c>
      <c r="AE4636">
        <v>0</v>
      </c>
      <c r="AF4636">
        <v>0</v>
      </c>
      <c r="AG4636">
        <v>0</v>
      </c>
      <c r="AH4636">
        <v>0</v>
      </c>
      <c r="AI4636">
        <v>400</v>
      </c>
      <c r="AJ4636">
        <v>5</v>
      </c>
      <c r="AK4636">
        <v>0</v>
      </c>
      <c r="AL4636">
        <v>0</v>
      </c>
      <c r="AM4636">
        <v>300</v>
      </c>
      <c r="AN4636">
        <v>0</v>
      </c>
      <c r="AO4636">
        <v>120</v>
      </c>
      <c r="AP4636">
        <v>-36</v>
      </c>
      <c r="AQ4636">
        <v>0</v>
      </c>
      <c r="AR4636">
        <v>120</v>
      </c>
      <c r="AS4636">
        <v>-36</v>
      </c>
      <c r="AT4636">
        <v>0</v>
      </c>
      <c r="AV4636">
        <v>0</v>
      </c>
      <c r="AW4636">
        <v>0</v>
      </c>
      <c r="AY4636">
        <v>0</v>
      </c>
      <c r="AZ4636">
        <v>0</v>
      </c>
      <c r="BA4636">
        <v>230.4</v>
      </c>
      <c r="BE4636" t="str">
        <f>T("9791172822040")</f>
        <v>9791172822040</v>
      </c>
      <c r="BF4636" t="str">
        <f>T("D158635")</f>
        <v>D158635</v>
      </c>
      <c r="BG4636" t="str">
        <f>T("로판 웹소설 &gt; 서양풍 로판")</f>
        <v>로판 웹소설 &gt; 서양풍 로판</v>
      </c>
    </row>
    <row r="4637" spans="1:59">
      <c r="A4637" t="s">
        <v>60</v>
      </c>
      <c r="B4637" s="1">
        <v>46131</v>
      </c>
      <c r="C4637">
        <v>2378078499</v>
      </c>
      <c r="D4637">
        <v>2378078540</v>
      </c>
      <c r="E4637" t="str">
        <f>T("용사들은 성녀의 축복을 받아야 한다 42화")</f>
        <v>용사들은 성녀의 축복을 받아야 한다 42화</v>
      </c>
      <c r="F4637">
        <v>42</v>
      </c>
      <c r="G4637" t="str">
        <f>T("필밤")</f>
        <v>필밤</v>
      </c>
      <c r="J4637" t="str">
        <f>T("시계토끼")</f>
        <v>시계토끼</v>
      </c>
      <c r="K4637" t="str">
        <f>T("용사들은 성녀의 축복을 받아야 한다")</f>
        <v>용사들은 성녀의 축복을 받아야 한다</v>
      </c>
      <c r="L4637">
        <v>100</v>
      </c>
      <c r="M4637">
        <v>100</v>
      </c>
      <c r="N4637">
        <v>1</v>
      </c>
      <c r="O4637">
        <v>0</v>
      </c>
      <c r="P4637">
        <v>0</v>
      </c>
      <c r="Q4637">
        <v>0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0</v>
      </c>
      <c r="AC4637">
        <v>0</v>
      </c>
      <c r="AD4637">
        <v>0</v>
      </c>
      <c r="AE4637">
        <v>0</v>
      </c>
      <c r="AF4637">
        <v>0</v>
      </c>
      <c r="AG4637">
        <v>0</v>
      </c>
      <c r="AH4637">
        <v>0</v>
      </c>
      <c r="AI4637">
        <v>100</v>
      </c>
      <c r="AJ4637">
        <v>1</v>
      </c>
      <c r="AK4637">
        <v>0</v>
      </c>
      <c r="AL4637">
        <v>0</v>
      </c>
      <c r="AM4637">
        <v>100</v>
      </c>
      <c r="AN4637">
        <v>0</v>
      </c>
      <c r="AO4637">
        <v>0</v>
      </c>
      <c r="AP4637">
        <v>0</v>
      </c>
      <c r="AQ4637">
        <v>0</v>
      </c>
      <c r="AS4637">
        <v>0</v>
      </c>
      <c r="AT4637">
        <v>0</v>
      </c>
      <c r="AV4637">
        <v>0</v>
      </c>
      <c r="AW4637">
        <v>0</v>
      </c>
      <c r="AY4637">
        <v>0</v>
      </c>
      <c r="AZ4637">
        <v>0</v>
      </c>
      <c r="BA4637">
        <v>60</v>
      </c>
      <c r="BE4637" t="str">
        <f>T("9791172822040")</f>
        <v>9791172822040</v>
      </c>
      <c r="BF4637" t="str">
        <f>T("D158666")</f>
        <v>D158666</v>
      </c>
      <c r="BG4637" t="str">
        <f>T("로판 웹소설 &gt; 서양풍 로판")</f>
        <v>로판 웹소설 &gt; 서양풍 로판</v>
      </c>
    </row>
    <row r="4638" spans="1:59">
      <c r="A4638" t="s">
        <v>60</v>
      </c>
      <c r="B4638" s="1">
        <v>46131</v>
      </c>
      <c r="C4638">
        <v>2378078499</v>
      </c>
      <c r="D4638">
        <v>2378078541</v>
      </c>
      <c r="E4638" t="str">
        <f>T("용사들은 성녀의 축복을 받아야 한다 43화")</f>
        <v>용사들은 성녀의 축복을 받아야 한다 43화</v>
      </c>
      <c r="F4638">
        <v>43</v>
      </c>
      <c r="G4638" t="str">
        <f>T("필밤")</f>
        <v>필밤</v>
      </c>
      <c r="J4638" t="str">
        <f>T("시계토끼")</f>
        <v>시계토끼</v>
      </c>
      <c r="K4638" t="str">
        <f>T("용사들은 성녀의 축복을 받아야 한다")</f>
        <v>용사들은 성녀의 축복을 받아야 한다</v>
      </c>
      <c r="L4638">
        <v>100</v>
      </c>
      <c r="M4638">
        <v>100</v>
      </c>
      <c r="N4638">
        <v>1</v>
      </c>
      <c r="O4638">
        <v>0</v>
      </c>
      <c r="P4638">
        <v>0</v>
      </c>
      <c r="Q4638">
        <v>0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0</v>
      </c>
      <c r="AC4638">
        <v>0</v>
      </c>
      <c r="AD4638">
        <v>0</v>
      </c>
      <c r="AE4638">
        <v>0</v>
      </c>
      <c r="AF4638">
        <v>0</v>
      </c>
      <c r="AG4638">
        <v>0</v>
      </c>
      <c r="AH4638">
        <v>0</v>
      </c>
      <c r="AI4638">
        <v>100</v>
      </c>
      <c r="AJ4638">
        <v>1</v>
      </c>
      <c r="AK4638">
        <v>0</v>
      </c>
      <c r="AL4638">
        <v>0</v>
      </c>
      <c r="AM4638">
        <v>100</v>
      </c>
      <c r="AN4638">
        <v>0</v>
      </c>
      <c r="AO4638">
        <v>0</v>
      </c>
      <c r="AP4638">
        <v>0</v>
      </c>
      <c r="AQ4638">
        <v>0</v>
      </c>
      <c r="AS4638">
        <v>0</v>
      </c>
      <c r="AT4638">
        <v>0</v>
      </c>
      <c r="AV4638">
        <v>0</v>
      </c>
      <c r="AW4638">
        <v>0</v>
      </c>
      <c r="AY4638">
        <v>0</v>
      </c>
      <c r="AZ4638">
        <v>0</v>
      </c>
      <c r="BA4638">
        <v>60</v>
      </c>
      <c r="BE4638" t="str">
        <f>T("9791172822040")</f>
        <v>9791172822040</v>
      </c>
      <c r="BF4638" t="str">
        <f>T("D158667")</f>
        <v>D158667</v>
      </c>
      <c r="BG4638" t="str">
        <f>T("로판 웹소설 &gt; 서양풍 로판")</f>
        <v>로판 웹소설 &gt; 서양풍 로판</v>
      </c>
    </row>
    <row r="4639" spans="1:59">
      <c r="A4639" t="s">
        <v>60</v>
      </c>
      <c r="B4639" s="1">
        <v>46131</v>
      </c>
      <c r="C4639">
        <v>2378078499</v>
      </c>
      <c r="D4639">
        <v>2378078542</v>
      </c>
      <c r="E4639" t="str">
        <f>T("용사들은 성녀의 축복을 받아야 한다 44화")</f>
        <v>용사들은 성녀의 축복을 받아야 한다 44화</v>
      </c>
      <c r="F4639">
        <v>44</v>
      </c>
      <c r="G4639" t="str">
        <f>T("필밤")</f>
        <v>필밤</v>
      </c>
      <c r="J4639" t="str">
        <f>T("시계토끼")</f>
        <v>시계토끼</v>
      </c>
      <c r="K4639" t="str">
        <f>T("용사들은 성녀의 축복을 받아야 한다")</f>
        <v>용사들은 성녀의 축복을 받아야 한다</v>
      </c>
      <c r="L4639">
        <v>100</v>
      </c>
      <c r="M4639">
        <v>100</v>
      </c>
      <c r="N4639">
        <v>1</v>
      </c>
      <c r="O4639">
        <v>0</v>
      </c>
      <c r="P4639">
        <v>0</v>
      </c>
      <c r="Q4639">
        <v>0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0</v>
      </c>
      <c r="AC4639">
        <v>0</v>
      </c>
      <c r="AD4639">
        <v>0</v>
      </c>
      <c r="AE4639">
        <v>0</v>
      </c>
      <c r="AF4639">
        <v>0</v>
      </c>
      <c r="AG4639">
        <v>0</v>
      </c>
      <c r="AH4639">
        <v>0</v>
      </c>
      <c r="AI4639">
        <v>100</v>
      </c>
      <c r="AJ4639">
        <v>1</v>
      </c>
      <c r="AK4639">
        <v>0</v>
      </c>
      <c r="AL4639">
        <v>0</v>
      </c>
      <c r="AM4639">
        <v>100</v>
      </c>
      <c r="AN4639">
        <v>0</v>
      </c>
      <c r="AO4639">
        <v>0</v>
      </c>
      <c r="AP4639">
        <v>0</v>
      </c>
      <c r="AQ4639">
        <v>0</v>
      </c>
      <c r="AS4639">
        <v>0</v>
      </c>
      <c r="AT4639">
        <v>0</v>
      </c>
      <c r="AV4639">
        <v>0</v>
      </c>
      <c r="AW4639">
        <v>0</v>
      </c>
      <c r="AY4639">
        <v>0</v>
      </c>
      <c r="AZ4639">
        <v>0</v>
      </c>
      <c r="BA4639">
        <v>60</v>
      </c>
      <c r="BE4639" t="str">
        <f>T("9791172822040")</f>
        <v>9791172822040</v>
      </c>
      <c r="BF4639" t="str">
        <f>T("D158668")</f>
        <v>D158668</v>
      </c>
      <c r="BG4639" t="str">
        <f>T("로판 웹소설 &gt; 서양풍 로판")</f>
        <v>로판 웹소설 &gt; 서양풍 로판</v>
      </c>
    </row>
    <row r="4640" spans="1:59">
      <c r="A4640" t="s">
        <v>60</v>
      </c>
      <c r="B4640" s="1">
        <v>46131</v>
      </c>
      <c r="C4640">
        <v>2378078499</v>
      </c>
      <c r="D4640">
        <v>2378078500</v>
      </c>
      <c r="E4640" t="str">
        <f>T("용사들은 성녀의 축복을 받아야 한다 2화")</f>
        <v>용사들은 성녀의 축복을 받아야 한다 2화</v>
      </c>
      <c r="F4640">
        <v>2</v>
      </c>
      <c r="G4640" t="str">
        <f>T("필밤")</f>
        <v>필밤</v>
      </c>
      <c r="J4640" t="str">
        <f>T("시계토끼")</f>
        <v>시계토끼</v>
      </c>
      <c r="K4640" t="str">
        <f>T("용사들은 성녀의 축복을 받아야 한다")</f>
        <v>용사들은 성녀의 축복을 받아야 한다</v>
      </c>
      <c r="L4640">
        <v>0</v>
      </c>
      <c r="M4640">
        <v>0</v>
      </c>
      <c r="N4640">
        <v>0</v>
      </c>
      <c r="O4640">
        <v>9</v>
      </c>
      <c r="P4640">
        <v>0</v>
      </c>
      <c r="Q4640">
        <v>0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0</v>
      </c>
      <c r="AC4640">
        <v>0</v>
      </c>
      <c r="AD4640">
        <v>0</v>
      </c>
      <c r="AE4640">
        <v>0</v>
      </c>
      <c r="AF4640">
        <v>0</v>
      </c>
      <c r="AG4640">
        <v>0</v>
      </c>
      <c r="AH4640">
        <v>0</v>
      </c>
      <c r="AI4640">
        <v>0</v>
      </c>
      <c r="AJ4640">
        <v>9</v>
      </c>
      <c r="AK4640">
        <v>0</v>
      </c>
      <c r="AL4640">
        <v>0</v>
      </c>
      <c r="AM4640">
        <v>0</v>
      </c>
      <c r="AN4640">
        <v>0</v>
      </c>
      <c r="AO4640">
        <v>0</v>
      </c>
      <c r="AP4640">
        <v>0</v>
      </c>
      <c r="AQ4640">
        <v>0</v>
      </c>
      <c r="AS4640">
        <v>0</v>
      </c>
      <c r="AT4640">
        <v>0</v>
      </c>
      <c r="AV4640">
        <v>0</v>
      </c>
      <c r="AW4640">
        <v>0</v>
      </c>
      <c r="AY4640">
        <v>0</v>
      </c>
      <c r="AZ4640">
        <v>0</v>
      </c>
      <c r="BA4640">
        <v>0</v>
      </c>
      <c r="BE4640" t="str">
        <f>T("9791172822040")</f>
        <v>9791172822040</v>
      </c>
      <c r="BF4640" t="str">
        <f>T("D158626")</f>
        <v>D158626</v>
      </c>
      <c r="BG4640" t="str">
        <f>T("로판 웹소설 &gt; 서양풍 로판")</f>
        <v>로판 웹소설 &gt; 서양풍 로판</v>
      </c>
    </row>
    <row r="4641" spans="1:59">
      <c r="A4641" t="s">
        <v>60</v>
      </c>
      <c r="B4641" s="1">
        <v>46131</v>
      </c>
      <c r="C4641">
        <v>2378078499</v>
      </c>
      <c r="D4641">
        <v>2378078501</v>
      </c>
      <c r="E4641" t="str">
        <f>T("용사들은 성녀의 축복을 받아야 한다 3화")</f>
        <v>용사들은 성녀의 축복을 받아야 한다 3화</v>
      </c>
      <c r="F4641">
        <v>3</v>
      </c>
      <c r="G4641" t="str">
        <f>T("필밤")</f>
        <v>필밤</v>
      </c>
      <c r="J4641" t="str">
        <f>T("시계토끼")</f>
        <v>시계토끼</v>
      </c>
      <c r="K4641" t="str">
        <f>T("용사들은 성녀의 축복을 받아야 한다")</f>
        <v>용사들은 성녀의 축복을 받아야 한다</v>
      </c>
      <c r="L4641">
        <v>0</v>
      </c>
      <c r="M4641">
        <v>0</v>
      </c>
      <c r="N4641">
        <v>0</v>
      </c>
      <c r="O4641">
        <v>7</v>
      </c>
      <c r="P4641">
        <v>0</v>
      </c>
      <c r="Q4641">
        <v>0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0</v>
      </c>
      <c r="AC4641">
        <v>0</v>
      </c>
      <c r="AD4641">
        <v>0</v>
      </c>
      <c r="AE4641">
        <v>0</v>
      </c>
      <c r="AF4641">
        <v>0</v>
      </c>
      <c r="AG4641">
        <v>0</v>
      </c>
      <c r="AH4641">
        <v>0</v>
      </c>
      <c r="AI4641">
        <v>0</v>
      </c>
      <c r="AJ4641">
        <v>7</v>
      </c>
      <c r="AK4641">
        <v>0</v>
      </c>
      <c r="AL4641">
        <v>0</v>
      </c>
      <c r="AM4641">
        <v>0</v>
      </c>
      <c r="AN4641">
        <v>0</v>
      </c>
      <c r="AO4641">
        <v>0</v>
      </c>
      <c r="AP4641">
        <v>0</v>
      </c>
      <c r="AQ4641">
        <v>0</v>
      </c>
      <c r="AS4641">
        <v>0</v>
      </c>
      <c r="AT4641">
        <v>0</v>
      </c>
      <c r="AV4641">
        <v>0</v>
      </c>
      <c r="AW4641">
        <v>0</v>
      </c>
      <c r="AY4641">
        <v>0</v>
      </c>
      <c r="AZ4641">
        <v>0</v>
      </c>
      <c r="BA4641">
        <v>0</v>
      </c>
      <c r="BE4641" t="str">
        <f>T("9791172822040")</f>
        <v>9791172822040</v>
      </c>
      <c r="BF4641" t="str">
        <f>T("D158627")</f>
        <v>D158627</v>
      </c>
      <c r="BG4641" t="str">
        <f>T("로판 웹소설 &gt; 서양풍 로판")</f>
        <v>로판 웹소설 &gt; 서양풍 로판</v>
      </c>
    </row>
    <row r="4642" spans="1:59">
      <c r="A4642" t="s">
        <v>60</v>
      </c>
      <c r="B4642" s="1">
        <v>46131</v>
      </c>
      <c r="C4642">
        <v>2378078499</v>
      </c>
      <c r="D4642">
        <v>2378078502</v>
      </c>
      <c r="E4642" t="str">
        <f>T("용사들은 성녀의 축복을 받아야 한다 4화")</f>
        <v>용사들은 성녀의 축복을 받아야 한다 4화</v>
      </c>
      <c r="F4642">
        <v>4</v>
      </c>
      <c r="G4642" t="str">
        <f>T("필밤")</f>
        <v>필밤</v>
      </c>
      <c r="J4642" t="str">
        <f>T("시계토끼")</f>
        <v>시계토끼</v>
      </c>
      <c r="K4642" t="str">
        <f>T("용사들은 성녀의 축복을 받아야 한다")</f>
        <v>용사들은 성녀의 축복을 받아야 한다</v>
      </c>
      <c r="L4642">
        <v>0</v>
      </c>
      <c r="M4642">
        <v>0</v>
      </c>
      <c r="N4642">
        <v>0</v>
      </c>
      <c r="O4642">
        <v>6</v>
      </c>
      <c r="P4642">
        <v>0</v>
      </c>
      <c r="Q4642">
        <v>0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0</v>
      </c>
      <c r="AC4642">
        <v>0</v>
      </c>
      <c r="AD4642">
        <v>0</v>
      </c>
      <c r="AE4642">
        <v>0</v>
      </c>
      <c r="AF4642">
        <v>0</v>
      </c>
      <c r="AG4642">
        <v>0</v>
      </c>
      <c r="AH4642">
        <v>0</v>
      </c>
      <c r="AI4642">
        <v>0</v>
      </c>
      <c r="AJ4642">
        <v>6</v>
      </c>
      <c r="AK4642">
        <v>0</v>
      </c>
      <c r="AL4642">
        <v>0</v>
      </c>
      <c r="AM4642">
        <v>0</v>
      </c>
      <c r="AN4642">
        <v>0</v>
      </c>
      <c r="AO4642">
        <v>0</v>
      </c>
      <c r="AP4642">
        <v>0</v>
      </c>
      <c r="AQ4642">
        <v>0</v>
      </c>
      <c r="AS4642">
        <v>0</v>
      </c>
      <c r="AT4642">
        <v>0</v>
      </c>
      <c r="AV4642">
        <v>0</v>
      </c>
      <c r="AW4642">
        <v>0</v>
      </c>
      <c r="AY4642">
        <v>0</v>
      </c>
      <c r="AZ4642">
        <v>0</v>
      </c>
      <c r="BA4642">
        <v>0</v>
      </c>
      <c r="BE4642" t="str">
        <f>T("9791172822040")</f>
        <v>9791172822040</v>
      </c>
      <c r="BF4642" t="str">
        <f>T("D158628")</f>
        <v>D158628</v>
      </c>
      <c r="BG4642" t="str">
        <f>T("로판 웹소설 &gt; 서양풍 로판")</f>
        <v>로판 웹소설 &gt; 서양풍 로판</v>
      </c>
    </row>
    <row r="4643" spans="1:59">
      <c r="A4643" t="s">
        <v>60</v>
      </c>
      <c r="B4643" s="1">
        <v>46131</v>
      </c>
      <c r="C4643">
        <v>2378078499</v>
      </c>
      <c r="D4643">
        <v>2378078503</v>
      </c>
      <c r="E4643" t="str">
        <f>T("용사들은 성녀의 축복을 받아야 한다 5화")</f>
        <v>용사들은 성녀의 축복을 받아야 한다 5화</v>
      </c>
      <c r="F4643">
        <v>5</v>
      </c>
      <c r="G4643" t="str">
        <f>T("필밤")</f>
        <v>필밤</v>
      </c>
      <c r="J4643" t="str">
        <f>T("시계토끼")</f>
        <v>시계토끼</v>
      </c>
      <c r="K4643" t="str">
        <f>T("용사들은 성녀의 축복을 받아야 한다")</f>
        <v>용사들은 성녀의 축복을 받아야 한다</v>
      </c>
      <c r="L4643">
        <v>0</v>
      </c>
      <c r="M4643">
        <v>0</v>
      </c>
      <c r="N4643">
        <v>0</v>
      </c>
      <c r="O4643">
        <v>5</v>
      </c>
      <c r="P4643">
        <v>0</v>
      </c>
      <c r="Q4643">
        <v>0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0</v>
      </c>
      <c r="AC4643">
        <v>0</v>
      </c>
      <c r="AD4643">
        <v>0</v>
      </c>
      <c r="AE4643">
        <v>0</v>
      </c>
      <c r="AF4643">
        <v>0</v>
      </c>
      <c r="AG4643">
        <v>0</v>
      </c>
      <c r="AH4643">
        <v>0</v>
      </c>
      <c r="AI4643">
        <v>0</v>
      </c>
      <c r="AJ4643">
        <v>5</v>
      </c>
      <c r="AK4643">
        <v>0</v>
      </c>
      <c r="AL4643">
        <v>0</v>
      </c>
      <c r="AM4643">
        <v>0</v>
      </c>
      <c r="AN4643">
        <v>0</v>
      </c>
      <c r="AO4643">
        <v>0</v>
      </c>
      <c r="AP4643">
        <v>0</v>
      </c>
      <c r="AQ4643">
        <v>0</v>
      </c>
      <c r="AS4643">
        <v>0</v>
      </c>
      <c r="AT4643">
        <v>0</v>
      </c>
      <c r="AV4643">
        <v>0</v>
      </c>
      <c r="AW4643">
        <v>0</v>
      </c>
      <c r="AY4643">
        <v>0</v>
      </c>
      <c r="AZ4643">
        <v>0</v>
      </c>
      <c r="BA4643">
        <v>0</v>
      </c>
      <c r="BE4643" t="str">
        <f>T("9791172822040")</f>
        <v>9791172822040</v>
      </c>
      <c r="BF4643" t="str">
        <f>T("D158629")</f>
        <v>D158629</v>
      </c>
      <c r="BG4643" t="str">
        <f>T("로판 웹소설 &gt; 서양풍 로판")</f>
        <v>로판 웹소설 &gt; 서양풍 로판</v>
      </c>
    </row>
    <row r="4644" spans="1:59">
      <c r="A4644" t="s">
        <v>60</v>
      </c>
      <c r="B4644" s="1">
        <v>46131</v>
      </c>
      <c r="C4644">
        <v>2378078499</v>
      </c>
      <c r="D4644">
        <v>2378078586</v>
      </c>
      <c r="E4644" t="str">
        <f>T("용사들은 성녀의 축복을 받아야 한다 88화")</f>
        <v>용사들은 성녀의 축복을 받아야 한다 88화</v>
      </c>
      <c r="F4644">
        <v>88</v>
      </c>
      <c r="G4644" t="str">
        <f>T("필밤")</f>
        <v>필밤</v>
      </c>
      <c r="J4644" t="str">
        <f>T("시계토끼")</f>
        <v>시계토끼</v>
      </c>
      <c r="K4644" t="str">
        <f>T("용사들은 성녀의 축복을 받아야 한다")</f>
        <v>용사들은 성녀의 축복을 받아야 한다</v>
      </c>
      <c r="L4644">
        <v>100</v>
      </c>
      <c r="M4644">
        <v>100</v>
      </c>
      <c r="N4644">
        <v>1</v>
      </c>
      <c r="O4644">
        <v>0</v>
      </c>
      <c r="P4644">
        <v>0</v>
      </c>
      <c r="Q4644">
        <v>0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0</v>
      </c>
      <c r="AC4644">
        <v>0</v>
      </c>
      <c r="AD4644">
        <v>0</v>
      </c>
      <c r="AE4644">
        <v>0</v>
      </c>
      <c r="AF4644">
        <v>0</v>
      </c>
      <c r="AG4644">
        <v>0</v>
      </c>
      <c r="AH4644">
        <v>0</v>
      </c>
      <c r="AI4644">
        <v>100</v>
      </c>
      <c r="AJ4644">
        <v>1</v>
      </c>
      <c r="AK4644">
        <v>0</v>
      </c>
      <c r="AL4644">
        <v>0</v>
      </c>
      <c r="AM4644">
        <v>100</v>
      </c>
      <c r="AN4644">
        <v>0</v>
      </c>
      <c r="AO4644">
        <v>0</v>
      </c>
      <c r="AP4644">
        <v>0</v>
      </c>
      <c r="AQ4644">
        <v>0</v>
      </c>
      <c r="AS4644">
        <v>0</v>
      </c>
      <c r="AT4644">
        <v>0</v>
      </c>
      <c r="AV4644">
        <v>0</v>
      </c>
      <c r="AW4644">
        <v>0</v>
      </c>
      <c r="AY4644">
        <v>0</v>
      </c>
      <c r="AZ4644">
        <v>0</v>
      </c>
      <c r="BA4644">
        <v>60</v>
      </c>
      <c r="BE4644" t="str">
        <f>T("9791172822040")</f>
        <v>9791172822040</v>
      </c>
      <c r="BF4644" t="str">
        <f>T("D158712")</f>
        <v>D158712</v>
      </c>
      <c r="BG4644" t="str">
        <f>T("로판 웹소설 &gt; 서양풍 로판")</f>
        <v>로판 웹소설 &gt; 서양풍 로판</v>
      </c>
    </row>
    <row r="4645" spans="1:59">
      <c r="A4645" t="s">
        <v>60</v>
      </c>
      <c r="B4645" s="1">
        <v>46131</v>
      </c>
      <c r="C4645">
        <v>2378078499</v>
      </c>
      <c r="D4645">
        <v>2378078587</v>
      </c>
      <c r="E4645" t="str">
        <f>T("용사들은 성녀의 축복을 받아야 한다 89화")</f>
        <v>용사들은 성녀의 축복을 받아야 한다 89화</v>
      </c>
      <c r="F4645">
        <v>89</v>
      </c>
      <c r="G4645" t="str">
        <f>T("필밤")</f>
        <v>필밤</v>
      </c>
      <c r="J4645" t="str">
        <f>T("시계토끼")</f>
        <v>시계토끼</v>
      </c>
      <c r="K4645" t="str">
        <f>T("용사들은 성녀의 축복을 받아야 한다")</f>
        <v>용사들은 성녀의 축복을 받아야 한다</v>
      </c>
      <c r="L4645">
        <v>100</v>
      </c>
      <c r="M4645">
        <v>100</v>
      </c>
      <c r="N4645">
        <v>1</v>
      </c>
      <c r="O4645">
        <v>0</v>
      </c>
      <c r="P4645">
        <v>0</v>
      </c>
      <c r="Q4645">
        <v>0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0</v>
      </c>
      <c r="AC4645">
        <v>0</v>
      </c>
      <c r="AD4645">
        <v>0</v>
      </c>
      <c r="AE4645">
        <v>0</v>
      </c>
      <c r="AF4645">
        <v>0</v>
      </c>
      <c r="AG4645">
        <v>0</v>
      </c>
      <c r="AH4645">
        <v>0</v>
      </c>
      <c r="AI4645">
        <v>100</v>
      </c>
      <c r="AJ4645">
        <v>1</v>
      </c>
      <c r="AK4645">
        <v>0</v>
      </c>
      <c r="AL4645">
        <v>0</v>
      </c>
      <c r="AM4645">
        <v>100</v>
      </c>
      <c r="AN4645">
        <v>0</v>
      </c>
      <c r="AO4645">
        <v>0</v>
      </c>
      <c r="AP4645">
        <v>0</v>
      </c>
      <c r="AQ4645">
        <v>0</v>
      </c>
      <c r="AS4645">
        <v>0</v>
      </c>
      <c r="AT4645">
        <v>0</v>
      </c>
      <c r="AV4645">
        <v>0</v>
      </c>
      <c r="AW4645">
        <v>0</v>
      </c>
      <c r="AY4645">
        <v>0</v>
      </c>
      <c r="AZ4645">
        <v>0</v>
      </c>
      <c r="BA4645">
        <v>60</v>
      </c>
      <c r="BE4645" t="str">
        <f>T("9791172822040")</f>
        <v>9791172822040</v>
      </c>
      <c r="BF4645" t="str">
        <f>T("D158713")</f>
        <v>D158713</v>
      </c>
      <c r="BG4645" t="str">
        <f>T("로판 웹소설 &gt; 서양풍 로판")</f>
        <v>로판 웹소설 &gt; 서양풍 로판</v>
      </c>
    </row>
    <row r="4646" spans="1:59">
      <c r="A4646" t="s">
        <v>60</v>
      </c>
      <c r="B4646" s="1">
        <v>46131</v>
      </c>
      <c r="C4646">
        <v>2378078499</v>
      </c>
      <c r="D4646">
        <v>2378078588</v>
      </c>
      <c r="E4646" t="str">
        <f>T("용사들은 성녀의 축복을 받아야 한다 90화")</f>
        <v>용사들은 성녀의 축복을 받아야 한다 90화</v>
      </c>
      <c r="F4646">
        <v>90</v>
      </c>
      <c r="G4646" t="str">
        <f>T("필밤")</f>
        <v>필밤</v>
      </c>
      <c r="J4646" t="str">
        <f>T("시계토끼")</f>
        <v>시계토끼</v>
      </c>
      <c r="K4646" t="str">
        <f>T("용사들은 성녀의 축복을 받아야 한다")</f>
        <v>용사들은 성녀의 축복을 받아야 한다</v>
      </c>
      <c r="L4646">
        <v>100</v>
      </c>
      <c r="M4646">
        <v>100</v>
      </c>
      <c r="N4646">
        <v>1</v>
      </c>
      <c r="O4646">
        <v>0</v>
      </c>
      <c r="P4646">
        <v>0</v>
      </c>
      <c r="Q4646">
        <v>0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0</v>
      </c>
      <c r="AC4646">
        <v>0</v>
      </c>
      <c r="AD4646">
        <v>0</v>
      </c>
      <c r="AE4646">
        <v>0</v>
      </c>
      <c r="AF4646">
        <v>0</v>
      </c>
      <c r="AG4646">
        <v>0</v>
      </c>
      <c r="AH4646">
        <v>0</v>
      </c>
      <c r="AI4646">
        <v>100</v>
      </c>
      <c r="AJ4646">
        <v>1</v>
      </c>
      <c r="AK4646">
        <v>0</v>
      </c>
      <c r="AL4646">
        <v>0</v>
      </c>
      <c r="AM4646">
        <v>100</v>
      </c>
      <c r="AN4646">
        <v>0</v>
      </c>
      <c r="AO4646">
        <v>0</v>
      </c>
      <c r="AP4646">
        <v>0</v>
      </c>
      <c r="AQ4646">
        <v>0</v>
      </c>
      <c r="AS4646">
        <v>0</v>
      </c>
      <c r="AT4646">
        <v>0</v>
      </c>
      <c r="AV4646">
        <v>0</v>
      </c>
      <c r="AW4646">
        <v>0</v>
      </c>
      <c r="AY4646">
        <v>0</v>
      </c>
      <c r="AZ4646">
        <v>0</v>
      </c>
      <c r="BA4646">
        <v>60</v>
      </c>
      <c r="BE4646" t="str">
        <f>T("9791172822040")</f>
        <v>9791172822040</v>
      </c>
      <c r="BF4646" t="str">
        <f>T("D158714")</f>
        <v>D158714</v>
      </c>
      <c r="BG4646" t="str">
        <f>T("로판 웹소설 &gt; 서양풍 로판")</f>
        <v>로판 웹소설 &gt; 서양풍 로판</v>
      </c>
    </row>
    <row r="4647" spans="1:59">
      <c r="A4647" t="s">
        <v>60</v>
      </c>
      <c r="B4647" s="1">
        <v>46131</v>
      </c>
      <c r="C4647">
        <v>2378078499</v>
      </c>
      <c r="D4647">
        <v>2378078566</v>
      </c>
      <c r="E4647" t="str">
        <f>T("용사들은 성녀의 축복을 받아야 한다 68화")</f>
        <v>용사들은 성녀의 축복을 받아야 한다 68화</v>
      </c>
      <c r="F4647">
        <v>68</v>
      </c>
      <c r="G4647" t="str">
        <f>T("필밤")</f>
        <v>필밤</v>
      </c>
      <c r="J4647" t="str">
        <f>T("시계토끼")</f>
        <v>시계토끼</v>
      </c>
      <c r="K4647" t="str">
        <f>T("용사들은 성녀의 축복을 받아야 한다")</f>
        <v>용사들은 성녀의 축복을 받아야 한다</v>
      </c>
      <c r="L4647">
        <v>100</v>
      </c>
      <c r="M4647">
        <v>0</v>
      </c>
      <c r="N4647">
        <v>0</v>
      </c>
      <c r="O4647">
        <v>0</v>
      </c>
      <c r="P4647">
        <v>0</v>
      </c>
      <c r="Q4647">
        <v>0</v>
      </c>
      <c r="R4647">
        <v>1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0</v>
      </c>
      <c r="AC4647">
        <v>0</v>
      </c>
      <c r="AD4647">
        <v>0</v>
      </c>
      <c r="AE4647">
        <v>0</v>
      </c>
      <c r="AF4647">
        <v>0</v>
      </c>
      <c r="AG4647">
        <v>0</v>
      </c>
      <c r="AH4647">
        <v>0</v>
      </c>
      <c r="AI4647">
        <v>0</v>
      </c>
      <c r="AJ4647">
        <v>1</v>
      </c>
      <c r="AK4647">
        <v>0</v>
      </c>
      <c r="AL4647">
        <v>0</v>
      </c>
      <c r="AM4647">
        <v>0</v>
      </c>
      <c r="AN4647">
        <v>0</v>
      </c>
      <c r="AO4647">
        <v>0</v>
      </c>
      <c r="AP4647">
        <v>0</v>
      </c>
      <c r="AQ4647">
        <v>0</v>
      </c>
      <c r="AS4647">
        <v>0</v>
      </c>
      <c r="AT4647">
        <v>0</v>
      </c>
      <c r="AV4647">
        <v>0</v>
      </c>
      <c r="AW4647">
        <v>0</v>
      </c>
      <c r="AY4647">
        <v>0</v>
      </c>
      <c r="AZ4647">
        <v>0</v>
      </c>
      <c r="BA4647">
        <v>0</v>
      </c>
      <c r="BE4647" t="str">
        <f>T("9791172822040")</f>
        <v>9791172822040</v>
      </c>
      <c r="BF4647" t="str">
        <f>T("D158692")</f>
        <v>D158692</v>
      </c>
      <c r="BG4647" t="str">
        <f>T("로판 웹소설 &gt; 서양풍 로판")</f>
        <v>로판 웹소설 &gt; 서양풍 로판</v>
      </c>
    </row>
    <row r="4648" spans="1:59">
      <c r="A4648" t="s">
        <v>60</v>
      </c>
      <c r="B4648" s="1">
        <v>46131</v>
      </c>
      <c r="C4648">
        <v>2378078499</v>
      </c>
      <c r="D4648">
        <v>2378078559</v>
      </c>
      <c r="E4648" t="str">
        <f>T("용사들은 성녀의 축복을 받아야 한다 61화")</f>
        <v>용사들은 성녀의 축복을 받아야 한다 61화</v>
      </c>
      <c r="F4648">
        <v>61</v>
      </c>
      <c r="G4648" t="str">
        <f>T("필밤")</f>
        <v>필밤</v>
      </c>
      <c r="J4648" t="str">
        <f>T("시계토끼")</f>
        <v>시계토끼</v>
      </c>
      <c r="K4648" t="str">
        <f>T("용사들은 성녀의 축복을 받아야 한다")</f>
        <v>용사들은 성녀의 축복을 받아야 한다</v>
      </c>
      <c r="L4648">
        <v>100</v>
      </c>
      <c r="M4648">
        <v>0</v>
      </c>
      <c r="N4648">
        <v>0</v>
      </c>
      <c r="O4648">
        <v>0</v>
      </c>
      <c r="P4648">
        <v>0</v>
      </c>
      <c r="Q4648">
        <v>0</v>
      </c>
      <c r="R4648">
        <v>1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0</v>
      </c>
      <c r="AC4648">
        <v>0</v>
      </c>
      <c r="AD4648">
        <v>0</v>
      </c>
      <c r="AE4648">
        <v>0</v>
      </c>
      <c r="AF4648">
        <v>0</v>
      </c>
      <c r="AG4648">
        <v>0</v>
      </c>
      <c r="AH4648">
        <v>0</v>
      </c>
      <c r="AI4648">
        <v>0</v>
      </c>
      <c r="AJ4648">
        <v>1</v>
      </c>
      <c r="AK4648">
        <v>0</v>
      </c>
      <c r="AL4648">
        <v>0</v>
      </c>
      <c r="AM4648">
        <v>0</v>
      </c>
      <c r="AN4648">
        <v>0</v>
      </c>
      <c r="AO4648">
        <v>0</v>
      </c>
      <c r="AP4648">
        <v>0</v>
      </c>
      <c r="AQ4648">
        <v>0</v>
      </c>
      <c r="AS4648">
        <v>0</v>
      </c>
      <c r="AT4648">
        <v>0</v>
      </c>
      <c r="AV4648">
        <v>0</v>
      </c>
      <c r="AW4648">
        <v>0</v>
      </c>
      <c r="AY4648">
        <v>0</v>
      </c>
      <c r="AZ4648">
        <v>0</v>
      </c>
      <c r="BA4648">
        <v>0</v>
      </c>
      <c r="BE4648" t="str">
        <f>T("9791172822040")</f>
        <v>9791172822040</v>
      </c>
      <c r="BF4648" t="str">
        <f>T("D158685")</f>
        <v>D158685</v>
      </c>
      <c r="BG4648" t="str">
        <f>T("로판 웹소설 &gt; 서양풍 로판")</f>
        <v>로판 웹소설 &gt; 서양풍 로판</v>
      </c>
    </row>
    <row r="4649" spans="1:59">
      <c r="A4649" t="s">
        <v>60</v>
      </c>
      <c r="B4649" s="1">
        <v>46131</v>
      </c>
      <c r="C4649">
        <v>2378078499</v>
      </c>
      <c r="D4649">
        <v>2378078558</v>
      </c>
      <c r="E4649" t="str">
        <f>T("용사들은 성녀의 축복을 받아야 한다 60화")</f>
        <v>용사들은 성녀의 축복을 받아야 한다 60화</v>
      </c>
      <c r="F4649">
        <v>60</v>
      </c>
      <c r="G4649" t="str">
        <f>T("필밤")</f>
        <v>필밤</v>
      </c>
      <c r="J4649" t="str">
        <f>T("시계토끼")</f>
        <v>시계토끼</v>
      </c>
      <c r="K4649" t="str">
        <f>T("용사들은 성녀의 축복을 받아야 한다")</f>
        <v>용사들은 성녀의 축복을 받아야 한다</v>
      </c>
      <c r="L4649">
        <v>100</v>
      </c>
      <c r="M4649">
        <v>0</v>
      </c>
      <c r="N4649">
        <v>0</v>
      </c>
      <c r="O4649">
        <v>0</v>
      </c>
      <c r="P4649">
        <v>0</v>
      </c>
      <c r="Q4649">
        <v>0</v>
      </c>
      <c r="R4649">
        <v>1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0</v>
      </c>
      <c r="AC4649">
        <v>0</v>
      </c>
      <c r="AD4649">
        <v>0</v>
      </c>
      <c r="AE4649">
        <v>0</v>
      </c>
      <c r="AF4649">
        <v>0</v>
      </c>
      <c r="AG4649">
        <v>0</v>
      </c>
      <c r="AH4649">
        <v>0</v>
      </c>
      <c r="AI4649">
        <v>0</v>
      </c>
      <c r="AJ4649">
        <v>1</v>
      </c>
      <c r="AK4649">
        <v>0</v>
      </c>
      <c r="AL4649">
        <v>0</v>
      </c>
      <c r="AM4649">
        <v>0</v>
      </c>
      <c r="AN4649">
        <v>0</v>
      </c>
      <c r="AO4649">
        <v>0</v>
      </c>
      <c r="AP4649">
        <v>0</v>
      </c>
      <c r="AQ4649">
        <v>0</v>
      </c>
      <c r="AS4649">
        <v>0</v>
      </c>
      <c r="AT4649">
        <v>0</v>
      </c>
      <c r="AV4649">
        <v>0</v>
      </c>
      <c r="AW4649">
        <v>0</v>
      </c>
      <c r="AY4649">
        <v>0</v>
      </c>
      <c r="AZ4649">
        <v>0</v>
      </c>
      <c r="BA4649">
        <v>0</v>
      </c>
      <c r="BE4649" t="str">
        <f>T("9791172822040")</f>
        <v>9791172822040</v>
      </c>
      <c r="BF4649" t="str">
        <f>T("D158684")</f>
        <v>D158684</v>
      </c>
      <c r="BG4649" t="str">
        <f>T("로판 웹소설 &gt; 서양풍 로판")</f>
        <v>로판 웹소설 &gt; 서양풍 로판</v>
      </c>
    </row>
    <row r="4650" spans="1:59">
      <c r="A4650" t="s">
        <v>60</v>
      </c>
      <c r="B4650" s="1">
        <v>46131</v>
      </c>
      <c r="C4650">
        <v>2378078499</v>
      </c>
      <c r="D4650">
        <v>2378081059</v>
      </c>
      <c r="E4650" t="str">
        <f>T("용사들은 성녀의 축복을 받아야 한다 외전 4화")</f>
        <v>용사들은 성녀의 축복을 받아야 한다 외전 4화</v>
      </c>
      <c r="F4650">
        <v>134</v>
      </c>
      <c r="G4650" t="str">
        <f>T("필밤")</f>
        <v>필밤</v>
      </c>
      <c r="J4650" t="str">
        <f>T("시계토끼")</f>
        <v>시계토끼</v>
      </c>
      <c r="K4650" t="str">
        <f>T("용사들은 성녀의 축복을 받아야 한다")</f>
        <v>용사들은 성녀의 축복을 받아야 한다</v>
      </c>
      <c r="L4650">
        <v>100</v>
      </c>
      <c r="M4650">
        <v>100</v>
      </c>
      <c r="N4650">
        <v>1</v>
      </c>
      <c r="O4650">
        <v>0</v>
      </c>
      <c r="P4650">
        <v>0</v>
      </c>
      <c r="Q4650">
        <v>0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0</v>
      </c>
      <c r="AC4650">
        <v>0</v>
      </c>
      <c r="AD4650">
        <v>0</v>
      </c>
      <c r="AE4650">
        <v>0</v>
      </c>
      <c r="AF4650">
        <v>0</v>
      </c>
      <c r="AG4650">
        <v>0</v>
      </c>
      <c r="AH4650">
        <v>0</v>
      </c>
      <c r="AI4650">
        <v>100</v>
      </c>
      <c r="AJ4650">
        <v>1</v>
      </c>
      <c r="AK4650">
        <v>0</v>
      </c>
      <c r="AL4650">
        <v>0</v>
      </c>
      <c r="AM4650">
        <v>100</v>
      </c>
      <c r="AN4650">
        <v>0</v>
      </c>
      <c r="AO4650">
        <v>0</v>
      </c>
      <c r="AP4650">
        <v>0</v>
      </c>
      <c r="AQ4650">
        <v>0</v>
      </c>
      <c r="AS4650">
        <v>0</v>
      </c>
      <c r="AT4650">
        <v>0</v>
      </c>
      <c r="AV4650">
        <v>0</v>
      </c>
      <c r="AW4650">
        <v>0</v>
      </c>
      <c r="AY4650">
        <v>0</v>
      </c>
      <c r="AZ4650">
        <v>0</v>
      </c>
      <c r="BA4650">
        <v>60</v>
      </c>
      <c r="BE4650" t="str">
        <f>T("9791172822040")</f>
        <v>9791172822040</v>
      </c>
      <c r="BF4650" t="str">
        <f>T("D183633")</f>
        <v>D183633</v>
      </c>
      <c r="BG4650" t="str">
        <f>T("로판 웹소설 &gt; 서양풍 로판")</f>
        <v>로판 웹소설 &gt; 서양풍 로판</v>
      </c>
    </row>
    <row r="4651" spans="1:59">
      <c r="A4651" t="s">
        <v>60</v>
      </c>
      <c r="B4651" s="1">
        <v>46131</v>
      </c>
      <c r="C4651">
        <v>2378078499</v>
      </c>
      <c r="D4651">
        <v>2378081060</v>
      </c>
      <c r="E4651" t="str">
        <f>T("용사들은 성녀의 축복을 받아야 한다 외전 5화")</f>
        <v>용사들은 성녀의 축복을 받아야 한다 외전 5화</v>
      </c>
      <c r="F4651">
        <v>135</v>
      </c>
      <c r="G4651" t="str">
        <f>T("필밤")</f>
        <v>필밤</v>
      </c>
      <c r="J4651" t="str">
        <f>T("시계토끼")</f>
        <v>시계토끼</v>
      </c>
      <c r="K4651" t="str">
        <f>T("용사들은 성녀의 축복을 받아야 한다")</f>
        <v>용사들은 성녀의 축복을 받아야 한다</v>
      </c>
      <c r="L4651">
        <v>100</v>
      </c>
      <c r="M4651">
        <v>100</v>
      </c>
      <c r="N4651">
        <v>1</v>
      </c>
      <c r="O4651">
        <v>0</v>
      </c>
      <c r="P4651">
        <v>0</v>
      </c>
      <c r="Q4651">
        <v>0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0</v>
      </c>
      <c r="AC4651">
        <v>0</v>
      </c>
      <c r="AD4651">
        <v>0</v>
      </c>
      <c r="AE4651">
        <v>0</v>
      </c>
      <c r="AF4651">
        <v>0</v>
      </c>
      <c r="AG4651">
        <v>0</v>
      </c>
      <c r="AH4651">
        <v>0</v>
      </c>
      <c r="AI4651">
        <v>100</v>
      </c>
      <c r="AJ4651">
        <v>1</v>
      </c>
      <c r="AK4651">
        <v>0</v>
      </c>
      <c r="AL4651">
        <v>0</v>
      </c>
      <c r="AM4651">
        <v>100</v>
      </c>
      <c r="AN4651">
        <v>0</v>
      </c>
      <c r="AO4651">
        <v>0</v>
      </c>
      <c r="AP4651">
        <v>0</v>
      </c>
      <c r="AQ4651">
        <v>0</v>
      </c>
      <c r="AS4651">
        <v>0</v>
      </c>
      <c r="AT4651">
        <v>0</v>
      </c>
      <c r="AV4651">
        <v>0</v>
      </c>
      <c r="AW4651">
        <v>0</v>
      </c>
      <c r="AY4651">
        <v>0</v>
      </c>
      <c r="AZ4651">
        <v>0</v>
      </c>
      <c r="BA4651">
        <v>60</v>
      </c>
      <c r="BE4651" t="str">
        <f>T("9791172822040")</f>
        <v>9791172822040</v>
      </c>
      <c r="BF4651" t="str">
        <f>T("D183634")</f>
        <v>D183634</v>
      </c>
      <c r="BG4651" t="str">
        <f>T("로판 웹소설 &gt; 서양풍 로판")</f>
        <v>로판 웹소설 &gt; 서양풍 로판</v>
      </c>
    </row>
    <row r="4652" spans="1:59">
      <c r="A4652" t="s">
        <v>60</v>
      </c>
      <c r="B4652" s="1">
        <v>46131</v>
      </c>
      <c r="C4652">
        <v>2378078499</v>
      </c>
      <c r="D4652">
        <v>2378081061</v>
      </c>
      <c r="E4652" t="str">
        <f>T("용사들은 성녀의 축복을 받아야 한다 외전 6화")</f>
        <v>용사들은 성녀의 축복을 받아야 한다 외전 6화</v>
      </c>
      <c r="F4652">
        <v>136</v>
      </c>
      <c r="G4652" t="str">
        <f>T("필밤")</f>
        <v>필밤</v>
      </c>
      <c r="J4652" t="str">
        <f>T("시계토끼")</f>
        <v>시계토끼</v>
      </c>
      <c r="K4652" t="str">
        <f>T("용사들은 성녀의 축복을 받아야 한다")</f>
        <v>용사들은 성녀의 축복을 받아야 한다</v>
      </c>
      <c r="L4652">
        <v>100</v>
      </c>
      <c r="M4652">
        <v>100</v>
      </c>
      <c r="N4652">
        <v>1</v>
      </c>
      <c r="O4652">
        <v>0</v>
      </c>
      <c r="P4652">
        <v>0</v>
      </c>
      <c r="Q4652">
        <v>0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0</v>
      </c>
      <c r="AC4652">
        <v>0</v>
      </c>
      <c r="AD4652">
        <v>0</v>
      </c>
      <c r="AE4652">
        <v>0</v>
      </c>
      <c r="AF4652">
        <v>0</v>
      </c>
      <c r="AG4652">
        <v>0</v>
      </c>
      <c r="AH4652">
        <v>0</v>
      </c>
      <c r="AI4652">
        <v>100</v>
      </c>
      <c r="AJ4652">
        <v>1</v>
      </c>
      <c r="AK4652">
        <v>0</v>
      </c>
      <c r="AL4652">
        <v>0</v>
      </c>
      <c r="AM4652">
        <v>100</v>
      </c>
      <c r="AN4652">
        <v>0</v>
      </c>
      <c r="AO4652">
        <v>0</v>
      </c>
      <c r="AP4652">
        <v>0</v>
      </c>
      <c r="AQ4652">
        <v>0</v>
      </c>
      <c r="AS4652">
        <v>0</v>
      </c>
      <c r="AT4652">
        <v>0</v>
      </c>
      <c r="AV4652">
        <v>0</v>
      </c>
      <c r="AW4652">
        <v>0</v>
      </c>
      <c r="AY4652">
        <v>0</v>
      </c>
      <c r="AZ4652">
        <v>0</v>
      </c>
      <c r="BA4652">
        <v>60</v>
      </c>
      <c r="BE4652" t="str">
        <f>T("9791172822040")</f>
        <v>9791172822040</v>
      </c>
      <c r="BF4652" t="str">
        <f>T("D183635")</f>
        <v>D183635</v>
      </c>
      <c r="BG4652" t="str">
        <f>T("로판 웹소설 &gt; 서양풍 로판")</f>
        <v>로판 웹소설 &gt; 서양풍 로판</v>
      </c>
    </row>
    <row r="4653" spans="1:59">
      <c r="A4653" t="s">
        <v>60</v>
      </c>
      <c r="B4653" s="1">
        <v>46131</v>
      </c>
      <c r="C4653">
        <v>2378078499</v>
      </c>
      <c r="D4653">
        <v>2378081062</v>
      </c>
      <c r="E4653" t="str">
        <f>T("용사들은 성녀의 축복을 받아야 한다 외전 7화")</f>
        <v>용사들은 성녀의 축복을 받아야 한다 외전 7화</v>
      </c>
      <c r="F4653">
        <v>137</v>
      </c>
      <c r="G4653" t="str">
        <f>T("필밤")</f>
        <v>필밤</v>
      </c>
      <c r="J4653" t="str">
        <f>T("시계토끼")</f>
        <v>시계토끼</v>
      </c>
      <c r="K4653" t="str">
        <f>T("용사들은 성녀의 축복을 받아야 한다")</f>
        <v>용사들은 성녀의 축복을 받아야 한다</v>
      </c>
      <c r="L4653">
        <v>100</v>
      </c>
      <c r="M4653">
        <v>100</v>
      </c>
      <c r="N4653">
        <v>1</v>
      </c>
      <c r="O4653">
        <v>0</v>
      </c>
      <c r="P4653">
        <v>0</v>
      </c>
      <c r="Q4653">
        <v>0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0</v>
      </c>
      <c r="AC4653">
        <v>0</v>
      </c>
      <c r="AD4653">
        <v>0</v>
      </c>
      <c r="AE4653">
        <v>0</v>
      </c>
      <c r="AF4653">
        <v>0</v>
      </c>
      <c r="AG4653">
        <v>0</v>
      </c>
      <c r="AH4653">
        <v>0</v>
      </c>
      <c r="AI4653">
        <v>100</v>
      </c>
      <c r="AJ4653">
        <v>1</v>
      </c>
      <c r="AK4653">
        <v>0</v>
      </c>
      <c r="AL4653">
        <v>0</v>
      </c>
      <c r="AM4653">
        <v>100</v>
      </c>
      <c r="AN4653">
        <v>0</v>
      </c>
      <c r="AO4653">
        <v>0</v>
      </c>
      <c r="AP4653">
        <v>0</v>
      </c>
      <c r="AQ4653">
        <v>0</v>
      </c>
      <c r="AS4653">
        <v>0</v>
      </c>
      <c r="AT4653">
        <v>0</v>
      </c>
      <c r="AV4653">
        <v>0</v>
      </c>
      <c r="AW4653">
        <v>0</v>
      </c>
      <c r="AY4653">
        <v>0</v>
      </c>
      <c r="AZ4653">
        <v>0</v>
      </c>
      <c r="BA4653">
        <v>60</v>
      </c>
      <c r="BE4653" t="str">
        <f>T("9791172822040")</f>
        <v>9791172822040</v>
      </c>
      <c r="BF4653" t="str">
        <f>T("D183636")</f>
        <v>D183636</v>
      </c>
      <c r="BG4653" t="str">
        <f>T("로판 웹소설 &gt; 서양풍 로판")</f>
        <v>로판 웹소설 &gt; 서양풍 로판</v>
      </c>
    </row>
    <row r="4654" spans="1:59">
      <c r="A4654" t="s">
        <v>60</v>
      </c>
      <c r="B4654" s="1">
        <v>46131</v>
      </c>
      <c r="C4654">
        <v>2378078499</v>
      </c>
      <c r="D4654">
        <v>2378081063</v>
      </c>
      <c r="E4654" t="str">
        <f>T("용사들은 성녀의 축복을 받아야 한다 외전 8화")</f>
        <v>용사들은 성녀의 축복을 받아야 한다 외전 8화</v>
      </c>
      <c r="F4654">
        <v>138</v>
      </c>
      <c r="G4654" t="str">
        <f>T("필밤")</f>
        <v>필밤</v>
      </c>
      <c r="J4654" t="str">
        <f>T("시계토끼")</f>
        <v>시계토끼</v>
      </c>
      <c r="K4654" t="str">
        <f>T("용사들은 성녀의 축복을 받아야 한다")</f>
        <v>용사들은 성녀의 축복을 받아야 한다</v>
      </c>
      <c r="L4654">
        <v>100</v>
      </c>
      <c r="M4654">
        <v>100</v>
      </c>
      <c r="N4654">
        <v>1</v>
      </c>
      <c r="O4654">
        <v>0</v>
      </c>
      <c r="P4654">
        <v>0</v>
      </c>
      <c r="Q4654">
        <v>0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0</v>
      </c>
      <c r="AC4654">
        <v>0</v>
      </c>
      <c r="AD4654">
        <v>0</v>
      </c>
      <c r="AE4654">
        <v>0</v>
      </c>
      <c r="AF4654">
        <v>0</v>
      </c>
      <c r="AG4654">
        <v>0</v>
      </c>
      <c r="AH4654">
        <v>0</v>
      </c>
      <c r="AI4654">
        <v>100</v>
      </c>
      <c r="AJ4654">
        <v>1</v>
      </c>
      <c r="AK4654">
        <v>0</v>
      </c>
      <c r="AL4654">
        <v>0</v>
      </c>
      <c r="AM4654">
        <v>100</v>
      </c>
      <c r="AN4654">
        <v>0</v>
      </c>
      <c r="AO4654">
        <v>0</v>
      </c>
      <c r="AP4654">
        <v>0</v>
      </c>
      <c r="AQ4654">
        <v>0</v>
      </c>
      <c r="AS4654">
        <v>0</v>
      </c>
      <c r="AT4654">
        <v>0</v>
      </c>
      <c r="AV4654">
        <v>0</v>
      </c>
      <c r="AW4654">
        <v>0</v>
      </c>
      <c r="AY4654">
        <v>0</v>
      </c>
      <c r="AZ4654">
        <v>0</v>
      </c>
      <c r="BA4654">
        <v>60</v>
      </c>
      <c r="BE4654" t="str">
        <f>T("9791172822040")</f>
        <v>9791172822040</v>
      </c>
      <c r="BF4654" t="str">
        <f>T("D183637")</f>
        <v>D183637</v>
      </c>
      <c r="BG4654" t="str">
        <f>T("로판 웹소설 &gt; 서양풍 로판")</f>
        <v>로판 웹소설 &gt; 서양풍 로판</v>
      </c>
    </row>
    <row r="4655" spans="1:59">
      <c r="A4655" t="s">
        <v>60</v>
      </c>
      <c r="B4655" s="1">
        <v>46131</v>
      </c>
      <c r="C4655">
        <v>2378078499</v>
      </c>
      <c r="D4655">
        <v>2378081064</v>
      </c>
      <c r="E4655" t="str">
        <f>T("용사들은 성녀의 축복을 받아야 한다 외전 9화")</f>
        <v>용사들은 성녀의 축복을 받아야 한다 외전 9화</v>
      </c>
      <c r="F4655">
        <v>139</v>
      </c>
      <c r="G4655" t="str">
        <f>T("필밤")</f>
        <v>필밤</v>
      </c>
      <c r="J4655" t="str">
        <f>T("시계토끼")</f>
        <v>시계토끼</v>
      </c>
      <c r="K4655" t="str">
        <f>T("용사들은 성녀의 축복을 받아야 한다")</f>
        <v>용사들은 성녀의 축복을 받아야 한다</v>
      </c>
      <c r="L4655">
        <v>100</v>
      </c>
      <c r="M4655">
        <v>100</v>
      </c>
      <c r="N4655">
        <v>1</v>
      </c>
      <c r="O4655">
        <v>0</v>
      </c>
      <c r="P4655">
        <v>0</v>
      </c>
      <c r="Q4655">
        <v>0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0</v>
      </c>
      <c r="AC4655">
        <v>0</v>
      </c>
      <c r="AD4655">
        <v>0</v>
      </c>
      <c r="AE4655">
        <v>0</v>
      </c>
      <c r="AF4655">
        <v>0</v>
      </c>
      <c r="AG4655">
        <v>0</v>
      </c>
      <c r="AH4655">
        <v>0</v>
      </c>
      <c r="AI4655">
        <v>100</v>
      </c>
      <c r="AJ4655">
        <v>1</v>
      </c>
      <c r="AK4655">
        <v>0</v>
      </c>
      <c r="AL4655">
        <v>0</v>
      </c>
      <c r="AM4655">
        <v>100</v>
      </c>
      <c r="AN4655">
        <v>0</v>
      </c>
      <c r="AO4655">
        <v>0</v>
      </c>
      <c r="AP4655">
        <v>0</v>
      </c>
      <c r="AQ4655">
        <v>0</v>
      </c>
      <c r="AS4655">
        <v>0</v>
      </c>
      <c r="AT4655">
        <v>0</v>
      </c>
      <c r="AV4655">
        <v>0</v>
      </c>
      <c r="AW4655">
        <v>0</v>
      </c>
      <c r="AY4655">
        <v>0</v>
      </c>
      <c r="AZ4655">
        <v>0</v>
      </c>
      <c r="BA4655">
        <v>60</v>
      </c>
      <c r="BE4655" t="str">
        <f>T("9791172822040")</f>
        <v>9791172822040</v>
      </c>
      <c r="BF4655" t="str">
        <f>T("D183638")</f>
        <v>D183638</v>
      </c>
      <c r="BG4655" t="str">
        <f>T("로판 웹소설 &gt; 서양풍 로판")</f>
        <v>로판 웹소설 &gt; 서양풍 로판</v>
      </c>
    </row>
    <row r="4656" spans="1:59">
      <c r="A4656" t="s">
        <v>60</v>
      </c>
      <c r="B4656" s="1">
        <v>46131</v>
      </c>
      <c r="C4656">
        <v>2378078499</v>
      </c>
      <c r="D4656">
        <v>2378081065</v>
      </c>
      <c r="E4656" t="str">
        <f>T("용사들은 성녀의 축복을 받아야 한다 외전 10화")</f>
        <v>용사들은 성녀의 축복을 받아야 한다 외전 10화</v>
      </c>
      <c r="F4656">
        <v>140</v>
      </c>
      <c r="G4656" t="str">
        <f>T("필밤")</f>
        <v>필밤</v>
      </c>
      <c r="J4656" t="str">
        <f>T("시계토끼")</f>
        <v>시계토끼</v>
      </c>
      <c r="K4656" t="str">
        <f>T("용사들은 성녀의 축복을 받아야 한다")</f>
        <v>용사들은 성녀의 축복을 받아야 한다</v>
      </c>
      <c r="L4656">
        <v>100</v>
      </c>
      <c r="M4656">
        <v>100</v>
      </c>
      <c r="N4656">
        <v>1</v>
      </c>
      <c r="O4656">
        <v>0</v>
      </c>
      <c r="P4656">
        <v>0</v>
      </c>
      <c r="Q4656">
        <v>0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0</v>
      </c>
      <c r="AC4656">
        <v>0</v>
      </c>
      <c r="AD4656">
        <v>0</v>
      </c>
      <c r="AE4656">
        <v>0</v>
      </c>
      <c r="AF4656">
        <v>0</v>
      </c>
      <c r="AG4656">
        <v>0</v>
      </c>
      <c r="AH4656">
        <v>0</v>
      </c>
      <c r="AI4656">
        <v>100</v>
      </c>
      <c r="AJ4656">
        <v>1</v>
      </c>
      <c r="AK4656">
        <v>0</v>
      </c>
      <c r="AL4656">
        <v>0</v>
      </c>
      <c r="AM4656">
        <v>100</v>
      </c>
      <c r="AN4656">
        <v>0</v>
      </c>
      <c r="AO4656">
        <v>0</v>
      </c>
      <c r="AP4656">
        <v>0</v>
      </c>
      <c r="AQ4656">
        <v>0</v>
      </c>
      <c r="AS4656">
        <v>0</v>
      </c>
      <c r="AT4656">
        <v>0</v>
      </c>
      <c r="AV4656">
        <v>0</v>
      </c>
      <c r="AW4656">
        <v>0</v>
      </c>
      <c r="AY4656">
        <v>0</v>
      </c>
      <c r="AZ4656">
        <v>0</v>
      </c>
      <c r="BA4656">
        <v>60</v>
      </c>
      <c r="BE4656" t="str">
        <f>T("9791172822040")</f>
        <v>9791172822040</v>
      </c>
      <c r="BF4656" t="str">
        <f>T("D183639")</f>
        <v>D183639</v>
      </c>
      <c r="BG4656" t="str">
        <f>T("로판 웹소설 &gt; 서양풍 로판")</f>
        <v>로판 웹소설 &gt; 서양풍 로판</v>
      </c>
    </row>
    <row r="4657" spans="1:59">
      <c r="A4657" t="s">
        <v>60</v>
      </c>
      <c r="B4657" s="1">
        <v>46131</v>
      </c>
      <c r="C4657">
        <v>2378078499</v>
      </c>
      <c r="D4657">
        <v>2378081066</v>
      </c>
      <c r="E4657" t="str">
        <f>T("용사들은 성녀의 축복을 받아야 한다 외전 11화")</f>
        <v>용사들은 성녀의 축복을 받아야 한다 외전 11화</v>
      </c>
      <c r="F4657">
        <v>141</v>
      </c>
      <c r="G4657" t="str">
        <f>T("필밤")</f>
        <v>필밤</v>
      </c>
      <c r="J4657" t="str">
        <f>T("시계토끼")</f>
        <v>시계토끼</v>
      </c>
      <c r="K4657" t="str">
        <f>T("용사들은 성녀의 축복을 받아야 한다")</f>
        <v>용사들은 성녀의 축복을 받아야 한다</v>
      </c>
      <c r="L4657">
        <v>100</v>
      </c>
      <c r="M4657">
        <v>100</v>
      </c>
      <c r="N4657">
        <v>1</v>
      </c>
      <c r="O4657">
        <v>0</v>
      </c>
      <c r="P4657">
        <v>0</v>
      </c>
      <c r="Q4657">
        <v>0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0</v>
      </c>
      <c r="AC4657">
        <v>0</v>
      </c>
      <c r="AD4657">
        <v>0</v>
      </c>
      <c r="AE4657">
        <v>0</v>
      </c>
      <c r="AF4657">
        <v>0</v>
      </c>
      <c r="AG4657">
        <v>0</v>
      </c>
      <c r="AH4657">
        <v>0</v>
      </c>
      <c r="AI4657">
        <v>100</v>
      </c>
      <c r="AJ4657">
        <v>1</v>
      </c>
      <c r="AK4657">
        <v>0</v>
      </c>
      <c r="AL4657">
        <v>0</v>
      </c>
      <c r="AM4657">
        <v>100</v>
      </c>
      <c r="AN4657">
        <v>0</v>
      </c>
      <c r="AO4657">
        <v>0</v>
      </c>
      <c r="AP4657">
        <v>0</v>
      </c>
      <c r="AQ4657">
        <v>0</v>
      </c>
      <c r="AS4657">
        <v>0</v>
      </c>
      <c r="AT4657">
        <v>0</v>
      </c>
      <c r="AV4657">
        <v>0</v>
      </c>
      <c r="AW4657">
        <v>0</v>
      </c>
      <c r="AY4657">
        <v>0</v>
      </c>
      <c r="AZ4657">
        <v>0</v>
      </c>
      <c r="BA4657">
        <v>60</v>
      </c>
      <c r="BE4657" t="str">
        <f>T("9791172822040")</f>
        <v>9791172822040</v>
      </c>
      <c r="BF4657" t="str">
        <f>T("D183640")</f>
        <v>D183640</v>
      </c>
      <c r="BG4657" t="str">
        <f>T("로판 웹소설 &gt; 서양풍 로판")</f>
        <v>로판 웹소설 &gt; 서양풍 로판</v>
      </c>
    </row>
    <row r="4658" spans="1:59">
      <c r="A4658" t="s">
        <v>60</v>
      </c>
      <c r="B4658" s="1">
        <v>46131</v>
      </c>
      <c r="C4658">
        <v>2378078499</v>
      </c>
      <c r="D4658">
        <v>2378081067</v>
      </c>
      <c r="E4658" t="str">
        <f>T("용사들은 성녀의 축복을 받아야 한다 외전 12화")</f>
        <v>용사들은 성녀의 축복을 받아야 한다 외전 12화</v>
      </c>
      <c r="F4658">
        <v>142</v>
      </c>
      <c r="G4658" t="str">
        <f>T("필밤")</f>
        <v>필밤</v>
      </c>
      <c r="J4658" t="str">
        <f>T("시계토끼")</f>
        <v>시계토끼</v>
      </c>
      <c r="K4658" t="str">
        <f>T("용사들은 성녀의 축복을 받아야 한다")</f>
        <v>용사들은 성녀의 축복을 받아야 한다</v>
      </c>
      <c r="L4658">
        <v>100</v>
      </c>
      <c r="M4658">
        <v>100</v>
      </c>
      <c r="N4658">
        <v>1</v>
      </c>
      <c r="O4658">
        <v>0</v>
      </c>
      <c r="P4658">
        <v>0</v>
      </c>
      <c r="Q4658">
        <v>0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0</v>
      </c>
      <c r="AC4658">
        <v>0</v>
      </c>
      <c r="AD4658">
        <v>0</v>
      </c>
      <c r="AE4658">
        <v>0</v>
      </c>
      <c r="AF4658">
        <v>0</v>
      </c>
      <c r="AG4658">
        <v>0</v>
      </c>
      <c r="AH4658">
        <v>0</v>
      </c>
      <c r="AI4658">
        <v>100</v>
      </c>
      <c r="AJ4658">
        <v>1</v>
      </c>
      <c r="AK4658">
        <v>0</v>
      </c>
      <c r="AL4658">
        <v>0</v>
      </c>
      <c r="AM4658">
        <v>100</v>
      </c>
      <c r="AN4658">
        <v>0</v>
      </c>
      <c r="AO4658">
        <v>0</v>
      </c>
      <c r="AP4658">
        <v>0</v>
      </c>
      <c r="AQ4658">
        <v>0</v>
      </c>
      <c r="AS4658">
        <v>0</v>
      </c>
      <c r="AT4658">
        <v>0</v>
      </c>
      <c r="AV4658">
        <v>0</v>
      </c>
      <c r="AW4658">
        <v>0</v>
      </c>
      <c r="AY4658">
        <v>0</v>
      </c>
      <c r="AZ4658">
        <v>0</v>
      </c>
      <c r="BA4658">
        <v>60</v>
      </c>
      <c r="BE4658" t="str">
        <f>T("9791172822040")</f>
        <v>9791172822040</v>
      </c>
      <c r="BF4658" t="str">
        <f>T("D183641")</f>
        <v>D183641</v>
      </c>
      <c r="BG4658" t="str">
        <f>T("로판 웹소설 &gt; 서양풍 로판")</f>
        <v>로판 웹소설 &gt; 서양풍 로판</v>
      </c>
    </row>
    <row r="4659" spans="1:59">
      <c r="A4659" t="s">
        <v>60</v>
      </c>
      <c r="B4659" s="1">
        <v>46131</v>
      </c>
      <c r="C4659">
        <v>2378078499</v>
      </c>
      <c r="D4659">
        <v>2378081070</v>
      </c>
      <c r="E4659" t="str">
        <f>T("용사들은 성녀의 축복을 받아야 한다 외전 15화 (완결)")</f>
        <v>용사들은 성녀의 축복을 받아야 한다 외전 15화 (완결)</v>
      </c>
      <c r="F4659">
        <v>145</v>
      </c>
      <c r="G4659" t="str">
        <f>T("필밤")</f>
        <v>필밤</v>
      </c>
      <c r="J4659" t="str">
        <f>T("시계토끼")</f>
        <v>시계토끼</v>
      </c>
      <c r="K4659" t="str">
        <f>T("용사들은 성녀의 축복을 받아야 한다")</f>
        <v>용사들은 성녀의 축복을 받아야 한다</v>
      </c>
      <c r="L4659">
        <v>100</v>
      </c>
      <c r="M4659">
        <v>100</v>
      </c>
      <c r="N4659">
        <v>1</v>
      </c>
      <c r="O4659">
        <v>0</v>
      </c>
      <c r="P4659">
        <v>0</v>
      </c>
      <c r="Q4659">
        <v>0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0</v>
      </c>
      <c r="AC4659">
        <v>0</v>
      </c>
      <c r="AD4659">
        <v>0</v>
      </c>
      <c r="AE4659">
        <v>0</v>
      </c>
      <c r="AF4659">
        <v>0</v>
      </c>
      <c r="AG4659">
        <v>0</v>
      </c>
      <c r="AH4659">
        <v>0</v>
      </c>
      <c r="AI4659">
        <v>100</v>
      </c>
      <c r="AJ4659">
        <v>1</v>
      </c>
      <c r="AK4659">
        <v>0</v>
      </c>
      <c r="AL4659">
        <v>0</v>
      </c>
      <c r="AM4659">
        <v>100</v>
      </c>
      <c r="AN4659">
        <v>0</v>
      </c>
      <c r="AO4659">
        <v>0</v>
      </c>
      <c r="AP4659">
        <v>0</v>
      </c>
      <c r="AQ4659">
        <v>0</v>
      </c>
      <c r="AS4659">
        <v>0</v>
      </c>
      <c r="AT4659">
        <v>0</v>
      </c>
      <c r="AV4659">
        <v>0</v>
      </c>
      <c r="AW4659">
        <v>0</v>
      </c>
      <c r="AY4659">
        <v>0</v>
      </c>
      <c r="AZ4659">
        <v>0</v>
      </c>
      <c r="BA4659">
        <v>60</v>
      </c>
      <c r="BE4659" t="str">
        <f>T("9791172822040")</f>
        <v>9791172822040</v>
      </c>
      <c r="BF4659" t="str">
        <f>T("D183644")</f>
        <v>D183644</v>
      </c>
      <c r="BG4659" t="str">
        <f>T("로판 웹소설 &gt; 서양풍 로판")</f>
        <v>로판 웹소설 &gt; 서양풍 로판</v>
      </c>
    </row>
    <row r="4660" spans="1:59">
      <c r="A4660" t="s">
        <v>60</v>
      </c>
      <c r="B4660" s="1">
        <v>46129</v>
      </c>
      <c r="C4660">
        <v>2378058942</v>
      </c>
      <c r="D4660">
        <v>2378064183</v>
      </c>
      <c r="E4660" t="str">
        <f>T("이름대로 살련다 133화")</f>
        <v>이름대로 살련다 133화</v>
      </c>
      <c r="F4660">
        <v>134</v>
      </c>
      <c r="G4660" t="str">
        <f>T("SSANTA")</f>
        <v>SSANTA</v>
      </c>
      <c r="J4660" t="str">
        <f>T("사이렌")</f>
        <v>사이렌</v>
      </c>
      <c r="K4660" t="str">
        <f>T("이름대로 살련다")</f>
        <v>이름대로 살련다</v>
      </c>
      <c r="L4660">
        <v>100</v>
      </c>
      <c r="M4660">
        <v>100</v>
      </c>
      <c r="N4660">
        <v>1</v>
      </c>
      <c r="O4660">
        <v>0</v>
      </c>
      <c r="P4660">
        <v>0</v>
      </c>
      <c r="Q4660">
        <v>0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0</v>
      </c>
      <c r="AC4660">
        <v>0</v>
      </c>
      <c r="AD4660">
        <v>0</v>
      </c>
      <c r="AE4660">
        <v>0</v>
      </c>
      <c r="AF4660">
        <v>0</v>
      </c>
      <c r="AG4660">
        <v>0</v>
      </c>
      <c r="AH4660">
        <v>0</v>
      </c>
      <c r="AI4660">
        <v>100</v>
      </c>
      <c r="AJ4660">
        <v>1</v>
      </c>
      <c r="AK4660">
        <v>0</v>
      </c>
      <c r="AL4660">
        <v>0</v>
      </c>
      <c r="AM4660">
        <v>100</v>
      </c>
      <c r="AN4660">
        <v>0</v>
      </c>
      <c r="AO4660">
        <v>0</v>
      </c>
      <c r="AP4660">
        <v>0</v>
      </c>
      <c r="AQ4660">
        <v>0</v>
      </c>
      <c r="AS4660">
        <v>0</v>
      </c>
      <c r="AT4660">
        <v>0</v>
      </c>
      <c r="AV4660">
        <v>0</v>
      </c>
      <c r="AW4660">
        <v>0</v>
      </c>
      <c r="AY4660">
        <v>0</v>
      </c>
      <c r="AZ4660">
        <v>0</v>
      </c>
      <c r="BA4660">
        <v>70</v>
      </c>
      <c r="BE4660" t="str">
        <f>T("9791137017238")</f>
        <v>9791137017238</v>
      </c>
      <c r="BF4660" t="str">
        <f>T("k269942")</f>
        <v>k269942</v>
      </c>
      <c r="BG4660" t="str">
        <f>T("판타지 웹소설 &gt; 현대 판타지")</f>
        <v>판타지 웹소설 &gt; 현대 판타지</v>
      </c>
    </row>
    <row r="4661" spans="1:59">
      <c r="A4661" t="s">
        <v>60</v>
      </c>
      <c r="B4661" s="1">
        <v>46131</v>
      </c>
      <c r="C4661">
        <v>2378058942</v>
      </c>
      <c r="D4661">
        <v>2378058942</v>
      </c>
      <c r="E4661" t="str">
        <f>T("이름대로 살련다 0화")</f>
        <v>이름대로 살련다 0화</v>
      </c>
      <c r="F4661">
        <v>1</v>
      </c>
      <c r="G4661" t="str">
        <f>T("SSANTA")</f>
        <v>SSANTA</v>
      </c>
      <c r="J4661" t="str">
        <f>T("사이렌")</f>
        <v>사이렌</v>
      </c>
      <c r="K4661" t="str">
        <f>T("이름대로 살련다")</f>
        <v>이름대로 살련다</v>
      </c>
      <c r="L4661">
        <v>0</v>
      </c>
      <c r="M4661">
        <v>0</v>
      </c>
      <c r="N4661">
        <v>0</v>
      </c>
      <c r="O4661">
        <v>1</v>
      </c>
      <c r="P4661">
        <v>0</v>
      </c>
      <c r="Q4661">
        <v>0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0</v>
      </c>
      <c r="AC4661">
        <v>0</v>
      </c>
      <c r="AD4661">
        <v>0</v>
      </c>
      <c r="AE4661">
        <v>0</v>
      </c>
      <c r="AF4661">
        <v>0</v>
      </c>
      <c r="AG4661">
        <v>0</v>
      </c>
      <c r="AH4661">
        <v>0</v>
      </c>
      <c r="AI4661">
        <v>0</v>
      </c>
      <c r="AJ4661">
        <v>1</v>
      </c>
      <c r="AK4661">
        <v>0</v>
      </c>
      <c r="AL4661">
        <v>0</v>
      </c>
      <c r="AM4661">
        <v>0</v>
      </c>
      <c r="AN4661">
        <v>0</v>
      </c>
      <c r="AO4661">
        <v>0</v>
      </c>
      <c r="AP4661">
        <v>0</v>
      </c>
      <c r="AQ4661">
        <v>0</v>
      </c>
      <c r="AS4661">
        <v>0</v>
      </c>
      <c r="AT4661">
        <v>0</v>
      </c>
      <c r="AV4661">
        <v>0</v>
      </c>
      <c r="AW4661">
        <v>0</v>
      </c>
      <c r="AY4661">
        <v>0</v>
      </c>
      <c r="AZ4661">
        <v>0</v>
      </c>
      <c r="BA4661">
        <v>0</v>
      </c>
      <c r="BE4661" t="str">
        <f>T("9791137017238")</f>
        <v>9791137017238</v>
      </c>
      <c r="BF4661" t="str">
        <f>T("k188344")</f>
        <v>k188344</v>
      </c>
      <c r="BG4661" t="str">
        <f>T("판타지 웹소설 &gt; 현대 판타지")</f>
        <v>판타지 웹소설 &gt; 현대 판타지</v>
      </c>
    </row>
    <row r="4662" spans="1:59">
      <c r="A4662" t="s">
        <v>60</v>
      </c>
      <c r="B4662" s="1">
        <v>46131</v>
      </c>
      <c r="C4662">
        <v>2378058942</v>
      </c>
      <c r="D4662">
        <v>2378058943</v>
      </c>
      <c r="E4662" t="str">
        <f>T("이름대로 살련다 1화")</f>
        <v>이름대로 살련다 1화</v>
      </c>
      <c r="F4662">
        <v>2</v>
      </c>
      <c r="G4662" t="str">
        <f>T("SSANTA")</f>
        <v>SSANTA</v>
      </c>
      <c r="J4662" t="str">
        <f>T("사이렌")</f>
        <v>사이렌</v>
      </c>
      <c r="K4662" t="str">
        <f>T("이름대로 살련다")</f>
        <v>이름대로 살련다</v>
      </c>
      <c r="L4662">
        <v>0</v>
      </c>
      <c r="M4662">
        <v>0</v>
      </c>
      <c r="N4662">
        <v>0</v>
      </c>
      <c r="O4662">
        <v>1</v>
      </c>
      <c r="P4662">
        <v>0</v>
      </c>
      <c r="Q4662">
        <v>0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0</v>
      </c>
      <c r="AC4662">
        <v>0</v>
      </c>
      <c r="AD4662">
        <v>0</v>
      </c>
      <c r="AE4662">
        <v>0</v>
      </c>
      <c r="AF4662">
        <v>0</v>
      </c>
      <c r="AG4662">
        <v>0</v>
      </c>
      <c r="AH4662">
        <v>0</v>
      </c>
      <c r="AI4662">
        <v>0</v>
      </c>
      <c r="AJ4662">
        <v>1</v>
      </c>
      <c r="AK4662">
        <v>0</v>
      </c>
      <c r="AL4662">
        <v>0</v>
      </c>
      <c r="AM4662">
        <v>0</v>
      </c>
      <c r="AN4662">
        <v>0</v>
      </c>
      <c r="AO4662">
        <v>0</v>
      </c>
      <c r="AP4662">
        <v>0</v>
      </c>
      <c r="AQ4662">
        <v>0</v>
      </c>
      <c r="AS4662">
        <v>0</v>
      </c>
      <c r="AT4662">
        <v>0</v>
      </c>
      <c r="AV4662">
        <v>0</v>
      </c>
      <c r="AW4662">
        <v>0</v>
      </c>
      <c r="AY4662">
        <v>0</v>
      </c>
      <c r="AZ4662">
        <v>0</v>
      </c>
      <c r="BA4662">
        <v>0</v>
      </c>
      <c r="BE4662" t="str">
        <f>T("9791137017238")</f>
        <v>9791137017238</v>
      </c>
      <c r="BF4662" t="str">
        <f>T("k188345")</f>
        <v>k188345</v>
      </c>
      <c r="BG4662" t="str">
        <f>T("판타지 웹소설 &gt; 현대 판타지")</f>
        <v>판타지 웹소설 &gt; 현대 판타지</v>
      </c>
    </row>
    <row r="4663" spans="1:59">
      <c r="A4663" t="s">
        <v>60</v>
      </c>
      <c r="B4663" s="1">
        <v>46131</v>
      </c>
      <c r="C4663">
        <v>2378058942</v>
      </c>
      <c r="D4663">
        <v>2378063919</v>
      </c>
      <c r="E4663" t="str">
        <f>T("이름대로 살련다 132화")</f>
        <v>이름대로 살련다 132화</v>
      </c>
      <c r="F4663">
        <v>133</v>
      </c>
      <c r="G4663" t="str">
        <f>T("SSANTA")</f>
        <v>SSANTA</v>
      </c>
      <c r="J4663" t="str">
        <f>T("사이렌")</f>
        <v>사이렌</v>
      </c>
      <c r="K4663" t="str">
        <f>T("이름대로 살련다")</f>
        <v>이름대로 살련다</v>
      </c>
      <c r="L4663">
        <v>100</v>
      </c>
      <c r="M4663">
        <v>100</v>
      </c>
      <c r="N4663">
        <v>1</v>
      </c>
      <c r="O4663">
        <v>0</v>
      </c>
      <c r="P4663">
        <v>0</v>
      </c>
      <c r="Q4663">
        <v>0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0</v>
      </c>
      <c r="AC4663">
        <v>0</v>
      </c>
      <c r="AD4663">
        <v>0</v>
      </c>
      <c r="AE4663">
        <v>0</v>
      </c>
      <c r="AF4663">
        <v>0</v>
      </c>
      <c r="AG4663">
        <v>0</v>
      </c>
      <c r="AH4663">
        <v>0</v>
      </c>
      <c r="AI4663">
        <v>100</v>
      </c>
      <c r="AJ4663">
        <v>1</v>
      </c>
      <c r="AK4663">
        <v>0</v>
      </c>
      <c r="AL4663">
        <v>0</v>
      </c>
      <c r="AM4663">
        <v>100</v>
      </c>
      <c r="AN4663">
        <v>0</v>
      </c>
      <c r="AO4663">
        <v>0</v>
      </c>
      <c r="AP4663">
        <v>0</v>
      </c>
      <c r="AQ4663">
        <v>0</v>
      </c>
      <c r="AS4663">
        <v>0</v>
      </c>
      <c r="AT4663">
        <v>0</v>
      </c>
      <c r="AV4663">
        <v>0</v>
      </c>
      <c r="AW4663">
        <v>0</v>
      </c>
      <c r="AY4663">
        <v>0</v>
      </c>
      <c r="AZ4663">
        <v>0</v>
      </c>
      <c r="BA4663">
        <v>70</v>
      </c>
      <c r="BE4663" t="str">
        <f>T("9791137017238")</f>
        <v>9791137017238</v>
      </c>
      <c r="BF4663" t="str">
        <f>T("k250920")</f>
        <v>k250920</v>
      </c>
      <c r="BG4663" t="str">
        <f>T("판타지 웹소설 &gt; 현대 판타지")</f>
        <v>판타지 웹소설 &gt; 현대 판타지</v>
      </c>
    </row>
    <row r="4664" spans="1:59">
      <c r="A4664" t="s">
        <v>60</v>
      </c>
      <c r="B4664" s="1">
        <v>46131</v>
      </c>
      <c r="C4664">
        <v>2378066232</v>
      </c>
      <c r="D4664">
        <v>2378066232</v>
      </c>
      <c r="E4664" t="str">
        <f>T("인생 2회차 철종의 슬기로운 정복생활 프롤로그")</f>
        <v>인생 2회차 철종의 슬기로운 정복생활 프롤로그</v>
      </c>
      <c r="F4664">
        <v>1</v>
      </c>
      <c r="G4664" t="str">
        <f>T("MOOHA")</f>
        <v>MOOHA</v>
      </c>
      <c r="J4664" t="str">
        <f>T("사이렌")</f>
        <v>사이렌</v>
      </c>
      <c r="K4664" t="str">
        <f>T("인생 2회차 철종의 슬기로운 정복생활")</f>
        <v>인생 2회차 철종의 슬기로운 정복생활</v>
      </c>
      <c r="L4664">
        <v>0</v>
      </c>
      <c r="M4664">
        <v>0</v>
      </c>
      <c r="N4664">
        <v>0</v>
      </c>
      <c r="O4664">
        <v>1</v>
      </c>
      <c r="P4664">
        <v>0</v>
      </c>
      <c r="Q4664">
        <v>0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0</v>
      </c>
      <c r="AC4664">
        <v>0</v>
      </c>
      <c r="AD4664">
        <v>0</v>
      </c>
      <c r="AE4664">
        <v>0</v>
      </c>
      <c r="AF4664">
        <v>0</v>
      </c>
      <c r="AG4664">
        <v>0</v>
      </c>
      <c r="AH4664">
        <v>0</v>
      </c>
      <c r="AI4664">
        <v>0</v>
      </c>
      <c r="AJ4664">
        <v>1</v>
      </c>
      <c r="AK4664">
        <v>0</v>
      </c>
      <c r="AL4664">
        <v>0</v>
      </c>
      <c r="AM4664">
        <v>0</v>
      </c>
      <c r="AN4664">
        <v>0</v>
      </c>
      <c r="AO4664">
        <v>0</v>
      </c>
      <c r="AP4664">
        <v>0</v>
      </c>
      <c r="AQ4664">
        <v>0</v>
      </c>
      <c r="AS4664">
        <v>0</v>
      </c>
      <c r="AT4664">
        <v>0</v>
      </c>
      <c r="AV4664">
        <v>0</v>
      </c>
      <c r="AW4664">
        <v>0</v>
      </c>
      <c r="AY4664">
        <v>0</v>
      </c>
      <c r="AZ4664">
        <v>0</v>
      </c>
      <c r="BA4664">
        <v>0</v>
      </c>
      <c r="BE4664" t="str">
        <f>T("9791193602348")</f>
        <v>9791193602348</v>
      </c>
      <c r="BF4664" t="str">
        <f>T("k281723")</f>
        <v>k281723</v>
      </c>
      <c r="BG4664" t="str">
        <f>T("판타지 웹소설 &gt; 퓨전 판타지")</f>
        <v>판타지 웹소설 &gt; 퓨전 판타지</v>
      </c>
    </row>
    <row r="4665" spans="1:59">
      <c r="A4665" t="s">
        <v>60</v>
      </c>
      <c r="B4665" s="1">
        <v>46131</v>
      </c>
      <c r="C4665">
        <v>2378066232</v>
      </c>
      <c r="D4665">
        <v>2378066233</v>
      </c>
      <c r="E4665" t="str">
        <f>T("인생 2회차 철종의 슬기로운 정복생활 1화")</f>
        <v>인생 2회차 철종의 슬기로운 정복생활 1화</v>
      </c>
      <c r="F4665">
        <v>2</v>
      </c>
      <c r="G4665" t="str">
        <f>T("MOOHA")</f>
        <v>MOOHA</v>
      </c>
      <c r="J4665" t="str">
        <f>T("사이렌")</f>
        <v>사이렌</v>
      </c>
      <c r="K4665" t="str">
        <f>T("인생 2회차 철종의 슬기로운 정복생활")</f>
        <v>인생 2회차 철종의 슬기로운 정복생활</v>
      </c>
      <c r="L4665">
        <v>0</v>
      </c>
      <c r="M4665">
        <v>0</v>
      </c>
      <c r="N4665">
        <v>0</v>
      </c>
      <c r="O4665">
        <v>1</v>
      </c>
      <c r="P4665">
        <v>0</v>
      </c>
      <c r="Q4665">
        <v>0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0</v>
      </c>
      <c r="AC4665">
        <v>0</v>
      </c>
      <c r="AD4665">
        <v>0</v>
      </c>
      <c r="AE4665">
        <v>0</v>
      </c>
      <c r="AF4665">
        <v>0</v>
      </c>
      <c r="AG4665">
        <v>0</v>
      </c>
      <c r="AH4665">
        <v>0</v>
      </c>
      <c r="AI4665">
        <v>0</v>
      </c>
      <c r="AJ4665">
        <v>1</v>
      </c>
      <c r="AK4665">
        <v>0</v>
      </c>
      <c r="AL4665">
        <v>0</v>
      </c>
      <c r="AM4665">
        <v>0</v>
      </c>
      <c r="AN4665">
        <v>0</v>
      </c>
      <c r="AO4665">
        <v>0</v>
      </c>
      <c r="AP4665">
        <v>0</v>
      </c>
      <c r="AQ4665">
        <v>0</v>
      </c>
      <c r="AS4665">
        <v>0</v>
      </c>
      <c r="AT4665">
        <v>0</v>
      </c>
      <c r="AV4665">
        <v>0</v>
      </c>
      <c r="AW4665">
        <v>0</v>
      </c>
      <c r="AY4665">
        <v>0</v>
      </c>
      <c r="AZ4665">
        <v>0</v>
      </c>
      <c r="BA4665">
        <v>0</v>
      </c>
      <c r="BE4665" t="str">
        <f>T("9791193602348")</f>
        <v>9791193602348</v>
      </c>
      <c r="BF4665" t="str">
        <f>T("k281724")</f>
        <v>k281724</v>
      </c>
      <c r="BG4665" t="str">
        <f>T("판타지 웹소설 &gt; 퓨전 판타지")</f>
        <v>판타지 웹소설 &gt; 퓨전 판타지</v>
      </c>
    </row>
    <row r="4666" spans="1:59">
      <c r="A4666" t="s">
        <v>60</v>
      </c>
      <c r="B4666" s="1">
        <v>46131</v>
      </c>
      <c r="C4666">
        <v>2378066232</v>
      </c>
      <c r="D4666">
        <v>2378066234</v>
      </c>
      <c r="E4666" t="str">
        <f>T("인생 2회차 철종의 슬기로운 정복생활 2화")</f>
        <v>인생 2회차 철종의 슬기로운 정복생활 2화</v>
      </c>
      <c r="F4666">
        <v>3</v>
      </c>
      <c r="G4666" t="str">
        <f>T("MOOHA")</f>
        <v>MOOHA</v>
      </c>
      <c r="J4666" t="str">
        <f>T("사이렌")</f>
        <v>사이렌</v>
      </c>
      <c r="K4666" t="str">
        <f>T("인생 2회차 철종의 슬기로운 정복생활")</f>
        <v>인생 2회차 철종의 슬기로운 정복생활</v>
      </c>
      <c r="L4666">
        <v>0</v>
      </c>
      <c r="M4666">
        <v>0</v>
      </c>
      <c r="N4666">
        <v>0</v>
      </c>
      <c r="O4666">
        <v>1</v>
      </c>
      <c r="P4666">
        <v>0</v>
      </c>
      <c r="Q4666">
        <v>0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0</v>
      </c>
      <c r="AC4666">
        <v>0</v>
      </c>
      <c r="AD4666">
        <v>0</v>
      </c>
      <c r="AE4666">
        <v>0</v>
      </c>
      <c r="AF4666">
        <v>0</v>
      </c>
      <c r="AG4666">
        <v>0</v>
      </c>
      <c r="AH4666">
        <v>0</v>
      </c>
      <c r="AI4666">
        <v>0</v>
      </c>
      <c r="AJ4666">
        <v>1</v>
      </c>
      <c r="AK4666">
        <v>0</v>
      </c>
      <c r="AL4666">
        <v>0</v>
      </c>
      <c r="AM4666">
        <v>0</v>
      </c>
      <c r="AN4666">
        <v>0</v>
      </c>
      <c r="AO4666">
        <v>0</v>
      </c>
      <c r="AP4666">
        <v>0</v>
      </c>
      <c r="AQ4666">
        <v>0</v>
      </c>
      <c r="AS4666">
        <v>0</v>
      </c>
      <c r="AT4666">
        <v>0</v>
      </c>
      <c r="AV4666">
        <v>0</v>
      </c>
      <c r="AW4666">
        <v>0</v>
      </c>
      <c r="AY4666">
        <v>0</v>
      </c>
      <c r="AZ4666">
        <v>0</v>
      </c>
      <c r="BA4666">
        <v>0</v>
      </c>
      <c r="BE4666" t="str">
        <f>T("9791193602348")</f>
        <v>9791193602348</v>
      </c>
      <c r="BF4666" t="str">
        <f>T("k281725")</f>
        <v>k281725</v>
      </c>
      <c r="BG4666" t="str">
        <f>T("판타지 웹소설 &gt; 퓨전 판타지")</f>
        <v>판타지 웹소설 &gt; 퓨전 판타지</v>
      </c>
    </row>
    <row r="4667" spans="1:59">
      <c r="A4667" t="s">
        <v>60</v>
      </c>
      <c r="B4667" s="1">
        <v>46131</v>
      </c>
      <c r="C4667">
        <v>2378066232</v>
      </c>
      <c r="D4667">
        <v>2378066235</v>
      </c>
      <c r="E4667" t="str">
        <f>T("인생 2회차 철종의 슬기로운 정복생활 3화")</f>
        <v>인생 2회차 철종의 슬기로운 정복생활 3화</v>
      </c>
      <c r="F4667">
        <v>4</v>
      </c>
      <c r="G4667" t="str">
        <f>T("MOOHA")</f>
        <v>MOOHA</v>
      </c>
      <c r="J4667" t="str">
        <f>T("사이렌")</f>
        <v>사이렌</v>
      </c>
      <c r="K4667" t="str">
        <f>T("인생 2회차 철종의 슬기로운 정복생활")</f>
        <v>인생 2회차 철종의 슬기로운 정복생활</v>
      </c>
      <c r="L4667">
        <v>0</v>
      </c>
      <c r="M4667">
        <v>0</v>
      </c>
      <c r="N4667">
        <v>0</v>
      </c>
      <c r="O4667">
        <v>1</v>
      </c>
      <c r="P4667">
        <v>0</v>
      </c>
      <c r="Q4667">
        <v>0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0</v>
      </c>
      <c r="AC4667">
        <v>0</v>
      </c>
      <c r="AD4667">
        <v>0</v>
      </c>
      <c r="AE4667">
        <v>0</v>
      </c>
      <c r="AF4667">
        <v>0</v>
      </c>
      <c r="AG4667">
        <v>0</v>
      </c>
      <c r="AH4667">
        <v>0</v>
      </c>
      <c r="AI4667">
        <v>0</v>
      </c>
      <c r="AJ4667">
        <v>1</v>
      </c>
      <c r="AK4667">
        <v>0</v>
      </c>
      <c r="AL4667">
        <v>0</v>
      </c>
      <c r="AM4667">
        <v>0</v>
      </c>
      <c r="AN4667">
        <v>0</v>
      </c>
      <c r="AO4667">
        <v>0</v>
      </c>
      <c r="AP4667">
        <v>0</v>
      </c>
      <c r="AQ4667">
        <v>0</v>
      </c>
      <c r="AS4667">
        <v>0</v>
      </c>
      <c r="AT4667">
        <v>0</v>
      </c>
      <c r="AV4667">
        <v>0</v>
      </c>
      <c r="AW4667">
        <v>0</v>
      </c>
      <c r="AY4667">
        <v>0</v>
      </c>
      <c r="AZ4667">
        <v>0</v>
      </c>
      <c r="BA4667">
        <v>0</v>
      </c>
      <c r="BE4667" t="str">
        <f>T("9791193602348")</f>
        <v>9791193602348</v>
      </c>
      <c r="BF4667" t="str">
        <f>T("k281726")</f>
        <v>k281726</v>
      </c>
      <c r="BG4667" t="str">
        <f>T("판타지 웹소설 &gt; 퓨전 판타지")</f>
        <v>판타지 웹소설 &gt; 퓨전 판타지</v>
      </c>
    </row>
    <row r="4668" spans="1:59">
      <c r="A4668" t="s">
        <v>60</v>
      </c>
      <c r="B4668" s="1">
        <v>46131</v>
      </c>
      <c r="C4668">
        <v>2378066232</v>
      </c>
      <c r="D4668">
        <v>2378066236</v>
      </c>
      <c r="E4668" t="str">
        <f>T("인생 2회차 철종의 슬기로운 정복생활 4화")</f>
        <v>인생 2회차 철종의 슬기로운 정복생활 4화</v>
      </c>
      <c r="F4668">
        <v>5</v>
      </c>
      <c r="G4668" t="str">
        <f>T("MOOHA")</f>
        <v>MOOHA</v>
      </c>
      <c r="J4668" t="str">
        <f>T("사이렌")</f>
        <v>사이렌</v>
      </c>
      <c r="K4668" t="str">
        <f>T("인생 2회차 철종의 슬기로운 정복생활")</f>
        <v>인생 2회차 철종의 슬기로운 정복생활</v>
      </c>
      <c r="L4668">
        <v>0</v>
      </c>
      <c r="M4668">
        <v>0</v>
      </c>
      <c r="N4668">
        <v>0</v>
      </c>
      <c r="O4668">
        <v>1</v>
      </c>
      <c r="P4668">
        <v>0</v>
      </c>
      <c r="Q4668">
        <v>0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0</v>
      </c>
      <c r="AC4668">
        <v>0</v>
      </c>
      <c r="AD4668">
        <v>0</v>
      </c>
      <c r="AE4668">
        <v>0</v>
      </c>
      <c r="AF4668">
        <v>0</v>
      </c>
      <c r="AG4668">
        <v>0</v>
      </c>
      <c r="AH4668">
        <v>0</v>
      </c>
      <c r="AI4668">
        <v>0</v>
      </c>
      <c r="AJ4668">
        <v>1</v>
      </c>
      <c r="AK4668">
        <v>0</v>
      </c>
      <c r="AL4668">
        <v>0</v>
      </c>
      <c r="AM4668">
        <v>0</v>
      </c>
      <c r="AN4668">
        <v>0</v>
      </c>
      <c r="AO4668">
        <v>0</v>
      </c>
      <c r="AP4668">
        <v>0</v>
      </c>
      <c r="AQ4668">
        <v>0</v>
      </c>
      <c r="AS4668">
        <v>0</v>
      </c>
      <c r="AT4668">
        <v>0</v>
      </c>
      <c r="AV4668">
        <v>0</v>
      </c>
      <c r="AW4668">
        <v>0</v>
      </c>
      <c r="AY4668">
        <v>0</v>
      </c>
      <c r="AZ4668">
        <v>0</v>
      </c>
      <c r="BA4668">
        <v>0</v>
      </c>
      <c r="BE4668" t="str">
        <f>T("9791193602348")</f>
        <v>9791193602348</v>
      </c>
      <c r="BF4668" t="str">
        <f>T("k281727")</f>
        <v>k281727</v>
      </c>
      <c r="BG4668" t="str">
        <f>T("판타지 웹소설 &gt; 퓨전 판타지")</f>
        <v>판타지 웹소설 &gt; 퓨전 판타지</v>
      </c>
    </row>
    <row r="4669" spans="1:59">
      <c r="A4669" t="s">
        <v>60</v>
      </c>
      <c r="B4669" s="1">
        <v>46131</v>
      </c>
      <c r="C4669">
        <v>2378066232</v>
      </c>
      <c r="D4669">
        <v>2378066237</v>
      </c>
      <c r="E4669" t="str">
        <f>T("인생 2회차 철종의 슬기로운 정복생활 5화")</f>
        <v>인생 2회차 철종의 슬기로운 정복생활 5화</v>
      </c>
      <c r="F4669">
        <v>6</v>
      </c>
      <c r="G4669" t="str">
        <f>T("MOOHA")</f>
        <v>MOOHA</v>
      </c>
      <c r="J4669" t="str">
        <f>T("사이렌")</f>
        <v>사이렌</v>
      </c>
      <c r="K4669" t="str">
        <f>T("인생 2회차 철종의 슬기로운 정복생활")</f>
        <v>인생 2회차 철종의 슬기로운 정복생활</v>
      </c>
      <c r="L4669">
        <v>0</v>
      </c>
      <c r="M4669">
        <v>0</v>
      </c>
      <c r="N4669">
        <v>0</v>
      </c>
      <c r="O4669">
        <v>1</v>
      </c>
      <c r="P4669">
        <v>0</v>
      </c>
      <c r="Q4669">
        <v>0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0</v>
      </c>
      <c r="AC4669">
        <v>0</v>
      </c>
      <c r="AD4669">
        <v>0</v>
      </c>
      <c r="AE4669">
        <v>0</v>
      </c>
      <c r="AF4669">
        <v>0</v>
      </c>
      <c r="AG4669">
        <v>0</v>
      </c>
      <c r="AH4669">
        <v>0</v>
      </c>
      <c r="AI4669">
        <v>0</v>
      </c>
      <c r="AJ4669">
        <v>1</v>
      </c>
      <c r="AK4669">
        <v>0</v>
      </c>
      <c r="AL4669">
        <v>0</v>
      </c>
      <c r="AM4669">
        <v>0</v>
      </c>
      <c r="AN4669">
        <v>0</v>
      </c>
      <c r="AO4669">
        <v>0</v>
      </c>
      <c r="AP4669">
        <v>0</v>
      </c>
      <c r="AQ4669">
        <v>0</v>
      </c>
      <c r="AS4669">
        <v>0</v>
      </c>
      <c r="AT4669">
        <v>0</v>
      </c>
      <c r="AV4669">
        <v>0</v>
      </c>
      <c r="AW4669">
        <v>0</v>
      </c>
      <c r="AY4669">
        <v>0</v>
      </c>
      <c r="AZ4669">
        <v>0</v>
      </c>
      <c r="BA4669">
        <v>0</v>
      </c>
      <c r="BE4669" t="str">
        <f>T("9791193602348")</f>
        <v>9791193602348</v>
      </c>
      <c r="BF4669" t="str">
        <f>T("k281728")</f>
        <v>k281728</v>
      </c>
      <c r="BG4669" t="str">
        <f>T("판타지 웹소설 &gt; 퓨전 판타지")</f>
        <v>판타지 웹소설 &gt; 퓨전 판타지</v>
      </c>
    </row>
    <row r="4670" spans="1:59">
      <c r="A4670" t="s">
        <v>60</v>
      </c>
      <c r="B4670" s="1">
        <v>46131</v>
      </c>
      <c r="C4670">
        <v>2378066232</v>
      </c>
      <c r="D4670">
        <v>2378066238</v>
      </c>
      <c r="E4670" t="str">
        <f>T("인생 2회차 철종의 슬기로운 정복생활 6화")</f>
        <v>인생 2회차 철종의 슬기로운 정복생활 6화</v>
      </c>
      <c r="F4670">
        <v>7</v>
      </c>
      <c r="G4670" t="str">
        <f>T("MOOHA")</f>
        <v>MOOHA</v>
      </c>
      <c r="J4670" t="str">
        <f>T("사이렌")</f>
        <v>사이렌</v>
      </c>
      <c r="K4670" t="str">
        <f>T("인생 2회차 철종의 슬기로운 정복생활")</f>
        <v>인생 2회차 철종의 슬기로운 정복생활</v>
      </c>
      <c r="L4670">
        <v>0</v>
      </c>
      <c r="M4670">
        <v>0</v>
      </c>
      <c r="N4670">
        <v>0</v>
      </c>
      <c r="O4670">
        <v>1</v>
      </c>
      <c r="P4670">
        <v>0</v>
      </c>
      <c r="Q4670">
        <v>0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0</v>
      </c>
      <c r="AC4670">
        <v>0</v>
      </c>
      <c r="AD4670">
        <v>0</v>
      </c>
      <c r="AE4670">
        <v>0</v>
      </c>
      <c r="AF4670">
        <v>0</v>
      </c>
      <c r="AG4670">
        <v>0</v>
      </c>
      <c r="AH4670">
        <v>0</v>
      </c>
      <c r="AI4670">
        <v>0</v>
      </c>
      <c r="AJ4670">
        <v>1</v>
      </c>
      <c r="AK4670">
        <v>0</v>
      </c>
      <c r="AL4670">
        <v>0</v>
      </c>
      <c r="AM4670">
        <v>0</v>
      </c>
      <c r="AN4670">
        <v>0</v>
      </c>
      <c r="AO4670">
        <v>0</v>
      </c>
      <c r="AP4670">
        <v>0</v>
      </c>
      <c r="AQ4670">
        <v>0</v>
      </c>
      <c r="AS4670">
        <v>0</v>
      </c>
      <c r="AT4670">
        <v>0</v>
      </c>
      <c r="AV4670">
        <v>0</v>
      </c>
      <c r="AW4670">
        <v>0</v>
      </c>
      <c r="AY4670">
        <v>0</v>
      </c>
      <c r="AZ4670">
        <v>0</v>
      </c>
      <c r="BA4670">
        <v>0</v>
      </c>
      <c r="BE4670" t="str">
        <f>T("9791193602348")</f>
        <v>9791193602348</v>
      </c>
      <c r="BF4670" t="str">
        <f>T("k281729")</f>
        <v>k281729</v>
      </c>
      <c r="BG4670" t="str">
        <f>T("판타지 웹소설 &gt; 퓨전 판타지")</f>
        <v>판타지 웹소설 &gt; 퓨전 판타지</v>
      </c>
    </row>
    <row r="4671" spans="1:59">
      <c r="A4671" t="s">
        <v>60</v>
      </c>
      <c r="B4671" s="1">
        <v>46131</v>
      </c>
      <c r="C4671">
        <v>2378066232</v>
      </c>
      <c r="D4671">
        <v>2378066239</v>
      </c>
      <c r="E4671" t="str">
        <f>T("인생 2회차 철종의 슬기로운 정복생활 7화")</f>
        <v>인생 2회차 철종의 슬기로운 정복생활 7화</v>
      </c>
      <c r="F4671">
        <v>8</v>
      </c>
      <c r="G4671" t="str">
        <f>T("MOOHA")</f>
        <v>MOOHA</v>
      </c>
      <c r="J4671" t="str">
        <f>T("사이렌")</f>
        <v>사이렌</v>
      </c>
      <c r="K4671" t="str">
        <f>T("인생 2회차 철종의 슬기로운 정복생활")</f>
        <v>인생 2회차 철종의 슬기로운 정복생활</v>
      </c>
      <c r="L4671">
        <v>0</v>
      </c>
      <c r="M4671">
        <v>0</v>
      </c>
      <c r="N4671">
        <v>0</v>
      </c>
      <c r="O4671">
        <v>1</v>
      </c>
      <c r="P4671">
        <v>0</v>
      </c>
      <c r="Q4671">
        <v>0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0</v>
      </c>
      <c r="AC4671">
        <v>0</v>
      </c>
      <c r="AD4671">
        <v>0</v>
      </c>
      <c r="AE4671">
        <v>0</v>
      </c>
      <c r="AF4671">
        <v>0</v>
      </c>
      <c r="AG4671">
        <v>0</v>
      </c>
      <c r="AH4671">
        <v>0</v>
      </c>
      <c r="AI4671">
        <v>0</v>
      </c>
      <c r="AJ4671">
        <v>1</v>
      </c>
      <c r="AK4671">
        <v>0</v>
      </c>
      <c r="AL4671">
        <v>0</v>
      </c>
      <c r="AM4671">
        <v>0</v>
      </c>
      <c r="AN4671">
        <v>0</v>
      </c>
      <c r="AO4671">
        <v>0</v>
      </c>
      <c r="AP4671">
        <v>0</v>
      </c>
      <c r="AQ4671">
        <v>0</v>
      </c>
      <c r="AS4671">
        <v>0</v>
      </c>
      <c r="AT4671">
        <v>0</v>
      </c>
      <c r="AV4671">
        <v>0</v>
      </c>
      <c r="AW4671">
        <v>0</v>
      </c>
      <c r="AY4671">
        <v>0</v>
      </c>
      <c r="AZ4671">
        <v>0</v>
      </c>
      <c r="BA4671">
        <v>0</v>
      </c>
      <c r="BE4671" t="str">
        <f>T("9791193602348")</f>
        <v>9791193602348</v>
      </c>
      <c r="BF4671" t="str">
        <f>T("k281730")</f>
        <v>k281730</v>
      </c>
      <c r="BG4671" t="str">
        <f>T("판타지 웹소설 &gt; 퓨전 판타지")</f>
        <v>판타지 웹소설 &gt; 퓨전 판타지</v>
      </c>
    </row>
    <row r="4672" spans="1:59">
      <c r="A4672" t="s">
        <v>60</v>
      </c>
      <c r="B4672" s="1">
        <v>46131</v>
      </c>
      <c r="C4672">
        <v>2378066232</v>
      </c>
      <c r="D4672">
        <v>2378066240</v>
      </c>
      <c r="E4672" t="str">
        <f>T("인생 2회차 철종의 슬기로운 정복생활 8화")</f>
        <v>인생 2회차 철종의 슬기로운 정복생활 8화</v>
      </c>
      <c r="F4672">
        <v>9</v>
      </c>
      <c r="G4672" t="str">
        <f>T("MOOHA")</f>
        <v>MOOHA</v>
      </c>
      <c r="J4672" t="str">
        <f>T("사이렌")</f>
        <v>사이렌</v>
      </c>
      <c r="K4672" t="str">
        <f>T("인생 2회차 철종의 슬기로운 정복생활")</f>
        <v>인생 2회차 철종의 슬기로운 정복생활</v>
      </c>
      <c r="L4672">
        <v>0</v>
      </c>
      <c r="M4672">
        <v>0</v>
      </c>
      <c r="N4672">
        <v>0</v>
      </c>
      <c r="O4672">
        <v>1</v>
      </c>
      <c r="P4672">
        <v>0</v>
      </c>
      <c r="Q4672">
        <v>0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0</v>
      </c>
      <c r="AC4672">
        <v>0</v>
      </c>
      <c r="AD4672">
        <v>0</v>
      </c>
      <c r="AE4672">
        <v>0</v>
      </c>
      <c r="AF4672">
        <v>0</v>
      </c>
      <c r="AG4672">
        <v>0</v>
      </c>
      <c r="AH4672">
        <v>0</v>
      </c>
      <c r="AI4672">
        <v>0</v>
      </c>
      <c r="AJ4672">
        <v>1</v>
      </c>
      <c r="AK4672">
        <v>0</v>
      </c>
      <c r="AL4672">
        <v>0</v>
      </c>
      <c r="AM4672">
        <v>0</v>
      </c>
      <c r="AN4672">
        <v>0</v>
      </c>
      <c r="AO4672">
        <v>0</v>
      </c>
      <c r="AP4672">
        <v>0</v>
      </c>
      <c r="AQ4672">
        <v>0</v>
      </c>
      <c r="AS4672">
        <v>0</v>
      </c>
      <c r="AT4672">
        <v>0</v>
      </c>
      <c r="AV4672">
        <v>0</v>
      </c>
      <c r="AW4672">
        <v>0</v>
      </c>
      <c r="AY4672">
        <v>0</v>
      </c>
      <c r="AZ4672">
        <v>0</v>
      </c>
      <c r="BA4672">
        <v>0</v>
      </c>
      <c r="BE4672" t="str">
        <f>T("9791193602348")</f>
        <v>9791193602348</v>
      </c>
      <c r="BF4672" t="str">
        <f>T("k281731")</f>
        <v>k281731</v>
      </c>
      <c r="BG4672" t="str">
        <f>T("판타지 웹소설 &gt; 퓨전 판타지")</f>
        <v>판타지 웹소설 &gt; 퓨전 판타지</v>
      </c>
    </row>
    <row r="4673" spans="1:59">
      <c r="A4673" t="s">
        <v>60</v>
      </c>
      <c r="B4673" s="1">
        <v>46131</v>
      </c>
      <c r="C4673">
        <v>2378066232</v>
      </c>
      <c r="D4673">
        <v>2378066241</v>
      </c>
      <c r="E4673" t="str">
        <f>T("인생 2회차 철종의 슬기로운 정복생활 9화")</f>
        <v>인생 2회차 철종의 슬기로운 정복생활 9화</v>
      </c>
      <c r="F4673">
        <v>10</v>
      </c>
      <c r="G4673" t="str">
        <f>T("MOOHA")</f>
        <v>MOOHA</v>
      </c>
      <c r="J4673" t="str">
        <f>T("사이렌")</f>
        <v>사이렌</v>
      </c>
      <c r="K4673" t="str">
        <f>T("인생 2회차 철종의 슬기로운 정복생활")</f>
        <v>인생 2회차 철종의 슬기로운 정복생활</v>
      </c>
      <c r="L4673">
        <v>0</v>
      </c>
      <c r="M4673">
        <v>0</v>
      </c>
      <c r="N4673">
        <v>0</v>
      </c>
      <c r="O4673">
        <v>1</v>
      </c>
      <c r="P4673">
        <v>0</v>
      </c>
      <c r="Q4673">
        <v>0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0</v>
      </c>
      <c r="AC4673">
        <v>0</v>
      </c>
      <c r="AD4673">
        <v>0</v>
      </c>
      <c r="AE4673">
        <v>0</v>
      </c>
      <c r="AF4673">
        <v>0</v>
      </c>
      <c r="AG4673">
        <v>0</v>
      </c>
      <c r="AH4673">
        <v>0</v>
      </c>
      <c r="AI4673">
        <v>0</v>
      </c>
      <c r="AJ4673">
        <v>1</v>
      </c>
      <c r="AK4673">
        <v>0</v>
      </c>
      <c r="AL4673">
        <v>0</v>
      </c>
      <c r="AM4673">
        <v>0</v>
      </c>
      <c r="AN4673">
        <v>0</v>
      </c>
      <c r="AO4673">
        <v>0</v>
      </c>
      <c r="AP4673">
        <v>0</v>
      </c>
      <c r="AQ4673">
        <v>0</v>
      </c>
      <c r="AS4673">
        <v>0</v>
      </c>
      <c r="AT4673">
        <v>0</v>
      </c>
      <c r="AV4673">
        <v>0</v>
      </c>
      <c r="AW4673">
        <v>0</v>
      </c>
      <c r="AY4673">
        <v>0</v>
      </c>
      <c r="AZ4673">
        <v>0</v>
      </c>
      <c r="BA4673">
        <v>0</v>
      </c>
      <c r="BE4673" t="str">
        <f>T("9791193602348")</f>
        <v>9791193602348</v>
      </c>
      <c r="BF4673" t="str">
        <f>T("k281732")</f>
        <v>k281732</v>
      </c>
      <c r="BG4673" t="str">
        <f>T("판타지 웹소설 &gt; 퓨전 판타지")</f>
        <v>판타지 웹소설 &gt; 퓨전 판타지</v>
      </c>
    </row>
    <row r="4674" spans="1:59">
      <c r="A4674" t="s">
        <v>60</v>
      </c>
      <c r="B4674" s="1">
        <v>46131</v>
      </c>
      <c r="C4674">
        <v>2378066232</v>
      </c>
      <c r="D4674">
        <v>2378066242</v>
      </c>
      <c r="E4674" t="str">
        <f>T("인생 2회차 철종의 슬기로운 정복생활 10화")</f>
        <v>인생 2회차 철종의 슬기로운 정복생활 10화</v>
      </c>
      <c r="F4674">
        <v>11</v>
      </c>
      <c r="G4674" t="str">
        <f>T("MOOHA")</f>
        <v>MOOHA</v>
      </c>
      <c r="J4674" t="str">
        <f>T("사이렌")</f>
        <v>사이렌</v>
      </c>
      <c r="K4674" t="str">
        <f>T("인생 2회차 철종의 슬기로운 정복생활")</f>
        <v>인생 2회차 철종의 슬기로운 정복생활</v>
      </c>
      <c r="L4674">
        <v>0</v>
      </c>
      <c r="M4674">
        <v>0</v>
      </c>
      <c r="N4674">
        <v>0</v>
      </c>
      <c r="O4674">
        <v>1</v>
      </c>
      <c r="P4674">
        <v>0</v>
      </c>
      <c r="Q4674">
        <v>0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0</v>
      </c>
      <c r="AC4674">
        <v>0</v>
      </c>
      <c r="AD4674">
        <v>0</v>
      </c>
      <c r="AE4674">
        <v>0</v>
      </c>
      <c r="AF4674">
        <v>0</v>
      </c>
      <c r="AG4674">
        <v>0</v>
      </c>
      <c r="AH4674">
        <v>0</v>
      </c>
      <c r="AI4674">
        <v>0</v>
      </c>
      <c r="AJ4674">
        <v>1</v>
      </c>
      <c r="AK4674">
        <v>0</v>
      </c>
      <c r="AL4674">
        <v>0</v>
      </c>
      <c r="AM4674">
        <v>0</v>
      </c>
      <c r="AN4674">
        <v>0</v>
      </c>
      <c r="AO4674">
        <v>0</v>
      </c>
      <c r="AP4674">
        <v>0</v>
      </c>
      <c r="AQ4674">
        <v>0</v>
      </c>
      <c r="AS4674">
        <v>0</v>
      </c>
      <c r="AT4674">
        <v>0</v>
      </c>
      <c r="AV4674">
        <v>0</v>
      </c>
      <c r="AW4674">
        <v>0</v>
      </c>
      <c r="AY4674">
        <v>0</v>
      </c>
      <c r="AZ4674">
        <v>0</v>
      </c>
      <c r="BA4674">
        <v>0</v>
      </c>
      <c r="BE4674" t="str">
        <f>T("9791193602348")</f>
        <v>9791193602348</v>
      </c>
      <c r="BF4674" t="str">
        <f>T("k281733")</f>
        <v>k281733</v>
      </c>
      <c r="BG4674" t="str">
        <f>T("판타지 웹소설 &gt; 퓨전 판타지")</f>
        <v>판타지 웹소설 &gt; 퓨전 판타지</v>
      </c>
    </row>
    <row r="4675" spans="1:59">
      <c r="A4675" t="s">
        <v>60</v>
      </c>
      <c r="B4675" s="1">
        <v>46131</v>
      </c>
      <c r="C4675">
        <v>2378066232</v>
      </c>
      <c r="D4675">
        <v>2378066243</v>
      </c>
      <c r="E4675" t="str">
        <f>T("인생 2회차 철종의 슬기로운 정복생활 11화")</f>
        <v>인생 2회차 철종의 슬기로운 정복생활 11화</v>
      </c>
      <c r="F4675">
        <v>12</v>
      </c>
      <c r="G4675" t="str">
        <f>T("MOOHA")</f>
        <v>MOOHA</v>
      </c>
      <c r="J4675" t="str">
        <f>T("사이렌")</f>
        <v>사이렌</v>
      </c>
      <c r="K4675" t="str">
        <f>T("인생 2회차 철종의 슬기로운 정복생활")</f>
        <v>인생 2회차 철종의 슬기로운 정복생활</v>
      </c>
      <c r="L4675">
        <v>0</v>
      </c>
      <c r="M4675">
        <v>0</v>
      </c>
      <c r="N4675">
        <v>0</v>
      </c>
      <c r="O4675">
        <v>1</v>
      </c>
      <c r="P4675">
        <v>0</v>
      </c>
      <c r="Q4675">
        <v>0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0</v>
      </c>
      <c r="AC4675">
        <v>0</v>
      </c>
      <c r="AD4675">
        <v>0</v>
      </c>
      <c r="AE4675">
        <v>0</v>
      </c>
      <c r="AF4675">
        <v>0</v>
      </c>
      <c r="AG4675">
        <v>0</v>
      </c>
      <c r="AH4675">
        <v>0</v>
      </c>
      <c r="AI4675">
        <v>0</v>
      </c>
      <c r="AJ4675">
        <v>1</v>
      </c>
      <c r="AK4675">
        <v>0</v>
      </c>
      <c r="AL4675">
        <v>0</v>
      </c>
      <c r="AM4675">
        <v>0</v>
      </c>
      <c r="AN4675">
        <v>0</v>
      </c>
      <c r="AO4675">
        <v>0</v>
      </c>
      <c r="AP4675">
        <v>0</v>
      </c>
      <c r="AQ4675">
        <v>0</v>
      </c>
      <c r="AS4675">
        <v>0</v>
      </c>
      <c r="AT4675">
        <v>0</v>
      </c>
      <c r="AV4675">
        <v>0</v>
      </c>
      <c r="AW4675">
        <v>0</v>
      </c>
      <c r="AY4675">
        <v>0</v>
      </c>
      <c r="AZ4675">
        <v>0</v>
      </c>
      <c r="BA4675">
        <v>0</v>
      </c>
      <c r="BE4675" t="str">
        <f>T("9791193602348")</f>
        <v>9791193602348</v>
      </c>
      <c r="BF4675" t="str">
        <f>T("k281734")</f>
        <v>k281734</v>
      </c>
      <c r="BG4675" t="str">
        <f>T("판타지 웹소설 &gt; 퓨전 판타지")</f>
        <v>판타지 웹소설 &gt; 퓨전 판타지</v>
      </c>
    </row>
    <row r="4676" spans="1:59">
      <c r="A4676" t="s">
        <v>60</v>
      </c>
      <c r="B4676" s="1">
        <v>46131</v>
      </c>
      <c r="C4676">
        <v>2378066232</v>
      </c>
      <c r="D4676">
        <v>2378066244</v>
      </c>
      <c r="E4676" t="str">
        <f>T("인생 2회차 철종의 슬기로운 정복생활 12화")</f>
        <v>인생 2회차 철종의 슬기로운 정복생활 12화</v>
      </c>
      <c r="F4676">
        <v>13</v>
      </c>
      <c r="G4676" t="str">
        <f>T("MOOHA")</f>
        <v>MOOHA</v>
      </c>
      <c r="J4676" t="str">
        <f>T("사이렌")</f>
        <v>사이렌</v>
      </c>
      <c r="K4676" t="str">
        <f>T("인생 2회차 철종의 슬기로운 정복생활")</f>
        <v>인생 2회차 철종의 슬기로운 정복생활</v>
      </c>
      <c r="L4676">
        <v>0</v>
      </c>
      <c r="M4676">
        <v>0</v>
      </c>
      <c r="N4676">
        <v>0</v>
      </c>
      <c r="O4676">
        <v>1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0</v>
      </c>
      <c r="AC4676">
        <v>0</v>
      </c>
      <c r="AD4676">
        <v>0</v>
      </c>
      <c r="AE4676">
        <v>0</v>
      </c>
      <c r="AF4676">
        <v>0</v>
      </c>
      <c r="AG4676">
        <v>0</v>
      </c>
      <c r="AH4676">
        <v>0</v>
      </c>
      <c r="AI4676">
        <v>0</v>
      </c>
      <c r="AJ4676">
        <v>1</v>
      </c>
      <c r="AK4676">
        <v>0</v>
      </c>
      <c r="AL4676">
        <v>0</v>
      </c>
      <c r="AM4676">
        <v>0</v>
      </c>
      <c r="AN4676">
        <v>0</v>
      </c>
      <c r="AO4676">
        <v>0</v>
      </c>
      <c r="AP4676">
        <v>0</v>
      </c>
      <c r="AQ4676">
        <v>0</v>
      </c>
      <c r="AS4676">
        <v>0</v>
      </c>
      <c r="AT4676">
        <v>0</v>
      </c>
      <c r="AV4676">
        <v>0</v>
      </c>
      <c r="AW4676">
        <v>0</v>
      </c>
      <c r="AY4676">
        <v>0</v>
      </c>
      <c r="AZ4676">
        <v>0</v>
      </c>
      <c r="BA4676">
        <v>0</v>
      </c>
      <c r="BE4676" t="str">
        <f>T("9791193602348")</f>
        <v>9791193602348</v>
      </c>
      <c r="BF4676" t="str">
        <f>T("k281735")</f>
        <v>k281735</v>
      </c>
      <c r="BG4676" t="str">
        <f>T("판타지 웹소설 &gt; 퓨전 판타지")</f>
        <v>판타지 웹소설 &gt; 퓨전 판타지</v>
      </c>
    </row>
    <row r="4677" spans="1:59">
      <c r="A4677" t="s">
        <v>60</v>
      </c>
      <c r="B4677" s="1">
        <v>46131</v>
      </c>
      <c r="C4677">
        <v>2378066232</v>
      </c>
      <c r="D4677">
        <v>2378066245</v>
      </c>
      <c r="E4677" t="str">
        <f>T("인생 2회차 철종의 슬기로운 정복생활 13화")</f>
        <v>인생 2회차 철종의 슬기로운 정복생활 13화</v>
      </c>
      <c r="F4677">
        <v>14</v>
      </c>
      <c r="G4677" t="str">
        <f>T("MOOHA")</f>
        <v>MOOHA</v>
      </c>
      <c r="J4677" t="str">
        <f>T("사이렌")</f>
        <v>사이렌</v>
      </c>
      <c r="K4677" t="str">
        <f>T("인생 2회차 철종의 슬기로운 정복생활")</f>
        <v>인생 2회차 철종의 슬기로운 정복생활</v>
      </c>
      <c r="L4677">
        <v>0</v>
      </c>
      <c r="M4677">
        <v>0</v>
      </c>
      <c r="N4677">
        <v>0</v>
      </c>
      <c r="O4677">
        <v>1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0</v>
      </c>
      <c r="AC4677">
        <v>0</v>
      </c>
      <c r="AD4677">
        <v>0</v>
      </c>
      <c r="AE4677">
        <v>0</v>
      </c>
      <c r="AF4677">
        <v>0</v>
      </c>
      <c r="AG4677">
        <v>0</v>
      </c>
      <c r="AH4677">
        <v>0</v>
      </c>
      <c r="AI4677">
        <v>0</v>
      </c>
      <c r="AJ4677">
        <v>1</v>
      </c>
      <c r="AK4677">
        <v>0</v>
      </c>
      <c r="AL4677">
        <v>0</v>
      </c>
      <c r="AM4677">
        <v>0</v>
      </c>
      <c r="AN4677">
        <v>0</v>
      </c>
      <c r="AO4677">
        <v>0</v>
      </c>
      <c r="AP4677">
        <v>0</v>
      </c>
      <c r="AQ4677">
        <v>0</v>
      </c>
      <c r="AS4677">
        <v>0</v>
      </c>
      <c r="AT4677">
        <v>0</v>
      </c>
      <c r="AV4677">
        <v>0</v>
      </c>
      <c r="AW4677">
        <v>0</v>
      </c>
      <c r="AY4677">
        <v>0</v>
      </c>
      <c r="AZ4677">
        <v>0</v>
      </c>
      <c r="BA4677">
        <v>0</v>
      </c>
      <c r="BE4677" t="str">
        <f>T("9791193602348")</f>
        <v>9791193602348</v>
      </c>
      <c r="BF4677" t="str">
        <f>T("k281736")</f>
        <v>k281736</v>
      </c>
      <c r="BG4677" t="str">
        <f>T("판타지 웹소설 &gt; 퓨전 판타지")</f>
        <v>판타지 웹소설 &gt; 퓨전 판타지</v>
      </c>
    </row>
    <row r="4678" spans="1:59">
      <c r="A4678" t="s">
        <v>60</v>
      </c>
      <c r="B4678" s="1">
        <v>46131</v>
      </c>
      <c r="C4678">
        <v>2378066232</v>
      </c>
      <c r="D4678">
        <v>2378066246</v>
      </c>
      <c r="E4678" t="str">
        <f>T("인생 2회차 철종의 슬기로운 정복생활 14화")</f>
        <v>인생 2회차 철종의 슬기로운 정복생활 14화</v>
      </c>
      <c r="F4678">
        <v>15</v>
      </c>
      <c r="G4678" t="str">
        <f>T("MOOHA")</f>
        <v>MOOHA</v>
      </c>
      <c r="J4678" t="str">
        <f>T("사이렌")</f>
        <v>사이렌</v>
      </c>
      <c r="K4678" t="str">
        <f>T("인생 2회차 철종의 슬기로운 정복생활")</f>
        <v>인생 2회차 철종의 슬기로운 정복생활</v>
      </c>
      <c r="L4678">
        <v>0</v>
      </c>
      <c r="M4678">
        <v>0</v>
      </c>
      <c r="N4678">
        <v>0</v>
      </c>
      <c r="O4678">
        <v>1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0</v>
      </c>
      <c r="AC4678">
        <v>0</v>
      </c>
      <c r="AD4678">
        <v>0</v>
      </c>
      <c r="AE4678">
        <v>0</v>
      </c>
      <c r="AF4678">
        <v>0</v>
      </c>
      <c r="AG4678">
        <v>0</v>
      </c>
      <c r="AH4678">
        <v>0</v>
      </c>
      <c r="AI4678">
        <v>0</v>
      </c>
      <c r="AJ4678">
        <v>1</v>
      </c>
      <c r="AK4678">
        <v>0</v>
      </c>
      <c r="AL4678">
        <v>0</v>
      </c>
      <c r="AM4678">
        <v>0</v>
      </c>
      <c r="AN4678">
        <v>0</v>
      </c>
      <c r="AO4678">
        <v>0</v>
      </c>
      <c r="AP4678">
        <v>0</v>
      </c>
      <c r="AQ4678">
        <v>0</v>
      </c>
      <c r="AS4678">
        <v>0</v>
      </c>
      <c r="AT4678">
        <v>0</v>
      </c>
      <c r="AV4678">
        <v>0</v>
      </c>
      <c r="AW4678">
        <v>0</v>
      </c>
      <c r="AY4678">
        <v>0</v>
      </c>
      <c r="AZ4678">
        <v>0</v>
      </c>
      <c r="BA4678">
        <v>0</v>
      </c>
      <c r="BE4678" t="str">
        <f>T("9791193602348")</f>
        <v>9791193602348</v>
      </c>
      <c r="BF4678" t="str">
        <f>T("k281737")</f>
        <v>k281737</v>
      </c>
      <c r="BG4678" t="str">
        <f>T("판타지 웹소설 &gt; 퓨전 판타지")</f>
        <v>판타지 웹소설 &gt; 퓨전 판타지</v>
      </c>
    </row>
    <row r="4679" spans="1:59">
      <c r="A4679" t="s">
        <v>60</v>
      </c>
      <c r="B4679" s="1">
        <v>46131</v>
      </c>
      <c r="C4679">
        <v>2378066232</v>
      </c>
      <c r="D4679">
        <v>2378066247</v>
      </c>
      <c r="E4679" t="str">
        <f>T("인생 2회차 철종의 슬기로운 정복생활 15화")</f>
        <v>인생 2회차 철종의 슬기로운 정복생활 15화</v>
      </c>
      <c r="F4679">
        <v>16</v>
      </c>
      <c r="G4679" t="str">
        <f>T("MOOHA")</f>
        <v>MOOHA</v>
      </c>
      <c r="J4679" t="str">
        <f>T("사이렌")</f>
        <v>사이렌</v>
      </c>
      <c r="K4679" t="str">
        <f>T("인생 2회차 철종의 슬기로운 정복생활")</f>
        <v>인생 2회차 철종의 슬기로운 정복생활</v>
      </c>
      <c r="L4679">
        <v>0</v>
      </c>
      <c r="M4679">
        <v>0</v>
      </c>
      <c r="N4679">
        <v>0</v>
      </c>
      <c r="O4679">
        <v>1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0</v>
      </c>
      <c r="AC4679">
        <v>0</v>
      </c>
      <c r="AD4679">
        <v>0</v>
      </c>
      <c r="AE4679">
        <v>0</v>
      </c>
      <c r="AF4679">
        <v>0</v>
      </c>
      <c r="AG4679">
        <v>0</v>
      </c>
      <c r="AH4679">
        <v>0</v>
      </c>
      <c r="AI4679">
        <v>0</v>
      </c>
      <c r="AJ4679">
        <v>1</v>
      </c>
      <c r="AK4679">
        <v>0</v>
      </c>
      <c r="AL4679">
        <v>0</v>
      </c>
      <c r="AM4679">
        <v>0</v>
      </c>
      <c r="AN4679">
        <v>0</v>
      </c>
      <c r="AO4679">
        <v>0</v>
      </c>
      <c r="AP4679">
        <v>0</v>
      </c>
      <c r="AQ4679">
        <v>0</v>
      </c>
      <c r="AS4679">
        <v>0</v>
      </c>
      <c r="AT4679">
        <v>0</v>
      </c>
      <c r="AV4679">
        <v>0</v>
      </c>
      <c r="AW4679">
        <v>0</v>
      </c>
      <c r="AY4679">
        <v>0</v>
      </c>
      <c r="AZ4679">
        <v>0</v>
      </c>
      <c r="BA4679">
        <v>0</v>
      </c>
      <c r="BE4679" t="str">
        <f>T("9791193602348")</f>
        <v>9791193602348</v>
      </c>
      <c r="BF4679" t="str">
        <f>T("k281738")</f>
        <v>k281738</v>
      </c>
      <c r="BG4679" t="str">
        <f>T("판타지 웹소설 &gt; 퓨전 판타지")</f>
        <v>판타지 웹소설 &gt; 퓨전 판타지</v>
      </c>
    </row>
    <row r="4680" spans="1:59">
      <c r="A4680" t="s">
        <v>60</v>
      </c>
      <c r="B4680" s="1">
        <v>46131</v>
      </c>
      <c r="C4680">
        <v>2378066232</v>
      </c>
      <c r="D4680">
        <v>2378066248</v>
      </c>
      <c r="E4680" t="str">
        <f>T("인생 2회차 철종의 슬기로운 정복생활 16화")</f>
        <v>인생 2회차 철종의 슬기로운 정복생활 16화</v>
      </c>
      <c r="F4680">
        <v>17</v>
      </c>
      <c r="G4680" t="str">
        <f>T("MOOHA")</f>
        <v>MOOHA</v>
      </c>
      <c r="J4680" t="str">
        <f>T("사이렌")</f>
        <v>사이렌</v>
      </c>
      <c r="K4680" t="str">
        <f>T("인생 2회차 철종의 슬기로운 정복생활")</f>
        <v>인생 2회차 철종의 슬기로운 정복생활</v>
      </c>
      <c r="L4680">
        <v>0</v>
      </c>
      <c r="M4680">
        <v>0</v>
      </c>
      <c r="N4680">
        <v>0</v>
      </c>
      <c r="O4680">
        <v>1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0</v>
      </c>
      <c r="AC4680">
        <v>0</v>
      </c>
      <c r="AD4680">
        <v>0</v>
      </c>
      <c r="AE4680">
        <v>0</v>
      </c>
      <c r="AF4680">
        <v>0</v>
      </c>
      <c r="AG4680">
        <v>0</v>
      </c>
      <c r="AH4680">
        <v>0</v>
      </c>
      <c r="AI4680">
        <v>0</v>
      </c>
      <c r="AJ4680">
        <v>1</v>
      </c>
      <c r="AK4680">
        <v>0</v>
      </c>
      <c r="AL4680">
        <v>0</v>
      </c>
      <c r="AM4680">
        <v>0</v>
      </c>
      <c r="AN4680">
        <v>0</v>
      </c>
      <c r="AO4680">
        <v>0</v>
      </c>
      <c r="AP4680">
        <v>0</v>
      </c>
      <c r="AQ4680">
        <v>0</v>
      </c>
      <c r="AS4680">
        <v>0</v>
      </c>
      <c r="AT4680">
        <v>0</v>
      </c>
      <c r="AV4680">
        <v>0</v>
      </c>
      <c r="AW4680">
        <v>0</v>
      </c>
      <c r="AY4680">
        <v>0</v>
      </c>
      <c r="AZ4680">
        <v>0</v>
      </c>
      <c r="BA4680">
        <v>0</v>
      </c>
      <c r="BE4680" t="str">
        <f>T("9791193602348")</f>
        <v>9791193602348</v>
      </c>
      <c r="BF4680" t="str">
        <f>T("k281739")</f>
        <v>k281739</v>
      </c>
      <c r="BG4680" t="str">
        <f>T("판타지 웹소설 &gt; 퓨전 판타지")</f>
        <v>판타지 웹소설 &gt; 퓨전 판타지</v>
      </c>
    </row>
    <row r="4681" spans="1:59">
      <c r="A4681" t="s">
        <v>60</v>
      </c>
      <c r="B4681" s="1">
        <v>46129</v>
      </c>
      <c r="C4681">
        <v>2378025184</v>
      </c>
      <c r="D4681">
        <v>2378025184</v>
      </c>
      <c r="E4681" t="str">
        <f>T("장부귀환 1화")</f>
        <v>장부귀환 1화</v>
      </c>
      <c r="F4681">
        <v>1</v>
      </c>
      <c r="G4681" t="str">
        <f>T("불군(不群)")</f>
        <v>불군(不群)</v>
      </c>
      <c r="J4681" t="str">
        <f>T("매드햇")</f>
        <v>매드햇</v>
      </c>
      <c r="K4681" t="str">
        <f>T("장부귀환")</f>
        <v>장부귀환</v>
      </c>
      <c r="L4681">
        <v>0</v>
      </c>
      <c r="M4681">
        <v>0</v>
      </c>
      <c r="N4681">
        <v>0</v>
      </c>
      <c r="O4681">
        <v>1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0</v>
      </c>
      <c r="AC4681">
        <v>0</v>
      </c>
      <c r="AD4681">
        <v>0</v>
      </c>
      <c r="AE4681">
        <v>0</v>
      </c>
      <c r="AF4681">
        <v>0</v>
      </c>
      <c r="AG4681">
        <v>0</v>
      </c>
      <c r="AH4681">
        <v>0</v>
      </c>
      <c r="AI4681">
        <v>0</v>
      </c>
      <c r="AJ4681">
        <v>1</v>
      </c>
      <c r="AK4681">
        <v>0</v>
      </c>
      <c r="AL4681">
        <v>0</v>
      </c>
      <c r="AM4681">
        <v>0</v>
      </c>
      <c r="AN4681">
        <v>0</v>
      </c>
      <c r="AO4681">
        <v>0</v>
      </c>
      <c r="AP4681">
        <v>0</v>
      </c>
      <c r="AQ4681">
        <v>0</v>
      </c>
      <c r="AS4681">
        <v>0</v>
      </c>
      <c r="AT4681">
        <v>0</v>
      </c>
      <c r="AV4681">
        <v>0</v>
      </c>
      <c r="AW4681">
        <v>0</v>
      </c>
      <c r="AY4681">
        <v>0</v>
      </c>
      <c r="AZ4681">
        <v>0</v>
      </c>
      <c r="BA4681">
        <v>0</v>
      </c>
      <c r="BE4681" t="str">
        <f>T("9791137001572")</f>
        <v>9791137001572</v>
      </c>
      <c r="BF4681" t="str">
        <f>T("E772229")</f>
        <v>E772229</v>
      </c>
      <c r="BG4681" t="str">
        <f>T("판타지 웹소설 &gt; 무협 소설")</f>
        <v>판타지 웹소설 &gt; 무협 소설</v>
      </c>
    </row>
    <row r="4682" spans="1:59">
      <c r="A4682" t="s">
        <v>60</v>
      </c>
      <c r="B4682" s="1">
        <v>46129</v>
      </c>
      <c r="C4682">
        <v>2378025184</v>
      </c>
      <c r="D4682">
        <v>2378025185</v>
      </c>
      <c r="E4682" t="str">
        <f>T("장부귀환 2화")</f>
        <v>장부귀환 2화</v>
      </c>
      <c r="F4682">
        <v>2</v>
      </c>
      <c r="G4682" t="str">
        <f>T("불군(不群)")</f>
        <v>불군(不群)</v>
      </c>
      <c r="J4682" t="str">
        <f>T("매드햇")</f>
        <v>매드햇</v>
      </c>
      <c r="K4682" t="str">
        <f>T("장부귀환")</f>
        <v>장부귀환</v>
      </c>
      <c r="L4682">
        <v>0</v>
      </c>
      <c r="M4682">
        <v>0</v>
      </c>
      <c r="N4682">
        <v>0</v>
      </c>
      <c r="O4682">
        <v>1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0</v>
      </c>
      <c r="AC4682">
        <v>0</v>
      </c>
      <c r="AD4682">
        <v>0</v>
      </c>
      <c r="AE4682">
        <v>0</v>
      </c>
      <c r="AF4682">
        <v>0</v>
      </c>
      <c r="AG4682">
        <v>0</v>
      </c>
      <c r="AH4682">
        <v>0</v>
      </c>
      <c r="AI4682">
        <v>0</v>
      </c>
      <c r="AJ4682">
        <v>1</v>
      </c>
      <c r="AK4682">
        <v>0</v>
      </c>
      <c r="AL4682">
        <v>0</v>
      </c>
      <c r="AM4682">
        <v>0</v>
      </c>
      <c r="AN4682">
        <v>0</v>
      </c>
      <c r="AO4682">
        <v>0</v>
      </c>
      <c r="AP4682">
        <v>0</v>
      </c>
      <c r="AQ4682">
        <v>0</v>
      </c>
      <c r="AS4682">
        <v>0</v>
      </c>
      <c r="AT4682">
        <v>0</v>
      </c>
      <c r="AV4682">
        <v>0</v>
      </c>
      <c r="AW4682">
        <v>0</v>
      </c>
      <c r="AY4682">
        <v>0</v>
      </c>
      <c r="AZ4682">
        <v>0</v>
      </c>
      <c r="BA4682">
        <v>0</v>
      </c>
      <c r="BE4682" t="str">
        <f>T("9791137001572")</f>
        <v>9791137001572</v>
      </c>
      <c r="BF4682" t="str">
        <f>T("E772230")</f>
        <v>E772230</v>
      </c>
      <c r="BG4682" t="str">
        <f>T("판타지 웹소설 &gt; 무협 소설")</f>
        <v>판타지 웹소설 &gt; 무협 소설</v>
      </c>
    </row>
    <row r="4683" spans="1:59">
      <c r="A4683" t="s">
        <v>60</v>
      </c>
      <c r="B4683" s="1">
        <v>46129</v>
      </c>
      <c r="C4683">
        <v>2378025184</v>
      </c>
      <c r="D4683">
        <v>2378025186</v>
      </c>
      <c r="E4683" t="str">
        <f>T("장부귀환 3화")</f>
        <v>장부귀환 3화</v>
      </c>
      <c r="F4683">
        <v>3</v>
      </c>
      <c r="G4683" t="str">
        <f>T("불군(不群)")</f>
        <v>불군(不群)</v>
      </c>
      <c r="J4683" t="str">
        <f>T("매드햇")</f>
        <v>매드햇</v>
      </c>
      <c r="K4683" t="str">
        <f>T("장부귀환")</f>
        <v>장부귀환</v>
      </c>
      <c r="L4683">
        <v>0</v>
      </c>
      <c r="M4683">
        <v>0</v>
      </c>
      <c r="N4683">
        <v>0</v>
      </c>
      <c r="O4683">
        <v>1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0</v>
      </c>
      <c r="AC4683">
        <v>0</v>
      </c>
      <c r="AD4683">
        <v>0</v>
      </c>
      <c r="AE4683">
        <v>0</v>
      </c>
      <c r="AF4683">
        <v>0</v>
      </c>
      <c r="AG4683">
        <v>0</v>
      </c>
      <c r="AH4683">
        <v>0</v>
      </c>
      <c r="AI4683">
        <v>0</v>
      </c>
      <c r="AJ4683">
        <v>1</v>
      </c>
      <c r="AK4683">
        <v>0</v>
      </c>
      <c r="AL4683">
        <v>0</v>
      </c>
      <c r="AM4683">
        <v>0</v>
      </c>
      <c r="AN4683">
        <v>0</v>
      </c>
      <c r="AO4683">
        <v>0</v>
      </c>
      <c r="AP4683">
        <v>0</v>
      </c>
      <c r="AQ4683">
        <v>0</v>
      </c>
      <c r="AS4683">
        <v>0</v>
      </c>
      <c r="AT4683">
        <v>0</v>
      </c>
      <c r="AV4683">
        <v>0</v>
      </c>
      <c r="AW4683">
        <v>0</v>
      </c>
      <c r="AY4683">
        <v>0</v>
      </c>
      <c r="AZ4683">
        <v>0</v>
      </c>
      <c r="BA4683">
        <v>0</v>
      </c>
      <c r="BE4683" t="str">
        <f>T("9791137001572")</f>
        <v>9791137001572</v>
      </c>
      <c r="BF4683" t="str">
        <f>T("E772231")</f>
        <v>E772231</v>
      </c>
      <c r="BG4683" t="str">
        <f>T("판타지 웹소설 &gt; 무협 소설")</f>
        <v>판타지 웹소설 &gt; 무협 소설</v>
      </c>
    </row>
    <row r="4684" spans="1:59">
      <c r="A4684" t="s">
        <v>60</v>
      </c>
      <c r="B4684" s="1">
        <v>46129</v>
      </c>
      <c r="C4684">
        <v>2378025184</v>
      </c>
      <c r="D4684">
        <v>2378025187</v>
      </c>
      <c r="E4684" t="str">
        <f>T("장부귀환 4화")</f>
        <v>장부귀환 4화</v>
      </c>
      <c r="F4684">
        <v>4</v>
      </c>
      <c r="G4684" t="str">
        <f>T("불군(不群)")</f>
        <v>불군(不群)</v>
      </c>
      <c r="J4684" t="str">
        <f>T("매드햇")</f>
        <v>매드햇</v>
      </c>
      <c r="K4684" t="str">
        <f>T("장부귀환")</f>
        <v>장부귀환</v>
      </c>
      <c r="L4684">
        <v>0</v>
      </c>
      <c r="M4684">
        <v>0</v>
      </c>
      <c r="N4684">
        <v>0</v>
      </c>
      <c r="O4684">
        <v>1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0</v>
      </c>
      <c r="AC4684">
        <v>0</v>
      </c>
      <c r="AD4684">
        <v>0</v>
      </c>
      <c r="AE4684">
        <v>0</v>
      </c>
      <c r="AF4684">
        <v>0</v>
      </c>
      <c r="AG4684">
        <v>0</v>
      </c>
      <c r="AH4684">
        <v>0</v>
      </c>
      <c r="AI4684">
        <v>0</v>
      </c>
      <c r="AJ4684">
        <v>1</v>
      </c>
      <c r="AK4684">
        <v>0</v>
      </c>
      <c r="AL4684">
        <v>0</v>
      </c>
      <c r="AM4684">
        <v>0</v>
      </c>
      <c r="AN4684">
        <v>0</v>
      </c>
      <c r="AO4684">
        <v>0</v>
      </c>
      <c r="AP4684">
        <v>0</v>
      </c>
      <c r="AQ4684">
        <v>0</v>
      </c>
      <c r="AS4684">
        <v>0</v>
      </c>
      <c r="AT4684">
        <v>0</v>
      </c>
      <c r="AV4684">
        <v>0</v>
      </c>
      <c r="AW4684">
        <v>0</v>
      </c>
      <c r="AY4684">
        <v>0</v>
      </c>
      <c r="AZ4684">
        <v>0</v>
      </c>
      <c r="BA4684">
        <v>0</v>
      </c>
      <c r="BE4684" t="str">
        <f>T("9791137001572")</f>
        <v>9791137001572</v>
      </c>
      <c r="BF4684" t="str">
        <f>T("E772232")</f>
        <v>E772232</v>
      </c>
      <c r="BG4684" t="str">
        <f>T("판타지 웹소설 &gt; 무협 소설")</f>
        <v>판타지 웹소설 &gt; 무협 소설</v>
      </c>
    </row>
    <row r="4685" spans="1:59">
      <c r="A4685" t="s">
        <v>60</v>
      </c>
      <c r="B4685" s="1">
        <v>46129</v>
      </c>
      <c r="C4685">
        <v>2378025184</v>
      </c>
      <c r="D4685">
        <v>2378025188</v>
      </c>
      <c r="E4685" t="str">
        <f>T("장부귀환 5화")</f>
        <v>장부귀환 5화</v>
      </c>
      <c r="F4685">
        <v>5</v>
      </c>
      <c r="G4685" t="str">
        <f>T("불군(不群)")</f>
        <v>불군(不群)</v>
      </c>
      <c r="J4685" t="str">
        <f>T("매드햇")</f>
        <v>매드햇</v>
      </c>
      <c r="K4685" t="str">
        <f>T("장부귀환")</f>
        <v>장부귀환</v>
      </c>
      <c r="L4685">
        <v>0</v>
      </c>
      <c r="M4685">
        <v>0</v>
      </c>
      <c r="N4685">
        <v>0</v>
      </c>
      <c r="O4685">
        <v>1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0</v>
      </c>
      <c r="AC4685">
        <v>0</v>
      </c>
      <c r="AD4685">
        <v>0</v>
      </c>
      <c r="AE4685">
        <v>0</v>
      </c>
      <c r="AF4685">
        <v>0</v>
      </c>
      <c r="AG4685">
        <v>0</v>
      </c>
      <c r="AH4685">
        <v>0</v>
      </c>
      <c r="AI4685">
        <v>0</v>
      </c>
      <c r="AJ4685">
        <v>1</v>
      </c>
      <c r="AK4685">
        <v>0</v>
      </c>
      <c r="AL4685">
        <v>0</v>
      </c>
      <c r="AM4685">
        <v>0</v>
      </c>
      <c r="AN4685">
        <v>0</v>
      </c>
      <c r="AO4685">
        <v>0</v>
      </c>
      <c r="AP4685">
        <v>0</v>
      </c>
      <c r="AQ4685">
        <v>0</v>
      </c>
      <c r="AS4685">
        <v>0</v>
      </c>
      <c r="AT4685">
        <v>0</v>
      </c>
      <c r="AV4685">
        <v>0</v>
      </c>
      <c r="AW4685">
        <v>0</v>
      </c>
      <c r="AY4685">
        <v>0</v>
      </c>
      <c r="AZ4685">
        <v>0</v>
      </c>
      <c r="BA4685">
        <v>0</v>
      </c>
      <c r="BE4685" t="str">
        <f>T("9791137001572")</f>
        <v>9791137001572</v>
      </c>
      <c r="BF4685" t="str">
        <f>T("E772233")</f>
        <v>E772233</v>
      </c>
      <c r="BG4685" t="str">
        <f>T("판타지 웹소설 &gt; 무협 소설")</f>
        <v>판타지 웹소설 &gt; 무협 소설</v>
      </c>
    </row>
    <row r="4686" spans="1:59">
      <c r="A4686" t="s">
        <v>60</v>
      </c>
      <c r="B4686" s="1">
        <v>46129</v>
      </c>
      <c r="C4686">
        <v>2378025184</v>
      </c>
      <c r="D4686">
        <v>2378025189</v>
      </c>
      <c r="E4686" t="str">
        <f>T("장부귀환 6화")</f>
        <v>장부귀환 6화</v>
      </c>
      <c r="F4686">
        <v>6</v>
      </c>
      <c r="G4686" t="str">
        <f>T("불군(不群)")</f>
        <v>불군(不群)</v>
      </c>
      <c r="J4686" t="str">
        <f>T("매드햇")</f>
        <v>매드햇</v>
      </c>
      <c r="K4686" t="str">
        <f>T("장부귀환")</f>
        <v>장부귀환</v>
      </c>
      <c r="L4686">
        <v>0</v>
      </c>
      <c r="M4686">
        <v>0</v>
      </c>
      <c r="N4686">
        <v>0</v>
      </c>
      <c r="O4686">
        <v>1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0</v>
      </c>
      <c r="AC4686">
        <v>0</v>
      </c>
      <c r="AD4686">
        <v>0</v>
      </c>
      <c r="AE4686">
        <v>0</v>
      </c>
      <c r="AF4686">
        <v>0</v>
      </c>
      <c r="AG4686">
        <v>0</v>
      </c>
      <c r="AH4686">
        <v>0</v>
      </c>
      <c r="AI4686">
        <v>0</v>
      </c>
      <c r="AJ4686">
        <v>1</v>
      </c>
      <c r="AK4686">
        <v>0</v>
      </c>
      <c r="AL4686">
        <v>0</v>
      </c>
      <c r="AM4686">
        <v>0</v>
      </c>
      <c r="AN4686">
        <v>0</v>
      </c>
      <c r="AO4686">
        <v>0</v>
      </c>
      <c r="AP4686">
        <v>0</v>
      </c>
      <c r="AQ4686">
        <v>0</v>
      </c>
      <c r="AS4686">
        <v>0</v>
      </c>
      <c r="AT4686">
        <v>0</v>
      </c>
      <c r="AV4686">
        <v>0</v>
      </c>
      <c r="AW4686">
        <v>0</v>
      </c>
      <c r="AY4686">
        <v>0</v>
      </c>
      <c r="AZ4686">
        <v>0</v>
      </c>
      <c r="BA4686">
        <v>0</v>
      </c>
      <c r="BE4686" t="str">
        <f>T("9791137001572")</f>
        <v>9791137001572</v>
      </c>
      <c r="BF4686" t="str">
        <f>T("E772234")</f>
        <v>E772234</v>
      </c>
      <c r="BG4686" t="str">
        <f>T("판타지 웹소설 &gt; 무협 소설")</f>
        <v>판타지 웹소설 &gt; 무협 소설</v>
      </c>
    </row>
    <row r="4687" spans="1:59">
      <c r="A4687" t="s">
        <v>60</v>
      </c>
      <c r="B4687" s="1">
        <v>46129</v>
      </c>
      <c r="C4687">
        <v>2378025184</v>
      </c>
      <c r="D4687">
        <v>2378025190</v>
      </c>
      <c r="E4687" t="str">
        <f>T("장부귀환 7화")</f>
        <v>장부귀환 7화</v>
      </c>
      <c r="F4687">
        <v>7</v>
      </c>
      <c r="G4687" t="str">
        <f>T("불군(不群)")</f>
        <v>불군(不群)</v>
      </c>
      <c r="J4687" t="str">
        <f>T("매드햇")</f>
        <v>매드햇</v>
      </c>
      <c r="K4687" t="str">
        <f>T("장부귀환")</f>
        <v>장부귀환</v>
      </c>
      <c r="L4687">
        <v>0</v>
      </c>
      <c r="M4687">
        <v>0</v>
      </c>
      <c r="N4687">
        <v>0</v>
      </c>
      <c r="O4687">
        <v>1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0</v>
      </c>
      <c r="AC4687">
        <v>0</v>
      </c>
      <c r="AD4687">
        <v>0</v>
      </c>
      <c r="AE4687">
        <v>0</v>
      </c>
      <c r="AF4687">
        <v>0</v>
      </c>
      <c r="AG4687">
        <v>0</v>
      </c>
      <c r="AH4687">
        <v>0</v>
      </c>
      <c r="AI4687">
        <v>0</v>
      </c>
      <c r="AJ4687">
        <v>1</v>
      </c>
      <c r="AK4687">
        <v>0</v>
      </c>
      <c r="AL4687">
        <v>0</v>
      </c>
      <c r="AM4687">
        <v>0</v>
      </c>
      <c r="AN4687">
        <v>0</v>
      </c>
      <c r="AO4687">
        <v>0</v>
      </c>
      <c r="AP4687">
        <v>0</v>
      </c>
      <c r="AQ4687">
        <v>0</v>
      </c>
      <c r="AS4687">
        <v>0</v>
      </c>
      <c r="AT4687">
        <v>0</v>
      </c>
      <c r="AV4687">
        <v>0</v>
      </c>
      <c r="AW4687">
        <v>0</v>
      </c>
      <c r="AY4687">
        <v>0</v>
      </c>
      <c r="AZ4687">
        <v>0</v>
      </c>
      <c r="BA4687">
        <v>0</v>
      </c>
      <c r="BE4687" t="str">
        <f>T("9791137001572")</f>
        <v>9791137001572</v>
      </c>
      <c r="BF4687" t="str">
        <f>T("E772235")</f>
        <v>E772235</v>
      </c>
      <c r="BG4687" t="str">
        <f>T("판타지 웹소설 &gt; 무협 소설")</f>
        <v>판타지 웹소설 &gt; 무협 소설</v>
      </c>
    </row>
    <row r="4688" spans="1:59">
      <c r="A4688" t="s">
        <v>60</v>
      </c>
      <c r="B4688" s="1">
        <v>46129</v>
      </c>
      <c r="C4688">
        <v>2378025184</v>
      </c>
      <c r="D4688">
        <v>2378025191</v>
      </c>
      <c r="E4688" t="str">
        <f>T("장부귀환 8화")</f>
        <v>장부귀환 8화</v>
      </c>
      <c r="F4688">
        <v>8</v>
      </c>
      <c r="G4688" t="str">
        <f>T("불군(不群)")</f>
        <v>불군(不群)</v>
      </c>
      <c r="J4688" t="str">
        <f>T("매드햇")</f>
        <v>매드햇</v>
      </c>
      <c r="K4688" t="str">
        <f>T("장부귀환")</f>
        <v>장부귀환</v>
      </c>
      <c r="L4688">
        <v>0</v>
      </c>
      <c r="M4688">
        <v>0</v>
      </c>
      <c r="N4688">
        <v>0</v>
      </c>
      <c r="O4688">
        <v>1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0</v>
      </c>
      <c r="AC4688">
        <v>0</v>
      </c>
      <c r="AD4688">
        <v>0</v>
      </c>
      <c r="AE4688">
        <v>0</v>
      </c>
      <c r="AF4688">
        <v>0</v>
      </c>
      <c r="AG4688">
        <v>0</v>
      </c>
      <c r="AH4688">
        <v>0</v>
      </c>
      <c r="AI4688">
        <v>0</v>
      </c>
      <c r="AJ4688">
        <v>1</v>
      </c>
      <c r="AK4688">
        <v>0</v>
      </c>
      <c r="AL4688">
        <v>0</v>
      </c>
      <c r="AM4688">
        <v>0</v>
      </c>
      <c r="AN4688">
        <v>0</v>
      </c>
      <c r="AO4688">
        <v>0</v>
      </c>
      <c r="AP4688">
        <v>0</v>
      </c>
      <c r="AQ4688">
        <v>0</v>
      </c>
      <c r="AS4688">
        <v>0</v>
      </c>
      <c r="AT4688">
        <v>0</v>
      </c>
      <c r="AV4688">
        <v>0</v>
      </c>
      <c r="AW4688">
        <v>0</v>
      </c>
      <c r="AY4688">
        <v>0</v>
      </c>
      <c r="AZ4688">
        <v>0</v>
      </c>
      <c r="BA4688">
        <v>0</v>
      </c>
      <c r="BE4688" t="str">
        <f>T("9791137001572")</f>
        <v>9791137001572</v>
      </c>
      <c r="BF4688" t="str">
        <f>T("E772236")</f>
        <v>E772236</v>
      </c>
      <c r="BG4688" t="str">
        <f>T("판타지 웹소설 &gt; 무협 소설")</f>
        <v>판타지 웹소설 &gt; 무협 소설</v>
      </c>
    </row>
    <row r="4689" spans="1:59">
      <c r="A4689" t="s">
        <v>60</v>
      </c>
      <c r="B4689" s="1">
        <v>46129</v>
      </c>
      <c r="C4689">
        <v>2378025184</v>
      </c>
      <c r="D4689">
        <v>2378025192</v>
      </c>
      <c r="E4689" t="str">
        <f>T("장부귀환 9화")</f>
        <v>장부귀환 9화</v>
      </c>
      <c r="F4689">
        <v>9</v>
      </c>
      <c r="G4689" t="str">
        <f>T("불군(不群)")</f>
        <v>불군(不群)</v>
      </c>
      <c r="J4689" t="str">
        <f>T("매드햇")</f>
        <v>매드햇</v>
      </c>
      <c r="K4689" t="str">
        <f>T("장부귀환")</f>
        <v>장부귀환</v>
      </c>
      <c r="L4689">
        <v>0</v>
      </c>
      <c r="M4689">
        <v>0</v>
      </c>
      <c r="N4689">
        <v>0</v>
      </c>
      <c r="O4689">
        <v>1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0</v>
      </c>
      <c r="AC4689">
        <v>0</v>
      </c>
      <c r="AD4689">
        <v>0</v>
      </c>
      <c r="AE4689">
        <v>0</v>
      </c>
      <c r="AF4689">
        <v>0</v>
      </c>
      <c r="AG4689">
        <v>0</v>
      </c>
      <c r="AH4689">
        <v>0</v>
      </c>
      <c r="AI4689">
        <v>0</v>
      </c>
      <c r="AJ4689">
        <v>1</v>
      </c>
      <c r="AK4689">
        <v>0</v>
      </c>
      <c r="AL4689">
        <v>0</v>
      </c>
      <c r="AM4689">
        <v>0</v>
      </c>
      <c r="AN4689">
        <v>0</v>
      </c>
      <c r="AO4689">
        <v>0</v>
      </c>
      <c r="AP4689">
        <v>0</v>
      </c>
      <c r="AQ4689">
        <v>0</v>
      </c>
      <c r="AS4689">
        <v>0</v>
      </c>
      <c r="AT4689">
        <v>0</v>
      </c>
      <c r="AV4689">
        <v>0</v>
      </c>
      <c r="AW4689">
        <v>0</v>
      </c>
      <c r="AY4689">
        <v>0</v>
      </c>
      <c r="AZ4689">
        <v>0</v>
      </c>
      <c r="BA4689">
        <v>0</v>
      </c>
      <c r="BE4689" t="str">
        <f>T("9791137001572")</f>
        <v>9791137001572</v>
      </c>
      <c r="BF4689" t="str">
        <f>T("E772237")</f>
        <v>E772237</v>
      </c>
      <c r="BG4689" t="str">
        <f>T("판타지 웹소설 &gt; 무협 소설")</f>
        <v>판타지 웹소설 &gt; 무협 소설</v>
      </c>
    </row>
    <row r="4690" spans="1:59">
      <c r="A4690" t="s">
        <v>60</v>
      </c>
      <c r="B4690" s="1">
        <v>46129</v>
      </c>
      <c r="C4690">
        <v>2378025184</v>
      </c>
      <c r="D4690">
        <v>2378025193</v>
      </c>
      <c r="E4690" t="str">
        <f>T("장부귀환 10화")</f>
        <v>장부귀환 10화</v>
      </c>
      <c r="F4690">
        <v>10</v>
      </c>
      <c r="G4690" t="str">
        <f>T("불군(不群)")</f>
        <v>불군(不群)</v>
      </c>
      <c r="J4690" t="str">
        <f>T("매드햇")</f>
        <v>매드햇</v>
      </c>
      <c r="K4690" t="str">
        <f>T("장부귀환")</f>
        <v>장부귀환</v>
      </c>
      <c r="L4690">
        <v>0</v>
      </c>
      <c r="M4690">
        <v>0</v>
      </c>
      <c r="N4690">
        <v>0</v>
      </c>
      <c r="O4690">
        <v>1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0</v>
      </c>
      <c r="AC4690">
        <v>0</v>
      </c>
      <c r="AD4690">
        <v>0</v>
      </c>
      <c r="AE4690">
        <v>0</v>
      </c>
      <c r="AF4690">
        <v>0</v>
      </c>
      <c r="AG4690">
        <v>0</v>
      </c>
      <c r="AH4690">
        <v>0</v>
      </c>
      <c r="AI4690">
        <v>0</v>
      </c>
      <c r="AJ4690">
        <v>1</v>
      </c>
      <c r="AK4690">
        <v>0</v>
      </c>
      <c r="AL4690">
        <v>0</v>
      </c>
      <c r="AM4690">
        <v>0</v>
      </c>
      <c r="AN4690">
        <v>0</v>
      </c>
      <c r="AO4690">
        <v>0</v>
      </c>
      <c r="AP4690">
        <v>0</v>
      </c>
      <c r="AQ4690">
        <v>0</v>
      </c>
      <c r="AS4690">
        <v>0</v>
      </c>
      <c r="AT4690">
        <v>0</v>
      </c>
      <c r="AV4690">
        <v>0</v>
      </c>
      <c r="AW4690">
        <v>0</v>
      </c>
      <c r="AY4690">
        <v>0</v>
      </c>
      <c r="AZ4690">
        <v>0</v>
      </c>
      <c r="BA4690">
        <v>0</v>
      </c>
      <c r="BE4690" t="str">
        <f>T("9791137001572")</f>
        <v>9791137001572</v>
      </c>
      <c r="BF4690" t="str">
        <f>T("E772238")</f>
        <v>E772238</v>
      </c>
      <c r="BG4690" t="str">
        <f>T("판타지 웹소설 &gt; 무협 소설")</f>
        <v>판타지 웹소설 &gt; 무협 소설</v>
      </c>
    </row>
    <row r="4691" spans="1:59">
      <c r="A4691" t="s">
        <v>60</v>
      </c>
      <c r="B4691" s="1">
        <v>46129</v>
      </c>
      <c r="C4691">
        <v>2378025184</v>
      </c>
      <c r="D4691">
        <v>2378025194</v>
      </c>
      <c r="E4691" t="str">
        <f>T("장부귀환 11화")</f>
        <v>장부귀환 11화</v>
      </c>
      <c r="F4691">
        <v>11</v>
      </c>
      <c r="G4691" t="str">
        <f>T("불군(不群)")</f>
        <v>불군(不群)</v>
      </c>
      <c r="J4691" t="str">
        <f>T("매드햇")</f>
        <v>매드햇</v>
      </c>
      <c r="K4691" t="str">
        <f>T("장부귀환")</f>
        <v>장부귀환</v>
      </c>
      <c r="L4691">
        <v>0</v>
      </c>
      <c r="M4691">
        <v>0</v>
      </c>
      <c r="N4691">
        <v>0</v>
      </c>
      <c r="O4691">
        <v>1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0</v>
      </c>
      <c r="AC4691">
        <v>0</v>
      </c>
      <c r="AD4691">
        <v>0</v>
      </c>
      <c r="AE4691">
        <v>0</v>
      </c>
      <c r="AF4691">
        <v>0</v>
      </c>
      <c r="AG4691">
        <v>0</v>
      </c>
      <c r="AH4691">
        <v>0</v>
      </c>
      <c r="AI4691">
        <v>0</v>
      </c>
      <c r="AJ4691">
        <v>1</v>
      </c>
      <c r="AK4691">
        <v>0</v>
      </c>
      <c r="AL4691">
        <v>0</v>
      </c>
      <c r="AM4691">
        <v>0</v>
      </c>
      <c r="AN4691">
        <v>0</v>
      </c>
      <c r="AO4691">
        <v>0</v>
      </c>
      <c r="AP4691">
        <v>0</v>
      </c>
      <c r="AQ4691">
        <v>0</v>
      </c>
      <c r="AS4691">
        <v>0</v>
      </c>
      <c r="AT4691">
        <v>0</v>
      </c>
      <c r="AV4691">
        <v>0</v>
      </c>
      <c r="AW4691">
        <v>0</v>
      </c>
      <c r="AY4691">
        <v>0</v>
      </c>
      <c r="AZ4691">
        <v>0</v>
      </c>
      <c r="BA4691">
        <v>0</v>
      </c>
      <c r="BE4691" t="str">
        <f>T("9791137001572")</f>
        <v>9791137001572</v>
      </c>
      <c r="BF4691" t="str">
        <f>T("E772239")</f>
        <v>E772239</v>
      </c>
      <c r="BG4691" t="str">
        <f>T("판타지 웹소설 &gt; 무협 소설")</f>
        <v>판타지 웹소설 &gt; 무협 소설</v>
      </c>
    </row>
    <row r="4692" spans="1:59">
      <c r="A4692" t="s">
        <v>60</v>
      </c>
      <c r="B4692" s="1">
        <v>46129</v>
      </c>
      <c r="C4692">
        <v>2378025184</v>
      </c>
      <c r="D4692">
        <v>2378025195</v>
      </c>
      <c r="E4692" t="str">
        <f>T("장부귀환 12화")</f>
        <v>장부귀환 12화</v>
      </c>
      <c r="F4692">
        <v>12</v>
      </c>
      <c r="G4692" t="str">
        <f>T("불군(不群)")</f>
        <v>불군(不群)</v>
      </c>
      <c r="J4692" t="str">
        <f>T("매드햇")</f>
        <v>매드햇</v>
      </c>
      <c r="K4692" t="str">
        <f>T("장부귀환")</f>
        <v>장부귀환</v>
      </c>
      <c r="L4692">
        <v>0</v>
      </c>
      <c r="M4692">
        <v>0</v>
      </c>
      <c r="N4692">
        <v>0</v>
      </c>
      <c r="O4692">
        <v>1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0</v>
      </c>
      <c r="AC4692">
        <v>0</v>
      </c>
      <c r="AD4692">
        <v>0</v>
      </c>
      <c r="AE4692">
        <v>0</v>
      </c>
      <c r="AF4692">
        <v>0</v>
      </c>
      <c r="AG4692">
        <v>0</v>
      </c>
      <c r="AH4692">
        <v>0</v>
      </c>
      <c r="AI4692">
        <v>0</v>
      </c>
      <c r="AJ4692">
        <v>1</v>
      </c>
      <c r="AK4692">
        <v>0</v>
      </c>
      <c r="AL4692">
        <v>0</v>
      </c>
      <c r="AM4692">
        <v>0</v>
      </c>
      <c r="AN4692">
        <v>0</v>
      </c>
      <c r="AO4692">
        <v>0</v>
      </c>
      <c r="AP4692">
        <v>0</v>
      </c>
      <c r="AQ4692">
        <v>0</v>
      </c>
      <c r="AS4692">
        <v>0</v>
      </c>
      <c r="AT4692">
        <v>0</v>
      </c>
      <c r="AV4692">
        <v>0</v>
      </c>
      <c r="AW4692">
        <v>0</v>
      </c>
      <c r="AY4692">
        <v>0</v>
      </c>
      <c r="AZ4692">
        <v>0</v>
      </c>
      <c r="BA4692">
        <v>0</v>
      </c>
      <c r="BE4692" t="str">
        <f>T("9791137001572")</f>
        <v>9791137001572</v>
      </c>
      <c r="BF4692" t="str">
        <f>T("E772240")</f>
        <v>E772240</v>
      </c>
      <c r="BG4692" t="str">
        <f>T("판타지 웹소설 &gt; 무협 소설")</f>
        <v>판타지 웹소설 &gt; 무협 소설</v>
      </c>
    </row>
    <row r="4693" spans="1:59">
      <c r="A4693" t="s">
        <v>60</v>
      </c>
      <c r="B4693" s="1">
        <v>46129</v>
      </c>
      <c r="C4693">
        <v>2378025184</v>
      </c>
      <c r="D4693">
        <v>2378025196</v>
      </c>
      <c r="E4693" t="str">
        <f>T("장부귀환 13화")</f>
        <v>장부귀환 13화</v>
      </c>
      <c r="F4693">
        <v>13</v>
      </c>
      <c r="G4693" t="str">
        <f>T("불군(不群)")</f>
        <v>불군(不群)</v>
      </c>
      <c r="J4693" t="str">
        <f>T("매드햇")</f>
        <v>매드햇</v>
      </c>
      <c r="K4693" t="str">
        <f>T("장부귀환")</f>
        <v>장부귀환</v>
      </c>
      <c r="L4693">
        <v>0</v>
      </c>
      <c r="M4693">
        <v>0</v>
      </c>
      <c r="N4693">
        <v>0</v>
      </c>
      <c r="O4693">
        <v>1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0</v>
      </c>
      <c r="AC4693">
        <v>0</v>
      </c>
      <c r="AD4693">
        <v>0</v>
      </c>
      <c r="AE4693">
        <v>0</v>
      </c>
      <c r="AF4693">
        <v>0</v>
      </c>
      <c r="AG4693">
        <v>0</v>
      </c>
      <c r="AH4693">
        <v>0</v>
      </c>
      <c r="AI4693">
        <v>0</v>
      </c>
      <c r="AJ4693">
        <v>1</v>
      </c>
      <c r="AK4693">
        <v>0</v>
      </c>
      <c r="AL4693">
        <v>0</v>
      </c>
      <c r="AM4693">
        <v>0</v>
      </c>
      <c r="AN4693">
        <v>0</v>
      </c>
      <c r="AO4693">
        <v>0</v>
      </c>
      <c r="AP4693">
        <v>0</v>
      </c>
      <c r="AQ4693">
        <v>0</v>
      </c>
      <c r="AS4693">
        <v>0</v>
      </c>
      <c r="AT4693">
        <v>0</v>
      </c>
      <c r="AV4693">
        <v>0</v>
      </c>
      <c r="AW4693">
        <v>0</v>
      </c>
      <c r="AY4693">
        <v>0</v>
      </c>
      <c r="AZ4693">
        <v>0</v>
      </c>
      <c r="BA4693">
        <v>0</v>
      </c>
      <c r="BE4693" t="str">
        <f>T("9791137001572")</f>
        <v>9791137001572</v>
      </c>
      <c r="BF4693" t="str">
        <f>T("E772241")</f>
        <v>E772241</v>
      </c>
      <c r="BG4693" t="str">
        <f>T("판타지 웹소설 &gt; 무협 소설")</f>
        <v>판타지 웹소설 &gt; 무협 소설</v>
      </c>
    </row>
    <row r="4694" spans="1:59">
      <c r="A4694" t="s">
        <v>60</v>
      </c>
      <c r="B4694" s="1">
        <v>46129</v>
      </c>
      <c r="C4694">
        <v>2378025184</v>
      </c>
      <c r="D4694">
        <v>2378025197</v>
      </c>
      <c r="E4694" t="str">
        <f>T("장부귀환 14화")</f>
        <v>장부귀환 14화</v>
      </c>
      <c r="F4694">
        <v>14</v>
      </c>
      <c r="G4694" t="str">
        <f>T("불군(不群)")</f>
        <v>불군(不群)</v>
      </c>
      <c r="J4694" t="str">
        <f>T("매드햇")</f>
        <v>매드햇</v>
      </c>
      <c r="K4694" t="str">
        <f>T("장부귀환")</f>
        <v>장부귀환</v>
      </c>
      <c r="L4694">
        <v>0</v>
      </c>
      <c r="M4694">
        <v>0</v>
      </c>
      <c r="N4694">
        <v>0</v>
      </c>
      <c r="O4694">
        <v>1</v>
      </c>
      <c r="P4694">
        <v>0</v>
      </c>
      <c r="Q4694">
        <v>0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0</v>
      </c>
      <c r="AC4694">
        <v>0</v>
      </c>
      <c r="AD4694">
        <v>0</v>
      </c>
      <c r="AE4694">
        <v>0</v>
      </c>
      <c r="AF4694">
        <v>0</v>
      </c>
      <c r="AG4694">
        <v>0</v>
      </c>
      <c r="AH4694">
        <v>0</v>
      </c>
      <c r="AI4694">
        <v>0</v>
      </c>
      <c r="AJ4694">
        <v>1</v>
      </c>
      <c r="AK4694">
        <v>0</v>
      </c>
      <c r="AL4694">
        <v>0</v>
      </c>
      <c r="AM4694">
        <v>0</v>
      </c>
      <c r="AN4694">
        <v>0</v>
      </c>
      <c r="AO4694">
        <v>0</v>
      </c>
      <c r="AP4694">
        <v>0</v>
      </c>
      <c r="AQ4694">
        <v>0</v>
      </c>
      <c r="AS4694">
        <v>0</v>
      </c>
      <c r="AT4694">
        <v>0</v>
      </c>
      <c r="AV4694">
        <v>0</v>
      </c>
      <c r="AW4694">
        <v>0</v>
      </c>
      <c r="AY4694">
        <v>0</v>
      </c>
      <c r="AZ4694">
        <v>0</v>
      </c>
      <c r="BA4694">
        <v>0</v>
      </c>
      <c r="BE4694" t="str">
        <f>T("9791137001572")</f>
        <v>9791137001572</v>
      </c>
      <c r="BF4694" t="str">
        <f>T("E772242")</f>
        <v>E772242</v>
      </c>
      <c r="BG4694" t="str">
        <f>T("판타지 웹소설 &gt; 무협 소설")</f>
        <v>판타지 웹소설 &gt; 무협 소설</v>
      </c>
    </row>
    <row r="4695" spans="1:59">
      <c r="A4695" t="s">
        <v>60</v>
      </c>
      <c r="B4695" s="1">
        <v>46130</v>
      </c>
      <c r="C4695">
        <v>2378025184</v>
      </c>
      <c r="D4695">
        <v>2378025198</v>
      </c>
      <c r="E4695" t="str">
        <f>T("장부귀환 15화")</f>
        <v>장부귀환 15화</v>
      </c>
      <c r="F4695">
        <v>15</v>
      </c>
      <c r="G4695" t="str">
        <f>T("불군(不群)")</f>
        <v>불군(不群)</v>
      </c>
      <c r="J4695" t="str">
        <f>T("매드햇")</f>
        <v>매드햇</v>
      </c>
      <c r="K4695" t="str">
        <f>T("장부귀환")</f>
        <v>장부귀환</v>
      </c>
      <c r="L4695">
        <v>0</v>
      </c>
      <c r="M4695">
        <v>0</v>
      </c>
      <c r="N4695">
        <v>0</v>
      </c>
      <c r="O4695">
        <v>1</v>
      </c>
      <c r="P4695">
        <v>0</v>
      </c>
      <c r="Q4695">
        <v>0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0</v>
      </c>
      <c r="AC4695">
        <v>0</v>
      </c>
      <c r="AD4695">
        <v>0</v>
      </c>
      <c r="AE4695">
        <v>0</v>
      </c>
      <c r="AF4695">
        <v>0</v>
      </c>
      <c r="AG4695">
        <v>0</v>
      </c>
      <c r="AH4695">
        <v>0</v>
      </c>
      <c r="AI4695">
        <v>0</v>
      </c>
      <c r="AJ4695">
        <v>1</v>
      </c>
      <c r="AK4695">
        <v>0</v>
      </c>
      <c r="AL4695">
        <v>0</v>
      </c>
      <c r="AM4695">
        <v>0</v>
      </c>
      <c r="AN4695">
        <v>0</v>
      </c>
      <c r="AO4695">
        <v>0</v>
      </c>
      <c r="AP4695">
        <v>0</v>
      </c>
      <c r="AQ4695">
        <v>0</v>
      </c>
      <c r="AS4695">
        <v>0</v>
      </c>
      <c r="AT4695">
        <v>0</v>
      </c>
      <c r="AV4695">
        <v>0</v>
      </c>
      <c r="AW4695">
        <v>0</v>
      </c>
      <c r="AY4695">
        <v>0</v>
      </c>
      <c r="AZ4695">
        <v>0</v>
      </c>
      <c r="BA4695">
        <v>0</v>
      </c>
      <c r="BE4695" t="str">
        <f>T("9791137001572")</f>
        <v>9791137001572</v>
      </c>
      <c r="BF4695" t="str">
        <f>T("E772243")</f>
        <v>E772243</v>
      </c>
      <c r="BG4695" t="str">
        <f>T("판타지 웹소설 &gt; 무협 소설")</f>
        <v>판타지 웹소설 &gt; 무협 소설</v>
      </c>
    </row>
    <row r="4696" spans="1:59">
      <c r="A4696" t="s">
        <v>60</v>
      </c>
      <c r="B4696" s="1">
        <v>46130</v>
      </c>
      <c r="C4696">
        <v>2378025184</v>
      </c>
      <c r="D4696">
        <v>2378025199</v>
      </c>
      <c r="E4696" t="str">
        <f>T("장부귀환 16화")</f>
        <v>장부귀환 16화</v>
      </c>
      <c r="F4696">
        <v>16</v>
      </c>
      <c r="G4696" t="str">
        <f>T("불군(不群)")</f>
        <v>불군(不群)</v>
      </c>
      <c r="J4696" t="str">
        <f>T("매드햇")</f>
        <v>매드햇</v>
      </c>
      <c r="K4696" t="str">
        <f>T("장부귀환")</f>
        <v>장부귀환</v>
      </c>
      <c r="L4696">
        <v>0</v>
      </c>
      <c r="M4696">
        <v>0</v>
      </c>
      <c r="N4696">
        <v>0</v>
      </c>
      <c r="O4696">
        <v>1</v>
      </c>
      <c r="P4696">
        <v>0</v>
      </c>
      <c r="Q4696">
        <v>0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0</v>
      </c>
      <c r="AC4696">
        <v>0</v>
      </c>
      <c r="AD4696">
        <v>0</v>
      </c>
      <c r="AE4696">
        <v>0</v>
      </c>
      <c r="AF4696">
        <v>0</v>
      </c>
      <c r="AG4696">
        <v>0</v>
      </c>
      <c r="AH4696">
        <v>0</v>
      </c>
      <c r="AI4696">
        <v>0</v>
      </c>
      <c r="AJ4696">
        <v>1</v>
      </c>
      <c r="AK4696">
        <v>0</v>
      </c>
      <c r="AL4696">
        <v>0</v>
      </c>
      <c r="AM4696">
        <v>0</v>
      </c>
      <c r="AN4696">
        <v>0</v>
      </c>
      <c r="AO4696">
        <v>0</v>
      </c>
      <c r="AP4696">
        <v>0</v>
      </c>
      <c r="AQ4696">
        <v>0</v>
      </c>
      <c r="AS4696">
        <v>0</v>
      </c>
      <c r="AT4696">
        <v>0</v>
      </c>
      <c r="AV4696">
        <v>0</v>
      </c>
      <c r="AW4696">
        <v>0</v>
      </c>
      <c r="AY4696">
        <v>0</v>
      </c>
      <c r="AZ4696">
        <v>0</v>
      </c>
      <c r="BA4696">
        <v>0</v>
      </c>
      <c r="BE4696" t="str">
        <f>T("9791137001572")</f>
        <v>9791137001572</v>
      </c>
      <c r="BF4696" t="str">
        <f>T("E772244")</f>
        <v>E772244</v>
      </c>
      <c r="BG4696" t="str">
        <f>T("판타지 웹소설 &gt; 무협 소설")</f>
        <v>판타지 웹소설 &gt; 무협 소설</v>
      </c>
    </row>
    <row r="4697" spans="1:59">
      <c r="A4697" t="s">
        <v>60</v>
      </c>
      <c r="B4697" s="1">
        <v>46130</v>
      </c>
      <c r="C4697">
        <v>2378025184</v>
      </c>
      <c r="D4697">
        <v>2378025200</v>
      </c>
      <c r="E4697" t="str">
        <f>T("장부귀환 17화")</f>
        <v>장부귀환 17화</v>
      </c>
      <c r="F4697">
        <v>17</v>
      </c>
      <c r="G4697" t="str">
        <f>T("불군(不群)")</f>
        <v>불군(不群)</v>
      </c>
      <c r="J4697" t="str">
        <f>T("매드햇")</f>
        <v>매드햇</v>
      </c>
      <c r="K4697" t="str">
        <f>T("장부귀환")</f>
        <v>장부귀환</v>
      </c>
      <c r="L4697">
        <v>0</v>
      </c>
      <c r="M4697">
        <v>0</v>
      </c>
      <c r="N4697">
        <v>0</v>
      </c>
      <c r="O4697">
        <v>1</v>
      </c>
      <c r="P4697">
        <v>0</v>
      </c>
      <c r="Q4697">
        <v>0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0</v>
      </c>
      <c r="AC4697">
        <v>0</v>
      </c>
      <c r="AD4697">
        <v>0</v>
      </c>
      <c r="AE4697">
        <v>0</v>
      </c>
      <c r="AF4697">
        <v>0</v>
      </c>
      <c r="AG4697">
        <v>0</v>
      </c>
      <c r="AH4697">
        <v>0</v>
      </c>
      <c r="AI4697">
        <v>0</v>
      </c>
      <c r="AJ4697">
        <v>1</v>
      </c>
      <c r="AK4697">
        <v>0</v>
      </c>
      <c r="AL4697">
        <v>0</v>
      </c>
      <c r="AM4697">
        <v>0</v>
      </c>
      <c r="AN4697">
        <v>0</v>
      </c>
      <c r="AO4697">
        <v>0</v>
      </c>
      <c r="AP4697">
        <v>0</v>
      </c>
      <c r="AQ4697">
        <v>0</v>
      </c>
      <c r="AS4697">
        <v>0</v>
      </c>
      <c r="AT4697">
        <v>0</v>
      </c>
      <c r="AV4697">
        <v>0</v>
      </c>
      <c r="AW4697">
        <v>0</v>
      </c>
      <c r="AY4697">
        <v>0</v>
      </c>
      <c r="AZ4697">
        <v>0</v>
      </c>
      <c r="BA4697">
        <v>0</v>
      </c>
      <c r="BE4697" t="str">
        <f>T("9791137001572")</f>
        <v>9791137001572</v>
      </c>
      <c r="BF4697" t="str">
        <f>T("E772245")</f>
        <v>E772245</v>
      </c>
      <c r="BG4697" t="str">
        <f>T("판타지 웹소설 &gt; 무협 소설")</f>
        <v>판타지 웹소설 &gt; 무협 소설</v>
      </c>
    </row>
    <row r="4698" spans="1:59">
      <c r="A4698" t="s">
        <v>60</v>
      </c>
      <c r="B4698" s="1">
        <v>46130</v>
      </c>
      <c r="C4698">
        <v>2378025184</v>
      </c>
      <c r="D4698">
        <v>2378025201</v>
      </c>
      <c r="E4698" t="str">
        <f>T("장부귀환 18화")</f>
        <v>장부귀환 18화</v>
      </c>
      <c r="F4698">
        <v>18</v>
      </c>
      <c r="G4698" t="str">
        <f>T("불군(不群)")</f>
        <v>불군(不群)</v>
      </c>
      <c r="J4698" t="str">
        <f>T("매드햇")</f>
        <v>매드햇</v>
      </c>
      <c r="K4698" t="str">
        <f>T("장부귀환")</f>
        <v>장부귀환</v>
      </c>
      <c r="L4698">
        <v>0</v>
      </c>
      <c r="M4698">
        <v>0</v>
      </c>
      <c r="N4698">
        <v>0</v>
      </c>
      <c r="O4698">
        <v>1</v>
      </c>
      <c r="P4698">
        <v>0</v>
      </c>
      <c r="Q4698">
        <v>0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0</v>
      </c>
      <c r="AC4698">
        <v>0</v>
      </c>
      <c r="AD4698">
        <v>0</v>
      </c>
      <c r="AE4698">
        <v>0</v>
      </c>
      <c r="AF4698">
        <v>0</v>
      </c>
      <c r="AG4698">
        <v>0</v>
      </c>
      <c r="AH4698">
        <v>0</v>
      </c>
      <c r="AI4698">
        <v>0</v>
      </c>
      <c r="AJ4698">
        <v>1</v>
      </c>
      <c r="AK4698">
        <v>0</v>
      </c>
      <c r="AL4698">
        <v>0</v>
      </c>
      <c r="AM4698">
        <v>0</v>
      </c>
      <c r="AN4698">
        <v>0</v>
      </c>
      <c r="AO4698">
        <v>0</v>
      </c>
      <c r="AP4698">
        <v>0</v>
      </c>
      <c r="AQ4698">
        <v>0</v>
      </c>
      <c r="AS4698">
        <v>0</v>
      </c>
      <c r="AT4698">
        <v>0</v>
      </c>
      <c r="AV4698">
        <v>0</v>
      </c>
      <c r="AW4698">
        <v>0</v>
      </c>
      <c r="AY4698">
        <v>0</v>
      </c>
      <c r="AZ4698">
        <v>0</v>
      </c>
      <c r="BA4698">
        <v>0</v>
      </c>
      <c r="BE4698" t="str">
        <f>T("9791137001572")</f>
        <v>9791137001572</v>
      </c>
      <c r="BF4698" t="str">
        <f>T("E772246")</f>
        <v>E772246</v>
      </c>
      <c r="BG4698" t="str">
        <f>T("판타지 웹소설 &gt; 무협 소설")</f>
        <v>판타지 웹소설 &gt; 무협 소설</v>
      </c>
    </row>
    <row r="4699" spans="1:59">
      <c r="A4699" t="s">
        <v>60</v>
      </c>
      <c r="B4699" s="1">
        <v>46130</v>
      </c>
      <c r="C4699">
        <v>2378025184</v>
      </c>
      <c r="D4699">
        <v>2378025202</v>
      </c>
      <c r="E4699" t="str">
        <f>T("장부귀환 19화")</f>
        <v>장부귀환 19화</v>
      </c>
      <c r="F4699">
        <v>19</v>
      </c>
      <c r="G4699" t="str">
        <f>T("불군(不群)")</f>
        <v>불군(不群)</v>
      </c>
      <c r="J4699" t="str">
        <f>T("매드햇")</f>
        <v>매드햇</v>
      </c>
      <c r="K4699" t="str">
        <f>T("장부귀환")</f>
        <v>장부귀환</v>
      </c>
      <c r="L4699">
        <v>0</v>
      </c>
      <c r="M4699">
        <v>0</v>
      </c>
      <c r="N4699">
        <v>0</v>
      </c>
      <c r="O4699">
        <v>1</v>
      </c>
      <c r="P4699">
        <v>0</v>
      </c>
      <c r="Q4699">
        <v>0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0</v>
      </c>
      <c r="AC4699">
        <v>0</v>
      </c>
      <c r="AD4699">
        <v>0</v>
      </c>
      <c r="AE4699">
        <v>0</v>
      </c>
      <c r="AF4699">
        <v>0</v>
      </c>
      <c r="AG4699">
        <v>0</v>
      </c>
      <c r="AH4699">
        <v>0</v>
      </c>
      <c r="AI4699">
        <v>0</v>
      </c>
      <c r="AJ4699">
        <v>1</v>
      </c>
      <c r="AK4699">
        <v>0</v>
      </c>
      <c r="AL4699">
        <v>0</v>
      </c>
      <c r="AM4699">
        <v>0</v>
      </c>
      <c r="AN4699">
        <v>0</v>
      </c>
      <c r="AO4699">
        <v>0</v>
      </c>
      <c r="AP4699">
        <v>0</v>
      </c>
      <c r="AQ4699">
        <v>0</v>
      </c>
      <c r="AS4699">
        <v>0</v>
      </c>
      <c r="AT4699">
        <v>0</v>
      </c>
      <c r="AV4699">
        <v>0</v>
      </c>
      <c r="AW4699">
        <v>0</v>
      </c>
      <c r="AY4699">
        <v>0</v>
      </c>
      <c r="AZ4699">
        <v>0</v>
      </c>
      <c r="BA4699">
        <v>0</v>
      </c>
      <c r="BE4699" t="str">
        <f>T("9791137001572")</f>
        <v>9791137001572</v>
      </c>
      <c r="BF4699" t="str">
        <f>T("E772247")</f>
        <v>E772247</v>
      </c>
      <c r="BG4699" t="str">
        <f>T("판타지 웹소설 &gt; 무협 소설")</f>
        <v>판타지 웹소설 &gt; 무협 소설</v>
      </c>
    </row>
    <row r="4700" spans="1:59">
      <c r="A4700" t="s">
        <v>60</v>
      </c>
      <c r="B4700" s="1">
        <v>46130</v>
      </c>
      <c r="C4700">
        <v>2378025184</v>
      </c>
      <c r="D4700">
        <v>2378025203</v>
      </c>
      <c r="E4700" t="str">
        <f>T("장부귀환 20화")</f>
        <v>장부귀환 20화</v>
      </c>
      <c r="F4700">
        <v>20</v>
      </c>
      <c r="G4700" t="str">
        <f>T("불군(不群)")</f>
        <v>불군(不群)</v>
      </c>
      <c r="J4700" t="str">
        <f>T("매드햇")</f>
        <v>매드햇</v>
      </c>
      <c r="K4700" t="str">
        <f>T("장부귀환")</f>
        <v>장부귀환</v>
      </c>
      <c r="L4700">
        <v>0</v>
      </c>
      <c r="M4700">
        <v>0</v>
      </c>
      <c r="N4700">
        <v>0</v>
      </c>
      <c r="O4700">
        <v>1</v>
      </c>
      <c r="P4700">
        <v>0</v>
      </c>
      <c r="Q4700">
        <v>0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0</v>
      </c>
      <c r="AC4700">
        <v>0</v>
      </c>
      <c r="AD4700">
        <v>0</v>
      </c>
      <c r="AE4700">
        <v>0</v>
      </c>
      <c r="AF4700">
        <v>0</v>
      </c>
      <c r="AG4700">
        <v>0</v>
      </c>
      <c r="AH4700">
        <v>0</v>
      </c>
      <c r="AI4700">
        <v>0</v>
      </c>
      <c r="AJ4700">
        <v>1</v>
      </c>
      <c r="AK4700">
        <v>0</v>
      </c>
      <c r="AL4700">
        <v>0</v>
      </c>
      <c r="AM4700">
        <v>0</v>
      </c>
      <c r="AN4700">
        <v>0</v>
      </c>
      <c r="AO4700">
        <v>0</v>
      </c>
      <c r="AP4700">
        <v>0</v>
      </c>
      <c r="AQ4700">
        <v>0</v>
      </c>
      <c r="AS4700">
        <v>0</v>
      </c>
      <c r="AT4700">
        <v>0</v>
      </c>
      <c r="AV4700">
        <v>0</v>
      </c>
      <c r="AW4700">
        <v>0</v>
      </c>
      <c r="AY4700">
        <v>0</v>
      </c>
      <c r="AZ4700">
        <v>0</v>
      </c>
      <c r="BA4700">
        <v>0</v>
      </c>
      <c r="BE4700" t="str">
        <f>T("9791137001572")</f>
        <v>9791137001572</v>
      </c>
      <c r="BF4700" t="str">
        <f>T("E772248")</f>
        <v>E772248</v>
      </c>
      <c r="BG4700" t="str">
        <f>T("판타지 웹소설 &gt; 무협 소설")</f>
        <v>판타지 웹소설 &gt; 무협 소설</v>
      </c>
    </row>
    <row r="4701" spans="1:59">
      <c r="A4701" t="s">
        <v>60</v>
      </c>
      <c r="B4701" s="1">
        <v>46130</v>
      </c>
      <c r="C4701">
        <v>2378025184</v>
      </c>
      <c r="D4701">
        <v>2378025204</v>
      </c>
      <c r="E4701" t="str">
        <f>T("장부귀환 21화")</f>
        <v>장부귀환 21화</v>
      </c>
      <c r="F4701">
        <v>21</v>
      </c>
      <c r="G4701" t="str">
        <f>T("불군(不群)")</f>
        <v>불군(不群)</v>
      </c>
      <c r="J4701" t="str">
        <f>T("매드햇")</f>
        <v>매드햇</v>
      </c>
      <c r="K4701" t="str">
        <f>T("장부귀환")</f>
        <v>장부귀환</v>
      </c>
      <c r="L4701">
        <v>0</v>
      </c>
      <c r="M4701">
        <v>0</v>
      </c>
      <c r="N4701">
        <v>0</v>
      </c>
      <c r="O4701">
        <v>1</v>
      </c>
      <c r="P4701">
        <v>0</v>
      </c>
      <c r="Q4701">
        <v>0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0</v>
      </c>
      <c r="AC4701">
        <v>0</v>
      </c>
      <c r="AD4701">
        <v>0</v>
      </c>
      <c r="AE4701">
        <v>0</v>
      </c>
      <c r="AF4701">
        <v>0</v>
      </c>
      <c r="AG4701">
        <v>0</v>
      </c>
      <c r="AH4701">
        <v>0</v>
      </c>
      <c r="AI4701">
        <v>0</v>
      </c>
      <c r="AJ4701">
        <v>1</v>
      </c>
      <c r="AK4701">
        <v>0</v>
      </c>
      <c r="AL4701">
        <v>0</v>
      </c>
      <c r="AM4701">
        <v>0</v>
      </c>
      <c r="AN4701">
        <v>0</v>
      </c>
      <c r="AO4701">
        <v>0</v>
      </c>
      <c r="AP4701">
        <v>0</v>
      </c>
      <c r="AQ4701">
        <v>0</v>
      </c>
      <c r="AS4701">
        <v>0</v>
      </c>
      <c r="AT4701">
        <v>0</v>
      </c>
      <c r="AV4701">
        <v>0</v>
      </c>
      <c r="AW4701">
        <v>0</v>
      </c>
      <c r="AY4701">
        <v>0</v>
      </c>
      <c r="AZ4701">
        <v>0</v>
      </c>
      <c r="BA4701">
        <v>0</v>
      </c>
      <c r="BE4701" t="str">
        <f>T("9791137001572")</f>
        <v>9791137001572</v>
      </c>
      <c r="BF4701" t="str">
        <f>T("E772249")</f>
        <v>E772249</v>
      </c>
      <c r="BG4701" t="str">
        <f>T("판타지 웹소설 &gt; 무협 소설")</f>
        <v>판타지 웹소설 &gt; 무협 소설</v>
      </c>
    </row>
    <row r="4702" spans="1:59">
      <c r="A4702" t="s">
        <v>60</v>
      </c>
      <c r="B4702" s="1">
        <v>46130</v>
      </c>
      <c r="C4702">
        <v>2378025184</v>
      </c>
      <c r="D4702">
        <v>2378025205</v>
      </c>
      <c r="E4702" t="str">
        <f>T("장부귀환 22화")</f>
        <v>장부귀환 22화</v>
      </c>
      <c r="F4702">
        <v>22</v>
      </c>
      <c r="G4702" t="str">
        <f>T("불군(不群)")</f>
        <v>불군(不群)</v>
      </c>
      <c r="J4702" t="str">
        <f>T("매드햇")</f>
        <v>매드햇</v>
      </c>
      <c r="K4702" t="str">
        <f>T("장부귀환")</f>
        <v>장부귀환</v>
      </c>
      <c r="L4702">
        <v>0</v>
      </c>
      <c r="M4702">
        <v>0</v>
      </c>
      <c r="N4702">
        <v>0</v>
      </c>
      <c r="O4702">
        <v>1</v>
      </c>
      <c r="P4702">
        <v>0</v>
      </c>
      <c r="Q4702">
        <v>0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0</v>
      </c>
      <c r="AC4702">
        <v>0</v>
      </c>
      <c r="AD4702">
        <v>0</v>
      </c>
      <c r="AE4702">
        <v>0</v>
      </c>
      <c r="AF4702">
        <v>0</v>
      </c>
      <c r="AG4702">
        <v>0</v>
      </c>
      <c r="AH4702">
        <v>0</v>
      </c>
      <c r="AI4702">
        <v>0</v>
      </c>
      <c r="AJ4702">
        <v>1</v>
      </c>
      <c r="AK4702">
        <v>0</v>
      </c>
      <c r="AL4702">
        <v>0</v>
      </c>
      <c r="AM4702">
        <v>0</v>
      </c>
      <c r="AN4702">
        <v>0</v>
      </c>
      <c r="AO4702">
        <v>0</v>
      </c>
      <c r="AP4702">
        <v>0</v>
      </c>
      <c r="AQ4702">
        <v>0</v>
      </c>
      <c r="AS4702">
        <v>0</v>
      </c>
      <c r="AT4702">
        <v>0</v>
      </c>
      <c r="AV4702">
        <v>0</v>
      </c>
      <c r="AW4702">
        <v>0</v>
      </c>
      <c r="AY4702">
        <v>0</v>
      </c>
      <c r="AZ4702">
        <v>0</v>
      </c>
      <c r="BA4702">
        <v>0</v>
      </c>
      <c r="BE4702" t="str">
        <f>T("9791137001572")</f>
        <v>9791137001572</v>
      </c>
      <c r="BF4702" t="str">
        <f>T("E772250")</f>
        <v>E772250</v>
      </c>
      <c r="BG4702" t="str">
        <f>T("판타지 웹소설 &gt; 무협 소설")</f>
        <v>판타지 웹소설 &gt; 무협 소설</v>
      </c>
    </row>
    <row r="4703" spans="1:59">
      <c r="A4703" t="s">
        <v>60</v>
      </c>
      <c r="B4703" s="1">
        <v>46130</v>
      </c>
      <c r="C4703">
        <v>2378025184</v>
      </c>
      <c r="D4703">
        <v>2378025206</v>
      </c>
      <c r="E4703" t="str">
        <f>T("장부귀환 23화")</f>
        <v>장부귀환 23화</v>
      </c>
      <c r="F4703">
        <v>23</v>
      </c>
      <c r="G4703" t="str">
        <f>T("불군(不群)")</f>
        <v>불군(不群)</v>
      </c>
      <c r="J4703" t="str">
        <f>T("매드햇")</f>
        <v>매드햇</v>
      </c>
      <c r="K4703" t="str">
        <f>T("장부귀환")</f>
        <v>장부귀환</v>
      </c>
      <c r="L4703">
        <v>0</v>
      </c>
      <c r="M4703">
        <v>0</v>
      </c>
      <c r="N4703">
        <v>0</v>
      </c>
      <c r="O4703">
        <v>1</v>
      </c>
      <c r="P4703">
        <v>0</v>
      </c>
      <c r="Q4703">
        <v>0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0</v>
      </c>
      <c r="AC4703">
        <v>0</v>
      </c>
      <c r="AD4703">
        <v>0</v>
      </c>
      <c r="AE4703">
        <v>0</v>
      </c>
      <c r="AF4703">
        <v>0</v>
      </c>
      <c r="AG4703">
        <v>0</v>
      </c>
      <c r="AH4703">
        <v>0</v>
      </c>
      <c r="AI4703">
        <v>0</v>
      </c>
      <c r="AJ4703">
        <v>1</v>
      </c>
      <c r="AK4703">
        <v>0</v>
      </c>
      <c r="AL4703">
        <v>0</v>
      </c>
      <c r="AM4703">
        <v>0</v>
      </c>
      <c r="AN4703">
        <v>0</v>
      </c>
      <c r="AO4703">
        <v>0</v>
      </c>
      <c r="AP4703">
        <v>0</v>
      </c>
      <c r="AQ4703">
        <v>0</v>
      </c>
      <c r="AS4703">
        <v>0</v>
      </c>
      <c r="AT4703">
        <v>0</v>
      </c>
      <c r="AV4703">
        <v>0</v>
      </c>
      <c r="AW4703">
        <v>0</v>
      </c>
      <c r="AY4703">
        <v>0</v>
      </c>
      <c r="AZ4703">
        <v>0</v>
      </c>
      <c r="BA4703">
        <v>0</v>
      </c>
      <c r="BE4703" t="str">
        <f>T("9791137001572")</f>
        <v>9791137001572</v>
      </c>
      <c r="BF4703" t="str">
        <f>T("E772251")</f>
        <v>E772251</v>
      </c>
      <c r="BG4703" t="str">
        <f>T("판타지 웹소설 &gt; 무협 소설")</f>
        <v>판타지 웹소설 &gt; 무협 소설</v>
      </c>
    </row>
    <row r="4704" spans="1:59">
      <c r="A4704" t="s">
        <v>60</v>
      </c>
      <c r="B4704" s="1">
        <v>46130</v>
      </c>
      <c r="C4704">
        <v>2378025184</v>
      </c>
      <c r="D4704">
        <v>2378025207</v>
      </c>
      <c r="E4704" t="str">
        <f>T("장부귀환 24화")</f>
        <v>장부귀환 24화</v>
      </c>
      <c r="F4704">
        <v>24</v>
      </c>
      <c r="G4704" t="str">
        <f>T("불군(不群)")</f>
        <v>불군(不群)</v>
      </c>
      <c r="J4704" t="str">
        <f>T("매드햇")</f>
        <v>매드햇</v>
      </c>
      <c r="K4704" t="str">
        <f>T("장부귀환")</f>
        <v>장부귀환</v>
      </c>
      <c r="L4704">
        <v>0</v>
      </c>
      <c r="M4704">
        <v>0</v>
      </c>
      <c r="N4704">
        <v>0</v>
      </c>
      <c r="O4704">
        <v>1</v>
      </c>
      <c r="P4704">
        <v>0</v>
      </c>
      <c r="Q4704">
        <v>0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0</v>
      </c>
      <c r="AC4704">
        <v>0</v>
      </c>
      <c r="AD4704">
        <v>0</v>
      </c>
      <c r="AE4704">
        <v>0</v>
      </c>
      <c r="AF4704">
        <v>0</v>
      </c>
      <c r="AG4704">
        <v>0</v>
      </c>
      <c r="AH4704">
        <v>0</v>
      </c>
      <c r="AI4704">
        <v>0</v>
      </c>
      <c r="AJ4704">
        <v>1</v>
      </c>
      <c r="AK4704">
        <v>0</v>
      </c>
      <c r="AL4704">
        <v>0</v>
      </c>
      <c r="AM4704">
        <v>0</v>
      </c>
      <c r="AN4704">
        <v>0</v>
      </c>
      <c r="AO4704">
        <v>0</v>
      </c>
      <c r="AP4704">
        <v>0</v>
      </c>
      <c r="AQ4704">
        <v>0</v>
      </c>
      <c r="AS4704">
        <v>0</v>
      </c>
      <c r="AT4704">
        <v>0</v>
      </c>
      <c r="AV4704">
        <v>0</v>
      </c>
      <c r="AW4704">
        <v>0</v>
      </c>
      <c r="AY4704">
        <v>0</v>
      </c>
      <c r="AZ4704">
        <v>0</v>
      </c>
      <c r="BA4704">
        <v>0</v>
      </c>
      <c r="BE4704" t="str">
        <f>T("9791137001572")</f>
        <v>9791137001572</v>
      </c>
      <c r="BF4704" t="str">
        <f>T("E772252")</f>
        <v>E772252</v>
      </c>
      <c r="BG4704" t="str">
        <f>T("판타지 웹소설 &gt; 무협 소설")</f>
        <v>판타지 웹소설 &gt; 무협 소설</v>
      </c>
    </row>
    <row r="4705" spans="1:59">
      <c r="A4705" t="s">
        <v>60</v>
      </c>
      <c r="B4705" s="1">
        <v>46130</v>
      </c>
      <c r="C4705">
        <v>2378025184</v>
      </c>
      <c r="D4705">
        <v>2378025208</v>
      </c>
      <c r="E4705" t="str">
        <f>T("장부귀환 25화")</f>
        <v>장부귀환 25화</v>
      </c>
      <c r="F4705">
        <v>25</v>
      </c>
      <c r="G4705" t="str">
        <f>T("불군(不群)")</f>
        <v>불군(不群)</v>
      </c>
      <c r="J4705" t="str">
        <f>T("매드햇")</f>
        <v>매드햇</v>
      </c>
      <c r="K4705" t="str">
        <f>T("장부귀환")</f>
        <v>장부귀환</v>
      </c>
      <c r="L4705">
        <v>0</v>
      </c>
      <c r="M4705">
        <v>0</v>
      </c>
      <c r="N4705">
        <v>0</v>
      </c>
      <c r="O4705">
        <v>1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0</v>
      </c>
      <c r="AC4705">
        <v>0</v>
      </c>
      <c r="AD4705">
        <v>0</v>
      </c>
      <c r="AE4705">
        <v>0</v>
      </c>
      <c r="AF4705">
        <v>0</v>
      </c>
      <c r="AG4705">
        <v>0</v>
      </c>
      <c r="AH4705">
        <v>0</v>
      </c>
      <c r="AI4705">
        <v>0</v>
      </c>
      <c r="AJ4705">
        <v>1</v>
      </c>
      <c r="AK4705">
        <v>0</v>
      </c>
      <c r="AL4705">
        <v>0</v>
      </c>
      <c r="AM4705">
        <v>0</v>
      </c>
      <c r="AN4705">
        <v>0</v>
      </c>
      <c r="AO4705">
        <v>0</v>
      </c>
      <c r="AP4705">
        <v>0</v>
      </c>
      <c r="AQ4705">
        <v>0</v>
      </c>
      <c r="AS4705">
        <v>0</v>
      </c>
      <c r="AT4705">
        <v>0</v>
      </c>
      <c r="AV4705">
        <v>0</v>
      </c>
      <c r="AW4705">
        <v>0</v>
      </c>
      <c r="AY4705">
        <v>0</v>
      </c>
      <c r="AZ4705">
        <v>0</v>
      </c>
      <c r="BA4705">
        <v>0</v>
      </c>
      <c r="BE4705" t="str">
        <f>T("9791137001572")</f>
        <v>9791137001572</v>
      </c>
      <c r="BF4705" t="str">
        <f>T("E772253")</f>
        <v>E772253</v>
      </c>
      <c r="BG4705" t="str">
        <f>T("판타지 웹소설 &gt; 무협 소설")</f>
        <v>판타지 웹소설 &gt; 무협 소설</v>
      </c>
    </row>
    <row r="4706" spans="1:59">
      <c r="A4706" t="s">
        <v>60</v>
      </c>
      <c r="B4706" s="1">
        <v>46130</v>
      </c>
      <c r="C4706">
        <v>2378025184</v>
      </c>
      <c r="D4706">
        <v>2378025209</v>
      </c>
      <c r="E4706" t="str">
        <f>T("장부귀환 26화")</f>
        <v>장부귀환 26화</v>
      </c>
      <c r="F4706">
        <v>26</v>
      </c>
      <c r="G4706" t="str">
        <f>T("불군(不群)")</f>
        <v>불군(不群)</v>
      </c>
      <c r="J4706" t="str">
        <f>T("매드햇")</f>
        <v>매드햇</v>
      </c>
      <c r="K4706" t="str">
        <f>T("장부귀환")</f>
        <v>장부귀환</v>
      </c>
      <c r="L4706">
        <v>100</v>
      </c>
      <c r="M4706">
        <v>100</v>
      </c>
      <c r="N4706">
        <v>1</v>
      </c>
      <c r="O4706">
        <v>0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0</v>
      </c>
      <c r="AC4706">
        <v>0</v>
      </c>
      <c r="AD4706">
        <v>0</v>
      </c>
      <c r="AE4706">
        <v>0</v>
      </c>
      <c r="AF4706">
        <v>0</v>
      </c>
      <c r="AG4706">
        <v>0</v>
      </c>
      <c r="AH4706">
        <v>0</v>
      </c>
      <c r="AI4706">
        <v>100</v>
      </c>
      <c r="AJ4706">
        <v>1</v>
      </c>
      <c r="AK4706">
        <v>0</v>
      </c>
      <c r="AL4706">
        <v>0</v>
      </c>
      <c r="AM4706">
        <v>100</v>
      </c>
      <c r="AN4706">
        <v>0</v>
      </c>
      <c r="AO4706">
        <v>0</v>
      </c>
      <c r="AP4706">
        <v>0</v>
      </c>
      <c r="AQ4706">
        <v>0</v>
      </c>
      <c r="AS4706">
        <v>0</v>
      </c>
      <c r="AT4706">
        <v>0</v>
      </c>
      <c r="AV4706">
        <v>0</v>
      </c>
      <c r="AW4706">
        <v>0</v>
      </c>
      <c r="AY4706">
        <v>0</v>
      </c>
      <c r="AZ4706">
        <v>0</v>
      </c>
      <c r="BA4706">
        <v>70</v>
      </c>
      <c r="BE4706" t="str">
        <f>T("9791137001572")</f>
        <v>9791137001572</v>
      </c>
      <c r="BF4706" t="str">
        <f>T("E772254")</f>
        <v>E772254</v>
      </c>
      <c r="BG4706" t="str">
        <f>T("판타지 웹소설 &gt; 무협 소설")</f>
        <v>판타지 웹소설 &gt; 무협 소설</v>
      </c>
    </row>
    <row r="4707" spans="1:59">
      <c r="A4707" t="s">
        <v>60</v>
      </c>
      <c r="B4707" s="1">
        <v>46130</v>
      </c>
      <c r="C4707">
        <v>2378025184</v>
      </c>
      <c r="D4707">
        <v>2378025210</v>
      </c>
      <c r="E4707" t="str">
        <f>T("장부귀환 27화")</f>
        <v>장부귀환 27화</v>
      </c>
      <c r="F4707">
        <v>27</v>
      </c>
      <c r="G4707" t="str">
        <f>T("불군(不群)")</f>
        <v>불군(不群)</v>
      </c>
      <c r="J4707" t="str">
        <f>T("매드햇")</f>
        <v>매드햇</v>
      </c>
      <c r="K4707" t="str">
        <f>T("장부귀환")</f>
        <v>장부귀환</v>
      </c>
      <c r="L4707">
        <v>100</v>
      </c>
      <c r="M4707">
        <v>100</v>
      </c>
      <c r="N4707">
        <v>1</v>
      </c>
      <c r="O4707">
        <v>0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0</v>
      </c>
      <c r="AC4707">
        <v>0</v>
      </c>
      <c r="AD4707">
        <v>0</v>
      </c>
      <c r="AE4707">
        <v>0</v>
      </c>
      <c r="AF4707">
        <v>0</v>
      </c>
      <c r="AG4707">
        <v>0</v>
      </c>
      <c r="AH4707">
        <v>0</v>
      </c>
      <c r="AI4707">
        <v>100</v>
      </c>
      <c r="AJ4707">
        <v>1</v>
      </c>
      <c r="AK4707">
        <v>0</v>
      </c>
      <c r="AL4707">
        <v>0</v>
      </c>
      <c r="AM4707">
        <v>100</v>
      </c>
      <c r="AN4707">
        <v>0</v>
      </c>
      <c r="AO4707">
        <v>0</v>
      </c>
      <c r="AP4707">
        <v>0</v>
      </c>
      <c r="AQ4707">
        <v>0</v>
      </c>
      <c r="AS4707">
        <v>0</v>
      </c>
      <c r="AT4707">
        <v>0</v>
      </c>
      <c r="AV4707">
        <v>0</v>
      </c>
      <c r="AW4707">
        <v>0</v>
      </c>
      <c r="AY4707">
        <v>0</v>
      </c>
      <c r="AZ4707">
        <v>0</v>
      </c>
      <c r="BA4707">
        <v>70</v>
      </c>
      <c r="BE4707" t="str">
        <f>T("9791137001572")</f>
        <v>9791137001572</v>
      </c>
      <c r="BF4707" t="str">
        <f>T("E772255")</f>
        <v>E772255</v>
      </c>
      <c r="BG4707" t="str">
        <f>T("판타지 웹소설 &gt; 무협 소설")</f>
        <v>판타지 웹소설 &gt; 무협 소설</v>
      </c>
    </row>
    <row r="4708" spans="1:59">
      <c r="A4708" t="s">
        <v>60</v>
      </c>
      <c r="B4708" s="1">
        <v>46130</v>
      </c>
      <c r="C4708">
        <v>2378025184</v>
      </c>
      <c r="D4708">
        <v>2378025211</v>
      </c>
      <c r="E4708" t="str">
        <f>T("장부귀환 28화")</f>
        <v>장부귀환 28화</v>
      </c>
      <c r="F4708">
        <v>28</v>
      </c>
      <c r="G4708" t="str">
        <f>T("불군(不群)")</f>
        <v>불군(不群)</v>
      </c>
      <c r="J4708" t="str">
        <f>T("매드햇")</f>
        <v>매드햇</v>
      </c>
      <c r="K4708" t="str">
        <f>T("장부귀환")</f>
        <v>장부귀환</v>
      </c>
      <c r="L4708">
        <v>100</v>
      </c>
      <c r="M4708">
        <v>100</v>
      </c>
      <c r="N4708">
        <v>1</v>
      </c>
      <c r="O4708">
        <v>0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0</v>
      </c>
      <c r="AC4708">
        <v>0</v>
      </c>
      <c r="AD4708">
        <v>0</v>
      </c>
      <c r="AE4708">
        <v>0</v>
      </c>
      <c r="AF4708">
        <v>0</v>
      </c>
      <c r="AG4708">
        <v>0</v>
      </c>
      <c r="AH4708">
        <v>0</v>
      </c>
      <c r="AI4708">
        <v>100</v>
      </c>
      <c r="AJ4708">
        <v>1</v>
      </c>
      <c r="AK4708">
        <v>0</v>
      </c>
      <c r="AL4708">
        <v>0</v>
      </c>
      <c r="AM4708">
        <v>100</v>
      </c>
      <c r="AN4708">
        <v>0</v>
      </c>
      <c r="AO4708">
        <v>0</v>
      </c>
      <c r="AP4708">
        <v>0</v>
      </c>
      <c r="AQ4708">
        <v>0</v>
      </c>
      <c r="AS4708">
        <v>0</v>
      </c>
      <c r="AT4708">
        <v>0</v>
      </c>
      <c r="AV4708">
        <v>0</v>
      </c>
      <c r="AW4708">
        <v>0</v>
      </c>
      <c r="AY4708">
        <v>0</v>
      </c>
      <c r="AZ4708">
        <v>0</v>
      </c>
      <c r="BA4708">
        <v>70</v>
      </c>
      <c r="BE4708" t="str">
        <f>T("9791137001572")</f>
        <v>9791137001572</v>
      </c>
      <c r="BF4708" t="str">
        <f>T("E772256")</f>
        <v>E772256</v>
      </c>
      <c r="BG4708" t="str">
        <f>T("판타지 웹소설 &gt; 무협 소설")</f>
        <v>판타지 웹소설 &gt; 무협 소설</v>
      </c>
    </row>
    <row r="4709" spans="1:59">
      <c r="A4709" t="s">
        <v>60</v>
      </c>
      <c r="B4709" s="1">
        <v>46130</v>
      </c>
      <c r="C4709">
        <v>2378025184</v>
      </c>
      <c r="D4709">
        <v>2378025212</v>
      </c>
      <c r="E4709" t="str">
        <f>T("장부귀환 29화")</f>
        <v>장부귀환 29화</v>
      </c>
      <c r="F4709">
        <v>29</v>
      </c>
      <c r="G4709" t="str">
        <f>T("불군(不群)")</f>
        <v>불군(不群)</v>
      </c>
      <c r="J4709" t="str">
        <f>T("매드햇")</f>
        <v>매드햇</v>
      </c>
      <c r="K4709" t="str">
        <f>T("장부귀환")</f>
        <v>장부귀환</v>
      </c>
      <c r="L4709">
        <v>100</v>
      </c>
      <c r="M4709">
        <v>100</v>
      </c>
      <c r="N4709">
        <v>1</v>
      </c>
      <c r="O4709">
        <v>0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0</v>
      </c>
      <c r="AC4709">
        <v>0</v>
      </c>
      <c r="AD4709">
        <v>0</v>
      </c>
      <c r="AE4709">
        <v>0</v>
      </c>
      <c r="AF4709">
        <v>0</v>
      </c>
      <c r="AG4709">
        <v>0</v>
      </c>
      <c r="AH4709">
        <v>0</v>
      </c>
      <c r="AI4709">
        <v>100</v>
      </c>
      <c r="AJ4709">
        <v>1</v>
      </c>
      <c r="AK4709">
        <v>0</v>
      </c>
      <c r="AL4709">
        <v>0</v>
      </c>
      <c r="AM4709">
        <v>100</v>
      </c>
      <c r="AN4709">
        <v>0</v>
      </c>
      <c r="AO4709">
        <v>0</v>
      </c>
      <c r="AP4709">
        <v>0</v>
      </c>
      <c r="AQ4709">
        <v>0</v>
      </c>
      <c r="AS4709">
        <v>0</v>
      </c>
      <c r="AT4709">
        <v>0</v>
      </c>
      <c r="AV4709">
        <v>0</v>
      </c>
      <c r="AW4709">
        <v>0</v>
      </c>
      <c r="AY4709">
        <v>0</v>
      </c>
      <c r="AZ4709">
        <v>0</v>
      </c>
      <c r="BA4709">
        <v>70</v>
      </c>
      <c r="BE4709" t="str">
        <f>T("9791137001572")</f>
        <v>9791137001572</v>
      </c>
      <c r="BF4709" t="str">
        <f>T("E772257")</f>
        <v>E772257</v>
      </c>
      <c r="BG4709" t="str">
        <f>T("판타지 웹소설 &gt; 무협 소설")</f>
        <v>판타지 웹소설 &gt; 무협 소설</v>
      </c>
    </row>
    <row r="4710" spans="1:59">
      <c r="A4710" t="s">
        <v>60</v>
      </c>
      <c r="B4710" s="1">
        <v>46130</v>
      </c>
      <c r="C4710">
        <v>2378025184</v>
      </c>
      <c r="D4710">
        <v>2378025213</v>
      </c>
      <c r="E4710" t="str">
        <f>T("장부귀환 30화")</f>
        <v>장부귀환 30화</v>
      </c>
      <c r="F4710">
        <v>30</v>
      </c>
      <c r="G4710" t="str">
        <f>T("불군(不群)")</f>
        <v>불군(不群)</v>
      </c>
      <c r="J4710" t="str">
        <f>T("매드햇")</f>
        <v>매드햇</v>
      </c>
      <c r="K4710" t="str">
        <f>T("장부귀환")</f>
        <v>장부귀환</v>
      </c>
      <c r="L4710">
        <v>100</v>
      </c>
      <c r="M4710">
        <v>100</v>
      </c>
      <c r="N4710">
        <v>1</v>
      </c>
      <c r="O4710">
        <v>0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0</v>
      </c>
      <c r="AC4710">
        <v>0</v>
      </c>
      <c r="AD4710">
        <v>0</v>
      </c>
      <c r="AE4710">
        <v>0</v>
      </c>
      <c r="AF4710">
        <v>0</v>
      </c>
      <c r="AG4710">
        <v>0</v>
      </c>
      <c r="AH4710">
        <v>0</v>
      </c>
      <c r="AI4710">
        <v>100</v>
      </c>
      <c r="AJ4710">
        <v>1</v>
      </c>
      <c r="AK4710">
        <v>0</v>
      </c>
      <c r="AL4710">
        <v>0</v>
      </c>
      <c r="AM4710">
        <v>100</v>
      </c>
      <c r="AN4710">
        <v>0</v>
      </c>
      <c r="AO4710">
        <v>0</v>
      </c>
      <c r="AP4710">
        <v>0</v>
      </c>
      <c r="AQ4710">
        <v>0</v>
      </c>
      <c r="AS4710">
        <v>0</v>
      </c>
      <c r="AT4710">
        <v>0</v>
      </c>
      <c r="AV4710">
        <v>0</v>
      </c>
      <c r="AW4710">
        <v>0</v>
      </c>
      <c r="AY4710">
        <v>0</v>
      </c>
      <c r="AZ4710">
        <v>0</v>
      </c>
      <c r="BA4710">
        <v>70</v>
      </c>
      <c r="BE4710" t="str">
        <f>T("9791137001572")</f>
        <v>9791137001572</v>
      </c>
      <c r="BF4710" t="str">
        <f>T("E772258")</f>
        <v>E772258</v>
      </c>
      <c r="BG4710" t="str">
        <f>T("판타지 웹소설 &gt; 무협 소설")</f>
        <v>판타지 웹소설 &gt; 무협 소설</v>
      </c>
    </row>
    <row r="4711" spans="1:59">
      <c r="A4711" t="s">
        <v>60</v>
      </c>
      <c r="B4711" s="1">
        <v>46130</v>
      </c>
      <c r="C4711">
        <v>2378025184</v>
      </c>
      <c r="D4711">
        <v>2378025214</v>
      </c>
      <c r="E4711" t="str">
        <f>T("장부귀환 31화")</f>
        <v>장부귀환 31화</v>
      </c>
      <c r="F4711">
        <v>31</v>
      </c>
      <c r="G4711" t="str">
        <f>T("불군(不群)")</f>
        <v>불군(不群)</v>
      </c>
      <c r="J4711" t="str">
        <f>T("매드햇")</f>
        <v>매드햇</v>
      </c>
      <c r="K4711" t="str">
        <f>T("장부귀환")</f>
        <v>장부귀환</v>
      </c>
      <c r="L4711">
        <v>100</v>
      </c>
      <c r="M4711">
        <v>100</v>
      </c>
      <c r="N4711">
        <v>1</v>
      </c>
      <c r="O4711">
        <v>0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0</v>
      </c>
      <c r="AC4711">
        <v>0</v>
      </c>
      <c r="AD4711">
        <v>0</v>
      </c>
      <c r="AE4711">
        <v>0</v>
      </c>
      <c r="AF4711">
        <v>0</v>
      </c>
      <c r="AG4711">
        <v>0</v>
      </c>
      <c r="AH4711">
        <v>0</v>
      </c>
      <c r="AI4711">
        <v>100</v>
      </c>
      <c r="AJ4711">
        <v>1</v>
      </c>
      <c r="AK4711">
        <v>0</v>
      </c>
      <c r="AL4711">
        <v>0</v>
      </c>
      <c r="AM4711">
        <v>100</v>
      </c>
      <c r="AN4711">
        <v>0</v>
      </c>
      <c r="AO4711">
        <v>0</v>
      </c>
      <c r="AP4711">
        <v>0</v>
      </c>
      <c r="AQ4711">
        <v>0</v>
      </c>
      <c r="AS4711">
        <v>0</v>
      </c>
      <c r="AT4711">
        <v>0</v>
      </c>
      <c r="AV4711">
        <v>0</v>
      </c>
      <c r="AW4711">
        <v>0</v>
      </c>
      <c r="AY4711">
        <v>0</v>
      </c>
      <c r="AZ4711">
        <v>0</v>
      </c>
      <c r="BA4711">
        <v>70</v>
      </c>
      <c r="BE4711" t="str">
        <f>T("9791137001572")</f>
        <v>9791137001572</v>
      </c>
      <c r="BF4711" t="str">
        <f>T("E772259")</f>
        <v>E772259</v>
      </c>
      <c r="BG4711" t="str">
        <f>T("판타지 웹소설 &gt; 무협 소설")</f>
        <v>판타지 웹소설 &gt; 무협 소설</v>
      </c>
    </row>
    <row r="4712" spans="1:59">
      <c r="A4712" t="s">
        <v>60</v>
      </c>
      <c r="B4712" s="1">
        <v>46130</v>
      </c>
      <c r="C4712">
        <v>2378025184</v>
      </c>
      <c r="D4712">
        <v>2378025215</v>
      </c>
      <c r="E4712" t="str">
        <f>T("장부귀환 32화")</f>
        <v>장부귀환 32화</v>
      </c>
      <c r="F4712">
        <v>32</v>
      </c>
      <c r="G4712" t="str">
        <f>T("불군(不群)")</f>
        <v>불군(不群)</v>
      </c>
      <c r="J4712" t="str">
        <f>T("매드햇")</f>
        <v>매드햇</v>
      </c>
      <c r="K4712" t="str">
        <f>T("장부귀환")</f>
        <v>장부귀환</v>
      </c>
      <c r="L4712">
        <v>100</v>
      </c>
      <c r="M4712">
        <v>100</v>
      </c>
      <c r="N4712">
        <v>1</v>
      </c>
      <c r="O4712">
        <v>0</v>
      </c>
      <c r="P4712">
        <v>0</v>
      </c>
      <c r="Q4712">
        <v>0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0</v>
      </c>
      <c r="AC4712">
        <v>0</v>
      </c>
      <c r="AD4712">
        <v>0</v>
      </c>
      <c r="AE4712">
        <v>0</v>
      </c>
      <c r="AF4712">
        <v>0</v>
      </c>
      <c r="AG4712">
        <v>0</v>
      </c>
      <c r="AH4712">
        <v>0</v>
      </c>
      <c r="AI4712">
        <v>100</v>
      </c>
      <c r="AJ4712">
        <v>1</v>
      </c>
      <c r="AK4712">
        <v>0</v>
      </c>
      <c r="AL4712">
        <v>0</v>
      </c>
      <c r="AM4712">
        <v>100</v>
      </c>
      <c r="AN4712">
        <v>0</v>
      </c>
      <c r="AO4712">
        <v>0</v>
      </c>
      <c r="AP4712">
        <v>0</v>
      </c>
      <c r="AQ4712">
        <v>0</v>
      </c>
      <c r="AS4712">
        <v>0</v>
      </c>
      <c r="AT4712">
        <v>0</v>
      </c>
      <c r="AV4712">
        <v>0</v>
      </c>
      <c r="AW4712">
        <v>0</v>
      </c>
      <c r="AY4712">
        <v>0</v>
      </c>
      <c r="AZ4712">
        <v>0</v>
      </c>
      <c r="BA4712">
        <v>70</v>
      </c>
      <c r="BE4712" t="str">
        <f>T("9791137001572")</f>
        <v>9791137001572</v>
      </c>
      <c r="BF4712" t="str">
        <f>T("E772260")</f>
        <v>E772260</v>
      </c>
      <c r="BG4712" t="str">
        <f>T("판타지 웹소설 &gt; 무협 소설")</f>
        <v>판타지 웹소설 &gt; 무협 소설</v>
      </c>
    </row>
    <row r="4713" spans="1:59">
      <c r="A4713" t="s">
        <v>60</v>
      </c>
      <c r="B4713" s="1">
        <v>46129</v>
      </c>
      <c r="C4713">
        <v>2378057438</v>
      </c>
      <c r="D4713">
        <v>2378057550</v>
      </c>
      <c r="E4713" t="str">
        <f>T("재벌에서 광복군까지 113화")</f>
        <v>재벌에서 광복군까지 113화</v>
      </c>
      <c r="F4713">
        <v>113</v>
      </c>
      <c r="G4713" t="str">
        <f>T("빛나는구름")</f>
        <v>빛나는구름</v>
      </c>
      <c r="J4713" t="str">
        <f>T("사이렌")</f>
        <v>사이렌</v>
      </c>
      <c r="K4713" t="str">
        <f>T("재벌에서 광복군까지")</f>
        <v>재벌에서 광복군까지</v>
      </c>
      <c r="L4713">
        <v>100</v>
      </c>
      <c r="M4713">
        <v>100</v>
      </c>
      <c r="N4713">
        <v>1</v>
      </c>
      <c r="O4713">
        <v>0</v>
      </c>
      <c r="P4713">
        <v>0</v>
      </c>
      <c r="Q4713">
        <v>0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0</v>
      </c>
      <c r="AC4713">
        <v>0</v>
      </c>
      <c r="AD4713">
        <v>0</v>
      </c>
      <c r="AE4713">
        <v>0</v>
      </c>
      <c r="AF4713">
        <v>0</v>
      </c>
      <c r="AG4713">
        <v>0</v>
      </c>
      <c r="AH4713">
        <v>0</v>
      </c>
      <c r="AI4713">
        <v>100</v>
      </c>
      <c r="AJ4713">
        <v>1</v>
      </c>
      <c r="AK4713">
        <v>0</v>
      </c>
      <c r="AL4713">
        <v>0</v>
      </c>
      <c r="AM4713">
        <v>100</v>
      </c>
      <c r="AN4713">
        <v>0</v>
      </c>
      <c r="AO4713">
        <v>0</v>
      </c>
      <c r="AP4713">
        <v>0</v>
      </c>
      <c r="AQ4713">
        <v>0</v>
      </c>
      <c r="AS4713">
        <v>0</v>
      </c>
      <c r="AT4713">
        <v>0</v>
      </c>
      <c r="AV4713">
        <v>0</v>
      </c>
      <c r="AW4713">
        <v>0</v>
      </c>
      <c r="AY4713">
        <v>0</v>
      </c>
      <c r="AZ4713">
        <v>0</v>
      </c>
      <c r="BA4713">
        <v>70</v>
      </c>
      <c r="BE4713" t="str">
        <f>T("9791137017245")</f>
        <v>9791137017245</v>
      </c>
      <c r="BF4713" t="str">
        <f>T("k150142")</f>
        <v>k150142</v>
      </c>
      <c r="BG4713" t="str">
        <f>T("판타지 웹소설 &gt; 퓨전 판타지")</f>
        <v>판타지 웹소설 &gt; 퓨전 판타지</v>
      </c>
    </row>
    <row r="4714" spans="1:59">
      <c r="A4714" t="s">
        <v>60</v>
      </c>
      <c r="B4714" s="1">
        <v>46129</v>
      </c>
      <c r="C4714">
        <v>2378057438</v>
      </c>
      <c r="D4714">
        <v>2378057551</v>
      </c>
      <c r="E4714" t="str">
        <f>T("재벌에서 광복군까지 114화")</f>
        <v>재벌에서 광복군까지 114화</v>
      </c>
      <c r="F4714">
        <v>114</v>
      </c>
      <c r="G4714" t="str">
        <f>T("빛나는구름")</f>
        <v>빛나는구름</v>
      </c>
      <c r="J4714" t="str">
        <f>T("사이렌")</f>
        <v>사이렌</v>
      </c>
      <c r="K4714" t="str">
        <f>T("재벌에서 광복군까지")</f>
        <v>재벌에서 광복군까지</v>
      </c>
      <c r="L4714">
        <v>100</v>
      </c>
      <c r="M4714">
        <v>100</v>
      </c>
      <c r="N4714">
        <v>1</v>
      </c>
      <c r="O4714">
        <v>0</v>
      </c>
      <c r="P4714">
        <v>0</v>
      </c>
      <c r="Q4714">
        <v>0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0</v>
      </c>
      <c r="AC4714">
        <v>0</v>
      </c>
      <c r="AD4714">
        <v>0</v>
      </c>
      <c r="AE4714">
        <v>0</v>
      </c>
      <c r="AF4714">
        <v>0</v>
      </c>
      <c r="AG4714">
        <v>0</v>
      </c>
      <c r="AH4714">
        <v>0</v>
      </c>
      <c r="AI4714">
        <v>100</v>
      </c>
      <c r="AJ4714">
        <v>1</v>
      </c>
      <c r="AK4714">
        <v>0</v>
      </c>
      <c r="AL4714">
        <v>0</v>
      </c>
      <c r="AM4714">
        <v>100</v>
      </c>
      <c r="AN4714">
        <v>0</v>
      </c>
      <c r="AO4714">
        <v>0</v>
      </c>
      <c r="AP4714">
        <v>0</v>
      </c>
      <c r="AQ4714">
        <v>0</v>
      </c>
      <c r="AS4714">
        <v>0</v>
      </c>
      <c r="AT4714">
        <v>0</v>
      </c>
      <c r="AV4714">
        <v>0</v>
      </c>
      <c r="AW4714">
        <v>0</v>
      </c>
      <c r="AY4714">
        <v>0</v>
      </c>
      <c r="AZ4714">
        <v>0</v>
      </c>
      <c r="BA4714">
        <v>70</v>
      </c>
      <c r="BE4714" t="str">
        <f>T("9791137017245")</f>
        <v>9791137017245</v>
      </c>
      <c r="BF4714" t="str">
        <f>T("k150143")</f>
        <v>k150143</v>
      </c>
      <c r="BG4714" t="str">
        <f>T("판타지 웹소설 &gt; 퓨전 판타지")</f>
        <v>판타지 웹소설 &gt; 퓨전 판타지</v>
      </c>
    </row>
    <row r="4715" spans="1:59">
      <c r="A4715" t="s">
        <v>60</v>
      </c>
      <c r="B4715" s="1">
        <v>46129</v>
      </c>
      <c r="C4715">
        <v>2378057438</v>
      </c>
      <c r="D4715">
        <v>2378057552</v>
      </c>
      <c r="E4715" t="str">
        <f>T("재벌에서 광복군까지 115화")</f>
        <v>재벌에서 광복군까지 115화</v>
      </c>
      <c r="F4715">
        <v>115</v>
      </c>
      <c r="G4715" t="str">
        <f>T("빛나는구름")</f>
        <v>빛나는구름</v>
      </c>
      <c r="J4715" t="str">
        <f>T("사이렌")</f>
        <v>사이렌</v>
      </c>
      <c r="K4715" t="str">
        <f>T("재벌에서 광복군까지")</f>
        <v>재벌에서 광복군까지</v>
      </c>
      <c r="L4715">
        <v>100</v>
      </c>
      <c r="M4715">
        <v>100</v>
      </c>
      <c r="N4715">
        <v>1</v>
      </c>
      <c r="O4715">
        <v>0</v>
      </c>
      <c r="P4715">
        <v>0</v>
      </c>
      <c r="Q4715">
        <v>0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0</v>
      </c>
      <c r="AC4715">
        <v>0</v>
      </c>
      <c r="AD4715">
        <v>0</v>
      </c>
      <c r="AE4715">
        <v>0</v>
      </c>
      <c r="AF4715">
        <v>0</v>
      </c>
      <c r="AG4715">
        <v>0</v>
      </c>
      <c r="AH4715">
        <v>0</v>
      </c>
      <c r="AI4715">
        <v>100</v>
      </c>
      <c r="AJ4715">
        <v>1</v>
      </c>
      <c r="AK4715">
        <v>0</v>
      </c>
      <c r="AL4715">
        <v>0</v>
      </c>
      <c r="AM4715">
        <v>100</v>
      </c>
      <c r="AN4715">
        <v>0</v>
      </c>
      <c r="AO4715">
        <v>0</v>
      </c>
      <c r="AP4715">
        <v>0</v>
      </c>
      <c r="AQ4715">
        <v>0</v>
      </c>
      <c r="AS4715">
        <v>0</v>
      </c>
      <c r="AT4715">
        <v>0</v>
      </c>
      <c r="AV4715">
        <v>0</v>
      </c>
      <c r="AW4715">
        <v>0</v>
      </c>
      <c r="AY4715">
        <v>0</v>
      </c>
      <c r="AZ4715">
        <v>0</v>
      </c>
      <c r="BA4715">
        <v>70</v>
      </c>
      <c r="BE4715" t="str">
        <f>T("9791137017245")</f>
        <v>9791137017245</v>
      </c>
      <c r="BF4715" t="str">
        <f>T("k150144")</f>
        <v>k150144</v>
      </c>
      <c r="BG4715" t="str">
        <f>T("판타지 웹소설 &gt; 퓨전 판타지")</f>
        <v>판타지 웹소설 &gt; 퓨전 판타지</v>
      </c>
    </row>
    <row r="4716" spans="1:59">
      <c r="A4716" t="s">
        <v>60</v>
      </c>
      <c r="B4716" s="1">
        <v>46129</v>
      </c>
      <c r="C4716">
        <v>2378057438</v>
      </c>
      <c r="D4716">
        <v>2378057553</v>
      </c>
      <c r="E4716" t="str">
        <f>T("재벌에서 광복군까지 116화")</f>
        <v>재벌에서 광복군까지 116화</v>
      </c>
      <c r="F4716">
        <v>116</v>
      </c>
      <c r="G4716" t="str">
        <f>T("빛나는구름")</f>
        <v>빛나는구름</v>
      </c>
      <c r="J4716" t="str">
        <f>T("사이렌")</f>
        <v>사이렌</v>
      </c>
      <c r="K4716" t="str">
        <f>T("재벌에서 광복군까지")</f>
        <v>재벌에서 광복군까지</v>
      </c>
      <c r="L4716">
        <v>100</v>
      </c>
      <c r="M4716">
        <v>100</v>
      </c>
      <c r="N4716">
        <v>1</v>
      </c>
      <c r="O4716">
        <v>0</v>
      </c>
      <c r="P4716">
        <v>0</v>
      </c>
      <c r="Q4716">
        <v>0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0</v>
      </c>
      <c r="AC4716">
        <v>0</v>
      </c>
      <c r="AD4716">
        <v>0</v>
      </c>
      <c r="AE4716">
        <v>0</v>
      </c>
      <c r="AF4716">
        <v>0</v>
      </c>
      <c r="AG4716">
        <v>0</v>
      </c>
      <c r="AH4716">
        <v>0</v>
      </c>
      <c r="AI4716">
        <v>100</v>
      </c>
      <c r="AJ4716">
        <v>1</v>
      </c>
      <c r="AK4716">
        <v>0</v>
      </c>
      <c r="AL4716">
        <v>0</v>
      </c>
      <c r="AM4716">
        <v>100</v>
      </c>
      <c r="AN4716">
        <v>0</v>
      </c>
      <c r="AO4716">
        <v>0</v>
      </c>
      <c r="AP4716">
        <v>0</v>
      </c>
      <c r="AQ4716">
        <v>0</v>
      </c>
      <c r="AS4716">
        <v>0</v>
      </c>
      <c r="AT4716">
        <v>0</v>
      </c>
      <c r="AV4716">
        <v>0</v>
      </c>
      <c r="AW4716">
        <v>0</v>
      </c>
      <c r="AY4716">
        <v>0</v>
      </c>
      <c r="AZ4716">
        <v>0</v>
      </c>
      <c r="BA4716">
        <v>70</v>
      </c>
      <c r="BE4716" t="str">
        <f>T("9791137017245")</f>
        <v>9791137017245</v>
      </c>
      <c r="BF4716" t="str">
        <f>T("k150145")</f>
        <v>k150145</v>
      </c>
      <c r="BG4716" t="str">
        <f>T("판타지 웹소설 &gt; 퓨전 판타지")</f>
        <v>판타지 웹소설 &gt; 퓨전 판타지</v>
      </c>
    </row>
    <row r="4717" spans="1:59">
      <c r="A4717" t="s">
        <v>60</v>
      </c>
      <c r="B4717" s="1">
        <v>46129</v>
      </c>
      <c r="C4717">
        <v>2378057438</v>
      </c>
      <c r="D4717">
        <v>2378057554</v>
      </c>
      <c r="E4717" t="str">
        <f>T("재벌에서 광복군까지 117화")</f>
        <v>재벌에서 광복군까지 117화</v>
      </c>
      <c r="F4717">
        <v>117</v>
      </c>
      <c r="G4717" t="str">
        <f>T("빛나는구름")</f>
        <v>빛나는구름</v>
      </c>
      <c r="J4717" t="str">
        <f>T("사이렌")</f>
        <v>사이렌</v>
      </c>
      <c r="K4717" t="str">
        <f>T("재벌에서 광복군까지")</f>
        <v>재벌에서 광복군까지</v>
      </c>
      <c r="L4717">
        <v>100</v>
      </c>
      <c r="M4717">
        <v>100</v>
      </c>
      <c r="N4717">
        <v>1</v>
      </c>
      <c r="O4717">
        <v>0</v>
      </c>
      <c r="P4717">
        <v>0</v>
      </c>
      <c r="Q4717">
        <v>0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0</v>
      </c>
      <c r="AC4717">
        <v>0</v>
      </c>
      <c r="AD4717">
        <v>0</v>
      </c>
      <c r="AE4717">
        <v>0</v>
      </c>
      <c r="AF4717">
        <v>0</v>
      </c>
      <c r="AG4717">
        <v>0</v>
      </c>
      <c r="AH4717">
        <v>0</v>
      </c>
      <c r="AI4717">
        <v>100</v>
      </c>
      <c r="AJ4717">
        <v>1</v>
      </c>
      <c r="AK4717">
        <v>0</v>
      </c>
      <c r="AL4717">
        <v>0</v>
      </c>
      <c r="AM4717">
        <v>100</v>
      </c>
      <c r="AN4717">
        <v>0</v>
      </c>
      <c r="AO4717">
        <v>0</v>
      </c>
      <c r="AP4717">
        <v>0</v>
      </c>
      <c r="AQ4717">
        <v>0</v>
      </c>
      <c r="AS4717">
        <v>0</v>
      </c>
      <c r="AT4717">
        <v>0</v>
      </c>
      <c r="AV4717">
        <v>0</v>
      </c>
      <c r="AW4717">
        <v>0</v>
      </c>
      <c r="AY4717">
        <v>0</v>
      </c>
      <c r="AZ4717">
        <v>0</v>
      </c>
      <c r="BA4717">
        <v>70</v>
      </c>
      <c r="BE4717" t="str">
        <f>T("9791137017245")</f>
        <v>9791137017245</v>
      </c>
      <c r="BF4717" t="str">
        <f>T("k150146")</f>
        <v>k150146</v>
      </c>
      <c r="BG4717" t="str">
        <f>T("판타지 웹소설 &gt; 퓨전 판타지")</f>
        <v>판타지 웹소설 &gt; 퓨전 판타지</v>
      </c>
    </row>
    <row r="4718" spans="1:59">
      <c r="A4718" t="s">
        <v>60</v>
      </c>
      <c r="B4718" s="1">
        <v>46129</v>
      </c>
      <c r="C4718">
        <v>2378057438</v>
      </c>
      <c r="D4718">
        <v>2378057555</v>
      </c>
      <c r="E4718" t="str">
        <f>T("재벌에서 광복군까지 118화")</f>
        <v>재벌에서 광복군까지 118화</v>
      </c>
      <c r="F4718">
        <v>118</v>
      </c>
      <c r="G4718" t="str">
        <f>T("빛나는구름")</f>
        <v>빛나는구름</v>
      </c>
      <c r="J4718" t="str">
        <f>T("사이렌")</f>
        <v>사이렌</v>
      </c>
      <c r="K4718" t="str">
        <f>T("재벌에서 광복군까지")</f>
        <v>재벌에서 광복군까지</v>
      </c>
      <c r="L4718">
        <v>100</v>
      </c>
      <c r="M4718">
        <v>100</v>
      </c>
      <c r="N4718">
        <v>1</v>
      </c>
      <c r="O4718">
        <v>0</v>
      </c>
      <c r="P4718">
        <v>0</v>
      </c>
      <c r="Q4718">
        <v>0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0</v>
      </c>
      <c r="AC4718">
        <v>0</v>
      </c>
      <c r="AD4718">
        <v>0</v>
      </c>
      <c r="AE4718">
        <v>0</v>
      </c>
      <c r="AF4718">
        <v>0</v>
      </c>
      <c r="AG4718">
        <v>0</v>
      </c>
      <c r="AH4718">
        <v>0</v>
      </c>
      <c r="AI4718">
        <v>100</v>
      </c>
      <c r="AJ4718">
        <v>1</v>
      </c>
      <c r="AK4718">
        <v>0</v>
      </c>
      <c r="AL4718">
        <v>0</v>
      </c>
      <c r="AM4718">
        <v>100</v>
      </c>
      <c r="AN4718">
        <v>0</v>
      </c>
      <c r="AO4718">
        <v>0</v>
      </c>
      <c r="AP4718">
        <v>0</v>
      </c>
      <c r="AQ4718">
        <v>0</v>
      </c>
      <c r="AS4718">
        <v>0</v>
      </c>
      <c r="AT4718">
        <v>0</v>
      </c>
      <c r="AV4718">
        <v>0</v>
      </c>
      <c r="AW4718">
        <v>0</v>
      </c>
      <c r="AY4718">
        <v>0</v>
      </c>
      <c r="AZ4718">
        <v>0</v>
      </c>
      <c r="BA4718">
        <v>70</v>
      </c>
      <c r="BE4718" t="str">
        <f>T("9791137017245")</f>
        <v>9791137017245</v>
      </c>
      <c r="BF4718" t="str">
        <f>T("k150147")</f>
        <v>k150147</v>
      </c>
      <c r="BG4718" t="str">
        <f>T("판타지 웹소설 &gt; 퓨전 판타지")</f>
        <v>판타지 웹소설 &gt; 퓨전 판타지</v>
      </c>
    </row>
    <row r="4719" spans="1:59">
      <c r="A4719" t="s">
        <v>60</v>
      </c>
      <c r="B4719" s="1">
        <v>46129</v>
      </c>
      <c r="C4719">
        <v>2378057438</v>
      </c>
      <c r="D4719">
        <v>2378057556</v>
      </c>
      <c r="E4719" t="str">
        <f>T("재벌에서 광복군까지 119화")</f>
        <v>재벌에서 광복군까지 119화</v>
      </c>
      <c r="F4719">
        <v>119</v>
      </c>
      <c r="G4719" t="str">
        <f>T("빛나는구름")</f>
        <v>빛나는구름</v>
      </c>
      <c r="J4719" t="str">
        <f>T("사이렌")</f>
        <v>사이렌</v>
      </c>
      <c r="K4719" t="str">
        <f>T("재벌에서 광복군까지")</f>
        <v>재벌에서 광복군까지</v>
      </c>
      <c r="L4719">
        <v>100</v>
      </c>
      <c r="M4719">
        <v>100</v>
      </c>
      <c r="N4719">
        <v>1</v>
      </c>
      <c r="O4719">
        <v>0</v>
      </c>
      <c r="P4719">
        <v>0</v>
      </c>
      <c r="Q4719">
        <v>0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0</v>
      </c>
      <c r="AC4719">
        <v>0</v>
      </c>
      <c r="AD4719">
        <v>0</v>
      </c>
      <c r="AE4719">
        <v>0</v>
      </c>
      <c r="AF4719">
        <v>0</v>
      </c>
      <c r="AG4719">
        <v>0</v>
      </c>
      <c r="AH4719">
        <v>0</v>
      </c>
      <c r="AI4719">
        <v>100</v>
      </c>
      <c r="AJ4719">
        <v>1</v>
      </c>
      <c r="AK4719">
        <v>0</v>
      </c>
      <c r="AL4719">
        <v>0</v>
      </c>
      <c r="AM4719">
        <v>100</v>
      </c>
      <c r="AN4719">
        <v>0</v>
      </c>
      <c r="AO4719">
        <v>0</v>
      </c>
      <c r="AP4719">
        <v>0</v>
      </c>
      <c r="AQ4719">
        <v>0</v>
      </c>
      <c r="AS4719">
        <v>0</v>
      </c>
      <c r="AT4719">
        <v>0</v>
      </c>
      <c r="AV4719">
        <v>0</v>
      </c>
      <c r="AW4719">
        <v>0</v>
      </c>
      <c r="AY4719">
        <v>0</v>
      </c>
      <c r="AZ4719">
        <v>0</v>
      </c>
      <c r="BA4719">
        <v>70</v>
      </c>
      <c r="BE4719" t="str">
        <f>T("9791137017245")</f>
        <v>9791137017245</v>
      </c>
      <c r="BF4719" t="str">
        <f>T("k150148")</f>
        <v>k150148</v>
      </c>
      <c r="BG4719" t="str">
        <f>T("판타지 웹소설 &gt; 퓨전 판타지")</f>
        <v>판타지 웹소설 &gt; 퓨전 판타지</v>
      </c>
    </row>
    <row r="4720" spans="1:59">
      <c r="A4720" t="s">
        <v>60</v>
      </c>
      <c r="B4720" s="1">
        <v>46129</v>
      </c>
      <c r="C4720">
        <v>2378057438</v>
      </c>
      <c r="D4720">
        <v>2378057557</v>
      </c>
      <c r="E4720" t="str">
        <f>T("재벌에서 광복군까지 120화")</f>
        <v>재벌에서 광복군까지 120화</v>
      </c>
      <c r="F4720">
        <v>120</v>
      </c>
      <c r="G4720" t="str">
        <f>T("빛나는구름")</f>
        <v>빛나는구름</v>
      </c>
      <c r="J4720" t="str">
        <f>T("사이렌")</f>
        <v>사이렌</v>
      </c>
      <c r="K4720" t="str">
        <f>T("재벌에서 광복군까지")</f>
        <v>재벌에서 광복군까지</v>
      </c>
      <c r="L4720">
        <v>100</v>
      </c>
      <c r="M4720">
        <v>100</v>
      </c>
      <c r="N4720">
        <v>1</v>
      </c>
      <c r="O4720">
        <v>0</v>
      </c>
      <c r="P4720">
        <v>0</v>
      </c>
      <c r="Q4720">
        <v>0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0</v>
      </c>
      <c r="AC4720">
        <v>0</v>
      </c>
      <c r="AD4720">
        <v>0</v>
      </c>
      <c r="AE4720">
        <v>0</v>
      </c>
      <c r="AF4720">
        <v>0</v>
      </c>
      <c r="AG4720">
        <v>0</v>
      </c>
      <c r="AH4720">
        <v>0</v>
      </c>
      <c r="AI4720">
        <v>100</v>
      </c>
      <c r="AJ4720">
        <v>1</v>
      </c>
      <c r="AK4720">
        <v>0</v>
      </c>
      <c r="AL4720">
        <v>0</v>
      </c>
      <c r="AM4720">
        <v>100</v>
      </c>
      <c r="AN4720">
        <v>0</v>
      </c>
      <c r="AO4720">
        <v>0</v>
      </c>
      <c r="AP4720">
        <v>0</v>
      </c>
      <c r="AQ4720">
        <v>0</v>
      </c>
      <c r="AS4720">
        <v>0</v>
      </c>
      <c r="AT4720">
        <v>0</v>
      </c>
      <c r="AV4720">
        <v>0</v>
      </c>
      <c r="AW4720">
        <v>0</v>
      </c>
      <c r="AY4720">
        <v>0</v>
      </c>
      <c r="AZ4720">
        <v>0</v>
      </c>
      <c r="BA4720">
        <v>70</v>
      </c>
      <c r="BE4720" t="str">
        <f>T("9791137017245")</f>
        <v>9791137017245</v>
      </c>
      <c r="BF4720" t="str">
        <f>T("k150149")</f>
        <v>k150149</v>
      </c>
      <c r="BG4720" t="str">
        <f>T("판타지 웹소설 &gt; 퓨전 판타지")</f>
        <v>판타지 웹소설 &gt; 퓨전 판타지</v>
      </c>
    </row>
    <row r="4721" spans="1:59">
      <c r="A4721" t="s">
        <v>60</v>
      </c>
      <c r="B4721" s="1">
        <v>46129</v>
      </c>
      <c r="C4721">
        <v>2378057438</v>
      </c>
      <c r="D4721">
        <v>2378057558</v>
      </c>
      <c r="E4721" t="str">
        <f>T("재벌에서 광복군까지 121화")</f>
        <v>재벌에서 광복군까지 121화</v>
      </c>
      <c r="F4721">
        <v>121</v>
      </c>
      <c r="G4721" t="str">
        <f>T("빛나는구름")</f>
        <v>빛나는구름</v>
      </c>
      <c r="J4721" t="str">
        <f>T("사이렌")</f>
        <v>사이렌</v>
      </c>
      <c r="K4721" t="str">
        <f>T("재벌에서 광복군까지")</f>
        <v>재벌에서 광복군까지</v>
      </c>
      <c r="L4721">
        <v>100</v>
      </c>
      <c r="M4721">
        <v>100</v>
      </c>
      <c r="N4721">
        <v>1</v>
      </c>
      <c r="O4721">
        <v>0</v>
      </c>
      <c r="P4721">
        <v>0</v>
      </c>
      <c r="Q4721">
        <v>0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0</v>
      </c>
      <c r="AC4721">
        <v>0</v>
      </c>
      <c r="AD4721">
        <v>0</v>
      </c>
      <c r="AE4721">
        <v>0</v>
      </c>
      <c r="AF4721">
        <v>0</v>
      </c>
      <c r="AG4721">
        <v>0</v>
      </c>
      <c r="AH4721">
        <v>0</v>
      </c>
      <c r="AI4721">
        <v>100</v>
      </c>
      <c r="AJ4721">
        <v>1</v>
      </c>
      <c r="AK4721">
        <v>0</v>
      </c>
      <c r="AL4721">
        <v>0</v>
      </c>
      <c r="AM4721">
        <v>100</v>
      </c>
      <c r="AN4721">
        <v>0</v>
      </c>
      <c r="AO4721">
        <v>0</v>
      </c>
      <c r="AP4721">
        <v>0</v>
      </c>
      <c r="AQ4721">
        <v>0</v>
      </c>
      <c r="AS4721">
        <v>0</v>
      </c>
      <c r="AT4721">
        <v>0</v>
      </c>
      <c r="AV4721">
        <v>0</v>
      </c>
      <c r="AW4721">
        <v>0</v>
      </c>
      <c r="AY4721">
        <v>0</v>
      </c>
      <c r="AZ4721">
        <v>0</v>
      </c>
      <c r="BA4721">
        <v>70</v>
      </c>
      <c r="BE4721" t="str">
        <f>T("9791137017245")</f>
        <v>9791137017245</v>
      </c>
      <c r="BF4721" t="str">
        <f>T("k150150")</f>
        <v>k150150</v>
      </c>
      <c r="BG4721" t="str">
        <f>T("판타지 웹소설 &gt; 퓨전 판타지")</f>
        <v>판타지 웹소설 &gt; 퓨전 판타지</v>
      </c>
    </row>
    <row r="4722" spans="1:59">
      <c r="A4722" t="s">
        <v>60</v>
      </c>
      <c r="B4722" s="1">
        <v>46129</v>
      </c>
      <c r="C4722">
        <v>2378057438</v>
      </c>
      <c r="D4722">
        <v>2378057559</v>
      </c>
      <c r="E4722" t="str">
        <f>T("재벌에서 광복군까지 122화")</f>
        <v>재벌에서 광복군까지 122화</v>
      </c>
      <c r="F4722">
        <v>122</v>
      </c>
      <c r="G4722" t="str">
        <f>T("빛나는구름")</f>
        <v>빛나는구름</v>
      </c>
      <c r="J4722" t="str">
        <f>T("사이렌")</f>
        <v>사이렌</v>
      </c>
      <c r="K4722" t="str">
        <f>T("재벌에서 광복군까지")</f>
        <v>재벌에서 광복군까지</v>
      </c>
      <c r="L4722">
        <v>100</v>
      </c>
      <c r="M4722">
        <v>100</v>
      </c>
      <c r="N4722">
        <v>1</v>
      </c>
      <c r="O4722">
        <v>0</v>
      </c>
      <c r="P4722">
        <v>0</v>
      </c>
      <c r="Q4722">
        <v>0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0</v>
      </c>
      <c r="AC4722">
        <v>0</v>
      </c>
      <c r="AD4722">
        <v>0</v>
      </c>
      <c r="AE4722">
        <v>0</v>
      </c>
      <c r="AF4722">
        <v>0</v>
      </c>
      <c r="AG4722">
        <v>0</v>
      </c>
      <c r="AH4722">
        <v>0</v>
      </c>
      <c r="AI4722">
        <v>100</v>
      </c>
      <c r="AJ4722">
        <v>1</v>
      </c>
      <c r="AK4722">
        <v>0</v>
      </c>
      <c r="AL4722">
        <v>0</v>
      </c>
      <c r="AM4722">
        <v>100</v>
      </c>
      <c r="AN4722">
        <v>0</v>
      </c>
      <c r="AO4722">
        <v>0</v>
      </c>
      <c r="AP4722">
        <v>0</v>
      </c>
      <c r="AQ4722">
        <v>0</v>
      </c>
      <c r="AS4722">
        <v>0</v>
      </c>
      <c r="AT4722">
        <v>0</v>
      </c>
      <c r="AV4722">
        <v>0</v>
      </c>
      <c r="AW4722">
        <v>0</v>
      </c>
      <c r="AY4722">
        <v>0</v>
      </c>
      <c r="AZ4722">
        <v>0</v>
      </c>
      <c r="BA4722">
        <v>70</v>
      </c>
      <c r="BE4722" t="str">
        <f>T("9791137017245")</f>
        <v>9791137017245</v>
      </c>
      <c r="BF4722" t="str">
        <f>T("k150151")</f>
        <v>k150151</v>
      </c>
      <c r="BG4722" t="str">
        <f>T("판타지 웹소설 &gt; 퓨전 판타지")</f>
        <v>판타지 웹소설 &gt; 퓨전 판타지</v>
      </c>
    </row>
    <row r="4723" spans="1:59">
      <c r="A4723" t="s">
        <v>60</v>
      </c>
      <c r="B4723" s="1">
        <v>46129</v>
      </c>
      <c r="C4723">
        <v>2378057438</v>
      </c>
      <c r="D4723">
        <v>2378057560</v>
      </c>
      <c r="E4723" t="str">
        <f>T("재벌에서 광복군까지 123화")</f>
        <v>재벌에서 광복군까지 123화</v>
      </c>
      <c r="F4723">
        <v>123</v>
      </c>
      <c r="G4723" t="str">
        <f>T("빛나는구름")</f>
        <v>빛나는구름</v>
      </c>
      <c r="J4723" t="str">
        <f>T("사이렌")</f>
        <v>사이렌</v>
      </c>
      <c r="K4723" t="str">
        <f>T("재벌에서 광복군까지")</f>
        <v>재벌에서 광복군까지</v>
      </c>
      <c r="L4723">
        <v>100</v>
      </c>
      <c r="M4723">
        <v>100</v>
      </c>
      <c r="N4723">
        <v>1</v>
      </c>
      <c r="O4723">
        <v>0</v>
      </c>
      <c r="P4723">
        <v>0</v>
      </c>
      <c r="Q4723">
        <v>0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0</v>
      </c>
      <c r="AC4723">
        <v>0</v>
      </c>
      <c r="AD4723">
        <v>0</v>
      </c>
      <c r="AE4723">
        <v>0</v>
      </c>
      <c r="AF4723">
        <v>0</v>
      </c>
      <c r="AG4723">
        <v>0</v>
      </c>
      <c r="AH4723">
        <v>0</v>
      </c>
      <c r="AI4723">
        <v>100</v>
      </c>
      <c r="AJ4723">
        <v>1</v>
      </c>
      <c r="AK4723">
        <v>0</v>
      </c>
      <c r="AL4723">
        <v>0</v>
      </c>
      <c r="AM4723">
        <v>100</v>
      </c>
      <c r="AN4723">
        <v>0</v>
      </c>
      <c r="AO4723">
        <v>0</v>
      </c>
      <c r="AP4723">
        <v>0</v>
      </c>
      <c r="AQ4723">
        <v>0</v>
      </c>
      <c r="AS4723">
        <v>0</v>
      </c>
      <c r="AT4723">
        <v>0</v>
      </c>
      <c r="AV4723">
        <v>0</v>
      </c>
      <c r="AW4723">
        <v>0</v>
      </c>
      <c r="AY4723">
        <v>0</v>
      </c>
      <c r="AZ4723">
        <v>0</v>
      </c>
      <c r="BA4723">
        <v>70</v>
      </c>
      <c r="BE4723" t="str">
        <f>T("9791137017245")</f>
        <v>9791137017245</v>
      </c>
      <c r="BF4723" t="str">
        <f>T("k150152")</f>
        <v>k150152</v>
      </c>
      <c r="BG4723" t="str">
        <f>T("판타지 웹소설 &gt; 퓨전 판타지")</f>
        <v>판타지 웹소설 &gt; 퓨전 판타지</v>
      </c>
    </row>
    <row r="4724" spans="1:59">
      <c r="A4724" t="s">
        <v>60</v>
      </c>
      <c r="B4724" s="1">
        <v>46129</v>
      </c>
      <c r="C4724">
        <v>2378057438</v>
      </c>
      <c r="D4724">
        <v>2378057561</v>
      </c>
      <c r="E4724" t="str">
        <f>T("재벌에서 광복군까지 124화")</f>
        <v>재벌에서 광복군까지 124화</v>
      </c>
      <c r="F4724">
        <v>124</v>
      </c>
      <c r="G4724" t="str">
        <f>T("빛나는구름")</f>
        <v>빛나는구름</v>
      </c>
      <c r="J4724" t="str">
        <f>T("사이렌")</f>
        <v>사이렌</v>
      </c>
      <c r="K4724" t="str">
        <f>T("재벌에서 광복군까지")</f>
        <v>재벌에서 광복군까지</v>
      </c>
      <c r="L4724">
        <v>100</v>
      </c>
      <c r="M4724">
        <v>100</v>
      </c>
      <c r="N4724">
        <v>1</v>
      </c>
      <c r="O4724">
        <v>0</v>
      </c>
      <c r="P4724">
        <v>0</v>
      </c>
      <c r="Q4724">
        <v>0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0</v>
      </c>
      <c r="AC4724">
        <v>0</v>
      </c>
      <c r="AD4724">
        <v>0</v>
      </c>
      <c r="AE4724">
        <v>0</v>
      </c>
      <c r="AF4724">
        <v>0</v>
      </c>
      <c r="AG4724">
        <v>0</v>
      </c>
      <c r="AH4724">
        <v>0</v>
      </c>
      <c r="AI4724">
        <v>100</v>
      </c>
      <c r="AJ4724">
        <v>1</v>
      </c>
      <c r="AK4724">
        <v>0</v>
      </c>
      <c r="AL4724">
        <v>0</v>
      </c>
      <c r="AM4724">
        <v>100</v>
      </c>
      <c r="AN4724">
        <v>0</v>
      </c>
      <c r="AO4724">
        <v>0</v>
      </c>
      <c r="AP4724">
        <v>0</v>
      </c>
      <c r="AQ4724">
        <v>0</v>
      </c>
      <c r="AS4724">
        <v>0</v>
      </c>
      <c r="AT4724">
        <v>0</v>
      </c>
      <c r="AV4724">
        <v>0</v>
      </c>
      <c r="AW4724">
        <v>0</v>
      </c>
      <c r="AY4724">
        <v>0</v>
      </c>
      <c r="AZ4724">
        <v>0</v>
      </c>
      <c r="BA4724">
        <v>70</v>
      </c>
      <c r="BE4724" t="str">
        <f>T("9791137017245")</f>
        <v>9791137017245</v>
      </c>
      <c r="BF4724" t="str">
        <f>T("k150153")</f>
        <v>k150153</v>
      </c>
      <c r="BG4724" t="str">
        <f>T("판타지 웹소설 &gt; 퓨전 판타지")</f>
        <v>판타지 웹소설 &gt; 퓨전 판타지</v>
      </c>
    </row>
    <row r="4725" spans="1:59">
      <c r="A4725" t="s">
        <v>60</v>
      </c>
      <c r="B4725" s="1">
        <v>46129</v>
      </c>
      <c r="C4725">
        <v>2378057438</v>
      </c>
      <c r="D4725">
        <v>2378057562</v>
      </c>
      <c r="E4725" t="str">
        <f>T("재벌에서 광복군까지 125화")</f>
        <v>재벌에서 광복군까지 125화</v>
      </c>
      <c r="F4725">
        <v>125</v>
      </c>
      <c r="G4725" t="str">
        <f>T("빛나는구름")</f>
        <v>빛나는구름</v>
      </c>
      <c r="J4725" t="str">
        <f>T("사이렌")</f>
        <v>사이렌</v>
      </c>
      <c r="K4725" t="str">
        <f>T("재벌에서 광복군까지")</f>
        <v>재벌에서 광복군까지</v>
      </c>
      <c r="L4725">
        <v>100</v>
      </c>
      <c r="M4725">
        <v>100</v>
      </c>
      <c r="N4725">
        <v>1</v>
      </c>
      <c r="O4725">
        <v>0</v>
      </c>
      <c r="P4725">
        <v>0</v>
      </c>
      <c r="Q4725">
        <v>0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0</v>
      </c>
      <c r="AC4725">
        <v>0</v>
      </c>
      <c r="AD4725">
        <v>0</v>
      </c>
      <c r="AE4725">
        <v>0</v>
      </c>
      <c r="AF4725">
        <v>0</v>
      </c>
      <c r="AG4725">
        <v>0</v>
      </c>
      <c r="AH4725">
        <v>0</v>
      </c>
      <c r="AI4725">
        <v>100</v>
      </c>
      <c r="AJ4725">
        <v>1</v>
      </c>
      <c r="AK4725">
        <v>0</v>
      </c>
      <c r="AL4725">
        <v>0</v>
      </c>
      <c r="AM4725">
        <v>100</v>
      </c>
      <c r="AN4725">
        <v>0</v>
      </c>
      <c r="AO4725">
        <v>0</v>
      </c>
      <c r="AP4725">
        <v>0</v>
      </c>
      <c r="AQ4725">
        <v>0</v>
      </c>
      <c r="AS4725">
        <v>0</v>
      </c>
      <c r="AT4725">
        <v>0</v>
      </c>
      <c r="AV4725">
        <v>0</v>
      </c>
      <c r="AW4725">
        <v>0</v>
      </c>
      <c r="AY4725">
        <v>0</v>
      </c>
      <c r="AZ4725">
        <v>0</v>
      </c>
      <c r="BA4725">
        <v>70</v>
      </c>
      <c r="BE4725" t="str">
        <f>T("9791137017245")</f>
        <v>9791137017245</v>
      </c>
      <c r="BF4725" t="str">
        <f>T("k150154")</f>
        <v>k150154</v>
      </c>
      <c r="BG4725" t="str">
        <f>T("판타지 웹소설 &gt; 퓨전 판타지")</f>
        <v>판타지 웹소설 &gt; 퓨전 판타지</v>
      </c>
    </row>
    <row r="4726" spans="1:59">
      <c r="A4726" t="s">
        <v>60</v>
      </c>
      <c r="B4726" s="1">
        <v>46129</v>
      </c>
      <c r="C4726">
        <v>2378057438</v>
      </c>
      <c r="D4726">
        <v>2378057563</v>
      </c>
      <c r="E4726" t="str">
        <f>T("재벌에서 광복군까지 126화")</f>
        <v>재벌에서 광복군까지 126화</v>
      </c>
      <c r="F4726">
        <v>126</v>
      </c>
      <c r="G4726" t="str">
        <f>T("빛나는구름")</f>
        <v>빛나는구름</v>
      </c>
      <c r="J4726" t="str">
        <f>T("사이렌")</f>
        <v>사이렌</v>
      </c>
      <c r="K4726" t="str">
        <f>T("재벌에서 광복군까지")</f>
        <v>재벌에서 광복군까지</v>
      </c>
      <c r="L4726">
        <v>100</v>
      </c>
      <c r="M4726">
        <v>100</v>
      </c>
      <c r="N4726">
        <v>1</v>
      </c>
      <c r="O4726">
        <v>0</v>
      </c>
      <c r="P4726">
        <v>0</v>
      </c>
      <c r="Q4726">
        <v>0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0</v>
      </c>
      <c r="AC4726">
        <v>0</v>
      </c>
      <c r="AD4726">
        <v>0</v>
      </c>
      <c r="AE4726">
        <v>0</v>
      </c>
      <c r="AF4726">
        <v>0</v>
      </c>
      <c r="AG4726">
        <v>0</v>
      </c>
      <c r="AH4726">
        <v>0</v>
      </c>
      <c r="AI4726">
        <v>100</v>
      </c>
      <c r="AJ4726">
        <v>1</v>
      </c>
      <c r="AK4726">
        <v>0</v>
      </c>
      <c r="AL4726">
        <v>0</v>
      </c>
      <c r="AM4726">
        <v>100</v>
      </c>
      <c r="AN4726">
        <v>0</v>
      </c>
      <c r="AO4726">
        <v>0</v>
      </c>
      <c r="AP4726">
        <v>0</v>
      </c>
      <c r="AQ4726">
        <v>0</v>
      </c>
      <c r="AS4726">
        <v>0</v>
      </c>
      <c r="AT4726">
        <v>0</v>
      </c>
      <c r="AV4726">
        <v>0</v>
      </c>
      <c r="AW4726">
        <v>0</v>
      </c>
      <c r="AY4726">
        <v>0</v>
      </c>
      <c r="AZ4726">
        <v>0</v>
      </c>
      <c r="BA4726">
        <v>70</v>
      </c>
      <c r="BE4726" t="str">
        <f>T("9791137017245")</f>
        <v>9791137017245</v>
      </c>
      <c r="BF4726" t="str">
        <f>T("k150155")</f>
        <v>k150155</v>
      </c>
      <c r="BG4726" t="str">
        <f>T("판타지 웹소설 &gt; 퓨전 판타지")</f>
        <v>판타지 웹소설 &gt; 퓨전 판타지</v>
      </c>
    </row>
    <row r="4727" spans="1:59">
      <c r="A4727" t="s">
        <v>60</v>
      </c>
      <c r="B4727" s="1">
        <v>46129</v>
      </c>
      <c r="C4727">
        <v>2378057438</v>
      </c>
      <c r="D4727">
        <v>2378057564</v>
      </c>
      <c r="E4727" t="str">
        <f>T("재벌에서 광복군까지 127화")</f>
        <v>재벌에서 광복군까지 127화</v>
      </c>
      <c r="F4727">
        <v>127</v>
      </c>
      <c r="G4727" t="str">
        <f>T("빛나는구름")</f>
        <v>빛나는구름</v>
      </c>
      <c r="J4727" t="str">
        <f>T("사이렌")</f>
        <v>사이렌</v>
      </c>
      <c r="K4727" t="str">
        <f>T("재벌에서 광복군까지")</f>
        <v>재벌에서 광복군까지</v>
      </c>
      <c r="L4727">
        <v>100</v>
      </c>
      <c r="M4727">
        <v>100</v>
      </c>
      <c r="N4727">
        <v>1</v>
      </c>
      <c r="O4727">
        <v>0</v>
      </c>
      <c r="P4727">
        <v>0</v>
      </c>
      <c r="Q4727">
        <v>0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0</v>
      </c>
      <c r="AC4727">
        <v>0</v>
      </c>
      <c r="AD4727">
        <v>0</v>
      </c>
      <c r="AE4727">
        <v>0</v>
      </c>
      <c r="AF4727">
        <v>0</v>
      </c>
      <c r="AG4727">
        <v>0</v>
      </c>
      <c r="AH4727">
        <v>0</v>
      </c>
      <c r="AI4727">
        <v>100</v>
      </c>
      <c r="AJ4727">
        <v>1</v>
      </c>
      <c r="AK4727">
        <v>0</v>
      </c>
      <c r="AL4727">
        <v>0</v>
      </c>
      <c r="AM4727">
        <v>100</v>
      </c>
      <c r="AN4727">
        <v>0</v>
      </c>
      <c r="AO4727">
        <v>0</v>
      </c>
      <c r="AP4727">
        <v>0</v>
      </c>
      <c r="AQ4727">
        <v>0</v>
      </c>
      <c r="AS4727">
        <v>0</v>
      </c>
      <c r="AT4727">
        <v>0</v>
      </c>
      <c r="AV4727">
        <v>0</v>
      </c>
      <c r="AW4727">
        <v>0</v>
      </c>
      <c r="AY4727">
        <v>0</v>
      </c>
      <c r="AZ4727">
        <v>0</v>
      </c>
      <c r="BA4727">
        <v>70</v>
      </c>
      <c r="BE4727" t="str">
        <f>T("9791137017245")</f>
        <v>9791137017245</v>
      </c>
      <c r="BF4727" t="str">
        <f>T("k150156")</f>
        <v>k150156</v>
      </c>
      <c r="BG4727" t="str">
        <f>T("판타지 웹소설 &gt; 퓨전 판타지")</f>
        <v>판타지 웹소설 &gt; 퓨전 판타지</v>
      </c>
    </row>
    <row r="4728" spans="1:59">
      <c r="A4728" t="s">
        <v>60</v>
      </c>
      <c r="B4728" s="1">
        <v>46129</v>
      </c>
      <c r="C4728">
        <v>2378057438</v>
      </c>
      <c r="D4728">
        <v>2378057565</v>
      </c>
      <c r="E4728" t="str">
        <f>T("재벌에서 광복군까지 128화")</f>
        <v>재벌에서 광복군까지 128화</v>
      </c>
      <c r="F4728">
        <v>128</v>
      </c>
      <c r="G4728" t="str">
        <f>T("빛나는구름")</f>
        <v>빛나는구름</v>
      </c>
      <c r="J4728" t="str">
        <f>T("사이렌")</f>
        <v>사이렌</v>
      </c>
      <c r="K4728" t="str">
        <f>T("재벌에서 광복군까지")</f>
        <v>재벌에서 광복군까지</v>
      </c>
      <c r="L4728">
        <v>100</v>
      </c>
      <c r="M4728">
        <v>100</v>
      </c>
      <c r="N4728">
        <v>1</v>
      </c>
      <c r="O4728">
        <v>0</v>
      </c>
      <c r="P4728">
        <v>0</v>
      </c>
      <c r="Q4728">
        <v>0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0</v>
      </c>
      <c r="AC4728">
        <v>0</v>
      </c>
      <c r="AD4728">
        <v>0</v>
      </c>
      <c r="AE4728">
        <v>0</v>
      </c>
      <c r="AF4728">
        <v>0</v>
      </c>
      <c r="AG4728">
        <v>0</v>
      </c>
      <c r="AH4728">
        <v>0</v>
      </c>
      <c r="AI4728">
        <v>100</v>
      </c>
      <c r="AJ4728">
        <v>1</v>
      </c>
      <c r="AK4728">
        <v>0</v>
      </c>
      <c r="AL4728">
        <v>0</v>
      </c>
      <c r="AM4728">
        <v>100</v>
      </c>
      <c r="AN4728">
        <v>0</v>
      </c>
      <c r="AO4728">
        <v>0</v>
      </c>
      <c r="AP4728">
        <v>0</v>
      </c>
      <c r="AQ4728">
        <v>0</v>
      </c>
      <c r="AS4728">
        <v>0</v>
      </c>
      <c r="AT4728">
        <v>0</v>
      </c>
      <c r="AV4728">
        <v>0</v>
      </c>
      <c r="AW4728">
        <v>0</v>
      </c>
      <c r="AY4728">
        <v>0</v>
      </c>
      <c r="AZ4728">
        <v>0</v>
      </c>
      <c r="BA4728">
        <v>70</v>
      </c>
      <c r="BE4728" t="str">
        <f>T("9791137017245")</f>
        <v>9791137017245</v>
      </c>
      <c r="BF4728" t="str">
        <f>T("k150157")</f>
        <v>k150157</v>
      </c>
      <c r="BG4728" t="str">
        <f>T("판타지 웹소설 &gt; 퓨전 판타지")</f>
        <v>판타지 웹소설 &gt; 퓨전 판타지</v>
      </c>
    </row>
    <row r="4729" spans="1:59">
      <c r="A4729" t="s">
        <v>60</v>
      </c>
      <c r="B4729" s="1">
        <v>46129</v>
      </c>
      <c r="C4729">
        <v>2378057438</v>
      </c>
      <c r="D4729">
        <v>2378057566</v>
      </c>
      <c r="E4729" t="str">
        <f>T("재벌에서 광복군까지 129화")</f>
        <v>재벌에서 광복군까지 129화</v>
      </c>
      <c r="F4729">
        <v>129</v>
      </c>
      <c r="G4729" t="str">
        <f>T("빛나는구름")</f>
        <v>빛나는구름</v>
      </c>
      <c r="J4729" t="str">
        <f>T("사이렌")</f>
        <v>사이렌</v>
      </c>
      <c r="K4729" t="str">
        <f>T("재벌에서 광복군까지")</f>
        <v>재벌에서 광복군까지</v>
      </c>
      <c r="L4729">
        <v>100</v>
      </c>
      <c r="M4729">
        <v>100</v>
      </c>
      <c r="N4729">
        <v>1</v>
      </c>
      <c r="O4729">
        <v>0</v>
      </c>
      <c r="P4729">
        <v>0</v>
      </c>
      <c r="Q4729">
        <v>0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0</v>
      </c>
      <c r="AC4729">
        <v>0</v>
      </c>
      <c r="AD4729">
        <v>0</v>
      </c>
      <c r="AE4729">
        <v>0</v>
      </c>
      <c r="AF4729">
        <v>0</v>
      </c>
      <c r="AG4729">
        <v>0</v>
      </c>
      <c r="AH4729">
        <v>0</v>
      </c>
      <c r="AI4729">
        <v>100</v>
      </c>
      <c r="AJ4729">
        <v>1</v>
      </c>
      <c r="AK4729">
        <v>0</v>
      </c>
      <c r="AL4729">
        <v>0</v>
      </c>
      <c r="AM4729">
        <v>100</v>
      </c>
      <c r="AN4729">
        <v>0</v>
      </c>
      <c r="AO4729">
        <v>0</v>
      </c>
      <c r="AP4729">
        <v>0</v>
      </c>
      <c r="AQ4729">
        <v>0</v>
      </c>
      <c r="AS4729">
        <v>0</v>
      </c>
      <c r="AT4729">
        <v>0</v>
      </c>
      <c r="AV4729">
        <v>0</v>
      </c>
      <c r="AW4729">
        <v>0</v>
      </c>
      <c r="AY4729">
        <v>0</v>
      </c>
      <c r="AZ4729">
        <v>0</v>
      </c>
      <c r="BA4729">
        <v>70</v>
      </c>
      <c r="BE4729" t="str">
        <f>T("9791137017245")</f>
        <v>9791137017245</v>
      </c>
      <c r="BF4729" t="str">
        <f>T("k150158")</f>
        <v>k150158</v>
      </c>
      <c r="BG4729" t="str">
        <f>T("판타지 웹소설 &gt; 퓨전 판타지")</f>
        <v>판타지 웹소설 &gt; 퓨전 판타지</v>
      </c>
    </row>
    <row r="4730" spans="1:59">
      <c r="A4730" t="s">
        <v>60</v>
      </c>
      <c r="B4730" s="1">
        <v>46129</v>
      </c>
      <c r="C4730">
        <v>2378057438</v>
      </c>
      <c r="D4730">
        <v>2378057567</v>
      </c>
      <c r="E4730" t="str">
        <f>T("재벌에서 광복군까지 130화")</f>
        <v>재벌에서 광복군까지 130화</v>
      </c>
      <c r="F4730">
        <v>130</v>
      </c>
      <c r="G4730" t="str">
        <f>T("빛나는구름")</f>
        <v>빛나는구름</v>
      </c>
      <c r="J4730" t="str">
        <f>T("사이렌")</f>
        <v>사이렌</v>
      </c>
      <c r="K4730" t="str">
        <f>T("재벌에서 광복군까지")</f>
        <v>재벌에서 광복군까지</v>
      </c>
      <c r="L4730">
        <v>100</v>
      </c>
      <c r="M4730">
        <v>100</v>
      </c>
      <c r="N4730">
        <v>1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0</v>
      </c>
      <c r="AC4730">
        <v>0</v>
      </c>
      <c r="AD4730">
        <v>0</v>
      </c>
      <c r="AE4730">
        <v>0</v>
      </c>
      <c r="AF4730">
        <v>0</v>
      </c>
      <c r="AG4730">
        <v>0</v>
      </c>
      <c r="AH4730">
        <v>0</v>
      </c>
      <c r="AI4730">
        <v>100</v>
      </c>
      <c r="AJ4730">
        <v>1</v>
      </c>
      <c r="AK4730">
        <v>0</v>
      </c>
      <c r="AL4730">
        <v>0</v>
      </c>
      <c r="AM4730">
        <v>100</v>
      </c>
      <c r="AN4730">
        <v>0</v>
      </c>
      <c r="AO4730">
        <v>0</v>
      </c>
      <c r="AP4730">
        <v>0</v>
      </c>
      <c r="AQ4730">
        <v>0</v>
      </c>
      <c r="AS4730">
        <v>0</v>
      </c>
      <c r="AT4730">
        <v>0</v>
      </c>
      <c r="AV4730">
        <v>0</v>
      </c>
      <c r="AW4730">
        <v>0</v>
      </c>
      <c r="AY4730">
        <v>0</v>
      </c>
      <c r="AZ4730">
        <v>0</v>
      </c>
      <c r="BA4730">
        <v>70</v>
      </c>
      <c r="BE4730" t="str">
        <f>T("9791137017245")</f>
        <v>9791137017245</v>
      </c>
      <c r="BF4730" t="str">
        <f>T("k150159")</f>
        <v>k150159</v>
      </c>
      <c r="BG4730" t="str">
        <f>T("판타지 웹소설 &gt; 퓨전 판타지")</f>
        <v>판타지 웹소설 &gt; 퓨전 판타지</v>
      </c>
    </row>
    <row r="4731" spans="1:59">
      <c r="A4731" t="s">
        <v>60</v>
      </c>
      <c r="B4731" s="1">
        <v>46129</v>
      </c>
      <c r="C4731">
        <v>2378057438</v>
      </c>
      <c r="D4731">
        <v>2378057568</v>
      </c>
      <c r="E4731" t="str">
        <f>T("재벌에서 광복군까지 131화")</f>
        <v>재벌에서 광복군까지 131화</v>
      </c>
      <c r="F4731">
        <v>131</v>
      </c>
      <c r="G4731" t="str">
        <f>T("빛나는구름")</f>
        <v>빛나는구름</v>
      </c>
      <c r="J4731" t="str">
        <f>T("사이렌")</f>
        <v>사이렌</v>
      </c>
      <c r="K4731" t="str">
        <f>T("재벌에서 광복군까지")</f>
        <v>재벌에서 광복군까지</v>
      </c>
      <c r="L4731">
        <v>100</v>
      </c>
      <c r="M4731">
        <v>100</v>
      </c>
      <c r="N4731">
        <v>1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0</v>
      </c>
      <c r="AC4731">
        <v>0</v>
      </c>
      <c r="AD4731">
        <v>0</v>
      </c>
      <c r="AE4731">
        <v>0</v>
      </c>
      <c r="AF4731">
        <v>0</v>
      </c>
      <c r="AG4731">
        <v>0</v>
      </c>
      <c r="AH4731">
        <v>0</v>
      </c>
      <c r="AI4731">
        <v>100</v>
      </c>
      <c r="AJ4731">
        <v>1</v>
      </c>
      <c r="AK4731">
        <v>0</v>
      </c>
      <c r="AL4731">
        <v>0</v>
      </c>
      <c r="AM4731">
        <v>100</v>
      </c>
      <c r="AN4731">
        <v>0</v>
      </c>
      <c r="AO4731">
        <v>0</v>
      </c>
      <c r="AP4731">
        <v>0</v>
      </c>
      <c r="AQ4731">
        <v>0</v>
      </c>
      <c r="AS4731">
        <v>0</v>
      </c>
      <c r="AT4731">
        <v>0</v>
      </c>
      <c r="AV4731">
        <v>0</v>
      </c>
      <c r="AW4731">
        <v>0</v>
      </c>
      <c r="AY4731">
        <v>0</v>
      </c>
      <c r="AZ4731">
        <v>0</v>
      </c>
      <c r="BA4731">
        <v>70</v>
      </c>
      <c r="BE4731" t="str">
        <f>T("9791137017245")</f>
        <v>9791137017245</v>
      </c>
      <c r="BF4731" t="str">
        <f>T("k150160")</f>
        <v>k150160</v>
      </c>
      <c r="BG4731" t="str">
        <f>T("판타지 웹소설 &gt; 퓨전 판타지")</f>
        <v>판타지 웹소설 &gt; 퓨전 판타지</v>
      </c>
    </row>
    <row r="4732" spans="1:59">
      <c r="A4732" t="s">
        <v>60</v>
      </c>
      <c r="B4732" s="1">
        <v>46129</v>
      </c>
      <c r="C4732">
        <v>2378057438</v>
      </c>
      <c r="D4732">
        <v>2378057569</v>
      </c>
      <c r="E4732" t="str">
        <f>T("재벌에서 광복군까지 132화")</f>
        <v>재벌에서 광복군까지 132화</v>
      </c>
      <c r="F4732">
        <v>132</v>
      </c>
      <c r="G4732" t="str">
        <f>T("빛나는구름")</f>
        <v>빛나는구름</v>
      </c>
      <c r="J4732" t="str">
        <f>T("사이렌")</f>
        <v>사이렌</v>
      </c>
      <c r="K4732" t="str">
        <f>T("재벌에서 광복군까지")</f>
        <v>재벌에서 광복군까지</v>
      </c>
      <c r="L4732">
        <v>100</v>
      </c>
      <c r="M4732">
        <v>100</v>
      </c>
      <c r="N4732">
        <v>1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0</v>
      </c>
      <c r="AC4732">
        <v>0</v>
      </c>
      <c r="AD4732">
        <v>0</v>
      </c>
      <c r="AE4732">
        <v>0</v>
      </c>
      <c r="AF4732">
        <v>0</v>
      </c>
      <c r="AG4732">
        <v>0</v>
      </c>
      <c r="AH4732">
        <v>0</v>
      </c>
      <c r="AI4732">
        <v>100</v>
      </c>
      <c r="AJ4732">
        <v>1</v>
      </c>
      <c r="AK4732">
        <v>0</v>
      </c>
      <c r="AL4732">
        <v>0</v>
      </c>
      <c r="AM4732">
        <v>100</v>
      </c>
      <c r="AN4732">
        <v>0</v>
      </c>
      <c r="AO4732">
        <v>0</v>
      </c>
      <c r="AP4732">
        <v>0</v>
      </c>
      <c r="AQ4732">
        <v>0</v>
      </c>
      <c r="AS4732">
        <v>0</v>
      </c>
      <c r="AT4732">
        <v>0</v>
      </c>
      <c r="AV4732">
        <v>0</v>
      </c>
      <c r="AW4732">
        <v>0</v>
      </c>
      <c r="AY4732">
        <v>0</v>
      </c>
      <c r="AZ4732">
        <v>0</v>
      </c>
      <c r="BA4732">
        <v>70</v>
      </c>
      <c r="BE4732" t="str">
        <f>T("9791137017245")</f>
        <v>9791137017245</v>
      </c>
      <c r="BF4732" t="str">
        <f>T("k150161")</f>
        <v>k150161</v>
      </c>
      <c r="BG4732" t="str">
        <f>T("판타지 웹소설 &gt; 퓨전 판타지")</f>
        <v>판타지 웹소설 &gt; 퓨전 판타지</v>
      </c>
    </row>
    <row r="4733" spans="1:59">
      <c r="A4733" t="s">
        <v>60</v>
      </c>
      <c r="B4733" s="1">
        <v>46129</v>
      </c>
      <c r="C4733">
        <v>2378057438</v>
      </c>
      <c r="D4733">
        <v>2378057570</v>
      </c>
      <c r="E4733" t="str">
        <f>T("재벌에서 광복군까지 133화")</f>
        <v>재벌에서 광복군까지 133화</v>
      </c>
      <c r="F4733">
        <v>133</v>
      </c>
      <c r="G4733" t="str">
        <f>T("빛나는구름")</f>
        <v>빛나는구름</v>
      </c>
      <c r="J4733" t="str">
        <f>T("사이렌")</f>
        <v>사이렌</v>
      </c>
      <c r="K4733" t="str">
        <f>T("재벌에서 광복군까지")</f>
        <v>재벌에서 광복군까지</v>
      </c>
      <c r="L4733">
        <v>100</v>
      </c>
      <c r="M4733">
        <v>100</v>
      </c>
      <c r="N4733">
        <v>1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0</v>
      </c>
      <c r="AC4733">
        <v>0</v>
      </c>
      <c r="AD4733">
        <v>0</v>
      </c>
      <c r="AE4733">
        <v>0</v>
      </c>
      <c r="AF4733">
        <v>0</v>
      </c>
      <c r="AG4733">
        <v>0</v>
      </c>
      <c r="AH4733">
        <v>0</v>
      </c>
      <c r="AI4733">
        <v>100</v>
      </c>
      <c r="AJ4733">
        <v>1</v>
      </c>
      <c r="AK4733">
        <v>0</v>
      </c>
      <c r="AL4733">
        <v>0</v>
      </c>
      <c r="AM4733">
        <v>100</v>
      </c>
      <c r="AN4733">
        <v>0</v>
      </c>
      <c r="AO4733">
        <v>0</v>
      </c>
      <c r="AP4733">
        <v>0</v>
      </c>
      <c r="AQ4733">
        <v>0</v>
      </c>
      <c r="AS4733">
        <v>0</v>
      </c>
      <c r="AT4733">
        <v>0</v>
      </c>
      <c r="AV4733">
        <v>0</v>
      </c>
      <c r="AW4733">
        <v>0</v>
      </c>
      <c r="AY4733">
        <v>0</v>
      </c>
      <c r="AZ4733">
        <v>0</v>
      </c>
      <c r="BA4733">
        <v>70</v>
      </c>
      <c r="BE4733" t="str">
        <f>T("9791137017245")</f>
        <v>9791137017245</v>
      </c>
      <c r="BF4733" t="str">
        <f>T("k150162")</f>
        <v>k150162</v>
      </c>
      <c r="BG4733" t="str">
        <f>T("판타지 웹소설 &gt; 퓨전 판타지")</f>
        <v>판타지 웹소설 &gt; 퓨전 판타지</v>
      </c>
    </row>
    <row r="4734" spans="1:59">
      <c r="A4734" t="s">
        <v>60</v>
      </c>
      <c r="B4734" s="1">
        <v>46129</v>
      </c>
      <c r="C4734">
        <v>2378057438</v>
      </c>
      <c r="D4734">
        <v>2378057571</v>
      </c>
      <c r="E4734" t="str">
        <f>T("재벌에서 광복군까지 134화")</f>
        <v>재벌에서 광복군까지 134화</v>
      </c>
      <c r="F4734">
        <v>134</v>
      </c>
      <c r="G4734" t="str">
        <f>T("빛나는구름")</f>
        <v>빛나는구름</v>
      </c>
      <c r="J4734" t="str">
        <f>T("사이렌")</f>
        <v>사이렌</v>
      </c>
      <c r="K4734" t="str">
        <f>T("재벌에서 광복군까지")</f>
        <v>재벌에서 광복군까지</v>
      </c>
      <c r="L4734">
        <v>100</v>
      </c>
      <c r="M4734">
        <v>100</v>
      </c>
      <c r="N4734">
        <v>1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0</v>
      </c>
      <c r="AC4734">
        <v>0</v>
      </c>
      <c r="AD4734">
        <v>0</v>
      </c>
      <c r="AE4734">
        <v>0</v>
      </c>
      <c r="AF4734">
        <v>0</v>
      </c>
      <c r="AG4734">
        <v>0</v>
      </c>
      <c r="AH4734">
        <v>0</v>
      </c>
      <c r="AI4734">
        <v>100</v>
      </c>
      <c r="AJ4734">
        <v>1</v>
      </c>
      <c r="AK4734">
        <v>0</v>
      </c>
      <c r="AL4734">
        <v>0</v>
      </c>
      <c r="AM4734">
        <v>100</v>
      </c>
      <c r="AN4734">
        <v>0</v>
      </c>
      <c r="AO4734">
        <v>0</v>
      </c>
      <c r="AP4734">
        <v>0</v>
      </c>
      <c r="AQ4734">
        <v>0</v>
      </c>
      <c r="AS4734">
        <v>0</v>
      </c>
      <c r="AT4734">
        <v>0</v>
      </c>
      <c r="AV4734">
        <v>0</v>
      </c>
      <c r="AW4734">
        <v>0</v>
      </c>
      <c r="AY4734">
        <v>0</v>
      </c>
      <c r="AZ4734">
        <v>0</v>
      </c>
      <c r="BA4734">
        <v>70</v>
      </c>
      <c r="BE4734" t="str">
        <f>T("9791137017245")</f>
        <v>9791137017245</v>
      </c>
      <c r="BF4734" t="str">
        <f>T("k150163")</f>
        <v>k150163</v>
      </c>
      <c r="BG4734" t="str">
        <f>T("판타지 웹소설 &gt; 퓨전 판타지")</f>
        <v>판타지 웹소설 &gt; 퓨전 판타지</v>
      </c>
    </row>
    <row r="4735" spans="1:59">
      <c r="A4735" t="s">
        <v>60</v>
      </c>
      <c r="B4735" s="1">
        <v>46129</v>
      </c>
      <c r="C4735">
        <v>2378057438</v>
      </c>
      <c r="D4735">
        <v>2378057572</v>
      </c>
      <c r="E4735" t="str">
        <f>T("재벌에서 광복군까지 135화")</f>
        <v>재벌에서 광복군까지 135화</v>
      </c>
      <c r="F4735">
        <v>135</v>
      </c>
      <c r="G4735" t="str">
        <f>T("빛나는구름")</f>
        <v>빛나는구름</v>
      </c>
      <c r="J4735" t="str">
        <f>T("사이렌")</f>
        <v>사이렌</v>
      </c>
      <c r="K4735" t="str">
        <f>T("재벌에서 광복군까지")</f>
        <v>재벌에서 광복군까지</v>
      </c>
      <c r="L4735">
        <v>100</v>
      </c>
      <c r="M4735">
        <v>100</v>
      </c>
      <c r="N4735">
        <v>1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0</v>
      </c>
      <c r="AC4735">
        <v>0</v>
      </c>
      <c r="AD4735">
        <v>0</v>
      </c>
      <c r="AE4735">
        <v>0</v>
      </c>
      <c r="AF4735">
        <v>0</v>
      </c>
      <c r="AG4735">
        <v>0</v>
      </c>
      <c r="AH4735">
        <v>0</v>
      </c>
      <c r="AI4735">
        <v>100</v>
      </c>
      <c r="AJ4735">
        <v>1</v>
      </c>
      <c r="AK4735">
        <v>0</v>
      </c>
      <c r="AL4735">
        <v>0</v>
      </c>
      <c r="AM4735">
        <v>100</v>
      </c>
      <c r="AN4735">
        <v>0</v>
      </c>
      <c r="AO4735">
        <v>0</v>
      </c>
      <c r="AP4735">
        <v>0</v>
      </c>
      <c r="AQ4735">
        <v>0</v>
      </c>
      <c r="AS4735">
        <v>0</v>
      </c>
      <c r="AT4735">
        <v>0</v>
      </c>
      <c r="AV4735">
        <v>0</v>
      </c>
      <c r="AW4735">
        <v>0</v>
      </c>
      <c r="AY4735">
        <v>0</v>
      </c>
      <c r="AZ4735">
        <v>0</v>
      </c>
      <c r="BA4735">
        <v>70</v>
      </c>
      <c r="BE4735" t="str">
        <f>T("9791137017245")</f>
        <v>9791137017245</v>
      </c>
      <c r="BF4735" t="str">
        <f>T("k150164")</f>
        <v>k150164</v>
      </c>
      <c r="BG4735" t="str">
        <f>T("판타지 웹소설 &gt; 퓨전 판타지")</f>
        <v>판타지 웹소설 &gt; 퓨전 판타지</v>
      </c>
    </row>
    <row r="4736" spans="1:59">
      <c r="A4736" t="s">
        <v>60</v>
      </c>
      <c r="B4736" s="1">
        <v>46129</v>
      </c>
      <c r="C4736">
        <v>2378057438</v>
      </c>
      <c r="D4736">
        <v>2378057573</v>
      </c>
      <c r="E4736" t="str">
        <f>T("재벌에서 광복군까지 136화")</f>
        <v>재벌에서 광복군까지 136화</v>
      </c>
      <c r="F4736">
        <v>136</v>
      </c>
      <c r="G4736" t="str">
        <f>T("빛나는구름")</f>
        <v>빛나는구름</v>
      </c>
      <c r="J4736" t="str">
        <f>T("사이렌")</f>
        <v>사이렌</v>
      </c>
      <c r="K4736" t="str">
        <f>T("재벌에서 광복군까지")</f>
        <v>재벌에서 광복군까지</v>
      </c>
      <c r="L4736">
        <v>100</v>
      </c>
      <c r="M4736">
        <v>100</v>
      </c>
      <c r="N4736">
        <v>1</v>
      </c>
      <c r="O4736">
        <v>0</v>
      </c>
      <c r="P4736">
        <v>0</v>
      </c>
      <c r="Q4736">
        <v>0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0</v>
      </c>
      <c r="AC4736">
        <v>0</v>
      </c>
      <c r="AD4736">
        <v>0</v>
      </c>
      <c r="AE4736">
        <v>0</v>
      </c>
      <c r="AF4736">
        <v>0</v>
      </c>
      <c r="AG4736">
        <v>0</v>
      </c>
      <c r="AH4736">
        <v>0</v>
      </c>
      <c r="AI4736">
        <v>100</v>
      </c>
      <c r="AJ4736">
        <v>1</v>
      </c>
      <c r="AK4736">
        <v>0</v>
      </c>
      <c r="AL4736">
        <v>0</v>
      </c>
      <c r="AM4736">
        <v>100</v>
      </c>
      <c r="AN4736">
        <v>0</v>
      </c>
      <c r="AO4736">
        <v>0</v>
      </c>
      <c r="AP4736">
        <v>0</v>
      </c>
      <c r="AQ4736">
        <v>0</v>
      </c>
      <c r="AS4736">
        <v>0</v>
      </c>
      <c r="AT4736">
        <v>0</v>
      </c>
      <c r="AV4736">
        <v>0</v>
      </c>
      <c r="AW4736">
        <v>0</v>
      </c>
      <c r="AY4736">
        <v>0</v>
      </c>
      <c r="AZ4736">
        <v>0</v>
      </c>
      <c r="BA4736">
        <v>70</v>
      </c>
      <c r="BE4736" t="str">
        <f>T("9791137017245")</f>
        <v>9791137017245</v>
      </c>
      <c r="BF4736" t="str">
        <f>T("k150165")</f>
        <v>k150165</v>
      </c>
      <c r="BG4736" t="str">
        <f>T("판타지 웹소설 &gt; 퓨전 판타지")</f>
        <v>판타지 웹소설 &gt; 퓨전 판타지</v>
      </c>
    </row>
    <row r="4737" spans="1:59">
      <c r="A4737" t="s">
        <v>60</v>
      </c>
      <c r="B4737" s="1">
        <v>46129</v>
      </c>
      <c r="C4737">
        <v>2378057438</v>
      </c>
      <c r="D4737">
        <v>2378057574</v>
      </c>
      <c r="E4737" t="str">
        <f>T("재벌에서 광복군까지 137화")</f>
        <v>재벌에서 광복군까지 137화</v>
      </c>
      <c r="F4737">
        <v>137</v>
      </c>
      <c r="G4737" t="str">
        <f>T("빛나는구름")</f>
        <v>빛나는구름</v>
      </c>
      <c r="J4737" t="str">
        <f>T("사이렌")</f>
        <v>사이렌</v>
      </c>
      <c r="K4737" t="str">
        <f>T("재벌에서 광복군까지")</f>
        <v>재벌에서 광복군까지</v>
      </c>
      <c r="L4737">
        <v>100</v>
      </c>
      <c r="M4737">
        <v>100</v>
      </c>
      <c r="N4737">
        <v>1</v>
      </c>
      <c r="O4737">
        <v>0</v>
      </c>
      <c r="P4737">
        <v>0</v>
      </c>
      <c r="Q4737">
        <v>0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0</v>
      </c>
      <c r="AC4737">
        <v>0</v>
      </c>
      <c r="AD4737">
        <v>0</v>
      </c>
      <c r="AE4737">
        <v>0</v>
      </c>
      <c r="AF4737">
        <v>0</v>
      </c>
      <c r="AG4737">
        <v>0</v>
      </c>
      <c r="AH4737">
        <v>0</v>
      </c>
      <c r="AI4737">
        <v>100</v>
      </c>
      <c r="AJ4737">
        <v>1</v>
      </c>
      <c r="AK4737">
        <v>0</v>
      </c>
      <c r="AL4737">
        <v>0</v>
      </c>
      <c r="AM4737">
        <v>100</v>
      </c>
      <c r="AN4737">
        <v>0</v>
      </c>
      <c r="AO4737">
        <v>0</v>
      </c>
      <c r="AP4737">
        <v>0</v>
      </c>
      <c r="AQ4737">
        <v>0</v>
      </c>
      <c r="AS4737">
        <v>0</v>
      </c>
      <c r="AT4737">
        <v>0</v>
      </c>
      <c r="AV4737">
        <v>0</v>
      </c>
      <c r="AW4737">
        <v>0</v>
      </c>
      <c r="AY4737">
        <v>0</v>
      </c>
      <c r="AZ4737">
        <v>0</v>
      </c>
      <c r="BA4737">
        <v>70</v>
      </c>
      <c r="BE4737" t="str">
        <f>T("9791137017245")</f>
        <v>9791137017245</v>
      </c>
      <c r="BF4737" t="str">
        <f>T("k150166")</f>
        <v>k150166</v>
      </c>
      <c r="BG4737" t="str">
        <f>T("판타지 웹소설 &gt; 퓨전 판타지")</f>
        <v>판타지 웹소설 &gt; 퓨전 판타지</v>
      </c>
    </row>
    <row r="4738" spans="1:59">
      <c r="A4738" t="s">
        <v>60</v>
      </c>
      <c r="B4738" s="1">
        <v>46129</v>
      </c>
      <c r="C4738">
        <v>2378057438</v>
      </c>
      <c r="D4738">
        <v>2378057575</v>
      </c>
      <c r="E4738" t="str">
        <f>T("재벌에서 광복군까지 138화")</f>
        <v>재벌에서 광복군까지 138화</v>
      </c>
      <c r="F4738">
        <v>138</v>
      </c>
      <c r="G4738" t="str">
        <f>T("빛나는구름")</f>
        <v>빛나는구름</v>
      </c>
      <c r="J4738" t="str">
        <f>T("사이렌")</f>
        <v>사이렌</v>
      </c>
      <c r="K4738" t="str">
        <f>T("재벌에서 광복군까지")</f>
        <v>재벌에서 광복군까지</v>
      </c>
      <c r="L4738">
        <v>100</v>
      </c>
      <c r="M4738">
        <v>100</v>
      </c>
      <c r="N4738">
        <v>1</v>
      </c>
      <c r="O4738">
        <v>0</v>
      </c>
      <c r="P4738">
        <v>0</v>
      </c>
      <c r="Q4738">
        <v>0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0</v>
      </c>
      <c r="AC4738">
        <v>0</v>
      </c>
      <c r="AD4738">
        <v>0</v>
      </c>
      <c r="AE4738">
        <v>0</v>
      </c>
      <c r="AF4738">
        <v>0</v>
      </c>
      <c r="AG4738">
        <v>0</v>
      </c>
      <c r="AH4738">
        <v>0</v>
      </c>
      <c r="AI4738">
        <v>100</v>
      </c>
      <c r="AJ4738">
        <v>1</v>
      </c>
      <c r="AK4738">
        <v>0</v>
      </c>
      <c r="AL4738">
        <v>0</v>
      </c>
      <c r="AM4738">
        <v>100</v>
      </c>
      <c r="AN4738">
        <v>0</v>
      </c>
      <c r="AO4738">
        <v>0</v>
      </c>
      <c r="AP4738">
        <v>0</v>
      </c>
      <c r="AQ4738">
        <v>0</v>
      </c>
      <c r="AS4738">
        <v>0</v>
      </c>
      <c r="AT4738">
        <v>0</v>
      </c>
      <c r="AV4738">
        <v>0</v>
      </c>
      <c r="AW4738">
        <v>0</v>
      </c>
      <c r="AY4738">
        <v>0</v>
      </c>
      <c r="AZ4738">
        <v>0</v>
      </c>
      <c r="BA4738">
        <v>70</v>
      </c>
      <c r="BE4738" t="str">
        <f>T("9791137017245")</f>
        <v>9791137017245</v>
      </c>
      <c r="BF4738" t="str">
        <f>T("k150167")</f>
        <v>k150167</v>
      </c>
      <c r="BG4738" t="str">
        <f>T("판타지 웹소설 &gt; 퓨전 판타지")</f>
        <v>판타지 웹소설 &gt; 퓨전 판타지</v>
      </c>
    </row>
    <row r="4739" spans="1:59">
      <c r="A4739" t="s">
        <v>60</v>
      </c>
      <c r="B4739" s="1">
        <v>46129</v>
      </c>
      <c r="C4739">
        <v>2378057438</v>
      </c>
      <c r="D4739">
        <v>2378057576</v>
      </c>
      <c r="E4739" t="str">
        <f>T("재벌에서 광복군까지 139화")</f>
        <v>재벌에서 광복군까지 139화</v>
      </c>
      <c r="F4739">
        <v>139</v>
      </c>
      <c r="G4739" t="str">
        <f>T("빛나는구름")</f>
        <v>빛나는구름</v>
      </c>
      <c r="J4739" t="str">
        <f>T("사이렌")</f>
        <v>사이렌</v>
      </c>
      <c r="K4739" t="str">
        <f>T("재벌에서 광복군까지")</f>
        <v>재벌에서 광복군까지</v>
      </c>
      <c r="L4739">
        <v>100</v>
      </c>
      <c r="M4739">
        <v>100</v>
      </c>
      <c r="N4739">
        <v>1</v>
      </c>
      <c r="O4739">
        <v>0</v>
      </c>
      <c r="P4739">
        <v>0</v>
      </c>
      <c r="Q4739">
        <v>0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0</v>
      </c>
      <c r="AC4739">
        <v>0</v>
      </c>
      <c r="AD4739">
        <v>0</v>
      </c>
      <c r="AE4739">
        <v>0</v>
      </c>
      <c r="AF4739">
        <v>0</v>
      </c>
      <c r="AG4739">
        <v>0</v>
      </c>
      <c r="AH4739">
        <v>0</v>
      </c>
      <c r="AI4739">
        <v>100</v>
      </c>
      <c r="AJ4739">
        <v>1</v>
      </c>
      <c r="AK4739">
        <v>0</v>
      </c>
      <c r="AL4739">
        <v>0</v>
      </c>
      <c r="AM4739">
        <v>100</v>
      </c>
      <c r="AN4739">
        <v>0</v>
      </c>
      <c r="AO4739">
        <v>0</v>
      </c>
      <c r="AP4739">
        <v>0</v>
      </c>
      <c r="AQ4739">
        <v>0</v>
      </c>
      <c r="AS4739">
        <v>0</v>
      </c>
      <c r="AT4739">
        <v>0</v>
      </c>
      <c r="AV4739">
        <v>0</v>
      </c>
      <c r="AW4739">
        <v>0</v>
      </c>
      <c r="AY4739">
        <v>0</v>
      </c>
      <c r="AZ4739">
        <v>0</v>
      </c>
      <c r="BA4739">
        <v>70</v>
      </c>
      <c r="BE4739" t="str">
        <f>T("9791137017245")</f>
        <v>9791137017245</v>
      </c>
      <c r="BF4739" t="str">
        <f>T("k150168")</f>
        <v>k150168</v>
      </c>
      <c r="BG4739" t="str">
        <f>T("판타지 웹소설 &gt; 퓨전 판타지")</f>
        <v>판타지 웹소설 &gt; 퓨전 판타지</v>
      </c>
    </row>
    <row r="4740" spans="1:59">
      <c r="A4740" t="s">
        <v>60</v>
      </c>
      <c r="B4740" s="1">
        <v>46129</v>
      </c>
      <c r="C4740">
        <v>2378057438</v>
      </c>
      <c r="D4740">
        <v>2378057577</v>
      </c>
      <c r="E4740" t="str">
        <f>T("재벌에서 광복군까지 140화")</f>
        <v>재벌에서 광복군까지 140화</v>
      </c>
      <c r="F4740">
        <v>140</v>
      </c>
      <c r="G4740" t="str">
        <f>T("빛나는구름")</f>
        <v>빛나는구름</v>
      </c>
      <c r="J4740" t="str">
        <f>T("사이렌")</f>
        <v>사이렌</v>
      </c>
      <c r="K4740" t="str">
        <f>T("재벌에서 광복군까지")</f>
        <v>재벌에서 광복군까지</v>
      </c>
      <c r="L4740">
        <v>100</v>
      </c>
      <c r="M4740">
        <v>100</v>
      </c>
      <c r="N4740">
        <v>1</v>
      </c>
      <c r="O4740">
        <v>0</v>
      </c>
      <c r="P4740">
        <v>0</v>
      </c>
      <c r="Q4740">
        <v>0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0</v>
      </c>
      <c r="AC4740">
        <v>0</v>
      </c>
      <c r="AD4740">
        <v>0</v>
      </c>
      <c r="AE4740">
        <v>0</v>
      </c>
      <c r="AF4740">
        <v>0</v>
      </c>
      <c r="AG4740">
        <v>0</v>
      </c>
      <c r="AH4740">
        <v>0</v>
      </c>
      <c r="AI4740">
        <v>100</v>
      </c>
      <c r="AJ4740">
        <v>1</v>
      </c>
      <c r="AK4740">
        <v>0</v>
      </c>
      <c r="AL4740">
        <v>0</v>
      </c>
      <c r="AM4740">
        <v>100</v>
      </c>
      <c r="AN4740">
        <v>0</v>
      </c>
      <c r="AO4740">
        <v>0</v>
      </c>
      <c r="AP4740">
        <v>0</v>
      </c>
      <c r="AQ4740">
        <v>0</v>
      </c>
      <c r="AS4740">
        <v>0</v>
      </c>
      <c r="AT4740">
        <v>0</v>
      </c>
      <c r="AV4740">
        <v>0</v>
      </c>
      <c r="AW4740">
        <v>0</v>
      </c>
      <c r="AY4740">
        <v>0</v>
      </c>
      <c r="AZ4740">
        <v>0</v>
      </c>
      <c r="BA4740">
        <v>70</v>
      </c>
      <c r="BE4740" t="str">
        <f>T("9791137017245")</f>
        <v>9791137017245</v>
      </c>
      <c r="BF4740" t="str">
        <f>T("k150169")</f>
        <v>k150169</v>
      </c>
      <c r="BG4740" t="str">
        <f>T("판타지 웹소설 &gt; 퓨전 판타지")</f>
        <v>판타지 웹소설 &gt; 퓨전 판타지</v>
      </c>
    </row>
    <row r="4741" spans="1:59">
      <c r="A4741" t="s">
        <v>60</v>
      </c>
      <c r="B4741" s="1">
        <v>46129</v>
      </c>
      <c r="C4741">
        <v>2378057438</v>
      </c>
      <c r="D4741">
        <v>2378057578</v>
      </c>
      <c r="E4741" t="str">
        <f>T("재벌에서 광복군까지 141화")</f>
        <v>재벌에서 광복군까지 141화</v>
      </c>
      <c r="F4741">
        <v>141</v>
      </c>
      <c r="G4741" t="str">
        <f>T("빛나는구름")</f>
        <v>빛나는구름</v>
      </c>
      <c r="J4741" t="str">
        <f>T("사이렌")</f>
        <v>사이렌</v>
      </c>
      <c r="K4741" t="str">
        <f>T("재벌에서 광복군까지")</f>
        <v>재벌에서 광복군까지</v>
      </c>
      <c r="L4741">
        <v>100</v>
      </c>
      <c r="M4741">
        <v>100</v>
      </c>
      <c r="N4741">
        <v>1</v>
      </c>
      <c r="O4741">
        <v>0</v>
      </c>
      <c r="P4741">
        <v>0</v>
      </c>
      <c r="Q4741">
        <v>0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0</v>
      </c>
      <c r="AC4741">
        <v>0</v>
      </c>
      <c r="AD4741">
        <v>0</v>
      </c>
      <c r="AE4741">
        <v>0</v>
      </c>
      <c r="AF4741">
        <v>0</v>
      </c>
      <c r="AG4741">
        <v>0</v>
      </c>
      <c r="AH4741">
        <v>0</v>
      </c>
      <c r="AI4741">
        <v>100</v>
      </c>
      <c r="AJ4741">
        <v>1</v>
      </c>
      <c r="AK4741">
        <v>0</v>
      </c>
      <c r="AL4741">
        <v>0</v>
      </c>
      <c r="AM4741">
        <v>100</v>
      </c>
      <c r="AN4741">
        <v>0</v>
      </c>
      <c r="AO4741">
        <v>0</v>
      </c>
      <c r="AP4741">
        <v>0</v>
      </c>
      <c r="AQ4741">
        <v>0</v>
      </c>
      <c r="AS4741">
        <v>0</v>
      </c>
      <c r="AT4741">
        <v>0</v>
      </c>
      <c r="AV4741">
        <v>0</v>
      </c>
      <c r="AW4741">
        <v>0</v>
      </c>
      <c r="AY4741">
        <v>0</v>
      </c>
      <c r="AZ4741">
        <v>0</v>
      </c>
      <c r="BA4741">
        <v>70</v>
      </c>
      <c r="BE4741" t="str">
        <f>T("9791137017245")</f>
        <v>9791137017245</v>
      </c>
      <c r="BF4741" t="str">
        <f>T("k150170")</f>
        <v>k150170</v>
      </c>
      <c r="BG4741" t="str">
        <f>T("판타지 웹소설 &gt; 퓨전 판타지")</f>
        <v>판타지 웹소설 &gt; 퓨전 판타지</v>
      </c>
    </row>
    <row r="4742" spans="1:59">
      <c r="A4742" t="s">
        <v>60</v>
      </c>
      <c r="B4742" s="1">
        <v>46129</v>
      </c>
      <c r="C4742">
        <v>2378057438</v>
      </c>
      <c r="D4742">
        <v>2378057579</v>
      </c>
      <c r="E4742" t="str">
        <f>T("재벌에서 광복군까지 142화")</f>
        <v>재벌에서 광복군까지 142화</v>
      </c>
      <c r="F4742">
        <v>142</v>
      </c>
      <c r="G4742" t="str">
        <f>T("빛나는구름")</f>
        <v>빛나는구름</v>
      </c>
      <c r="J4742" t="str">
        <f>T("사이렌")</f>
        <v>사이렌</v>
      </c>
      <c r="K4742" t="str">
        <f>T("재벌에서 광복군까지")</f>
        <v>재벌에서 광복군까지</v>
      </c>
      <c r="L4742">
        <v>100</v>
      </c>
      <c r="M4742">
        <v>100</v>
      </c>
      <c r="N4742">
        <v>1</v>
      </c>
      <c r="O4742">
        <v>0</v>
      </c>
      <c r="P4742">
        <v>0</v>
      </c>
      <c r="Q4742">
        <v>0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0</v>
      </c>
      <c r="AC4742">
        <v>0</v>
      </c>
      <c r="AD4742">
        <v>0</v>
      </c>
      <c r="AE4742">
        <v>0</v>
      </c>
      <c r="AF4742">
        <v>0</v>
      </c>
      <c r="AG4742">
        <v>0</v>
      </c>
      <c r="AH4742">
        <v>0</v>
      </c>
      <c r="AI4742">
        <v>100</v>
      </c>
      <c r="AJ4742">
        <v>1</v>
      </c>
      <c r="AK4742">
        <v>0</v>
      </c>
      <c r="AL4742">
        <v>0</v>
      </c>
      <c r="AM4742">
        <v>100</v>
      </c>
      <c r="AN4742">
        <v>0</v>
      </c>
      <c r="AO4742">
        <v>0</v>
      </c>
      <c r="AP4742">
        <v>0</v>
      </c>
      <c r="AQ4742">
        <v>0</v>
      </c>
      <c r="AS4742">
        <v>0</v>
      </c>
      <c r="AT4742">
        <v>0</v>
      </c>
      <c r="AV4742">
        <v>0</v>
      </c>
      <c r="AW4742">
        <v>0</v>
      </c>
      <c r="AY4742">
        <v>0</v>
      </c>
      <c r="AZ4742">
        <v>0</v>
      </c>
      <c r="BA4742">
        <v>70</v>
      </c>
      <c r="BE4742" t="str">
        <f>T("9791137017245")</f>
        <v>9791137017245</v>
      </c>
      <c r="BF4742" t="str">
        <f>T("k150171")</f>
        <v>k150171</v>
      </c>
      <c r="BG4742" t="str">
        <f>T("판타지 웹소설 &gt; 퓨전 판타지")</f>
        <v>판타지 웹소설 &gt; 퓨전 판타지</v>
      </c>
    </row>
    <row r="4743" spans="1:59">
      <c r="A4743" t="s">
        <v>60</v>
      </c>
      <c r="B4743" s="1">
        <v>46129</v>
      </c>
      <c r="C4743">
        <v>2378057438</v>
      </c>
      <c r="D4743">
        <v>2378057580</v>
      </c>
      <c r="E4743" t="str">
        <f>T("재벌에서 광복군까지 143화")</f>
        <v>재벌에서 광복군까지 143화</v>
      </c>
      <c r="F4743">
        <v>143</v>
      </c>
      <c r="G4743" t="str">
        <f>T("빛나는구름")</f>
        <v>빛나는구름</v>
      </c>
      <c r="J4743" t="str">
        <f>T("사이렌")</f>
        <v>사이렌</v>
      </c>
      <c r="K4743" t="str">
        <f>T("재벌에서 광복군까지")</f>
        <v>재벌에서 광복군까지</v>
      </c>
      <c r="L4743">
        <v>100</v>
      </c>
      <c r="M4743">
        <v>100</v>
      </c>
      <c r="N4743">
        <v>1</v>
      </c>
      <c r="O4743">
        <v>0</v>
      </c>
      <c r="P4743">
        <v>0</v>
      </c>
      <c r="Q4743">
        <v>0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0</v>
      </c>
      <c r="AC4743">
        <v>0</v>
      </c>
      <c r="AD4743">
        <v>0</v>
      </c>
      <c r="AE4743">
        <v>0</v>
      </c>
      <c r="AF4743">
        <v>0</v>
      </c>
      <c r="AG4743">
        <v>0</v>
      </c>
      <c r="AH4743">
        <v>0</v>
      </c>
      <c r="AI4743">
        <v>100</v>
      </c>
      <c r="AJ4743">
        <v>1</v>
      </c>
      <c r="AK4743">
        <v>0</v>
      </c>
      <c r="AL4743">
        <v>0</v>
      </c>
      <c r="AM4743">
        <v>100</v>
      </c>
      <c r="AN4743">
        <v>0</v>
      </c>
      <c r="AO4743">
        <v>0</v>
      </c>
      <c r="AP4743">
        <v>0</v>
      </c>
      <c r="AQ4743">
        <v>0</v>
      </c>
      <c r="AS4743">
        <v>0</v>
      </c>
      <c r="AT4743">
        <v>0</v>
      </c>
      <c r="AV4743">
        <v>0</v>
      </c>
      <c r="AW4743">
        <v>0</v>
      </c>
      <c r="AY4743">
        <v>0</v>
      </c>
      <c r="AZ4743">
        <v>0</v>
      </c>
      <c r="BA4743">
        <v>70</v>
      </c>
      <c r="BE4743" t="str">
        <f>T("9791137017245")</f>
        <v>9791137017245</v>
      </c>
      <c r="BF4743" t="str">
        <f>T("k150172")</f>
        <v>k150172</v>
      </c>
      <c r="BG4743" t="str">
        <f>T("판타지 웹소설 &gt; 퓨전 판타지")</f>
        <v>판타지 웹소설 &gt; 퓨전 판타지</v>
      </c>
    </row>
    <row r="4744" spans="1:59">
      <c r="A4744" t="s">
        <v>60</v>
      </c>
      <c r="B4744" s="1">
        <v>46129</v>
      </c>
      <c r="C4744">
        <v>2378057438</v>
      </c>
      <c r="D4744">
        <v>2378057581</v>
      </c>
      <c r="E4744" t="str">
        <f>T("재벌에서 광복군까지 144화")</f>
        <v>재벌에서 광복군까지 144화</v>
      </c>
      <c r="F4744">
        <v>144</v>
      </c>
      <c r="G4744" t="str">
        <f>T("빛나는구름")</f>
        <v>빛나는구름</v>
      </c>
      <c r="J4744" t="str">
        <f>T("사이렌")</f>
        <v>사이렌</v>
      </c>
      <c r="K4744" t="str">
        <f>T("재벌에서 광복군까지")</f>
        <v>재벌에서 광복군까지</v>
      </c>
      <c r="L4744">
        <v>100</v>
      </c>
      <c r="M4744">
        <v>100</v>
      </c>
      <c r="N4744">
        <v>1</v>
      </c>
      <c r="O4744">
        <v>0</v>
      </c>
      <c r="P4744">
        <v>0</v>
      </c>
      <c r="Q4744">
        <v>0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0</v>
      </c>
      <c r="AC4744">
        <v>0</v>
      </c>
      <c r="AD4744">
        <v>0</v>
      </c>
      <c r="AE4744">
        <v>0</v>
      </c>
      <c r="AF4744">
        <v>0</v>
      </c>
      <c r="AG4744">
        <v>0</v>
      </c>
      <c r="AH4744">
        <v>0</v>
      </c>
      <c r="AI4744">
        <v>100</v>
      </c>
      <c r="AJ4744">
        <v>1</v>
      </c>
      <c r="AK4744">
        <v>0</v>
      </c>
      <c r="AL4744">
        <v>0</v>
      </c>
      <c r="AM4744">
        <v>100</v>
      </c>
      <c r="AN4744">
        <v>0</v>
      </c>
      <c r="AO4744">
        <v>0</v>
      </c>
      <c r="AP4744">
        <v>0</v>
      </c>
      <c r="AQ4744">
        <v>0</v>
      </c>
      <c r="AS4744">
        <v>0</v>
      </c>
      <c r="AT4744">
        <v>0</v>
      </c>
      <c r="AV4744">
        <v>0</v>
      </c>
      <c r="AW4744">
        <v>0</v>
      </c>
      <c r="AY4744">
        <v>0</v>
      </c>
      <c r="AZ4744">
        <v>0</v>
      </c>
      <c r="BA4744">
        <v>70</v>
      </c>
      <c r="BE4744" t="str">
        <f>T("9791137017245")</f>
        <v>9791137017245</v>
      </c>
      <c r="BF4744" t="str">
        <f>T("k150173")</f>
        <v>k150173</v>
      </c>
      <c r="BG4744" t="str">
        <f>T("판타지 웹소설 &gt; 퓨전 판타지")</f>
        <v>판타지 웹소설 &gt; 퓨전 판타지</v>
      </c>
    </row>
    <row r="4745" spans="1:59">
      <c r="A4745" t="s">
        <v>60</v>
      </c>
      <c r="B4745" s="1">
        <v>46129</v>
      </c>
      <c r="C4745">
        <v>2378057438</v>
      </c>
      <c r="D4745">
        <v>2378057582</v>
      </c>
      <c r="E4745" t="str">
        <f>T("재벌에서 광복군까지 145화")</f>
        <v>재벌에서 광복군까지 145화</v>
      </c>
      <c r="F4745">
        <v>145</v>
      </c>
      <c r="G4745" t="str">
        <f>T("빛나는구름")</f>
        <v>빛나는구름</v>
      </c>
      <c r="J4745" t="str">
        <f>T("사이렌")</f>
        <v>사이렌</v>
      </c>
      <c r="K4745" t="str">
        <f>T("재벌에서 광복군까지")</f>
        <v>재벌에서 광복군까지</v>
      </c>
      <c r="L4745">
        <v>100</v>
      </c>
      <c r="M4745">
        <v>100</v>
      </c>
      <c r="N4745">
        <v>1</v>
      </c>
      <c r="O4745">
        <v>0</v>
      </c>
      <c r="P4745">
        <v>0</v>
      </c>
      <c r="Q4745">
        <v>0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0</v>
      </c>
      <c r="AC4745">
        <v>0</v>
      </c>
      <c r="AD4745">
        <v>0</v>
      </c>
      <c r="AE4745">
        <v>0</v>
      </c>
      <c r="AF4745">
        <v>0</v>
      </c>
      <c r="AG4745">
        <v>0</v>
      </c>
      <c r="AH4745">
        <v>0</v>
      </c>
      <c r="AI4745">
        <v>100</v>
      </c>
      <c r="AJ4745">
        <v>1</v>
      </c>
      <c r="AK4745">
        <v>0</v>
      </c>
      <c r="AL4745">
        <v>0</v>
      </c>
      <c r="AM4745">
        <v>100</v>
      </c>
      <c r="AN4745">
        <v>0</v>
      </c>
      <c r="AO4745">
        <v>0</v>
      </c>
      <c r="AP4745">
        <v>0</v>
      </c>
      <c r="AQ4745">
        <v>0</v>
      </c>
      <c r="AS4745">
        <v>0</v>
      </c>
      <c r="AT4745">
        <v>0</v>
      </c>
      <c r="AV4745">
        <v>0</v>
      </c>
      <c r="AW4745">
        <v>0</v>
      </c>
      <c r="AY4745">
        <v>0</v>
      </c>
      <c r="AZ4745">
        <v>0</v>
      </c>
      <c r="BA4745">
        <v>70</v>
      </c>
      <c r="BE4745" t="str">
        <f>T("9791137017245")</f>
        <v>9791137017245</v>
      </c>
      <c r="BF4745" t="str">
        <f>T("k150174")</f>
        <v>k150174</v>
      </c>
      <c r="BG4745" t="str">
        <f>T("판타지 웹소설 &gt; 퓨전 판타지")</f>
        <v>판타지 웹소설 &gt; 퓨전 판타지</v>
      </c>
    </row>
    <row r="4746" spans="1:59">
      <c r="A4746" t="s">
        <v>60</v>
      </c>
      <c r="B4746" s="1">
        <v>46129</v>
      </c>
      <c r="C4746">
        <v>2378057438</v>
      </c>
      <c r="D4746">
        <v>2378057583</v>
      </c>
      <c r="E4746" t="str">
        <f>T("재벌에서 광복군까지 146화")</f>
        <v>재벌에서 광복군까지 146화</v>
      </c>
      <c r="F4746">
        <v>146</v>
      </c>
      <c r="G4746" t="str">
        <f>T("빛나는구름")</f>
        <v>빛나는구름</v>
      </c>
      <c r="J4746" t="str">
        <f>T("사이렌")</f>
        <v>사이렌</v>
      </c>
      <c r="K4746" t="str">
        <f>T("재벌에서 광복군까지")</f>
        <v>재벌에서 광복군까지</v>
      </c>
      <c r="L4746">
        <v>100</v>
      </c>
      <c r="M4746">
        <v>100</v>
      </c>
      <c r="N4746">
        <v>1</v>
      </c>
      <c r="O4746">
        <v>0</v>
      </c>
      <c r="P4746">
        <v>0</v>
      </c>
      <c r="Q4746">
        <v>0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0</v>
      </c>
      <c r="AC4746">
        <v>0</v>
      </c>
      <c r="AD4746">
        <v>0</v>
      </c>
      <c r="AE4746">
        <v>0</v>
      </c>
      <c r="AF4746">
        <v>0</v>
      </c>
      <c r="AG4746">
        <v>0</v>
      </c>
      <c r="AH4746">
        <v>0</v>
      </c>
      <c r="AI4746">
        <v>100</v>
      </c>
      <c r="AJ4746">
        <v>1</v>
      </c>
      <c r="AK4746">
        <v>0</v>
      </c>
      <c r="AL4746">
        <v>0</v>
      </c>
      <c r="AM4746">
        <v>100</v>
      </c>
      <c r="AN4746">
        <v>0</v>
      </c>
      <c r="AO4746">
        <v>0</v>
      </c>
      <c r="AP4746">
        <v>0</v>
      </c>
      <c r="AQ4746">
        <v>0</v>
      </c>
      <c r="AS4746">
        <v>0</v>
      </c>
      <c r="AT4746">
        <v>0</v>
      </c>
      <c r="AV4746">
        <v>0</v>
      </c>
      <c r="AW4746">
        <v>0</v>
      </c>
      <c r="AY4746">
        <v>0</v>
      </c>
      <c r="AZ4746">
        <v>0</v>
      </c>
      <c r="BA4746">
        <v>70</v>
      </c>
      <c r="BE4746" t="str">
        <f>T("9791137017245")</f>
        <v>9791137017245</v>
      </c>
      <c r="BF4746" t="str">
        <f>T("k150175")</f>
        <v>k150175</v>
      </c>
      <c r="BG4746" t="str">
        <f>T("판타지 웹소설 &gt; 퓨전 판타지")</f>
        <v>판타지 웹소설 &gt; 퓨전 판타지</v>
      </c>
    </row>
    <row r="4747" spans="1:59">
      <c r="A4747" t="s">
        <v>60</v>
      </c>
      <c r="B4747" s="1">
        <v>46129</v>
      </c>
      <c r="C4747">
        <v>2378057438</v>
      </c>
      <c r="D4747">
        <v>2378057584</v>
      </c>
      <c r="E4747" t="str">
        <f>T("재벌에서 광복군까지 147화")</f>
        <v>재벌에서 광복군까지 147화</v>
      </c>
      <c r="F4747">
        <v>147</v>
      </c>
      <c r="G4747" t="str">
        <f>T("빛나는구름")</f>
        <v>빛나는구름</v>
      </c>
      <c r="J4747" t="str">
        <f>T("사이렌")</f>
        <v>사이렌</v>
      </c>
      <c r="K4747" t="str">
        <f>T("재벌에서 광복군까지")</f>
        <v>재벌에서 광복군까지</v>
      </c>
      <c r="L4747">
        <v>100</v>
      </c>
      <c r="M4747">
        <v>100</v>
      </c>
      <c r="N4747">
        <v>1</v>
      </c>
      <c r="O4747">
        <v>0</v>
      </c>
      <c r="P4747">
        <v>0</v>
      </c>
      <c r="Q4747">
        <v>0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0</v>
      </c>
      <c r="AC4747">
        <v>0</v>
      </c>
      <c r="AD4747">
        <v>0</v>
      </c>
      <c r="AE4747">
        <v>0</v>
      </c>
      <c r="AF4747">
        <v>0</v>
      </c>
      <c r="AG4747">
        <v>0</v>
      </c>
      <c r="AH4747">
        <v>0</v>
      </c>
      <c r="AI4747">
        <v>100</v>
      </c>
      <c r="AJ4747">
        <v>1</v>
      </c>
      <c r="AK4747">
        <v>0</v>
      </c>
      <c r="AL4747">
        <v>0</v>
      </c>
      <c r="AM4747">
        <v>100</v>
      </c>
      <c r="AN4747">
        <v>0</v>
      </c>
      <c r="AO4747">
        <v>0</v>
      </c>
      <c r="AP4747">
        <v>0</v>
      </c>
      <c r="AQ4747">
        <v>0</v>
      </c>
      <c r="AS4747">
        <v>0</v>
      </c>
      <c r="AT4747">
        <v>0</v>
      </c>
      <c r="AV4747">
        <v>0</v>
      </c>
      <c r="AW4747">
        <v>0</v>
      </c>
      <c r="AY4747">
        <v>0</v>
      </c>
      <c r="AZ4747">
        <v>0</v>
      </c>
      <c r="BA4747">
        <v>70</v>
      </c>
      <c r="BE4747" t="str">
        <f>T("9791137017245")</f>
        <v>9791137017245</v>
      </c>
      <c r="BF4747" t="str">
        <f>T("k150176")</f>
        <v>k150176</v>
      </c>
      <c r="BG4747" t="str">
        <f>T("판타지 웹소설 &gt; 퓨전 판타지")</f>
        <v>판타지 웹소설 &gt; 퓨전 판타지</v>
      </c>
    </row>
    <row r="4748" spans="1:59">
      <c r="A4748" t="s">
        <v>60</v>
      </c>
      <c r="B4748" s="1">
        <v>46129</v>
      </c>
      <c r="C4748">
        <v>2378057438</v>
      </c>
      <c r="D4748">
        <v>2378057585</v>
      </c>
      <c r="E4748" t="str">
        <f>T("재벌에서 광복군까지 148화")</f>
        <v>재벌에서 광복군까지 148화</v>
      </c>
      <c r="F4748">
        <v>148</v>
      </c>
      <c r="G4748" t="str">
        <f>T("빛나는구름")</f>
        <v>빛나는구름</v>
      </c>
      <c r="J4748" t="str">
        <f>T("사이렌")</f>
        <v>사이렌</v>
      </c>
      <c r="K4748" t="str">
        <f>T("재벌에서 광복군까지")</f>
        <v>재벌에서 광복군까지</v>
      </c>
      <c r="L4748">
        <v>100</v>
      </c>
      <c r="M4748">
        <v>100</v>
      </c>
      <c r="N4748">
        <v>1</v>
      </c>
      <c r="O4748">
        <v>0</v>
      </c>
      <c r="P4748">
        <v>0</v>
      </c>
      <c r="Q4748">
        <v>0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0</v>
      </c>
      <c r="AC4748">
        <v>0</v>
      </c>
      <c r="AD4748">
        <v>0</v>
      </c>
      <c r="AE4748">
        <v>0</v>
      </c>
      <c r="AF4748">
        <v>0</v>
      </c>
      <c r="AG4748">
        <v>0</v>
      </c>
      <c r="AH4748">
        <v>0</v>
      </c>
      <c r="AI4748">
        <v>100</v>
      </c>
      <c r="AJ4748">
        <v>1</v>
      </c>
      <c r="AK4748">
        <v>0</v>
      </c>
      <c r="AL4748">
        <v>0</v>
      </c>
      <c r="AM4748">
        <v>100</v>
      </c>
      <c r="AN4748">
        <v>0</v>
      </c>
      <c r="AO4748">
        <v>0</v>
      </c>
      <c r="AP4748">
        <v>0</v>
      </c>
      <c r="AQ4748">
        <v>0</v>
      </c>
      <c r="AS4748">
        <v>0</v>
      </c>
      <c r="AT4748">
        <v>0</v>
      </c>
      <c r="AV4748">
        <v>0</v>
      </c>
      <c r="AW4748">
        <v>0</v>
      </c>
      <c r="AY4748">
        <v>0</v>
      </c>
      <c r="AZ4748">
        <v>0</v>
      </c>
      <c r="BA4748">
        <v>70</v>
      </c>
      <c r="BE4748" t="str">
        <f>T("9791137017245")</f>
        <v>9791137017245</v>
      </c>
      <c r="BF4748" t="str">
        <f>T("k150177")</f>
        <v>k150177</v>
      </c>
      <c r="BG4748" t="str">
        <f>T("판타지 웹소설 &gt; 퓨전 판타지")</f>
        <v>판타지 웹소설 &gt; 퓨전 판타지</v>
      </c>
    </row>
    <row r="4749" spans="1:59">
      <c r="A4749" t="s">
        <v>60</v>
      </c>
      <c r="B4749" s="1">
        <v>46129</v>
      </c>
      <c r="C4749">
        <v>2378057438</v>
      </c>
      <c r="D4749">
        <v>2378057586</v>
      </c>
      <c r="E4749" t="str">
        <f>T("재벌에서 광복군까지 149화")</f>
        <v>재벌에서 광복군까지 149화</v>
      </c>
      <c r="F4749">
        <v>149</v>
      </c>
      <c r="G4749" t="str">
        <f>T("빛나는구름")</f>
        <v>빛나는구름</v>
      </c>
      <c r="J4749" t="str">
        <f>T("사이렌")</f>
        <v>사이렌</v>
      </c>
      <c r="K4749" t="str">
        <f>T("재벌에서 광복군까지")</f>
        <v>재벌에서 광복군까지</v>
      </c>
      <c r="L4749">
        <v>100</v>
      </c>
      <c r="M4749">
        <v>100</v>
      </c>
      <c r="N4749">
        <v>1</v>
      </c>
      <c r="O4749">
        <v>0</v>
      </c>
      <c r="P4749">
        <v>0</v>
      </c>
      <c r="Q4749">
        <v>0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0</v>
      </c>
      <c r="AC4749">
        <v>0</v>
      </c>
      <c r="AD4749">
        <v>0</v>
      </c>
      <c r="AE4749">
        <v>0</v>
      </c>
      <c r="AF4749">
        <v>0</v>
      </c>
      <c r="AG4749">
        <v>0</v>
      </c>
      <c r="AH4749">
        <v>0</v>
      </c>
      <c r="AI4749">
        <v>100</v>
      </c>
      <c r="AJ4749">
        <v>1</v>
      </c>
      <c r="AK4749">
        <v>0</v>
      </c>
      <c r="AL4749">
        <v>0</v>
      </c>
      <c r="AM4749">
        <v>100</v>
      </c>
      <c r="AN4749">
        <v>0</v>
      </c>
      <c r="AO4749">
        <v>0</v>
      </c>
      <c r="AP4749">
        <v>0</v>
      </c>
      <c r="AQ4749">
        <v>0</v>
      </c>
      <c r="AS4749">
        <v>0</v>
      </c>
      <c r="AT4749">
        <v>0</v>
      </c>
      <c r="AV4749">
        <v>0</v>
      </c>
      <c r="AW4749">
        <v>0</v>
      </c>
      <c r="AY4749">
        <v>0</v>
      </c>
      <c r="AZ4749">
        <v>0</v>
      </c>
      <c r="BA4749">
        <v>70</v>
      </c>
      <c r="BE4749" t="str">
        <f>T("9791137017245")</f>
        <v>9791137017245</v>
      </c>
      <c r="BF4749" t="str">
        <f>T("k150178")</f>
        <v>k150178</v>
      </c>
      <c r="BG4749" t="str">
        <f>T("판타지 웹소설 &gt; 퓨전 판타지")</f>
        <v>판타지 웹소설 &gt; 퓨전 판타지</v>
      </c>
    </row>
    <row r="4750" spans="1:59">
      <c r="A4750" t="s">
        <v>60</v>
      </c>
      <c r="B4750" s="1">
        <v>46129</v>
      </c>
      <c r="C4750">
        <v>2378057438</v>
      </c>
      <c r="D4750">
        <v>2378057587</v>
      </c>
      <c r="E4750" t="str">
        <f>T("재벌에서 광복군까지 150화")</f>
        <v>재벌에서 광복군까지 150화</v>
      </c>
      <c r="F4750">
        <v>150</v>
      </c>
      <c r="G4750" t="str">
        <f>T("빛나는구름")</f>
        <v>빛나는구름</v>
      </c>
      <c r="J4750" t="str">
        <f>T("사이렌")</f>
        <v>사이렌</v>
      </c>
      <c r="K4750" t="str">
        <f>T("재벌에서 광복군까지")</f>
        <v>재벌에서 광복군까지</v>
      </c>
      <c r="L4750">
        <v>100</v>
      </c>
      <c r="M4750">
        <v>100</v>
      </c>
      <c r="N4750">
        <v>1</v>
      </c>
      <c r="O4750">
        <v>0</v>
      </c>
      <c r="P4750">
        <v>0</v>
      </c>
      <c r="Q4750">
        <v>0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0</v>
      </c>
      <c r="AC4750">
        <v>0</v>
      </c>
      <c r="AD4750">
        <v>0</v>
      </c>
      <c r="AE4750">
        <v>0</v>
      </c>
      <c r="AF4750">
        <v>0</v>
      </c>
      <c r="AG4750">
        <v>0</v>
      </c>
      <c r="AH4750">
        <v>0</v>
      </c>
      <c r="AI4750">
        <v>100</v>
      </c>
      <c r="AJ4750">
        <v>1</v>
      </c>
      <c r="AK4750">
        <v>0</v>
      </c>
      <c r="AL4750">
        <v>0</v>
      </c>
      <c r="AM4750">
        <v>100</v>
      </c>
      <c r="AN4750">
        <v>0</v>
      </c>
      <c r="AO4750">
        <v>0</v>
      </c>
      <c r="AP4750">
        <v>0</v>
      </c>
      <c r="AQ4750">
        <v>0</v>
      </c>
      <c r="AS4750">
        <v>0</v>
      </c>
      <c r="AT4750">
        <v>0</v>
      </c>
      <c r="AV4750">
        <v>0</v>
      </c>
      <c r="AW4750">
        <v>0</v>
      </c>
      <c r="AY4750">
        <v>0</v>
      </c>
      <c r="AZ4750">
        <v>0</v>
      </c>
      <c r="BA4750">
        <v>70</v>
      </c>
      <c r="BE4750" t="str">
        <f>T("9791137017245")</f>
        <v>9791137017245</v>
      </c>
      <c r="BF4750" t="str">
        <f>T("k150179")</f>
        <v>k150179</v>
      </c>
      <c r="BG4750" t="str">
        <f>T("판타지 웹소설 &gt; 퓨전 판타지")</f>
        <v>판타지 웹소설 &gt; 퓨전 판타지</v>
      </c>
    </row>
    <row r="4751" spans="1:59">
      <c r="A4751" t="s">
        <v>60</v>
      </c>
      <c r="B4751" s="1">
        <v>46129</v>
      </c>
      <c r="C4751">
        <v>2378057438</v>
      </c>
      <c r="D4751">
        <v>2378057588</v>
      </c>
      <c r="E4751" t="str">
        <f>T("재벌에서 광복군까지 151화")</f>
        <v>재벌에서 광복군까지 151화</v>
      </c>
      <c r="F4751">
        <v>151</v>
      </c>
      <c r="G4751" t="str">
        <f>T("빛나는구름")</f>
        <v>빛나는구름</v>
      </c>
      <c r="J4751" t="str">
        <f>T("사이렌")</f>
        <v>사이렌</v>
      </c>
      <c r="K4751" t="str">
        <f>T("재벌에서 광복군까지")</f>
        <v>재벌에서 광복군까지</v>
      </c>
      <c r="L4751">
        <v>100</v>
      </c>
      <c r="M4751">
        <v>100</v>
      </c>
      <c r="N4751">
        <v>1</v>
      </c>
      <c r="O4751">
        <v>0</v>
      </c>
      <c r="P4751">
        <v>0</v>
      </c>
      <c r="Q4751">
        <v>0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0</v>
      </c>
      <c r="AC4751">
        <v>0</v>
      </c>
      <c r="AD4751">
        <v>0</v>
      </c>
      <c r="AE4751">
        <v>0</v>
      </c>
      <c r="AF4751">
        <v>0</v>
      </c>
      <c r="AG4751">
        <v>0</v>
      </c>
      <c r="AH4751">
        <v>0</v>
      </c>
      <c r="AI4751">
        <v>100</v>
      </c>
      <c r="AJ4751">
        <v>1</v>
      </c>
      <c r="AK4751">
        <v>0</v>
      </c>
      <c r="AL4751">
        <v>0</v>
      </c>
      <c r="AM4751">
        <v>100</v>
      </c>
      <c r="AN4751">
        <v>0</v>
      </c>
      <c r="AO4751">
        <v>0</v>
      </c>
      <c r="AP4751">
        <v>0</v>
      </c>
      <c r="AQ4751">
        <v>0</v>
      </c>
      <c r="AS4751">
        <v>0</v>
      </c>
      <c r="AT4751">
        <v>0</v>
      </c>
      <c r="AV4751">
        <v>0</v>
      </c>
      <c r="AW4751">
        <v>0</v>
      </c>
      <c r="AY4751">
        <v>0</v>
      </c>
      <c r="AZ4751">
        <v>0</v>
      </c>
      <c r="BA4751">
        <v>70</v>
      </c>
      <c r="BE4751" t="str">
        <f>T("9791137017245")</f>
        <v>9791137017245</v>
      </c>
      <c r="BF4751" t="str">
        <f>T("k150180")</f>
        <v>k150180</v>
      </c>
      <c r="BG4751" t="str">
        <f>T("판타지 웹소설 &gt; 퓨전 판타지")</f>
        <v>판타지 웹소설 &gt; 퓨전 판타지</v>
      </c>
    </row>
    <row r="4752" spans="1:59">
      <c r="A4752" t="s">
        <v>60</v>
      </c>
      <c r="B4752" s="1">
        <v>46129</v>
      </c>
      <c r="C4752">
        <v>2378057438</v>
      </c>
      <c r="D4752">
        <v>2378057589</v>
      </c>
      <c r="E4752" t="str">
        <f>T("재벌에서 광복군까지 152화")</f>
        <v>재벌에서 광복군까지 152화</v>
      </c>
      <c r="F4752">
        <v>152</v>
      </c>
      <c r="G4752" t="str">
        <f>T("빛나는구름")</f>
        <v>빛나는구름</v>
      </c>
      <c r="J4752" t="str">
        <f>T("사이렌")</f>
        <v>사이렌</v>
      </c>
      <c r="K4752" t="str">
        <f>T("재벌에서 광복군까지")</f>
        <v>재벌에서 광복군까지</v>
      </c>
      <c r="L4752">
        <v>100</v>
      </c>
      <c r="M4752">
        <v>100</v>
      </c>
      <c r="N4752">
        <v>1</v>
      </c>
      <c r="O4752">
        <v>0</v>
      </c>
      <c r="P4752">
        <v>0</v>
      </c>
      <c r="Q4752">
        <v>0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0</v>
      </c>
      <c r="AC4752">
        <v>0</v>
      </c>
      <c r="AD4752">
        <v>0</v>
      </c>
      <c r="AE4752">
        <v>0</v>
      </c>
      <c r="AF4752">
        <v>0</v>
      </c>
      <c r="AG4752">
        <v>0</v>
      </c>
      <c r="AH4752">
        <v>0</v>
      </c>
      <c r="AI4752">
        <v>100</v>
      </c>
      <c r="AJ4752">
        <v>1</v>
      </c>
      <c r="AK4752">
        <v>0</v>
      </c>
      <c r="AL4752">
        <v>0</v>
      </c>
      <c r="AM4752">
        <v>100</v>
      </c>
      <c r="AN4752">
        <v>0</v>
      </c>
      <c r="AO4752">
        <v>0</v>
      </c>
      <c r="AP4752">
        <v>0</v>
      </c>
      <c r="AQ4752">
        <v>0</v>
      </c>
      <c r="AS4752">
        <v>0</v>
      </c>
      <c r="AT4752">
        <v>0</v>
      </c>
      <c r="AV4752">
        <v>0</v>
      </c>
      <c r="AW4752">
        <v>0</v>
      </c>
      <c r="AY4752">
        <v>0</v>
      </c>
      <c r="AZ4752">
        <v>0</v>
      </c>
      <c r="BA4752">
        <v>70</v>
      </c>
      <c r="BE4752" t="str">
        <f>T("9791137017245")</f>
        <v>9791137017245</v>
      </c>
      <c r="BF4752" t="str">
        <f>T("k150181")</f>
        <v>k150181</v>
      </c>
      <c r="BG4752" t="str">
        <f>T("판타지 웹소설 &gt; 퓨전 판타지")</f>
        <v>판타지 웹소설 &gt; 퓨전 판타지</v>
      </c>
    </row>
    <row r="4753" spans="1:59">
      <c r="A4753" t="s">
        <v>60</v>
      </c>
      <c r="B4753" s="1">
        <v>46129</v>
      </c>
      <c r="C4753">
        <v>2378057438</v>
      </c>
      <c r="D4753">
        <v>2378057590</v>
      </c>
      <c r="E4753" t="str">
        <f>T("재벌에서 광복군까지 153화")</f>
        <v>재벌에서 광복군까지 153화</v>
      </c>
      <c r="F4753">
        <v>153</v>
      </c>
      <c r="G4753" t="str">
        <f>T("빛나는구름")</f>
        <v>빛나는구름</v>
      </c>
      <c r="J4753" t="str">
        <f>T("사이렌")</f>
        <v>사이렌</v>
      </c>
      <c r="K4753" t="str">
        <f>T("재벌에서 광복군까지")</f>
        <v>재벌에서 광복군까지</v>
      </c>
      <c r="L4753">
        <v>100</v>
      </c>
      <c r="M4753">
        <v>100</v>
      </c>
      <c r="N4753">
        <v>1</v>
      </c>
      <c r="O4753">
        <v>0</v>
      </c>
      <c r="P4753">
        <v>0</v>
      </c>
      <c r="Q4753">
        <v>0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0</v>
      </c>
      <c r="AC4753">
        <v>0</v>
      </c>
      <c r="AD4753">
        <v>0</v>
      </c>
      <c r="AE4753">
        <v>0</v>
      </c>
      <c r="AF4753">
        <v>0</v>
      </c>
      <c r="AG4753">
        <v>0</v>
      </c>
      <c r="AH4753">
        <v>0</v>
      </c>
      <c r="AI4753">
        <v>100</v>
      </c>
      <c r="AJ4753">
        <v>1</v>
      </c>
      <c r="AK4753">
        <v>0</v>
      </c>
      <c r="AL4753">
        <v>0</v>
      </c>
      <c r="AM4753">
        <v>100</v>
      </c>
      <c r="AN4753">
        <v>0</v>
      </c>
      <c r="AO4753">
        <v>0</v>
      </c>
      <c r="AP4753">
        <v>0</v>
      </c>
      <c r="AQ4753">
        <v>0</v>
      </c>
      <c r="AS4753">
        <v>0</v>
      </c>
      <c r="AT4753">
        <v>0</v>
      </c>
      <c r="AV4753">
        <v>0</v>
      </c>
      <c r="AW4753">
        <v>0</v>
      </c>
      <c r="AY4753">
        <v>0</v>
      </c>
      <c r="AZ4753">
        <v>0</v>
      </c>
      <c r="BA4753">
        <v>70</v>
      </c>
      <c r="BE4753" t="str">
        <f>T("9791137017245")</f>
        <v>9791137017245</v>
      </c>
      <c r="BF4753" t="str">
        <f>T("k150182")</f>
        <v>k150182</v>
      </c>
      <c r="BG4753" t="str">
        <f>T("판타지 웹소설 &gt; 퓨전 판타지")</f>
        <v>판타지 웹소설 &gt; 퓨전 판타지</v>
      </c>
    </row>
    <row r="4754" spans="1:59">
      <c r="A4754" t="s">
        <v>60</v>
      </c>
      <c r="B4754" s="1">
        <v>46129</v>
      </c>
      <c r="C4754">
        <v>2378057438</v>
      </c>
      <c r="D4754">
        <v>2378057591</v>
      </c>
      <c r="E4754" t="str">
        <f>T("재벌에서 광복군까지 154화")</f>
        <v>재벌에서 광복군까지 154화</v>
      </c>
      <c r="F4754">
        <v>154</v>
      </c>
      <c r="G4754" t="str">
        <f>T("빛나는구름")</f>
        <v>빛나는구름</v>
      </c>
      <c r="J4754" t="str">
        <f>T("사이렌")</f>
        <v>사이렌</v>
      </c>
      <c r="K4754" t="str">
        <f>T("재벌에서 광복군까지")</f>
        <v>재벌에서 광복군까지</v>
      </c>
      <c r="L4754">
        <v>100</v>
      </c>
      <c r="M4754">
        <v>100</v>
      </c>
      <c r="N4754">
        <v>1</v>
      </c>
      <c r="O4754">
        <v>0</v>
      </c>
      <c r="P4754">
        <v>0</v>
      </c>
      <c r="Q4754">
        <v>0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0</v>
      </c>
      <c r="AC4754">
        <v>0</v>
      </c>
      <c r="AD4754">
        <v>0</v>
      </c>
      <c r="AE4754">
        <v>0</v>
      </c>
      <c r="AF4754">
        <v>0</v>
      </c>
      <c r="AG4754">
        <v>0</v>
      </c>
      <c r="AH4754">
        <v>0</v>
      </c>
      <c r="AI4754">
        <v>100</v>
      </c>
      <c r="AJ4754">
        <v>1</v>
      </c>
      <c r="AK4754">
        <v>0</v>
      </c>
      <c r="AL4754">
        <v>0</v>
      </c>
      <c r="AM4754">
        <v>100</v>
      </c>
      <c r="AN4754">
        <v>0</v>
      </c>
      <c r="AO4754">
        <v>0</v>
      </c>
      <c r="AP4754">
        <v>0</v>
      </c>
      <c r="AQ4754">
        <v>0</v>
      </c>
      <c r="AS4754">
        <v>0</v>
      </c>
      <c r="AT4754">
        <v>0</v>
      </c>
      <c r="AV4754">
        <v>0</v>
      </c>
      <c r="AW4754">
        <v>0</v>
      </c>
      <c r="AY4754">
        <v>0</v>
      </c>
      <c r="AZ4754">
        <v>0</v>
      </c>
      <c r="BA4754">
        <v>70</v>
      </c>
      <c r="BE4754" t="str">
        <f>T("9791137017245")</f>
        <v>9791137017245</v>
      </c>
      <c r="BF4754" t="str">
        <f>T("k150183")</f>
        <v>k150183</v>
      </c>
      <c r="BG4754" t="str">
        <f>T("판타지 웹소설 &gt; 퓨전 판타지")</f>
        <v>판타지 웹소설 &gt; 퓨전 판타지</v>
      </c>
    </row>
    <row r="4755" spans="1:59">
      <c r="A4755" t="s">
        <v>60</v>
      </c>
      <c r="B4755" s="1">
        <v>46129</v>
      </c>
      <c r="C4755">
        <v>2378057438</v>
      </c>
      <c r="D4755">
        <v>2378057592</v>
      </c>
      <c r="E4755" t="str">
        <f>T("재벌에서 광복군까지 155화")</f>
        <v>재벌에서 광복군까지 155화</v>
      </c>
      <c r="F4755">
        <v>155</v>
      </c>
      <c r="G4755" t="str">
        <f>T("빛나는구름")</f>
        <v>빛나는구름</v>
      </c>
      <c r="J4755" t="str">
        <f>T("사이렌")</f>
        <v>사이렌</v>
      </c>
      <c r="K4755" t="str">
        <f>T("재벌에서 광복군까지")</f>
        <v>재벌에서 광복군까지</v>
      </c>
      <c r="L4755">
        <v>100</v>
      </c>
      <c r="M4755">
        <v>100</v>
      </c>
      <c r="N4755">
        <v>1</v>
      </c>
      <c r="O4755">
        <v>0</v>
      </c>
      <c r="P4755">
        <v>0</v>
      </c>
      <c r="Q4755">
        <v>0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0</v>
      </c>
      <c r="AC4755">
        <v>0</v>
      </c>
      <c r="AD4755">
        <v>0</v>
      </c>
      <c r="AE4755">
        <v>0</v>
      </c>
      <c r="AF4755">
        <v>0</v>
      </c>
      <c r="AG4755">
        <v>0</v>
      </c>
      <c r="AH4755">
        <v>0</v>
      </c>
      <c r="AI4755">
        <v>100</v>
      </c>
      <c r="AJ4755">
        <v>1</v>
      </c>
      <c r="AK4755">
        <v>0</v>
      </c>
      <c r="AL4755">
        <v>0</v>
      </c>
      <c r="AM4755">
        <v>100</v>
      </c>
      <c r="AN4755">
        <v>0</v>
      </c>
      <c r="AO4755">
        <v>0</v>
      </c>
      <c r="AP4755">
        <v>0</v>
      </c>
      <c r="AQ4755">
        <v>0</v>
      </c>
      <c r="AS4755">
        <v>0</v>
      </c>
      <c r="AT4755">
        <v>0</v>
      </c>
      <c r="AV4755">
        <v>0</v>
      </c>
      <c r="AW4755">
        <v>0</v>
      </c>
      <c r="AY4755">
        <v>0</v>
      </c>
      <c r="AZ4755">
        <v>0</v>
      </c>
      <c r="BA4755">
        <v>70</v>
      </c>
      <c r="BE4755" t="str">
        <f>T("9791137017245")</f>
        <v>9791137017245</v>
      </c>
      <c r="BF4755" t="str">
        <f>T("k150184")</f>
        <v>k150184</v>
      </c>
      <c r="BG4755" t="str">
        <f>T("판타지 웹소설 &gt; 퓨전 판타지")</f>
        <v>판타지 웹소설 &gt; 퓨전 판타지</v>
      </c>
    </row>
    <row r="4756" spans="1:59">
      <c r="A4756" t="s">
        <v>60</v>
      </c>
      <c r="B4756" s="1">
        <v>46129</v>
      </c>
      <c r="C4756">
        <v>2378057438</v>
      </c>
      <c r="D4756">
        <v>2378057593</v>
      </c>
      <c r="E4756" t="str">
        <f>T("재벌에서 광복군까지 156화")</f>
        <v>재벌에서 광복군까지 156화</v>
      </c>
      <c r="F4756">
        <v>156</v>
      </c>
      <c r="G4756" t="str">
        <f>T("빛나는구름")</f>
        <v>빛나는구름</v>
      </c>
      <c r="J4756" t="str">
        <f>T("사이렌")</f>
        <v>사이렌</v>
      </c>
      <c r="K4756" t="str">
        <f>T("재벌에서 광복군까지")</f>
        <v>재벌에서 광복군까지</v>
      </c>
      <c r="L4756">
        <v>100</v>
      </c>
      <c r="M4756">
        <v>100</v>
      </c>
      <c r="N4756">
        <v>1</v>
      </c>
      <c r="O4756">
        <v>0</v>
      </c>
      <c r="P4756">
        <v>0</v>
      </c>
      <c r="Q4756">
        <v>0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0</v>
      </c>
      <c r="AC4756">
        <v>0</v>
      </c>
      <c r="AD4756">
        <v>0</v>
      </c>
      <c r="AE4756">
        <v>0</v>
      </c>
      <c r="AF4756">
        <v>0</v>
      </c>
      <c r="AG4756">
        <v>0</v>
      </c>
      <c r="AH4756">
        <v>0</v>
      </c>
      <c r="AI4756">
        <v>100</v>
      </c>
      <c r="AJ4756">
        <v>1</v>
      </c>
      <c r="AK4756">
        <v>0</v>
      </c>
      <c r="AL4756">
        <v>0</v>
      </c>
      <c r="AM4756">
        <v>100</v>
      </c>
      <c r="AN4756">
        <v>0</v>
      </c>
      <c r="AO4756">
        <v>0</v>
      </c>
      <c r="AP4756">
        <v>0</v>
      </c>
      <c r="AQ4756">
        <v>0</v>
      </c>
      <c r="AS4756">
        <v>0</v>
      </c>
      <c r="AT4756">
        <v>0</v>
      </c>
      <c r="AV4756">
        <v>0</v>
      </c>
      <c r="AW4756">
        <v>0</v>
      </c>
      <c r="AY4756">
        <v>0</v>
      </c>
      <c r="AZ4756">
        <v>0</v>
      </c>
      <c r="BA4756">
        <v>70</v>
      </c>
      <c r="BE4756" t="str">
        <f>T("9791137017245")</f>
        <v>9791137017245</v>
      </c>
      <c r="BF4756" t="str">
        <f>T("k150185")</f>
        <v>k150185</v>
      </c>
      <c r="BG4756" t="str">
        <f>T("판타지 웹소설 &gt; 퓨전 판타지")</f>
        <v>판타지 웹소설 &gt; 퓨전 판타지</v>
      </c>
    </row>
    <row r="4757" spans="1:59">
      <c r="A4757" t="s">
        <v>60</v>
      </c>
      <c r="B4757" s="1">
        <v>46129</v>
      </c>
      <c r="C4757">
        <v>2378057438</v>
      </c>
      <c r="D4757">
        <v>2378057594</v>
      </c>
      <c r="E4757" t="str">
        <f>T("재벌에서 광복군까지 157화")</f>
        <v>재벌에서 광복군까지 157화</v>
      </c>
      <c r="F4757">
        <v>157</v>
      </c>
      <c r="G4757" t="str">
        <f>T("빛나는구름")</f>
        <v>빛나는구름</v>
      </c>
      <c r="J4757" t="str">
        <f>T("사이렌")</f>
        <v>사이렌</v>
      </c>
      <c r="K4757" t="str">
        <f>T("재벌에서 광복군까지")</f>
        <v>재벌에서 광복군까지</v>
      </c>
      <c r="L4757">
        <v>100</v>
      </c>
      <c r="M4757">
        <v>100</v>
      </c>
      <c r="N4757">
        <v>1</v>
      </c>
      <c r="O4757">
        <v>0</v>
      </c>
      <c r="P4757">
        <v>0</v>
      </c>
      <c r="Q4757">
        <v>0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0</v>
      </c>
      <c r="AC4757">
        <v>0</v>
      </c>
      <c r="AD4757">
        <v>0</v>
      </c>
      <c r="AE4757">
        <v>0</v>
      </c>
      <c r="AF4757">
        <v>0</v>
      </c>
      <c r="AG4757">
        <v>0</v>
      </c>
      <c r="AH4757">
        <v>0</v>
      </c>
      <c r="AI4757">
        <v>100</v>
      </c>
      <c r="AJ4757">
        <v>1</v>
      </c>
      <c r="AK4757">
        <v>0</v>
      </c>
      <c r="AL4757">
        <v>0</v>
      </c>
      <c r="AM4757">
        <v>100</v>
      </c>
      <c r="AN4757">
        <v>0</v>
      </c>
      <c r="AO4757">
        <v>0</v>
      </c>
      <c r="AP4757">
        <v>0</v>
      </c>
      <c r="AQ4757">
        <v>0</v>
      </c>
      <c r="AS4757">
        <v>0</v>
      </c>
      <c r="AT4757">
        <v>0</v>
      </c>
      <c r="AV4757">
        <v>0</v>
      </c>
      <c r="AW4757">
        <v>0</v>
      </c>
      <c r="AY4757">
        <v>0</v>
      </c>
      <c r="AZ4757">
        <v>0</v>
      </c>
      <c r="BA4757">
        <v>70</v>
      </c>
      <c r="BE4757" t="str">
        <f>T("9791137017245")</f>
        <v>9791137017245</v>
      </c>
      <c r="BF4757" t="str">
        <f>T("k150186")</f>
        <v>k150186</v>
      </c>
      <c r="BG4757" t="str">
        <f>T("판타지 웹소설 &gt; 퓨전 판타지")</f>
        <v>판타지 웹소설 &gt; 퓨전 판타지</v>
      </c>
    </row>
    <row r="4758" spans="1:59">
      <c r="A4758" t="s">
        <v>60</v>
      </c>
      <c r="B4758" s="1">
        <v>46129</v>
      </c>
      <c r="C4758">
        <v>2378057438</v>
      </c>
      <c r="D4758">
        <v>2378057595</v>
      </c>
      <c r="E4758" t="str">
        <f>T("재벌에서 광복군까지 158화")</f>
        <v>재벌에서 광복군까지 158화</v>
      </c>
      <c r="F4758">
        <v>158</v>
      </c>
      <c r="G4758" t="str">
        <f>T("빛나는구름")</f>
        <v>빛나는구름</v>
      </c>
      <c r="J4758" t="str">
        <f>T("사이렌")</f>
        <v>사이렌</v>
      </c>
      <c r="K4758" t="str">
        <f>T("재벌에서 광복군까지")</f>
        <v>재벌에서 광복군까지</v>
      </c>
      <c r="L4758">
        <v>100</v>
      </c>
      <c r="M4758">
        <v>100</v>
      </c>
      <c r="N4758">
        <v>1</v>
      </c>
      <c r="O4758">
        <v>0</v>
      </c>
      <c r="P4758">
        <v>0</v>
      </c>
      <c r="Q4758">
        <v>0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0</v>
      </c>
      <c r="AC4758">
        <v>0</v>
      </c>
      <c r="AD4758">
        <v>0</v>
      </c>
      <c r="AE4758">
        <v>0</v>
      </c>
      <c r="AF4758">
        <v>0</v>
      </c>
      <c r="AG4758">
        <v>0</v>
      </c>
      <c r="AH4758">
        <v>0</v>
      </c>
      <c r="AI4758">
        <v>100</v>
      </c>
      <c r="AJ4758">
        <v>1</v>
      </c>
      <c r="AK4758">
        <v>0</v>
      </c>
      <c r="AL4758">
        <v>0</v>
      </c>
      <c r="AM4758">
        <v>100</v>
      </c>
      <c r="AN4758">
        <v>0</v>
      </c>
      <c r="AO4758">
        <v>0</v>
      </c>
      <c r="AP4758">
        <v>0</v>
      </c>
      <c r="AQ4758">
        <v>0</v>
      </c>
      <c r="AS4758">
        <v>0</v>
      </c>
      <c r="AT4758">
        <v>0</v>
      </c>
      <c r="AV4758">
        <v>0</v>
      </c>
      <c r="AW4758">
        <v>0</v>
      </c>
      <c r="AY4758">
        <v>0</v>
      </c>
      <c r="AZ4758">
        <v>0</v>
      </c>
      <c r="BA4758">
        <v>70</v>
      </c>
      <c r="BE4758" t="str">
        <f>T("9791137017245")</f>
        <v>9791137017245</v>
      </c>
      <c r="BF4758" t="str">
        <f>T("k150187")</f>
        <v>k150187</v>
      </c>
      <c r="BG4758" t="str">
        <f>T("판타지 웹소설 &gt; 퓨전 판타지")</f>
        <v>판타지 웹소설 &gt; 퓨전 판타지</v>
      </c>
    </row>
    <row r="4759" spans="1:59">
      <c r="A4759" t="s">
        <v>60</v>
      </c>
      <c r="B4759" s="1">
        <v>46129</v>
      </c>
      <c r="C4759">
        <v>2378057438</v>
      </c>
      <c r="D4759">
        <v>2378057814</v>
      </c>
      <c r="E4759" t="str">
        <f>T("재벌에서 광복군까지 159화")</f>
        <v>재벌에서 광복군까지 159화</v>
      </c>
      <c r="F4759">
        <v>159</v>
      </c>
      <c r="G4759" t="str">
        <f>T("빛나는구름")</f>
        <v>빛나는구름</v>
      </c>
      <c r="J4759" t="str">
        <f>T("사이렌")</f>
        <v>사이렌</v>
      </c>
      <c r="K4759" t="str">
        <f>T("재벌에서 광복군까지")</f>
        <v>재벌에서 광복군까지</v>
      </c>
      <c r="L4759">
        <v>100</v>
      </c>
      <c r="M4759">
        <v>100</v>
      </c>
      <c r="N4759">
        <v>1</v>
      </c>
      <c r="O4759">
        <v>0</v>
      </c>
      <c r="P4759">
        <v>0</v>
      </c>
      <c r="Q4759">
        <v>0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0</v>
      </c>
      <c r="AC4759">
        <v>0</v>
      </c>
      <c r="AD4759">
        <v>0</v>
      </c>
      <c r="AE4759">
        <v>0</v>
      </c>
      <c r="AF4759">
        <v>0</v>
      </c>
      <c r="AG4759">
        <v>0</v>
      </c>
      <c r="AH4759">
        <v>0</v>
      </c>
      <c r="AI4759">
        <v>100</v>
      </c>
      <c r="AJ4759">
        <v>1</v>
      </c>
      <c r="AK4759">
        <v>0</v>
      </c>
      <c r="AL4759">
        <v>0</v>
      </c>
      <c r="AM4759">
        <v>100</v>
      </c>
      <c r="AN4759">
        <v>0</v>
      </c>
      <c r="AO4759">
        <v>0</v>
      </c>
      <c r="AP4759">
        <v>0</v>
      </c>
      <c r="AQ4759">
        <v>0</v>
      </c>
      <c r="AS4759">
        <v>0</v>
      </c>
      <c r="AT4759">
        <v>0</v>
      </c>
      <c r="AV4759">
        <v>0</v>
      </c>
      <c r="AW4759">
        <v>0</v>
      </c>
      <c r="AY4759">
        <v>0</v>
      </c>
      <c r="AZ4759">
        <v>0</v>
      </c>
      <c r="BA4759">
        <v>70</v>
      </c>
      <c r="BE4759" t="str">
        <f>T("9791137017245")</f>
        <v>9791137017245</v>
      </c>
      <c r="BF4759" t="str">
        <f>T("k150188")</f>
        <v>k150188</v>
      </c>
      <c r="BG4759" t="str">
        <f>T("판타지 웹소설 &gt; 퓨전 판타지")</f>
        <v>판타지 웹소설 &gt; 퓨전 판타지</v>
      </c>
    </row>
    <row r="4760" spans="1:59">
      <c r="A4760" t="s">
        <v>60</v>
      </c>
      <c r="B4760" s="1">
        <v>46129</v>
      </c>
      <c r="C4760">
        <v>2378057438</v>
      </c>
      <c r="D4760">
        <v>2378057815</v>
      </c>
      <c r="E4760" t="str">
        <f>T("재벌에서 광복군까지 160화")</f>
        <v>재벌에서 광복군까지 160화</v>
      </c>
      <c r="F4760">
        <v>160</v>
      </c>
      <c r="G4760" t="str">
        <f>T("빛나는구름")</f>
        <v>빛나는구름</v>
      </c>
      <c r="J4760" t="str">
        <f>T("사이렌")</f>
        <v>사이렌</v>
      </c>
      <c r="K4760" t="str">
        <f>T("재벌에서 광복군까지")</f>
        <v>재벌에서 광복군까지</v>
      </c>
      <c r="L4760">
        <v>100</v>
      </c>
      <c r="M4760">
        <v>100</v>
      </c>
      <c r="N4760">
        <v>1</v>
      </c>
      <c r="O4760">
        <v>0</v>
      </c>
      <c r="P4760">
        <v>0</v>
      </c>
      <c r="Q4760">
        <v>0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0</v>
      </c>
      <c r="AC4760">
        <v>0</v>
      </c>
      <c r="AD4760">
        <v>0</v>
      </c>
      <c r="AE4760">
        <v>0</v>
      </c>
      <c r="AF4760">
        <v>0</v>
      </c>
      <c r="AG4760">
        <v>0</v>
      </c>
      <c r="AH4760">
        <v>0</v>
      </c>
      <c r="AI4760">
        <v>100</v>
      </c>
      <c r="AJ4760">
        <v>1</v>
      </c>
      <c r="AK4760">
        <v>0</v>
      </c>
      <c r="AL4760">
        <v>0</v>
      </c>
      <c r="AM4760">
        <v>100</v>
      </c>
      <c r="AN4760">
        <v>0</v>
      </c>
      <c r="AO4760">
        <v>0</v>
      </c>
      <c r="AP4760">
        <v>0</v>
      </c>
      <c r="AQ4760">
        <v>0</v>
      </c>
      <c r="AS4760">
        <v>0</v>
      </c>
      <c r="AT4760">
        <v>0</v>
      </c>
      <c r="AV4760">
        <v>0</v>
      </c>
      <c r="AW4760">
        <v>0</v>
      </c>
      <c r="AY4760">
        <v>0</v>
      </c>
      <c r="AZ4760">
        <v>0</v>
      </c>
      <c r="BA4760">
        <v>70</v>
      </c>
      <c r="BE4760" t="str">
        <f>T("9791137017245")</f>
        <v>9791137017245</v>
      </c>
      <c r="BF4760" t="str">
        <f>T("k150189")</f>
        <v>k150189</v>
      </c>
      <c r="BG4760" t="str">
        <f>T("판타지 웹소설 &gt; 퓨전 판타지")</f>
        <v>판타지 웹소설 &gt; 퓨전 판타지</v>
      </c>
    </row>
    <row r="4761" spans="1:59">
      <c r="A4761" t="s">
        <v>60</v>
      </c>
      <c r="B4761" s="1">
        <v>46129</v>
      </c>
      <c r="C4761">
        <v>2378057438</v>
      </c>
      <c r="D4761">
        <v>2378057816</v>
      </c>
      <c r="E4761" t="str">
        <f>T("재벌에서 광복군까지 161화")</f>
        <v>재벌에서 광복군까지 161화</v>
      </c>
      <c r="F4761">
        <v>161</v>
      </c>
      <c r="G4761" t="str">
        <f>T("빛나는구름")</f>
        <v>빛나는구름</v>
      </c>
      <c r="J4761" t="str">
        <f>T("사이렌")</f>
        <v>사이렌</v>
      </c>
      <c r="K4761" t="str">
        <f>T("재벌에서 광복군까지")</f>
        <v>재벌에서 광복군까지</v>
      </c>
      <c r="L4761">
        <v>100</v>
      </c>
      <c r="M4761">
        <v>100</v>
      </c>
      <c r="N4761">
        <v>1</v>
      </c>
      <c r="O4761">
        <v>0</v>
      </c>
      <c r="P4761">
        <v>0</v>
      </c>
      <c r="Q4761">
        <v>0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0</v>
      </c>
      <c r="AC4761">
        <v>0</v>
      </c>
      <c r="AD4761">
        <v>0</v>
      </c>
      <c r="AE4761">
        <v>0</v>
      </c>
      <c r="AF4761">
        <v>0</v>
      </c>
      <c r="AG4761">
        <v>0</v>
      </c>
      <c r="AH4761">
        <v>0</v>
      </c>
      <c r="AI4761">
        <v>100</v>
      </c>
      <c r="AJ4761">
        <v>1</v>
      </c>
      <c r="AK4761">
        <v>0</v>
      </c>
      <c r="AL4761">
        <v>0</v>
      </c>
      <c r="AM4761">
        <v>100</v>
      </c>
      <c r="AN4761">
        <v>0</v>
      </c>
      <c r="AO4761">
        <v>0</v>
      </c>
      <c r="AP4761">
        <v>0</v>
      </c>
      <c r="AQ4761">
        <v>0</v>
      </c>
      <c r="AS4761">
        <v>0</v>
      </c>
      <c r="AT4761">
        <v>0</v>
      </c>
      <c r="AV4761">
        <v>0</v>
      </c>
      <c r="AW4761">
        <v>0</v>
      </c>
      <c r="AY4761">
        <v>0</v>
      </c>
      <c r="AZ4761">
        <v>0</v>
      </c>
      <c r="BA4761">
        <v>70</v>
      </c>
      <c r="BE4761" t="str">
        <f>T("9791137017245")</f>
        <v>9791137017245</v>
      </c>
      <c r="BF4761" t="str">
        <f>T("k150190")</f>
        <v>k150190</v>
      </c>
      <c r="BG4761" t="str">
        <f>T("판타지 웹소설 &gt; 퓨전 판타지")</f>
        <v>판타지 웹소설 &gt; 퓨전 판타지</v>
      </c>
    </row>
    <row r="4762" spans="1:59">
      <c r="A4762" t="s">
        <v>60</v>
      </c>
      <c r="B4762" s="1">
        <v>46129</v>
      </c>
      <c r="C4762">
        <v>2378057438</v>
      </c>
      <c r="D4762">
        <v>2378057817</v>
      </c>
      <c r="E4762" t="str">
        <f>T("재벌에서 광복군까지 162화")</f>
        <v>재벌에서 광복군까지 162화</v>
      </c>
      <c r="F4762">
        <v>162</v>
      </c>
      <c r="G4762" t="str">
        <f>T("빛나는구름")</f>
        <v>빛나는구름</v>
      </c>
      <c r="J4762" t="str">
        <f>T("사이렌")</f>
        <v>사이렌</v>
      </c>
      <c r="K4762" t="str">
        <f>T("재벌에서 광복군까지")</f>
        <v>재벌에서 광복군까지</v>
      </c>
      <c r="L4762">
        <v>100</v>
      </c>
      <c r="M4762">
        <v>100</v>
      </c>
      <c r="N4762">
        <v>1</v>
      </c>
      <c r="O4762">
        <v>0</v>
      </c>
      <c r="P4762">
        <v>0</v>
      </c>
      <c r="Q4762">
        <v>0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0</v>
      </c>
      <c r="AC4762">
        <v>0</v>
      </c>
      <c r="AD4762">
        <v>0</v>
      </c>
      <c r="AE4762">
        <v>0</v>
      </c>
      <c r="AF4762">
        <v>0</v>
      </c>
      <c r="AG4762">
        <v>0</v>
      </c>
      <c r="AH4762">
        <v>0</v>
      </c>
      <c r="AI4762">
        <v>100</v>
      </c>
      <c r="AJ4762">
        <v>1</v>
      </c>
      <c r="AK4762">
        <v>0</v>
      </c>
      <c r="AL4762">
        <v>0</v>
      </c>
      <c r="AM4762">
        <v>100</v>
      </c>
      <c r="AN4762">
        <v>0</v>
      </c>
      <c r="AO4762">
        <v>0</v>
      </c>
      <c r="AP4762">
        <v>0</v>
      </c>
      <c r="AQ4762">
        <v>0</v>
      </c>
      <c r="AS4762">
        <v>0</v>
      </c>
      <c r="AT4762">
        <v>0</v>
      </c>
      <c r="AV4762">
        <v>0</v>
      </c>
      <c r="AW4762">
        <v>0</v>
      </c>
      <c r="AY4762">
        <v>0</v>
      </c>
      <c r="AZ4762">
        <v>0</v>
      </c>
      <c r="BA4762">
        <v>70</v>
      </c>
      <c r="BE4762" t="str">
        <f>T("9791137017245")</f>
        <v>9791137017245</v>
      </c>
      <c r="BF4762" t="str">
        <f>T("k150191")</f>
        <v>k150191</v>
      </c>
      <c r="BG4762" t="str">
        <f>T("판타지 웹소설 &gt; 퓨전 판타지")</f>
        <v>판타지 웹소설 &gt; 퓨전 판타지</v>
      </c>
    </row>
    <row r="4763" spans="1:59">
      <c r="A4763" t="s">
        <v>60</v>
      </c>
      <c r="B4763" s="1">
        <v>46129</v>
      </c>
      <c r="C4763">
        <v>2378057438</v>
      </c>
      <c r="D4763">
        <v>2378057818</v>
      </c>
      <c r="E4763" t="str">
        <f>T("재벌에서 광복군까지 163화")</f>
        <v>재벌에서 광복군까지 163화</v>
      </c>
      <c r="F4763">
        <v>163</v>
      </c>
      <c r="G4763" t="str">
        <f>T("빛나는구름")</f>
        <v>빛나는구름</v>
      </c>
      <c r="J4763" t="str">
        <f>T("사이렌")</f>
        <v>사이렌</v>
      </c>
      <c r="K4763" t="str">
        <f>T("재벌에서 광복군까지")</f>
        <v>재벌에서 광복군까지</v>
      </c>
      <c r="L4763">
        <v>100</v>
      </c>
      <c r="M4763">
        <v>100</v>
      </c>
      <c r="N4763">
        <v>1</v>
      </c>
      <c r="O4763">
        <v>0</v>
      </c>
      <c r="P4763">
        <v>0</v>
      </c>
      <c r="Q4763">
        <v>0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0</v>
      </c>
      <c r="AC4763">
        <v>0</v>
      </c>
      <c r="AD4763">
        <v>0</v>
      </c>
      <c r="AE4763">
        <v>0</v>
      </c>
      <c r="AF4763">
        <v>0</v>
      </c>
      <c r="AG4763">
        <v>0</v>
      </c>
      <c r="AH4763">
        <v>0</v>
      </c>
      <c r="AI4763">
        <v>100</v>
      </c>
      <c r="AJ4763">
        <v>1</v>
      </c>
      <c r="AK4763">
        <v>0</v>
      </c>
      <c r="AL4763">
        <v>0</v>
      </c>
      <c r="AM4763">
        <v>100</v>
      </c>
      <c r="AN4763">
        <v>0</v>
      </c>
      <c r="AO4763">
        <v>0</v>
      </c>
      <c r="AP4763">
        <v>0</v>
      </c>
      <c r="AQ4763">
        <v>0</v>
      </c>
      <c r="AS4763">
        <v>0</v>
      </c>
      <c r="AT4763">
        <v>0</v>
      </c>
      <c r="AV4763">
        <v>0</v>
      </c>
      <c r="AW4763">
        <v>0</v>
      </c>
      <c r="AY4763">
        <v>0</v>
      </c>
      <c r="AZ4763">
        <v>0</v>
      </c>
      <c r="BA4763">
        <v>70</v>
      </c>
      <c r="BE4763" t="str">
        <f>T("9791137017245")</f>
        <v>9791137017245</v>
      </c>
      <c r="BF4763" t="str">
        <f>T("k150192")</f>
        <v>k150192</v>
      </c>
      <c r="BG4763" t="str">
        <f>T("판타지 웹소설 &gt; 퓨전 판타지")</f>
        <v>판타지 웹소설 &gt; 퓨전 판타지</v>
      </c>
    </row>
    <row r="4764" spans="1:59">
      <c r="A4764" t="s">
        <v>60</v>
      </c>
      <c r="B4764" s="1">
        <v>46129</v>
      </c>
      <c r="C4764">
        <v>2378057438</v>
      </c>
      <c r="D4764">
        <v>2378057972</v>
      </c>
      <c r="E4764" t="str">
        <f>T("재벌에서 광복군까지 164화")</f>
        <v>재벌에서 광복군까지 164화</v>
      </c>
      <c r="F4764">
        <v>164</v>
      </c>
      <c r="G4764" t="str">
        <f>T("빛나는구름")</f>
        <v>빛나는구름</v>
      </c>
      <c r="J4764" t="str">
        <f>T("사이렌")</f>
        <v>사이렌</v>
      </c>
      <c r="K4764" t="str">
        <f>T("재벌에서 광복군까지")</f>
        <v>재벌에서 광복군까지</v>
      </c>
      <c r="L4764">
        <v>100</v>
      </c>
      <c r="M4764">
        <v>100</v>
      </c>
      <c r="N4764">
        <v>1</v>
      </c>
      <c r="O4764">
        <v>0</v>
      </c>
      <c r="P4764">
        <v>0</v>
      </c>
      <c r="Q4764">
        <v>0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0</v>
      </c>
      <c r="AC4764">
        <v>0</v>
      </c>
      <c r="AD4764">
        <v>0</v>
      </c>
      <c r="AE4764">
        <v>0</v>
      </c>
      <c r="AF4764">
        <v>0</v>
      </c>
      <c r="AG4764">
        <v>0</v>
      </c>
      <c r="AH4764">
        <v>0</v>
      </c>
      <c r="AI4764">
        <v>100</v>
      </c>
      <c r="AJ4764">
        <v>1</v>
      </c>
      <c r="AK4764">
        <v>0</v>
      </c>
      <c r="AL4764">
        <v>0</v>
      </c>
      <c r="AM4764">
        <v>100</v>
      </c>
      <c r="AN4764">
        <v>0</v>
      </c>
      <c r="AO4764">
        <v>0</v>
      </c>
      <c r="AP4764">
        <v>0</v>
      </c>
      <c r="AQ4764">
        <v>0</v>
      </c>
      <c r="AS4764">
        <v>0</v>
      </c>
      <c r="AT4764">
        <v>0</v>
      </c>
      <c r="AV4764">
        <v>0</v>
      </c>
      <c r="AW4764">
        <v>0</v>
      </c>
      <c r="AY4764">
        <v>0</v>
      </c>
      <c r="AZ4764">
        <v>0</v>
      </c>
      <c r="BA4764">
        <v>70</v>
      </c>
      <c r="BE4764" t="str">
        <f>T("9791137017245")</f>
        <v>9791137017245</v>
      </c>
      <c r="BF4764" t="str">
        <f>T("k150193")</f>
        <v>k150193</v>
      </c>
      <c r="BG4764" t="str">
        <f>T("판타지 웹소설 &gt; 퓨전 판타지")</f>
        <v>판타지 웹소설 &gt; 퓨전 판타지</v>
      </c>
    </row>
    <row r="4765" spans="1:59">
      <c r="A4765" t="s">
        <v>60</v>
      </c>
      <c r="B4765" s="1">
        <v>46129</v>
      </c>
      <c r="C4765">
        <v>2378057438</v>
      </c>
      <c r="D4765">
        <v>2378057973</v>
      </c>
      <c r="E4765" t="str">
        <f>T("재벌에서 광복군까지 165화")</f>
        <v>재벌에서 광복군까지 165화</v>
      </c>
      <c r="F4765">
        <v>165</v>
      </c>
      <c r="G4765" t="str">
        <f>T("빛나는구름")</f>
        <v>빛나는구름</v>
      </c>
      <c r="J4765" t="str">
        <f>T("사이렌")</f>
        <v>사이렌</v>
      </c>
      <c r="K4765" t="str">
        <f>T("재벌에서 광복군까지")</f>
        <v>재벌에서 광복군까지</v>
      </c>
      <c r="L4765">
        <v>100</v>
      </c>
      <c r="M4765">
        <v>100</v>
      </c>
      <c r="N4765">
        <v>1</v>
      </c>
      <c r="O4765">
        <v>0</v>
      </c>
      <c r="P4765">
        <v>0</v>
      </c>
      <c r="Q4765">
        <v>0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0</v>
      </c>
      <c r="AC4765">
        <v>0</v>
      </c>
      <c r="AD4765">
        <v>0</v>
      </c>
      <c r="AE4765">
        <v>0</v>
      </c>
      <c r="AF4765">
        <v>0</v>
      </c>
      <c r="AG4765">
        <v>0</v>
      </c>
      <c r="AH4765">
        <v>0</v>
      </c>
      <c r="AI4765">
        <v>100</v>
      </c>
      <c r="AJ4765">
        <v>1</v>
      </c>
      <c r="AK4765">
        <v>0</v>
      </c>
      <c r="AL4765">
        <v>0</v>
      </c>
      <c r="AM4765">
        <v>100</v>
      </c>
      <c r="AN4765">
        <v>0</v>
      </c>
      <c r="AO4765">
        <v>0</v>
      </c>
      <c r="AP4765">
        <v>0</v>
      </c>
      <c r="AQ4765">
        <v>0</v>
      </c>
      <c r="AS4765">
        <v>0</v>
      </c>
      <c r="AT4765">
        <v>0</v>
      </c>
      <c r="AV4765">
        <v>0</v>
      </c>
      <c r="AW4765">
        <v>0</v>
      </c>
      <c r="AY4765">
        <v>0</v>
      </c>
      <c r="AZ4765">
        <v>0</v>
      </c>
      <c r="BA4765">
        <v>70</v>
      </c>
      <c r="BE4765" t="str">
        <f>T("9791137017245")</f>
        <v>9791137017245</v>
      </c>
      <c r="BF4765" t="str">
        <f>T("k150194")</f>
        <v>k150194</v>
      </c>
      <c r="BG4765" t="str">
        <f>T("판타지 웹소설 &gt; 퓨전 판타지")</f>
        <v>판타지 웹소설 &gt; 퓨전 판타지</v>
      </c>
    </row>
    <row r="4766" spans="1:59">
      <c r="A4766" t="s">
        <v>60</v>
      </c>
      <c r="B4766" s="1">
        <v>46129</v>
      </c>
      <c r="C4766">
        <v>2378057438</v>
      </c>
      <c r="D4766">
        <v>2378057974</v>
      </c>
      <c r="E4766" t="str">
        <f>T("재벌에서 광복군까지 166화")</f>
        <v>재벌에서 광복군까지 166화</v>
      </c>
      <c r="F4766">
        <v>166</v>
      </c>
      <c r="G4766" t="str">
        <f>T("빛나는구름")</f>
        <v>빛나는구름</v>
      </c>
      <c r="J4766" t="str">
        <f>T("사이렌")</f>
        <v>사이렌</v>
      </c>
      <c r="K4766" t="str">
        <f>T("재벌에서 광복군까지")</f>
        <v>재벌에서 광복군까지</v>
      </c>
      <c r="L4766">
        <v>100</v>
      </c>
      <c r="M4766">
        <v>100</v>
      </c>
      <c r="N4766">
        <v>1</v>
      </c>
      <c r="O4766">
        <v>0</v>
      </c>
      <c r="P4766">
        <v>0</v>
      </c>
      <c r="Q4766">
        <v>0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0</v>
      </c>
      <c r="AC4766">
        <v>0</v>
      </c>
      <c r="AD4766">
        <v>0</v>
      </c>
      <c r="AE4766">
        <v>0</v>
      </c>
      <c r="AF4766">
        <v>0</v>
      </c>
      <c r="AG4766">
        <v>0</v>
      </c>
      <c r="AH4766">
        <v>0</v>
      </c>
      <c r="AI4766">
        <v>100</v>
      </c>
      <c r="AJ4766">
        <v>1</v>
      </c>
      <c r="AK4766">
        <v>0</v>
      </c>
      <c r="AL4766">
        <v>0</v>
      </c>
      <c r="AM4766">
        <v>100</v>
      </c>
      <c r="AN4766">
        <v>0</v>
      </c>
      <c r="AO4766">
        <v>0</v>
      </c>
      <c r="AP4766">
        <v>0</v>
      </c>
      <c r="AQ4766">
        <v>0</v>
      </c>
      <c r="AS4766">
        <v>0</v>
      </c>
      <c r="AT4766">
        <v>0</v>
      </c>
      <c r="AV4766">
        <v>0</v>
      </c>
      <c r="AW4766">
        <v>0</v>
      </c>
      <c r="AY4766">
        <v>0</v>
      </c>
      <c r="AZ4766">
        <v>0</v>
      </c>
      <c r="BA4766">
        <v>70</v>
      </c>
      <c r="BE4766" t="str">
        <f>T("9791137017245")</f>
        <v>9791137017245</v>
      </c>
      <c r="BF4766" t="str">
        <f>T("k150195")</f>
        <v>k150195</v>
      </c>
      <c r="BG4766" t="str">
        <f>T("판타지 웹소설 &gt; 퓨전 판타지")</f>
        <v>판타지 웹소설 &gt; 퓨전 판타지</v>
      </c>
    </row>
    <row r="4767" spans="1:59">
      <c r="A4767" t="s">
        <v>60</v>
      </c>
      <c r="B4767" s="1">
        <v>46129</v>
      </c>
      <c r="C4767">
        <v>2378057438</v>
      </c>
      <c r="D4767">
        <v>2378057975</v>
      </c>
      <c r="E4767" t="str">
        <f>T("재벌에서 광복군까지 167화")</f>
        <v>재벌에서 광복군까지 167화</v>
      </c>
      <c r="F4767">
        <v>167</v>
      </c>
      <c r="G4767" t="str">
        <f>T("빛나는구름")</f>
        <v>빛나는구름</v>
      </c>
      <c r="J4767" t="str">
        <f>T("사이렌")</f>
        <v>사이렌</v>
      </c>
      <c r="K4767" t="str">
        <f>T("재벌에서 광복군까지")</f>
        <v>재벌에서 광복군까지</v>
      </c>
      <c r="L4767">
        <v>100</v>
      </c>
      <c r="M4767">
        <v>100</v>
      </c>
      <c r="N4767">
        <v>1</v>
      </c>
      <c r="O4767">
        <v>0</v>
      </c>
      <c r="P4767">
        <v>0</v>
      </c>
      <c r="Q4767">
        <v>0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0</v>
      </c>
      <c r="AC4767">
        <v>0</v>
      </c>
      <c r="AD4767">
        <v>0</v>
      </c>
      <c r="AE4767">
        <v>0</v>
      </c>
      <c r="AF4767">
        <v>0</v>
      </c>
      <c r="AG4767">
        <v>0</v>
      </c>
      <c r="AH4767">
        <v>0</v>
      </c>
      <c r="AI4767">
        <v>100</v>
      </c>
      <c r="AJ4767">
        <v>1</v>
      </c>
      <c r="AK4767">
        <v>0</v>
      </c>
      <c r="AL4767">
        <v>0</v>
      </c>
      <c r="AM4767">
        <v>100</v>
      </c>
      <c r="AN4767">
        <v>0</v>
      </c>
      <c r="AO4767">
        <v>0</v>
      </c>
      <c r="AP4767">
        <v>0</v>
      </c>
      <c r="AQ4767">
        <v>0</v>
      </c>
      <c r="AS4767">
        <v>0</v>
      </c>
      <c r="AT4767">
        <v>0</v>
      </c>
      <c r="AV4767">
        <v>0</v>
      </c>
      <c r="AW4767">
        <v>0</v>
      </c>
      <c r="AY4767">
        <v>0</v>
      </c>
      <c r="AZ4767">
        <v>0</v>
      </c>
      <c r="BA4767">
        <v>70</v>
      </c>
      <c r="BE4767" t="str">
        <f>T("9791137017245")</f>
        <v>9791137017245</v>
      </c>
      <c r="BF4767" t="str">
        <f>T("k150196")</f>
        <v>k150196</v>
      </c>
      <c r="BG4767" t="str">
        <f>T("판타지 웹소설 &gt; 퓨전 판타지")</f>
        <v>판타지 웹소설 &gt; 퓨전 판타지</v>
      </c>
    </row>
    <row r="4768" spans="1:59">
      <c r="A4768" t="s">
        <v>60</v>
      </c>
      <c r="B4768" s="1">
        <v>46129</v>
      </c>
      <c r="C4768">
        <v>2378057438</v>
      </c>
      <c r="D4768">
        <v>2378058079</v>
      </c>
      <c r="E4768" t="str">
        <f>T("재벌에서 광복군까지 168화")</f>
        <v>재벌에서 광복군까지 168화</v>
      </c>
      <c r="F4768">
        <v>168</v>
      </c>
      <c r="G4768" t="str">
        <f>T("빛나는구름")</f>
        <v>빛나는구름</v>
      </c>
      <c r="J4768" t="str">
        <f>T("사이렌")</f>
        <v>사이렌</v>
      </c>
      <c r="K4768" t="str">
        <f>T("재벌에서 광복군까지")</f>
        <v>재벌에서 광복군까지</v>
      </c>
      <c r="L4768">
        <v>100</v>
      </c>
      <c r="M4768">
        <v>100</v>
      </c>
      <c r="N4768">
        <v>1</v>
      </c>
      <c r="O4768">
        <v>0</v>
      </c>
      <c r="P4768">
        <v>0</v>
      </c>
      <c r="Q4768">
        <v>0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0</v>
      </c>
      <c r="AC4768">
        <v>0</v>
      </c>
      <c r="AD4768">
        <v>0</v>
      </c>
      <c r="AE4768">
        <v>0</v>
      </c>
      <c r="AF4768">
        <v>0</v>
      </c>
      <c r="AG4768">
        <v>0</v>
      </c>
      <c r="AH4768">
        <v>0</v>
      </c>
      <c r="AI4768">
        <v>100</v>
      </c>
      <c r="AJ4768">
        <v>1</v>
      </c>
      <c r="AK4768">
        <v>0</v>
      </c>
      <c r="AL4768">
        <v>0</v>
      </c>
      <c r="AM4768">
        <v>100</v>
      </c>
      <c r="AN4768">
        <v>0</v>
      </c>
      <c r="AO4768">
        <v>0</v>
      </c>
      <c r="AP4768">
        <v>0</v>
      </c>
      <c r="AQ4768">
        <v>0</v>
      </c>
      <c r="AS4768">
        <v>0</v>
      </c>
      <c r="AT4768">
        <v>0</v>
      </c>
      <c r="AV4768">
        <v>0</v>
      </c>
      <c r="AW4768">
        <v>0</v>
      </c>
      <c r="AY4768">
        <v>0</v>
      </c>
      <c r="AZ4768">
        <v>0</v>
      </c>
      <c r="BA4768">
        <v>70</v>
      </c>
      <c r="BE4768" t="str">
        <f>T("9791137017245")</f>
        <v>9791137017245</v>
      </c>
      <c r="BF4768" t="str">
        <f>T("k150197")</f>
        <v>k150197</v>
      </c>
      <c r="BG4768" t="str">
        <f>T("판타지 웹소설 &gt; 퓨전 판타지")</f>
        <v>판타지 웹소설 &gt; 퓨전 판타지</v>
      </c>
    </row>
    <row r="4769" spans="1:59">
      <c r="A4769" t="s">
        <v>60</v>
      </c>
      <c r="B4769" s="1">
        <v>46129</v>
      </c>
      <c r="C4769">
        <v>2378057438</v>
      </c>
      <c r="D4769">
        <v>2378058080</v>
      </c>
      <c r="E4769" t="str">
        <f>T("재벌에서 광복군까지 169화")</f>
        <v>재벌에서 광복군까지 169화</v>
      </c>
      <c r="F4769">
        <v>169</v>
      </c>
      <c r="G4769" t="str">
        <f>T("빛나는구름")</f>
        <v>빛나는구름</v>
      </c>
      <c r="J4769" t="str">
        <f>T("사이렌")</f>
        <v>사이렌</v>
      </c>
      <c r="K4769" t="str">
        <f>T("재벌에서 광복군까지")</f>
        <v>재벌에서 광복군까지</v>
      </c>
      <c r="L4769">
        <v>100</v>
      </c>
      <c r="M4769">
        <v>100</v>
      </c>
      <c r="N4769">
        <v>1</v>
      </c>
      <c r="O4769">
        <v>0</v>
      </c>
      <c r="P4769">
        <v>0</v>
      </c>
      <c r="Q4769">
        <v>0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0</v>
      </c>
      <c r="AC4769">
        <v>0</v>
      </c>
      <c r="AD4769">
        <v>0</v>
      </c>
      <c r="AE4769">
        <v>0</v>
      </c>
      <c r="AF4769">
        <v>0</v>
      </c>
      <c r="AG4769">
        <v>0</v>
      </c>
      <c r="AH4769">
        <v>0</v>
      </c>
      <c r="AI4769">
        <v>100</v>
      </c>
      <c r="AJ4769">
        <v>1</v>
      </c>
      <c r="AK4769">
        <v>0</v>
      </c>
      <c r="AL4769">
        <v>0</v>
      </c>
      <c r="AM4769">
        <v>100</v>
      </c>
      <c r="AN4769">
        <v>0</v>
      </c>
      <c r="AO4769">
        <v>0</v>
      </c>
      <c r="AP4769">
        <v>0</v>
      </c>
      <c r="AQ4769">
        <v>0</v>
      </c>
      <c r="AS4769">
        <v>0</v>
      </c>
      <c r="AT4769">
        <v>0</v>
      </c>
      <c r="AV4769">
        <v>0</v>
      </c>
      <c r="AW4769">
        <v>0</v>
      </c>
      <c r="AY4769">
        <v>0</v>
      </c>
      <c r="AZ4769">
        <v>0</v>
      </c>
      <c r="BA4769">
        <v>70</v>
      </c>
      <c r="BE4769" t="str">
        <f>T("9791137017245")</f>
        <v>9791137017245</v>
      </c>
      <c r="BF4769" t="str">
        <f>T("k150198")</f>
        <v>k150198</v>
      </c>
      <c r="BG4769" t="str">
        <f>T("판타지 웹소설 &gt; 퓨전 판타지")</f>
        <v>판타지 웹소설 &gt; 퓨전 판타지</v>
      </c>
    </row>
    <row r="4770" spans="1:59">
      <c r="A4770" t="s">
        <v>60</v>
      </c>
      <c r="B4770" s="1">
        <v>46129</v>
      </c>
      <c r="C4770">
        <v>2378057438</v>
      </c>
      <c r="D4770">
        <v>2378058081</v>
      </c>
      <c r="E4770" t="str">
        <f>T("재벌에서 광복군까지 170화")</f>
        <v>재벌에서 광복군까지 170화</v>
      </c>
      <c r="F4770">
        <v>170</v>
      </c>
      <c r="G4770" t="str">
        <f>T("빛나는구름")</f>
        <v>빛나는구름</v>
      </c>
      <c r="J4770" t="str">
        <f>T("사이렌")</f>
        <v>사이렌</v>
      </c>
      <c r="K4770" t="str">
        <f>T("재벌에서 광복군까지")</f>
        <v>재벌에서 광복군까지</v>
      </c>
      <c r="L4770">
        <v>100</v>
      </c>
      <c r="M4770">
        <v>100</v>
      </c>
      <c r="N4770">
        <v>1</v>
      </c>
      <c r="O4770">
        <v>0</v>
      </c>
      <c r="P4770">
        <v>0</v>
      </c>
      <c r="Q4770">
        <v>0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0</v>
      </c>
      <c r="AC4770">
        <v>0</v>
      </c>
      <c r="AD4770">
        <v>0</v>
      </c>
      <c r="AE4770">
        <v>0</v>
      </c>
      <c r="AF4770">
        <v>0</v>
      </c>
      <c r="AG4770">
        <v>0</v>
      </c>
      <c r="AH4770">
        <v>0</v>
      </c>
      <c r="AI4770">
        <v>100</v>
      </c>
      <c r="AJ4770">
        <v>1</v>
      </c>
      <c r="AK4770">
        <v>0</v>
      </c>
      <c r="AL4770">
        <v>0</v>
      </c>
      <c r="AM4770">
        <v>100</v>
      </c>
      <c r="AN4770">
        <v>0</v>
      </c>
      <c r="AO4770">
        <v>0</v>
      </c>
      <c r="AP4770">
        <v>0</v>
      </c>
      <c r="AQ4770">
        <v>0</v>
      </c>
      <c r="AS4770">
        <v>0</v>
      </c>
      <c r="AT4770">
        <v>0</v>
      </c>
      <c r="AV4770">
        <v>0</v>
      </c>
      <c r="AW4770">
        <v>0</v>
      </c>
      <c r="AY4770">
        <v>0</v>
      </c>
      <c r="AZ4770">
        <v>0</v>
      </c>
      <c r="BA4770">
        <v>70</v>
      </c>
      <c r="BE4770" t="str">
        <f>T("9791137017245")</f>
        <v>9791137017245</v>
      </c>
      <c r="BF4770" t="str">
        <f>T("k150199")</f>
        <v>k150199</v>
      </c>
      <c r="BG4770" t="str">
        <f>T("판타지 웹소설 &gt; 퓨전 판타지")</f>
        <v>판타지 웹소설 &gt; 퓨전 판타지</v>
      </c>
    </row>
    <row r="4771" spans="1:59">
      <c r="A4771" t="s">
        <v>60</v>
      </c>
      <c r="B4771" s="1">
        <v>46130</v>
      </c>
      <c r="C4771">
        <v>2378057438</v>
      </c>
      <c r="D4771">
        <v>2378058082</v>
      </c>
      <c r="E4771" t="str">
        <f>T("재벌에서 광복군까지 171화")</f>
        <v>재벌에서 광복군까지 171화</v>
      </c>
      <c r="F4771">
        <v>171</v>
      </c>
      <c r="G4771" t="str">
        <f>T("빛나는구름")</f>
        <v>빛나는구름</v>
      </c>
      <c r="J4771" t="str">
        <f>T("사이렌")</f>
        <v>사이렌</v>
      </c>
      <c r="K4771" t="str">
        <f>T("재벌에서 광복군까지")</f>
        <v>재벌에서 광복군까지</v>
      </c>
      <c r="L4771">
        <v>100</v>
      </c>
      <c r="M4771">
        <v>100</v>
      </c>
      <c r="N4771">
        <v>1</v>
      </c>
      <c r="O4771">
        <v>0</v>
      </c>
      <c r="P4771">
        <v>0</v>
      </c>
      <c r="Q4771">
        <v>0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0</v>
      </c>
      <c r="AC4771">
        <v>0</v>
      </c>
      <c r="AD4771">
        <v>0</v>
      </c>
      <c r="AE4771">
        <v>0</v>
      </c>
      <c r="AF4771">
        <v>0</v>
      </c>
      <c r="AG4771">
        <v>0</v>
      </c>
      <c r="AH4771">
        <v>0</v>
      </c>
      <c r="AI4771">
        <v>100</v>
      </c>
      <c r="AJ4771">
        <v>1</v>
      </c>
      <c r="AK4771">
        <v>0</v>
      </c>
      <c r="AL4771">
        <v>0</v>
      </c>
      <c r="AM4771">
        <v>100</v>
      </c>
      <c r="AN4771">
        <v>0</v>
      </c>
      <c r="AO4771">
        <v>0</v>
      </c>
      <c r="AP4771">
        <v>0</v>
      </c>
      <c r="AQ4771">
        <v>0</v>
      </c>
      <c r="AS4771">
        <v>0</v>
      </c>
      <c r="AT4771">
        <v>0</v>
      </c>
      <c r="AV4771">
        <v>0</v>
      </c>
      <c r="AW4771">
        <v>0</v>
      </c>
      <c r="AY4771">
        <v>0</v>
      </c>
      <c r="AZ4771">
        <v>0</v>
      </c>
      <c r="BA4771">
        <v>70</v>
      </c>
      <c r="BE4771" t="str">
        <f>T("9791137017245")</f>
        <v>9791137017245</v>
      </c>
      <c r="BF4771" t="str">
        <f>T("k150200")</f>
        <v>k150200</v>
      </c>
      <c r="BG4771" t="str">
        <f>T("판타지 웹소설 &gt; 퓨전 판타지")</f>
        <v>판타지 웹소설 &gt; 퓨전 판타지</v>
      </c>
    </row>
    <row r="4772" spans="1:59">
      <c r="A4772" t="s">
        <v>60</v>
      </c>
      <c r="B4772" s="1">
        <v>46130</v>
      </c>
      <c r="C4772">
        <v>2378057438</v>
      </c>
      <c r="D4772">
        <v>2378058083</v>
      </c>
      <c r="E4772" t="str">
        <f>T("재벌에서 광복군까지 172화")</f>
        <v>재벌에서 광복군까지 172화</v>
      </c>
      <c r="F4772">
        <v>172</v>
      </c>
      <c r="G4772" t="str">
        <f>T("빛나는구름")</f>
        <v>빛나는구름</v>
      </c>
      <c r="J4772" t="str">
        <f>T("사이렌")</f>
        <v>사이렌</v>
      </c>
      <c r="K4772" t="str">
        <f>T("재벌에서 광복군까지")</f>
        <v>재벌에서 광복군까지</v>
      </c>
      <c r="L4772">
        <v>100</v>
      </c>
      <c r="M4772">
        <v>100</v>
      </c>
      <c r="N4772">
        <v>1</v>
      </c>
      <c r="O4772">
        <v>0</v>
      </c>
      <c r="P4772">
        <v>0</v>
      </c>
      <c r="Q4772">
        <v>0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0</v>
      </c>
      <c r="AC4772">
        <v>0</v>
      </c>
      <c r="AD4772">
        <v>0</v>
      </c>
      <c r="AE4772">
        <v>0</v>
      </c>
      <c r="AF4772">
        <v>0</v>
      </c>
      <c r="AG4772">
        <v>0</v>
      </c>
      <c r="AH4772">
        <v>0</v>
      </c>
      <c r="AI4772">
        <v>100</v>
      </c>
      <c r="AJ4772">
        <v>1</v>
      </c>
      <c r="AK4772">
        <v>0</v>
      </c>
      <c r="AL4772">
        <v>0</v>
      </c>
      <c r="AM4772">
        <v>100</v>
      </c>
      <c r="AN4772">
        <v>0</v>
      </c>
      <c r="AO4772">
        <v>0</v>
      </c>
      <c r="AP4772">
        <v>0</v>
      </c>
      <c r="AQ4772">
        <v>0</v>
      </c>
      <c r="AS4772">
        <v>0</v>
      </c>
      <c r="AT4772">
        <v>0</v>
      </c>
      <c r="AV4772">
        <v>0</v>
      </c>
      <c r="AW4772">
        <v>0</v>
      </c>
      <c r="AY4772">
        <v>0</v>
      </c>
      <c r="AZ4772">
        <v>0</v>
      </c>
      <c r="BA4772">
        <v>70</v>
      </c>
      <c r="BE4772" t="str">
        <f>T("9791137017245")</f>
        <v>9791137017245</v>
      </c>
      <c r="BG4772" t="str">
        <f>T("판타지 웹소설 &gt; 퓨전 판타지")</f>
        <v>판타지 웹소설 &gt; 퓨전 판타지</v>
      </c>
    </row>
    <row r="4773" spans="1:59">
      <c r="A4773" t="s">
        <v>60</v>
      </c>
      <c r="B4773" s="1">
        <v>46130</v>
      </c>
      <c r="C4773">
        <v>2378057438</v>
      </c>
      <c r="D4773">
        <v>2378058084</v>
      </c>
      <c r="E4773" t="str">
        <f>T("재벌에서 광복군까지 173화")</f>
        <v>재벌에서 광복군까지 173화</v>
      </c>
      <c r="F4773">
        <v>173</v>
      </c>
      <c r="G4773" t="str">
        <f>T("빛나는구름")</f>
        <v>빛나는구름</v>
      </c>
      <c r="J4773" t="str">
        <f>T("사이렌")</f>
        <v>사이렌</v>
      </c>
      <c r="K4773" t="str">
        <f>T("재벌에서 광복군까지")</f>
        <v>재벌에서 광복군까지</v>
      </c>
      <c r="L4773">
        <v>100</v>
      </c>
      <c r="M4773">
        <v>100</v>
      </c>
      <c r="N4773">
        <v>1</v>
      </c>
      <c r="O4773">
        <v>0</v>
      </c>
      <c r="P4773">
        <v>0</v>
      </c>
      <c r="Q4773">
        <v>0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0</v>
      </c>
      <c r="AC4773">
        <v>0</v>
      </c>
      <c r="AD4773">
        <v>0</v>
      </c>
      <c r="AE4773">
        <v>0</v>
      </c>
      <c r="AF4773">
        <v>0</v>
      </c>
      <c r="AG4773">
        <v>0</v>
      </c>
      <c r="AH4773">
        <v>0</v>
      </c>
      <c r="AI4773">
        <v>100</v>
      </c>
      <c r="AJ4773">
        <v>1</v>
      </c>
      <c r="AK4773">
        <v>0</v>
      </c>
      <c r="AL4773">
        <v>0</v>
      </c>
      <c r="AM4773">
        <v>100</v>
      </c>
      <c r="AN4773">
        <v>0</v>
      </c>
      <c r="AO4773">
        <v>0</v>
      </c>
      <c r="AP4773">
        <v>0</v>
      </c>
      <c r="AQ4773">
        <v>0</v>
      </c>
      <c r="AS4773">
        <v>0</v>
      </c>
      <c r="AT4773">
        <v>0</v>
      </c>
      <c r="AV4773">
        <v>0</v>
      </c>
      <c r="AW4773">
        <v>0</v>
      </c>
      <c r="AY4773">
        <v>0</v>
      </c>
      <c r="AZ4773">
        <v>0</v>
      </c>
      <c r="BA4773">
        <v>70</v>
      </c>
      <c r="BE4773" t="str">
        <f>T("9791137017245")</f>
        <v>9791137017245</v>
      </c>
      <c r="BF4773" t="str">
        <f>T("k150202")</f>
        <v>k150202</v>
      </c>
      <c r="BG4773" t="str">
        <f>T("판타지 웹소설 &gt; 퓨전 판타지")</f>
        <v>판타지 웹소설 &gt; 퓨전 판타지</v>
      </c>
    </row>
    <row r="4774" spans="1:59">
      <c r="A4774" t="s">
        <v>60</v>
      </c>
      <c r="B4774" s="1">
        <v>46130</v>
      </c>
      <c r="C4774">
        <v>2378057438</v>
      </c>
      <c r="D4774">
        <v>2378058085</v>
      </c>
      <c r="E4774" t="str">
        <f>T("재벌에서 광복군까지 174화")</f>
        <v>재벌에서 광복군까지 174화</v>
      </c>
      <c r="F4774">
        <v>174</v>
      </c>
      <c r="G4774" t="str">
        <f>T("빛나는구름")</f>
        <v>빛나는구름</v>
      </c>
      <c r="J4774" t="str">
        <f>T("사이렌")</f>
        <v>사이렌</v>
      </c>
      <c r="K4774" t="str">
        <f>T("재벌에서 광복군까지")</f>
        <v>재벌에서 광복군까지</v>
      </c>
      <c r="L4774">
        <v>100</v>
      </c>
      <c r="M4774">
        <v>100</v>
      </c>
      <c r="N4774">
        <v>1</v>
      </c>
      <c r="O4774">
        <v>0</v>
      </c>
      <c r="P4774">
        <v>0</v>
      </c>
      <c r="Q4774">
        <v>0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0</v>
      </c>
      <c r="AC4774">
        <v>0</v>
      </c>
      <c r="AD4774">
        <v>0</v>
      </c>
      <c r="AE4774">
        <v>0</v>
      </c>
      <c r="AF4774">
        <v>0</v>
      </c>
      <c r="AG4774">
        <v>0</v>
      </c>
      <c r="AH4774">
        <v>0</v>
      </c>
      <c r="AI4774">
        <v>100</v>
      </c>
      <c r="AJ4774">
        <v>1</v>
      </c>
      <c r="AK4774">
        <v>0</v>
      </c>
      <c r="AL4774">
        <v>0</v>
      </c>
      <c r="AM4774">
        <v>100</v>
      </c>
      <c r="AN4774">
        <v>0</v>
      </c>
      <c r="AO4774">
        <v>0</v>
      </c>
      <c r="AP4774">
        <v>0</v>
      </c>
      <c r="AQ4774">
        <v>0</v>
      </c>
      <c r="AS4774">
        <v>0</v>
      </c>
      <c r="AT4774">
        <v>0</v>
      </c>
      <c r="AV4774">
        <v>0</v>
      </c>
      <c r="AW4774">
        <v>0</v>
      </c>
      <c r="AY4774">
        <v>0</v>
      </c>
      <c r="AZ4774">
        <v>0</v>
      </c>
      <c r="BA4774">
        <v>70</v>
      </c>
      <c r="BE4774" t="str">
        <f>T("9791137017245")</f>
        <v>9791137017245</v>
      </c>
      <c r="BF4774" t="str">
        <f>T("k150203")</f>
        <v>k150203</v>
      </c>
      <c r="BG4774" t="str">
        <f>T("판타지 웹소설 &gt; 퓨전 판타지")</f>
        <v>판타지 웹소설 &gt; 퓨전 판타지</v>
      </c>
    </row>
    <row r="4775" spans="1:59">
      <c r="A4775" t="s">
        <v>60</v>
      </c>
      <c r="B4775" s="1">
        <v>46130</v>
      </c>
      <c r="C4775">
        <v>2378057438</v>
      </c>
      <c r="D4775">
        <v>2378058363</v>
      </c>
      <c r="E4775" t="str">
        <f>T("재벌에서 광복군까지 175화")</f>
        <v>재벌에서 광복군까지 175화</v>
      </c>
      <c r="F4775">
        <v>175</v>
      </c>
      <c r="G4775" t="str">
        <f>T("빛나는구름")</f>
        <v>빛나는구름</v>
      </c>
      <c r="J4775" t="str">
        <f>T("사이렌")</f>
        <v>사이렌</v>
      </c>
      <c r="K4775" t="str">
        <f>T("재벌에서 광복군까지")</f>
        <v>재벌에서 광복군까지</v>
      </c>
      <c r="L4775">
        <v>100</v>
      </c>
      <c r="M4775">
        <v>100</v>
      </c>
      <c r="N4775">
        <v>1</v>
      </c>
      <c r="O4775">
        <v>0</v>
      </c>
      <c r="P4775">
        <v>0</v>
      </c>
      <c r="Q4775">
        <v>0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0</v>
      </c>
      <c r="AC4775">
        <v>0</v>
      </c>
      <c r="AD4775">
        <v>0</v>
      </c>
      <c r="AE4775">
        <v>0</v>
      </c>
      <c r="AF4775">
        <v>0</v>
      </c>
      <c r="AG4775">
        <v>0</v>
      </c>
      <c r="AH4775">
        <v>0</v>
      </c>
      <c r="AI4775">
        <v>100</v>
      </c>
      <c r="AJ4775">
        <v>1</v>
      </c>
      <c r="AK4775">
        <v>0</v>
      </c>
      <c r="AL4775">
        <v>0</v>
      </c>
      <c r="AM4775">
        <v>100</v>
      </c>
      <c r="AN4775">
        <v>0</v>
      </c>
      <c r="AO4775">
        <v>0</v>
      </c>
      <c r="AP4775">
        <v>0</v>
      </c>
      <c r="AQ4775">
        <v>0</v>
      </c>
      <c r="AS4775">
        <v>0</v>
      </c>
      <c r="AT4775">
        <v>0</v>
      </c>
      <c r="AV4775">
        <v>0</v>
      </c>
      <c r="AW4775">
        <v>0</v>
      </c>
      <c r="AY4775">
        <v>0</v>
      </c>
      <c r="AZ4775">
        <v>0</v>
      </c>
      <c r="BA4775">
        <v>70</v>
      </c>
      <c r="BE4775" t="str">
        <f>T("9791137017245")</f>
        <v>9791137017245</v>
      </c>
      <c r="BF4775" t="str">
        <f>T("k150204")</f>
        <v>k150204</v>
      </c>
      <c r="BG4775" t="str">
        <f>T("판타지 웹소설 &gt; 퓨전 판타지")</f>
        <v>판타지 웹소설 &gt; 퓨전 판타지</v>
      </c>
    </row>
    <row r="4776" spans="1:59">
      <c r="A4776" t="s">
        <v>60</v>
      </c>
      <c r="B4776" s="1">
        <v>46130</v>
      </c>
      <c r="C4776">
        <v>2378057438</v>
      </c>
      <c r="D4776">
        <v>2378058364</v>
      </c>
      <c r="E4776" t="str">
        <f>T("재벌에서 광복군까지 176화")</f>
        <v>재벌에서 광복군까지 176화</v>
      </c>
      <c r="F4776">
        <v>176</v>
      </c>
      <c r="G4776" t="str">
        <f>T("빛나는구름")</f>
        <v>빛나는구름</v>
      </c>
      <c r="J4776" t="str">
        <f>T("사이렌")</f>
        <v>사이렌</v>
      </c>
      <c r="K4776" t="str">
        <f>T("재벌에서 광복군까지")</f>
        <v>재벌에서 광복군까지</v>
      </c>
      <c r="L4776">
        <v>100</v>
      </c>
      <c r="M4776">
        <v>100</v>
      </c>
      <c r="N4776">
        <v>1</v>
      </c>
      <c r="O4776">
        <v>0</v>
      </c>
      <c r="P4776">
        <v>0</v>
      </c>
      <c r="Q4776">
        <v>0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0</v>
      </c>
      <c r="AC4776">
        <v>0</v>
      </c>
      <c r="AD4776">
        <v>0</v>
      </c>
      <c r="AE4776">
        <v>0</v>
      </c>
      <c r="AF4776">
        <v>0</v>
      </c>
      <c r="AG4776">
        <v>0</v>
      </c>
      <c r="AH4776">
        <v>0</v>
      </c>
      <c r="AI4776">
        <v>100</v>
      </c>
      <c r="AJ4776">
        <v>1</v>
      </c>
      <c r="AK4776">
        <v>0</v>
      </c>
      <c r="AL4776">
        <v>0</v>
      </c>
      <c r="AM4776">
        <v>100</v>
      </c>
      <c r="AN4776">
        <v>0</v>
      </c>
      <c r="AO4776">
        <v>0</v>
      </c>
      <c r="AP4776">
        <v>0</v>
      </c>
      <c r="AQ4776">
        <v>0</v>
      </c>
      <c r="AS4776">
        <v>0</v>
      </c>
      <c r="AT4776">
        <v>0</v>
      </c>
      <c r="AV4776">
        <v>0</v>
      </c>
      <c r="AW4776">
        <v>0</v>
      </c>
      <c r="AY4776">
        <v>0</v>
      </c>
      <c r="AZ4776">
        <v>0</v>
      </c>
      <c r="BA4776">
        <v>70</v>
      </c>
      <c r="BE4776" t="str">
        <f>T("9791137017245")</f>
        <v>9791137017245</v>
      </c>
      <c r="BF4776" t="str">
        <f>T("k150205")</f>
        <v>k150205</v>
      </c>
      <c r="BG4776" t="str">
        <f>T("판타지 웹소설 &gt; 퓨전 판타지")</f>
        <v>판타지 웹소설 &gt; 퓨전 판타지</v>
      </c>
    </row>
    <row r="4777" spans="1:59">
      <c r="A4777" t="s">
        <v>60</v>
      </c>
      <c r="B4777" s="1">
        <v>46130</v>
      </c>
      <c r="C4777">
        <v>2378057438</v>
      </c>
      <c r="D4777">
        <v>2378058479</v>
      </c>
      <c r="E4777" t="str">
        <f>T("재벌에서 광복군까지 187화")</f>
        <v>재벌에서 광복군까지 187화</v>
      </c>
      <c r="F4777">
        <v>187</v>
      </c>
      <c r="G4777" t="str">
        <f>T("빛나는구름")</f>
        <v>빛나는구름</v>
      </c>
      <c r="J4777" t="str">
        <f>T("사이렌")</f>
        <v>사이렌</v>
      </c>
      <c r="K4777" t="str">
        <f>T("재벌에서 광복군까지")</f>
        <v>재벌에서 광복군까지</v>
      </c>
      <c r="L4777">
        <v>100</v>
      </c>
      <c r="M4777">
        <v>100</v>
      </c>
      <c r="N4777">
        <v>1</v>
      </c>
      <c r="O4777">
        <v>0</v>
      </c>
      <c r="P4777">
        <v>0</v>
      </c>
      <c r="Q4777">
        <v>0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0</v>
      </c>
      <c r="AC4777">
        <v>0</v>
      </c>
      <c r="AD4777">
        <v>0</v>
      </c>
      <c r="AE4777">
        <v>0</v>
      </c>
      <c r="AF4777">
        <v>0</v>
      </c>
      <c r="AG4777">
        <v>0</v>
      </c>
      <c r="AH4777">
        <v>0</v>
      </c>
      <c r="AI4777">
        <v>100</v>
      </c>
      <c r="AJ4777">
        <v>1</v>
      </c>
      <c r="AK4777">
        <v>0</v>
      </c>
      <c r="AL4777">
        <v>0</v>
      </c>
      <c r="AM4777">
        <v>100</v>
      </c>
      <c r="AN4777">
        <v>0</v>
      </c>
      <c r="AO4777">
        <v>0</v>
      </c>
      <c r="AP4777">
        <v>0</v>
      </c>
      <c r="AQ4777">
        <v>0</v>
      </c>
      <c r="AS4777">
        <v>0</v>
      </c>
      <c r="AT4777">
        <v>0</v>
      </c>
      <c r="AV4777">
        <v>0</v>
      </c>
      <c r="AW4777">
        <v>0</v>
      </c>
      <c r="AY4777">
        <v>0</v>
      </c>
      <c r="AZ4777">
        <v>0</v>
      </c>
      <c r="BA4777">
        <v>70</v>
      </c>
      <c r="BE4777" t="str">
        <f>T("9791137017245")</f>
        <v>9791137017245</v>
      </c>
      <c r="BF4777" t="str">
        <f>T("k150216")</f>
        <v>k150216</v>
      </c>
      <c r="BG4777" t="str">
        <f>T("판타지 웹소설 &gt; 퓨전 판타지")</f>
        <v>판타지 웹소설 &gt; 퓨전 판타지</v>
      </c>
    </row>
    <row r="4778" spans="1:59">
      <c r="A4778" t="s">
        <v>60</v>
      </c>
      <c r="B4778" s="1">
        <v>46130</v>
      </c>
      <c r="C4778">
        <v>2378057438</v>
      </c>
      <c r="D4778">
        <v>2378058480</v>
      </c>
      <c r="E4778" t="str">
        <f>T("재벌에서 광복군까지 188화")</f>
        <v>재벌에서 광복군까지 188화</v>
      </c>
      <c r="F4778">
        <v>188</v>
      </c>
      <c r="G4778" t="str">
        <f>T("빛나는구름")</f>
        <v>빛나는구름</v>
      </c>
      <c r="J4778" t="str">
        <f>T("사이렌")</f>
        <v>사이렌</v>
      </c>
      <c r="K4778" t="str">
        <f>T("재벌에서 광복군까지")</f>
        <v>재벌에서 광복군까지</v>
      </c>
      <c r="L4778">
        <v>100</v>
      </c>
      <c r="M4778">
        <v>100</v>
      </c>
      <c r="N4778">
        <v>1</v>
      </c>
      <c r="O4778">
        <v>0</v>
      </c>
      <c r="P4778">
        <v>0</v>
      </c>
      <c r="Q4778">
        <v>0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0</v>
      </c>
      <c r="AC4778">
        <v>0</v>
      </c>
      <c r="AD4778">
        <v>0</v>
      </c>
      <c r="AE4778">
        <v>0</v>
      </c>
      <c r="AF4778">
        <v>0</v>
      </c>
      <c r="AG4778">
        <v>0</v>
      </c>
      <c r="AH4778">
        <v>0</v>
      </c>
      <c r="AI4778">
        <v>100</v>
      </c>
      <c r="AJ4778">
        <v>1</v>
      </c>
      <c r="AK4778">
        <v>0</v>
      </c>
      <c r="AL4778">
        <v>0</v>
      </c>
      <c r="AM4778">
        <v>100</v>
      </c>
      <c r="AN4778">
        <v>0</v>
      </c>
      <c r="AO4778">
        <v>0</v>
      </c>
      <c r="AP4778">
        <v>0</v>
      </c>
      <c r="AQ4778">
        <v>0</v>
      </c>
      <c r="AS4778">
        <v>0</v>
      </c>
      <c r="AT4778">
        <v>0</v>
      </c>
      <c r="AV4778">
        <v>0</v>
      </c>
      <c r="AW4778">
        <v>0</v>
      </c>
      <c r="AY4778">
        <v>0</v>
      </c>
      <c r="AZ4778">
        <v>0</v>
      </c>
      <c r="BA4778">
        <v>70</v>
      </c>
      <c r="BE4778" t="str">
        <f>T("9791137017245")</f>
        <v>9791137017245</v>
      </c>
      <c r="BF4778" t="str">
        <f>T("k150217")</f>
        <v>k150217</v>
      </c>
      <c r="BG4778" t="str">
        <f>T("판타지 웹소설 &gt; 퓨전 판타지")</f>
        <v>판타지 웹소설 &gt; 퓨전 판타지</v>
      </c>
    </row>
    <row r="4779" spans="1:59">
      <c r="A4779" t="s">
        <v>60</v>
      </c>
      <c r="B4779" s="1">
        <v>46130</v>
      </c>
      <c r="C4779">
        <v>2378057438</v>
      </c>
      <c r="D4779">
        <v>2378058650</v>
      </c>
      <c r="E4779" t="str">
        <f>T("재벌에서 광복군까지 189화")</f>
        <v>재벌에서 광복군까지 189화</v>
      </c>
      <c r="F4779">
        <v>189</v>
      </c>
      <c r="G4779" t="str">
        <f>T("빛나는구름")</f>
        <v>빛나는구름</v>
      </c>
      <c r="J4779" t="str">
        <f>T("사이렌")</f>
        <v>사이렌</v>
      </c>
      <c r="K4779" t="str">
        <f>T("재벌에서 광복군까지")</f>
        <v>재벌에서 광복군까지</v>
      </c>
      <c r="L4779">
        <v>100</v>
      </c>
      <c r="M4779">
        <v>100</v>
      </c>
      <c r="N4779">
        <v>1</v>
      </c>
      <c r="O4779">
        <v>0</v>
      </c>
      <c r="P4779">
        <v>0</v>
      </c>
      <c r="Q4779">
        <v>0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0</v>
      </c>
      <c r="AC4779">
        <v>0</v>
      </c>
      <c r="AD4779">
        <v>0</v>
      </c>
      <c r="AE4779">
        <v>0</v>
      </c>
      <c r="AF4779">
        <v>0</v>
      </c>
      <c r="AG4779">
        <v>0</v>
      </c>
      <c r="AH4779">
        <v>0</v>
      </c>
      <c r="AI4779">
        <v>100</v>
      </c>
      <c r="AJ4779">
        <v>1</v>
      </c>
      <c r="AK4779">
        <v>0</v>
      </c>
      <c r="AL4779">
        <v>0</v>
      </c>
      <c r="AM4779">
        <v>100</v>
      </c>
      <c r="AN4779">
        <v>0</v>
      </c>
      <c r="AO4779">
        <v>0</v>
      </c>
      <c r="AP4779">
        <v>0</v>
      </c>
      <c r="AQ4779">
        <v>0</v>
      </c>
      <c r="AS4779">
        <v>0</v>
      </c>
      <c r="AT4779">
        <v>0</v>
      </c>
      <c r="AV4779">
        <v>0</v>
      </c>
      <c r="AW4779">
        <v>0</v>
      </c>
      <c r="AY4779">
        <v>0</v>
      </c>
      <c r="AZ4779">
        <v>0</v>
      </c>
      <c r="BA4779">
        <v>70</v>
      </c>
      <c r="BE4779" t="str">
        <f>T("9791137017245")</f>
        <v>9791137017245</v>
      </c>
      <c r="BF4779" t="str">
        <f>T("k150218")</f>
        <v>k150218</v>
      </c>
      <c r="BG4779" t="str">
        <f>T("판타지 웹소설 &gt; 퓨전 판타지")</f>
        <v>판타지 웹소설 &gt; 퓨전 판타지</v>
      </c>
    </row>
    <row r="4780" spans="1:59">
      <c r="A4780" t="s">
        <v>60</v>
      </c>
      <c r="B4780" s="1">
        <v>46130</v>
      </c>
      <c r="C4780">
        <v>2378057438</v>
      </c>
      <c r="D4780">
        <v>2378058651</v>
      </c>
      <c r="E4780" t="str">
        <f>T("재벌에서 광복군까지 190화")</f>
        <v>재벌에서 광복군까지 190화</v>
      </c>
      <c r="F4780">
        <v>190</v>
      </c>
      <c r="G4780" t="str">
        <f>T("빛나는구름")</f>
        <v>빛나는구름</v>
      </c>
      <c r="J4780" t="str">
        <f>T("사이렌")</f>
        <v>사이렌</v>
      </c>
      <c r="K4780" t="str">
        <f>T("재벌에서 광복군까지")</f>
        <v>재벌에서 광복군까지</v>
      </c>
      <c r="L4780">
        <v>100</v>
      </c>
      <c r="M4780">
        <v>100</v>
      </c>
      <c r="N4780">
        <v>1</v>
      </c>
      <c r="O4780">
        <v>0</v>
      </c>
      <c r="P4780">
        <v>0</v>
      </c>
      <c r="Q4780">
        <v>0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0</v>
      </c>
      <c r="AC4780">
        <v>0</v>
      </c>
      <c r="AD4780">
        <v>0</v>
      </c>
      <c r="AE4780">
        <v>0</v>
      </c>
      <c r="AF4780">
        <v>0</v>
      </c>
      <c r="AG4780">
        <v>0</v>
      </c>
      <c r="AH4780">
        <v>0</v>
      </c>
      <c r="AI4780">
        <v>100</v>
      </c>
      <c r="AJ4780">
        <v>1</v>
      </c>
      <c r="AK4780">
        <v>0</v>
      </c>
      <c r="AL4780">
        <v>0</v>
      </c>
      <c r="AM4780">
        <v>100</v>
      </c>
      <c r="AN4780">
        <v>0</v>
      </c>
      <c r="AO4780">
        <v>0</v>
      </c>
      <c r="AP4780">
        <v>0</v>
      </c>
      <c r="AQ4780">
        <v>0</v>
      </c>
      <c r="AS4780">
        <v>0</v>
      </c>
      <c r="AT4780">
        <v>0</v>
      </c>
      <c r="AV4780">
        <v>0</v>
      </c>
      <c r="AW4780">
        <v>0</v>
      </c>
      <c r="AY4780">
        <v>0</v>
      </c>
      <c r="AZ4780">
        <v>0</v>
      </c>
      <c r="BA4780">
        <v>70</v>
      </c>
      <c r="BE4780" t="str">
        <f>T("9791137017245")</f>
        <v>9791137017245</v>
      </c>
      <c r="BF4780" t="str">
        <f>T("k150219")</f>
        <v>k150219</v>
      </c>
      <c r="BG4780" t="str">
        <f>T("판타지 웹소설 &gt; 퓨전 판타지")</f>
        <v>판타지 웹소설 &gt; 퓨전 판타지</v>
      </c>
    </row>
    <row r="4781" spans="1:59">
      <c r="A4781" t="s">
        <v>60</v>
      </c>
      <c r="B4781" s="1">
        <v>46130</v>
      </c>
      <c r="C4781">
        <v>2378057438</v>
      </c>
      <c r="D4781">
        <v>2378058652</v>
      </c>
      <c r="E4781" t="str">
        <f>T("재벌에서 광복군까지 191화")</f>
        <v>재벌에서 광복군까지 191화</v>
      </c>
      <c r="F4781">
        <v>191</v>
      </c>
      <c r="G4781" t="str">
        <f>T("빛나는구름")</f>
        <v>빛나는구름</v>
      </c>
      <c r="J4781" t="str">
        <f>T("사이렌")</f>
        <v>사이렌</v>
      </c>
      <c r="K4781" t="str">
        <f>T("재벌에서 광복군까지")</f>
        <v>재벌에서 광복군까지</v>
      </c>
      <c r="L4781">
        <v>100</v>
      </c>
      <c r="M4781">
        <v>100</v>
      </c>
      <c r="N4781">
        <v>1</v>
      </c>
      <c r="O4781">
        <v>0</v>
      </c>
      <c r="P4781">
        <v>0</v>
      </c>
      <c r="Q4781">
        <v>0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0</v>
      </c>
      <c r="AC4781">
        <v>0</v>
      </c>
      <c r="AD4781">
        <v>0</v>
      </c>
      <c r="AE4781">
        <v>0</v>
      </c>
      <c r="AF4781">
        <v>0</v>
      </c>
      <c r="AG4781">
        <v>0</v>
      </c>
      <c r="AH4781">
        <v>0</v>
      </c>
      <c r="AI4781">
        <v>100</v>
      </c>
      <c r="AJ4781">
        <v>1</v>
      </c>
      <c r="AK4781">
        <v>0</v>
      </c>
      <c r="AL4781">
        <v>0</v>
      </c>
      <c r="AM4781">
        <v>100</v>
      </c>
      <c r="AN4781">
        <v>0</v>
      </c>
      <c r="AO4781">
        <v>0</v>
      </c>
      <c r="AP4781">
        <v>0</v>
      </c>
      <c r="AQ4781">
        <v>0</v>
      </c>
      <c r="AS4781">
        <v>0</v>
      </c>
      <c r="AT4781">
        <v>0</v>
      </c>
      <c r="AV4781">
        <v>0</v>
      </c>
      <c r="AW4781">
        <v>0</v>
      </c>
      <c r="AY4781">
        <v>0</v>
      </c>
      <c r="AZ4781">
        <v>0</v>
      </c>
      <c r="BA4781">
        <v>70</v>
      </c>
      <c r="BE4781" t="str">
        <f>T("9791137017245")</f>
        <v>9791137017245</v>
      </c>
      <c r="BF4781" t="str">
        <f>T("k150220")</f>
        <v>k150220</v>
      </c>
      <c r="BG4781" t="str">
        <f>T("판타지 웹소설 &gt; 퓨전 판타지")</f>
        <v>판타지 웹소설 &gt; 퓨전 판타지</v>
      </c>
    </row>
    <row r="4782" spans="1:59">
      <c r="A4782" t="s">
        <v>60</v>
      </c>
      <c r="B4782" s="1">
        <v>46130</v>
      </c>
      <c r="C4782">
        <v>2378057438</v>
      </c>
      <c r="D4782">
        <v>2378059069</v>
      </c>
      <c r="E4782" t="str">
        <f>T("재벌에서 광복군까지 192화")</f>
        <v>재벌에서 광복군까지 192화</v>
      </c>
      <c r="F4782">
        <v>192</v>
      </c>
      <c r="G4782" t="str">
        <f>T("빛나는구름")</f>
        <v>빛나는구름</v>
      </c>
      <c r="J4782" t="str">
        <f>T("사이렌")</f>
        <v>사이렌</v>
      </c>
      <c r="K4782" t="str">
        <f>T("재벌에서 광복군까지")</f>
        <v>재벌에서 광복군까지</v>
      </c>
      <c r="L4782">
        <v>100</v>
      </c>
      <c r="M4782">
        <v>100</v>
      </c>
      <c r="N4782">
        <v>1</v>
      </c>
      <c r="O4782">
        <v>0</v>
      </c>
      <c r="P4782">
        <v>0</v>
      </c>
      <c r="Q4782">
        <v>0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0</v>
      </c>
      <c r="AC4782">
        <v>0</v>
      </c>
      <c r="AD4782">
        <v>0</v>
      </c>
      <c r="AE4782">
        <v>0</v>
      </c>
      <c r="AF4782">
        <v>0</v>
      </c>
      <c r="AG4782">
        <v>0</v>
      </c>
      <c r="AH4782">
        <v>0</v>
      </c>
      <c r="AI4782">
        <v>100</v>
      </c>
      <c r="AJ4782">
        <v>1</v>
      </c>
      <c r="AK4782">
        <v>0</v>
      </c>
      <c r="AL4782">
        <v>0</v>
      </c>
      <c r="AM4782">
        <v>100</v>
      </c>
      <c r="AN4782">
        <v>0</v>
      </c>
      <c r="AO4782">
        <v>0</v>
      </c>
      <c r="AP4782">
        <v>0</v>
      </c>
      <c r="AQ4782">
        <v>0</v>
      </c>
      <c r="AS4782">
        <v>0</v>
      </c>
      <c r="AT4782">
        <v>0</v>
      </c>
      <c r="AV4782">
        <v>0</v>
      </c>
      <c r="AW4782">
        <v>0</v>
      </c>
      <c r="AY4782">
        <v>0</v>
      </c>
      <c r="AZ4782">
        <v>0</v>
      </c>
      <c r="BA4782">
        <v>70</v>
      </c>
      <c r="BE4782" t="str">
        <f>T("9791137017245")</f>
        <v>9791137017245</v>
      </c>
      <c r="BF4782" t="str">
        <f>T("k150221")</f>
        <v>k150221</v>
      </c>
      <c r="BG4782" t="str">
        <f>T("판타지 웹소설 &gt; 퓨전 판타지")</f>
        <v>판타지 웹소설 &gt; 퓨전 판타지</v>
      </c>
    </row>
    <row r="4783" spans="1:59">
      <c r="A4783" t="s">
        <v>60</v>
      </c>
      <c r="B4783" s="1">
        <v>46130</v>
      </c>
      <c r="C4783">
        <v>2378057438</v>
      </c>
      <c r="D4783">
        <v>2378059070</v>
      </c>
      <c r="E4783" t="str">
        <f>T("재벌에서 광복군까지 193화")</f>
        <v>재벌에서 광복군까지 193화</v>
      </c>
      <c r="F4783">
        <v>193</v>
      </c>
      <c r="G4783" t="str">
        <f>T("빛나는구름")</f>
        <v>빛나는구름</v>
      </c>
      <c r="J4783" t="str">
        <f>T("사이렌")</f>
        <v>사이렌</v>
      </c>
      <c r="K4783" t="str">
        <f>T("재벌에서 광복군까지")</f>
        <v>재벌에서 광복군까지</v>
      </c>
      <c r="L4783">
        <v>100</v>
      </c>
      <c r="M4783">
        <v>100</v>
      </c>
      <c r="N4783">
        <v>1</v>
      </c>
      <c r="O4783">
        <v>0</v>
      </c>
      <c r="P4783">
        <v>0</v>
      </c>
      <c r="Q4783">
        <v>0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0</v>
      </c>
      <c r="AC4783">
        <v>0</v>
      </c>
      <c r="AD4783">
        <v>0</v>
      </c>
      <c r="AE4783">
        <v>0</v>
      </c>
      <c r="AF4783">
        <v>0</v>
      </c>
      <c r="AG4783">
        <v>0</v>
      </c>
      <c r="AH4783">
        <v>0</v>
      </c>
      <c r="AI4783">
        <v>100</v>
      </c>
      <c r="AJ4783">
        <v>1</v>
      </c>
      <c r="AK4783">
        <v>0</v>
      </c>
      <c r="AL4783">
        <v>0</v>
      </c>
      <c r="AM4783">
        <v>100</v>
      </c>
      <c r="AN4783">
        <v>0</v>
      </c>
      <c r="AO4783">
        <v>0</v>
      </c>
      <c r="AP4783">
        <v>0</v>
      </c>
      <c r="AQ4783">
        <v>0</v>
      </c>
      <c r="AS4783">
        <v>0</v>
      </c>
      <c r="AT4783">
        <v>0</v>
      </c>
      <c r="AV4783">
        <v>0</v>
      </c>
      <c r="AW4783">
        <v>0</v>
      </c>
      <c r="AY4783">
        <v>0</v>
      </c>
      <c r="AZ4783">
        <v>0</v>
      </c>
      <c r="BA4783">
        <v>70</v>
      </c>
      <c r="BE4783" t="str">
        <f>T("9791137017245")</f>
        <v>9791137017245</v>
      </c>
      <c r="BF4783" t="str">
        <f>T("k150222")</f>
        <v>k150222</v>
      </c>
      <c r="BG4783" t="str">
        <f>T("판타지 웹소설 &gt; 퓨전 판타지")</f>
        <v>판타지 웹소설 &gt; 퓨전 판타지</v>
      </c>
    </row>
    <row r="4784" spans="1:59">
      <c r="A4784" t="s">
        <v>60</v>
      </c>
      <c r="B4784" s="1">
        <v>46130</v>
      </c>
      <c r="C4784">
        <v>2378057438</v>
      </c>
      <c r="D4784">
        <v>2378059071</v>
      </c>
      <c r="E4784" t="str">
        <f>T("재벌에서 광복군까지 194화")</f>
        <v>재벌에서 광복군까지 194화</v>
      </c>
      <c r="F4784">
        <v>194</v>
      </c>
      <c r="G4784" t="str">
        <f>T("빛나는구름")</f>
        <v>빛나는구름</v>
      </c>
      <c r="J4784" t="str">
        <f>T("사이렌")</f>
        <v>사이렌</v>
      </c>
      <c r="K4784" t="str">
        <f>T("재벌에서 광복군까지")</f>
        <v>재벌에서 광복군까지</v>
      </c>
      <c r="L4784">
        <v>100</v>
      </c>
      <c r="M4784">
        <v>100</v>
      </c>
      <c r="N4784">
        <v>1</v>
      </c>
      <c r="O4784">
        <v>0</v>
      </c>
      <c r="P4784">
        <v>0</v>
      </c>
      <c r="Q4784">
        <v>0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0</v>
      </c>
      <c r="AC4784">
        <v>0</v>
      </c>
      <c r="AD4784">
        <v>0</v>
      </c>
      <c r="AE4784">
        <v>0</v>
      </c>
      <c r="AF4784">
        <v>0</v>
      </c>
      <c r="AG4784">
        <v>0</v>
      </c>
      <c r="AH4784">
        <v>0</v>
      </c>
      <c r="AI4784">
        <v>100</v>
      </c>
      <c r="AJ4784">
        <v>1</v>
      </c>
      <c r="AK4784">
        <v>0</v>
      </c>
      <c r="AL4784">
        <v>0</v>
      </c>
      <c r="AM4784">
        <v>100</v>
      </c>
      <c r="AN4784">
        <v>0</v>
      </c>
      <c r="AO4784">
        <v>0</v>
      </c>
      <c r="AP4784">
        <v>0</v>
      </c>
      <c r="AQ4784">
        <v>0</v>
      </c>
      <c r="AS4784">
        <v>0</v>
      </c>
      <c r="AT4784">
        <v>0</v>
      </c>
      <c r="AV4784">
        <v>0</v>
      </c>
      <c r="AW4784">
        <v>0</v>
      </c>
      <c r="AY4784">
        <v>0</v>
      </c>
      <c r="AZ4784">
        <v>0</v>
      </c>
      <c r="BA4784">
        <v>70</v>
      </c>
      <c r="BE4784" t="str">
        <f>T("9791137017245")</f>
        <v>9791137017245</v>
      </c>
      <c r="BF4784" t="str">
        <f>T("k150223")</f>
        <v>k150223</v>
      </c>
      <c r="BG4784" t="str">
        <f>T("판타지 웹소설 &gt; 퓨전 판타지")</f>
        <v>판타지 웹소설 &gt; 퓨전 판타지</v>
      </c>
    </row>
    <row r="4785" spans="1:59">
      <c r="A4785" t="s">
        <v>60</v>
      </c>
      <c r="B4785" s="1">
        <v>46130</v>
      </c>
      <c r="C4785">
        <v>2378057438</v>
      </c>
      <c r="D4785">
        <v>2378059072</v>
      </c>
      <c r="E4785" t="str">
        <f>T("재벌에서 광복군까지 195화")</f>
        <v>재벌에서 광복군까지 195화</v>
      </c>
      <c r="F4785">
        <v>195</v>
      </c>
      <c r="G4785" t="str">
        <f>T("빛나는구름")</f>
        <v>빛나는구름</v>
      </c>
      <c r="J4785" t="str">
        <f>T("사이렌")</f>
        <v>사이렌</v>
      </c>
      <c r="K4785" t="str">
        <f>T("재벌에서 광복군까지")</f>
        <v>재벌에서 광복군까지</v>
      </c>
      <c r="L4785">
        <v>100</v>
      </c>
      <c r="M4785">
        <v>100</v>
      </c>
      <c r="N4785">
        <v>1</v>
      </c>
      <c r="O4785">
        <v>0</v>
      </c>
      <c r="P4785">
        <v>0</v>
      </c>
      <c r="Q4785">
        <v>0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0</v>
      </c>
      <c r="AC4785">
        <v>0</v>
      </c>
      <c r="AD4785">
        <v>0</v>
      </c>
      <c r="AE4785">
        <v>0</v>
      </c>
      <c r="AF4785">
        <v>0</v>
      </c>
      <c r="AG4785">
        <v>0</v>
      </c>
      <c r="AH4785">
        <v>0</v>
      </c>
      <c r="AI4785">
        <v>100</v>
      </c>
      <c r="AJ4785">
        <v>1</v>
      </c>
      <c r="AK4785">
        <v>0</v>
      </c>
      <c r="AL4785">
        <v>0</v>
      </c>
      <c r="AM4785">
        <v>100</v>
      </c>
      <c r="AN4785">
        <v>0</v>
      </c>
      <c r="AO4785">
        <v>0</v>
      </c>
      <c r="AP4785">
        <v>0</v>
      </c>
      <c r="AQ4785">
        <v>0</v>
      </c>
      <c r="AS4785">
        <v>0</v>
      </c>
      <c r="AT4785">
        <v>0</v>
      </c>
      <c r="AV4785">
        <v>0</v>
      </c>
      <c r="AW4785">
        <v>0</v>
      </c>
      <c r="AY4785">
        <v>0</v>
      </c>
      <c r="AZ4785">
        <v>0</v>
      </c>
      <c r="BA4785">
        <v>70</v>
      </c>
      <c r="BE4785" t="str">
        <f>T("9791137017245")</f>
        <v>9791137017245</v>
      </c>
      <c r="BF4785" t="str">
        <f>T("k150224")</f>
        <v>k150224</v>
      </c>
      <c r="BG4785" t="str">
        <f>T("판타지 웹소설 &gt; 퓨전 판타지")</f>
        <v>판타지 웹소설 &gt; 퓨전 판타지</v>
      </c>
    </row>
    <row r="4786" spans="1:59">
      <c r="A4786" t="s">
        <v>60</v>
      </c>
      <c r="B4786" s="1">
        <v>46130</v>
      </c>
      <c r="C4786">
        <v>2378057438</v>
      </c>
      <c r="D4786">
        <v>2378059073</v>
      </c>
      <c r="E4786" t="str">
        <f>T("재벌에서 광복군까지 196화")</f>
        <v>재벌에서 광복군까지 196화</v>
      </c>
      <c r="F4786">
        <v>196</v>
      </c>
      <c r="G4786" t="str">
        <f>T("빛나는구름")</f>
        <v>빛나는구름</v>
      </c>
      <c r="J4786" t="str">
        <f>T("사이렌")</f>
        <v>사이렌</v>
      </c>
      <c r="K4786" t="str">
        <f>T("재벌에서 광복군까지")</f>
        <v>재벌에서 광복군까지</v>
      </c>
      <c r="L4786">
        <v>100</v>
      </c>
      <c r="M4786">
        <v>100</v>
      </c>
      <c r="N4786">
        <v>1</v>
      </c>
      <c r="O4786">
        <v>0</v>
      </c>
      <c r="P4786">
        <v>0</v>
      </c>
      <c r="Q4786">
        <v>0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0</v>
      </c>
      <c r="AC4786">
        <v>0</v>
      </c>
      <c r="AD4786">
        <v>0</v>
      </c>
      <c r="AE4786">
        <v>0</v>
      </c>
      <c r="AF4786">
        <v>0</v>
      </c>
      <c r="AG4786">
        <v>0</v>
      </c>
      <c r="AH4786">
        <v>0</v>
      </c>
      <c r="AI4786">
        <v>100</v>
      </c>
      <c r="AJ4786">
        <v>1</v>
      </c>
      <c r="AK4786">
        <v>0</v>
      </c>
      <c r="AL4786">
        <v>0</v>
      </c>
      <c r="AM4786">
        <v>100</v>
      </c>
      <c r="AN4786">
        <v>0</v>
      </c>
      <c r="AO4786">
        <v>0</v>
      </c>
      <c r="AP4786">
        <v>0</v>
      </c>
      <c r="AQ4786">
        <v>0</v>
      </c>
      <c r="AS4786">
        <v>0</v>
      </c>
      <c r="AT4786">
        <v>0</v>
      </c>
      <c r="AV4786">
        <v>0</v>
      </c>
      <c r="AW4786">
        <v>0</v>
      </c>
      <c r="AY4786">
        <v>0</v>
      </c>
      <c r="AZ4786">
        <v>0</v>
      </c>
      <c r="BA4786">
        <v>70</v>
      </c>
      <c r="BE4786" t="str">
        <f>T("9791137017245")</f>
        <v>9791137017245</v>
      </c>
      <c r="BF4786" t="str">
        <f>T("k150225")</f>
        <v>k150225</v>
      </c>
      <c r="BG4786" t="str">
        <f>T("판타지 웹소설 &gt; 퓨전 판타지")</f>
        <v>판타지 웹소설 &gt; 퓨전 판타지</v>
      </c>
    </row>
    <row r="4787" spans="1:59">
      <c r="A4787" t="s">
        <v>60</v>
      </c>
      <c r="B4787" s="1">
        <v>46130</v>
      </c>
      <c r="C4787">
        <v>2378057438</v>
      </c>
      <c r="D4787">
        <v>2378059229</v>
      </c>
      <c r="E4787" t="str">
        <f>T("재벌에서 광복군까지 197화")</f>
        <v>재벌에서 광복군까지 197화</v>
      </c>
      <c r="F4787">
        <v>197</v>
      </c>
      <c r="G4787" t="str">
        <f>T("빛나는구름")</f>
        <v>빛나는구름</v>
      </c>
      <c r="J4787" t="str">
        <f>T("사이렌")</f>
        <v>사이렌</v>
      </c>
      <c r="K4787" t="str">
        <f>T("재벌에서 광복군까지")</f>
        <v>재벌에서 광복군까지</v>
      </c>
      <c r="L4787">
        <v>100</v>
      </c>
      <c r="M4787">
        <v>100</v>
      </c>
      <c r="N4787">
        <v>1</v>
      </c>
      <c r="O4787">
        <v>0</v>
      </c>
      <c r="P4787">
        <v>0</v>
      </c>
      <c r="Q4787">
        <v>0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0</v>
      </c>
      <c r="AC4787">
        <v>0</v>
      </c>
      <c r="AD4787">
        <v>0</v>
      </c>
      <c r="AE4787">
        <v>0</v>
      </c>
      <c r="AF4787">
        <v>0</v>
      </c>
      <c r="AG4787">
        <v>0</v>
      </c>
      <c r="AH4787">
        <v>0</v>
      </c>
      <c r="AI4787">
        <v>100</v>
      </c>
      <c r="AJ4787">
        <v>1</v>
      </c>
      <c r="AK4787">
        <v>0</v>
      </c>
      <c r="AL4787">
        <v>0</v>
      </c>
      <c r="AM4787">
        <v>100</v>
      </c>
      <c r="AN4787">
        <v>0</v>
      </c>
      <c r="AO4787">
        <v>0</v>
      </c>
      <c r="AP4787">
        <v>0</v>
      </c>
      <c r="AQ4787">
        <v>0</v>
      </c>
      <c r="AS4787">
        <v>0</v>
      </c>
      <c r="AT4787">
        <v>0</v>
      </c>
      <c r="AV4787">
        <v>0</v>
      </c>
      <c r="AW4787">
        <v>0</v>
      </c>
      <c r="AY4787">
        <v>0</v>
      </c>
      <c r="AZ4787">
        <v>0</v>
      </c>
      <c r="BA4787">
        <v>70</v>
      </c>
      <c r="BE4787" t="str">
        <f>T("9791137017245")</f>
        <v>9791137017245</v>
      </c>
      <c r="BF4787" t="str">
        <f>T("k150226")</f>
        <v>k150226</v>
      </c>
      <c r="BG4787" t="str">
        <f>T("판타지 웹소설 &gt; 퓨전 판타지")</f>
        <v>판타지 웹소설 &gt; 퓨전 판타지</v>
      </c>
    </row>
    <row r="4788" spans="1:59">
      <c r="A4788" t="s">
        <v>60</v>
      </c>
      <c r="B4788" s="1">
        <v>46130</v>
      </c>
      <c r="C4788">
        <v>2378057438</v>
      </c>
      <c r="D4788">
        <v>2378059230</v>
      </c>
      <c r="E4788" t="str">
        <f>T("재벌에서 광복군까지 198화")</f>
        <v>재벌에서 광복군까지 198화</v>
      </c>
      <c r="F4788">
        <v>198</v>
      </c>
      <c r="G4788" t="str">
        <f>T("빛나는구름")</f>
        <v>빛나는구름</v>
      </c>
      <c r="J4788" t="str">
        <f>T("사이렌")</f>
        <v>사이렌</v>
      </c>
      <c r="K4788" t="str">
        <f>T("재벌에서 광복군까지")</f>
        <v>재벌에서 광복군까지</v>
      </c>
      <c r="L4788">
        <v>100</v>
      </c>
      <c r="M4788">
        <v>100</v>
      </c>
      <c r="N4788">
        <v>1</v>
      </c>
      <c r="O4788">
        <v>0</v>
      </c>
      <c r="P4788">
        <v>0</v>
      </c>
      <c r="Q4788">
        <v>0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0</v>
      </c>
      <c r="AC4788">
        <v>0</v>
      </c>
      <c r="AD4788">
        <v>0</v>
      </c>
      <c r="AE4788">
        <v>0</v>
      </c>
      <c r="AF4788">
        <v>0</v>
      </c>
      <c r="AG4788">
        <v>0</v>
      </c>
      <c r="AH4788">
        <v>0</v>
      </c>
      <c r="AI4788">
        <v>100</v>
      </c>
      <c r="AJ4788">
        <v>1</v>
      </c>
      <c r="AK4788">
        <v>0</v>
      </c>
      <c r="AL4788">
        <v>0</v>
      </c>
      <c r="AM4788">
        <v>100</v>
      </c>
      <c r="AN4788">
        <v>0</v>
      </c>
      <c r="AO4788">
        <v>0</v>
      </c>
      <c r="AP4788">
        <v>0</v>
      </c>
      <c r="AQ4788">
        <v>0</v>
      </c>
      <c r="AS4788">
        <v>0</v>
      </c>
      <c r="AT4788">
        <v>0</v>
      </c>
      <c r="AV4788">
        <v>0</v>
      </c>
      <c r="AW4788">
        <v>0</v>
      </c>
      <c r="AY4788">
        <v>0</v>
      </c>
      <c r="AZ4788">
        <v>0</v>
      </c>
      <c r="BA4788">
        <v>70</v>
      </c>
      <c r="BE4788" t="str">
        <f>T("9791137017245")</f>
        <v>9791137017245</v>
      </c>
      <c r="BF4788" t="str">
        <f>T("k150227")</f>
        <v>k150227</v>
      </c>
      <c r="BG4788" t="str">
        <f>T("판타지 웹소설 &gt; 퓨전 판타지")</f>
        <v>판타지 웹소설 &gt; 퓨전 판타지</v>
      </c>
    </row>
    <row r="4789" spans="1:59">
      <c r="A4789" t="s">
        <v>60</v>
      </c>
      <c r="B4789" s="1">
        <v>46130</v>
      </c>
      <c r="C4789">
        <v>2378057438</v>
      </c>
      <c r="D4789">
        <v>2378058402</v>
      </c>
      <c r="E4789" t="str">
        <f>T("재벌에서 광복군까지 181화")</f>
        <v>재벌에서 광복군까지 181화</v>
      </c>
      <c r="F4789">
        <v>181</v>
      </c>
      <c r="G4789" t="str">
        <f>T("빛나는구름")</f>
        <v>빛나는구름</v>
      </c>
      <c r="J4789" t="str">
        <f>T("사이렌")</f>
        <v>사이렌</v>
      </c>
      <c r="K4789" t="str">
        <f>T("재벌에서 광복군까지")</f>
        <v>재벌에서 광복군까지</v>
      </c>
      <c r="L4789">
        <v>100</v>
      </c>
      <c r="M4789">
        <v>100</v>
      </c>
      <c r="N4789">
        <v>1</v>
      </c>
      <c r="O4789">
        <v>0</v>
      </c>
      <c r="P4789">
        <v>0</v>
      </c>
      <c r="Q4789">
        <v>0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0</v>
      </c>
      <c r="AC4789">
        <v>0</v>
      </c>
      <c r="AD4789">
        <v>0</v>
      </c>
      <c r="AE4789">
        <v>0</v>
      </c>
      <c r="AF4789">
        <v>0</v>
      </c>
      <c r="AG4789">
        <v>0</v>
      </c>
      <c r="AH4789">
        <v>0</v>
      </c>
      <c r="AI4789">
        <v>100</v>
      </c>
      <c r="AJ4789">
        <v>1</v>
      </c>
      <c r="AK4789">
        <v>0</v>
      </c>
      <c r="AL4789">
        <v>0</v>
      </c>
      <c r="AM4789">
        <v>100</v>
      </c>
      <c r="AN4789">
        <v>0</v>
      </c>
      <c r="AO4789">
        <v>0</v>
      </c>
      <c r="AP4789">
        <v>0</v>
      </c>
      <c r="AQ4789">
        <v>0</v>
      </c>
      <c r="AS4789">
        <v>0</v>
      </c>
      <c r="AT4789">
        <v>0</v>
      </c>
      <c r="AV4789">
        <v>0</v>
      </c>
      <c r="AW4789">
        <v>0</v>
      </c>
      <c r="AY4789">
        <v>0</v>
      </c>
      <c r="AZ4789">
        <v>0</v>
      </c>
      <c r="BA4789">
        <v>70</v>
      </c>
      <c r="BE4789" t="str">
        <f>T("9791137017245")</f>
        <v>9791137017245</v>
      </c>
      <c r="BF4789" t="str">
        <f>T("k150210")</f>
        <v>k150210</v>
      </c>
      <c r="BG4789" t="str">
        <f>T("판타지 웹소설 &gt; 퓨전 판타지")</f>
        <v>판타지 웹소설 &gt; 퓨전 판타지</v>
      </c>
    </row>
    <row r="4790" spans="1:59">
      <c r="A4790" t="s">
        <v>60</v>
      </c>
      <c r="B4790" s="1">
        <v>46130</v>
      </c>
      <c r="C4790">
        <v>2378057438</v>
      </c>
      <c r="D4790">
        <v>2378058462</v>
      </c>
      <c r="E4790" t="str">
        <f>T("재벌에서 광복군까지 182화")</f>
        <v>재벌에서 광복군까지 182화</v>
      </c>
      <c r="F4790">
        <v>182</v>
      </c>
      <c r="G4790" t="str">
        <f>T("빛나는구름")</f>
        <v>빛나는구름</v>
      </c>
      <c r="J4790" t="str">
        <f>T("사이렌")</f>
        <v>사이렌</v>
      </c>
      <c r="K4790" t="str">
        <f>T("재벌에서 광복군까지")</f>
        <v>재벌에서 광복군까지</v>
      </c>
      <c r="L4790">
        <v>100</v>
      </c>
      <c r="M4790">
        <v>100</v>
      </c>
      <c r="N4790">
        <v>1</v>
      </c>
      <c r="O4790">
        <v>0</v>
      </c>
      <c r="P4790">
        <v>0</v>
      </c>
      <c r="Q4790">
        <v>0</v>
      </c>
      <c r="R4790">
        <v>0</v>
      </c>
      <c r="S4790">
        <v>0</v>
      </c>
      <c r="T4790">
        <v>0</v>
      </c>
      <c r="U4790">
        <v>0</v>
      </c>
      <c r="V4790">
        <v>0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0</v>
      </c>
      <c r="AC4790">
        <v>0</v>
      </c>
      <c r="AD4790">
        <v>0</v>
      </c>
      <c r="AE4790">
        <v>0</v>
      </c>
      <c r="AF4790">
        <v>0</v>
      </c>
      <c r="AG4790">
        <v>0</v>
      </c>
      <c r="AH4790">
        <v>0</v>
      </c>
      <c r="AI4790">
        <v>100</v>
      </c>
      <c r="AJ4790">
        <v>1</v>
      </c>
      <c r="AK4790">
        <v>0</v>
      </c>
      <c r="AL4790">
        <v>0</v>
      </c>
      <c r="AM4790">
        <v>100</v>
      </c>
      <c r="AN4790">
        <v>0</v>
      </c>
      <c r="AO4790">
        <v>0</v>
      </c>
      <c r="AP4790">
        <v>0</v>
      </c>
      <c r="AQ4790">
        <v>0</v>
      </c>
      <c r="AS4790">
        <v>0</v>
      </c>
      <c r="AT4790">
        <v>0</v>
      </c>
      <c r="AV4790">
        <v>0</v>
      </c>
      <c r="AW4790">
        <v>0</v>
      </c>
      <c r="AY4790">
        <v>0</v>
      </c>
      <c r="AZ4790">
        <v>0</v>
      </c>
      <c r="BA4790">
        <v>70</v>
      </c>
      <c r="BE4790" t="str">
        <f>T("9791137017245")</f>
        <v>9791137017245</v>
      </c>
      <c r="BF4790" t="str">
        <f>T("k150211")</f>
        <v>k150211</v>
      </c>
      <c r="BG4790" t="str">
        <f>T("판타지 웹소설 &gt; 퓨전 판타지")</f>
        <v>판타지 웹소설 &gt; 퓨전 판타지</v>
      </c>
    </row>
    <row r="4791" spans="1:59">
      <c r="A4791" t="s">
        <v>60</v>
      </c>
      <c r="B4791" s="1">
        <v>46130</v>
      </c>
      <c r="C4791">
        <v>2378057438</v>
      </c>
      <c r="D4791">
        <v>2378058463</v>
      </c>
      <c r="E4791" t="str">
        <f>T("재벌에서 광복군까지 183화")</f>
        <v>재벌에서 광복군까지 183화</v>
      </c>
      <c r="F4791">
        <v>183</v>
      </c>
      <c r="G4791" t="str">
        <f>T("빛나는구름")</f>
        <v>빛나는구름</v>
      </c>
      <c r="J4791" t="str">
        <f>T("사이렌")</f>
        <v>사이렌</v>
      </c>
      <c r="K4791" t="str">
        <f>T("재벌에서 광복군까지")</f>
        <v>재벌에서 광복군까지</v>
      </c>
      <c r="L4791">
        <v>100</v>
      </c>
      <c r="M4791">
        <v>100</v>
      </c>
      <c r="N4791">
        <v>1</v>
      </c>
      <c r="O4791">
        <v>0</v>
      </c>
      <c r="P4791">
        <v>0</v>
      </c>
      <c r="Q4791">
        <v>0</v>
      </c>
      <c r="R4791">
        <v>0</v>
      </c>
      <c r="S4791">
        <v>0</v>
      </c>
      <c r="T4791">
        <v>0</v>
      </c>
      <c r="U4791">
        <v>0</v>
      </c>
      <c r="V4791">
        <v>0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0</v>
      </c>
      <c r="AC4791">
        <v>0</v>
      </c>
      <c r="AD4791">
        <v>0</v>
      </c>
      <c r="AE4791">
        <v>0</v>
      </c>
      <c r="AF4791">
        <v>0</v>
      </c>
      <c r="AG4791">
        <v>0</v>
      </c>
      <c r="AH4791">
        <v>0</v>
      </c>
      <c r="AI4791">
        <v>100</v>
      </c>
      <c r="AJ4791">
        <v>1</v>
      </c>
      <c r="AK4791">
        <v>0</v>
      </c>
      <c r="AL4791">
        <v>0</v>
      </c>
      <c r="AM4791">
        <v>100</v>
      </c>
      <c r="AN4791">
        <v>0</v>
      </c>
      <c r="AO4791">
        <v>0</v>
      </c>
      <c r="AP4791">
        <v>0</v>
      </c>
      <c r="AQ4791">
        <v>0</v>
      </c>
      <c r="AS4791">
        <v>0</v>
      </c>
      <c r="AT4791">
        <v>0</v>
      </c>
      <c r="AV4791">
        <v>0</v>
      </c>
      <c r="AW4791">
        <v>0</v>
      </c>
      <c r="AY4791">
        <v>0</v>
      </c>
      <c r="AZ4791">
        <v>0</v>
      </c>
      <c r="BA4791">
        <v>70</v>
      </c>
      <c r="BE4791" t="str">
        <f>T("9791137017245")</f>
        <v>9791137017245</v>
      </c>
      <c r="BF4791" t="str">
        <f>T("k150212")</f>
        <v>k150212</v>
      </c>
      <c r="BG4791" t="str">
        <f>T("판타지 웹소설 &gt; 퓨전 판타지")</f>
        <v>판타지 웹소설 &gt; 퓨전 판타지</v>
      </c>
    </row>
    <row r="4792" spans="1:59">
      <c r="A4792" t="s">
        <v>60</v>
      </c>
      <c r="B4792" s="1">
        <v>46130</v>
      </c>
      <c r="C4792">
        <v>2378057438</v>
      </c>
      <c r="D4792">
        <v>2378058464</v>
      </c>
      <c r="E4792" t="str">
        <f>T("재벌에서 광복군까지 184화")</f>
        <v>재벌에서 광복군까지 184화</v>
      </c>
      <c r="F4792">
        <v>184</v>
      </c>
      <c r="G4792" t="str">
        <f>T("빛나는구름")</f>
        <v>빛나는구름</v>
      </c>
      <c r="J4792" t="str">
        <f>T("사이렌")</f>
        <v>사이렌</v>
      </c>
      <c r="K4792" t="str">
        <f>T("재벌에서 광복군까지")</f>
        <v>재벌에서 광복군까지</v>
      </c>
      <c r="L4792">
        <v>100</v>
      </c>
      <c r="M4792">
        <v>100</v>
      </c>
      <c r="N4792">
        <v>1</v>
      </c>
      <c r="O4792">
        <v>0</v>
      </c>
      <c r="P4792">
        <v>0</v>
      </c>
      <c r="Q4792">
        <v>0</v>
      </c>
      <c r="R4792">
        <v>0</v>
      </c>
      <c r="S4792">
        <v>0</v>
      </c>
      <c r="T4792">
        <v>0</v>
      </c>
      <c r="U4792">
        <v>0</v>
      </c>
      <c r="V4792">
        <v>0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0</v>
      </c>
      <c r="AC4792">
        <v>0</v>
      </c>
      <c r="AD4792">
        <v>0</v>
      </c>
      <c r="AE4792">
        <v>0</v>
      </c>
      <c r="AF4792">
        <v>0</v>
      </c>
      <c r="AG4792">
        <v>0</v>
      </c>
      <c r="AH4792">
        <v>0</v>
      </c>
      <c r="AI4792">
        <v>100</v>
      </c>
      <c r="AJ4792">
        <v>1</v>
      </c>
      <c r="AK4792">
        <v>0</v>
      </c>
      <c r="AL4792">
        <v>0</v>
      </c>
      <c r="AM4792">
        <v>100</v>
      </c>
      <c r="AN4792">
        <v>0</v>
      </c>
      <c r="AO4792">
        <v>0</v>
      </c>
      <c r="AP4792">
        <v>0</v>
      </c>
      <c r="AQ4792">
        <v>0</v>
      </c>
      <c r="AS4792">
        <v>0</v>
      </c>
      <c r="AT4792">
        <v>0</v>
      </c>
      <c r="AV4792">
        <v>0</v>
      </c>
      <c r="AW4792">
        <v>0</v>
      </c>
      <c r="AY4792">
        <v>0</v>
      </c>
      <c r="AZ4792">
        <v>0</v>
      </c>
      <c r="BA4792">
        <v>70</v>
      </c>
      <c r="BE4792" t="str">
        <f>T("9791137017245")</f>
        <v>9791137017245</v>
      </c>
      <c r="BF4792" t="str">
        <f>T("k150213")</f>
        <v>k150213</v>
      </c>
      <c r="BG4792" t="str">
        <f>T("판타지 웹소설 &gt; 퓨전 판타지")</f>
        <v>판타지 웹소설 &gt; 퓨전 판타지</v>
      </c>
    </row>
    <row r="4793" spans="1:59">
      <c r="A4793" t="s">
        <v>60</v>
      </c>
      <c r="B4793" s="1">
        <v>46130</v>
      </c>
      <c r="C4793">
        <v>2378057438</v>
      </c>
      <c r="D4793">
        <v>2378058477</v>
      </c>
      <c r="E4793" t="str">
        <f>T("재벌에서 광복군까지 185화")</f>
        <v>재벌에서 광복군까지 185화</v>
      </c>
      <c r="F4793">
        <v>185</v>
      </c>
      <c r="G4793" t="str">
        <f>T("빛나는구름")</f>
        <v>빛나는구름</v>
      </c>
      <c r="J4793" t="str">
        <f>T("사이렌")</f>
        <v>사이렌</v>
      </c>
      <c r="K4793" t="str">
        <f>T("재벌에서 광복군까지")</f>
        <v>재벌에서 광복군까지</v>
      </c>
      <c r="L4793">
        <v>100</v>
      </c>
      <c r="M4793">
        <v>100</v>
      </c>
      <c r="N4793">
        <v>1</v>
      </c>
      <c r="O4793">
        <v>0</v>
      </c>
      <c r="P4793">
        <v>0</v>
      </c>
      <c r="Q4793">
        <v>0</v>
      </c>
      <c r="R4793">
        <v>0</v>
      </c>
      <c r="S4793">
        <v>0</v>
      </c>
      <c r="T4793">
        <v>0</v>
      </c>
      <c r="U4793">
        <v>0</v>
      </c>
      <c r="V4793">
        <v>0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0</v>
      </c>
      <c r="AC4793">
        <v>0</v>
      </c>
      <c r="AD4793">
        <v>0</v>
      </c>
      <c r="AE4793">
        <v>0</v>
      </c>
      <c r="AF4793">
        <v>0</v>
      </c>
      <c r="AG4793">
        <v>0</v>
      </c>
      <c r="AH4793">
        <v>0</v>
      </c>
      <c r="AI4793">
        <v>100</v>
      </c>
      <c r="AJ4793">
        <v>1</v>
      </c>
      <c r="AK4793">
        <v>0</v>
      </c>
      <c r="AL4793">
        <v>0</v>
      </c>
      <c r="AM4793">
        <v>100</v>
      </c>
      <c r="AN4793">
        <v>0</v>
      </c>
      <c r="AO4793">
        <v>0</v>
      </c>
      <c r="AP4793">
        <v>0</v>
      </c>
      <c r="AQ4793">
        <v>0</v>
      </c>
      <c r="AS4793">
        <v>0</v>
      </c>
      <c r="AT4793">
        <v>0</v>
      </c>
      <c r="AV4793">
        <v>0</v>
      </c>
      <c r="AW4793">
        <v>0</v>
      </c>
      <c r="AY4793">
        <v>0</v>
      </c>
      <c r="AZ4793">
        <v>0</v>
      </c>
      <c r="BA4793">
        <v>70</v>
      </c>
      <c r="BE4793" t="str">
        <f>T("9791137017245")</f>
        <v>9791137017245</v>
      </c>
      <c r="BF4793" t="str">
        <f>T("k150214")</f>
        <v>k150214</v>
      </c>
      <c r="BG4793" t="str">
        <f>T("판타지 웹소설 &gt; 퓨전 판타지")</f>
        <v>판타지 웹소설 &gt; 퓨전 판타지</v>
      </c>
    </row>
    <row r="4794" spans="1:59">
      <c r="A4794" t="s">
        <v>60</v>
      </c>
      <c r="B4794" s="1">
        <v>46130</v>
      </c>
      <c r="C4794">
        <v>2378057438</v>
      </c>
      <c r="D4794">
        <v>2378058478</v>
      </c>
      <c r="E4794" t="str">
        <f>T("재벌에서 광복군까지 186화")</f>
        <v>재벌에서 광복군까지 186화</v>
      </c>
      <c r="F4794">
        <v>186</v>
      </c>
      <c r="G4794" t="str">
        <f>T("빛나는구름")</f>
        <v>빛나는구름</v>
      </c>
      <c r="J4794" t="str">
        <f>T("사이렌")</f>
        <v>사이렌</v>
      </c>
      <c r="K4794" t="str">
        <f>T("재벌에서 광복군까지")</f>
        <v>재벌에서 광복군까지</v>
      </c>
      <c r="L4794">
        <v>100</v>
      </c>
      <c r="M4794">
        <v>100</v>
      </c>
      <c r="N4794">
        <v>1</v>
      </c>
      <c r="O4794">
        <v>0</v>
      </c>
      <c r="P4794">
        <v>0</v>
      </c>
      <c r="Q4794">
        <v>0</v>
      </c>
      <c r="R4794">
        <v>0</v>
      </c>
      <c r="S4794">
        <v>0</v>
      </c>
      <c r="T4794">
        <v>0</v>
      </c>
      <c r="U4794">
        <v>0</v>
      </c>
      <c r="V4794">
        <v>0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0</v>
      </c>
      <c r="AC4794">
        <v>0</v>
      </c>
      <c r="AD4794">
        <v>0</v>
      </c>
      <c r="AE4794">
        <v>0</v>
      </c>
      <c r="AF4794">
        <v>0</v>
      </c>
      <c r="AG4794">
        <v>0</v>
      </c>
      <c r="AH4794">
        <v>0</v>
      </c>
      <c r="AI4794">
        <v>100</v>
      </c>
      <c r="AJ4794">
        <v>1</v>
      </c>
      <c r="AK4794">
        <v>0</v>
      </c>
      <c r="AL4794">
        <v>0</v>
      </c>
      <c r="AM4794">
        <v>100</v>
      </c>
      <c r="AN4794">
        <v>0</v>
      </c>
      <c r="AO4794">
        <v>0</v>
      </c>
      <c r="AP4794">
        <v>0</v>
      </c>
      <c r="AQ4794">
        <v>0</v>
      </c>
      <c r="AS4794">
        <v>0</v>
      </c>
      <c r="AT4794">
        <v>0</v>
      </c>
      <c r="AV4794">
        <v>0</v>
      </c>
      <c r="AW4794">
        <v>0</v>
      </c>
      <c r="AY4794">
        <v>0</v>
      </c>
      <c r="AZ4794">
        <v>0</v>
      </c>
      <c r="BA4794">
        <v>70</v>
      </c>
      <c r="BE4794" t="str">
        <f>T("9791137017245")</f>
        <v>9791137017245</v>
      </c>
      <c r="BF4794" t="str">
        <f>T("k150215")</f>
        <v>k150215</v>
      </c>
      <c r="BG4794" t="str">
        <f>T("판타지 웹소설 &gt; 퓨전 판타지")</f>
        <v>판타지 웹소설 &gt; 퓨전 판타지</v>
      </c>
    </row>
    <row r="4795" spans="1:59">
      <c r="A4795" t="s">
        <v>60</v>
      </c>
      <c r="B4795" s="1">
        <v>46130</v>
      </c>
      <c r="C4795">
        <v>2378057438</v>
      </c>
      <c r="D4795">
        <v>2378058365</v>
      </c>
      <c r="E4795" t="str">
        <f>T("재벌에서 광복군까지 177화")</f>
        <v>재벌에서 광복군까지 177화</v>
      </c>
      <c r="F4795">
        <v>177</v>
      </c>
      <c r="G4795" t="str">
        <f>T("빛나는구름")</f>
        <v>빛나는구름</v>
      </c>
      <c r="J4795" t="str">
        <f>T("사이렌")</f>
        <v>사이렌</v>
      </c>
      <c r="K4795" t="str">
        <f>T("재벌에서 광복군까지")</f>
        <v>재벌에서 광복군까지</v>
      </c>
      <c r="L4795">
        <v>100</v>
      </c>
      <c r="M4795">
        <v>100</v>
      </c>
      <c r="N4795">
        <v>1</v>
      </c>
      <c r="O4795">
        <v>0</v>
      </c>
      <c r="P4795">
        <v>0</v>
      </c>
      <c r="Q4795">
        <v>0</v>
      </c>
      <c r="R4795">
        <v>0</v>
      </c>
      <c r="S4795">
        <v>0</v>
      </c>
      <c r="T4795">
        <v>0</v>
      </c>
      <c r="U4795">
        <v>0</v>
      </c>
      <c r="V4795">
        <v>0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0</v>
      </c>
      <c r="AC4795">
        <v>0</v>
      </c>
      <c r="AD4795">
        <v>0</v>
      </c>
      <c r="AE4795">
        <v>0</v>
      </c>
      <c r="AF4795">
        <v>0</v>
      </c>
      <c r="AG4795">
        <v>0</v>
      </c>
      <c r="AH4795">
        <v>0</v>
      </c>
      <c r="AI4795">
        <v>100</v>
      </c>
      <c r="AJ4795">
        <v>1</v>
      </c>
      <c r="AK4795">
        <v>0</v>
      </c>
      <c r="AL4795">
        <v>0</v>
      </c>
      <c r="AM4795">
        <v>100</v>
      </c>
      <c r="AN4795">
        <v>0</v>
      </c>
      <c r="AO4795">
        <v>0</v>
      </c>
      <c r="AP4795">
        <v>0</v>
      </c>
      <c r="AQ4795">
        <v>0</v>
      </c>
      <c r="AS4795">
        <v>0</v>
      </c>
      <c r="AT4795">
        <v>0</v>
      </c>
      <c r="AV4795">
        <v>0</v>
      </c>
      <c r="AW4795">
        <v>0</v>
      </c>
      <c r="AY4795">
        <v>0</v>
      </c>
      <c r="AZ4795">
        <v>0</v>
      </c>
      <c r="BA4795">
        <v>70</v>
      </c>
      <c r="BE4795" t="str">
        <f>T("9791137017245")</f>
        <v>9791137017245</v>
      </c>
      <c r="BF4795" t="str">
        <f>T("k150206")</f>
        <v>k150206</v>
      </c>
      <c r="BG4795" t="str">
        <f>T("판타지 웹소설 &gt; 퓨전 판타지")</f>
        <v>판타지 웹소설 &gt; 퓨전 판타지</v>
      </c>
    </row>
    <row r="4796" spans="1:59">
      <c r="A4796" t="s">
        <v>60</v>
      </c>
      <c r="B4796" s="1">
        <v>46130</v>
      </c>
      <c r="C4796">
        <v>2378057438</v>
      </c>
      <c r="D4796">
        <v>2378058399</v>
      </c>
      <c r="E4796" t="str">
        <f>T("재벌에서 광복군까지 178화")</f>
        <v>재벌에서 광복군까지 178화</v>
      </c>
      <c r="F4796">
        <v>178</v>
      </c>
      <c r="G4796" t="str">
        <f>T("빛나는구름")</f>
        <v>빛나는구름</v>
      </c>
      <c r="J4796" t="str">
        <f>T("사이렌")</f>
        <v>사이렌</v>
      </c>
      <c r="K4796" t="str">
        <f>T("재벌에서 광복군까지")</f>
        <v>재벌에서 광복군까지</v>
      </c>
      <c r="L4796">
        <v>100</v>
      </c>
      <c r="M4796">
        <v>100</v>
      </c>
      <c r="N4796">
        <v>1</v>
      </c>
      <c r="O4796">
        <v>0</v>
      </c>
      <c r="P4796">
        <v>0</v>
      </c>
      <c r="Q4796">
        <v>0</v>
      </c>
      <c r="R4796">
        <v>0</v>
      </c>
      <c r="S4796">
        <v>0</v>
      </c>
      <c r="T4796">
        <v>0</v>
      </c>
      <c r="U4796">
        <v>0</v>
      </c>
      <c r="V4796">
        <v>0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0</v>
      </c>
      <c r="AC4796">
        <v>0</v>
      </c>
      <c r="AD4796">
        <v>0</v>
      </c>
      <c r="AE4796">
        <v>0</v>
      </c>
      <c r="AF4796">
        <v>0</v>
      </c>
      <c r="AG4796">
        <v>0</v>
      </c>
      <c r="AH4796">
        <v>0</v>
      </c>
      <c r="AI4796">
        <v>100</v>
      </c>
      <c r="AJ4796">
        <v>1</v>
      </c>
      <c r="AK4796">
        <v>0</v>
      </c>
      <c r="AL4796">
        <v>0</v>
      </c>
      <c r="AM4796">
        <v>100</v>
      </c>
      <c r="AN4796">
        <v>0</v>
      </c>
      <c r="AO4796">
        <v>0</v>
      </c>
      <c r="AP4796">
        <v>0</v>
      </c>
      <c r="AQ4796">
        <v>0</v>
      </c>
      <c r="AS4796">
        <v>0</v>
      </c>
      <c r="AT4796">
        <v>0</v>
      </c>
      <c r="AV4796">
        <v>0</v>
      </c>
      <c r="AW4796">
        <v>0</v>
      </c>
      <c r="AY4796">
        <v>0</v>
      </c>
      <c r="AZ4796">
        <v>0</v>
      </c>
      <c r="BA4796">
        <v>70</v>
      </c>
      <c r="BE4796" t="str">
        <f>T("9791137017245")</f>
        <v>9791137017245</v>
      </c>
      <c r="BF4796" t="str">
        <f>T("k150207")</f>
        <v>k150207</v>
      </c>
      <c r="BG4796" t="str">
        <f>T("판타지 웹소설 &gt; 퓨전 판타지")</f>
        <v>판타지 웹소설 &gt; 퓨전 판타지</v>
      </c>
    </row>
    <row r="4797" spans="1:59">
      <c r="A4797" t="s">
        <v>60</v>
      </c>
      <c r="B4797" s="1">
        <v>46130</v>
      </c>
      <c r="C4797">
        <v>2378057438</v>
      </c>
      <c r="D4797">
        <v>2378058400</v>
      </c>
      <c r="E4797" t="str">
        <f>T("재벌에서 광복군까지 179화")</f>
        <v>재벌에서 광복군까지 179화</v>
      </c>
      <c r="F4797">
        <v>179</v>
      </c>
      <c r="G4797" t="str">
        <f>T("빛나는구름")</f>
        <v>빛나는구름</v>
      </c>
      <c r="J4797" t="str">
        <f>T("사이렌")</f>
        <v>사이렌</v>
      </c>
      <c r="K4797" t="str">
        <f>T("재벌에서 광복군까지")</f>
        <v>재벌에서 광복군까지</v>
      </c>
      <c r="L4797">
        <v>100</v>
      </c>
      <c r="M4797">
        <v>100</v>
      </c>
      <c r="N4797">
        <v>1</v>
      </c>
      <c r="O4797">
        <v>0</v>
      </c>
      <c r="P4797">
        <v>0</v>
      </c>
      <c r="Q4797">
        <v>0</v>
      </c>
      <c r="R4797">
        <v>0</v>
      </c>
      <c r="S4797">
        <v>0</v>
      </c>
      <c r="T4797">
        <v>0</v>
      </c>
      <c r="U4797">
        <v>0</v>
      </c>
      <c r="V4797">
        <v>0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0</v>
      </c>
      <c r="AC4797">
        <v>0</v>
      </c>
      <c r="AD4797">
        <v>0</v>
      </c>
      <c r="AE4797">
        <v>0</v>
      </c>
      <c r="AF4797">
        <v>0</v>
      </c>
      <c r="AG4797">
        <v>0</v>
      </c>
      <c r="AH4797">
        <v>0</v>
      </c>
      <c r="AI4797">
        <v>100</v>
      </c>
      <c r="AJ4797">
        <v>1</v>
      </c>
      <c r="AK4797">
        <v>0</v>
      </c>
      <c r="AL4797">
        <v>0</v>
      </c>
      <c r="AM4797">
        <v>100</v>
      </c>
      <c r="AN4797">
        <v>0</v>
      </c>
      <c r="AO4797">
        <v>0</v>
      </c>
      <c r="AP4797">
        <v>0</v>
      </c>
      <c r="AQ4797">
        <v>0</v>
      </c>
      <c r="AS4797">
        <v>0</v>
      </c>
      <c r="AT4797">
        <v>0</v>
      </c>
      <c r="AV4797">
        <v>0</v>
      </c>
      <c r="AW4797">
        <v>0</v>
      </c>
      <c r="AY4797">
        <v>0</v>
      </c>
      <c r="AZ4797">
        <v>0</v>
      </c>
      <c r="BA4797">
        <v>70</v>
      </c>
      <c r="BE4797" t="str">
        <f>T("9791137017245")</f>
        <v>9791137017245</v>
      </c>
      <c r="BF4797" t="str">
        <f>T("k150208")</f>
        <v>k150208</v>
      </c>
      <c r="BG4797" t="str">
        <f>T("판타지 웹소설 &gt; 퓨전 판타지")</f>
        <v>판타지 웹소설 &gt; 퓨전 판타지</v>
      </c>
    </row>
    <row r="4798" spans="1:59">
      <c r="A4798" t="s">
        <v>60</v>
      </c>
      <c r="B4798" s="1">
        <v>46130</v>
      </c>
      <c r="C4798">
        <v>2378057438</v>
      </c>
      <c r="D4798">
        <v>2378058401</v>
      </c>
      <c r="E4798" t="str">
        <f>T("재벌에서 광복군까지 180화")</f>
        <v>재벌에서 광복군까지 180화</v>
      </c>
      <c r="F4798">
        <v>180</v>
      </c>
      <c r="G4798" t="str">
        <f>T("빛나는구름")</f>
        <v>빛나는구름</v>
      </c>
      <c r="J4798" t="str">
        <f>T("사이렌")</f>
        <v>사이렌</v>
      </c>
      <c r="K4798" t="str">
        <f>T("재벌에서 광복군까지")</f>
        <v>재벌에서 광복군까지</v>
      </c>
      <c r="L4798">
        <v>100</v>
      </c>
      <c r="M4798">
        <v>100</v>
      </c>
      <c r="N4798">
        <v>1</v>
      </c>
      <c r="O4798">
        <v>0</v>
      </c>
      <c r="P4798">
        <v>0</v>
      </c>
      <c r="Q4798">
        <v>0</v>
      </c>
      <c r="R4798">
        <v>0</v>
      </c>
      <c r="S4798">
        <v>0</v>
      </c>
      <c r="T4798">
        <v>0</v>
      </c>
      <c r="U4798">
        <v>0</v>
      </c>
      <c r="V4798">
        <v>0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0</v>
      </c>
      <c r="AC4798">
        <v>0</v>
      </c>
      <c r="AD4798">
        <v>0</v>
      </c>
      <c r="AE4798">
        <v>0</v>
      </c>
      <c r="AF4798">
        <v>0</v>
      </c>
      <c r="AG4798">
        <v>0</v>
      </c>
      <c r="AH4798">
        <v>0</v>
      </c>
      <c r="AI4798">
        <v>100</v>
      </c>
      <c r="AJ4798">
        <v>1</v>
      </c>
      <c r="AK4798">
        <v>0</v>
      </c>
      <c r="AL4798">
        <v>0</v>
      </c>
      <c r="AM4798">
        <v>100</v>
      </c>
      <c r="AN4798">
        <v>0</v>
      </c>
      <c r="AO4798">
        <v>0</v>
      </c>
      <c r="AP4798">
        <v>0</v>
      </c>
      <c r="AQ4798">
        <v>0</v>
      </c>
      <c r="AS4798">
        <v>0</v>
      </c>
      <c r="AT4798">
        <v>0</v>
      </c>
      <c r="AV4798">
        <v>0</v>
      </c>
      <c r="AW4798">
        <v>0</v>
      </c>
      <c r="AY4798">
        <v>0</v>
      </c>
      <c r="AZ4798">
        <v>0</v>
      </c>
      <c r="BA4798">
        <v>70</v>
      </c>
      <c r="BE4798" t="str">
        <f>T("9791137017245")</f>
        <v>9791137017245</v>
      </c>
      <c r="BF4798" t="str">
        <f>T("k150209")</f>
        <v>k150209</v>
      </c>
      <c r="BG4798" t="str">
        <f>T("판타지 웹소설 &gt; 퓨전 판타지")</f>
        <v>판타지 웹소설 &gt; 퓨전 판타지</v>
      </c>
    </row>
    <row r="4799" spans="1:59">
      <c r="A4799" t="s">
        <v>60</v>
      </c>
      <c r="B4799" s="1">
        <v>46131</v>
      </c>
      <c r="C4799">
        <v>2378057438</v>
      </c>
      <c r="D4799">
        <v>2378059516</v>
      </c>
      <c r="E4799" t="str">
        <f>T("재벌에서 광복군까지 215화")</f>
        <v>재벌에서 광복군까지 215화</v>
      </c>
      <c r="F4799">
        <v>215</v>
      </c>
      <c r="G4799" t="str">
        <f>T("빛나는구름")</f>
        <v>빛나는구름</v>
      </c>
      <c r="J4799" t="str">
        <f>T("사이렌")</f>
        <v>사이렌</v>
      </c>
      <c r="K4799" t="str">
        <f>T("재벌에서 광복군까지")</f>
        <v>재벌에서 광복군까지</v>
      </c>
      <c r="L4799">
        <v>100</v>
      </c>
      <c r="M4799">
        <v>100</v>
      </c>
      <c r="N4799">
        <v>1</v>
      </c>
      <c r="O4799">
        <v>0</v>
      </c>
      <c r="P4799">
        <v>0</v>
      </c>
      <c r="Q4799">
        <v>0</v>
      </c>
      <c r="R4799">
        <v>0</v>
      </c>
      <c r="S4799">
        <v>0</v>
      </c>
      <c r="T4799">
        <v>0</v>
      </c>
      <c r="U4799">
        <v>0</v>
      </c>
      <c r="V4799">
        <v>0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0</v>
      </c>
      <c r="AC4799">
        <v>0</v>
      </c>
      <c r="AD4799">
        <v>0</v>
      </c>
      <c r="AE4799">
        <v>0</v>
      </c>
      <c r="AF4799">
        <v>0</v>
      </c>
      <c r="AG4799">
        <v>0</v>
      </c>
      <c r="AH4799">
        <v>0</v>
      </c>
      <c r="AI4799">
        <v>100</v>
      </c>
      <c r="AJ4799">
        <v>1</v>
      </c>
      <c r="AK4799">
        <v>0</v>
      </c>
      <c r="AL4799">
        <v>0</v>
      </c>
      <c r="AM4799">
        <v>100</v>
      </c>
      <c r="AN4799">
        <v>0</v>
      </c>
      <c r="AO4799">
        <v>0</v>
      </c>
      <c r="AP4799">
        <v>0</v>
      </c>
      <c r="AQ4799">
        <v>0</v>
      </c>
      <c r="AS4799">
        <v>0</v>
      </c>
      <c r="AT4799">
        <v>0</v>
      </c>
      <c r="AV4799">
        <v>0</v>
      </c>
      <c r="AW4799">
        <v>0</v>
      </c>
      <c r="AY4799">
        <v>0</v>
      </c>
      <c r="AZ4799">
        <v>0</v>
      </c>
      <c r="BA4799">
        <v>70</v>
      </c>
      <c r="BE4799" t="str">
        <f>T("9791137017245")</f>
        <v>9791137017245</v>
      </c>
      <c r="BF4799" t="str">
        <f>T("k200257")</f>
        <v>k200257</v>
      </c>
      <c r="BG4799" t="str">
        <f>T("판타지 웹소설 &gt; 퓨전 판타지")</f>
        <v>판타지 웹소설 &gt; 퓨전 판타지</v>
      </c>
    </row>
    <row r="4800" spans="1:59">
      <c r="A4800" t="s">
        <v>60</v>
      </c>
      <c r="B4800" s="1">
        <v>46131</v>
      </c>
      <c r="C4800">
        <v>2378057438</v>
      </c>
      <c r="D4800">
        <v>2378059517</v>
      </c>
      <c r="E4800" t="str">
        <f>T("재벌에서 광복군까지 216화")</f>
        <v>재벌에서 광복군까지 216화</v>
      </c>
      <c r="F4800">
        <v>216</v>
      </c>
      <c r="G4800" t="str">
        <f>T("빛나는구름")</f>
        <v>빛나는구름</v>
      </c>
      <c r="J4800" t="str">
        <f>T("사이렌")</f>
        <v>사이렌</v>
      </c>
      <c r="K4800" t="str">
        <f>T("재벌에서 광복군까지")</f>
        <v>재벌에서 광복군까지</v>
      </c>
      <c r="L4800">
        <v>100</v>
      </c>
      <c r="M4800">
        <v>100</v>
      </c>
      <c r="N4800">
        <v>1</v>
      </c>
      <c r="O4800">
        <v>0</v>
      </c>
      <c r="P4800">
        <v>0</v>
      </c>
      <c r="Q4800">
        <v>0</v>
      </c>
      <c r="R4800">
        <v>0</v>
      </c>
      <c r="S4800">
        <v>0</v>
      </c>
      <c r="T4800">
        <v>0</v>
      </c>
      <c r="U4800">
        <v>0</v>
      </c>
      <c r="V4800">
        <v>0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0</v>
      </c>
      <c r="AC4800">
        <v>0</v>
      </c>
      <c r="AD4800">
        <v>0</v>
      </c>
      <c r="AE4800">
        <v>0</v>
      </c>
      <c r="AF4800">
        <v>0</v>
      </c>
      <c r="AG4800">
        <v>0</v>
      </c>
      <c r="AH4800">
        <v>0</v>
      </c>
      <c r="AI4800">
        <v>100</v>
      </c>
      <c r="AJ4800">
        <v>1</v>
      </c>
      <c r="AK4800">
        <v>0</v>
      </c>
      <c r="AL4800">
        <v>0</v>
      </c>
      <c r="AM4800">
        <v>100</v>
      </c>
      <c r="AN4800">
        <v>0</v>
      </c>
      <c r="AO4800">
        <v>0</v>
      </c>
      <c r="AP4800">
        <v>0</v>
      </c>
      <c r="AQ4800">
        <v>0</v>
      </c>
      <c r="AS4800">
        <v>0</v>
      </c>
      <c r="AT4800">
        <v>0</v>
      </c>
      <c r="AV4800">
        <v>0</v>
      </c>
      <c r="AW4800">
        <v>0</v>
      </c>
      <c r="AY4800">
        <v>0</v>
      </c>
      <c r="AZ4800">
        <v>0</v>
      </c>
      <c r="BA4800">
        <v>70</v>
      </c>
      <c r="BE4800" t="str">
        <f>T("9791137017245")</f>
        <v>9791137017245</v>
      </c>
      <c r="BF4800" t="str">
        <f>T("k200258")</f>
        <v>k200258</v>
      </c>
      <c r="BG4800" t="str">
        <f>T("판타지 웹소설 &gt; 퓨전 판타지")</f>
        <v>판타지 웹소설 &gt; 퓨전 판타지</v>
      </c>
    </row>
    <row r="4801" spans="1:59">
      <c r="A4801" t="s">
        <v>60</v>
      </c>
      <c r="B4801" s="1">
        <v>46131</v>
      </c>
      <c r="C4801">
        <v>2378057438</v>
      </c>
      <c r="D4801">
        <v>2378059847</v>
      </c>
      <c r="E4801" t="str">
        <f>T("재벌에서 광복군까지 217화")</f>
        <v>재벌에서 광복군까지 217화</v>
      </c>
      <c r="F4801">
        <v>217</v>
      </c>
      <c r="G4801" t="str">
        <f>T("빛나는구름")</f>
        <v>빛나는구름</v>
      </c>
      <c r="J4801" t="str">
        <f>T("사이렌")</f>
        <v>사이렌</v>
      </c>
      <c r="K4801" t="str">
        <f>T("재벌에서 광복군까지")</f>
        <v>재벌에서 광복군까지</v>
      </c>
      <c r="L4801">
        <v>100</v>
      </c>
      <c r="M4801">
        <v>100</v>
      </c>
      <c r="N4801">
        <v>1</v>
      </c>
      <c r="O4801">
        <v>0</v>
      </c>
      <c r="P4801">
        <v>0</v>
      </c>
      <c r="Q4801">
        <v>0</v>
      </c>
      <c r="R4801">
        <v>0</v>
      </c>
      <c r="S4801">
        <v>0</v>
      </c>
      <c r="T4801">
        <v>0</v>
      </c>
      <c r="U4801">
        <v>0</v>
      </c>
      <c r="V4801">
        <v>0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0</v>
      </c>
      <c r="AC4801">
        <v>0</v>
      </c>
      <c r="AD4801">
        <v>0</v>
      </c>
      <c r="AE4801">
        <v>0</v>
      </c>
      <c r="AF4801">
        <v>0</v>
      </c>
      <c r="AG4801">
        <v>0</v>
      </c>
      <c r="AH4801">
        <v>0</v>
      </c>
      <c r="AI4801">
        <v>100</v>
      </c>
      <c r="AJ4801">
        <v>1</v>
      </c>
      <c r="AK4801">
        <v>0</v>
      </c>
      <c r="AL4801">
        <v>0</v>
      </c>
      <c r="AM4801">
        <v>100</v>
      </c>
      <c r="AN4801">
        <v>0</v>
      </c>
      <c r="AO4801">
        <v>0</v>
      </c>
      <c r="AP4801">
        <v>0</v>
      </c>
      <c r="AQ4801">
        <v>0</v>
      </c>
      <c r="AS4801">
        <v>0</v>
      </c>
      <c r="AT4801">
        <v>0</v>
      </c>
      <c r="AV4801">
        <v>0</v>
      </c>
      <c r="AW4801">
        <v>0</v>
      </c>
      <c r="AY4801">
        <v>0</v>
      </c>
      <c r="AZ4801">
        <v>0</v>
      </c>
      <c r="BA4801">
        <v>70</v>
      </c>
      <c r="BE4801" t="str">
        <f>T("9791137017245")</f>
        <v>9791137017245</v>
      </c>
      <c r="BF4801" t="str">
        <f>T("k200259")</f>
        <v>k200259</v>
      </c>
      <c r="BG4801" t="str">
        <f>T("판타지 웹소설 &gt; 퓨전 판타지")</f>
        <v>판타지 웹소설 &gt; 퓨전 판타지</v>
      </c>
    </row>
    <row r="4802" spans="1:59">
      <c r="A4802" t="s">
        <v>60</v>
      </c>
      <c r="B4802" s="1">
        <v>46131</v>
      </c>
      <c r="C4802">
        <v>2378057438</v>
      </c>
      <c r="D4802">
        <v>2378059848</v>
      </c>
      <c r="E4802" t="str">
        <f>T("재벌에서 광복군까지 218화")</f>
        <v>재벌에서 광복군까지 218화</v>
      </c>
      <c r="F4802">
        <v>218</v>
      </c>
      <c r="G4802" t="str">
        <f>T("빛나는구름")</f>
        <v>빛나는구름</v>
      </c>
      <c r="J4802" t="str">
        <f>T("사이렌")</f>
        <v>사이렌</v>
      </c>
      <c r="K4802" t="str">
        <f>T("재벌에서 광복군까지")</f>
        <v>재벌에서 광복군까지</v>
      </c>
      <c r="L4802">
        <v>100</v>
      </c>
      <c r="M4802">
        <v>100</v>
      </c>
      <c r="N4802">
        <v>1</v>
      </c>
      <c r="O4802">
        <v>0</v>
      </c>
      <c r="P4802">
        <v>0</v>
      </c>
      <c r="Q4802">
        <v>0</v>
      </c>
      <c r="R4802">
        <v>0</v>
      </c>
      <c r="S4802">
        <v>0</v>
      </c>
      <c r="T4802">
        <v>0</v>
      </c>
      <c r="U4802">
        <v>0</v>
      </c>
      <c r="V4802">
        <v>0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0</v>
      </c>
      <c r="AC4802">
        <v>0</v>
      </c>
      <c r="AD4802">
        <v>0</v>
      </c>
      <c r="AE4802">
        <v>0</v>
      </c>
      <c r="AF4802">
        <v>0</v>
      </c>
      <c r="AG4802">
        <v>0</v>
      </c>
      <c r="AH4802">
        <v>0</v>
      </c>
      <c r="AI4802">
        <v>100</v>
      </c>
      <c r="AJ4802">
        <v>1</v>
      </c>
      <c r="AK4802">
        <v>0</v>
      </c>
      <c r="AL4802">
        <v>0</v>
      </c>
      <c r="AM4802">
        <v>100</v>
      </c>
      <c r="AN4802">
        <v>0</v>
      </c>
      <c r="AO4802">
        <v>0</v>
      </c>
      <c r="AP4802">
        <v>0</v>
      </c>
      <c r="AQ4802">
        <v>0</v>
      </c>
      <c r="AS4802">
        <v>0</v>
      </c>
      <c r="AT4802">
        <v>0</v>
      </c>
      <c r="AV4802">
        <v>0</v>
      </c>
      <c r="AW4802">
        <v>0</v>
      </c>
      <c r="AY4802">
        <v>0</v>
      </c>
      <c r="AZ4802">
        <v>0</v>
      </c>
      <c r="BA4802">
        <v>70</v>
      </c>
      <c r="BE4802" t="str">
        <f>T("9791137017245")</f>
        <v>9791137017245</v>
      </c>
      <c r="BF4802" t="str">
        <f>T("k200260")</f>
        <v>k200260</v>
      </c>
      <c r="BG4802" t="str">
        <f>T("판타지 웹소설 &gt; 퓨전 판타지")</f>
        <v>판타지 웹소설 &gt; 퓨전 판타지</v>
      </c>
    </row>
    <row r="4803" spans="1:59">
      <c r="A4803" t="s">
        <v>60</v>
      </c>
      <c r="B4803" s="1">
        <v>46131</v>
      </c>
      <c r="C4803">
        <v>2378057438</v>
      </c>
      <c r="D4803">
        <v>2378059849</v>
      </c>
      <c r="E4803" t="str">
        <f>T("재벌에서 광복군까지 219화")</f>
        <v>재벌에서 광복군까지 219화</v>
      </c>
      <c r="F4803">
        <v>219</v>
      </c>
      <c r="G4803" t="str">
        <f>T("빛나는구름")</f>
        <v>빛나는구름</v>
      </c>
      <c r="J4803" t="str">
        <f>T("사이렌")</f>
        <v>사이렌</v>
      </c>
      <c r="K4803" t="str">
        <f>T("재벌에서 광복군까지")</f>
        <v>재벌에서 광복군까지</v>
      </c>
      <c r="L4803">
        <v>100</v>
      </c>
      <c r="M4803">
        <v>100</v>
      </c>
      <c r="N4803">
        <v>1</v>
      </c>
      <c r="O4803">
        <v>0</v>
      </c>
      <c r="P4803">
        <v>0</v>
      </c>
      <c r="Q4803">
        <v>0</v>
      </c>
      <c r="R4803">
        <v>0</v>
      </c>
      <c r="S4803">
        <v>0</v>
      </c>
      <c r="T4803">
        <v>0</v>
      </c>
      <c r="U4803">
        <v>0</v>
      </c>
      <c r="V4803">
        <v>0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0</v>
      </c>
      <c r="AC4803">
        <v>0</v>
      </c>
      <c r="AD4803">
        <v>0</v>
      </c>
      <c r="AE4803">
        <v>0</v>
      </c>
      <c r="AF4803">
        <v>0</v>
      </c>
      <c r="AG4803">
        <v>0</v>
      </c>
      <c r="AH4803">
        <v>0</v>
      </c>
      <c r="AI4803">
        <v>100</v>
      </c>
      <c r="AJ4803">
        <v>1</v>
      </c>
      <c r="AK4803">
        <v>0</v>
      </c>
      <c r="AL4803">
        <v>0</v>
      </c>
      <c r="AM4803">
        <v>100</v>
      </c>
      <c r="AN4803">
        <v>0</v>
      </c>
      <c r="AO4803">
        <v>0</v>
      </c>
      <c r="AP4803">
        <v>0</v>
      </c>
      <c r="AQ4803">
        <v>0</v>
      </c>
      <c r="AS4803">
        <v>0</v>
      </c>
      <c r="AT4803">
        <v>0</v>
      </c>
      <c r="AV4803">
        <v>0</v>
      </c>
      <c r="AW4803">
        <v>0</v>
      </c>
      <c r="AY4803">
        <v>0</v>
      </c>
      <c r="AZ4803">
        <v>0</v>
      </c>
      <c r="BA4803">
        <v>70</v>
      </c>
      <c r="BE4803" t="str">
        <f>T("9791137017245")</f>
        <v>9791137017245</v>
      </c>
      <c r="BF4803" t="str">
        <f>T("k201572")</f>
        <v>k201572</v>
      </c>
      <c r="BG4803" t="str">
        <f>T("판타지 웹소설 &gt; 퓨전 판타지")</f>
        <v>판타지 웹소설 &gt; 퓨전 판타지</v>
      </c>
    </row>
    <row r="4804" spans="1:59">
      <c r="A4804" t="s">
        <v>60</v>
      </c>
      <c r="B4804" s="1">
        <v>46131</v>
      </c>
      <c r="C4804">
        <v>2378057438</v>
      </c>
      <c r="D4804">
        <v>2378059850</v>
      </c>
      <c r="E4804" t="str">
        <f>T("재벌에서 광복군까지 220화")</f>
        <v>재벌에서 광복군까지 220화</v>
      </c>
      <c r="F4804">
        <v>220</v>
      </c>
      <c r="G4804" t="str">
        <f>T("빛나는구름")</f>
        <v>빛나는구름</v>
      </c>
      <c r="J4804" t="str">
        <f>T("사이렌")</f>
        <v>사이렌</v>
      </c>
      <c r="K4804" t="str">
        <f>T("재벌에서 광복군까지")</f>
        <v>재벌에서 광복군까지</v>
      </c>
      <c r="L4804">
        <v>100</v>
      </c>
      <c r="M4804">
        <v>100</v>
      </c>
      <c r="N4804">
        <v>1</v>
      </c>
      <c r="O4804">
        <v>0</v>
      </c>
      <c r="P4804">
        <v>0</v>
      </c>
      <c r="Q4804">
        <v>0</v>
      </c>
      <c r="R4804">
        <v>0</v>
      </c>
      <c r="S4804">
        <v>0</v>
      </c>
      <c r="T4804">
        <v>0</v>
      </c>
      <c r="U4804">
        <v>0</v>
      </c>
      <c r="V4804">
        <v>0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0</v>
      </c>
      <c r="AC4804">
        <v>0</v>
      </c>
      <c r="AD4804">
        <v>0</v>
      </c>
      <c r="AE4804">
        <v>0</v>
      </c>
      <c r="AF4804">
        <v>0</v>
      </c>
      <c r="AG4804">
        <v>0</v>
      </c>
      <c r="AH4804">
        <v>0</v>
      </c>
      <c r="AI4804">
        <v>100</v>
      </c>
      <c r="AJ4804">
        <v>1</v>
      </c>
      <c r="AK4804">
        <v>0</v>
      </c>
      <c r="AL4804">
        <v>0</v>
      </c>
      <c r="AM4804">
        <v>100</v>
      </c>
      <c r="AN4804">
        <v>0</v>
      </c>
      <c r="AO4804">
        <v>0</v>
      </c>
      <c r="AP4804">
        <v>0</v>
      </c>
      <c r="AQ4804">
        <v>0</v>
      </c>
      <c r="AS4804">
        <v>0</v>
      </c>
      <c r="AT4804">
        <v>0</v>
      </c>
      <c r="AV4804">
        <v>0</v>
      </c>
      <c r="AW4804">
        <v>0</v>
      </c>
      <c r="AY4804">
        <v>0</v>
      </c>
      <c r="AZ4804">
        <v>0</v>
      </c>
      <c r="BA4804">
        <v>70</v>
      </c>
      <c r="BE4804" t="str">
        <f>T("9791137017245")</f>
        <v>9791137017245</v>
      </c>
      <c r="BF4804" t="str">
        <f>T("k201573")</f>
        <v>k201573</v>
      </c>
      <c r="BG4804" t="str">
        <f>T("판타지 웹소설 &gt; 퓨전 판타지")</f>
        <v>판타지 웹소설 &gt; 퓨전 판타지</v>
      </c>
    </row>
    <row r="4805" spans="1:59">
      <c r="A4805" t="s">
        <v>60</v>
      </c>
      <c r="B4805" s="1">
        <v>46131</v>
      </c>
      <c r="C4805">
        <v>2378057438</v>
      </c>
      <c r="D4805">
        <v>2378059851</v>
      </c>
      <c r="E4805" t="str">
        <f>T("재벌에서 광복군까지 221화")</f>
        <v>재벌에서 광복군까지 221화</v>
      </c>
      <c r="F4805">
        <v>221</v>
      </c>
      <c r="G4805" t="str">
        <f>T("빛나는구름")</f>
        <v>빛나는구름</v>
      </c>
      <c r="J4805" t="str">
        <f>T("사이렌")</f>
        <v>사이렌</v>
      </c>
      <c r="K4805" t="str">
        <f>T("재벌에서 광복군까지")</f>
        <v>재벌에서 광복군까지</v>
      </c>
      <c r="L4805">
        <v>100</v>
      </c>
      <c r="M4805">
        <v>100</v>
      </c>
      <c r="N4805">
        <v>1</v>
      </c>
      <c r="O4805">
        <v>0</v>
      </c>
      <c r="P4805">
        <v>0</v>
      </c>
      <c r="Q4805">
        <v>0</v>
      </c>
      <c r="R4805">
        <v>0</v>
      </c>
      <c r="S4805">
        <v>0</v>
      </c>
      <c r="T4805">
        <v>0</v>
      </c>
      <c r="U4805">
        <v>0</v>
      </c>
      <c r="V4805">
        <v>0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0</v>
      </c>
      <c r="AC4805">
        <v>0</v>
      </c>
      <c r="AD4805">
        <v>0</v>
      </c>
      <c r="AE4805">
        <v>0</v>
      </c>
      <c r="AF4805">
        <v>0</v>
      </c>
      <c r="AG4805">
        <v>0</v>
      </c>
      <c r="AH4805">
        <v>0</v>
      </c>
      <c r="AI4805">
        <v>100</v>
      </c>
      <c r="AJ4805">
        <v>1</v>
      </c>
      <c r="AK4805">
        <v>0</v>
      </c>
      <c r="AL4805">
        <v>0</v>
      </c>
      <c r="AM4805">
        <v>100</v>
      </c>
      <c r="AN4805">
        <v>0</v>
      </c>
      <c r="AO4805">
        <v>0</v>
      </c>
      <c r="AP4805">
        <v>0</v>
      </c>
      <c r="AQ4805">
        <v>0</v>
      </c>
      <c r="AS4805">
        <v>0</v>
      </c>
      <c r="AT4805">
        <v>0</v>
      </c>
      <c r="AV4805">
        <v>0</v>
      </c>
      <c r="AW4805">
        <v>0</v>
      </c>
      <c r="AY4805">
        <v>0</v>
      </c>
      <c r="AZ4805">
        <v>0</v>
      </c>
      <c r="BA4805">
        <v>70</v>
      </c>
      <c r="BE4805" t="str">
        <f>T("9791137017245")</f>
        <v>9791137017245</v>
      </c>
      <c r="BF4805" t="str">
        <f>T("k201574")</f>
        <v>k201574</v>
      </c>
      <c r="BG4805" t="str">
        <f>T("판타지 웹소설 &gt; 퓨전 판타지")</f>
        <v>판타지 웹소설 &gt; 퓨전 판타지</v>
      </c>
    </row>
    <row r="4806" spans="1:59">
      <c r="A4806" t="s">
        <v>60</v>
      </c>
      <c r="B4806" s="1">
        <v>46131</v>
      </c>
      <c r="C4806">
        <v>2378057438</v>
      </c>
      <c r="D4806">
        <v>2378059852</v>
      </c>
      <c r="E4806" t="str">
        <f>T("재벌에서 광복군까지 222화")</f>
        <v>재벌에서 광복군까지 222화</v>
      </c>
      <c r="F4806">
        <v>222</v>
      </c>
      <c r="G4806" t="str">
        <f>T("빛나는구름")</f>
        <v>빛나는구름</v>
      </c>
      <c r="J4806" t="str">
        <f>T("사이렌")</f>
        <v>사이렌</v>
      </c>
      <c r="K4806" t="str">
        <f>T("재벌에서 광복군까지")</f>
        <v>재벌에서 광복군까지</v>
      </c>
      <c r="L4806">
        <v>100</v>
      </c>
      <c r="M4806">
        <v>100</v>
      </c>
      <c r="N4806">
        <v>1</v>
      </c>
      <c r="O4806">
        <v>0</v>
      </c>
      <c r="P4806">
        <v>0</v>
      </c>
      <c r="Q4806">
        <v>0</v>
      </c>
      <c r="R4806">
        <v>0</v>
      </c>
      <c r="S4806">
        <v>0</v>
      </c>
      <c r="T4806">
        <v>0</v>
      </c>
      <c r="U4806">
        <v>0</v>
      </c>
      <c r="V4806">
        <v>0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0</v>
      </c>
      <c r="AC4806">
        <v>0</v>
      </c>
      <c r="AD4806">
        <v>0</v>
      </c>
      <c r="AE4806">
        <v>0</v>
      </c>
      <c r="AF4806">
        <v>0</v>
      </c>
      <c r="AG4806">
        <v>0</v>
      </c>
      <c r="AH4806">
        <v>0</v>
      </c>
      <c r="AI4806">
        <v>100</v>
      </c>
      <c r="AJ4806">
        <v>1</v>
      </c>
      <c r="AK4806">
        <v>0</v>
      </c>
      <c r="AL4806">
        <v>0</v>
      </c>
      <c r="AM4806">
        <v>100</v>
      </c>
      <c r="AN4806">
        <v>0</v>
      </c>
      <c r="AO4806">
        <v>0</v>
      </c>
      <c r="AP4806">
        <v>0</v>
      </c>
      <c r="AQ4806">
        <v>0</v>
      </c>
      <c r="AS4806">
        <v>0</v>
      </c>
      <c r="AT4806">
        <v>0</v>
      </c>
      <c r="AV4806">
        <v>0</v>
      </c>
      <c r="AW4806">
        <v>0</v>
      </c>
      <c r="AY4806">
        <v>0</v>
      </c>
      <c r="AZ4806">
        <v>0</v>
      </c>
      <c r="BA4806">
        <v>70</v>
      </c>
      <c r="BE4806" t="str">
        <f>T("9791137017245")</f>
        <v>9791137017245</v>
      </c>
      <c r="BF4806" t="str">
        <f>T("k201575")</f>
        <v>k201575</v>
      </c>
      <c r="BG4806" t="str">
        <f>T("판타지 웹소설 &gt; 퓨전 판타지")</f>
        <v>판타지 웹소설 &gt; 퓨전 판타지</v>
      </c>
    </row>
    <row r="4807" spans="1:59">
      <c r="A4807" t="s">
        <v>60</v>
      </c>
      <c r="B4807" s="1">
        <v>46131</v>
      </c>
      <c r="C4807">
        <v>2378057438</v>
      </c>
      <c r="D4807">
        <v>2378059853</v>
      </c>
      <c r="E4807" t="str">
        <f>T("재벌에서 광복군까지 223화")</f>
        <v>재벌에서 광복군까지 223화</v>
      </c>
      <c r="F4807">
        <v>223</v>
      </c>
      <c r="G4807" t="str">
        <f>T("빛나는구름")</f>
        <v>빛나는구름</v>
      </c>
      <c r="J4807" t="str">
        <f>T("사이렌")</f>
        <v>사이렌</v>
      </c>
      <c r="K4807" t="str">
        <f>T("재벌에서 광복군까지")</f>
        <v>재벌에서 광복군까지</v>
      </c>
      <c r="L4807">
        <v>100</v>
      </c>
      <c r="M4807">
        <v>100</v>
      </c>
      <c r="N4807">
        <v>1</v>
      </c>
      <c r="O4807">
        <v>0</v>
      </c>
      <c r="P4807">
        <v>0</v>
      </c>
      <c r="Q4807">
        <v>0</v>
      </c>
      <c r="R4807">
        <v>0</v>
      </c>
      <c r="S4807">
        <v>0</v>
      </c>
      <c r="T4807">
        <v>0</v>
      </c>
      <c r="U4807">
        <v>0</v>
      </c>
      <c r="V4807">
        <v>0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0</v>
      </c>
      <c r="AC4807">
        <v>0</v>
      </c>
      <c r="AD4807">
        <v>0</v>
      </c>
      <c r="AE4807">
        <v>0</v>
      </c>
      <c r="AF4807">
        <v>0</v>
      </c>
      <c r="AG4807">
        <v>0</v>
      </c>
      <c r="AH4807">
        <v>0</v>
      </c>
      <c r="AI4807">
        <v>100</v>
      </c>
      <c r="AJ4807">
        <v>1</v>
      </c>
      <c r="AK4807">
        <v>0</v>
      </c>
      <c r="AL4807">
        <v>0</v>
      </c>
      <c r="AM4807">
        <v>100</v>
      </c>
      <c r="AN4807">
        <v>0</v>
      </c>
      <c r="AO4807">
        <v>0</v>
      </c>
      <c r="AP4807">
        <v>0</v>
      </c>
      <c r="AQ4807">
        <v>0</v>
      </c>
      <c r="AS4807">
        <v>0</v>
      </c>
      <c r="AT4807">
        <v>0</v>
      </c>
      <c r="AV4807">
        <v>0</v>
      </c>
      <c r="AW4807">
        <v>0</v>
      </c>
      <c r="AY4807">
        <v>0</v>
      </c>
      <c r="AZ4807">
        <v>0</v>
      </c>
      <c r="BA4807">
        <v>70</v>
      </c>
      <c r="BE4807" t="str">
        <f>T("9791137017245")</f>
        <v>9791137017245</v>
      </c>
      <c r="BF4807" t="str">
        <f>T("k201576")</f>
        <v>k201576</v>
      </c>
      <c r="BG4807" t="str">
        <f>T("판타지 웹소설 &gt; 퓨전 판타지")</f>
        <v>판타지 웹소설 &gt; 퓨전 판타지</v>
      </c>
    </row>
    <row r="4808" spans="1:59">
      <c r="A4808" t="s">
        <v>60</v>
      </c>
      <c r="B4808" s="1">
        <v>46131</v>
      </c>
      <c r="C4808">
        <v>2378057438</v>
      </c>
      <c r="D4808">
        <v>2378060121</v>
      </c>
      <c r="E4808" t="str">
        <f>T("재벌에서 광복군까지 224화")</f>
        <v>재벌에서 광복군까지 224화</v>
      </c>
      <c r="F4808">
        <v>224</v>
      </c>
      <c r="G4808" t="str">
        <f>T("빛나는구름")</f>
        <v>빛나는구름</v>
      </c>
      <c r="J4808" t="str">
        <f>T("사이렌")</f>
        <v>사이렌</v>
      </c>
      <c r="K4808" t="str">
        <f>T("재벌에서 광복군까지")</f>
        <v>재벌에서 광복군까지</v>
      </c>
      <c r="L4808">
        <v>100</v>
      </c>
      <c r="M4808">
        <v>100</v>
      </c>
      <c r="N4808">
        <v>1</v>
      </c>
      <c r="O4808">
        <v>0</v>
      </c>
      <c r="P4808">
        <v>0</v>
      </c>
      <c r="Q4808">
        <v>0</v>
      </c>
      <c r="R4808">
        <v>0</v>
      </c>
      <c r="S4808">
        <v>0</v>
      </c>
      <c r="T4808">
        <v>0</v>
      </c>
      <c r="U4808">
        <v>0</v>
      </c>
      <c r="V4808">
        <v>0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0</v>
      </c>
      <c r="AC4808">
        <v>0</v>
      </c>
      <c r="AD4808">
        <v>0</v>
      </c>
      <c r="AE4808">
        <v>0</v>
      </c>
      <c r="AF4808">
        <v>0</v>
      </c>
      <c r="AG4808">
        <v>0</v>
      </c>
      <c r="AH4808">
        <v>0</v>
      </c>
      <c r="AI4808">
        <v>100</v>
      </c>
      <c r="AJ4808">
        <v>1</v>
      </c>
      <c r="AK4808">
        <v>0</v>
      </c>
      <c r="AL4808">
        <v>0</v>
      </c>
      <c r="AM4808">
        <v>100</v>
      </c>
      <c r="AN4808">
        <v>0</v>
      </c>
      <c r="AO4808">
        <v>0</v>
      </c>
      <c r="AP4808">
        <v>0</v>
      </c>
      <c r="AQ4808">
        <v>0</v>
      </c>
      <c r="AS4808">
        <v>0</v>
      </c>
      <c r="AT4808">
        <v>0</v>
      </c>
      <c r="AV4808">
        <v>0</v>
      </c>
      <c r="AW4808">
        <v>0</v>
      </c>
      <c r="AY4808">
        <v>0</v>
      </c>
      <c r="AZ4808">
        <v>0</v>
      </c>
      <c r="BA4808">
        <v>70</v>
      </c>
      <c r="BE4808" t="str">
        <f>T("9791137017245")</f>
        <v>9791137017245</v>
      </c>
      <c r="BF4808" t="str">
        <f>T("k201577")</f>
        <v>k201577</v>
      </c>
      <c r="BG4808" t="str">
        <f>T("판타지 웹소설 &gt; 퓨전 판타지")</f>
        <v>판타지 웹소설 &gt; 퓨전 판타지</v>
      </c>
    </row>
    <row r="4809" spans="1:59">
      <c r="A4809" t="s">
        <v>60</v>
      </c>
      <c r="B4809" s="1">
        <v>46131</v>
      </c>
      <c r="C4809">
        <v>2378057438</v>
      </c>
      <c r="D4809">
        <v>2378060122</v>
      </c>
      <c r="E4809" t="str">
        <f>T("재벌에서 광복군까지 225화")</f>
        <v>재벌에서 광복군까지 225화</v>
      </c>
      <c r="F4809">
        <v>225</v>
      </c>
      <c r="G4809" t="str">
        <f>T("빛나는구름")</f>
        <v>빛나는구름</v>
      </c>
      <c r="J4809" t="str">
        <f>T("사이렌")</f>
        <v>사이렌</v>
      </c>
      <c r="K4809" t="str">
        <f>T("재벌에서 광복군까지")</f>
        <v>재벌에서 광복군까지</v>
      </c>
      <c r="L4809">
        <v>100</v>
      </c>
      <c r="M4809">
        <v>100</v>
      </c>
      <c r="N4809">
        <v>1</v>
      </c>
      <c r="O4809">
        <v>0</v>
      </c>
      <c r="P4809">
        <v>0</v>
      </c>
      <c r="Q4809">
        <v>0</v>
      </c>
      <c r="R4809">
        <v>0</v>
      </c>
      <c r="S4809">
        <v>0</v>
      </c>
      <c r="T4809">
        <v>0</v>
      </c>
      <c r="U4809">
        <v>0</v>
      </c>
      <c r="V4809">
        <v>0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0</v>
      </c>
      <c r="AC4809">
        <v>0</v>
      </c>
      <c r="AD4809">
        <v>0</v>
      </c>
      <c r="AE4809">
        <v>0</v>
      </c>
      <c r="AF4809">
        <v>0</v>
      </c>
      <c r="AG4809">
        <v>0</v>
      </c>
      <c r="AH4809">
        <v>0</v>
      </c>
      <c r="AI4809">
        <v>100</v>
      </c>
      <c r="AJ4809">
        <v>1</v>
      </c>
      <c r="AK4809">
        <v>0</v>
      </c>
      <c r="AL4809">
        <v>0</v>
      </c>
      <c r="AM4809">
        <v>100</v>
      </c>
      <c r="AN4809">
        <v>0</v>
      </c>
      <c r="AO4809">
        <v>0</v>
      </c>
      <c r="AP4809">
        <v>0</v>
      </c>
      <c r="AQ4809">
        <v>0</v>
      </c>
      <c r="AS4809">
        <v>0</v>
      </c>
      <c r="AT4809">
        <v>0</v>
      </c>
      <c r="AV4809">
        <v>0</v>
      </c>
      <c r="AW4809">
        <v>0</v>
      </c>
      <c r="AY4809">
        <v>0</v>
      </c>
      <c r="AZ4809">
        <v>0</v>
      </c>
      <c r="BA4809">
        <v>70</v>
      </c>
      <c r="BE4809" t="str">
        <f>T("9791137017245")</f>
        <v>9791137017245</v>
      </c>
      <c r="BF4809" t="str">
        <f>T("k201578")</f>
        <v>k201578</v>
      </c>
      <c r="BG4809" t="str">
        <f>T("판타지 웹소설 &gt; 퓨전 판타지")</f>
        <v>판타지 웹소설 &gt; 퓨전 판타지</v>
      </c>
    </row>
    <row r="4810" spans="1:59">
      <c r="A4810" t="s">
        <v>60</v>
      </c>
      <c r="B4810" s="1">
        <v>46131</v>
      </c>
      <c r="C4810">
        <v>2378057438</v>
      </c>
      <c r="D4810">
        <v>2378060123</v>
      </c>
      <c r="E4810" t="str">
        <f>T("재벌에서 광복군까지 226화")</f>
        <v>재벌에서 광복군까지 226화</v>
      </c>
      <c r="F4810">
        <v>226</v>
      </c>
      <c r="G4810" t="str">
        <f>T("빛나는구름")</f>
        <v>빛나는구름</v>
      </c>
      <c r="J4810" t="str">
        <f>T("사이렌")</f>
        <v>사이렌</v>
      </c>
      <c r="K4810" t="str">
        <f>T("재벌에서 광복군까지")</f>
        <v>재벌에서 광복군까지</v>
      </c>
      <c r="L4810">
        <v>100</v>
      </c>
      <c r="M4810">
        <v>100</v>
      </c>
      <c r="N4810">
        <v>1</v>
      </c>
      <c r="O4810">
        <v>0</v>
      </c>
      <c r="P4810">
        <v>0</v>
      </c>
      <c r="Q4810">
        <v>0</v>
      </c>
      <c r="R4810">
        <v>0</v>
      </c>
      <c r="S4810">
        <v>0</v>
      </c>
      <c r="T4810">
        <v>0</v>
      </c>
      <c r="U4810">
        <v>0</v>
      </c>
      <c r="V4810">
        <v>0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0</v>
      </c>
      <c r="AC4810">
        <v>0</v>
      </c>
      <c r="AD4810">
        <v>0</v>
      </c>
      <c r="AE4810">
        <v>0</v>
      </c>
      <c r="AF4810">
        <v>0</v>
      </c>
      <c r="AG4810">
        <v>0</v>
      </c>
      <c r="AH4810">
        <v>0</v>
      </c>
      <c r="AI4810">
        <v>100</v>
      </c>
      <c r="AJ4810">
        <v>1</v>
      </c>
      <c r="AK4810">
        <v>0</v>
      </c>
      <c r="AL4810">
        <v>0</v>
      </c>
      <c r="AM4810">
        <v>100</v>
      </c>
      <c r="AN4810">
        <v>0</v>
      </c>
      <c r="AO4810">
        <v>0</v>
      </c>
      <c r="AP4810">
        <v>0</v>
      </c>
      <c r="AQ4810">
        <v>0</v>
      </c>
      <c r="AS4810">
        <v>0</v>
      </c>
      <c r="AT4810">
        <v>0</v>
      </c>
      <c r="AV4810">
        <v>0</v>
      </c>
      <c r="AW4810">
        <v>0</v>
      </c>
      <c r="AY4810">
        <v>0</v>
      </c>
      <c r="AZ4810">
        <v>0</v>
      </c>
      <c r="BA4810">
        <v>70</v>
      </c>
      <c r="BE4810" t="str">
        <f>T("9791137017245")</f>
        <v>9791137017245</v>
      </c>
      <c r="BF4810" t="str">
        <f>T("k205631")</f>
        <v>k205631</v>
      </c>
      <c r="BG4810" t="str">
        <f>T("판타지 웹소설 &gt; 퓨전 판타지")</f>
        <v>판타지 웹소설 &gt; 퓨전 판타지</v>
      </c>
    </row>
    <row r="4811" spans="1:59">
      <c r="A4811" t="s">
        <v>60</v>
      </c>
      <c r="B4811" s="1">
        <v>46131</v>
      </c>
      <c r="C4811">
        <v>2378057438</v>
      </c>
      <c r="D4811">
        <v>2378060124</v>
      </c>
      <c r="E4811" t="str">
        <f>T("재벌에서 광복군까지 227화")</f>
        <v>재벌에서 광복군까지 227화</v>
      </c>
      <c r="F4811">
        <v>227</v>
      </c>
      <c r="G4811" t="str">
        <f>T("빛나는구름")</f>
        <v>빛나는구름</v>
      </c>
      <c r="J4811" t="str">
        <f>T("사이렌")</f>
        <v>사이렌</v>
      </c>
      <c r="K4811" t="str">
        <f>T("재벌에서 광복군까지")</f>
        <v>재벌에서 광복군까지</v>
      </c>
      <c r="L4811">
        <v>100</v>
      </c>
      <c r="M4811">
        <v>100</v>
      </c>
      <c r="N4811">
        <v>1</v>
      </c>
      <c r="O4811">
        <v>0</v>
      </c>
      <c r="P4811">
        <v>0</v>
      </c>
      <c r="Q4811">
        <v>0</v>
      </c>
      <c r="R4811">
        <v>0</v>
      </c>
      <c r="S4811">
        <v>0</v>
      </c>
      <c r="T4811">
        <v>0</v>
      </c>
      <c r="U4811">
        <v>0</v>
      </c>
      <c r="V4811">
        <v>0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0</v>
      </c>
      <c r="AC4811">
        <v>0</v>
      </c>
      <c r="AD4811">
        <v>0</v>
      </c>
      <c r="AE4811">
        <v>0</v>
      </c>
      <c r="AF4811">
        <v>0</v>
      </c>
      <c r="AG4811">
        <v>0</v>
      </c>
      <c r="AH4811">
        <v>0</v>
      </c>
      <c r="AI4811">
        <v>100</v>
      </c>
      <c r="AJ4811">
        <v>1</v>
      </c>
      <c r="AK4811">
        <v>0</v>
      </c>
      <c r="AL4811">
        <v>0</v>
      </c>
      <c r="AM4811">
        <v>100</v>
      </c>
      <c r="AN4811">
        <v>0</v>
      </c>
      <c r="AO4811">
        <v>0</v>
      </c>
      <c r="AP4811">
        <v>0</v>
      </c>
      <c r="AQ4811">
        <v>0</v>
      </c>
      <c r="AS4811">
        <v>0</v>
      </c>
      <c r="AT4811">
        <v>0</v>
      </c>
      <c r="AV4811">
        <v>0</v>
      </c>
      <c r="AW4811">
        <v>0</v>
      </c>
      <c r="AY4811">
        <v>0</v>
      </c>
      <c r="AZ4811">
        <v>0</v>
      </c>
      <c r="BA4811">
        <v>70</v>
      </c>
      <c r="BE4811" t="str">
        <f>T("9791137017245")</f>
        <v>9791137017245</v>
      </c>
      <c r="BF4811" t="str">
        <f>T("k205632")</f>
        <v>k205632</v>
      </c>
      <c r="BG4811" t="str">
        <f>T("판타지 웹소설 &gt; 퓨전 판타지")</f>
        <v>판타지 웹소설 &gt; 퓨전 판타지</v>
      </c>
    </row>
    <row r="4812" spans="1:59">
      <c r="A4812" t="s">
        <v>60</v>
      </c>
      <c r="B4812" s="1">
        <v>46131</v>
      </c>
      <c r="C4812">
        <v>2378057438</v>
      </c>
      <c r="D4812">
        <v>2378060165</v>
      </c>
      <c r="E4812" t="str">
        <f>T("재벌에서 광복군까지 228화")</f>
        <v>재벌에서 광복군까지 228화</v>
      </c>
      <c r="F4812">
        <v>228</v>
      </c>
      <c r="G4812" t="str">
        <f>T("빛나는구름")</f>
        <v>빛나는구름</v>
      </c>
      <c r="J4812" t="str">
        <f>T("사이렌")</f>
        <v>사이렌</v>
      </c>
      <c r="K4812" t="str">
        <f>T("재벌에서 광복군까지")</f>
        <v>재벌에서 광복군까지</v>
      </c>
      <c r="L4812">
        <v>100</v>
      </c>
      <c r="M4812">
        <v>100</v>
      </c>
      <c r="N4812">
        <v>1</v>
      </c>
      <c r="O4812">
        <v>0</v>
      </c>
      <c r="P4812">
        <v>0</v>
      </c>
      <c r="Q4812">
        <v>0</v>
      </c>
      <c r="R4812">
        <v>0</v>
      </c>
      <c r="S4812">
        <v>0</v>
      </c>
      <c r="T4812">
        <v>0</v>
      </c>
      <c r="U4812">
        <v>0</v>
      </c>
      <c r="V4812">
        <v>0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0</v>
      </c>
      <c r="AC4812">
        <v>0</v>
      </c>
      <c r="AD4812">
        <v>0</v>
      </c>
      <c r="AE4812">
        <v>0</v>
      </c>
      <c r="AF4812">
        <v>0</v>
      </c>
      <c r="AG4812">
        <v>0</v>
      </c>
      <c r="AH4812">
        <v>0</v>
      </c>
      <c r="AI4812">
        <v>100</v>
      </c>
      <c r="AJ4812">
        <v>1</v>
      </c>
      <c r="AK4812">
        <v>0</v>
      </c>
      <c r="AL4812">
        <v>0</v>
      </c>
      <c r="AM4812">
        <v>100</v>
      </c>
      <c r="AN4812">
        <v>0</v>
      </c>
      <c r="AO4812">
        <v>0</v>
      </c>
      <c r="AP4812">
        <v>0</v>
      </c>
      <c r="AQ4812">
        <v>0</v>
      </c>
      <c r="AS4812">
        <v>0</v>
      </c>
      <c r="AT4812">
        <v>0</v>
      </c>
      <c r="AV4812">
        <v>0</v>
      </c>
      <c r="AW4812">
        <v>0</v>
      </c>
      <c r="AY4812">
        <v>0</v>
      </c>
      <c r="AZ4812">
        <v>0</v>
      </c>
      <c r="BA4812">
        <v>70</v>
      </c>
      <c r="BE4812" t="str">
        <f>T("9791137017245")</f>
        <v>9791137017245</v>
      </c>
      <c r="BF4812" t="str">
        <f>T("k205633")</f>
        <v>k205633</v>
      </c>
      <c r="BG4812" t="str">
        <f>T("판타지 웹소설 &gt; 퓨전 판타지")</f>
        <v>판타지 웹소설 &gt; 퓨전 판타지</v>
      </c>
    </row>
    <row r="4813" spans="1:59">
      <c r="A4813" t="s">
        <v>60</v>
      </c>
      <c r="B4813" s="1">
        <v>46131</v>
      </c>
      <c r="C4813">
        <v>2378057438</v>
      </c>
      <c r="D4813">
        <v>2378059245</v>
      </c>
      <c r="E4813" t="str">
        <f>T("재벌에서 광복군까지 199화")</f>
        <v>재벌에서 광복군까지 199화</v>
      </c>
      <c r="F4813">
        <v>199</v>
      </c>
      <c r="G4813" t="str">
        <f>T("빛나는구름")</f>
        <v>빛나는구름</v>
      </c>
      <c r="J4813" t="str">
        <f>T("사이렌")</f>
        <v>사이렌</v>
      </c>
      <c r="K4813" t="str">
        <f>T("재벌에서 광복군까지")</f>
        <v>재벌에서 광복군까지</v>
      </c>
      <c r="L4813">
        <v>100</v>
      </c>
      <c r="M4813">
        <v>100</v>
      </c>
      <c r="N4813">
        <v>1</v>
      </c>
      <c r="O4813">
        <v>0</v>
      </c>
      <c r="P4813">
        <v>0</v>
      </c>
      <c r="Q4813">
        <v>0</v>
      </c>
      <c r="R4813">
        <v>0</v>
      </c>
      <c r="S4813">
        <v>0</v>
      </c>
      <c r="T4813">
        <v>0</v>
      </c>
      <c r="U4813">
        <v>0</v>
      </c>
      <c r="V4813">
        <v>0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0</v>
      </c>
      <c r="AC4813">
        <v>0</v>
      </c>
      <c r="AD4813">
        <v>0</v>
      </c>
      <c r="AE4813">
        <v>0</v>
      </c>
      <c r="AF4813">
        <v>0</v>
      </c>
      <c r="AG4813">
        <v>0</v>
      </c>
      <c r="AH4813">
        <v>0</v>
      </c>
      <c r="AI4813">
        <v>100</v>
      </c>
      <c r="AJ4813">
        <v>1</v>
      </c>
      <c r="AK4813">
        <v>0</v>
      </c>
      <c r="AL4813">
        <v>0</v>
      </c>
      <c r="AM4813">
        <v>100</v>
      </c>
      <c r="AN4813">
        <v>0</v>
      </c>
      <c r="AO4813">
        <v>0</v>
      </c>
      <c r="AP4813">
        <v>0</v>
      </c>
      <c r="AQ4813">
        <v>0</v>
      </c>
      <c r="AS4813">
        <v>0</v>
      </c>
      <c r="AT4813">
        <v>0</v>
      </c>
      <c r="AV4813">
        <v>0</v>
      </c>
      <c r="AW4813">
        <v>0</v>
      </c>
      <c r="AY4813">
        <v>0</v>
      </c>
      <c r="AZ4813">
        <v>0</v>
      </c>
      <c r="BA4813">
        <v>70</v>
      </c>
      <c r="BE4813" t="str">
        <f>T("9791137017245")</f>
        <v>9791137017245</v>
      </c>
      <c r="BF4813" t="str">
        <f>T("k150228")</f>
        <v>k150228</v>
      </c>
      <c r="BG4813" t="str">
        <f>T("판타지 웹소설 &gt; 퓨전 판타지")</f>
        <v>판타지 웹소설 &gt; 퓨전 판타지</v>
      </c>
    </row>
    <row r="4814" spans="1:59">
      <c r="A4814" t="s">
        <v>60</v>
      </c>
      <c r="B4814" s="1">
        <v>46131</v>
      </c>
      <c r="C4814">
        <v>2378057438</v>
      </c>
      <c r="D4814">
        <v>2378059246</v>
      </c>
      <c r="E4814" t="str">
        <f>T("재벌에서 광복군까지 200화")</f>
        <v>재벌에서 광복군까지 200화</v>
      </c>
      <c r="F4814">
        <v>200</v>
      </c>
      <c r="G4814" t="str">
        <f>T("빛나는구름")</f>
        <v>빛나는구름</v>
      </c>
      <c r="J4814" t="str">
        <f>T("사이렌")</f>
        <v>사이렌</v>
      </c>
      <c r="K4814" t="str">
        <f>T("재벌에서 광복군까지")</f>
        <v>재벌에서 광복군까지</v>
      </c>
      <c r="L4814">
        <v>100</v>
      </c>
      <c r="M4814">
        <v>100</v>
      </c>
      <c r="N4814">
        <v>1</v>
      </c>
      <c r="O4814">
        <v>0</v>
      </c>
      <c r="P4814">
        <v>0</v>
      </c>
      <c r="Q4814">
        <v>0</v>
      </c>
      <c r="R4814">
        <v>0</v>
      </c>
      <c r="S4814">
        <v>0</v>
      </c>
      <c r="T4814">
        <v>0</v>
      </c>
      <c r="U4814">
        <v>0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0</v>
      </c>
      <c r="AC4814">
        <v>0</v>
      </c>
      <c r="AD4814">
        <v>0</v>
      </c>
      <c r="AE4814">
        <v>0</v>
      </c>
      <c r="AF4814">
        <v>0</v>
      </c>
      <c r="AG4814">
        <v>0</v>
      </c>
      <c r="AH4814">
        <v>0</v>
      </c>
      <c r="AI4814">
        <v>100</v>
      </c>
      <c r="AJ4814">
        <v>1</v>
      </c>
      <c r="AK4814">
        <v>0</v>
      </c>
      <c r="AL4814">
        <v>0</v>
      </c>
      <c r="AM4814">
        <v>100</v>
      </c>
      <c r="AN4814">
        <v>0</v>
      </c>
      <c r="AO4814">
        <v>0</v>
      </c>
      <c r="AP4814">
        <v>0</v>
      </c>
      <c r="AQ4814">
        <v>0</v>
      </c>
      <c r="AS4814">
        <v>0</v>
      </c>
      <c r="AT4814">
        <v>0</v>
      </c>
      <c r="AV4814">
        <v>0</v>
      </c>
      <c r="AW4814">
        <v>0</v>
      </c>
      <c r="AY4814">
        <v>0</v>
      </c>
      <c r="AZ4814">
        <v>0</v>
      </c>
      <c r="BA4814">
        <v>70</v>
      </c>
      <c r="BE4814" t="str">
        <f>T("9791137017245")</f>
        <v>9791137017245</v>
      </c>
      <c r="BF4814" t="str">
        <f>T("k150229")</f>
        <v>k150229</v>
      </c>
      <c r="BG4814" t="str">
        <f>T("판타지 웹소설 &gt; 퓨전 판타지")</f>
        <v>판타지 웹소설 &gt; 퓨전 판타지</v>
      </c>
    </row>
    <row r="4815" spans="1:59">
      <c r="A4815" t="s">
        <v>60</v>
      </c>
      <c r="B4815" s="1">
        <v>46131</v>
      </c>
      <c r="C4815">
        <v>2378057438</v>
      </c>
      <c r="D4815">
        <v>2378059247</v>
      </c>
      <c r="E4815" t="str">
        <f>T("재벌에서 광복군까지 201화")</f>
        <v>재벌에서 광복군까지 201화</v>
      </c>
      <c r="F4815">
        <v>201</v>
      </c>
      <c r="G4815" t="str">
        <f>T("빛나는구름")</f>
        <v>빛나는구름</v>
      </c>
      <c r="J4815" t="str">
        <f>T("사이렌")</f>
        <v>사이렌</v>
      </c>
      <c r="K4815" t="str">
        <f>T("재벌에서 광복군까지")</f>
        <v>재벌에서 광복군까지</v>
      </c>
      <c r="L4815">
        <v>100</v>
      </c>
      <c r="M4815">
        <v>100</v>
      </c>
      <c r="N4815">
        <v>1</v>
      </c>
      <c r="O4815">
        <v>0</v>
      </c>
      <c r="P4815">
        <v>0</v>
      </c>
      <c r="Q4815">
        <v>0</v>
      </c>
      <c r="R4815">
        <v>0</v>
      </c>
      <c r="S4815">
        <v>0</v>
      </c>
      <c r="T4815">
        <v>0</v>
      </c>
      <c r="U4815">
        <v>0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0</v>
      </c>
      <c r="AC4815">
        <v>0</v>
      </c>
      <c r="AD4815">
        <v>0</v>
      </c>
      <c r="AE4815">
        <v>0</v>
      </c>
      <c r="AF4815">
        <v>0</v>
      </c>
      <c r="AG4815">
        <v>0</v>
      </c>
      <c r="AH4815">
        <v>0</v>
      </c>
      <c r="AI4815">
        <v>100</v>
      </c>
      <c r="AJ4815">
        <v>1</v>
      </c>
      <c r="AK4815">
        <v>0</v>
      </c>
      <c r="AL4815">
        <v>0</v>
      </c>
      <c r="AM4815">
        <v>100</v>
      </c>
      <c r="AN4815">
        <v>0</v>
      </c>
      <c r="AO4815">
        <v>0</v>
      </c>
      <c r="AP4815">
        <v>0</v>
      </c>
      <c r="AQ4815">
        <v>0</v>
      </c>
      <c r="AS4815">
        <v>0</v>
      </c>
      <c r="AT4815">
        <v>0</v>
      </c>
      <c r="AV4815">
        <v>0</v>
      </c>
      <c r="AW4815">
        <v>0</v>
      </c>
      <c r="AY4815">
        <v>0</v>
      </c>
      <c r="AZ4815">
        <v>0</v>
      </c>
      <c r="BA4815">
        <v>70</v>
      </c>
      <c r="BE4815" t="str">
        <f>T("9791137017245")</f>
        <v>9791137017245</v>
      </c>
      <c r="BF4815" t="str">
        <f>T("k198191")</f>
        <v>k198191</v>
      </c>
      <c r="BG4815" t="str">
        <f>T("판타지 웹소설 &gt; 퓨전 판타지")</f>
        <v>판타지 웹소설 &gt; 퓨전 판타지</v>
      </c>
    </row>
    <row r="4816" spans="1:59">
      <c r="A4816" t="s">
        <v>60</v>
      </c>
      <c r="B4816" s="1">
        <v>46131</v>
      </c>
      <c r="C4816">
        <v>2378057438</v>
      </c>
      <c r="D4816">
        <v>2378059248</v>
      </c>
      <c r="E4816" t="str">
        <f>T("재벌에서 광복군까지 202화")</f>
        <v>재벌에서 광복군까지 202화</v>
      </c>
      <c r="F4816">
        <v>202</v>
      </c>
      <c r="G4816" t="str">
        <f>T("빛나는구름")</f>
        <v>빛나는구름</v>
      </c>
      <c r="J4816" t="str">
        <f>T("사이렌")</f>
        <v>사이렌</v>
      </c>
      <c r="K4816" t="str">
        <f>T("재벌에서 광복군까지")</f>
        <v>재벌에서 광복군까지</v>
      </c>
      <c r="L4816">
        <v>100</v>
      </c>
      <c r="M4816">
        <v>100</v>
      </c>
      <c r="N4816">
        <v>1</v>
      </c>
      <c r="O4816">
        <v>0</v>
      </c>
      <c r="P4816">
        <v>0</v>
      </c>
      <c r="Q4816">
        <v>0</v>
      </c>
      <c r="R4816">
        <v>0</v>
      </c>
      <c r="S4816">
        <v>0</v>
      </c>
      <c r="T4816">
        <v>0</v>
      </c>
      <c r="U4816">
        <v>0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0</v>
      </c>
      <c r="AC4816">
        <v>0</v>
      </c>
      <c r="AD4816">
        <v>0</v>
      </c>
      <c r="AE4816">
        <v>0</v>
      </c>
      <c r="AF4816">
        <v>0</v>
      </c>
      <c r="AG4816">
        <v>0</v>
      </c>
      <c r="AH4816">
        <v>0</v>
      </c>
      <c r="AI4816">
        <v>100</v>
      </c>
      <c r="AJ4816">
        <v>1</v>
      </c>
      <c r="AK4816">
        <v>0</v>
      </c>
      <c r="AL4816">
        <v>0</v>
      </c>
      <c r="AM4816">
        <v>100</v>
      </c>
      <c r="AN4816">
        <v>0</v>
      </c>
      <c r="AO4816">
        <v>0</v>
      </c>
      <c r="AP4816">
        <v>0</v>
      </c>
      <c r="AQ4816">
        <v>0</v>
      </c>
      <c r="AS4816">
        <v>0</v>
      </c>
      <c r="AT4816">
        <v>0</v>
      </c>
      <c r="AV4816">
        <v>0</v>
      </c>
      <c r="AW4816">
        <v>0</v>
      </c>
      <c r="AY4816">
        <v>0</v>
      </c>
      <c r="AZ4816">
        <v>0</v>
      </c>
      <c r="BA4816">
        <v>70</v>
      </c>
      <c r="BE4816" t="str">
        <f>T("9791137017245")</f>
        <v>9791137017245</v>
      </c>
      <c r="BF4816" t="str">
        <f>T("k198192")</f>
        <v>k198192</v>
      </c>
      <c r="BG4816" t="str">
        <f>T("판타지 웹소설 &gt; 퓨전 판타지")</f>
        <v>판타지 웹소설 &gt; 퓨전 판타지</v>
      </c>
    </row>
    <row r="4817" spans="1:59">
      <c r="A4817" t="s">
        <v>60</v>
      </c>
      <c r="B4817" s="1">
        <v>46131</v>
      </c>
      <c r="C4817">
        <v>2378057438</v>
      </c>
      <c r="D4817">
        <v>2378059318</v>
      </c>
      <c r="E4817" t="str">
        <f>T("재벌에서 광복군까지 203화")</f>
        <v>재벌에서 광복군까지 203화</v>
      </c>
      <c r="F4817">
        <v>203</v>
      </c>
      <c r="G4817" t="str">
        <f>T("빛나는구름")</f>
        <v>빛나는구름</v>
      </c>
      <c r="J4817" t="str">
        <f>T("사이렌")</f>
        <v>사이렌</v>
      </c>
      <c r="K4817" t="str">
        <f>T("재벌에서 광복군까지")</f>
        <v>재벌에서 광복군까지</v>
      </c>
      <c r="L4817">
        <v>100</v>
      </c>
      <c r="M4817">
        <v>100</v>
      </c>
      <c r="N4817">
        <v>1</v>
      </c>
      <c r="O4817">
        <v>0</v>
      </c>
      <c r="P4817">
        <v>0</v>
      </c>
      <c r="Q4817">
        <v>0</v>
      </c>
      <c r="R4817">
        <v>0</v>
      </c>
      <c r="S4817">
        <v>0</v>
      </c>
      <c r="T4817">
        <v>0</v>
      </c>
      <c r="U4817">
        <v>0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0</v>
      </c>
      <c r="AC4817">
        <v>0</v>
      </c>
      <c r="AD4817">
        <v>0</v>
      </c>
      <c r="AE4817">
        <v>0</v>
      </c>
      <c r="AF4817">
        <v>0</v>
      </c>
      <c r="AG4817">
        <v>0</v>
      </c>
      <c r="AH4817">
        <v>0</v>
      </c>
      <c r="AI4817">
        <v>100</v>
      </c>
      <c r="AJ4817">
        <v>1</v>
      </c>
      <c r="AK4817">
        <v>0</v>
      </c>
      <c r="AL4817">
        <v>0</v>
      </c>
      <c r="AM4817">
        <v>100</v>
      </c>
      <c r="AN4817">
        <v>0</v>
      </c>
      <c r="AO4817">
        <v>0</v>
      </c>
      <c r="AP4817">
        <v>0</v>
      </c>
      <c r="AQ4817">
        <v>0</v>
      </c>
      <c r="AS4817">
        <v>0</v>
      </c>
      <c r="AT4817">
        <v>0</v>
      </c>
      <c r="AV4817">
        <v>0</v>
      </c>
      <c r="AW4817">
        <v>0</v>
      </c>
      <c r="AY4817">
        <v>0</v>
      </c>
      <c r="AZ4817">
        <v>0</v>
      </c>
      <c r="BA4817">
        <v>70</v>
      </c>
      <c r="BE4817" t="str">
        <f>T("9791137017245")</f>
        <v>9791137017245</v>
      </c>
      <c r="BF4817" t="str">
        <f>T("k198193")</f>
        <v>k198193</v>
      </c>
      <c r="BG4817" t="str">
        <f>T("판타지 웹소설 &gt; 퓨전 판타지")</f>
        <v>판타지 웹소설 &gt; 퓨전 판타지</v>
      </c>
    </row>
    <row r="4818" spans="1:59">
      <c r="A4818" t="s">
        <v>60</v>
      </c>
      <c r="B4818" s="1">
        <v>46131</v>
      </c>
      <c r="C4818">
        <v>2378057438</v>
      </c>
      <c r="D4818">
        <v>2378059319</v>
      </c>
      <c r="E4818" t="str">
        <f>T("재벌에서 광복군까지 204화")</f>
        <v>재벌에서 광복군까지 204화</v>
      </c>
      <c r="F4818">
        <v>204</v>
      </c>
      <c r="G4818" t="str">
        <f>T("빛나는구름")</f>
        <v>빛나는구름</v>
      </c>
      <c r="J4818" t="str">
        <f>T("사이렌")</f>
        <v>사이렌</v>
      </c>
      <c r="K4818" t="str">
        <f>T("재벌에서 광복군까지")</f>
        <v>재벌에서 광복군까지</v>
      </c>
      <c r="L4818">
        <v>100</v>
      </c>
      <c r="M4818">
        <v>100</v>
      </c>
      <c r="N4818">
        <v>1</v>
      </c>
      <c r="O4818">
        <v>0</v>
      </c>
      <c r="P4818">
        <v>0</v>
      </c>
      <c r="Q4818">
        <v>0</v>
      </c>
      <c r="R4818">
        <v>0</v>
      </c>
      <c r="S4818">
        <v>0</v>
      </c>
      <c r="T4818">
        <v>0</v>
      </c>
      <c r="U4818">
        <v>0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0</v>
      </c>
      <c r="AC4818">
        <v>0</v>
      </c>
      <c r="AD4818">
        <v>0</v>
      </c>
      <c r="AE4818">
        <v>0</v>
      </c>
      <c r="AF4818">
        <v>0</v>
      </c>
      <c r="AG4818">
        <v>0</v>
      </c>
      <c r="AH4818">
        <v>0</v>
      </c>
      <c r="AI4818">
        <v>100</v>
      </c>
      <c r="AJ4818">
        <v>1</v>
      </c>
      <c r="AK4818">
        <v>0</v>
      </c>
      <c r="AL4818">
        <v>0</v>
      </c>
      <c r="AM4818">
        <v>100</v>
      </c>
      <c r="AN4818">
        <v>0</v>
      </c>
      <c r="AO4818">
        <v>0</v>
      </c>
      <c r="AP4818">
        <v>0</v>
      </c>
      <c r="AQ4818">
        <v>0</v>
      </c>
      <c r="AS4818">
        <v>0</v>
      </c>
      <c r="AT4818">
        <v>0</v>
      </c>
      <c r="AV4818">
        <v>0</v>
      </c>
      <c r="AW4818">
        <v>0</v>
      </c>
      <c r="AY4818">
        <v>0</v>
      </c>
      <c r="AZ4818">
        <v>0</v>
      </c>
      <c r="BA4818">
        <v>70</v>
      </c>
      <c r="BE4818" t="str">
        <f>T("9791137017245")</f>
        <v>9791137017245</v>
      </c>
      <c r="BF4818" t="str">
        <f>T("k198194")</f>
        <v>k198194</v>
      </c>
      <c r="BG4818" t="str">
        <f>T("판타지 웹소설 &gt; 퓨전 판타지")</f>
        <v>판타지 웹소설 &gt; 퓨전 판타지</v>
      </c>
    </row>
    <row r="4819" spans="1:59">
      <c r="A4819" t="s">
        <v>60</v>
      </c>
      <c r="B4819" s="1">
        <v>46131</v>
      </c>
      <c r="C4819">
        <v>2378057438</v>
      </c>
      <c r="D4819">
        <v>2378059320</v>
      </c>
      <c r="E4819" t="str">
        <f>T("재벌에서 광복군까지 205화")</f>
        <v>재벌에서 광복군까지 205화</v>
      </c>
      <c r="F4819">
        <v>205</v>
      </c>
      <c r="G4819" t="str">
        <f>T("빛나는구름")</f>
        <v>빛나는구름</v>
      </c>
      <c r="J4819" t="str">
        <f>T("사이렌")</f>
        <v>사이렌</v>
      </c>
      <c r="K4819" t="str">
        <f>T("재벌에서 광복군까지")</f>
        <v>재벌에서 광복군까지</v>
      </c>
      <c r="L4819">
        <v>100</v>
      </c>
      <c r="M4819">
        <v>100</v>
      </c>
      <c r="N4819">
        <v>1</v>
      </c>
      <c r="O4819">
        <v>0</v>
      </c>
      <c r="P4819">
        <v>0</v>
      </c>
      <c r="Q4819">
        <v>0</v>
      </c>
      <c r="R4819">
        <v>0</v>
      </c>
      <c r="S4819">
        <v>0</v>
      </c>
      <c r="T4819">
        <v>0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0</v>
      </c>
      <c r="AC4819">
        <v>0</v>
      </c>
      <c r="AD4819">
        <v>0</v>
      </c>
      <c r="AE4819">
        <v>0</v>
      </c>
      <c r="AF4819">
        <v>0</v>
      </c>
      <c r="AG4819">
        <v>0</v>
      </c>
      <c r="AH4819">
        <v>0</v>
      </c>
      <c r="AI4819">
        <v>100</v>
      </c>
      <c r="AJ4819">
        <v>1</v>
      </c>
      <c r="AK4819">
        <v>0</v>
      </c>
      <c r="AL4819">
        <v>0</v>
      </c>
      <c r="AM4819">
        <v>100</v>
      </c>
      <c r="AN4819">
        <v>0</v>
      </c>
      <c r="AO4819">
        <v>0</v>
      </c>
      <c r="AP4819">
        <v>0</v>
      </c>
      <c r="AQ4819">
        <v>0</v>
      </c>
      <c r="AS4819">
        <v>0</v>
      </c>
      <c r="AT4819">
        <v>0</v>
      </c>
      <c r="AV4819">
        <v>0</v>
      </c>
      <c r="AW4819">
        <v>0</v>
      </c>
      <c r="AY4819">
        <v>0</v>
      </c>
      <c r="AZ4819">
        <v>0</v>
      </c>
      <c r="BA4819">
        <v>70</v>
      </c>
      <c r="BE4819" t="str">
        <f>T("9791137017245")</f>
        <v>9791137017245</v>
      </c>
      <c r="BF4819" t="str">
        <f>T("k198195")</f>
        <v>k198195</v>
      </c>
      <c r="BG4819" t="str">
        <f>T("판타지 웹소설 &gt; 퓨전 판타지")</f>
        <v>판타지 웹소설 &gt; 퓨전 판타지</v>
      </c>
    </row>
    <row r="4820" spans="1:59">
      <c r="A4820" t="s">
        <v>60</v>
      </c>
      <c r="B4820" s="1">
        <v>46131</v>
      </c>
      <c r="C4820">
        <v>2378057438</v>
      </c>
      <c r="D4820">
        <v>2378060166</v>
      </c>
      <c r="E4820" t="str">
        <f>T("재벌에서 광복군까지 229화")</f>
        <v>재벌에서 광복군까지 229화</v>
      </c>
      <c r="F4820">
        <v>229</v>
      </c>
      <c r="G4820" t="str">
        <f>T("빛나는구름")</f>
        <v>빛나는구름</v>
      </c>
      <c r="J4820" t="str">
        <f>T("사이렌")</f>
        <v>사이렌</v>
      </c>
      <c r="K4820" t="str">
        <f>T("재벌에서 광복군까지")</f>
        <v>재벌에서 광복군까지</v>
      </c>
      <c r="L4820">
        <v>100</v>
      </c>
      <c r="M4820">
        <v>100</v>
      </c>
      <c r="N4820">
        <v>1</v>
      </c>
      <c r="O4820">
        <v>0</v>
      </c>
      <c r="P4820">
        <v>0</v>
      </c>
      <c r="Q4820">
        <v>0</v>
      </c>
      <c r="R4820">
        <v>0</v>
      </c>
      <c r="S4820">
        <v>0</v>
      </c>
      <c r="T4820">
        <v>0</v>
      </c>
      <c r="U4820">
        <v>0</v>
      </c>
      <c r="V4820">
        <v>0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0</v>
      </c>
      <c r="AC4820">
        <v>0</v>
      </c>
      <c r="AD4820">
        <v>0</v>
      </c>
      <c r="AE4820">
        <v>0</v>
      </c>
      <c r="AF4820">
        <v>0</v>
      </c>
      <c r="AG4820">
        <v>0</v>
      </c>
      <c r="AH4820">
        <v>0</v>
      </c>
      <c r="AI4820">
        <v>100</v>
      </c>
      <c r="AJ4820">
        <v>1</v>
      </c>
      <c r="AK4820">
        <v>0</v>
      </c>
      <c r="AL4820">
        <v>0</v>
      </c>
      <c r="AM4820">
        <v>100</v>
      </c>
      <c r="AN4820">
        <v>0</v>
      </c>
      <c r="AO4820">
        <v>0</v>
      </c>
      <c r="AP4820">
        <v>0</v>
      </c>
      <c r="AQ4820">
        <v>0</v>
      </c>
      <c r="AS4820">
        <v>0</v>
      </c>
      <c r="AT4820">
        <v>0</v>
      </c>
      <c r="AV4820">
        <v>0</v>
      </c>
      <c r="AW4820">
        <v>0</v>
      </c>
      <c r="AY4820">
        <v>0</v>
      </c>
      <c r="AZ4820">
        <v>0</v>
      </c>
      <c r="BA4820">
        <v>70</v>
      </c>
      <c r="BE4820" t="str">
        <f>T("9791137017245")</f>
        <v>9791137017245</v>
      </c>
      <c r="BF4820" t="str">
        <f>T("k205634")</f>
        <v>k205634</v>
      </c>
      <c r="BG4820" t="str">
        <f>T("판타지 웹소설 &gt; 퓨전 판타지")</f>
        <v>판타지 웹소설 &gt; 퓨전 판타지</v>
      </c>
    </row>
    <row r="4821" spans="1:59">
      <c r="A4821" t="s">
        <v>60</v>
      </c>
      <c r="B4821" s="1">
        <v>46131</v>
      </c>
      <c r="C4821">
        <v>2378057438</v>
      </c>
      <c r="D4821">
        <v>2378060167</v>
      </c>
      <c r="E4821" t="str">
        <f>T("재벌에서 광복군까지 230화")</f>
        <v>재벌에서 광복군까지 230화</v>
      </c>
      <c r="F4821">
        <v>230</v>
      </c>
      <c r="G4821" t="str">
        <f>T("빛나는구름")</f>
        <v>빛나는구름</v>
      </c>
      <c r="J4821" t="str">
        <f>T("사이렌")</f>
        <v>사이렌</v>
      </c>
      <c r="K4821" t="str">
        <f>T("재벌에서 광복군까지")</f>
        <v>재벌에서 광복군까지</v>
      </c>
      <c r="L4821">
        <v>100</v>
      </c>
      <c r="M4821">
        <v>100</v>
      </c>
      <c r="N4821">
        <v>1</v>
      </c>
      <c r="O4821">
        <v>0</v>
      </c>
      <c r="P4821">
        <v>0</v>
      </c>
      <c r="Q4821">
        <v>0</v>
      </c>
      <c r="R4821">
        <v>0</v>
      </c>
      <c r="S4821">
        <v>0</v>
      </c>
      <c r="T4821">
        <v>0</v>
      </c>
      <c r="U4821">
        <v>0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0</v>
      </c>
      <c r="AC4821">
        <v>0</v>
      </c>
      <c r="AD4821">
        <v>0</v>
      </c>
      <c r="AE4821">
        <v>0</v>
      </c>
      <c r="AF4821">
        <v>0</v>
      </c>
      <c r="AG4821">
        <v>0</v>
      </c>
      <c r="AH4821">
        <v>0</v>
      </c>
      <c r="AI4821">
        <v>100</v>
      </c>
      <c r="AJ4821">
        <v>1</v>
      </c>
      <c r="AK4821">
        <v>0</v>
      </c>
      <c r="AL4821">
        <v>0</v>
      </c>
      <c r="AM4821">
        <v>100</v>
      </c>
      <c r="AN4821">
        <v>0</v>
      </c>
      <c r="AO4821">
        <v>0</v>
      </c>
      <c r="AP4821">
        <v>0</v>
      </c>
      <c r="AQ4821">
        <v>0</v>
      </c>
      <c r="AS4821">
        <v>0</v>
      </c>
      <c r="AT4821">
        <v>0</v>
      </c>
      <c r="AV4821">
        <v>0</v>
      </c>
      <c r="AW4821">
        <v>0</v>
      </c>
      <c r="AY4821">
        <v>0</v>
      </c>
      <c r="AZ4821">
        <v>0</v>
      </c>
      <c r="BA4821">
        <v>70</v>
      </c>
      <c r="BE4821" t="str">
        <f>T("9791137017245")</f>
        <v>9791137017245</v>
      </c>
      <c r="BF4821" t="str">
        <f>T("k205635")</f>
        <v>k205635</v>
      </c>
      <c r="BG4821" t="str">
        <f>T("판타지 웹소설 &gt; 퓨전 판타지")</f>
        <v>판타지 웹소설 &gt; 퓨전 판타지</v>
      </c>
    </row>
    <row r="4822" spans="1:59">
      <c r="A4822" t="s">
        <v>60</v>
      </c>
      <c r="B4822" s="1">
        <v>46131</v>
      </c>
      <c r="C4822">
        <v>2378057438</v>
      </c>
      <c r="D4822">
        <v>2378060458</v>
      </c>
      <c r="E4822" t="str">
        <f>T("재벌에서 광복군까지 231화")</f>
        <v>재벌에서 광복군까지 231화</v>
      </c>
      <c r="F4822">
        <v>231</v>
      </c>
      <c r="G4822" t="str">
        <f>T("빛나는구름")</f>
        <v>빛나는구름</v>
      </c>
      <c r="J4822" t="str">
        <f>T("사이렌")</f>
        <v>사이렌</v>
      </c>
      <c r="K4822" t="str">
        <f>T("재벌에서 광복군까지")</f>
        <v>재벌에서 광복군까지</v>
      </c>
      <c r="L4822">
        <v>100</v>
      </c>
      <c r="M4822">
        <v>100</v>
      </c>
      <c r="N4822">
        <v>1</v>
      </c>
      <c r="O4822">
        <v>0</v>
      </c>
      <c r="P4822">
        <v>0</v>
      </c>
      <c r="Q4822">
        <v>0</v>
      </c>
      <c r="R4822">
        <v>0</v>
      </c>
      <c r="S4822">
        <v>0</v>
      </c>
      <c r="T4822">
        <v>0</v>
      </c>
      <c r="U4822">
        <v>0</v>
      </c>
      <c r="V4822">
        <v>0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0</v>
      </c>
      <c r="AC4822">
        <v>0</v>
      </c>
      <c r="AD4822">
        <v>0</v>
      </c>
      <c r="AE4822">
        <v>0</v>
      </c>
      <c r="AF4822">
        <v>0</v>
      </c>
      <c r="AG4822">
        <v>0</v>
      </c>
      <c r="AH4822">
        <v>0</v>
      </c>
      <c r="AI4822">
        <v>100</v>
      </c>
      <c r="AJ4822">
        <v>1</v>
      </c>
      <c r="AK4822">
        <v>0</v>
      </c>
      <c r="AL4822">
        <v>0</v>
      </c>
      <c r="AM4822">
        <v>100</v>
      </c>
      <c r="AN4822">
        <v>0</v>
      </c>
      <c r="AO4822">
        <v>0</v>
      </c>
      <c r="AP4822">
        <v>0</v>
      </c>
      <c r="AQ4822">
        <v>0</v>
      </c>
      <c r="AS4822">
        <v>0</v>
      </c>
      <c r="AT4822">
        <v>0</v>
      </c>
      <c r="AV4822">
        <v>0</v>
      </c>
      <c r="AW4822">
        <v>0</v>
      </c>
      <c r="AY4822">
        <v>0</v>
      </c>
      <c r="AZ4822">
        <v>0</v>
      </c>
      <c r="BA4822">
        <v>70</v>
      </c>
      <c r="BE4822" t="str">
        <f>T("9791137017245")</f>
        <v>9791137017245</v>
      </c>
      <c r="BF4822" t="str">
        <f>T("k205636")</f>
        <v>k205636</v>
      </c>
      <c r="BG4822" t="str">
        <f>T("판타지 웹소설 &gt; 퓨전 판타지")</f>
        <v>판타지 웹소설 &gt; 퓨전 판타지</v>
      </c>
    </row>
    <row r="4823" spans="1:59">
      <c r="A4823" t="s">
        <v>60</v>
      </c>
      <c r="B4823" s="1">
        <v>46131</v>
      </c>
      <c r="C4823">
        <v>2378057438</v>
      </c>
      <c r="D4823">
        <v>2378060459</v>
      </c>
      <c r="E4823" t="str">
        <f>T("재벌에서 광복군까지 232화")</f>
        <v>재벌에서 광복군까지 232화</v>
      </c>
      <c r="F4823">
        <v>232</v>
      </c>
      <c r="G4823" t="str">
        <f>T("빛나는구름")</f>
        <v>빛나는구름</v>
      </c>
      <c r="J4823" t="str">
        <f>T("사이렌")</f>
        <v>사이렌</v>
      </c>
      <c r="K4823" t="str">
        <f>T("재벌에서 광복군까지")</f>
        <v>재벌에서 광복군까지</v>
      </c>
      <c r="L4823">
        <v>100</v>
      </c>
      <c r="M4823">
        <v>100</v>
      </c>
      <c r="N4823">
        <v>1</v>
      </c>
      <c r="O4823">
        <v>0</v>
      </c>
      <c r="P4823">
        <v>0</v>
      </c>
      <c r="Q4823">
        <v>0</v>
      </c>
      <c r="R4823">
        <v>0</v>
      </c>
      <c r="S4823">
        <v>0</v>
      </c>
      <c r="T4823">
        <v>0</v>
      </c>
      <c r="U4823">
        <v>0</v>
      </c>
      <c r="V4823">
        <v>0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0</v>
      </c>
      <c r="AC4823">
        <v>0</v>
      </c>
      <c r="AD4823">
        <v>0</v>
      </c>
      <c r="AE4823">
        <v>0</v>
      </c>
      <c r="AF4823">
        <v>0</v>
      </c>
      <c r="AG4823">
        <v>0</v>
      </c>
      <c r="AH4823">
        <v>0</v>
      </c>
      <c r="AI4823">
        <v>100</v>
      </c>
      <c r="AJ4823">
        <v>1</v>
      </c>
      <c r="AK4823">
        <v>0</v>
      </c>
      <c r="AL4823">
        <v>0</v>
      </c>
      <c r="AM4823">
        <v>100</v>
      </c>
      <c r="AN4823">
        <v>0</v>
      </c>
      <c r="AO4823">
        <v>0</v>
      </c>
      <c r="AP4823">
        <v>0</v>
      </c>
      <c r="AQ4823">
        <v>0</v>
      </c>
      <c r="AS4823">
        <v>0</v>
      </c>
      <c r="AT4823">
        <v>0</v>
      </c>
      <c r="AV4823">
        <v>0</v>
      </c>
      <c r="AW4823">
        <v>0</v>
      </c>
      <c r="AY4823">
        <v>0</v>
      </c>
      <c r="AZ4823">
        <v>0</v>
      </c>
      <c r="BA4823">
        <v>70</v>
      </c>
      <c r="BE4823" t="str">
        <f>T("9791137017245")</f>
        <v>9791137017245</v>
      </c>
      <c r="BF4823" t="str">
        <f>T("k205637")</f>
        <v>k205637</v>
      </c>
      <c r="BG4823" t="str">
        <f>T("판타지 웹소설 &gt; 퓨전 판타지")</f>
        <v>판타지 웹소설 &gt; 퓨전 판타지</v>
      </c>
    </row>
    <row r="4824" spans="1:59">
      <c r="A4824" t="s">
        <v>60</v>
      </c>
      <c r="B4824" s="1">
        <v>46131</v>
      </c>
      <c r="C4824">
        <v>2378057438</v>
      </c>
      <c r="D4824">
        <v>2378059455</v>
      </c>
      <c r="E4824" t="str">
        <f>T("재벌에서 광복군까지 206화")</f>
        <v>재벌에서 광복군까지 206화</v>
      </c>
      <c r="F4824">
        <v>206</v>
      </c>
      <c r="G4824" t="str">
        <f>T("빛나는구름")</f>
        <v>빛나는구름</v>
      </c>
      <c r="J4824" t="str">
        <f>T("사이렌")</f>
        <v>사이렌</v>
      </c>
      <c r="K4824" t="str">
        <f>T("재벌에서 광복군까지")</f>
        <v>재벌에서 광복군까지</v>
      </c>
      <c r="L4824">
        <v>100</v>
      </c>
      <c r="M4824">
        <v>100</v>
      </c>
      <c r="N4824">
        <v>1</v>
      </c>
      <c r="O4824">
        <v>0</v>
      </c>
      <c r="P4824">
        <v>0</v>
      </c>
      <c r="Q4824">
        <v>0</v>
      </c>
      <c r="R4824">
        <v>0</v>
      </c>
      <c r="S4824">
        <v>0</v>
      </c>
      <c r="T4824">
        <v>0</v>
      </c>
      <c r="U4824">
        <v>0</v>
      </c>
      <c r="V4824">
        <v>0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0</v>
      </c>
      <c r="AC4824">
        <v>0</v>
      </c>
      <c r="AD4824">
        <v>0</v>
      </c>
      <c r="AE4824">
        <v>0</v>
      </c>
      <c r="AF4824">
        <v>0</v>
      </c>
      <c r="AG4824">
        <v>0</v>
      </c>
      <c r="AH4824">
        <v>0</v>
      </c>
      <c r="AI4824">
        <v>100</v>
      </c>
      <c r="AJ4824">
        <v>1</v>
      </c>
      <c r="AK4824">
        <v>0</v>
      </c>
      <c r="AL4824">
        <v>0</v>
      </c>
      <c r="AM4824">
        <v>100</v>
      </c>
      <c r="AN4824">
        <v>0</v>
      </c>
      <c r="AO4824">
        <v>0</v>
      </c>
      <c r="AP4824">
        <v>0</v>
      </c>
      <c r="AQ4824">
        <v>0</v>
      </c>
      <c r="AS4824">
        <v>0</v>
      </c>
      <c r="AT4824">
        <v>0</v>
      </c>
      <c r="AV4824">
        <v>0</v>
      </c>
      <c r="AW4824">
        <v>0</v>
      </c>
      <c r="AY4824">
        <v>0</v>
      </c>
      <c r="AZ4824">
        <v>0</v>
      </c>
      <c r="BA4824">
        <v>70</v>
      </c>
      <c r="BE4824" t="str">
        <f>T("9791137017245")</f>
        <v>9791137017245</v>
      </c>
      <c r="BF4824" t="str">
        <f>T("k198196")</f>
        <v>k198196</v>
      </c>
      <c r="BG4824" t="str">
        <f>T("판타지 웹소설 &gt; 퓨전 판타지")</f>
        <v>판타지 웹소설 &gt; 퓨전 판타지</v>
      </c>
    </row>
    <row r="4825" spans="1:59">
      <c r="A4825" t="s">
        <v>60</v>
      </c>
      <c r="B4825" s="1">
        <v>46131</v>
      </c>
      <c r="C4825">
        <v>2378057438</v>
      </c>
      <c r="D4825">
        <v>2378059456</v>
      </c>
      <c r="E4825" t="str">
        <f>T("재벌에서 광복군까지 207화")</f>
        <v>재벌에서 광복군까지 207화</v>
      </c>
      <c r="F4825">
        <v>207</v>
      </c>
      <c r="G4825" t="str">
        <f>T("빛나는구름")</f>
        <v>빛나는구름</v>
      </c>
      <c r="J4825" t="str">
        <f>T("사이렌")</f>
        <v>사이렌</v>
      </c>
      <c r="K4825" t="str">
        <f>T("재벌에서 광복군까지")</f>
        <v>재벌에서 광복군까지</v>
      </c>
      <c r="L4825">
        <v>100</v>
      </c>
      <c r="M4825">
        <v>100</v>
      </c>
      <c r="N4825">
        <v>1</v>
      </c>
      <c r="O4825">
        <v>0</v>
      </c>
      <c r="P4825">
        <v>0</v>
      </c>
      <c r="Q4825">
        <v>0</v>
      </c>
      <c r="R4825">
        <v>0</v>
      </c>
      <c r="S4825">
        <v>0</v>
      </c>
      <c r="T4825">
        <v>0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0</v>
      </c>
      <c r="AC4825">
        <v>0</v>
      </c>
      <c r="AD4825">
        <v>0</v>
      </c>
      <c r="AE4825">
        <v>0</v>
      </c>
      <c r="AF4825">
        <v>0</v>
      </c>
      <c r="AG4825">
        <v>0</v>
      </c>
      <c r="AH4825">
        <v>0</v>
      </c>
      <c r="AI4825">
        <v>100</v>
      </c>
      <c r="AJ4825">
        <v>1</v>
      </c>
      <c r="AK4825">
        <v>0</v>
      </c>
      <c r="AL4825">
        <v>0</v>
      </c>
      <c r="AM4825">
        <v>100</v>
      </c>
      <c r="AN4825">
        <v>0</v>
      </c>
      <c r="AO4825">
        <v>0</v>
      </c>
      <c r="AP4825">
        <v>0</v>
      </c>
      <c r="AQ4825">
        <v>0</v>
      </c>
      <c r="AS4825">
        <v>0</v>
      </c>
      <c r="AT4825">
        <v>0</v>
      </c>
      <c r="AV4825">
        <v>0</v>
      </c>
      <c r="AW4825">
        <v>0</v>
      </c>
      <c r="AY4825">
        <v>0</v>
      </c>
      <c r="AZ4825">
        <v>0</v>
      </c>
      <c r="BA4825">
        <v>70</v>
      </c>
      <c r="BE4825" t="str">
        <f>T("9791137017245")</f>
        <v>9791137017245</v>
      </c>
      <c r="BF4825" t="str">
        <f>T("k198197")</f>
        <v>k198197</v>
      </c>
      <c r="BG4825" t="str">
        <f>T("판타지 웹소설 &gt; 퓨전 판타지")</f>
        <v>판타지 웹소설 &gt; 퓨전 판타지</v>
      </c>
    </row>
    <row r="4826" spans="1:59">
      <c r="A4826" t="s">
        <v>60</v>
      </c>
      <c r="B4826" s="1">
        <v>46131</v>
      </c>
      <c r="C4826">
        <v>2378057438</v>
      </c>
      <c r="D4826">
        <v>2378059457</v>
      </c>
      <c r="E4826" t="str">
        <f>T("재벌에서 광복군까지 208화")</f>
        <v>재벌에서 광복군까지 208화</v>
      </c>
      <c r="F4826">
        <v>208</v>
      </c>
      <c r="G4826" t="str">
        <f>T("빛나는구름")</f>
        <v>빛나는구름</v>
      </c>
      <c r="J4826" t="str">
        <f>T("사이렌")</f>
        <v>사이렌</v>
      </c>
      <c r="K4826" t="str">
        <f>T("재벌에서 광복군까지")</f>
        <v>재벌에서 광복군까지</v>
      </c>
      <c r="L4826">
        <v>100</v>
      </c>
      <c r="M4826">
        <v>100</v>
      </c>
      <c r="N4826">
        <v>1</v>
      </c>
      <c r="O4826">
        <v>0</v>
      </c>
      <c r="P4826">
        <v>0</v>
      </c>
      <c r="Q4826">
        <v>0</v>
      </c>
      <c r="R4826">
        <v>0</v>
      </c>
      <c r="S4826">
        <v>0</v>
      </c>
      <c r="T4826">
        <v>0</v>
      </c>
      <c r="U4826">
        <v>0</v>
      </c>
      <c r="V4826">
        <v>0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0</v>
      </c>
      <c r="AC4826">
        <v>0</v>
      </c>
      <c r="AD4826">
        <v>0</v>
      </c>
      <c r="AE4826">
        <v>0</v>
      </c>
      <c r="AF4826">
        <v>0</v>
      </c>
      <c r="AG4826">
        <v>0</v>
      </c>
      <c r="AH4826">
        <v>0</v>
      </c>
      <c r="AI4826">
        <v>100</v>
      </c>
      <c r="AJ4826">
        <v>1</v>
      </c>
      <c r="AK4826">
        <v>0</v>
      </c>
      <c r="AL4826">
        <v>0</v>
      </c>
      <c r="AM4826">
        <v>100</v>
      </c>
      <c r="AN4826">
        <v>0</v>
      </c>
      <c r="AO4826">
        <v>0</v>
      </c>
      <c r="AP4826">
        <v>0</v>
      </c>
      <c r="AQ4826">
        <v>0</v>
      </c>
      <c r="AS4826">
        <v>0</v>
      </c>
      <c r="AT4826">
        <v>0</v>
      </c>
      <c r="AV4826">
        <v>0</v>
      </c>
      <c r="AW4826">
        <v>0</v>
      </c>
      <c r="AY4826">
        <v>0</v>
      </c>
      <c r="AZ4826">
        <v>0</v>
      </c>
      <c r="BA4826">
        <v>70</v>
      </c>
      <c r="BE4826" t="str">
        <f>T("9791137017245")</f>
        <v>9791137017245</v>
      </c>
      <c r="BF4826" t="str">
        <f>T("k198198")</f>
        <v>k198198</v>
      </c>
      <c r="BG4826" t="str">
        <f>T("판타지 웹소설 &gt; 퓨전 판타지")</f>
        <v>판타지 웹소설 &gt; 퓨전 판타지</v>
      </c>
    </row>
    <row r="4827" spans="1:59">
      <c r="A4827" t="s">
        <v>60</v>
      </c>
      <c r="B4827" s="1">
        <v>46131</v>
      </c>
      <c r="C4827">
        <v>2378057438</v>
      </c>
      <c r="D4827">
        <v>2378059458</v>
      </c>
      <c r="E4827" t="str">
        <f>T("재벌에서 광복군까지 209화")</f>
        <v>재벌에서 광복군까지 209화</v>
      </c>
      <c r="F4827">
        <v>209</v>
      </c>
      <c r="G4827" t="str">
        <f>T("빛나는구름")</f>
        <v>빛나는구름</v>
      </c>
      <c r="J4827" t="str">
        <f>T("사이렌")</f>
        <v>사이렌</v>
      </c>
      <c r="K4827" t="str">
        <f>T("재벌에서 광복군까지")</f>
        <v>재벌에서 광복군까지</v>
      </c>
      <c r="L4827">
        <v>100</v>
      </c>
      <c r="M4827">
        <v>100</v>
      </c>
      <c r="N4827">
        <v>1</v>
      </c>
      <c r="O4827">
        <v>0</v>
      </c>
      <c r="P4827">
        <v>0</v>
      </c>
      <c r="Q4827">
        <v>0</v>
      </c>
      <c r="R4827">
        <v>0</v>
      </c>
      <c r="S4827">
        <v>0</v>
      </c>
      <c r="T4827">
        <v>0</v>
      </c>
      <c r="U4827">
        <v>0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0</v>
      </c>
      <c r="AC4827">
        <v>0</v>
      </c>
      <c r="AD4827">
        <v>0</v>
      </c>
      <c r="AE4827">
        <v>0</v>
      </c>
      <c r="AF4827">
        <v>0</v>
      </c>
      <c r="AG4827">
        <v>0</v>
      </c>
      <c r="AH4827">
        <v>0</v>
      </c>
      <c r="AI4827">
        <v>100</v>
      </c>
      <c r="AJ4827">
        <v>1</v>
      </c>
      <c r="AK4827">
        <v>0</v>
      </c>
      <c r="AL4827">
        <v>0</v>
      </c>
      <c r="AM4827">
        <v>100</v>
      </c>
      <c r="AN4827">
        <v>0</v>
      </c>
      <c r="AO4827">
        <v>0</v>
      </c>
      <c r="AP4827">
        <v>0</v>
      </c>
      <c r="AQ4827">
        <v>0</v>
      </c>
      <c r="AS4827">
        <v>0</v>
      </c>
      <c r="AT4827">
        <v>0</v>
      </c>
      <c r="AV4827">
        <v>0</v>
      </c>
      <c r="AW4827">
        <v>0</v>
      </c>
      <c r="AY4827">
        <v>0</v>
      </c>
      <c r="AZ4827">
        <v>0</v>
      </c>
      <c r="BA4827">
        <v>70</v>
      </c>
      <c r="BE4827" t="str">
        <f>T("9791137017245")</f>
        <v>9791137017245</v>
      </c>
      <c r="BF4827" t="str">
        <f>T("k198199")</f>
        <v>k198199</v>
      </c>
      <c r="BG4827" t="str">
        <f>T("판타지 웹소설 &gt; 퓨전 판타지")</f>
        <v>판타지 웹소설 &gt; 퓨전 판타지</v>
      </c>
    </row>
    <row r="4828" spans="1:59">
      <c r="A4828" t="s">
        <v>60</v>
      </c>
      <c r="B4828" s="1">
        <v>46131</v>
      </c>
      <c r="C4828">
        <v>2378057438</v>
      </c>
      <c r="D4828">
        <v>2378059459</v>
      </c>
      <c r="E4828" t="str">
        <f>T("재벌에서 광복군까지 210화")</f>
        <v>재벌에서 광복군까지 210화</v>
      </c>
      <c r="F4828">
        <v>210</v>
      </c>
      <c r="G4828" t="str">
        <f>T("빛나는구름")</f>
        <v>빛나는구름</v>
      </c>
      <c r="J4828" t="str">
        <f>T("사이렌")</f>
        <v>사이렌</v>
      </c>
      <c r="K4828" t="str">
        <f>T("재벌에서 광복군까지")</f>
        <v>재벌에서 광복군까지</v>
      </c>
      <c r="L4828">
        <v>100</v>
      </c>
      <c r="M4828">
        <v>100</v>
      </c>
      <c r="N4828">
        <v>1</v>
      </c>
      <c r="O4828">
        <v>0</v>
      </c>
      <c r="P4828">
        <v>0</v>
      </c>
      <c r="Q4828">
        <v>0</v>
      </c>
      <c r="R4828">
        <v>0</v>
      </c>
      <c r="S4828">
        <v>0</v>
      </c>
      <c r="T4828">
        <v>0</v>
      </c>
      <c r="U4828">
        <v>0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0</v>
      </c>
      <c r="AC4828">
        <v>0</v>
      </c>
      <c r="AD4828">
        <v>0</v>
      </c>
      <c r="AE4828">
        <v>0</v>
      </c>
      <c r="AF4828">
        <v>0</v>
      </c>
      <c r="AG4828">
        <v>0</v>
      </c>
      <c r="AH4828">
        <v>0</v>
      </c>
      <c r="AI4828">
        <v>100</v>
      </c>
      <c r="AJ4828">
        <v>1</v>
      </c>
      <c r="AK4828">
        <v>0</v>
      </c>
      <c r="AL4828">
        <v>0</v>
      </c>
      <c r="AM4828">
        <v>100</v>
      </c>
      <c r="AN4828">
        <v>0</v>
      </c>
      <c r="AO4828">
        <v>0</v>
      </c>
      <c r="AP4828">
        <v>0</v>
      </c>
      <c r="AQ4828">
        <v>0</v>
      </c>
      <c r="AS4828">
        <v>0</v>
      </c>
      <c r="AT4828">
        <v>0</v>
      </c>
      <c r="AV4828">
        <v>0</v>
      </c>
      <c r="AW4828">
        <v>0</v>
      </c>
      <c r="AY4828">
        <v>0</v>
      </c>
      <c r="AZ4828">
        <v>0</v>
      </c>
      <c r="BA4828">
        <v>70</v>
      </c>
      <c r="BE4828" t="str">
        <f>T("9791137017245")</f>
        <v>9791137017245</v>
      </c>
      <c r="BF4828" t="str">
        <f>T("k198200")</f>
        <v>k198200</v>
      </c>
      <c r="BG4828" t="str">
        <f>T("판타지 웹소설 &gt; 퓨전 판타지")</f>
        <v>판타지 웹소설 &gt; 퓨전 판타지</v>
      </c>
    </row>
    <row r="4829" spans="1:59">
      <c r="A4829" t="s">
        <v>60</v>
      </c>
      <c r="B4829" s="1">
        <v>46131</v>
      </c>
      <c r="C4829">
        <v>2378057438</v>
      </c>
      <c r="D4829">
        <v>2378059460</v>
      </c>
      <c r="E4829" t="str">
        <f>T("재벌에서 광복군까지 211화")</f>
        <v>재벌에서 광복군까지 211화</v>
      </c>
      <c r="F4829">
        <v>211</v>
      </c>
      <c r="G4829" t="str">
        <f>T("빛나는구름")</f>
        <v>빛나는구름</v>
      </c>
      <c r="J4829" t="str">
        <f>T("사이렌")</f>
        <v>사이렌</v>
      </c>
      <c r="K4829" t="str">
        <f>T("재벌에서 광복군까지")</f>
        <v>재벌에서 광복군까지</v>
      </c>
      <c r="L4829">
        <v>100</v>
      </c>
      <c r="M4829">
        <v>100</v>
      </c>
      <c r="N4829">
        <v>1</v>
      </c>
      <c r="O4829">
        <v>0</v>
      </c>
      <c r="P4829">
        <v>0</v>
      </c>
      <c r="Q4829">
        <v>0</v>
      </c>
      <c r="R4829">
        <v>0</v>
      </c>
      <c r="S4829">
        <v>0</v>
      </c>
      <c r="T4829">
        <v>0</v>
      </c>
      <c r="U4829">
        <v>0</v>
      </c>
      <c r="V4829">
        <v>0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0</v>
      </c>
      <c r="AC4829">
        <v>0</v>
      </c>
      <c r="AD4829">
        <v>0</v>
      </c>
      <c r="AE4829">
        <v>0</v>
      </c>
      <c r="AF4829">
        <v>0</v>
      </c>
      <c r="AG4829">
        <v>0</v>
      </c>
      <c r="AH4829">
        <v>0</v>
      </c>
      <c r="AI4829">
        <v>100</v>
      </c>
      <c r="AJ4829">
        <v>1</v>
      </c>
      <c r="AK4829">
        <v>0</v>
      </c>
      <c r="AL4829">
        <v>0</v>
      </c>
      <c r="AM4829">
        <v>100</v>
      </c>
      <c r="AN4829">
        <v>0</v>
      </c>
      <c r="AO4829">
        <v>0</v>
      </c>
      <c r="AP4829">
        <v>0</v>
      </c>
      <c r="AQ4829">
        <v>0</v>
      </c>
      <c r="AS4829">
        <v>0</v>
      </c>
      <c r="AT4829">
        <v>0</v>
      </c>
      <c r="AV4829">
        <v>0</v>
      </c>
      <c r="AW4829">
        <v>0</v>
      </c>
      <c r="AY4829">
        <v>0</v>
      </c>
      <c r="AZ4829">
        <v>0</v>
      </c>
      <c r="BA4829">
        <v>70</v>
      </c>
      <c r="BE4829" t="str">
        <f>T("9791137017245")</f>
        <v>9791137017245</v>
      </c>
      <c r="BF4829" t="str">
        <f>T("k200253")</f>
        <v>k200253</v>
      </c>
      <c r="BG4829" t="str">
        <f>T("판타지 웹소설 &gt; 퓨전 판타지")</f>
        <v>판타지 웹소설 &gt; 퓨전 판타지</v>
      </c>
    </row>
    <row r="4830" spans="1:59">
      <c r="A4830" t="s">
        <v>60</v>
      </c>
      <c r="B4830" s="1">
        <v>46131</v>
      </c>
      <c r="C4830">
        <v>2378057438</v>
      </c>
      <c r="D4830">
        <v>2378059513</v>
      </c>
      <c r="E4830" t="str">
        <f>T("재벌에서 광복군까지 212화")</f>
        <v>재벌에서 광복군까지 212화</v>
      </c>
      <c r="F4830">
        <v>212</v>
      </c>
      <c r="G4830" t="str">
        <f>T("빛나는구름")</f>
        <v>빛나는구름</v>
      </c>
      <c r="J4830" t="str">
        <f>T("사이렌")</f>
        <v>사이렌</v>
      </c>
      <c r="K4830" t="str">
        <f>T("재벌에서 광복군까지")</f>
        <v>재벌에서 광복군까지</v>
      </c>
      <c r="L4830">
        <v>100</v>
      </c>
      <c r="M4830">
        <v>100</v>
      </c>
      <c r="N4830">
        <v>1</v>
      </c>
      <c r="O4830">
        <v>0</v>
      </c>
      <c r="P4830">
        <v>0</v>
      </c>
      <c r="Q4830">
        <v>0</v>
      </c>
      <c r="R4830">
        <v>0</v>
      </c>
      <c r="S4830">
        <v>0</v>
      </c>
      <c r="T4830">
        <v>0</v>
      </c>
      <c r="U4830">
        <v>0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0</v>
      </c>
      <c r="AC4830">
        <v>0</v>
      </c>
      <c r="AD4830">
        <v>0</v>
      </c>
      <c r="AE4830">
        <v>0</v>
      </c>
      <c r="AF4830">
        <v>0</v>
      </c>
      <c r="AG4830">
        <v>0</v>
      </c>
      <c r="AH4830">
        <v>0</v>
      </c>
      <c r="AI4830">
        <v>100</v>
      </c>
      <c r="AJ4830">
        <v>1</v>
      </c>
      <c r="AK4830">
        <v>0</v>
      </c>
      <c r="AL4830">
        <v>0</v>
      </c>
      <c r="AM4830">
        <v>100</v>
      </c>
      <c r="AN4830">
        <v>0</v>
      </c>
      <c r="AO4830">
        <v>0</v>
      </c>
      <c r="AP4830">
        <v>0</v>
      </c>
      <c r="AQ4830">
        <v>0</v>
      </c>
      <c r="AS4830">
        <v>0</v>
      </c>
      <c r="AT4830">
        <v>0</v>
      </c>
      <c r="AV4830">
        <v>0</v>
      </c>
      <c r="AW4830">
        <v>0</v>
      </c>
      <c r="AY4830">
        <v>0</v>
      </c>
      <c r="AZ4830">
        <v>0</v>
      </c>
      <c r="BA4830">
        <v>70</v>
      </c>
      <c r="BE4830" t="str">
        <f>T("9791137017245")</f>
        <v>9791137017245</v>
      </c>
      <c r="BF4830" t="str">
        <f>T("k200254")</f>
        <v>k200254</v>
      </c>
      <c r="BG4830" t="str">
        <f>T("판타지 웹소설 &gt; 퓨전 판타지")</f>
        <v>판타지 웹소설 &gt; 퓨전 판타지</v>
      </c>
    </row>
    <row r="4831" spans="1:59">
      <c r="A4831" t="s">
        <v>60</v>
      </c>
      <c r="B4831" s="1">
        <v>46131</v>
      </c>
      <c r="C4831">
        <v>2378057438</v>
      </c>
      <c r="D4831">
        <v>2378059514</v>
      </c>
      <c r="E4831" t="str">
        <f>T("재벌에서 광복군까지 213화")</f>
        <v>재벌에서 광복군까지 213화</v>
      </c>
      <c r="F4831">
        <v>213</v>
      </c>
      <c r="G4831" t="str">
        <f>T("빛나는구름")</f>
        <v>빛나는구름</v>
      </c>
      <c r="J4831" t="str">
        <f>T("사이렌")</f>
        <v>사이렌</v>
      </c>
      <c r="K4831" t="str">
        <f>T("재벌에서 광복군까지")</f>
        <v>재벌에서 광복군까지</v>
      </c>
      <c r="L4831">
        <v>100</v>
      </c>
      <c r="M4831">
        <v>100</v>
      </c>
      <c r="N4831">
        <v>1</v>
      </c>
      <c r="O4831">
        <v>0</v>
      </c>
      <c r="P4831">
        <v>0</v>
      </c>
      <c r="Q4831">
        <v>0</v>
      </c>
      <c r="R4831">
        <v>0</v>
      </c>
      <c r="S4831">
        <v>0</v>
      </c>
      <c r="T4831">
        <v>0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0</v>
      </c>
      <c r="AC4831">
        <v>0</v>
      </c>
      <c r="AD4831">
        <v>0</v>
      </c>
      <c r="AE4831">
        <v>0</v>
      </c>
      <c r="AF4831">
        <v>0</v>
      </c>
      <c r="AG4831">
        <v>0</v>
      </c>
      <c r="AH4831">
        <v>0</v>
      </c>
      <c r="AI4831">
        <v>100</v>
      </c>
      <c r="AJ4831">
        <v>1</v>
      </c>
      <c r="AK4831">
        <v>0</v>
      </c>
      <c r="AL4831">
        <v>0</v>
      </c>
      <c r="AM4831">
        <v>100</v>
      </c>
      <c r="AN4831">
        <v>0</v>
      </c>
      <c r="AO4831">
        <v>0</v>
      </c>
      <c r="AP4831">
        <v>0</v>
      </c>
      <c r="AQ4831">
        <v>0</v>
      </c>
      <c r="AS4831">
        <v>0</v>
      </c>
      <c r="AT4831">
        <v>0</v>
      </c>
      <c r="AV4831">
        <v>0</v>
      </c>
      <c r="AW4831">
        <v>0</v>
      </c>
      <c r="AY4831">
        <v>0</v>
      </c>
      <c r="AZ4831">
        <v>0</v>
      </c>
      <c r="BA4831">
        <v>70</v>
      </c>
      <c r="BE4831" t="str">
        <f>T("9791137017245")</f>
        <v>9791137017245</v>
      </c>
      <c r="BF4831" t="str">
        <f>T("k200255")</f>
        <v>k200255</v>
      </c>
      <c r="BG4831" t="str">
        <f>T("판타지 웹소설 &gt; 퓨전 판타지")</f>
        <v>판타지 웹소설 &gt; 퓨전 판타지</v>
      </c>
    </row>
    <row r="4832" spans="1:59">
      <c r="A4832" t="s">
        <v>60</v>
      </c>
      <c r="B4832" s="1">
        <v>46131</v>
      </c>
      <c r="C4832">
        <v>2378057438</v>
      </c>
      <c r="D4832">
        <v>2378059515</v>
      </c>
      <c r="E4832" t="str">
        <f>T("재벌에서 광복군까지 214화")</f>
        <v>재벌에서 광복군까지 214화</v>
      </c>
      <c r="F4832">
        <v>214</v>
      </c>
      <c r="G4832" t="str">
        <f>T("빛나는구름")</f>
        <v>빛나는구름</v>
      </c>
      <c r="J4832" t="str">
        <f>T("사이렌")</f>
        <v>사이렌</v>
      </c>
      <c r="K4832" t="str">
        <f>T("재벌에서 광복군까지")</f>
        <v>재벌에서 광복군까지</v>
      </c>
      <c r="L4832">
        <v>100</v>
      </c>
      <c r="M4832">
        <v>100</v>
      </c>
      <c r="N4832">
        <v>1</v>
      </c>
      <c r="O4832">
        <v>0</v>
      </c>
      <c r="P4832">
        <v>0</v>
      </c>
      <c r="Q4832">
        <v>0</v>
      </c>
      <c r="R4832">
        <v>0</v>
      </c>
      <c r="S4832">
        <v>0</v>
      </c>
      <c r="T4832">
        <v>0</v>
      </c>
      <c r="U4832">
        <v>0</v>
      </c>
      <c r="V4832">
        <v>0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0</v>
      </c>
      <c r="AC4832">
        <v>0</v>
      </c>
      <c r="AD4832">
        <v>0</v>
      </c>
      <c r="AE4832">
        <v>0</v>
      </c>
      <c r="AF4832">
        <v>0</v>
      </c>
      <c r="AG4832">
        <v>0</v>
      </c>
      <c r="AH4832">
        <v>0</v>
      </c>
      <c r="AI4832">
        <v>100</v>
      </c>
      <c r="AJ4832">
        <v>1</v>
      </c>
      <c r="AK4832">
        <v>0</v>
      </c>
      <c r="AL4832">
        <v>0</v>
      </c>
      <c r="AM4832">
        <v>100</v>
      </c>
      <c r="AN4832">
        <v>0</v>
      </c>
      <c r="AO4832">
        <v>0</v>
      </c>
      <c r="AP4832">
        <v>0</v>
      </c>
      <c r="AQ4832">
        <v>0</v>
      </c>
      <c r="AS4832">
        <v>0</v>
      </c>
      <c r="AT4832">
        <v>0</v>
      </c>
      <c r="AV4832">
        <v>0</v>
      </c>
      <c r="AW4832">
        <v>0</v>
      </c>
      <c r="AY4832">
        <v>0</v>
      </c>
      <c r="AZ4832">
        <v>0</v>
      </c>
      <c r="BA4832">
        <v>70</v>
      </c>
      <c r="BE4832" t="str">
        <f>T("9791137017245")</f>
        <v>9791137017245</v>
      </c>
      <c r="BF4832" t="str">
        <f>T("k200256")</f>
        <v>k200256</v>
      </c>
      <c r="BG4832" t="str">
        <f>T("판타지 웹소설 &gt; 퓨전 판타지")</f>
        <v>판타지 웹소설 &gt; 퓨전 판타지</v>
      </c>
    </row>
    <row r="4833" spans="1:59">
      <c r="A4833" t="s">
        <v>60</v>
      </c>
      <c r="B4833" s="1">
        <v>46131</v>
      </c>
      <c r="C4833">
        <v>2378057438</v>
      </c>
      <c r="D4833">
        <v>2378060575</v>
      </c>
      <c r="E4833" t="str">
        <f>T("재벌에서 광복군까지 241화")</f>
        <v>재벌에서 광복군까지 241화</v>
      </c>
      <c r="F4833">
        <v>241</v>
      </c>
      <c r="G4833" t="str">
        <f>T("빛나는구름")</f>
        <v>빛나는구름</v>
      </c>
      <c r="J4833" t="str">
        <f>T("사이렌")</f>
        <v>사이렌</v>
      </c>
      <c r="K4833" t="str">
        <f>T("재벌에서 광복군까지")</f>
        <v>재벌에서 광복군까지</v>
      </c>
      <c r="L4833">
        <v>100</v>
      </c>
      <c r="M4833">
        <v>100</v>
      </c>
      <c r="N4833">
        <v>1</v>
      </c>
      <c r="O4833">
        <v>0</v>
      </c>
      <c r="P4833">
        <v>0</v>
      </c>
      <c r="Q4833">
        <v>0</v>
      </c>
      <c r="R4833">
        <v>0</v>
      </c>
      <c r="S4833">
        <v>0</v>
      </c>
      <c r="T4833">
        <v>0</v>
      </c>
      <c r="U4833">
        <v>0</v>
      </c>
      <c r="V4833">
        <v>0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0</v>
      </c>
      <c r="AC4833">
        <v>0</v>
      </c>
      <c r="AD4833">
        <v>0</v>
      </c>
      <c r="AE4833">
        <v>0</v>
      </c>
      <c r="AF4833">
        <v>0</v>
      </c>
      <c r="AG4833">
        <v>0</v>
      </c>
      <c r="AH4833">
        <v>0</v>
      </c>
      <c r="AI4833">
        <v>100</v>
      </c>
      <c r="AJ4833">
        <v>1</v>
      </c>
      <c r="AK4833">
        <v>0</v>
      </c>
      <c r="AL4833">
        <v>0</v>
      </c>
      <c r="AM4833">
        <v>100</v>
      </c>
      <c r="AN4833">
        <v>0</v>
      </c>
      <c r="AO4833">
        <v>0</v>
      </c>
      <c r="AP4833">
        <v>0</v>
      </c>
      <c r="AQ4833">
        <v>0</v>
      </c>
      <c r="AS4833">
        <v>0</v>
      </c>
      <c r="AT4833">
        <v>0</v>
      </c>
      <c r="AV4833">
        <v>0</v>
      </c>
      <c r="AW4833">
        <v>0</v>
      </c>
      <c r="AY4833">
        <v>0</v>
      </c>
      <c r="AZ4833">
        <v>0</v>
      </c>
      <c r="BA4833">
        <v>70</v>
      </c>
      <c r="BE4833" t="str">
        <f>T("9791137017245")</f>
        <v>9791137017245</v>
      </c>
      <c r="BF4833" t="str">
        <f>T("k209730")</f>
        <v>k209730</v>
      </c>
      <c r="BG4833" t="str">
        <f>T("판타지 웹소설 &gt; 퓨전 판타지")</f>
        <v>판타지 웹소설 &gt; 퓨전 판타지</v>
      </c>
    </row>
    <row r="4834" spans="1:59">
      <c r="A4834" t="s">
        <v>60</v>
      </c>
      <c r="B4834" s="1">
        <v>46131</v>
      </c>
      <c r="C4834">
        <v>2378057438</v>
      </c>
      <c r="D4834">
        <v>2378060576</v>
      </c>
      <c r="E4834" t="str">
        <f>T("재벌에서 광복군까지 242화")</f>
        <v>재벌에서 광복군까지 242화</v>
      </c>
      <c r="F4834">
        <v>242</v>
      </c>
      <c r="G4834" t="str">
        <f>T("빛나는구름")</f>
        <v>빛나는구름</v>
      </c>
      <c r="J4834" t="str">
        <f>T("사이렌")</f>
        <v>사이렌</v>
      </c>
      <c r="K4834" t="str">
        <f>T("재벌에서 광복군까지")</f>
        <v>재벌에서 광복군까지</v>
      </c>
      <c r="L4834">
        <v>100</v>
      </c>
      <c r="M4834">
        <v>100</v>
      </c>
      <c r="N4834">
        <v>1</v>
      </c>
      <c r="O4834">
        <v>0</v>
      </c>
      <c r="P4834">
        <v>0</v>
      </c>
      <c r="Q4834">
        <v>0</v>
      </c>
      <c r="R4834">
        <v>0</v>
      </c>
      <c r="S4834">
        <v>0</v>
      </c>
      <c r="T4834">
        <v>0</v>
      </c>
      <c r="U4834">
        <v>0</v>
      </c>
      <c r="V4834">
        <v>0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0</v>
      </c>
      <c r="AC4834">
        <v>0</v>
      </c>
      <c r="AD4834">
        <v>0</v>
      </c>
      <c r="AE4834">
        <v>0</v>
      </c>
      <c r="AF4834">
        <v>0</v>
      </c>
      <c r="AG4834">
        <v>0</v>
      </c>
      <c r="AH4834">
        <v>0</v>
      </c>
      <c r="AI4834">
        <v>100</v>
      </c>
      <c r="AJ4834">
        <v>1</v>
      </c>
      <c r="AK4834">
        <v>0</v>
      </c>
      <c r="AL4834">
        <v>0</v>
      </c>
      <c r="AM4834">
        <v>100</v>
      </c>
      <c r="AN4834">
        <v>0</v>
      </c>
      <c r="AO4834">
        <v>0</v>
      </c>
      <c r="AP4834">
        <v>0</v>
      </c>
      <c r="AQ4834">
        <v>0</v>
      </c>
      <c r="AS4834">
        <v>0</v>
      </c>
      <c r="AT4834">
        <v>0</v>
      </c>
      <c r="AV4834">
        <v>0</v>
      </c>
      <c r="AW4834">
        <v>0</v>
      </c>
      <c r="AY4834">
        <v>0</v>
      </c>
      <c r="AZ4834">
        <v>0</v>
      </c>
      <c r="BA4834">
        <v>70</v>
      </c>
      <c r="BE4834" t="str">
        <f>T("9791137017245")</f>
        <v>9791137017245</v>
      </c>
      <c r="BF4834" t="str">
        <f>T("k209731")</f>
        <v>k209731</v>
      </c>
      <c r="BG4834" t="str">
        <f>T("판타지 웹소설 &gt; 퓨전 판타지")</f>
        <v>판타지 웹소설 &gt; 퓨전 판타지</v>
      </c>
    </row>
    <row r="4835" spans="1:59">
      <c r="A4835" t="s">
        <v>60</v>
      </c>
      <c r="B4835" s="1">
        <v>46131</v>
      </c>
      <c r="C4835">
        <v>2378057438</v>
      </c>
      <c r="D4835">
        <v>2378060460</v>
      </c>
      <c r="E4835" t="str">
        <f>T("재벌에서 광복군까지 233화")</f>
        <v>재벌에서 광복군까지 233화</v>
      </c>
      <c r="F4835">
        <v>233</v>
      </c>
      <c r="G4835" t="str">
        <f>T("빛나는구름")</f>
        <v>빛나는구름</v>
      </c>
      <c r="J4835" t="str">
        <f>T("사이렌")</f>
        <v>사이렌</v>
      </c>
      <c r="K4835" t="str">
        <f>T("재벌에서 광복군까지")</f>
        <v>재벌에서 광복군까지</v>
      </c>
      <c r="L4835">
        <v>100</v>
      </c>
      <c r="M4835">
        <v>100</v>
      </c>
      <c r="N4835">
        <v>1</v>
      </c>
      <c r="O4835">
        <v>0</v>
      </c>
      <c r="P4835">
        <v>0</v>
      </c>
      <c r="Q4835">
        <v>0</v>
      </c>
      <c r="R4835">
        <v>0</v>
      </c>
      <c r="S4835">
        <v>0</v>
      </c>
      <c r="T4835">
        <v>0</v>
      </c>
      <c r="U4835">
        <v>0</v>
      </c>
      <c r="V4835">
        <v>0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0</v>
      </c>
      <c r="AC4835">
        <v>0</v>
      </c>
      <c r="AD4835">
        <v>0</v>
      </c>
      <c r="AE4835">
        <v>0</v>
      </c>
      <c r="AF4835">
        <v>0</v>
      </c>
      <c r="AG4835">
        <v>0</v>
      </c>
      <c r="AH4835">
        <v>0</v>
      </c>
      <c r="AI4835">
        <v>100</v>
      </c>
      <c r="AJ4835">
        <v>1</v>
      </c>
      <c r="AK4835">
        <v>0</v>
      </c>
      <c r="AL4835">
        <v>0</v>
      </c>
      <c r="AM4835">
        <v>100</v>
      </c>
      <c r="AN4835">
        <v>0</v>
      </c>
      <c r="AO4835">
        <v>0</v>
      </c>
      <c r="AP4835">
        <v>0</v>
      </c>
      <c r="AQ4835">
        <v>0</v>
      </c>
      <c r="AS4835">
        <v>0</v>
      </c>
      <c r="AT4835">
        <v>0</v>
      </c>
      <c r="AV4835">
        <v>0</v>
      </c>
      <c r="AW4835">
        <v>0</v>
      </c>
      <c r="AY4835">
        <v>0</v>
      </c>
      <c r="AZ4835">
        <v>0</v>
      </c>
      <c r="BA4835">
        <v>70</v>
      </c>
      <c r="BE4835" t="str">
        <f>T("9791137017245")</f>
        <v>9791137017245</v>
      </c>
      <c r="BF4835" t="str">
        <f>T("k207478")</f>
        <v>k207478</v>
      </c>
      <c r="BG4835" t="str">
        <f>T("판타지 웹소설 &gt; 퓨전 판타지")</f>
        <v>판타지 웹소설 &gt; 퓨전 판타지</v>
      </c>
    </row>
    <row r="4836" spans="1:59">
      <c r="A4836" t="s">
        <v>60</v>
      </c>
      <c r="B4836" s="1">
        <v>46131</v>
      </c>
      <c r="C4836">
        <v>2378057438</v>
      </c>
      <c r="D4836">
        <v>2378060488</v>
      </c>
      <c r="E4836" t="str">
        <f>T("재벌에서 광복군까지 234화")</f>
        <v>재벌에서 광복군까지 234화</v>
      </c>
      <c r="F4836">
        <v>234</v>
      </c>
      <c r="G4836" t="str">
        <f>T("빛나는구름")</f>
        <v>빛나는구름</v>
      </c>
      <c r="J4836" t="str">
        <f>T("사이렌")</f>
        <v>사이렌</v>
      </c>
      <c r="K4836" t="str">
        <f>T("재벌에서 광복군까지")</f>
        <v>재벌에서 광복군까지</v>
      </c>
      <c r="L4836">
        <v>100</v>
      </c>
      <c r="M4836">
        <v>100</v>
      </c>
      <c r="N4836">
        <v>1</v>
      </c>
      <c r="O4836">
        <v>0</v>
      </c>
      <c r="P4836">
        <v>0</v>
      </c>
      <c r="Q4836">
        <v>0</v>
      </c>
      <c r="R4836">
        <v>0</v>
      </c>
      <c r="S4836">
        <v>0</v>
      </c>
      <c r="T4836">
        <v>0</v>
      </c>
      <c r="U4836">
        <v>0</v>
      </c>
      <c r="V4836">
        <v>0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0</v>
      </c>
      <c r="AC4836">
        <v>0</v>
      </c>
      <c r="AD4836">
        <v>0</v>
      </c>
      <c r="AE4836">
        <v>0</v>
      </c>
      <c r="AF4836">
        <v>0</v>
      </c>
      <c r="AG4836">
        <v>0</v>
      </c>
      <c r="AH4836">
        <v>0</v>
      </c>
      <c r="AI4836">
        <v>100</v>
      </c>
      <c r="AJ4836">
        <v>1</v>
      </c>
      <c r="AK4836">
        <v>0</v>
      </c>
      <c r="AL4836">
        <v>0</v>
      </c>
      <c r="AM4836">
        <v>100</v>
      </c>
      <c r="AN4836">
        <v>0</v>
      </c>
      <c r="AO4836">
        <v>0</v>
      </c>
      <c r="AP4836">
        <v>0</v>
      </c>
      <c r="AQ4836">
        <v>0</v>
      </c>
      <c r="AS4836">
        <v>0</v>
      </c>
      <c r="AT4836">
        <v>0</v>
      </c>
      <c r="AV4836">
        <v>0</v>
      </c>
      <c r="AW4836">
        <v>0</v>
      </c>
      <c r="AY4836">
        <v>0</v>
      </c>
      <c r="AZ4836">
        <v>0</v>
      </c>
      <c r="BA4836">
        <v>70</v>
      </c>
      <c r="BE4836" t="str">
        <f>T("9791137017245")</f>
        <v>9791137017245</v>
      </c>
      <c r="BF4836" t="str">
        <f>T("k207479")</f>
        <v>k207479</v>
      </c>
      <c r="BG4836" t="str">
        <f>T("판타지 웹소설 &gt; 퓨전 판타지")</f>
        <v>판타지 웹소설 &gt; 퓨전 판타지</v>
      </c>
    </row>
    <row r="4837" spans="1:59">
      <c r="A4837" t="s">
        <v>60</v>
      </c>
      <c r="B4837" s="1">
        <v>46131</v>
      </c>
      <c r="C4837">
        <v>2378057438</v>
      </c>
      <c r="D4837">
        <v>2378060489</v>
      </c>
      <c r="E4837" t="str">
        <f>T("재벌에서 광복군까지 235화")</f>
        <v>재벌에서 광복군까지 235화</v>
      </c>
      <c r="F4837">
        <v>235</v>
      </c>
      <c r="G4837" t="str">
        <f>T("빛나는구름")</f>
        <v>빛나는구름</v>
      </c>
      <c r="J4837" t="str">
        <f>T("사이렌")</f>
        <v>사이렌</v>
      </c>
      <c r="K4837" t="str">
        <f>T("재벌에서 광복군까지")</f>
        <v>재벌에서 광복군까지</v>
      </c>
      <c r="L4837">
        <v>100</v>
      </c>
      <c r="M4837">
        <v>100</v>
      </c>
      <c r="N4837">
        <v>1</v>
      </c>
      <c r="O4837">
        <v>0</v>
      </c>
      <c r="P4837">
        <v>0</v>
      </c>
      <c r="Q4837">
        <v>0</v>
      </c>
      <c r="R4837">
        <v>0</v>
      </c>
      <c r="S4837">
        <v>0</v>
      </c>
      <c r="T4837">
        <v>0</v>
      </c>
      <c r="U4837">
        <v>0</v>
      </c>
      <c r="V4837">
        <v>0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0</v>
      </c>
      <c r="AC4837">
        <v>0</v>
      </c>
      <c r="AD4837">
        <v>0</v>
      </c>
      <c r="AE4837">
        <v>0</v>
      </c>
      <c r="AF4837">
        <v>0</v>
      </c>
      <c r="AG4837">
        <v>0</v>
      </c>
      <c r="AH4837">
        <v>0</v>
      </c>
      <c r="AI4837">
        <v>100</v>
      </c>
      <c r="AJ4837">
        <v>1</v>
      </c>
      <c r="AK4837">
        <v>0</v>
      </c>
      <c r="AL4837">
        <v>0</v>
      </c>
      <c r="AM4837">
        <v>100</v>
      </c>
      <c r="AN4837">
        <v>0</v>
      </c>
      <c r="AO4837">
        <v>0</v>
      </c>
      <c r="AP4837">
        <v>0</v>
      </c>
      <c r="AQ4837">
        <v>0</v>
      </c>
      <c r="AS4837">
        <v>0</v>
      </c>
      <c r="AT4837">
        <v>0</v>
      </c>
      <c r="AV4837">
        <v>0</v>
      </c>
      <c r="AW4837">
        <v>0</v>
      </c>
      <c r="AY4837">
        <v>0</v>
      </c>
      <c r="AZ4837">
        <v>0</v>
      </c>
      <c r="BA4837">
        <v>70</v>
      </c>
      <c r="BE4837" t="str">
        <f>T("9791137017245")</f>
        <v>9791137017245</v>
      </c>
      <c r="BF4837" t="str">
        <f>T("k207480")</f>
        <v>k207480</v>
      </c>
      <c r="BG4837" t="str">
        <f>T("판타지 웹소설 &gt; 퓨전 판타지")</f>
        <v>판타지 웹소설 &gt; 퓨전 판타지</v>
      </c>
    </row>
    <row r="4838" spans="1:59">
      <c r="A4838" t="s">
        <v>60</v>
      </c>
      <c r="B4838" s="1">
        <v>46131</v>
      </c>
      <c r="C4838">
        <v>2378057438</v>
      </c>
      <c r="D4838">
        <v>2378060490</v>
      </c>
      <c r="E4838" t="str">
        <f>T("재벌에서 광복군까지 236화")</f>
        <v>재벌에서 광복군까지 236화</v>
      </c>
      <c r="F4838">
        <v>236</v>
      </c>
      <c r="G4838" t="str">
        <f>T("빛나는구름")</f>
        <v>빛나는구름</v>
      </c>
      <c r="J4838" t="str">
        <f>T("사이렌")</f>
        <v>사이렌</v>
      </c>
      <c r="K4838" t="str">
        <f>T("재벌에서 광복군까지")</f>
        <v>재벌에서 광복군까지</v>
      </c>
      <c r="L4838">
        <v>100</v>
      </c>
      <c r="M4838">
        <v>100</v>
      </c>
      <c r="N4838">
        <v>1</v>
      </c>
      <c r="O4838">
        <v>0</v>
      </c>
      <c r="P4838">
        <v>0</v>
      </c>
      <c r="Q4838">
        <v>0</v>
      </c>
      <c r="R4838">
        <v>0</v>
      </c>
      <c r="S4838">
        <v>0</v>
      </c>
      <c r="T4838">
        <v>0</v>
      </c>
      <c r="U4838">
        <v>0</v>
      </c>
      <c r="V4838">
        <v>0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0</v>
      </c>
      <c r="AC4838">
        <v>0</v>
      </c>
      <c r="AD4838">
        <v>0</v>
      </c>
      <c r="AE4838">
        <v>0</v>
      </c>
      <c r="AF4838">
        <v>0</v>
      </c>
      <c r="AG4838">
        <v>0</v>
      </c>
      <c r="AH4838">
        <v>0</v>
      </c>
      <c r="AI4838">
        <v>100</v>
      </c>
      <c r="AJ4838">
        <v>1</v>
      </c>
      <c r="AK4838">
        <v>0</v>
      </c>
      <c r="AL4838">
        <v>0</v>
      </c>
      <c r="AM4838">
        <v>100</v>
      </c>
      <c r="AN4838">
        <v>0</v>
      </c>
      <c r="AO4838">
        <v>0</v>
      </c>
      <c r="AP4838">
        <v>0</v>
      </c>
      <c r="AQ4838">
        <v>0</v>
      </c>
      <c r="AS4838">
        <v>0</v>
      </c>
      <c r="AT4838">
        <v>0</v>
      </c>
      <c r="AV4838">
        <v>0</v>
      </c>
      <c r="AW4838">
        <v>0</v>
      </c>
      <c r="AY4838">
        <v>0</v>
      </c>
      <c r="AZ4838">
        <v>0</v>
      </c>
      <c r="BA4838">
        <v>70</v>
      </c>
      <c r="BE4838" t="str">
        <f>T("9791137017245")</f>
        <v>9791137017245</v>
      </c>
      <c r="BF4838" t="str">
        <f>T("k207481")</f>
        <v>k207481</v>
      </c>
      <c r="BG4838" t="str">
        <f>T("판타지 웹소설 &gt; 퓨전 판타지")</f>
        <v>판타지 웹소설 &gt; 퓨전 판타지</v>
      </c>
    </row>
    <row r="4839" spans="1:59">
      <c r="A4839" t="s">
        <v>60</v>
      </c>
      <c r="B4839" s="1">
        <v>46131</v>
      </c>
      <c r="C4839">
        <v>2378057438</v>
      </c>
      <c r="D4839">
        <v>2378060491</v>
      </c>
      <c r="E4839" t="str">
        <f>T("재벌에서 광복군까지 237화")</f>
        <v>재벌에서 광복군까지 237화</v>
      </c>
      <c r="F4839">
        <v>237</v>
      </c>
      <c r="G4839" t="str">
        <f>T("빛나는구름")</f>
        <v>빛나는구름</v>
      </c>
      <c r="J4839" t="str">
        <f>T("사이렌")</f>
        <v>사이렌</v>
      </c>
      <c r="K4839" t="str">
        <f>T("재벌에서 광복군까지")</f>
        <v>재벌에서 광복군까지</v>
      </c>
      <c r="L4839">
        <v>100</v>
      </c>
      <c r="M4839">
        <v>100</v>
      </c>
      <c r="N4839">
        <v>1</v>
      </c>
      <c r="O4839">
        <v>0</v>
      </c>
      <c r="P4839">
        <v>0</v>
      </c>
      <c r="Q4839">
        <v>0</v>
      </c>
      <c r="R4839">
        <v>0</v>
      </c>
      <c r="S4839">
        <v>0</v>
      </c>
      <c r="T4839">
        <v>0</v>
      </c>
      <c r="U4839">
        <v>0</v>
      </c>
      <c r="V4839">
        <v>0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0</v>
      </c>
      <c r="AC4839">
        <v>0</v>
      </c>
      <c r="AD4839">
        <v>0</v>
      </c>
      <c r="AE4839">
        <v>0</v>
      </c>
      <c r="AF4839">
        <v>0</v>
      </c>
      <c r="AG4839">
        <v>0</v>
      </c>
      <c r="AH4839">
        <v>0</v>
      </c>
      <c r="AI4839">
        <v>100</v>
      </c>
      <c r="AJ4839">
        <v>1</v>
      </c>
      <c r="AK4839">
        <v>0</v>
      </c>
      <c r="AL4839">
        <v>0</v>
      </c>
      <c r="AM4839">
        <v>100</v>
      </c>
      <c r="AN4839">
        <v>0</v>
      </c>
      <c r="AO4839">
        <v>0</v>
      </c>
      <c r="AP4839">
        <v>0</v>
      </c>
      <c r="AQ4839">
        <v>0</v>
      </c>
      <c r="AS4839">
        <v>0</v>
      </c>
      <c r="AT4839">
        <v>0</v>
      </c>
      <c r="AV4839">
        <v>0</v>
      </c>
      <c r="AW4839">
        <v>0</v>
      </c>
      <c r="AY4839">
        <v>0</v>
      </c>
      <c r="AZ4839">
        <v>0</v>
      </c>
      <c r="BA4839">
        <v>70</v>
      </c>
      <c r="BE4839" t="str">
        <f>T("9791137017245")</f>
        <v>9791137017245</v>
      </c>
      <c r="BF4839" t="str">
        <f>T("k207482")</f>
        <v>k207482</v>
      </c>
      <c r="BG4839" t="str">
        <f>T("판타지 웹소설 &gt; 퓨전 판타지")</f>
        <v>판타지 웹소설 &gt; 퓨전 판타지</v>
      </c>
    </row>
    <row r="4840" spans="1:59">
      <c r="A4840" t="s">
        <v>60</v>
      </c>
      <c r="B4840" s="1">
        <v>46131</v>
      </c>
      <c r="C4840">
        <v>2378057438</v>
      </c>
      <c r="D4840">
        <v>2378060541</v>
      </c>
      <c r="E4840" t="str">
        <f>T("재벌에서 광복군까지 238화")</f>
        <v>재벌에서 광복군까지 238화</v>
      </c>
      <c r="F4840">
        <v>238</v>
      </c>
      <c r="G4840" t="str">
        <f>T("빛나는구름")</f>
        <v>빛나는구름</v>
      </c>
      <c r="J4840" t="str">
        <f>T("사이렌")</f>
        <v>사이렌</v>
      </c>
      <c r="K4840" t="str">
        <f>T("재벌에서 광복군까지")</f>
        <v>재벌에서 광복군까지</v>
      </c>
      <c r="L4840">
        <v>100</v>
      </c>
      <c r="M4840">
        <v>100</v>
      </c>
      <c r="N4840">
        <v>1</v>
      </c>
      <c r="O4840">
        <v>0</v>
      </c>
      <c r="P4840">
        <v>0</v>
      </c>
      <c r="Q4840">
        <v>0</v>
      </c>
      <c r="R4840">
        <v>0</v>
      </c>
      <c r="S4840">
        <v>0</v>
      </c>
      <c r="T4840">
        <v>0</v>
      </c>
      <c r="U4840">
        <v>0</v>
      </c>
      <c r="V4840">
        <v>0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0</v>
      </c>
      <c r="AC4840">
        <v>0</v>
      </c>
      <c r="AD4840">
        <v>0</v>
      </c>
      <c r="AE4840">
        <v>0</v>
      </c>
      <c r="AF4840">
        <v>0</v>
      </c>
      <c r="AG4840">
        <v>0</v>
      </c>
      <c r="AH4840">
        <v>0</v>
      </c>
      <c r="AI4840">
        <v>100</v>
      </c>
      <c r="AJ4840">
        <v>1</v>
      </c>
      <c r="AK4840">
        <v>0</v>
      </c>
      <c r="AL4840">
        <v>0</v>
      </c>
      <c r="AM4840">
        <v>100</v>
      </c>
      <c r="AN4840">
        <v>0</v>
      </c>
      <c r="AO4840">
        <v>0</v>
      </c>
      <c r="AP4840">
        <v>0</v>
      </c>
      <c r="AQ4840">
        <v>0</v>
      </c>
      <c r="AS4840">
        <v>0</v>
      </c>
      <c r="AT4840">
        <v>0</v>
      </c>
      <c r="AV4840">
        <v>0</v>
      </c>
      <c r="AW4840">
        <v>0</v>
      </c>
      <c r="AY4840">
        <v>0</v>
      </c>
      <c r="AZ4840">
        <v>0</v>
      </c>
      <c r="BA4840">
        <v>70</v>
      </c>
      <c r="BE4840" t="str">
        <f>T("9791137017245")</f>
        <v>9791137017245</v>
      </c>
      <c r="BF4840" t="str">
        <f>T("k207483")</f>
        <v>k207483</v>
      </c>
      <c r="BG4840" t="str">
        <f>T("판타지 웹소설 &gt; 퓨전 판타지")</f>
        <v>판타지 웹소설 &gt; 퓨전 판타지</v>
      </c>
    </row>
    <row r="4841" spans="1:59">
      <c r="A4841" t="s">
        <v>60</v>
      </c>
      <c r="B4841" s="1">
        <v>46131</v>
      </c>
      <c r="C4841">
        <v>2378057438</v>
      </c>
      <c r="D4841">
        <v>2378060542</v>
      </c>
      <c r="E4841" t="str">
        <f>T("재벌에서 광복군까지 239화")</f>
        <v>재벌에서 광복군까지 239화</v>
      </c>
      <c r="F4841">
        <v>239</v>
      </c>
      <c r="G4841" t="str">
        <f>T("빛나는구름")</f>
        <v>빛나는구름</v>
      </c>
      <c r="J4841" t="str">
        <f>T("사이렌")</f>
        <v>사이렌</v>
      </c>
      <c r="K4841" t="str">
        <f>T("재벌에서 광복군까지")</f>
        <v>재벌에서 광복군까지</v>
      </c>
      <c r="L4841">
        <v>100</v>
      </c>
      <c r="M4841">
        <v>100</v>
      </c>
      <c r="N4841">
        <v>1</v>
      </c>
      <c r="O4841">
        <v>0</v>
      </c>
      <c r="P4841">
        <v>0</v>
      </c>
      <c r="Q4841">
        <v>0</v>
      </c>
      <c r="R4841">
        <v>0</v>
      </c>
      <c r="S4841">
        <v>0</v>
      </c>
      <c r="T4841">
        <v>0</v>
      </c>
      <c r="U4841">
        <v>0</v>
      </c>
      <c r="V4841">
        <v>0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0</v>
      </c>
      <c r="AC4841">
        <v>0</v>
      </c>
      <c r="AD4841">
        <v>0</v>
      </c>
      <c r="AE4841">
        <v>0</v>
      </c>
      <c r="AF4841">
        <v>0</v>
      </c>
      <c r="AG4841">
        <v>0</v>
      </c>
      <c r="AH4841">
        <v>0</v>
      </c>
      <c r="AI4841">
        <v>100</v>
      </c>
      <c r="AJ4841">
        <v>1</v>
      </c>
      <c r="AK4841">
        <v>0</v>
      </c>
      <c r="AL4841">
        <v>0</v>
      </c>
      <c r="AM4841">
        <v>100</v>
      </c>
      <c r="AN4841">
        <v>0</v>
      </c>
      <c r="AO4841">
        <v>0</v>
      </c>
      <c r="AP4841">
        <v>0</v>
      </c>
      <c r="AQ4841">
        <v>0</v>
      </c>
      <c r="AS4841">
        <v>0</v>
      </c>
      <c r="AT4841">
        <v>0</v>
      </c>
      <c r="AV4841">
        <v>0</v>
      </c>
      <c r="AW4841">
        <v>0</v>
      </c>
      <c r="AY4841">
        <v>0</v>
      </c>
      <c r="AZ4841">
        <v>0</v>
      </c>
      <c r="BA4841">
        <v>70</v>
      </c>
      <c r="BE4841" t="str">
        <f>T("9791137017245")</f>
        <v>9791137017245</v>
      </c>
      <c r="BF4841" t="str">
        <f>T("k207484")</f>
        <v>k207484</v>
      </c>
      <c r="BG4841" t="str">
        <f>T("판타지 웹소설 &gt; 퓨전 판타지")</f>
        <v>판타지 웹소설 &gt; 퓨전 판타지</v>
      </c>
    </row>
    <row r="4842" spans="1:59">
      <c r="A4842" t="s">
        <v>60</v>
      </c>
      <c r="B4842" s="1">
        <v>46131</v>
      </c>
      <c r="C4842">
        <v>2378057438</v>
      </c>
      <c r="D4842">
        <v>2378060543</v>
      </c>
      <c r="E4842" t="str">
        <f>T("재벌에서 광복군까지 240화")</f>
        <v>재벌에서 광복군까지 240화</v>
      </c>
      <c r="F4842">
        <v>240</v>
      </c>
      <c r="G4842" t="str">
        <f>T("빛나는구름")</f>
        <v>빛나는구름</v>
      </c>
      <c r="J4842" t="str">
        <f>T("사이렌")</f>
        <v>사이렌</v>
      </c>
      <c r="K4842" t="str">
        <f>T("재벌에서 광복군까지")</f>
        <v>재벌에서 광복군까지</v>
      </c>
      <c r="L4842">
        <v>100</v>
      </c>
      <c r="M4842">
        <v>100</v>
      </c>
      <c r="N4842">
        <v>1</v>
      </c>
      <c r="O4842">
        <v>0</v>
      </c>
      <c r="P4842">
        <v>0</v>
      </c>
      <c r="Q4842">
        <v>0</v>
      </c>
      <c r="R4842">
        <v>0</v>
      </c>
      <c r="S4842">
        <v>0</v>
      </c>
      <c r="T4842">
        <v>0</v>
      </c>
      <c r="U4842">
        <v>0</v>
      </c>
      <c r="V4842">
        <v>0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0</v>
      </c>
      <c r="AC4842">
        <v>0</v>
      </c>
      <c r="AD4842">
        <v>0</v>
      </c>
      <c r="AE4842">
        <v>0</v>
      </c>
      <c r="AF4842">
        <v>0</v>
      </c>
      <c r="AG4842">
        <v>0</v>
      </c>
      <c r="AH4842">
        <v>0</v>
      </c>
      <c r="AI4842">
        <v>100</v>
      </c>
      <c r="AJ4842">
        <v>1</v>
      </c>
      <c r="AK4842">
        <v>0</v>
      </c>
      <c r="AL4842">
        <v>0</v>
      </c>
      <c r="AM4842">
        <v>100</v>
      </c>
      <c r="AN4842">
        <v>0</v>
      </c>
      <c r="AO4842">
        <v>0</v>
      </c>
      <c r="AP4842">
        <v>0</v>
      </c>
      <c r="AQ4842">
        <v>0</v>
      </c>
      <c r="AS4842">
        <v>0</v>
      </c>
      <c r="AT4842">
        <v>0</v>
      </c>
      <c r="AV4842">
        <v>0</v>
      </c>
      <c r="AW4842">
        <v>0</v>
      </c>
      <c r="AY4842">
        <v>0</v>
      </c>
      <c r="AZ4842">
        <v>0</v>
      </c>
      <c r="BA4842">
        <v>70</v>
      </c>
      <c r="BE4842" t="str">
        <f>T("9791137017245")</f>
        <v>9791137017245</v>
      </c>
      <c r="BF4842" t="str">
        <f>T("k209729")</f>
        <v>k209729</v>
      </c>
      <c r="BG4842" t="str">
        <f>T("판타지 웹소설 &gt; 퓨전 판타지")</f>
        <v>판타지 웹소설 &gt; 퓨전 판타지</v>
      </c>
    </row>
    <row r="4843" spans="1:59">
      <c r="A4843" t="s">
        <v>60</v>
      </c>
      <c r="B4843" s="1">
        <v>46131</v>
      </c>
      <c r="C4843">
        <v>2378057438</v>
      </c>
      <c r="D4843">
        <v>2378060704</v>
      </c>
      <c r="E4843" t="str">
        <f>T("재벌에서 광복군까지 243화")</f>
        <v>재벌에서 광복군까지 243화</v>
      </c>
      <c r="F4843">
        <v>243</v>
      </c>
      <c r="G4843" t="str">
        <f>T("빛나는구름")</f>
        <v>빛나는구름</v>
      </c>
      <c r="J4843" t="str">
        <f>T("사이렌")</f>
        <v>사이렌</v>
      </c>
      <c r="K4843" t="str">
        <f>T("재벌에서 광복군까지")</f>
        <v>재벌에서 광복군까지</v>
      </c>
      <c r="L4843">
        <v>100</v>
      </c>
      <c r="M4843">
        <v>100</v>
      </c>
      <c r="N4843">
        <v>1</v>
      </c>
      <c r="O4843">
        <v>0</v>
      </c>
      <c r="P4843">
        <v>0</v>
      </c>
      <c r="Q4843">
        <v>0</v>
      </c>
      <c r="R4843">
        <v>0</v>
      </c>
      <c r="S4843">
        <v>0</v>
      </c>
      <c r="T4843">
        <v>0</v>
      </c>
      <c r="U4843">
        <v>0</v>
      </c>
      <c r="V4843">
        <v>0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0</v>
      </c>
      <c r="AC4843">
        <v>0</v>
      </c>
      <c r="AD4843">
        <v>0</v>
      </c>
      <c r="AE4843">
        <v>0</v>
      </c>
      <c r="AF4843">
        <v>0</v>
      </c>
      <c r="AG4843">
        <v>0</v>
      </c>
      <c r="AH4843">
        <v>0</v>
      </c>
      <c r="AI4843">
        <v>100</v>
      </c>
      <c r="AJ4843">
        <v>1</v>
      </c>
      <c r="AK4843">
        <v>0</v>
      </c>
      <c r="AL4843">
        <v>0</v>
      </c>
      <c r="AM4843">
        <v>100</v>
      </c>
      <c r="AN4843">
        <v>0</v>
      </c>
      <c r="AO4843">
        <v>0</v>
      </c>
      <c r="AP4843">
        <v>0</v>
      </c>
      <c r="AQ4843">
        <v>0</v>
      </c>
      <c r="AS4843">
        <v>0</v>
      </c>
      <c r="AT4843">
        <v>0</v>
      </c>
      <c r="AV4843">
        <v>0</v>
      </c>
      <c r="AW4843">
        <v>0</v>
      </c>
      <c r="AY4843">
        <v>0</v>
      </c>
      <c r="AZ4843">
        <v>0</v>
      </c>
      <c r="BA4843">
        <v>70</v>
      </c>
      <c r="BE4843" t="str">
        <f>T("9791137017245")</f>
        <v>9791137017245</v>
      </c>
      <c r="BF4843" t="str">
        <f>T("k209732")</f>
        <v>k209732</v>
      </c>
      <c r="BG4843" t="str">
        <f>T("판타지 웹소설 &gt; 퓨전 판타지")</f>
        <v>판타지 웹소설 &gt; 퓨전 판타지</v>
      </c>
    </row>
    <row r="4844" spans="1:59">
      <c r="A4844" t="s">
        <v>60</v>
      </c>
      <c r="B4844" s="1">
        <v>46131</v>
      </c>
      <c r="C4844">
        <v>2378057438</v>
      </c>
      <c r="D4844">
        <v>2378060705</v>
      </c>
      <c r="E4844" t="str">
        <f>T("재벌에서 광복군까지 244화")</f>
        <v>재벌에서 광복군까지 244화</v>
      </c>
      <c r="F4844">
        <v>244</v>
      </c>
      <c r="G4844" t="str">
        <f>T("빛나는구름")</f>
        <v>빛나는구름</v>
      </c>
      <c r="J4844" t="str">
        <f>T("사이렌")</f>
        <v>사이렌</v>
      </c>
      <c r="K4844" t="str">
        <f>T("재벌에서 광복군까지")</f>
        <v>재벌에서 광복군까지</v>
      </c>
      <c r="L4844">
        <v>100</v>
      </c>
      <c r="M4844">
        <v>100</v>
      </c>
      <c r="N4844">
        <v>1</v>
      </c>
      <c r="O4844">
        <v>0</v>
      </c>
      <c r="P4844">
        <v>0</v>
      </c>
      <c r="Q4844">
        <v>0</v>
      </c>
      <c r="R4844">
        <v>0</v>
      </c>
      <c r="S4844">
        <v>0</v>
      </c>
      <c r="T4844">
        <v>0</v>
      </c>
      <c r="U4844">
        <v>0</v>
      </c>
      <c r="V4844">
        <v>0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0</v>
      </c>
      <c r="AC4844">
        <v>0</v>
      </c>
      <c r="AD4844">
        <v>0</v>
      </c>
      <c r="AE4844">
        <v>0</v>
      </c>
      <c r="AF4844">
        <v>0</v>
      </c>
      <c r="AG4844">
        <v>0</v>
      </c>
      <c r="AH4844">
        <v>0</v>
      </c>
      <c r="AI4844">
        <v>100</v>
      </c>
      <c r="AJ4844">
        <v>1</v>
      </c>
      <c r="AK4844">
        <v>0</v>
      </c>
      <c r="AL4844">
        <v>0</v>
      </c>
      <c r="AM4844">
        <v>100</v>
      </c>
      <c r="AN4844">
        <v>0</v>
      </c>
      <c r="AO4844">
        <v>0</v>
      </c>
      <c r="AP4844">
        <v>0</v>
      </c>
      <c r="AQ4844">
        <v>0</v>
      </c>
      <c r="AS4844">
        <v>0</v>
      </c>
      <c r="AT4844">
        <v>0</v>
      </c>
      <c r="AV4844">
        <v>0</v>
      </c>
      <c r="AW4844">
        <v>0</v>
      </c>
      <c r="AY4844">
        <v>0</v>
      </c>
      <c r="AZ4844">
        <v>0</v>
      </c>
      <c r="BA4844">
        <v>70</v>
      </c>
      <c r="BE4844" t="str">
        <f>T("9791137017245")</f>
        <v>9791137017245</v>
      </c>
      <c r="BF4844" t="str">
        <f>T("k209733")</f>
        <v>k209733</v>
      </c>
      <c r="BG4844" t="str">
        <f>T("판타지 웹소설 &gt; 퓨전 판타지")</f>
        <v>판타지 웹소설 &gt; 퓨전 판타지</v>
      </c>
    </row>
    <row r="4845" spans="1:59">
      <c r="A4845" t="s">
        <v>60</v>
      </c>
      <c r="B4845" s="1">
        <v>46129</v>
      </c>
      <c r="C4845">
        <v>2378044065</v>
      </c>
      <c r="D4845">
        <v>2378081023</v>
      </c>
      <c r="E4845" t="str">
        <f>T("저승의 왕위를 계승했다 789화")</f>
        <v>저승의 왕위를 계승했다 789화</v>
      </c>
      <c r="F4845">
        <v>791</v>
      </c>
      <c r="G4845" t="str">
        <f>T("신타비")</f>
        <v>신타비</v>
      </c>
      <c r="J4845" t="str">
        <f>T("매드햇")</f>
        <v>매드햇</v>
      </c>
      <c r="K4845" t="str">
        <f>T("저승의 왕위를 계승했다")</f>
        <v>저승의 왕위를 계승했다</v>
      </c>
      <c r="L4845">
        <v>100</v>
      </c>
      <c r="M4845">
        <v>170</v>
      </c>
      <c r="N4845">
        <v>2</v>
      </c>
      <c r="O4845">
        <v>0</v>
      </c>
      <c r="P4845">
        <v>0</v>
      </c>
      <c r="Q4845">
        <v>0</v>
      </c>
      <c r="R4845">
        <v>0</v>
      </c>
      <c r="S4845">
        <v>0</v>
      </c>
      <c r="T4845">
        <v>0</v>
      </c>
      <c r="U4845">
        <v>0</v>
      </c>
      <c r="V4845">
        <v>0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0</v>
      </c>
      <c r="AC4845">
        <v>0</v>
      </c>
      <c r="AD4845">
        <v>0</v>
      </c>
      <c r="AE4845">
        <v>0</v>
      </c>
      <c r="AF4845">
        <v>0</v>
      </c>
      <c r="AG4845">
        <v>0</v>
      </c>
      <c r="AH4845">
        <v>0</v>
      </c>
      <c r="AI4845">
        <v>170</v>
      </c>
      <c r="AJ4845">
        <v>2</v>
      </c>
      <c r="AK4845">
        <v>0</v>
      </c>
      <c r="AL4845">
        <v>0</v>
      </c>
      <c r="AM4845">
        <v>170</v>
      </c>
      <c r="AN4845">
        <v>0</v>
      </c>
      <c r="AO4845">
        <v>0</v>
      </c>
      <c r="AP4845">
        <v>0</v>
      </c>
      <c r="AQ4845">
        <v>0</v>
      </c>
      <c r="AS4845">
        <v>0</v>
      </c>
      <c r="AT4845">
        <v>0</v>
      </c>
      <c r="AV4845">
        <v>0</v>
      </c>
      <c r="AW4845">
        <v>0</v>
      </c>
      <c r="AY4845">
        <v>0</v>
      </c>
      <c r="AZ4845">
        <v>0</v>
      </c>
      <c r="BA4845">
        <v>119</v>
      </c>
      <c r="BE4845" t="str">
        <f>T("9791137014381")</f>
        <v>9791137014381</v>
      </c>
      <c r="BF4845" t="str">
        <f>T("D227226")</f>
        <v>D227226</v>
      </c>
      <c r="BG4845" t="str">
        <f>T("판타지 웹소설 &gt; 퓨전 판타지")</f>
        <v>판타지 웹소설 &gt; 퓨전 판타지</v>
      </c>
    </row>
    <row r="4846" spans="1:59">
      <c r="A4846" t="s">
        <v>60</v>
      </c>
      <c r="B4846" s="1">
        <v>46129</v>
      </c>
      <c r="C4846">
        <v>2378044065</v>
      </c>
      <c r="D4846">
        <v>2378081024</v>
      </c>
      <c r="E4846" t="str">
        <f>T("저승의 왕위를 계승했다 790화")</f>
        <v>저승의 왕위를 계승했다 790화</v>
      </c>
      <c r="F4846">
        <v>792</v>
      </c>
      <c r="G4846" t="str">
        <f>T("신타비")</f>
        <v>신타비</v>
      </c>
      <c r="J4846" t="str">
        <f>T("매드햇")</f>
        <v>매드햇</v>
      </c>
      <c r="K4846" t="str">
        <f>T("저승의 왕위를 계승했다")</f>
        <v>저승의 왕위를 계승했다</v>
      </c>
      <c r="L4846">
        <v>100</v>
      </c>
      <c r="M4846">
        <v>170</v>
      </c>
      <c r="N4846">
        <v>2</v>
      </c>
      <c r="O4846">
        <v>0</v>
      </c>
      <c r="P4846">
        <v>0</v>
      </c>
      <c r="Q4846">
        <v>0</v>
      </c>
      <c r="R4846">
        <v>0</v>
      </c>
      <c r="S4846">
        <v>0</v>
      </c>
      <c r="T4846">
        <v>0</v>
      </c>
      <c r="U4846">
        <v>0</v>
      </c>
      <c r="V4846">
        <v>0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0</v>
      </c>
      <c r="AC4846">
        <v>0</v>
      </c>
      <c r="AD4846">
        <v>0</v>
      </c>
      <c r="AE4846">
        <v>0</v>
      </c>
      <c r="AF4846">
        <v>0</v>
      </c>
      <c r="AG4846">
        <v>0</v>
      </c>
      <c r="AH4846">
        <v>0</v>
      </c>
      <c r="AI4846">
        <v>170</v>
      </c>
      <c r="AJ4846">
        <v>2</v>
      </c>
      <c r="AK4846">
        <v>0</v>
      </c>
      <c r="AL4846">
        <v>0</v>
      </c>
      <c r="AM4846">
        <v>170</v>
      </c>
      <c r="AN4846">
        <v>0</v>
      </c>
      <c r="AO4846">
        <v>0</v>
      </c>
      <c r="AP4846">
        <v>0</v>
      </c>
      <c r="AQ4846">
        <v>0</v>
      </c>
      <c r="AS4846">
        <v>0</v>
      </c>
      <c r="AT4846">
        <v>0</v>
      </c>
      <c r="AV4846">
        <v>0</v>
      </c>
      <c r="AW4846">
        <v>0</v>
      </c>
      <c r="AY4846">
        <v>0</v>
      </c>
      <c r="AZ4846">
        <v>0</v>
      </c>
      <c r="BA4846">
        <v>119</v>
      </c>
      <c r="BE4846" t="str">
        <f>T("9791137014381")</f>
        <v>9791137014381</v>
      </c>
      <c r="BF4846" t="str">
        <f>T("D227227")</f>
        <v>D227227</v>
      </c>
      <c r="BG4846" t="str">
        <f>T("판타지 웹소설 &gt; 퓨전 판타지")</f>
        <v>판타지 웹소설 &gt; 퓨전 판타지</v>
      </c>
    </row>
    <row r="4847" spans="1:59">
      <c r="A4847" t="s">
        <v>60</v>
      </c>
      <c r="B4847" s="1">
        <v>46129</v>
      </c>
      <c r="C4847">
        <v>2378044065</v>
      </c>
      <c r="D4847">
        <v>2378081025</v>
      </c>
      <c r="E4847" t="str">
        <f>T("저승의 왕위를 계승했다 791화")</f>
        <v>저승의 왕위를 계승했다 791화</v>
      </c>
      <c r="F4847">
        <v>793</v>
      </c>
      <c r="G4847" t="str">
        <f>T("신타비")</f>
        <v>신타비</v>
      </c>
      <c r="J4847" t="str">
        <f>T("매드햇")</f>
        <v>매드햇</v>
      </c>
      <c r="K4847" t="str">
        <f>T("저승의 왕위를 계승했다")</f>
        <v>저승의 왕위를 계승했다</v>
      </c>
      <c r="L4847">
        <v>100</v>
      </c>
      <c r="M4847">
        <v>170</v>
      </c>
      <c r="N4847">
        <v>2</v>
      </c>
      <c r="O4847">
        <v>0</v>
      </c>
      <c r="P4847">
        <v>0</v>
      </c>
      <c r="Q4847">
        <v>0</v>
      </c>
      <c r="R4847">
        <v>0</v>
      </c>
      <c r="S4847">
        <v>0</v>
      </c>
      <c r="T4847">
        <v>0</v>
      </c>
      <c r="U4847">
        <v>0</v>
      </c>
      <c r="V4847">
        <v>0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0</v>
      </c>
      <c r="AC4847">
        <v>0</v>
      </c>
      <c r="AD4847">
        <v>0</v>
      </c>
      <c r="AE4847">
        <v>0</v>
      </c>
      <c r="AF4847">
        <v>0</v>
      </c>
      <c r="AG4847">
        <v>0</v>
      </c>
      <c r="AH4847">
        <v>0</v>
      </c>
      <c r="AI4847">
        <v>170</v>
      </c>
      <c r="AJ4847">
        <v>2</v>
      </c>
      <c r="AK4847">
        <v>0</v>
      </c>
      <c r="AL4847">
        <v>0</v>
      </c>
      <c r="AM4847">
        <v>170</v>
      </c>
      <c r="AN4847">
        <v>0</v>
      </c>
      <c r="AO4847">
        <v>0</v>
      </c>
      <c r="AP4847">
        <v>0</v>
      </c>
      <c r="AQ4847">
        <v>0</v>
      </c>
      <c r="AS4847">
        <v>0</v>
      </c>
      <c r="AT4847">
        <v>0</v>
      </c>
      <c r="AV4847">
        <v>0</v>
      </c>
      <c r="AW4847">
        <v>0</v>
      </c>
      <c r="AY4847">
        <v>0</v>
      </c>
      <c r="AZ4847">
        <v>0</v>
      </c>
      <c r="BA4847">
        <v>119</v>
      </c>
      <c r="BE4847" t="str">
        <f>T("9791137014381")</f>
        <v>9791137014381</v>
      </c>
      <c r="BF4847" t="str">
        <f>T("D227228")</f>
        <v>D227228</v>
      </c>
      <c r="BG4847" t="str">
        <f>T("판타지 웹소설 &gt; 퓨전 판타지")</f>
        <v>판타지 웹소설 &gt; 퓨전 판타지</v>
      </c>
    </row>
    <row r="4848" spans="1:59">
      <c r="A4848" t="s">
        <v>60</v>
      </c>
      <c r="B4848" s="1">
        <v>46129</v>
      </c>
      <c r="C4848">
        <v>2378044065</v>
      </c>
      <c r="D4848">
        <v>2378081026</v>
      </c>
      <c r="E4848" t="str">
        <f>T("저승의 왕위를 계승했다 792화")</f>
        <v>저승의 왕위를 계승했다 792화</v>
      </c>
      <c r="F4848">
        <v>794</v>
      </c>
      <c r="G4848" t="str">
        <f>T("신타비")</f>
        <v>신타비</v>
      </c>
      <c r="J4848" t="str">
        <f>T("매드햇")</f>
        <v>매드햇</v>
      </c>
      <c r="K4848" t="str">
        <f>T("저승의 왕위를 계승했다")</f>
        <v>저승의 왕위를 계승했다</v>
      </c>
      <c r="L4848">
        <v>100</v>
      </c>
      <c r="M4848">
        <v>170</v>
      </c>
      <c r="N4848">
        <v>2</v>
      </c>
      <c r="O4848">
        <v>0</v>
      </c>
      <c r="P4848">
        <v>0</v>
      </c>
      <c r="Q4848">
        <v>0</v>
      </c>
      <c r="R4848">
        <v>0</v>
      </c>
      <c r="S4848">
        <v>0</v>
      </c>
      <c r="T4848">
        <v>0</v>
      </c>
      <c r="U4848">
        <v>0</v>
      </c>
      <c r="V4848">
        <v>0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0</v>
      </c>
      <c r="AC4848">
        <v>0</v>
      </c>
      <c r="AD4848">
        <v>0</v>
      </c>
      <c r="AE4848">
        <v>0</v>
      </c>
      <c r="AF4848">
        <v>0</v>
      </c>
      <c r="AG4848">
        <v>0</v>
      </c>
      <c r="AH4848">
        <v>0</v>
      </c>
      <c r="AI4848">
        <v>170</v>
      </c>
      <c r="AJ4848">
        <v>2</v>
      </c>
      <c r="AK4848">
        <v>0</v>
      </c>
      <c r="AL4848">
        <v>0</v>
      </c>
      <c r="AM4848">
        <v>170</v>
      </c>
      <c r="AN4848">
        <v>0</v>
      </c>
      <c r="AO4848">
        <v>0</v>
      </c>
      <c r="AP4848">
        <v>0</v>
      </c>
      <c r="AQ4848">
        <v>0</v>
      </c>
      <c r="AS4848">
        <v>0</v>
      </c>
      <c r="AT4848">
        <v>0</v>
      </c>
      <c r="AV4848">
        <v>0</v>
      </c>
      <c r="AW4848">
        <v>0</v>
      </c>
      <c r="AY4848">
        <v>0</v>
      </c>
      <c r="AZ4848">
        <v>0</v>
      </c>
      <c r="BA4848">
        <v>119</v>
      </c>
      <c r="BE4848" t="str">
        <f>T("9791137014381")</f>
        <v>9791137014381</v>
      </c>
      <c r="BF4848" t="str">
        <f>T("D227229")</f>
        <v>D227229</v>
      </c>
      <c r="BG4848" t="str">
        <f>T("판타지 웹소설 &gt; 퓨전 판타지")</f>
        <v>판타지 웹소설 &gt; 퓨전 판타지</v>
      </c>
    </row>
    <row r="4849" spans="1:59">
      <c r="A4849" t="s">
        <v>60</v>
      </c>
      <c r="B4849" s="1">
        <v>46129</v>
      </c>
      <c r="C4849">
        <v>2378044065</v>
      </c>
      <c r="D4849">
        <v>2378081035</v>
      </c>
      <c r="E4849" t="str">
        <f>T("저승의 왕위를 계승했다 793화")</f>
        <v>저승의 왕위를 계승했다 793화</v>
      </c>
      <c r="F4849">
        <v>795</v>
      </c>
      <c r="G4849" t="str">
        <f>T("신타비")</f>
        <v>신타비</v>
      </c>
      <c r="J4849" t="str">
        <f>T("매드햇")</f>
        <v>매드햇</v>
      </c>
      <c r="K4849" t="str">
        <f>T("저승의 왕위를 계승했다")</f>
        <v>저승의 왕위를 계승했다</v>
      </c>
      <c r="L4849">
        <v>100</v>
      </c>
      <c r="M4849">
        <v>170</v>
      </c>
      <c r="N4849">
        <v>2</v>
      </c>
      <c r="O4849">
        <v>0</v>
      </c>
      <c r="P4849">
        <v>0</v>
      </c>
      <c r="Q4849">
        <v>0</v>
      </c>
      <c r="R4849">
        <v>0</v>
      </c>
      <c r="S4849">
        <v>0</v>
      </c>
      <c r="T4849">
        <v>0</v>
      </c>
      <c r="U4849">
        <v>0</v>
      </c>
      <c r="V4849">
        <v>0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0</v>
      </c>
      <c r="AC4849">
        <v>0</v>
      </c>
      <c r="AD4849">
        <v>0</v>
      </c>
      <c r="AE4849">
        <v>0</v>
      </c>
      <c r="AF4849">
        <v>0</v>
      </c>
      <c r="AG4849">
        <v>0</v>
      </c>
      <c r="AH4849">
        <v>0</v>
      </c>
      <c r="AI4849">
        <v>170</v>
      </c>
      <c r="AJ4849">
        <v>2</v>
      </c>
      <c r="AK4849">
        <v>0</v>
      </c>
      <c r="AL4849">
        <v>0</v>
      </c>
      <c r="AM4849">
        <v>170</v>
      </c>
      <c r="AN4849">
        <v>0</v>
      </c>
      <c r="AO4849">
        <v>0</v>
      </c>
      <c r="AP4849">
        <v>0</v>
      </c>
      <c r="AQ4849">
        <v>0</v>
      </c>
      <c r="AS4849">
        <v>0</v>
      </c>
      <c r="AT4849">
        <v>0</v>
      </c>
      <c r="AV4849">
        <v>0</v>
      </c>
      <c r="AW4849">
        <v>0</v>
      </c>
      <c r="AY4849">
        <v>0</v>
      </c>
      <c r="AZ4849">
        <v>0</v>
      </c>
      <c r="BA4849">
        <v>119</v>
      </c>
      <c r="BE4849" t="str">
        <f>T("9791137014381")</f>
        <v>9791137014381</v>
      </c>
      <c r="BF4849" t="str">
        <f>T("D227230")</f>
        <v>D227230</v>
      </c>
      <c r="BG4849" t="str">
        <f>T("판타지 웹소설 &gt; 퓨전 판타지")</f>
        <v>판타지 웹소설 &gt; 퓨전 판타지</v>
      </c>
    </row>
    <row r="4850" spans="1:59">
      <c r="A4850" t="s">
        <v>60</v>
      </c>
      <c r="B4850" s="1">
        <v>46129</v>
      </c>
      <c r="C4850">
        <v>2378044065</v>
      </c>
      <c r="D4850">
        <v>2378081036</v>
      </c>
      <c r="E4850" t="str">
        <f>T("저승의 왕위를 계승했다 794화")</f>
        <v>저승의 왕위를 계승했다 794화</v>
      </c>
      <c r="F4850">
        <v>796</v>
      </c>
      <c r="G4850" t="str">
        <f>T("신타비")</f>
        <v>신타비</v>
      </c>
      <c r="J4850" t="str">
        <f>T("매드햇")</f>
        <v>매드햇</v>
      </c>
      <c r="K4850" t="str">
        <f>T("저승의 왕위를 계승했다")</f>
        <v>저승의 왕위를 계승했다</v>
      </c>
      <c r="L4850">
        <v>100</v>
      </c>
      <c r="M4850">
        <v>170</v>
      </c>
      <c r="N4850">
        <v>2</v>
      </c>
      <c r="O4850">
        <v>0</v>
      </c>
      <c r="P4850">
        <v>0</v>
      </c>
      <c r="Q4850">
        <v>0</v>
      </c>
      <c r="R4850">
        <v>0</v>
      </c>
      <c r="S4850">
        <v>0</v>
      </c>
      <c r="T4850">
        <v>0</v>
      </c>
      <c r="U4850">
        <v>0</v>
      </c>
      <c r="V4850">
        <v>0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0</v>
      </c>
      <c r="AC4850">
        <v>0</v>
      </c>
      <c r="AD4850">
        <v>0</v>
      </c>
      <c r="AE4850">
        <v>0</v>
      </c>
      <c r="AF4850">
        <v>0</v>
      </c>
      <c r="AG4850">
        <v>0</v>
      </c>
      <c r="AH4850">
        <v>0</v>
      </c>
      <c r="AI4850">
        <v>170</v>
      </c>
      <c r="AJ4850">
        <v>2</v>
      </c>
      <c r="AK4850">
        <v>0</v>
      </c>
      <c r="AL4850">
        <v>0</v>
      </c>
      <c r="AM4850">
        <v>170</v>
      </c>
      <c r="AN4850">
        <v>0</v>
      </c>
      <c r="AO4850">
        <v>0</v>
      </c>
      <c r="AP4850">
        <v>0</v>
      </c>
      <c r="AQ4850">
        <v>0</v>
      </c>
      <c r="AS4850">
        <v>0</v>
      </c>
      <c r="AT4850">
        <v>0</v>
      </c>
      <c r="AV4850">
        <v>0</v>
      </c>
      <c r="AW4850">
        <v>0</v>
      </c>
      <c r="AY4850">
        <v>0</v>
      </c>
      <c r="AZ4850">
        <v>0</v>
      </c>
      <c r="BA4850">
        <v>119</v>
      </c>
      <c r="BE4850" t="str">
        <f>T("9791137014381")</f>
        <v>9791137014381</v>
      </c>
      <c r="BF4850" t="str">
        <f>T("D227231")</f>
        <v>D227231</v>
      </c>
      <c r="BG4850" t="str">
        <f>T("판타지 웹소설 &gt; 퓨전 판타지")</f>
        <v>판타지 웹소설 &gt; 퓨전 판타지</v>
      </c>
    </row>
    <row r="4851" spans="1:59">
      <c r="A4851" t="s">
        <v>60</v>
      </c>
      <c r="B4851" s="1">
        <v>46129</v>
      </c>
      <c r="C4851">
        <v>2378044065</v>
      </c>
      <c r="D4851">
        <v>2378081037</v>
      </c>
      <c r="E4851" t="str">
        <f>T("저승의 왕위를 계승했다 795화")</f>
        <v>저승의 왕위를 계승했다 795화</v>
      </c>
      <c r="F4851">
        <v>797</v>
      </c>
      <c r="G4851" t="str">
        <f>T("신타비")</f>
        <v>신타비</v>
      </c>
      <c r="J4851" t="str">
        <f>T("매드햇")</f>
        <v>매드햇</v>
      </c>
      <c r="K4851" t="str">
        <f>T("저승의 왕위를 계승했다")</f>
        <v>저승의 왕위를 계승했다</v>
      </c>
      <c r="L4851">
        <v>100</v>
      </c>
      <c r="M4851">
        <v>270</v>
      </c>
      <c r="N4851">
        <v>3</v>
      </c>
      <c r="O4851">
        <v>0</v>
      </c>
      <c r="P4851">
        <v>0</v>
      </c>
      <c r="Q4851">
        <v>0</v>
      </c>
      <c r="R4851">
        <v>0</v>
      </c>
      <c r="S4851">
        <v>0</v>
      </c>
      <c r="T4851">
        <v>0</v>
      </c>
      <c r="U4851">
        <v>0</v>
      </c>
      <c r="V4851">
        <v>0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0</v>
      </c>
      <c r="AC4851">
        <v>0</v>
      </c>
      <c r="AD4851">
        <v>0</v>
      </c>
      <c r="AE4851">
        <v>0</v>
      </c>
      <c r="AF4851">
        <v>0</v>
      </c>
      <c r="AG4851">
        <v>0</v>
      </c>
      <c r="AH4851">
        <v>0</v>
      </c>
      <c r="AI4851">
        <v>270</v>
      </c>
      <c r="AJ4851">
        <v>3</v>
      </c>
      <c r="AK4851">
        <v>0</v>
      </c>
      <c r="AL4851">
        <v>0</v>
      </c>
      <c r="AM4851">
        <v>270</v>
      </c>
      <c r="AN4851">
        <v>0</v>
      </c>
      <c r="AO4851">
        <v>0</v>
      </c>
      <c r="AP4851">
        <v>0</v>
      </c>
      <c r="AQ4851">
        <v>0</v>
      </c>
      <c r="AS4851">
        <v>0</v>
      </c>
      <c r="AT4851">
        <v>0</v>
      </c>
      <c r="AV4851">
        <v>0</v>
      </c>
      <c r="AW4851">
        <v>0</v>
      </c>
      <c r="AY4851">
        <v>0</v>
      </c>
      <c r="AZ4851">
        <v>0</v>
      </c>
      <c r="BA4851">
        <v>189</v>
      </c>
      <c r="BE4851" t="str">
        <f>T("9791137014381")</f>
        <v>9791137014381</v>
      </c>
      <c r="BF4851" t="str">
        <f>T("D227232")</f>
        <v>D227232</v>
      </c>
      <c r="BG4851" t="str">
        <f>T("판타지 웹소설 &gt; 퓨전 판타지")</f>
        <v>판타지 웹소설 &gt; 퓨전 판타지</v>
      </c>
    </row>
    <row r="4852" spans="1:59">
      <c r="A4852" t="s">
        <v>60</v>
      </c>
      <c r="B4852" s="1">
        <v>46129</v>
      </c>
      <c r="C4852">
        <v>2378044065</v>
      </c>
      <c r="D4852">
        <v>2378081038</v>
      </c>
      <c r="E4852" t="str">
        <f>T("저승의 왕위를 계승했다 796화")</f>
        <v>저승의 왕위를 계승했다 796화</v>
      </c>
      <c r="F4852">
        <v>798</v>
      </c>
      <c r="G4852" t="str">
        <f>T("신타비")</f>
        <v>신타비</v>
      </c>
      <c r="J4852" t="str">
        <f>T("매드햇")</f>
        <v>매드햇</v>
      </c>
      <c r="K4852" t="str">
        <f>T("저승의 왕위를 계승했다")</f>
        <v>저승의 왕위를 계승했다</v>
      </c>
      <c r="L4852">
        <v>100</v>
      </c>
      <c r="M4852">
        <v>270</v>
      </c>
      <c r="N4852">
        <v>3</v>
      </c>
      <c r="O4852">
        <v>0</v>
      </c>
      <c r="P4852">
        <v>0</v>
      </c>
      <c r="Q4852">
        <v>0</v>
      </c>
      <c r="R4852">
        <v>0</v>
      </c>
      <c r="S4852">
        <v>0</v>
      </c>
      <c r="T4852">
        <v>0</v>
      </c>
      <c r="U4852">
        <v>0</v>
      </c>
      <c r="V4852">
        <v>0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0</v>
      </c>
      <c r="AC4852">
        <v>0</v>
      </c>
      <c r="AD4852">
        <v>0</v>
      </c>
      <c r="AE4852">
        <v>0</v>
      </c>
      <c r="AF4852">
        <v>0</v>
      </c>
      <c r="AG4852">
        <v>0</v>
      </c>
      <c r="AH4852">
        <v>0</v>
      </c>
      <c r="AI4852">
        <v>270</v>
      </c>
      <c r="AJ4852">
        <v>3</v>
      </c>
      <c r="AK4852">
        <v>0</v>
      </c>
      <c r="AL4852">
        <v>0</v>
      </c>
      <c r="AM4852">
        <v>270</v>
      </c>
      <c r="AN4852">
        <v>0</v>
      </c>
      <c r="AO4852">
        <v>0</v>
      </c>
      <c r="AP4852">
        <v>0</v>
      </c>
      <c r="AQ4852">
        <v>0</v>
      </c>
      <c r="AS4852">
        <v>0</v>
      </c>
      <c r="AT4852">
        <v>0</v>
      </c>
      <c r="AV4852">
        <v>0</v>
      </c>
      <c r="AW4852">
        <v>0</v>
      </c>
      <c r="AY4852">
        <v>0</v>
      </c>
      <c r="AZ4852">
        <v>0</v>
      </c>
      <c r="BA4852">
        <v>189</v>
      </c>
      <c r="BE4852" t="str">
        <f>T("9791137014381")</f>
        <v>9791137014381</v>
      </c>
      <c r="BF4852" t="str">
        <f>T("D227233")</f>
        <v>D227233</v>
      </c>
      <c r="BG4852" t="str">
        <f>T("판타지 웹소설 &gt; 퓨전 판타지")</f>
        <v>판타지 웹소설 &gt; 퓨전 판타지</v>
      </c>
    </row>
    <row r="4853" spans="1:59">
      <c r="A4853" t="s">
        <v>60</v>
      </c>
      <c r="B4853" s="1">
        <v>46129</v>
      </c>
      <c r="C4853">
        <v>2378044065</v>
      </c>
      <c r="D4853">
        <v>2378081077</v>
      </c>
      <c r="E4853" t="str">
        <f>T("저승의 왕위를 계승했다 797화")</f>
        <v>저승의 왕위를 계승했다 797화</v>
      </c>
      <c r="F4853">
        <v>799</v>
      </c>
      <c r="G4853" t="str">
        <f>T("신타비")</f>
        <v>신타비</v>
      </c>
      <c r="J4853" t="str">
        <f>T("매드햇")</f>
        <v>매드햇</v>
      </c>
      <c r="K4853" t="str">
        <f>T("저승의 왕위를 계승했다")</f>
        <v>저승의 왕위를 계승했다</v>
      </c>
      <c r="L4853">
        <v>100</v>
      </c>
      <c r="M4853">
        <v>270</v>
      </c>
      <c r="N4853">
        <v>3</v>
      </c>
      <c r="O4853">
        <v>0</v>
      </c>
      <c r="P4853">
        <v>0</v>
      </c>
      <c r="Q4853">
        <v>0</v>
      </c>
      <c r="R4853">
        <v>0</v>
      </c>
      <c r="S4853">
        <v>0</v>
      </c>
      <c r="T4853">
        <v>0</v>
      </c>
      <c r="U4853">
        <v>0</v>
      </c>
      <c r="V4853">
        <v>0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0</v>
      </c>
      <c r="AC4853">
        <v>0</v>
      </c>
      <c r="AD4853">
        <v>0</v>
      </c>
      <c r="AE4853">
        <v>0</v>
      </c>
      <c r="AF4853">
        <v>0</v>
      </c>
      <c r="AG4853">
        <v>0</v>
      </c>
      <c r="AH4853">
        <v>0</v>
      </c>
      <c r="AI4853">
        <v>270</v>
      </c>
      <c r="AJ4853">
        <v>3</v>
      </c>
      <c r="AK4853">
        <v>0</v>
      </c>
      <c r="AL4853">
        <v>0</v>
      </c>
      <c r="AM4853">
        <v>270</v>
      </c>
      <c r="AN4853">
        <v>0</v>
      </c>
      <c r="AO4853">
        <v>0</v>
      </c>
      <c r="AP4853">
        <v>0</v>
      </c>
      <c r="AQ4853">
        <v>0</v>
      </c>
      <c r="AS4853">
        <v>0</v>
      </c>
      <c r="AT4853">
        <v>0</v>
      </c>
      <c r="AV4853">
        <v>0</v>
      </c>
      <c r="AW4853">
        <v>0</v>
      </c>
      <c r="AY4853">
        <v>0</v>
      </c>
      <c r="AZ4853">
        <v>0</v>
      </c>
      <c r="BA4853">
        <v>189</v>
      </c>
      <c r="BE4853" t="str">
        <f>T("9791137014381")</f>
        <v>9791137014381</v>
      </c>
      <c r="BF4853" t="str">
        <f>T("D227234")</f>
        <v>D227234</v>
      </c>
      <c r="BG4853" t="str">
        <f>T("판타지 웹소설 &gt; 퓨전 판타지")</f>
        <v>판타지 웹소설 &gt; 퓨전 판타지</v>
      </c>
    </row>
    <row r="4854" spans="1:59">
      <c r="A4854" t="s">
        <v>60</v>
      </c>
      <c r="B4854" s="1">
        <v>46129</v>
      </c>
      <c r="C4854">
        <v>2378044065</v>
      </c>
      <c r="D4854">
        <v>2378081078</v>
      </c>
      <c r="E4854" t="str">
        <f>T("저승의 왕위를 계승했다 798화")</f>
        <v>저승의 왕위를 계승했다 798화</v>
      </c>
      <c r="F4854">
        <v>800</v>
      </c>
      <c r="G4854" t="str">
        <f>T("신타비")</f>
        <v>신타비</v>
      </c>
      <c r="J4854" t="str">
        <f>T("매드햇")</f>
        <v>매드햇</v>
      </c>
      <c r="K4854" t="str">
        <f>T("저승의 왕위를 계승했다")</f>
        <v>저승의 왕위를 계승했다</v>
      </c>
      <c r="L4854">
        <v>100</v>
      </c>
      <c r="M4854">
        <v>270</v>
      </c>
      <c r="N4854">
        <v>3</v>
      </c>
      <c r="O4854">
        <v>0</v>
      </c>
      <c r="P4854">
        <v>0</v>
      </c>
      <c r="Q4854">
        <v>0</v>
      </c>
      <c r="R4854">
        <v>0</v>
      </c>
      <c r="S4854">
        <v>0</v>
      </c>
      <c r="T4854">
        <v>0</v>
      </c>
      <c r="U4854">
        <v>0</v>
      </c>
      <c r="V4854">
        <v>0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0</v>
      </c>
      <c r="AC4854">
        <v>0</v>
      </c>
      <c r="AD4854">
        <v>0</v>
      </c>
      <c r="AE4854">
        <v>0</v>
      </c>
      <c r="AF4854">
        <v>0</v>
      </c>
      <c r="AG4854">
        <v>0</v>
      </c>
      <c r="AH4854">
        <v>0</v>
      </c>
      <c r="AI4854">
        <v>270</v>
      </c>
      <c r="AJ4854">
        <v>3</v>
      </c>
      <c r="AK4854">
        <v>0</v>
      </c>
      <c r="AL4854">
        <v>0</v>
      </c>
      <c r="AM4854">
        <v>270</v>
      </c>
      <c r="AN4854">
        <v>0</v>
      </c>
      <c r="AO4854">
        <v>0</v>
      </c>
      <c r="AP4854">
        <v>0</v>
      </c>
      <c r="AQ4854">
        <v>0</v>
      </c>
      <c r="AS4854">
        <v>0</v>
      </c>
      <c r="AT4854">
        <v>0</v>
      </c>
      <c r="AV4854">
        <v>0</v>
      </c>
      <c r="AW4854">
        <v>0</v>
      </c>
      <c r="AY4854">
        <v>0</v>
      </c>
      <c r="AZ4854">
        <v>0</v>
      </c>
      <c r="BA4854">
        <v>189</v>
      </c>
      <c r="BE4854" t="str">
        <f>T("9791137014381")</f>
        <v>9791137014381</v>
      </c>
      <c r="BF4854" t="str">
        <f>T("D227235")</f>
        <v>D227235</v>
      </c>
      <c r="BG4854" t="str">
        <f>T("판타지 웹소설 &gt; 퓨전 판타지")</f>
        <v>판타지 웹소설 &gt; 퓨전 판타지</v>
      </c>
    </row>
    <row r="4855" spans="1:59">
      <c r="A4855" t="s">
        <v>60</v>
      </c>
      <c r="B4855" s="1">
        <v>46129</v>
      </c>
      <c r="C4855">
        <v>2378044065</v>
      </c>
      <c r="D4855">
        <v>2378081079</v>
      </c>
      <c r="E4855" t="str">
        <f>T("저승의 왕위를 계승했다 799화")</f>
        <v>저승의 왕위를 계승했다 799화</v>
      </c>
      <c r="F4855">
        <v>801</v>
      </c>
      <c r="G4855" t="str">
        <f>T("신타비")</f>
        <v>신타비</v>
      </c>
      <c r="J4855" t="str">
        <f>T("매드햇")</f>
        <v>매드햇</v>
      </c>
      <c r="K4855" t="str">
        <f>T("저승의 왕위를 계승했다")</f>
        <v>저승의 왕위를 계승했다</v>
      </c>
      <c r="L4855">
        <v>100</v>
      </c>
      <c r="M4855">
        <v>370</v>
      </c>
      <c r="N4855">
        <v>4</v>
      </c>
      <c r="O4855">
        <v>0</v>
      </c>
      <c r="P4855">
        <v>0</v>
      </c>
      <c r="Q4855">
        <v>0</v>
      </c>
      <c r="R4855">
        <v>0</v>
      </c>
      <c r="S4855">
        <v>0</v>
      </c>
      <c r="T4855">
        <v>0</v>
      </c>
      <c r="U4855">
        <v>0</v>
      </c>
      <c r="V4855">
        <v>0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0</v>
      </c>
      <c r="AC4855">
        <v>0</v>
      </c>
      <c r="AD4855">
        <v>0</v>
      </c>
      <c r="AE4855">
        <v>0</v>
      </c>
      <c r="AF4855">
        <v>0</v>
      </c>
      <c r="AG4855">
        <v>0</v>
      </c>
      <c r="AH4855">
        <v>0</v>
      </c>
      <c r="AI4855">
        <v>370</v>
      </c>
      <c r="AJ4855">
        <v>4</v>
      </c>
      <c r="AK4855">
        <v>0</v>
      </c>
      <c r="AL4855">
        <v>0</v>
      </c>
      <c r="AM4855">
        <v>370</v>
      </c>
      <c r="AN4855">
        <v>0</v>
      </c>
      <c r="AO4855">
        <v>0</v>
      </c>
      <c r="AP4855">
        <v>0</v>
      </c>
      <c r="AQ4855">
        <v>0</v>
      </c>
      <c r="AS4855">
        <v>0</v>
      </c>
      <c r="AT4855">
        <v>0</v>
      </c>
      <c r="AV4855">
        <v>0</v>
      </c>
      <c r="AW4855">
        <v>0</v>
      </c>
      <c r="AY4855">
        <v>0</v>
      </c>
      <c r="AZ4855">
        <v>0</v>
      </c>
      <c r="BA4855">
        <v>259</v>
      </c>
      <c r="BE4855" t="str">
        <f>T("9791137014381")</f>
        <v>9791137014381</v>
      </c>
      <c r="BF4855" t="str">
        <f>T("D227236")</f>
        <v>D227236</v>
      </c>
      <c r="BG4855" t="str">
        <f>T("판타지 웹소설 &gt; 퓨전 판타지")</f>
        <v>판타지 웹소설 &gt; 퓨전 판타지</v>
      </c>
    </row>
    <row r="4856" spans="1:59">
      <c r="A4856" t="s">
        <v>60</v>
      </c>
      <c r="B4856" s="1">
        <v>46129</v>
      </c>
      <c r="C4856">
        <v>2378044065</v>
      </c>
      <c r="D4856">
        <v>2378081080</v>
      </c>
      <c r="E4856" t="str">
        <f>T("저승의 왕위를 계승했다 800화")</f>
        <v>저승의 왕위를 계승했다 800화</v>
      </c>
      <c r="F4856">
        <v>802</v>
      </c>
      <c r="G4856" t="str">
        <f>T("신타비")</f>
        <v>신타비</v>
      </c>
      <c r="J4856" t="str">
        <f>T("매드햇")</f>
        <v>매드햇</v>
      </c>
      <c r="K4856" t="str">
        <f>T("저승의 왕위를 계승했다")</f>
        <v>저승의 왕위를 계승했다</v>
      </c>
      <c r="L4856">
        <v>100</v>
      </c>
      <c r="M4856">
        <v>370</v>
      </c>
      <c r="N4856">
        <v>4</v>
      </c>
      <c r="O4856">
        <v>0</v>
      </c>
      <c r="P4856">
        <v>0</v>
      </c>
      <c r="Q4856">
        <v>0</v>
      </c>
      <c r="R4856">
        <v>0</v>
      </c>
      <c r="S4856">
        <v>0</v>
      </c>
      <c r="T4856">
        <v>0</v>
      </c>
      <c r="U4856">
        <v>0</v>
      </c>
      <c r="V4856">
        <v>0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0</v>
      </c>
      <c r="AC4856">
        <v>0</v>
      </c>
      <c r="AD4856">
        <v>0</v>
      </c>
      <c r="AE4856">
        <v>0</v>
      </c>
      <c r="AF4856">
        <v>0</v>
      </c>
      <c r="AG4856">
        <v>0</v>
      </c>
      <c r="AH4856">
        <v>0</v>
      </c>
      <c r="AI4856">
        <v>370</v>
      </c>
      <c r="AJ4856">
        <v>4</v>
      </c>
      <c r="AK4856">
        <v>0</v>
      </c>
      <c r="AL4856">
        <v>0</v>
      </c>
      <c r="AM4856">
        <v>370</v>
      </c>
      <c r="AN4856">
        <v>0</v>
      </c>
      <c r="AO4856">
        <v>0</v>
      </c>
      <c r="AP4856">
        <v>0</v>
      </c>
      <c r="AQ4856">
        <v>0</v>
      </c>
      <c r="AS4856">
        <v>0</v>
      </c>
      <c r="AT4856">
        <v>0</v>
      </c>
      <c r="AV4856">
        <v>0</v>
      </c>
      <c r="AW4856">
        <v>0</v>
      </c>
      <c r="AY4856">
        <v>0</v>
      </c>
      <c r="AZ4856">
        <v>0</v>
      </c>
      <c r="BA4856">
        <v>259</v>
      </c>
      <c r="BE4856" t="str">
        <f>T("9791137014381")</f>
        <v>9791137014381</v>
      </c>
      <c r="BF4856" t="str">
        <f>T("D227237")</f>
        <v>D227237</v>
      </c>
      <c r="BG4856" t="str">
        <f>T("판타지 웹소설 &gt; 퓨전 판타지")</f>
        <v>판타지 웹소설 &gt; 퓨전 판타지</v>
      </c>
    </row>
    <row r="4857" spans="1:59">
      <c r="A4857" t="s">
        <v>60</v>
      </c>
      <c r="B4857" s="1">
        <v>46129</v>
      </c>
      <c r="C4857">
        <v>2378044065</v>
      </c>
      <c r="D4857">
        <v>2378081102</v>
      </c>
      <c r="E4857" t="str">
        <f>T("저승의 왕위를 계승했다 801화")</f>
        <v>저승의 왕위를 계승했다 801화</v>
      </c>
      <c r="F4857">
        <v>803</v>
      </c>
      <c r="G4857" t="str">
        <f>T("신타비")</f>
        <v>신타비</v>
      </c>
      <c r="J4857" t="str">
        <f>T("매드햇")</f>
        <v>매드햇</v>
      </c>
      <c r="K4857" t="str">
        <f>T("저승의 왕위를 계승했다")</f>
        <v>저승의 왕위를 계승했다</v>
      </c>
      <c r="L4857">
        <v>100</v>
      </c>
      <c r="M4857">
        <v>370</v>
      </c>
      <c r="N4857">
        <v>4</v>
      </c>
      <c r="O4857">
        <v>0</v>
      </c>
      <c r="P4857">
        <v>0</v>
      </c>
      <c r="Q4857">
        <v>0</v>
      </c>
      <c r="R4857">
        <v>0</v>
      </c>
      <c r="S4857">
        <v>0</v>
      </c>
      <c r="T4857">
        <v>0</v>
      </c>
      <c r="U4857">
        <v>0</v>
      </c>
      <c r="V4857">
        <v>0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0</v>
      </c>
      <c r="AC4857">
        <v>0</v>
      </c>
      <c r="AD4857">
        <v>0</v>
      </c>
      <c r="AE4857">
        <v>0</v>
      </c>
      <c r="AF4857">
        <v>0</v>
      </c>
      <c r="AG4857">
        <v>0</v>
      </c>
      <c r="AH4857">
        <v>0</v>
      </c>
      <c r="AI4857">
        <v>370</v>
      </c>
      <c r="AJ4857">
        <v>4</v>
      </c>
      <c r="AK4857">
        <v>0</v>
      </c>
      <c r="AL4857">
        <v>0</v>
      </c>
      <c r="AM4857">
        <v>370</v>
      </c>
      <c r="AN4857">
        <v>0</v>
      </c>
      <c r="AO4857">
        <v>0</v>
      </c>
      <c r="AP4857">
        <v>0</v>
      </c>
      <c r="AQ4857">
        <v>0</v>
      </c>
      <c r="AS4857">
        <v>0</v>
      </c>
      <c r="AT4857">
        <v>0</v>
      </c>
      <c r="AV4857">
        <v>0</v>
      </c>
      <c r="AW4857">
        <v>0</v>
      </c>
      <c r="AY4857">
        <v>0</v>
      </c>
      <c r="AZ4857">
        <v>0</v>
      </c>
      <c r="BA4857">
        <v>259</v>
      </c>
      <c r="BE4857" t="str">
        <f>T("9791137014381")</f>
        <v>9791137014381</v>
      </c>
      <c r="BF4857" t="str">
        <f>T("D227238")</f>
        <v>D227238</v>
      </c>
      <c r="BG4857" t="str">
        <f>T("판타지 웹소설 &gt; 퓨전 판타지")</f>
        <v>판타지 웹소설 &gt; 퓨전 판타지</v>
      </c>
    </row>
    <row r="4858" spans="1:59">
      <c r="A4858" t="s">
        <v>60</v>
      </c>
      <c r="B4858" s="1">
        <v>46129</v>
      </c>
      <c r="C4858">
        <v>2378044065</v>
      </c>
      <c r="D4858">
        <v>2378081103</v>
      </c>
      <c r="E4858" t="str">
        <f>T("저승의 왕위를 계승했다 802화")</f>
        <v>저승의 왕위를 계승했다 802화</v>
      </c>
      <c r="F4858">
        <v>804</v>
      </c>
      <c r="G4858" t="str">
        <f>T("신타비")</f>
        <v>신타비</v>
      </c>
      <c r="J4858" t="str">
        <f>T("매드햇")</f>
        <v>매드햇</v>
      </c>
      <c r="K4858" t="str">
        <f>T("저승의 왕위를 계승했다")</f>
        <v>저승의 왕위를 계승했다</v>
      </c>
      <c r="L4858">
        <v>100</v>
      </c>
      <c r="M4858">
        <v>370</v>
      </c>
      <c r="N4858">
        <v>4</v>
      </c>
      <c r="O4858">
        <v>0</v>
      </c>
      <c r="P4858">
        <v>0</v>
      </c>
      <c r="Q4858">
        <v>0</v>
      </c>
      <c r="R4858">
        <v>0</v>
      </c>
      <c r="S4858">
        <v>0</v>
      </c>
      <c r="T4858">
        <v>0</v>
      </c>
      <c r="U4858">
        <v>0</v>
      </c>
      <c r="V4858">
        <v>0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0</v>
      </c>
      <c r="AC4858">
        <v>0</v>
      </c>
      <c r="AD4858">
        <v>0</v>
      </c>
      <c r="AE4858">
        <v>0</v>
      </c>
      <c r="AF4858">
        <v>0</v>
      </c>
      <c r="AG4858">
        <v>0</v>
      </c>
      <c r="AH4858">
        <v>0</v>
      </c>
      <c r="AI4858">
        <v>370</v>
      </c>
      <c r="AJ4858">
        <v>4</v>
      </c>
      <c r="AK4858">
        <v>0</v>
      </c>
      <c r="AL4858">
        <v>0</v>
      </c>
      <c r="AM4858">
        <v>370</v>
      </c>
      <c r="AN4858">
        <v>0</v>
      </c>
      <c r="AO4858">
        <v>0</v>
      </c>
      <c r="AP4858">
        <v>0</v>
      </c>
      <c r="AQ4858">
        <v>0</v>
      </c>
      <c r="AS4858">
        <v>0</v>
      </c>
      <c r="AT4858">
        <v>0</v>
      </c>
      <c r="AV4858">
        <v>0</v>
      </c>
      <c r="AW4858">
        <v>0</v>
      </c>
      <c r="AY4858">
        <v>0</v>
      </c>
      <c r="AZ4858">
        <v>0</v>
      </c>
      <c r="BA4858">
        <v>259</v>
      </c>
      <c r="BE4858" t="str">
        <f>T("9791137014381")</f>
        <v>9791137014381</v>
      </c>
      <c r="BF4858" t="str">
        <f>T("D227239")</f>
        <v>D227239</v>
      </c>
      <c r="BG4858" t="str">
        <f>T("판타지 웹소설 &gt; 퓨전 판타지")</f>
        <v>판타지 웹소설 &gt; 퓨전 판타지</v>
      </c>
    </row>
    <row r="4859" spans="1:59">
      <c r="A4859" t="s">
        <v>60</v>
      </c>
      <c r="B4859" s="1">
        <v>46129</v>
      </c>
      <c r="C4859">
        <v>2378044065</v>
      </c>
      <c r="D4859">
        <v>2378081104</v>
      </c>
      <c r="E4859" t="str">
        <f>T("저승의 왕위를 계승했다 803화")</f>
        <v>저승의 왕위를 계승했다 803화</v>
      </c>
      <c r="F4859">
        <v>805</v>
      </c>
      <c r="G4859" t="str">
        <f>T("신타비")</f>
        <v>신타비</v>
      </c>
      <c r="J4859" t="str">
        <f>T("매드햇")</f>
        <v>매드햇</v>
      </c>
      <c r="K4859" t="str">
        <f>T("저승의 왕위를 계승했다")</f>
        <v>저승의 왕위를 계승했다</v>
      </c>
      <c r="L4859">
        <v>100</v>
      </c>
      <c r="M4859">
        <v>370</v>
      </c>
      <c r="N4859">
        <v>4</v>
      </c>
      <c r="O4859">
        <v>0</v>
      </c>
      <c r="P4859">
        <v>0</v>
      </c>
      <c r="Q4859">
        <v>0</v>
      </c>
      <c r="R4859">
        <v>0</v>
      </c>
      <c r="S4859">
        <v>0</v>
      </c>
      <c r="T4859">
        <v>0</v>
      </c>
      <c r="U4859">
        <v>0</v>
      </c>
      <c r="V4859">
        <v>0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0</v>
      </c>
      <c r="AC4859">
        <v>0</v>
      </c>
      <c r="AD4859">
        <v>0</v>
      </c>
      <c r="AE4859">
        <v>0</v>
      </c>
      <c r="AF4859">
        <v>0</v>
      </c>
      <c r="AG4859">
        <v>0</v>
      </c>
      <c r="AH4859">
        <v>0</v>
      </c>
      <c r="AI4859">
        <v>370</v>
      </c>
      <c r="AJ4859">
        <v>4</v>
      </c>
      <c r="AK4859">
        <v>0</v>
      </c>
      <c r="AL4859">
        <v>0</v>
      </c>
      <c r="AM4859">
        <v>370</v>
      </c>
      <c r="AN4859">
        <v>0</v>
      </c>
      <c r="AO4859">
        <v>0</v>
      </c>
      <c r="AP4859">
        <v>0</v>
      </c>
      <c r="AQ4859">
        <v>0</v>
      </c>
      <c r="AS4859">
        <v>0</v>
      </c>
      <c r="AT4859">
        <v>0</v>
      </c>
      <c r="AV4859">
        <v>0</v>
      </c>
      <c r="AW4859">
        <v>0</v>
      </c>
      <c r="AY4859">
        <v>0</v>
      </c>
      <c r="AZ4859">
        <v>0</v>
      </c>
      <c r="BA4859">
        <v>259</v>
      </c>
      <c r="BE4859" t="str">
        <f>T("9791137014381")</f>
        <v>9791137014381</v>
      </c>
      <c r="BF4859" t="str">
        <f>T("D227240")</f>
        <v>D227240</v>
      </c>
      <c r="BG4859" t="str">
        <f>T("판타지 웹소설 &gt; 퓨전 판타지")</f>
        <v>판타지 웹소설 &gt; 퓨전 판타지</v>
      </c>
    </row>
    <row r="4860" spans="1:59">
      <c r="A4860" t="s">
        <v>60</v>
      </c>
      <c r="B4860" s="1">
        <v>46129</v>
      </c>
      <c r="C4860">
        <v>2378044065</v>
      </c>
      <c r="D4860">
        <v>2378081105</v>
      </c>
      <c r="E4860" t="str">
        <f>T("저승의 왕위를 계승했다 804화")</f>
        <v>저승의 왕위를 계승했다 804화</v>
      </c>
      <c r="F4860">
        <v>806</v>
      </c>
      <c r="G4860" t="str">
        <f>T("신타비")</f>
        <v>신타비</v>
      </c>
      <c r="J4860" t="str">
        <f>T("매드햇")</f>
        <v>매드햇</v>
      </c>
      <c r="K4860" t="str">
        <f>T("저승의 왕위를 계승했다")</f>
        <v>저승의 왕위를 계승했다</v>
      </c>
      <c r="L4860">
        <v>100</v>
      </c>
      <c r="M4860">
        <v>370</v>
      </c>
      <c r="N4860">
        <v>4</v>
      </c>
      <c r="O4860">
        <v>0</v>
      </c>
      <c r="P4860">
        <v>0</v>
      </c>
      <c r="Q4860">
        <v>0</v>
      </c>
      <c r="R4860">
        <v>0</v>
      </c>
      <c r="S4860">
        <v>0</v>
      </c>
      <c r="T4860">
        <v>0</v>
      </c>
      <c r="U4860">
        <v>0</v>
      </c>
      <c r="V4860">
        <v>0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0</v>
      </c>
      <c r="AC4860">
        <v>0</v>
      </c>
      <c r="AD4860">
        <v>0</v>
      </c>
      <c r="AE4860">
        <v>0</v>
      </c>
      <c r="AF4860">
        <v>0</v>
      </c>
      <c r="AG4860">
        <v>0</v>
      </c>
      <c r="AH4860">
        <v>0</v>
      </c>
      <c r="AI4860">
        <v>370</v>
      </c>
      <c r="AJ4860">
        <v>4</v>
      </c>
      <c r="AK4860">
        <v>0</v>
      </c>
      <c r="AL4860">
        <v>0</v>
      </c>
      <c r="AM4860">
        <v>370</v>
      </c>
      <c r="AN4860">
        <v>0</v>
      </c>
      <c r="AO4860">
        <v>0</v>
      </c>
      <c r="AP4860">
        <v>0</v>
      </c>
      <c r="AQ4860">
        <v>0</v>
      </c>
      <c r="AS4860">
        <v>0</v>
      </c>
      <c r="AT4860">
        <v>0</v>
      </c>
      <c r="AV4860">
        <v>0</v>
      </c>
      <c r="AW4860">
        <v>0</v>
      </c>
      <c r="AY4860">
        <v>0</v>
      </c>
      <c r="AZ4860">
        <v>0</v>
      </c>
      <c r="BA4860">
        <v>259</v>
      </c>
      <c r="BE4860" t="str">
        <f>T("9791137014381")</f>
        <v>9791137014381</v>
      </c>
      <c r="BF4860" t="str">
        <f>T("D227241")</f>
        <v>D227241</v>
      </c>
      <c r="BG4860" t="str">
        <f>T("판타지 웹소설 &gt; 퓨전 판타지")</f>
        <v>판타지 웹소설 &gt; 퓨전 판타지</v>
      </c>
    </row>
    <row r="4861" spans="1:59">
      <c r="A4861" t="s">
        <v>60</v>
      </c>
      <c r="B4861" s="1">
        <v>46129</v>
      </c>
      <c r="C4861">
        <v>2378044065</v>
      </c>
      <c r="D4861">
        <v>2378081201</v>
      </c>
      <c r="E4861" t="str">
        <f>T("저승의 왕위를 계승했다 805화")</f>
        <v>저승의 왕위를 계승했다 805화</v>
      </c>
      <c r="F4861">
        <v>807</v>
      </c>
      <c r="G4861" t="str">
        <f>T("신타비")</f>
        <v>신타비</v>
      </c>
      <c r="J4861" t="str">
        <f>T("매드햇")</f>
        <v>매드햇</v>
      </c>
      <c r="K4861" t="str">
        <f>T("저승의 왕위를 계승했다")</f>
        <v>저승의 왕위를 계승했다</v>
      </c>
      <c r="L4861">
        <v>100</v>
      </c>
      <c r="M4861">
        <v>370</v>
      </c>
      <c r="N4861">
        <v>4</v>
      </c>
      <c r="O4861">
        <v>0</v>
      </c>
      <c r="P4861">
        <v>0</v>
      </c>
      <c r="Q4861">
        <v>0</v>
      </c>
      <c r="R4861">
        <v>0</v>
      </c>
      <c r="S4861">
        <v>0</v>
      </c>
      <c r="T4861">
        <v>0</v>
      </c>
      <c r="U4861">
        <v>0</v>
      </c>
      <c r="V4861">
        <v>0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0</v>
      </c>
      <c r="AC4861">
        <v>0</v>
      </c>
      <c r="AD4861">
        <v>0</v>
      </c>
      <c r="AE4861">
        <v>0</v>
      </c>
      <c r="AF4861">
        <v>0</v>
      </c>
      <c r="AG4861">
        <v>0</v>
      </c>
      <c r="AH4861">
        <v>0</v>
      </c>
      <c r="AI4861">
        <v>370</v>
      </c>
      <c r="AJ4861">
        <v>4</v>
      </c>
      <c r="AK4861">
        <v>0</v>
      </c>
      <c r="AL4861">
        <v>0</v>
      </c>
      <c r="AM4861">
        <v>370</v>
      </c>
      <c r="AN4861">
        <v>0</v>
      </c>
      <c r="AO4861">
        <v>0</v>
      </c>
      <c r="AP4861">
        <v>0</v>
      </c>
      <c r="AQ4861">
        <v>0</v>
      </c>
      <c r="AS4861">
        <v>0</v>
      </c>
      <c r="AT4861">
        <v>0</v>
      </c>
      <c r="AV4861">
        <v>0</v>
      </c>
      <c r="AW4861">
        <v>0</v>
      </c>
      <c r="AY4861">
        <v>0</v>
      </c>
      <c r="AZ4861">
        <v>0</v>
      </c>
      <c r="BA4861">
        <v>259</v>
      </c>
      <c r="BE4861" t="str">
        <f>T("9791137014381")</f>
        <v>9791137014381</v>
      </c>
      <c r="BF4861" t="str">
        <f>T("D227242")</f>
        <v>D227242</v>
      </c>
      <c r="BG4861" t="str">
        <f>T("판타지 웹소설 &gt; 퓨전 판타지")</f>
        <v>판타지 웹소설 &gt; 퓨전 판타지</v>
      </c>
    </row>
    <row r="4862" spans="1:59">
      <c r="A4862" t="s">
        <v>60</v>
      </c>
      <c r="B4862" s="1">
        <v>46129</v>
      </c>
      <c r="C4862">
        <v>2378044065</v>
      </c>
      <c r="D4862">
        <v>2378081202</v>
      </c>
      <c r="E4862" t="str">
        <f>T("저승의 왕위를 계승했다 806화")</f>
        <v>저승의 왕위를 계승했다 806화</v>
      </c>
      <c r="F4862">
        <v>808</v>
      </c>
      <c r="G4862" t="str">
        <f>T("신타비")</f>
        <v>신타비</v>
      </c>
      <c r="J4862" t="str">
        <f>T("매드햇")</f>
        <v>매드햇</v>
      </c>
      <c r="K4862" t="str">
        <f>T("저승의 왕위를 계승했다")</f>
        <v>저승의 왕위를 계승했다</v>
      </c>
      <c r="L4862">
        <v>100</v>
      </c>
      <c r="M4862">
        <v>370</v>
      </c>
      <c r="N4862">
        <v>4</v>
      </c>
      <c r="O4862">
        <v>0</v>
      </c>
      <c r="P4862">
        <v>0</v>
      </c>
      <c r="Q4862">
        <v>0</v>
      </c>
      <c r="R4862">
        <v>0</v>
      </c>
      <c r="S4862">
        <v>0</v>
      </c>
      <c r="T4862">
        <v>0</v>
      </c>
      <c r="U4862">
        <v>0</v>
      </c>
      <c r="V4862">
        <v>0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0</v>
      </c>
      <c r="AC4862">
        <v>0</v>
      </c>
      <c r="AD4862">
        <v>0</v>
      </c>
      <c r="AE4862">
        <v>0</v>
      </c>
      <c r="AF4862">
        <v>0</v>
      </c>
      <c r="AG4862">
        <v>0</v>
      </c>
      <c r="AH4862">
        <v>0</v>
      </c>
      <c r="AI4862">
        <v>370</v>
      </c>
      <c r="AJ4862">
        <v>4</v>
      </c>
      <c r="AK4862">
        <v>0</v>
      </c>
      <c r="AL4862">
        <v>0</v>
      </c>
      <c r="AM4862">
        <v>370</v>
      </c>
      <c r="AN4862">
        <v>0</v>
      </c>
      <c r="AO4862">
        <v>0</v>
      </c>
      <c r="AP4862">
        <v>0</v>
      </c>
      <c r="AQ4862">
        <v>0</v>
      </c>
      <c r="AS4862">
        <v>0</v>
      </c>
      <c r="AT4862">
        <v>0</v>
      </c>
      <c r="AV4862">
        <v>0</v>
      </c>
      <c r="AW4862">
        <v>0</v>
      </c>
      <c r="AY4862">
        <v>0</v>
      </c>
      <c r="AZ4862">
        <v>0</v>
      </c>
      <c r="BA4862">
        <v>259</v>
      </c>
      <c r="BE4862" t="str">
        <f>T("9791137014381")</f>
        <v>9791137014381</v>
      </c>
      <c r="BF4862" t="str">
        <f>T("D227243")</f>
        <v>D227243</v>
      </c>
      <c r="BG4862" t="str">
        <f>T("판타지 웹소설 &gt; 퓨전 판타지")</f>
        <v>판타지 웹소설 &gt; 퓨전 판타지</v>
      </c>
    </row>
    <row r="4863" spans="1:59">
      <c r="A4863" t="s">
        <v>60</v>
      </c>
      <c r="B4863" s="1">
        <v>46129</v>
      </c>
      <c r="C4863">
        <v>2378044065</v>
      </c>
      <c r="D4863">
        <v>2378067598</v>
      </c>
      <c r="E4863" t="str">
        <f>T("저승의 왕위를 계승했다 442화")</f>
        <v>저승의 왕위를 계승했다 442화</v>
      </c>
      <c r="F4863">
        <v>443</v>
      </c>
      <c r="G4863" t="str">
        <f>T("신타비")</f>
        <v>신타비</v>
      </c>
      <c r="J4863" t="str">
        <f>T("매드햇")</f>
        <v>매드햇</v>
      </c>
      <c r="K4863" t="str">
        <f>T("저승의 왕위를 계승했다")</f>
        <v>저승의 왕위를 계승했다</v>
      </c>
      <c r="L4863">
        <v>100</v>
      </c>
      <c r="M4863">
        <v>100</v>
      </c>
      <c r="N4863">
        <v>1</v>
      </c>
      <c r="O4863">
        <v>0</v>
      </c>
      <c r="P4863">
        <v>0</v>
      </c>
      <c r="Q4863">
        <v>0</v>
      </c>
      <c r="R4863">
        <v>0</v>
      </c>
      <c r="S4863">
        <v>0</v>
      </c>
      <c r="T4863">
        <v>0</v>
      </c>
      <c r="U4863">
        <v>0</v>
      </c>
      <c r="V4863">
        <v>0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0</v>
      </c>
      <c r="AC4863">
        <v>0</v>
      </c>
      <c r="AD4863">
        <v>0</v>
      </c>
      <c r="AE4863">
        <v>0</v>
      </c>
      <c r="AF4863">
        <v>0</v>
      </c>
      <c r="AG4863">
        <v>0</v>
      </c>
      <c r="AH4863">
        <v>0</v>
      </c>
      <c r="AI4863">
        <v>100</v>
      </c>
      <c r="AJ4863">
        <v>1</v>
      </c>
      <c r="AK4863">
        <v>0</v>
      </c>
      <c r="AL4863">
        <v>0</v>
      </c>
      <c r="AM4863">
        <v>100</v>
      </c>
      <c r="AN4863">
        <v>0</v>
      </c>
      <c r="AO4863">
        <v>0</v>
      </c>
      <c r="AP4863">
        <v>0</v>
      </c>
      <c r="AQ4863">
        <v>0</v>
      </c>
      <c r="AS4863">
        <v>0</v>
      </c>
      <c r="AT4863">
        <v>0</v>
      </c>
      <c r="AV4863">
        <v>0</v>
      </c>
      <c r="AW4863">
        <v>0</v>
      </c>
      <c r="AY4863">
        <v>0</v>
      </c>
      <c r="AZ4863">
        <v>0</v>
      </c>
      <c r="BA4863">
        <v>70</v>
      </c>
      <c r="BE4863" t="str">
        <f>T("9791137014381")</f>
        <v>9791137014381</v>
      </c>
      <c r="BF4863" t="str">
        <f>T("k328888")</f>
        <v>k328888</v>
      </c>
      <c r="BG4863" t="str">
        <f>T("판타지 웹소설 &gt; 퓨전 판타지")</f>
        <v>판타지 웹소설 &gt; 퓨전 판타지</v>
      </c>
    </row>
    <row r="4864" spans="1:59">
      <c r="A4864" t="s">
        <v>60</v>
      </c>
      <c r="B4864" s="1">
        <v>46129</v>
      </c>
      <c r="C4864">
        <v>2378044065</v>
      </c>
      <c r="D4864">
        <v>2378068516</v>
      </c>
      <c r="E4864" t="str">
        <f>T("저승의 왕위를 계승했다 473화")</f>
        <v>저승의 왕위를 계승했다 473화</v>
      </c>
      <c r="F4864">
        <v>474</v>
      </c>
      <c r="G4864" t="str">
        <f>T("신타비")</f>
        <v>신타비</v>
      </c>
      <c r="J4864" t="str">
        <f>T("매드햇")</f>
        <v>매드햇</v>
      </c>
      <c r="K4864" t="str">
        <f>T("저승의 왕위를 계승했다")</f>
        <v>저승의 왕위를 계승했다</v>
      </c>
      <c r="L4864">
        <v>100</v>
      </c>
      <c r="M4864">
        <v>100</v>
      </c>
      <c r="N4864">
        <v>1</v>
      </c>
      <c r="O4864">
        <v>0</v>
      </c>
      <c r="P4864">
        <v>0</v>
      </c>
      <c r="Q4864">
        <v>0</v>
      </c>
      <c r="R4864">
        <v>0</v>
      </c>
      <c r="S4864">
        <v>0</v>
      </c>
      <c r="T4864">
        <v>0</v>
      </c>
      <c r="U4864">
        <v>0</v>
      </c>
      <c r="V4864">
        <v>0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0</v>
      </c>
      <c r="AC4864">
        <v>0</v>
      </c>
      <c r="AD4864">
        <v>0</v>
      </c>
      <c r="AE4864">
        <v>0</v>
      </c>
      <c r="AF4864">
        <v>0</v>
      </c>
      <c r="AG4864">
        <v>0</v>
      </c>
      <c r="AH4864">
        <v>0</v>
      </c>
      <c r="AI4864">
        <v>100</v>
      </c>
      <c r="AJ4864">
        <v>1</v>
      </c>
      <c r="AK4864">
        <v>0</v>
      </c>
      <c r="AL4864">
        <v>0</v>
      </c>
      <c r="AM4864">
        <v>100</v>
      </c>
      <c r="AN4864">
        <v>0</v>
      </c>
      <c r="AO4864">
        <v>0</v>
      </c>
      <c r="AP4864">
        <v>0</v>
      </c>
      <c r="AQ4864">
        <v>0</v>
      </c>
      <c r="AS4864">
        <v>0</v>
      </c>
      <c r="AT4864">
        <v>0</v>
      </c>
      <c r="AV4864">
        <v>0</v>
      </c>
      <c r="AW4864">
        <v>0</v>
      </c>
      <c r="AY4864">
        <v>0</v>
      </c>
      <c r="AZ4864">
        <v>0</v>
      </c>
      <c r="BA4864">
        <v>70</v>
      </c>
      <c r="BE4864" t="str">
        <f>T("9791137014381")</f>
        <v>9791137014381</v>
      </c>
      <c r="BF4864" t="str">
        <f>T("k381957")</f>
        <v>k381957</v>
      </c>
      <c r="BG4864" t="str">
        <f>T("판타지 웹소설 &gt; 퓨전 판타지")</f>
        <v>판타지 웹소설 &gt; 퓨전 판타지</v>
      </c>
    </row>
    <row r="4865" spans="1:59">
      <c r="A4865" t="s">
        <v>60</v>
      </c>
      <c r="B4865" s="1">
        <v>46129</v>
      </c>
      <c r="C4865">
        <v>2378044065</v>
      </c>
      <c r="D4865">
        <v>2378068517</v>
      </c>
      <c r="E4865" t="str">
        <f>T("저승의 왕위를 계승했다 474화")</f>
        <v>저승의 왕위를 계승했다 474화</v>
      </c>
      <c r="F4865">
        <v>475</v>
      </c>
      <c r="G4865" t="str">
        <f>T("신타비")</f>
        <v>신타비</v>
      </c>
      <c r="J4865" t="str">
        <f>T("매드햇")</f>
        <v>매드햇</v>
      </c>
      <c r="K4865" t="str">
        <f>T("저승의 왕위를 계승했다")</f>
        <v>저승의 왕위를 계승했다</v>
      </c>
      <c r="L4865">
        <v>100</v>
      </c>
      <c r="M4865">
        <v>100</v>
      </c>
      <c r="N4865">
        <v>1</v>
      </c>
      <c r="O4865">
        <v>0</v>
      </c>
      <c r="P4865">
        <v>0</v>
      </c>
      <c r="Q4865">
        <v>0</v>
      </c>
      <c r="R4865">
        <v>0</v>
      </c>
      <c r="S4865">
        <v>0</v>
      </c>
      <c r="T4865">
        <v>0</v>
      </c>
      <c r="U4865">
        <v>0</v>
      </c>
      <c r="V4865">
        <v>0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0</v>
      </c>
      <c r="AC4865">
        <v>0</v>
      </c>
      <c r="AD4865">
        <v>0</v>
      </c>
      <c r="AE4865">
        <v>0</v>
      </c>
      <c r="AF4865">
        <v>0</v>
      </c>
      <c r="AG4865">
        <v>0</v>
      </c>
      <c r="AH4865">
        <v>0</v>
      </c>
      <c r="AI4865">
        <v>100</v>
      </c>
      <c r="AJ4865">
        <v>1</v>
      </c>
      <c r="AK4865">
        <v>0</v>
      </c>
      <c r="AL4865">
        <v>0</v>
      </c>
      <c r="AM4865">
        <v>100</v>
      </c>
      <c r="AN4865">
        <v>0</v>
      </c>
      <c r="AO4865">
        <v>0</v>
      </c>
      <c r="AP4865">
        <v>0</v>
      </c>
      <c r="AQ4865">
        <v>0</v>
      </c>
      <c r="AS4865">
        <v>0</v>
      </c>
      <c r="AT4865">
        <v>0</v>
      </c>
      <c r="AV4865">
        <v>0</v>
      </c>
      <c r="AW4865">
        <v>0</v>
      </c>
      <c r="AY4865">
        <v>0</v>
      </c>
      <c r="AZ4865">
        <v>0</v>
      </c>
      <c r="BA4865">
        <v>70</v>
      </c>
      <c r="BE4865" t="str">
        <f>T("9791137014381")</f>
        <v>9791137014381</v>
      </c>
      <c r="BF4865" t="str">
        <f>T("k381958")</f>
        <v>k381958</v>
      </c>
      <c r="BG4865" t="str">
        <f>T("판타지 웹소설 &gt; 퓨전 판타지")</f>
        <v>판타지 웹소설 &gt; 퓨전 판타지</v>
      </c>
    </row>
    <row r="4866" spans="1:59">
      <c r="A4866" t="s">
        <v>60</v>
      </c>
      <c r="B4866" s="1">
        <v>46129</v>
      </c>
      <c r="C4866">
        <v>2378044065</v>
      </c>
      <c r="D4866">
        <v>2378068537</v>
      </c>
      <c r="E4866" t="str">
        <f>T("저승의 왕위를 계승했다 475화")</f>
        <v>저승의 왕위를 계승했다 475화</v>
      </c>
      <c r="F4866">
        <v>476</v>
      </c>
      <c r="G4866" t="str">
        <f>T("신타비")</f>
        <v>신타비</v>
      </c>
      <c r="J4866" t="str">
        <f>T("매드햇")</f>
        <v>매드햇</v>
      </c>
      <c r="K4866" t="str">
        <f>T("저승의 왕위를 계승했다")</f>
        <v>저승의 왕위를 계승했다</v>
      </c>
      <c r="L4866">
        <v>100</v>
      </c>
      <c r="M4866">
        <v>100</v>
      </c>
      <c r="N4866">
        <v>1</v>
      </c>
      <c r="O4866">
        <v>0</v>
      </c>
      <c r="P4866">
        <v>0</v>
      </c>
      <c r="Q4866">
        <v>0</v>
      </c>
      <c r="R4866">
        <v>0</v>
      </c>
      <c r="S4866">
        <v>0</v>
      </c>
      <c r="T4866">
        <v>0</v>
      </c>
      <c r="U4866">
        <v>0</v>
      </c>
      <c r="V4866">
        <v>0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0</v>
      </c>
      <c r="AC4866">
        <v>0</v>
      </c>
      <c r="AD4866">
        <v>0</v>
      </c>
      <c r="AE4866">
        <v>0</v>
      </c>
      <c r="AF4866">
        <v>0</v>
      </c>
      <c r="AG4866">
        <v>0</v>
      </c>
      <c r="AH4866">
        <v>0</v>
      </c>
      <c r="AI4866">
        <v>100</v>
      </c>
      <c r="AJ4866">
        <v>1</v>
      </c>
      <c r="AK4866">
        <v>0</v>
      </c>
      <c r="AL4866">
        <v>0</v>
      </c>
      <c r="AM4866">
        <v>100</v>
      </c>
      <c r="AN4866">
        <v>0</v>
      </c>
      <c r="AO4866">
        <v>0</v>
      </c>
      <c r="AP4866">
        <v>0</v>
      </c>
      <c r="AQ4866">
        <v>0</v>
      </c>
      <c r="AS4866">
        <v>0</v>
      </c>
      <c r="AT4866">
        <v>0</v>
      </c>
      <c r="AV4866">
        <v>0</v>
      </c>
      <c r="AW4866">
        <v>0</v>
      </c>
      <c r="AY4866">
        <v>0</v>
      </c>
      <c r="AZ4866">
        <v>0</v>
      </c>
      <c r="BA4866">
        <v>70</v>
      </c>
      <c r="BE4866" t="str">
        <f>T("9791137014381")</f>
        <v>9791137014381</v>
      </c>
      <c r="BF4866" t="str">
        <f>T("k383811")</f>
        <v>k383811</v>
      </c>
      <c r="BG4866" t="str">
        <f>T("판타지 웹소설 &gt; 퓨전 판타지")</f>
        <v>판타지 웹소설 &gt; 퓨전 판타지</v>
      </c>
    </row>
    <row r="4867" spans="1:59">
      <c r="A4867" t="s">
        <v>60</v>
      </c>
      <c r="B4867" s="1">
        <v>46129</v>
      </c>
      <c r="C4867">
        <v>2378044065</v>
      </c>
      <c r="D4867">
        <v>2378068538</v>
      </c>
      <c r="E4867" t="str">
        <f>T("저승의 왕위를 계승했다 476화")</f>
        <v>저승의 왕위를 계승했다 476화</v>
      </c>
      <c r="F4867">
        <v>477</v>
      </c>
      <c r="G4867" t="str">
        <f>T("신타비")</f>
        <v>신타비</v>
      </c>
      <c r="J4867" t="str">
        <f>T("매드햇")</f>
        <v>매드햇</v>
      </c>
      <c r="K4867" t="str">
        <f>T("저승의 왕위를 계승했다")</f>
        <v>저승의 왕위를 계승했다</v>
      </c>
      <c r="L4867">
        <v>100</v>
      </c>
      <c r="M4867">
        <v>100</v>
      </c>
      <c r="N4867">
        <v>1</v>
      </c>
      <c r="O4867">
        <v>0</v>
      </c>
      <c r="P4867">
        <v>0</v>
      </c>
      <c r="Q4867">
        <v>0</v>
      </c>
      <c r="R4867">
        <v>0</v>
      </c>
      <c r="S4867">
        <v>0</v>
      </c>
      <c r="T4867">
        <v>0</v>
      </c>
      <c r="U4867">
        <v>0</v>
      </c>
      <c r="V4867">
        <v>0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0</v>
      </c>
      <c r="AC4867">
        <v>0</v>
      </c>
      <c r="AD4867">
        <v>0</v>
      </c>
      <c r="AE4867">
        <v>0</v>
      </c>
      <c r="AF4867">
        <v>0</v>
      </c>
      <c r="AG4867">
        <v>0</v>
      </c>
      <c r="AH4867">
        <v>0</v>
      </c>
      <c r="AI4867">
        <v>100</v>
      </c>
      <c r="AJ4867">
        <v>1</v>
      </c>
      <c r="AK4867">
        <v>0</v>
      </c>
      <c r="AL4867">
        <v>0</v>
      </c>
      <c r="AM4867">
        <v>100</v>
      </c>
      <c r="AN4867">
        <v>0</v>
      </c>
      <c r="AO4867">
        <v>0</v>
      </c>
      <c r="AP4867">
        <v>0</v>
      </c>
      <c r="AQ4867">
        <v>0</v>
      </c>
      <c r="AS4867">
        <v>0</v>
      </c>
      <c r="AT4867">
        <v>0</v>
      </c>
      <c r="AV4867">
        <v>0</v>
      </c>
      <c r="AW4867">
        <v>0</v>
      </c>
      <c r="AY4867">
        <v>0</v>
      </c>
      <c r="AZ4867">
        <v>0</v>
      </c>
      <c r="BA4867">
        <v>70</v>
      </c>
      <c r="BE4867" t="str">
        <f>T("9791137014381")</f>
        <v>9791137014381</v>
      </c>
      <c r="BF4867" t="str">
        <f>T("k383812")</f>
        <v>k383812</v>
      </c>
      <c r="BG4867" t="str">
        <f>T("판타지 웹소설 &gt; 퓨전 판타지")</f>
        <v>판타지 웹소설 &gt; 퓨전 판타지</v>
      </c>
    </row>
    <row r="4868" spans="1:59">
      <c r="A4868" t="s">
        <v>60</v>
      </c>
      <c r="B4868" s="1">
        <v>46129</v>
      </c>
      <c r="C4868">
        <v>2378044065</v>
      </c>
      <c r="D4868">
        <v>2378068746</v>
      </c>
      <c r="E4868" t="str">
        <f>T("저승의 왕위를 계승했다 477화")</f>
        <v>저승의 왕위를 계승했다 477화</v>
      </c>
      <c r="F4868">
        <v>478</v>
      </c>
      <c r="G4868" t="str">
        <f>T("신타비")</f>
        <v>신타비</v>
      </c>
      <c r="J4868" t="str">
        <f>T("매드햇")</f>
        <v>매드햇</v>
      </c>
      <c r="K4868" t="str">
        <f>T("저승의 왕위를 계승했다")</f>
        <v>저승의 왕위를 계승했다</v>
      </c>
      <c r="L4868">
        <v>100</v>
      </c>
      <c r="M4868">
        <v>100</v>
      </c>
      <c r="N4868">
        <v>1</v>
      </c>
      <c r="O4868">
        <v>0</v>
      </c>
      <c r="P4868">
        <v>0</v>
      </c>
      <c r="Q4868">
        <v>0</v>
      </c>
      <c r="R4868">
        <v>0</v>
      </c>
      <c r="S4868">
        <v>0</v>
      </c>
      <c r="T4868">
        <v>0</v>
      </c>
      <c r="U4868">
        <v>0</v>
      </c>
      <c r="V4868">
        <v>0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0</v>
      </c>
      <c r="AC4868">
        <v>0</v>
      </c>
      <c r="AD4868">
        <v>0</v>
      </c>
      <c r="AE4868">
        <v>0</v>
      </c>
      <c r="AF4868">
        <v>0</v>
      </c>
      <c r="AG4868">
        <v>0</v>
      </c>
      <c r="AH4868">
        <v>0</v>
      </c>
      <c r="AI4868">
        <v>100</v>
      </c>
      <c r="AJ4868">
        <v>1</v>
      </c>
      <c r="AK4868">
        <v>0</v>
      </c>
      <c r="AL4868">
        <v>0</v>
      </c>
      <c r="AM4868">
        <v>100</v>
      </c>
      <c r="AN4868">
        <v>0</v>
      </c>
      <c r="AO4868">
        <v>0</v>
      </c>
      <c r="AP4868">
        <v>0</v>
      </c>
      <c r="AQ4868">
        <v>0</v>
      </c>
      <c r="AS4868">
        <v>0</v>
      </c>
      <c r="AT4868">
        <v>0</v>
      </c>
      <c r="AV4868">
        <v>0</v>
      </c>
      <c r="AW4868">
        <v>0</v>
      </c>
      <c r="AY4868">
        <v>0</v>
      </c>
      <c r="AZ4868">
        <v>0</v>
      </c>
      <c r="BA4868">
        <v>70</v>
      </c>
      <c r="BE4868" t="str">
        <f>T("9791137014381")</f>
        <v>9791137014381</v>
      </c>
      <c r="BF4868" t="str">
        <f>T("k383813")</f>
        <v>k383813</v>
      </c>
      <c r="BG4868" t="str">
        <f>T("판타지 웹소설 &gt; 퓨전 판타지")</f>
        <v>판타지 웹소설 &gt; 퓨전 판타지</v>
      </c>
    </row>
    <row r="4869" spans="1:59">
      <c r="A4869" t="s">
        <v>60</v>
      </c>
      <c r="B4869" s="1">
        <v>46129</v>
      </c>
      <c r="C4869">
        <v>2378044065</v>
      </c>
      <c r="D4869">
        <v>2378068747</v>
      </c>
      <c r="E4869" t="str">
        <f>T("저승의 왕위를 계승했다 478화")</f>
        <v>저승의 왕위를 계승했다 478화</v>
      </c>
      <c r="F4869">
        <v>479</v>
      </c>
      <c r="G4869" t="str">
        <f>T("신타비")</f>
        <v>신타비</v>
      </c>
      <c r="J4869" t="str">
        <f>T("매드햇")</f>
        <v>매드햇</v>
      </c>
      <c r="K4869" t="str">
        <f>T("저승의 왕위를 계승했다")</f>
        <v>저승의 왕위를 계승했다</v>
      </c>
      <c r="L4869">
        <v>100</v>
      </c>
      <c r="M4869">
        <v>100</v>
      </c>
      <c r="N4869">
        <v>1</v>
      </c>
      <c r="O4869">
        <v>0</v>
      </c>
      <c r="P4869">
        <v>0</v>
      </c>
      <c r="Q4869">
        <v>0</v>
      </c>
      <c r="R4869">
        <v>0</v>
      </c>
      <c r="S4869">
        <v>0</v>
      </c>
      <c r="T4869">
        <v>0</v>
      </c>
      <c r="U4869">
        <v>0</v>
      </c>
      <c r="V4869">
        <v>0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0</v>
      </c>
      <c r="AC4869">
        <v>0</v>
      </c>
      <c r="AD4869">
        <v>0</v>
      </c>
      <c r="AE4869">
        <v>0</v>
      </c>
      <c r="AF4869">
        <v>0</v>
      </c>
      <c r="AG4869">
        <v>0</v>
      </c>
      <c r="AH4869">
        <v>0</v>
      </c>
      <c r="AI4869">
        <v>100</v>
      </c>
      <c r="AJ4869">
        <v>1</v>
      </c>
      <c r="AK4869">
        <v>0</v>
      </c>
      <c r="AL4869">
        <v>0</v>
      </c>
      <c r="AM4869">
        <v>100</v>
      </c>
      <c r="AN4869">
        <v>0</v>
      </c>
      <c r="AO4869">
        <v>0</v>
      </c>
      <c r="AP4869">
        <v>0</v>
      </c>
      <c r="AQ4869">
        <v>0</v>
      </c>
      <c r="AS4869">
        <v>0</v>
      </c>
      <c r="AT4869">
        <v>0</v>
      </c>
      <c r="AV4869">
        <v>0</v>
      </c>
      <c r="AW4869">
        <v>0</v>
      </c>
      <c r="AY4869">
        <v>0</v>
      </c>
      <c r="AZ4869">
        <v>0</v>
      </c>
      <c r="BA4869">
        <v>70</v>
      </c>
      <c r="BE4869" t="str">
        <f>T("9791137014381")</f>
        <v>9791137014381</v>
      </c>
      <c r="BF4869" t="str">
        <f>T("k383814")</f>
        <v>k383814</v>
      </c>
      <c r="BG4869" t="str">
        <f>T("판타지 웹소설 &gt; 퓨전 판타지")</f>
        <v>판타지 웹소설 &gt; 퓨전 판타지</v>
      </c>
    </row>
    <row r="4870" spans="1:59">
      <c r="A4870" t="s">
        <v>60</v>
      </c>
      <c r="B4870" s="1">
        <v>46129</v>
      </c>
      <c r="C4870">
        <v>2378044065</v>
      </c>
      <c r="D4870">
        <v>2378068768</v>
      </c>
      <c r="E4870" t="str">
        <f>T("저승의 왕위를 계승했다 479화")</f>
        <v>저승의 왕위를 계승했다 479화</v>
      </c>
      <c r="F4870">
        <v>480</v>
      </c>
      <c r="G4870" t="str">
        <f>T("신타비")</f>
        <v>신타비</v>
      </c>
      <c r="J4870" t="str">
        <f>T("매드햇")</f>
        <v>매드햇</v>
      </c>
      <c r="K4870" t="str">
        <f>T("저승의 왕위를 계승했다")</f>
        <v>저승의 왕위를 계승했다</v>
      </c>
      <c r="L4870">
        <v>100</v>
      </c>
      <c r="M4870">
        <v>100</v>
      </c>
      <c r="N4870">
        <v>1</v>
      </c>
      <c r="O4870">
        <v>0</v>
      </c>
      <c r="P4870">
        <v>0</v>
      </c>
      <c r="Q4870">
        <v>0</v>
      </c>
      <c r="R4870">
        <v>0</v>
      </c>
      <c r="S4870">
        <v>0</v>
      </c>
      <c r="T4870">
        <v>0</v>
      </c>
      <c r="U4870">
        <v>0</v>
      </c>
      <c r="V4870">
        <v>0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0</v>
      </c>
      <c r="AC4870">
        <v>0</v>
      </c>
      <c r="AD4870">
        <v>0</v>
      </c>
      <c r="AE4870">
        <v>0</v>
      </c>
      <c r="AF4870">
        <v>0</v>
      </c>
      <c r="AG4870">
        <v>0</v>
      </c>
      <c r="AH4870">
        <v>0</v>
      </c>
      <c r="AI4870">
        <v>100</v>
      </c>
      <c r="AJ4870">
        <v>1</v>
      </c>
      <c r="AK4870">
        <v>0</v>
      </c>
      <c r="AL4870">
        <v>0</v>
      </c>
      <c r="AM4870">
        <v>100</v>
      </c>
      <c r="AN4870">
        <v>0</v>
      </c>
      <c r="AO4870">
        <v>0</v>
      </c>
      <c r="AP4870">
        <v>0</v>
      </c>
      <c r="AQ4870">
        <v>0</v>
      </c>
      <c r="AS4870">
        <v>0</v>
      </c>
      <c r="AT4870">
        <v>0</v>
      </c>
      <c r="AV4870">
        <v>0</v>
      </c>
      <c r="AW4870">
        <v>0</v>
      </c>
      <c r="AY4870">
        <v>0</v>
      </c>
      <c r="AZ4870">
        <v>0</v>
      </c>
      <c r="BA4870">
        <v>70</v>
      </c>
      <c r="BE4870" t="str">
        <f>T("9791137014381")</f>
        <v>9791137014381</v>
      </c>
      <c r="BF4870" t="str">
        <f>T("k387772")</f>
        <v>k387772</v>
      </c>
      <c r="BG4870" t="str">
        <f>T("판타지 웹소설 &gt; 퓨전 판타지")</f>
        <v>판타지 웹소설 &gt; 퓨전 판타지</v>
      </c>
    </row>
    <row r="4871" spans="1:59">
      <c r="A4871" t="s">
        <v>60</v>
      </c>
      <c r="B4871" s="1">
        <v>46129</v>
      </c>
      <c r="C4871">
        <v>2378044065</v>
      </c>
      <c r="D4871">
        <v>2378075403</v>
      </c>
      <c r="E4871" t="str">
        <f>T("저승의 왕위를 계승했다 619화")</f>
        <v>저승의 왕위를 계승했다 619화</v>
      </c>
      <c r="F4871">
        <v>621</v>
      </c>
      <c r="G4871" t="str">
        <f>T("신타비")</f>
        <v>신타비</v>
      </c>
      <c r="J4871" t="str">
        <f>T("매드햇")</f>
        <v>매드햇</v>
      </c>
      <c r="K4871" t="str">
        <f>T("저승의 왕위를 계승했다")</f>
        <v>저승의 왕위를 계승했다</v>
      </c>
      <c r="L4871">
        <v>100</v>
      </c>
      <c r="M4871">
        <v>100</v>
      </c>
      <c r="N4871">
        <v>1</v>
      </c>
      <c r="O4871">
        <v>0</v>
      </c>
      <c r="P4871">
        <v>0</v>
      </c>
      <c r="Q4871">
        <v>0</v>
      </c>
      <c r="R4871">
        <v>0</v>
      </c>
      <c r="S4871">
        <v>0</v>
      </c>
      <c r="T4871">
        <v>0</v>
      </c>
      <c r="U4871">
        <v>0</v>
      </c>
      <c r="V4871">
        <v>0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0</v>
      </c>
      <c r="AC4871">
        <v>0</v>
      </c>
      <c r="AD4871">
        <v>0</v>
      </c>
      <c r="AE4871">
        <v>0</v>
      </c>
      <c r="AF4871">
        <v>0</v>
      </c>
      <c r="AG4871">
        <v>0</v>
      </c>
      <c r="AH4871">
        <v>0</v>
      </c>
      <c r="AI4871">
        <v>100</v>
      </c>
      <c r="AJ4871">
        <v>1</v>
      </c>
      <c r="AK4871">
        <v>0</v>
      </c>
      <c r="AL4871">
        <v>0</v>
      </c>
      <c r="AM4871">
        <v>100</v>
      </c>
      <c r="AN4871">
        <v>0</v>
      </c>
      <c r="AO4871">
        <v>0</v>
      </c>
      <c r="AP4871">
        <v>0</v>
      </c>
      <c r="AQ4871">
        <v>0</v>
      </c>
      <c r="AS4871">
        <v>0</v>
      </c>
      <c r="AT4871">
        <v>0</v>
      </c>
      <c r="AV4871">
        <v>0</v>
      </c>
      <c r="AW4871">
        <v>0</v>
      </c>
      <c r="AY4871">
        <v>0</v>
      </c>
      <c r="AZ4871">
        <v>0</v>
      </c>
      <c r="BA4871">
        <v>70</v>
      </c>
      <c r="BE4871" t="str">
        <f>T("9791137014381")</f>
        <v>9791137014381</v>
      </c>
      <c r="BF4871" t="str">
        <f>T("D009972")</f>
        <v>D009972</v>
      </c>
      <c r="BG4871" t="str">
        <f>T("판타지 웹소설 &gt; 퓨전 판타지")</f>
        <v>판타지 웹소설 &gt; 퓨전 판타지</v>
      </c>
    </row>
    <row r="4872" spans="1:59">
      <c r="A4872" t="s">
        <v>60</v>
      </c>
      <c r="B4872" s="1">
        <v>46129</v>
      </c>
      <c r="C4872">
        <v>2378044065</v>
      </c>
      <c r="D4872">
        <v>2378075632</v>
      </c>
      <c r="E4872" t="str">
        <f>T("저승의 왕위를 계승했다 648화")</f>
        <v>저승의 왕위를 계승했다 648화</v>
      </c>
      <c r="F4872">
        <v>650</v>
      </c>
      <c r="G4872" t="str">
        <f>T("신타비")</f>
        <v>신타비</v>
      </c>
      <c r="J4872" t="str">
        <f>T("매드햇")</f>
        <v>매드햇</v>
      </c>
      <c r="K4872" t="str">
        <f>T("저승의 왕위를 계승했다")</f>
        <v>저승의 왕위를 계승했다</v>
      </c>
      <c r="L4872">
        <v>100</v>
      </c>
      <c r="M4872">
        <v>70</v>
      </c>
      <c r="N4872">
        <v>1</v>
      </c>
      <c r="O4872">
        <v>0</v>
      </c>
      <c r="P4872">
        <v>0</v>
      </c>
      <c r="Q4872">
        <v>0</v>
      </c>
      <c r="R4872">
        <v>0</v>
      </c>
      <c r="S4872">
        <v>0</v>
      </c>
      <c r="T4872">
        <v>0</v>
      </c>
      <c r="U4872">
        <v>0</v>
      </c>
      <c r="V4872">
        <v>0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0</v>
      </c>
      <c r="AC4872">
        <v>0</v>
      </c>
      <c r="AD4872">
        <v>0</v>
      </c>
      <c r="AE4872">
        <v>0</v>
      </c>
      <c r="AF4872">
        <v>0</v>
      </c>
      <c r="AG4872">
        <v>0</v>
      </c>
      <c r="AH4872">
        <v>0</v>
      </c>
      <c r="AI4872">
        <v>70</v>
      </c>
      <c r="AJ4872">
        <v>1</v>
      </c>
      <c r="AK4872">
        <v>0</v>
      </c>
      <c r="AL4872">
        <v>0</v>
      </c>
      <c r="AM4872">
        <v>70</v>
      </c>
      <c r="AN4872">
        <v>0</v>
      </c>
      <c r="AO4872">
        <v>0</v>
      </c>
      <c r="AP4872">
        <v>0</v>
      </c>
      <c r="AQ4872">
        <v>0</v>
      </c>
      <c r="AS4872">
        <v>0</v>
      </c>
      <c r="AT4872">
        <v>0</v>
      </c>
      <c r="AV4872">
        <v>0</v>
      </c>
      <c r="AW4872">
        <v>0</v>
      </c>
      <c r="AY4872">
        <v>0</v>
      </c>
      <c r="AZ4872">
        <v>0</v>
      </c>
      <c r="BA4872">
        <v>49</v>
      </c>
      <c r="BE4872" t="str">
        <f>T("9791137014381")</f>
        <v>9791137014381</v>
      </c>
      <c r="BF4872" t="str">
        <f>T("D035748")</f>
        <v>D035748</v>
      </c>
      <c r="BG4872" t="str">
        <f>T("판타지 웹소설 &gt; 퓨전 판타지")</f>
        <v>판타지 웹소설 &gt; 퓨전 판타지</v>
      </c>
    </row>
    <row r="4873" spans="1:59">
      <c r="A4873" t="s">
        <v>60</v>
      </c>
      <c r="B4873" s="1">
        <v>46129</v>
      </c>
      <c r="C4873">
        <v>2378044065</v>
      </c>
      <c r="D4873">
        <v>2378075654</v>
      </c>
      <c r="E4873" t="str">
        <f>T("저승의 왕위를 계승했다 649화")</f>
        <v>저승의 왕위를 계승했다 649화</v>
      </c>
      <c r="F4873">
        <v>651</v>
      </c>
      <c r="G4873" t="str">
        <f>T("신타비")</f>
        <v>신타비</v>
      </c>
      <c r="J4873" t="str">
        <f>T("매드햇")</f>
        <v>매드햇</v>
      </c>
      <c r="K4873" t="str">
        <f>T("저승의 왕위를 계승했다")</f>
        <v>저승의 왕위를 계승했다</v>
      </c>
      <c r="L4873">
        <v>100</v>
      </c>
      <c r="M4873">
        <v>70</v>
      </c>
      <c r="N4873">
        <v>1</v>
      </c>
      <c r="O4873">
        <v>0</v>
      </c>
      <c r="P4873">
        <v>0</v>
      </c>
      <c r="Q4873">
        <v>0</v>
      </c>
      <c r="R4873">
        <v>0</v>
      </c>
      <c r="S4873">
        <v>0</v>
      </c>
      <c r="T4873">
        <v>0</v>
      </c>
      <c r="U4873">
        <v>0</v>
      </c>
      <c r="V4873">
        <v>0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0</v>
      </c>
      <c r="AC4873">
        <v>0</v>
      </c>
      <c r="AD4873">
        <v>0</v>
      </c>
      <c r="AE4873">
        <v>0</v>
      </c>
      <c r="AF4873">
        <v>0</v>
      </c>
      <c r="AG4873">
        <v>0</v>
      </c>
      <c r="AH4873">
        <v>0</v>
      </c>
      <c r="AI4873">
        <v>70</v>
      </c>
      <c r="AJ4873">
        <v>1</v>
      </c>
      <c r="AK4873">
        <v>0</v>
      </c>
      <c r="AL4873">
        <v>0</v>
      </c>
      <c r="AM4873">
        <v>70</v>
      </c>
      <c r="AN4873">
        <v>0</v>
      </c>
      <c r="AO4873">
        <v>0</v>
      </c>
      <c r="AP4873">
        <v>0</v>
      </c>
      <c r="AQ4873">
        <v>0</v>
      </c>
      <c r="AS4873">
        <v>0</v>
      </c>
      <c r="AT4873">
        <v>0</v>
      </c>
      <c r="AV4873">
        <v>0</v>
      </c>
      <c r="AW4873">
        <v>0</v>
      </c>
      <c r="AY4873">
        <v>0</v>
      </c>
      <c r="AZ4873">
        <v>0</v>
      </c>
      <c r="BA4873">
        <v>49</v>
      </c>
      <c r="BE4873" t="str">
        <f>T("9791137014381")</f>
        <v>9791137014381</v>
      </c>
      <c r="BF4873" t="str">
        <f>T("D035749")</f>
        <v>D035749</v>
      </c>
      <c r="BG4873" t="str">
        <f>T("판타지 웹소설 &gt; 퓨전 판타지")</f>
        <v>판타지 웹소설 &gt; 퓨전 판타지</v>
      </c>
    </row>
    <row r="4874" spans="1:59">
      <c r="A4874" t="s">
        <v>60</v>
      </c>
      <c r="B4874" s="1">
        <v>46129</v>
      </c>
      <c r="C4874">
        <v>2378044065</v>
      </c>
      <c r="D4874">
        <v>2378075655</v>
      </c>
      <c r="E4874" t="str">
        <f>T("저승의 왕위를 계승했다 650화")</f>
        <v>저승의 왕위를 계승했다 650화</v>
      </c>
      <c r="F4874">
        <v>652</v>
      </c>
      <c r="G4874" t="str">
        <f>T("신타비")</f>
        <v>신타비</v>
      </c>
      <c r="J4874" t="str">
        <f>T("매드햇")</f>
        <v>매드햇</v>
      </c>
      <c r="K4874" t="str">
        <f>T("저승의 왕위를 계승했다")</f>
        <v>저승의 왕위를 계승했다</v>
      </c>
      <c r="L4874">
        <v>100</v>
      </c>
      <c r="M4874">
        <v>70</v>
      </c>
      <c r="N4874">
        <v>1</v>
      </c>
      <c r="O4874">
        <v>0</v>
      </c>
      <c r="P4874">
        <v>0</v>
      </c>
      <c r="Q4874">
        <v>0</v>
      </c>
      <c r="R4874">
        <v>0</v>
      </c>
      <c r="S4874">
        <v>0</v>
      </c>
      <c r="T4874">
        <v>0</v>
      </c>
      <c r="U4874">
        <v>0</v>
      </c>
      <c r="V4874">
        <v>0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0</v>
      </c>
      <c r="AC4874">
        <v>0</v>
      </c>
      <c r="AD4874">
        <v>0</v>
      </c>
      <c r="AE4874">
        <v>0</v>
      </c>
      <c r="AF4874">
        <v>0</v>
      </c>
      <c r="AG4874">
        <v>0</v>
      </c>
      <c r="AH4874">
        <v>0</v>
      </c>
      <c r="AI4874">
        <v>70</v>
      </c>
      <c r="AJ4874">
        <v>1</v>
      </c>
      <c r="AK4874">
        <v>0</v>
      </c>
      <c r="AL4874">
        <v>0</v>
      </c>
      <c r="AM4874">
        <v>70</v>
      </c>
      <c r="AN4874">
        <v>0</v>
      </c>
      <c r="AO4874">
        <v>0</v>
      </c>
      <c r="AP4874">
        <v>0</v>
      </c>
      <c r="AQ4874">
        <v>0</v>
      </c>
      <c r="AS4874">
        <v>0</v>
      </c>
      <c r="AT4874">
        <v>0</v>
      </c>
      <c r="AV4874">
        <v>0</v>
      </c>
      <c r="AW4874">
        <v>0</v>
      </c>
      <c r="AY4874">
        <v>0</v>
      </c>
      <c r="AZ4874">
        <v>0</v>
      </c>
      <c r="BA4874">
        <v>49</v>
      </c>
      <c r="BE4874" t="str">
        <f>T("9791137014381")</f>
        <v>9791137014381</v>
      </c>
      <c r="BF4874" t="str">
        <f>T("D035750")</f>
        <v>D035750</v>
      </c>
      <c r="BG4874" t="str">
        <f>T("판타지 웹소설 &gt; 퓨전 판타지")</f>
        <v>판타지 웹소설 &gt; 퓨전 판타지</v>
      </c>
    </row>
    <row r="4875" spans="1:59">
      <c r="A4875" t="s">
        <v>60</v>
      </c>
      <c r="B4875" s="1">
        <v>46129</v>
      </c>
      <c r="C4875">
        <v>2378044065</v>
      </c>
      <c r="D4875">
        <v>2378075656</v>
      </c>
      <c r="E4875" t="str">
        <f>T("저승의 왕위를 계승했다 651화")</f>
        <v>저승의 왕위를 계승했다 651화</v>
      </c>
      <c r="F4875">
        <v>653</v>
      </c>
      <c r="G4875" t="str">
        <f>T("신타비")</f>
        <v>신타비</v>
      </c>
      <c r="J4875" t="str">
        <f>T("매드햇")</f>
        <v>매드햇</v>
      </c>
      <c r="K4875" t="str">
        <f>T("저승의 왕위를 계승했다")</f>
        <v>저승의 왕위를 계승했다</v>
      </c>
      <c r="L4875">
        <v>100</v>
      </c>
      <c r="M4875">
        <v>70</v>
      </c>
      <c r="N4875">
        <v>1</v>
      </c>
      <c r="O4875">
        <v>0</v>
      </c>
      <c r="P4875">
        <v>0</v>
      </c>
      <c r="Q4875">
        <v>0</v>
      </c>
      <c r="R4875">
        <v>0</v>
      </c>
      <c r="S4875">
        <v>0</v>
      </c>
      <c r="T4875">
        <v>0</v>
      </c>
      <c r="U4875">
        <v>0</v>
      </c>
      <c r="V4875">
        <v>0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0</v>
      </c>
      <c r="AC4875">
        <v>0</v>
      </c>
      <c r="AD4875">
        <v>0</v>
      </c>
      <c r="AE4875">
        <v>0</v>
      </c>
      <c r="AF4875">
        <v>0</v>
      </c>
      <c r="AG4875">
        <v>0</v>
      </c>
      <c r="AH4875">
        <v>0</v>
      </c>
      <c r="AI4875">
        <v>70</v>
      </c>
      <c r="AJ4875">
        <v>1</v>
      </c>
      <c r="AK4875">
        <v>0</v>
      </c>
      <c r="AL4875">
        <v>0</v>
      </c>
      <c r="AM4875">
        <v>70</v>
      </c>
      <c r="AN4875">
        <v>0</v>
      </c>
      <c r="AO4875">
        <v>0</v>
      </c>
      <c r="AP4875">
        <v>0</v>
      </c>
      <c r="AQ4875">
        <v>0</v>
      </c>
      <c r="AS4875">
        <v>0</v>
      </c>
      <c r="AT4875">
        <v>0</v>
      </c>
      <c r="AV4875">
        <v>0</v>
      </c>
      <c r="AW4875">
        <v>0</v>
      </c>
      <c r="AY4875">
        <v>0</v>
      </c>
      <c r="AZ4875">
        <v>0</v>
      </c>
      <c r="BA4875">
        <v>49</v>
      </c>
      <c r="BE4875" t="str">
        <f>T("9791137014381")</f>
        <v>9791137014381</v>
      </c>
      <c r="BF4875" t="str">
        <f>T("D061661")</f>
        <v>D061661</v>
      </c>
      <c r="BG4875" t="str">
        <f>T("판타지 웹소설 &gt; 퓨전 판타지")</f>
        <v>판타지 웹소설 &gt; 퓨전 판타지</v>
      </c>
    </row>
    <row r="4876" spans="1:59">
      <c r="A4876" t="s">
        <v>60</v>
      </c>
      <c r="B4876" s="1">
        <v>46129</v>
      </c>
      <c r="C4876">
        <v>2378044065</v>
      </c>
      <c r="D4876">
        <v>2378076745</v>
      </c>
      <c r="E4876" t="str">
        <f>T("저승의 왕위를 계승했다 652화")</f>
        <v>저승의 왕위를 계승했다 652화</v>
      </c>
      <c r="F4876">
        <v>654</v>
      </c>
      <c r="G4876" t="str">
        <f>T("신타비")</f>
        <v>신타비</v>
      </c>
      <c r="J4876" t="str">
        <f>T("매드햇")</f>
        <v>매드햇</v>
      </c>
      <c r="K4876" t="str">
        <f>T("저승의 왕위를 계승했다")</f>
        <v>저승의 왕위를 계승했다</v>
      </c>
      <c r="L4876">
        <v>100</v>
      </c>
      <c r="M4876">
        <v>70</v>
      </c>
      <c r="N4876">
        <v>1</v>
      </c>
      <c r="O4876">
        <v>0</v>
      </c>
      <c r="P4876">
        <v>0</v>
      </c>
      <c r="Q4876">
        <v>0</v>
      </c>
      <c r="R4876">
        <v>0</v>
      </c>
      <c r="S4876">
        <v>0</v>
      </c>
      <c r="T4876">
        <v>0</v>
      </c>
      <c r="U4876">
        <v>0</v>
      </c>
      <c r="V4876">
        <v>0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0</v>
      </c>
      <c r="AC4876">
        <v>0</v>
      </c>
      <c r="AD4876">
        <v>0</v>
      </c>
      <c r="AE4876">
        <v>0</v>
      </c>
      <c r="AF4876">
        <v>0</v>
      </c>
      <c r="AG4876">
        <v>0</v>
      </c>
      <c r="AH4876">
        <v>0</v>
      </c>
      <c r="AI4876">
        <v>70</v>
      </c>
      <c r="AJ4876">
        <v>1</v>
      </c>
      <c r="AK4876">
        <v>0</v>
      </c>
      <c r="AL4876">
        <v>0</v>
      </c>
      <c r="AM4876">
        <v>70</v>
      </c>
      <c r="AN4876">
        <v>0</v>
      </c>
      <c r="AO4876">
        <v>0</v>
      </c>
      <c r="AP4876">
        <v>0</v>
      </c>
      <c r="AQ4876">
        <v>0</v>
      </c>
      <c r="AS4876">
        <v>0</v>
      </c>
      <c r="AT4876">
        <v>0</v>
      </c>
      <c r="AV4876">
        <v>0</v>
      </c>
      <c r="AW4876">
        <v>0</v>
      </c>
      <c r="AY4876">
        <v>0</v>
      </c>
      <c r="AZ4876">
        <v>0</v>
      </c>
      <c r="BA4876">
        <v>49</v>
      </c>
      <c r="BE4876" t="str">
        <f>T("9791137014381")</f>
        <v>9791137014381</v>
      </c>
      <c r="BF4876" t="str">
        <f>T("D061662")</f>
        <v>D061662</v>
      </c>
      <c r="BG4876" t="str">
        <f>T("판타지 웹소설 &gt; 퓨전 판타지")</f>
        <v>판타지 웹소설 &gt; 퓨전 판타지</v>
      </c>
    </row>
    <row r="4877" spans="1:59">
      <c r="A4877" t="s">
        <v>60</v>
      </c>
      <c r="B4877" s="1">
        <v>46129</v>
      </c>
      <c r="C4877">
        <v>2378044065</v>
      </c>
      <c r="D4877">
        <v>2378077027</v>
      </c>
      <c r="E4877" t="str">
        <f>T("저승의 왕위를 계승했다 653화")</f>
        <v>저승의 왕위를 계승했다 653화</v>
      </c>
      <c r="F4877">
        <v>655</v>
      </c>
      <c r="G4877" t="str">
        <f>T("신타비")</f>
        <v>신타비</v>
      </c>
      <c r="J4877" t="str">
        <f>T("매드햇")</f>
        <v>매드햇</v>
      </c>
      <c r="K4877" t="str">
        <f>T("저승의 왕위를 계승했다")</f>
        <v>저승의 왕위를 계승했다</v>
      </c>
      <c r="L4877">
        <v>100</v>
      </c>
      <c r="M4877">
        <v>70</v>
      </c>
      <c r="N4877">
        <v>1</v>
      </c>
      <c r="O4877">
        <v>0</v>
      </c>
      <c r="P4877">
        <v>0</v>
      </c>
      <c r="Q4877">
        <v>0</v>
      </c>
      <c r="R4877">
        <v>0</v>
      </c>
      <c r="S4877">
        <v>0</v>
      </c>
      <c r="T4877">
        <v>0</v>
      </c>
      <c r="U4877">
        <v>0</v>
      </c>
      <c r="V4877">
        <v>0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0</v>
      </c>
      <c r="AC4877">
        <v>0</v>
      </c>
      <c r="AD4877">
        <v>0</v>
      </c>
      <c r="AE4877">
        <v>0</v>
      </c>
      <c r="AF4877">
        <v>0</v>
      </c>
      <c r="AG4877">
        <v>0</v>
      </c>
      <c r="AH4877">
        <v>0</v>
      </c>
      <c r="AI4877">
        <v>70</v>
      </c>
      <c r="AJ4877">
        <v>1</v>
      </c>
      <c r="AK4877">
        <v>0</v>
      </c>
      <c r="AL4877">
        <v>0</v>
      </c>
      <c r="AM4877">
        <v>70</v>
      </c>
      <c r="AN4877">
        <v>0</v>
      </c>
      <c r="AO4877">
        <v>0</v>
      </c>
      <c r="AP4877">
        <v>0</v>
      </c>
      <c r="AQ4877">
        <v>0</v>
      </c>
      <c r="AS4877">
        <v>0</v>
      </c>
      <c r="AT4877">
        <v>0</v>
      </c>
      <c r="AV4877">
        <v>0</v>
      </c>
      <c r="AW4877">
        <v>0</v>
      </c>
      <c r="AY4877">
        <v>0</v>
      </c>
      <c r="AZ4877">
        <v>0</v>
      </c>
      <c r="BA4877">
        <v>49</v>
      </c>
      <c r="BE4877" t="str">
        <f>T("9791137014381")</f>
        <v>9791137014381</v>
      </c>
      <c r="BG4877" t="str">
        <f>T("판타지 웹소설 &gt; 퓨전 판타지")</f>
        <v>판타지 웹소설 &gt; 퓨전 판타지</v>
      </c>
    </row>
    <row r="4878" spans="1:59">
      <c r="A4878" t="s">
        <v>60</v>
      </c>
      <c r="B4878" s="1">
        <v>46129</v>
      </c>
      <c r="C4878">
        <v>2378044065</v>
      </c>
      <c r="D4878">
        <v>2378077029</v>
      </c>
      <c r="E4878" t="str">
        <f>T("저승의 왕위를 계승했다 654화")</f>
        <v>저승의 왕위를 계승했다 654화</v>
      </c>
      <c r="F4878">
        <v>656</v>
      </c>
      <c r="G4878" t="str">
        <f>T("신타비")</f>
        <v>신타비</v>
      </c>
      <c r="J4878" t="str">
        <f>T("매드햇")</f>
        <v>매드햇</v>
      </c>
      <c r="K4878" t="str">
        <f>T("저승의 왕위를 계승했다")</f>
        <v>저승의 왕위를 계승했다</v>
      </c>
      <c r="L4878">
        <v>100</v>
      </c>
      <c r="M4878">
        <v>70</v>
      </c>
      <c r="N4878">
        <v>1</v>
      </c>
      <c r="O4878">
        <v>0</v>
      </c>
      <c r="P4878">
        <v>0</v>
      </c>
      <c r="Q4878">
        <v>0</v>
      </c>
      <c r="R4878">
        <v>0</v>
      </c>
      <c r="S4878">
        <v>0</v>
      </c>
      <c r="T4878">
        <v>0</v>
      </c>
      <c r="U4878">
        <v>0</v>
      </c>
      <c r="V4878">
        <v>0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0</v>
      </c>
      <c r="AC4878">
        <v>0</v>
      </c>
      <c r="AD4878">
        <v>0</v>
      </c>
      <c r="AE4878">
        <v>0</v>
      </c>
      <c r="AF4878">
        <v>0</v>
      </c>
      <c r="AG4878">
        <v>0</v>
      </c>
      <c r="AH4878">
        <v>0</v>
      </c>
      <c r="AI4878">
        <v>70</v>
      </c>
      <c r="AJ4878">
        <v>1</v>
      </c>
      <c r="AK4878">
        <v>0</v>
      </c>
      <c r="AL4878">
        <v>0</v>
      </c>
      <c r="AM4878">
        <v>70</v>
      </c>
      <c r="AN4878">
        <v>0</v>
      </c>
      <c r="AO4878">
        <v>0</v>
      </c>
      <c r="AP4878">
        <v>0</v>
      </c>
      <c r="AQ4878">
        <v>0</v>
      </c>
      <c r="AS4878">
        <v>0</v>
      </c>
      <c r="AT4878">
        <v>0</v>
      </c>
      <c r="AV4878">
        <v>0</v>
      </c>
      <c r="AW4878">
        <v>0</v>
      </c>
      <c r="AY4878">
        <v>0</v>
      </c>
      <c r="AZ4878">
        <v>0</v>
      </c>
      <c r="BA4878">
        <v>49</v>
      </c>
      <c r="BE4878" t="str">
        <f>T("9791137014381")</f>
        <v>9791137014381</v>
      </c>
      <c r="BF4878" t="str">
        <f>T("D061664")</f>
        <v>D061664</v>
      </c>
      <c r="BG4878" t="str">
        <f>T("판타지 웹소설 &gt; 퓨전 판타지")</f>
        <v>판타지 웹소설 &gt; 퓨전 판타지</v>
      </c>
    </row>
    <row r="4879" spans="1:59">
      <c r="A4879" t="s">
        <v>60</v>
      </c>
      <c r="B4879" s="1">
        <v>46129</v>
      </c>
      <c r="C4879">
        <v>2378044065</v>
      </c>
      <c r="D4879">
        <v>2378077030</v>
      </c>
      <c r="E4879" t="str">
        <f>T("저승의 왕위를 계승했다 655화")</f>
        <v>저승의 왕위를 계승했다 655화</v>
      </c>
      <c r="F4879">
        <v>657</v>
      </c>
      <c r="G4879" t="str">
        <f>T("신타비")</f>
        <v>신타비</v>
      </c>
      <c r="J4879" t="str">
        <f>T("매드햇")</f>
        <v>매드햇</v>
      </c>
      <c r="K4879" t="str">
        <f>T("저승의 왕위를 계승했다")</f>
        <v>저승의 왕위를 계승했다</v>
      </c>
      <c r="L4879">
        <v>100</v>
      </c>
      <c r="M4879">
        <v>70</v>
      </c>
      <c r="N4879">
        <v>1</v>
      </c>
      <c r="O4879">
        <v>0</v>
      </c>
      <c r="P4879">
        <v>0</v>
      </c>
      <c r="Q4879">
        <v>0</v>
      </c>
      <c r="R4879">
        <v>0</v>
      </c>
      <c r="S4879">
        <v>0</v>
      </c>
      <c r="T4879">
        <v>0</v>
      </c>
      <c r="U4879">
        <v>0</v>
      </c>
      <c r="V4879">
        <v>0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0</v>
      </c>
      <c r="AC4879">
        <v>0</v>
      </c>
      <c r="AD4879">
        <v>0</v>
      </c>
      <c r="AE4879">
        <v>0</v>
      </c>
      <c r="AF4879">
        <v>0</v>
      </c>
      <c r="AG4879">
        <v>0</v>
      </c>
      <c r="AH4879">
        <v>0</v>
      </c>
      <c r="AI4879">
        <v>70</v>
      </c>
      <c r="AJ4879">
        <v>1</v>
      </c>
      <c r="AK4879">
        <v>0</v>
      </c>
      <c r="AL4879">
        <v>0</v>
      </c>
      <c r="AM4879">
        <v>70</v>
      </c>
      <c r="AN4879">
        <v>0</v>
      </c>
      <c r="AO4879">
        <v>0</v>
      </c>
      <c r="AP4879">
        <v>0</v>
      </c>
      <c r="AQ4879">
        <v>0</v>
      </c>
      <c r="AS4879">
        <v>0</v>
      </c>
      <c r="AT4879">
        <v>0</v>
      </c>
      <c r="AV4879">
        <v>0</v>
      </c>
      <c r="AW4879">
        <v>0</v>
      </c>
      <c r="AY4879">
        <v>0</v>
      </c>
      <c r="AZ4879">
        <v>0</v>
      </c>
      <c r="BA4879">
        <v>49</v>
      </c>
      <c r="BE4879" t="str">
        <f>T("9791137014381")</f>
        <v>9791137014381</v>
      </c>
      <c r="BF4879" t="str">
        <f>T("D061665")</f>
        <v>D061665</v>
      </c>
      <c r="BG4879" t="str">
        <f>T("판타지 웹소설 &gt; 퓨전 판타지")</f>
        <v>판타지 웹소설 &gt; 퓨전 판타지</v>
      </c>
    </row>
    <row r="4880" spans="1:59">
      <c r="A4880" t="s">
        <v>60</v>
      </c>
      <c r="B4880" s="1">
        <v>46129</v>
      </c>
      <c r="C4880">
        <v>2378044065</v>
      </c>
      <c r="D4880">
        <v>2378077058</v>
      </c>
      <c r="E4880" t="str">
        <f>T("저승의 왕위를 계승했다 656화")</f>
        <v>저승의 왕위를 계승했다 656화</v>
      </c>
      <c r="F4880">
        <v>658</v>
      </c>
      <c r="G4880" t="str">
        <f>T("신타비")</f>
        <v>신타비</v>
      </c>
      <c r="J4880" t="str">
        <f>T("매드햇")</f>
        <v>매드햇</v>
      </c>
      <c r="K4880" t="str">
        <f>T("저승의 왕위를 계승했다")</f>
        <v>저승의 왕위를 계승했다</v>
      </c>
      <c r="L4880">
        <v>100</v>
      </c>
      <c r="M4880">
        <v>70</v>
      </c>
      <c r="N4880">
        <v>1</v>
      </c>
      <c r="O4880">
        <v>0</v>
      </c>
      <c r="P4880">
        <v>0</v>
      </c>
      <c r="Q4880">
        <v>0</v>
      </c>
      <c r="R4880">
        <v>0</v>
      </c>
      <c r="S4880">
        <v>0</v>
      </c>
      <c r="T4880">
        <v>0</v>
      </c>
      <c r="U4880">
        <v>0</v>
      </c>
      <c r="V4880">
        <v>0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0</v>
      </c>
      <c r="AC4880">
        <v>0</v>
      </c>
      <c r="AD4880">
        <v>0</v>
      </c>
      <c r="AE4880">
        <v>0</v>
      </c>
      <c r="AF4880">
        <v>0</v>
      </c>
      <c r="AG4880">
        <v>0</v>
      </c>
      <c r="AH4880">
        <v>0</v>
      </c>
      <c r="AI4880">
        <v>70</v>
      </c>
      <c r="AJ4880">
        <v>1</v>
      </c>
      <c r="AK4880">
        <v>0</v>
      </c>
      <c r="AL4880">
        <v>0</v>
      </c>
      <c r="AM4880">
        <v>70</v>
      </c>
      <c r="AN4880">
        <v>0</v>
      </c>
      <c r="AO4880">
        <v>0</v>
      </c>
      <c r="AP4880">
        <v>0</v>
      </c>
      <c r="AQ4880">
        <v>0</v>
      </c>
      <c r="AS4880">
        <v>0</v>
      </c>
      <c r="AT4880">
        <v>0</v>
      </c>
      <c r="AV4880">
        <v>0</v>
      </c>
      <c r="AW4880">
        <v>0</v>
      </c>
      <c r="AY4880">
        <v>0</v>
      </c>
      <c r="AZ4880">
        <v>0</v>
      </c>
      <c r="BA4880">
        <v>49</v>
      </c>
      <c r="BE4880" t="str">
        <f>T("9791137014381")</f>
        <v>9791137014381</v>
      </c>
      <c r="BF4880" t="str">
        <f>T("D061666")</f>
        <v>D061666</v>
      </c>
      <c r="BG4880" t="str">
        <f>T("판타지 웹소설 &gt; 퓨전 판타지")</f>
        <v>판타지 웹소설 &gt; 퓨전 판타지</v>
      </c>
    </row>
    <row r="4881" spans="1:59">
      <c r="A4881" t="s">
        <v>60</v>
      </c>
      <c r="B4881" s="1">
        <v>46129</v>
      </c>
      <c r="C4881">
        <v>2378044065</v>
      </c>
      <c r="D4881">
        <v>2378077064</v>
      </c>
      <c r="E4881" t="str">
        <f>T("저승의 왕위를 계승했다 657화")</f>
        <v>저승의 왕위를 계승했다 657화</v>
      </c>
      <c r="F4881">
        <v>659</v>
      </c>
      <c r="G4881" t="str">
        <f>T("신타비")</f>
        <v>신타비</v>
      </c>
      <c r="J4881" t="str">
        <f>T("매드햇")</f>
        <v>매드햇</v>
      </c>
      <c r="K4881" t="str">
        <f>T("저승의 왕위를 계승했다")</f>
        <v>저승의 왕위를 계승했다</v>
      </c>
      <c r="L4881">
        <v>100</v>
      </c>
      <c r="M4881">
        <v>70</v>
      </c>
      <c r="N4881">
        <v>1</v>
      </c>
      <c r="O4881">
        <v>0</v>
      </c>
      <c r="P4881">
        <v>0</v>
      </c>
      <c r="Q4881">
        <v>0</v>
      </c>
      <c r="R4881">
        <v>0</v>
      </c>
      <c r="S4881">
        <v>0</v>
      </c>
      <c r="T4881">
        <v>0</v>
      </c>
      <c r="U4881">
        <v>0</v>
      </c>
      <c r="V4881">
        <v>0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0</v>
      </c>
      <c r="AC4881">
        <v>0</v>
      </c>
      <c r="AD4881">
        <v>0</v>
      </c>
      <c r="AE4881">
        <v>0</v>
      </c>
      <c r="AF4881">
        <v>0</v>
      </c>
      <c r="AG4881">
        <v>0</v>
      </c>
      <c r="AH4881">
        <v>0</v>
      </c>
      <c r="AI4881">
        <v>70</v>
      </c>
      <c r="AJ4881">
        <v>1</v>
      </c>
      <c r="AK4881">
        <v>0</v>
      </c>
      <c r="AL4881">
        <v>0</v>
      </c>
      <c r="AM4881">
        <v>70</v>
      </c>
      <c r="AN4881">
        <v>0</v>
      </c>
      <c r="AO4881">
        <v>0</v>
      </c>
      <c r="AP4881">
        <v>0</v>
      </c>
      <c r="AQ4881">
        <v>0</v>
      </c>
      <c r="AS4881">
        <v>0</v>
      </c>
      <c r="AT4881">
        <v>0</v>
      </c>
      <c r="AV4881">
        <v>0</v>
      </c>
      <c r="AW4881">
        <v>0</v>
      </c>
      <c r="AY4881">
        <v>0</v>
      </c>
      <c r="AZ4881">
        <v>0</v>
      </c>
      <c r="BA4881">
        <v>49</v>
      </c>
      <c r="BE4881" t="str">
        <f>T("9791137014381")</f>
        <v>9791137014381</v>
      </c>
      <c r="BF4881" t="str">
        <f>T("D061667")</f>
        <v>D061667</v>
      </c>
      <c r="BG4881" t="str">
        <f>T("판타지 웹소설 &gt; 퓨전 판타지")</f>
        <v>판타지 웹소설 &gt; 퓨전 판타지</v>
      </c>
    </row>
    <row r="4882" spans="1:59">
      <c r="A4882" t="s">
        <v>60</v>
      </c>
      <c r="B4882" s="1">
        <v>46129</v>
      </c>
      <c r="C4882">
        <v>2378044065</v>
      </c>
      <c r="D4882">
        <v>2378077065</v>
      </c>
      <c r="E4882" t="str">
        <f>T("저승의 왕위를 계승했다 658화")</f>
        <v>저승의 왕위를 계승했다 658화</v>
      </c>
      <c r="F4882">
        <v>660</v>
      </c>
      <c r="G4882" t="str">
        <f>T("신타비")</f>
        <v>신타비</v>
      </c>
      <c r="J4882" t="str">
        <f>T("매드햇")</f>
        <v>매드햇</v>
      </c>
      <c r="K4882" t="str">
        <f>T("저승의 왕위를 계승했다")</f>
        <v>저승의 왕위를 계승했다</v>
      </c>
      <c r="L4882">
        <v>100</v>
      </c>
      <c r="M4882">
        <v>70</v>
      </c>
      <c r="N4882">
        <v>1</v>
      </c>
      <c r="O4882">
        <v>0</v>
      </c>
      <c r="P4882">
        <v>0</v>
      </c>
      <c r="Q4882">
        <v>0</v>
      </c>
      <c r="R4882">
        <v>0</v>
      </c>
      <c r="S4882">
        <v>0</v>
      </c>
      <c r="T4882">
        <v>0</v>
      </c>
      <c r="U4882">
        <v>0</v>
      </c>
      <c r="V4882">
        <v>0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0</v>
      </c>
      <c r="AC4882">
        <v>0</v>
      </c>
      <c r="AD4882">
        <v>0</v>
      </c>
      <c r="AE4882">
        <v>0</v>
      </c>
      <c r="AF4882">
        <v>0</v>
      </c>
      <c r="AG4882">
        <v>0</v>
      </c>
      <c r="AH4882">
        <v>0</v>
      </c>
      <c r="AI4882">
        <v>70</v>
      </c>
      <c r="AJ4882">
        <v>1</v>
      </c>
      <c r="AK4882">
        <v>0</v>
      </c>
      <c r="AL4882">
        <v>0</v>
      </c>
      <c r="AM4882">
        <v>70</v>
      </c>
      <c r="AN4882">
        <v>0</v>
      </c>
      <c r="AO4882">
        <v>0</v>
      </c>
      <c r="AP4882">
        <v>0</v>
      </c>
      <c r="AQ4882">
        <v>0</v>
      </c>
      <c r="AS4882">
        <v>0</v>
      </c>
      <c r="AT4882">
        <v>0</v>
      </c>
      <c r="AV4882">
        <v>0</v>
      </c>
      <c r="AW4882">
        <v>0</v>
      </c>
      <c r="AY4882">
        <v>0</v>
      </c>
      <c r="AZ4882">
        <v>0</v>
      </c>
      <c r="BA4882">
        <v>49</v>
      </c>
      <c r="BE4882" t="str">
        <f>T("9791137014381")</f>
        <v>9791137014381</v>
      </c>
      <c r="BF4882" t="str">
        <f>T("D061668")</f>
        <v>D061668</v>
      </c>
      <c r="BG4882" t="str">
        <f>T("판타지 웹소설 &gt; 퓨전 판타지")</f>
        <v>판타지 웹소설 &gt; 퓨전 판타지</v>
      </c>
    </row>
    <row r="4883" spans="1:59">
      <c r="A4883" t="s">
        <v>60</v>
      </c>
      <c r="B4883" s="1">
        <v>46129</v>
      </c>
      <c r="C4883">
        <v>2378044065</v>
      </c>
      <c r="D4883">
        <v>2378077070</v>
      </c>
      <c r="E4883" t="str">
        <f>T("저승의 왕위를 계승했다 659화")</f>
        <v>저승의 왕위를 계승했다 659화</v>
      </c>
      <c r="F4883">
        <v>661</v>
      </c>
      <c r="G4883" t="str">
        <f>T("신타비")</f>
        <v>신타비</v>
      </c>
      <c r="J4883" t="str">
        <f>T("매드햇")</f>
        <v>매드햇</v>
      </c>
      <c r="K4883" t="str">
        <f>T("저승의 왕위를 계승했다")</f>
        <v>저승의 왕위를 계승했다</v>
      </c>
      <c r="L4883">
        <v>100</v>
      </c>
      <c r="M4883">
        <v>70</v>
      </c>
      <c r="N4883">
        <v>1</v>
      </c>
      <c r="O4883">
        <v>0</v>
      </c>
      <c r="P4883">
        <v>0</v>
      </c>
      <c r="Q4883">
        <v>0</v>
      </c>
      <c r="R4883">
        <v>0</v>
      </c>
      <c r="S4883">
        <v>0</v>
      </c>
      <c r="T4883">
        <v>0</v>
      </c>
      <c r="U4883">
        <v>0</v>
      </c>
      <c r="V4883">
        <v>0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0</v>
      </c>
      <c r="AC4883">
        <v>0</v>
      </c>
      <c r="AD4883">
        <v>0</v>
      </c>
      <c r="AE4883">
        <v>0</v>
      </c>
      <c r="AF4883">
        <v>0</v>
      </c>
      <c r="AG4883">
        <v>0</v>
      </c>
      <c r="AH4883">
        <v>0</v>
      </c>
      <c r="AI4883">
        <v>70</v>
      </c>
      <c r="AJ4883">
        <v>1</v>
      </c>
      <c r="AK4883">
        <v>0</v>
      </c>
      <c r="AL4883">
        <v>0</v>
      </c>
      <c r="AM4883">
        <v>70</v>
      </c>
      <c r="AN4883">
        <v>0</v>
      </c>
      <c r="AO4883">
        <v>0</v>
      </c>
      <c r="AP4883">
        <v>0</v>
      </c>
      <c r="AQ4883">
        <v>0</v>
      </c>
      <c r="AS4883">
        <v>0</v>
      </c>
      <c r="AT4883">
        <v>0</v>
      </c>
      <c r="AV4883">
        <v>0</v>
      </c>
      <c r="AW4883">
        <v>0</v>
      </c>
      <c r="AY4883">
        <v>0</v>
      </c>
      <c r="AZ4883">
        <v>0</v>
      </c>
      <c r="BA4883">
        <v>49</v>
      </c>
      <c r="BE4883" t="str">
        <f>T("9791137014381")</f>
        <v>9791137014381</v>
      </c>
      <c r="BF4883" t="str">
        <f>T("D061669")</f>
        <v>D061669</v>
      </c>
      <c r="BG4883" t="str">
        <f>T("판타지 웹소설 &gt; 퓨전 판타지")</f>
        <v>판타지 웹소설 &gt; 퓨전 판타지</v>
      </c>
    </row>
    <row r="4884" spans="1:59">
      <c r="A4884" t="s">
        <v>60</v>
      </c>
      <c r="B4884" s="1">
        <v>46129</v>
      </c>
      <c r="C4884">
        <v>2378044065</v>
      </c>
      <c r="D4884">
        <v>2378077071</v>
      </c>
      <c r="E4884" t="str">
        <f>T("저승의 왕위를 계승했다 660화")</f>
        <v>저승의 왕위를 계승했다 660화</v>
      </c>
      <c r="F4884">
        <v>662</v>
      </c>
      <c r="G4884" t="str">
        <f>T("신타비")</f>
        <v>신타비</v>
      </c>
      <c r="J4884" t="str">
        <f>T("매드햇")</f>
        <v>매드햇</v>
      </c>
      <c r="K4884" t="str">
        <f>T("저승의 왕위를 계승했다")</f>
        <v>저승의 왕위를 계승했다</v>
      </c>
      <c r="L4884">
        <v>100</v>
      </c>
      <c r="M4884">
        <v>70</v>
      </c>
      <c r="N4884">
        <v>1</v>
      </c>
      <c r="O4884">
        <v>0</v>
      </c>
      <c r="P4884">
        <v>0</v>
      </c>
      <c r="Q4884">
        <v>0</v>
      </c>
      <c r="R4884">
        <v>0</v>
      </c>
      <c r="S4884">
        <v>0</v>
      </c>
      <c r="T4884">
        <v>0</v>
      </c>
      <c r="U4884">
        <v>0</v>
      </c>
      <c r="V4884">
        <v>0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0</v>
      </c>
      <c r="AC4884">
        <v>0</v>
      </c>
      <c r="AD4884">
        <v>0</v>
      </c>
      <c r="AE4884">
        <v>0</v>
      </c>
      <c r="AF4884">
        <v>0</v>
      </c>
      <c r="AG4884">
        <v>0</v>
      </c>
      <c r="AH4884">
        <v>0</v>
      </c>
      <c r="AI4884">
        <v>70</v>
      </c>
      <c r="AJ4884">
        <v>1</v>
      </c>
      <c r="AK4884">
        <v>0</v>
      </c>
      <c r="AL4884">
        <v>0</v>
      </c>
      <c r="AM4884">
        <v>70</v>
      </c>
      <c r="AN4884">
        <v>0</v>
      </c>
      <c r="AO4884">
        <v>0</v>
      </c>
      <c r="AP4884">
        <v>0</v>
      </c>
      <c r="AQ4884">
        <v>0</v>
      </c>
      <c r="AS4884">
        <v>0</v>
      </c>
      <c r="AT4884">
        <v>0</v>
      </c>
      <c r="AV4884">
        <v>0</v>
      </c>
      <c r="AW4884">
        <v>0</v>
      </c>
      <c r="AY4884">
        <v>0</v>
      </c>
      <c r="AZ4884">
        <v>0</v>
      </c>
      <c r="BA4884">
        <v>49</v>
      </c>
      <c r="BE4884" t="str">
        <f>T("9791137014381")</f>
        <v>9791137014381</v>
      </c>
      <c r="BF4884" t="str">
        <f>T("D061670")</f>
        <v>D061670</v>
      </c>
      <c r="BG4884" t="str">
        <f>T("판타지 웹소설 &gt; 퓨전 판타지")</f>
        <v>판타지 웹소설 &gt; 퓨전 판타지</v>
      </c>
    </row>
    <row r="4885" spans="1:59">
      <c r="A4885" t="s">
        <v>60</v>
      </c>
      <c r="B4885" s="1">
        <v>46129</v>
      </c>
      <c r="C4885">
        <v>2378044065</v>
      </c>
      <c r="D4885">
        <v>2378077081</v>
      </c>
      <c r="E4885" t="str">
        <f>T("저승의 왕위를 계승했다 661화")</f>
        <v>저승의 왕위를 계승했다 661화</v>
      </c>
      <c r="F4885">
        <v>663</v>
      </c>
      <c r="G4885" t="str">
        <f>T("신타비")</f>
        <v>신타비</v>
      </c>
      <c r="J4885" t="str">
        <f>T("매드햇")</f>
        <v>매드햇</v>
      </c>
      <c r="K4885" t="str">
        <f>T("저승의 왕위를 계승했다")</f>
        <v>저승의 왕위를 계승했다</v>
      </c>
      <c r="L4885">
        <v>100</v>
      </c>
      <c r="M4885">
        <v>70</v>
      </c>
      <c r="N4885">
        <v>1</v>
      </c>
      <c r="O4885">
        <v>0</v>
      </c>
      <c r="P4885">
        <v>0</v>
      </c>
      <c r="Q4885">
        <v>0</v>
      </c>
      <c r="R4885">
        <v>0</v>
      </c>
      <c r="S4885">
        <v>0</v>
      </c>
      <c r="T4885">
        <v>0</v>
      </c>
      <c r="U4885">
        <v>0</v>
      </c>
      <c r="V4885">
        <v>0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0</v>
      </c>
      <c r="AC4885">
        <v>0</v>
      </c>
      <c r="AD4885">
        <v>0</v>
      </c>
      <c r="AE4885">
        <v>0</v>
      </c>
      <c r="AF4885">
        <v>0</v>
      </c>
      <c r="AG4885">
        <v>0</v>
      </c>
      <c r="AH4885">
        <v>0</v>
      </c>
      <c r="AI4885">
        <v>70</v>
      </c>
      <c r="AJ4885">
        <v>1</v>
      </c>
      <c r="AK4885">
        <v>0</v>
      </c>
      <c r="AL4885">
        <v>0</v>
      </c>
      <c r="AM4885">
        <v>70</v>
      </c>
      <c r="AN4885">
        <v>0</v>
      </c>
      <c r="AO4885">
        <v>0</v>
      </c>
      <c r="AP4885">
        <v>0</v>
      </c>
      <c r="AQ4885">
        <v>0</v>
      </c>
      <c r="AS4885">
        <v>0</v>
      </c>
      <c r="AT4885">
        <v>0</v>
      </c>
      <c r="AV4885">
        <v>0</v>
      </c>
      <c r="AW4885">
        <v>0</v>
      </c>
      <c r="AY4885">
        <v>0</v>
      </c>
      <c r="AZ4885">
        <v>0</v>
      </c>
      <c r="BA4885">
        <v>49</v>
      </c>
      <c r="BE4885" t="str">
        <f>T("9791137014381")</f>
        <v>9791137014381</v>
      </c>
      <c r="BF4885" t="str">
        <f>T("D061671")</f>
        <v>D061671</v>
      </c>
      <c r="BG4885" t="str">
        <f>T("판타지 웹소설 &gt; 퓨전 판타지")</f>
        <v>판타지 웹소설 &gt; 퓨전 판타지</v>
      </c>
    </row>
    <row r="4886" spans="1:59">
      <c r="A4886" t="s">
        <v>60</v>
      </c>
      <c r="B4886" s="1">
        <v>46129</v>
      </c>
      <c r="C4886">
        <v>2378044065</v>
      </c>
      <c r="D4886">
        <v>2378077082</v>
      </c>
      <c r="E4886" t="str">
        <f>T("저승의 왕위를 계승했다 662화")</f>
        <v>저승의 왕위를 계승했다 662화</v>
      </c>
      <c r="F4886">
        <v>664</v>
      </c>
      <c r="G4886" t="str">
        <f>T("신타비")</f>
        <v>신타비</v>
      </c>
      <c r="J4886" t="str">
        <f>T("매드햇")</f>
        <v>매드햇</v>
      </c>
      <c r="K4886" t="str">
        <f>T("저승의 왕위를 계승했다")</f>
        <v>저승의 왕위를 계승했다</v>
      </c>
      <c r="L4886">
        <v>100</v>
      </c>
      <c r="M4886">
        <v>70</v>
      </c>
      <c r="N4886">
        <v>1</v>
      </c>
      <c r="O4886">
        <v>0</v>
      </c>
      <c r="P4886">
        <v>0</v>
      </c>
      <c r="Q4886">
        <v>0</v>
      </c>
      <c r="R4886">
        <v>0</v>
      </c>
      <c r="S4886">
        <v>0</v>
      </c>
      <c r="T4886">
        <v>0</v>
      </c>
      <c r="U4886">
        <v>0</v>
      </c>
      <c r="V4886">
        <v>0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0</v>
      </c>
      <c r="AC4886">
        <v>0</v>
      </c>
      <c r="AD4886">
        <v>0</v>
      </c>
      <c r="AE4886">
        <v>0</v>
      </c>
      <c r="AF4886">
        <v>0</v>
      </c>
      <c r="AG4886">
        <v>0</v>
      </c>
      <c r="AH4886">
        <v>0</v>
      </c>
      <c r="AI4886">
        <v>70</v>
      </c>
      <c r="AJ4886">
        <v>1</v>
      </c>
      <c r="AK4886">
        <v>0</v>
      </c>
      <c r="AL4886">
        <v>0</v>
      </c>
      <c r="AM4886">
        <v>70</v>
      </c>
      <c r="AN4886">
        <v>0</v>
      </c>
      <c r="AO4886">
        <v>0</v>
      </c>
      <c r="AP4886">
        <v>0</v>
      </c>
      <c r="AQ4886">
        <v>0</v>
      </c>
      <c r="AS4886">
        <v>0</v>
      </c>
      <c r="AT4886">
        <v>0</v>
      </c>
      <c r="AV4886">
        <v>0</v>
      </c>
      <c r="AW4886">
        <v>0</v>
      </c>
      <c r="AY4886">
        <v>0</v>
      </c>
      <c r="AZ4886">
        <v>0</v>
      </c>
      <c r="BA4886">
        <v>49</v>
      </c>
      <c r="BE4886" t="str">
        <f>T("9791137014381")</f>
        <v>9791137014381</v>
      </c>
      <c r="BF4886" t="str">
        <f>T("D061672")</f>
        <v>D061672</v>
      </c>
      <c r="BG4886" t="str">
        <f>T("판타지 웹소설 &gt; 퓨전 판타지")</f>
        <v>판타지 웹소설 &gt; 퓨전 판타지</v>
      </c>
    </row>
    <row r="4887" spans="1:59">
      <c r="A4887" t="s">
        <v>60</v>
      </c>
      <c r="B4887" s="1">
        <v>46129</v>
      </c>
      <c r="C4887">
        <v>2378044065</v>
      </c>
      <c r="D4887">
        <v>2378077092</v>
      </c>
      <c r="E4887" t="str">
        <f>T("저승의 왕위를 계승했다 663화")</f>
        <v>저승의 왕위를 계승했다 663화</v>
      </c>
      <c r="F4887">
        <v>665</v>
      </c>
      <c r="G4887" t="str">
        <f>T("신타비")</f>
        <v>신타비</v>
      </c>
      <c r="J4887" t="str">
        <f>T("매드햇")</f>
        <v>매드햇</v>
      </c>
      <c r="K4887" t="str">
        <f>T("저승의 왕위를 계승했다")</f>
        <v>저승의 왕위를 계승했다</v>
      </c>
      <c r="L4887">
        <v>100</v>
      </c>
      <c r="M4887">
        <v>70</v>
      </c>
      <c r="N4887">
        <v>1</v>
      </c>
      <c r="O4887">
        <v>0</v>
      </c>
      <c r="P4887">
        <v>0</v>
      </c>
      <c r="Q4887">
        <v>0</v>
      </c>
      <c r="R4887">
        <v>0</v>
      </c>
      <c r="S4887">
        <v>0</v>
      </c>
      <c r="T4887">
        <v>0</v>
      </c>
      <c r="U4887">
        <v>0</v>
      </c>
      <c r="V4887">
        <v>0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0</v>
      </c>
      <c r="AC4887">
        <v>0</v>
      </c>
      <c r="AD4887">
        <v>0</v>
      </c>
      <c r="AE4887">
        <v>0</v>
      </c>
      <c r="AF4887">
        <v>0</v>
      </c>
      <c r="AG4887">
        <v>0</v>
      </c>
      <c r="AH4887">
        <v>0</v>
      </c>
      <c r="AI4887">
        <v>70</v>
      </c>
      <c r="AJ4887">
        <v>1</v>
      </c>
      <c r="AK4887">
        <v>0</v>
      </c>
      <c r="AL4887">
        <v>0</v>
      </c>
      <c r="AM4887">
        <v>70</v>
      </c>
      <c r="AN4887">
        <v>0</v>
      </c>
      <c r="AO4887">
        <v>0</v>
      </c>
      <c r="AP4887">
        <v>0</v>
      </c>
      <c r="AQ4887">
        <v>0</v>
      </c>
      <c r="AS4887">
        <v>0</v>
      </c>
      <c r="AT4887">
        <v>0</v>
      </c>
      <c r="AV4887">
        <v>0</v>
      </c>
      <c r="AW4887">
        <v>0</v>
      </c>
      <c r="AY4887">
        <v>0</v>
      </c>
      <c r="AZ4887">
        <v>0</v>
      </c>
      <c r="BA4887">
        <v>49</v>
      </c>
      <c r="BE4887" t="str">
        <f>T("9791137014381")</f>
        <v>9791137014381</v>
      </c>
      <c r="BF4887" t="str">
        <f>T("D061673")</f>
        <v>D061673</v>
      </c>
      <c r="BG4887" t="str">
        <f>T("판타지 웹소설 &gt; 퓨전 판타지")</f>
        <v>판타지 웹소설 &gt; 퓨전 판타지</v>
      </c>
    </row>
    <row r="4888" spans="1:59">
      <c r="A4888" t="s">
        <v>60</v>
      </c>
      <c r="B4888" s="1">
        <v>46129</v>
      </c>
      <c r="C4888">
        <v>2378044065</v>
      </c>
      <c r="D4888">
        <v>2378077093</v>
      </c>
      <c r="E4888" t="str">
        <f>T("저승의 왕위를 계승했다 664화")</f>
        <v>저승의 왕위를 계승했다 664화</v>
      </c>
      <c r="F4888">
        <v>666</v>
      </c>
      <c r="G4888" t="str">
        <f>T("신타비")</f>
        <v>신타비</v>
      </c>
      <c r="J4888" t="str">
        <f>T("매드햇")</f>
        <v>매드햇</v>
      </c>
      <c r="K4888" t="str">
        <f>T("저승의 왕위를 계승했다")</f>
        <v>저승의 왕위를 계승했다</v>
      </c>
      <c r="L4888">
        <v>100</v>
      </c>
      <c r="M4888">
        <v>70</v>
      </c>
      <c r="N4888">
        <v>1</v>
      </c>
      <c r="O4888">
        <v>0</v>
      </c>
      <c r="P4888">
        <v>0</v>
      </c>
      <c r="Q4888">
        <v>0</v>
      </c>
      <c r="R4888">
        <v>0</v>
      </c>
      <c r="S4888">
        <v>0</v>
      </c>
      <c r="T4888">
        <v>0</v>
      </c>
      <c r="U4888">
        <v>0</v>
      </c>
      <c r="V4888">
        <v>0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0</v>
      </c>
      <c r="AC4888">
        <v>0</v>
      </c>
      <c r="AD4888">
        <v>0</v>
      </c>
      <c r="AE4888">
        <v>0</v>
      </c>
      <c r="AF4888">
        <v>0</v>
      </c>
      <c r="AG4888">
        <v>0</v>
      </c>
      <c r="AH4888">
        <v>0</v>
      </c>
      <c r="AI4888">
        <v>70</v>
      </c>
      <c r="AJ4888">
        <v>1</v>
      </c>
      <c r="AK4888">
        <v>0</v>
      </c>
      <c r="AL4888">
        <v>0</v>
      </c>
      <c r="AM4888">
        <v>70</v>
      </c>
      <c r="AN4888">
        <v>0</v>
      </c>
      <c r="AO4888">
        <v>0</v>
      </c>
      <c r="AP4888">
        <v>0</v>
      </c>
      <c r="AQ4888">
        <v>0</v>
      </c>
      <c r="AS4888">
        <v>0</v>
      </c>
      <c r="AT4888">
        <v>0</v>
      </c>
      <c r="AV4888">
        <v>0</v>
      </c>
      <c r="AW4888">
        <v>0</v>
      </c>
      <c r="AY4888">
        <v>0</v>
      </c>
      <c r="AZ4888">
        <v>0</v>
      </c>
      <c r="BA4888">
        <v>49</v>
      </c>
      <c r="BE4888" t="str">
        <f>T("9791137014381")</f>
        <v>9791137014381</v>
      </c>
      <c r="BF4888" t="str">
        <f>T("D061674")</f>
        <v>D061674</v>
      </c>
      <c r="BG4888" t="str">
        <f>T("판타지 웹소설 &gt; 퓨전 판타지")</f>
        <v>판타지 웹소설 &gt; 퓨전 판타지</v>
      </c>
    </row>
    <row r="4889" spans="1:59">
      <c r="A4889" t="s">
        <v>60</v>
      </c>
      <c r="B4889" s="1">
        <v>46129</v>
      </c>
      <c r="C4889">
        <v>2378044065</v>
      </c>
      <c r="D4889">
        <v>2378077425</v>
      </c>
      <c r="E4889" t="str">
        <f>T("저승의 왕위를 계승했다 665화")</f>
        <v>저승의 왕위를 계승했다 665화</v>
      </c>
      <c r="F4889">
        <v>667</v>
      </c>
      <c r="G4889" t="str">
        <f>T("신타비")</f>
        <v>신타비</v>
      </c>
      <c r="J4889" t="str">
        <f>T("매드햇")</f>
        <v>매드햇</v>
      </c>
      <c r="K4889" t="str">
        <f>T("저승의 왕위를 계승했다")</f>
        <v>저승의 왕위를 계승했다</v>
      </c>
      <c r="L4889">
        <v>100</v>
      </c>
      <c r="M4889">
        <v>70</v>
      </c>
      <c r="N4889">
        <v>1</v>
      </c>
      <c r="O4889">
        <v>0</v>
      </c>
      <c r="P4889">
        <v>0</v>
      </c>
      <c r="Q4889">
        <v>0</v>
      </c>
      <c r="R4889">
        <v>0</v>
      </c>
      <c r="S4889">
        <v>0</v>
      </c>
      <c r="T4889">
        <v>0</v>
      </c>
      <c r="U4889">
        <v>0</v>
      </c>
      <c r="V4889">
        <v>0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0</v>
      </c>
      <c r="AC4889">
        <v>0</v>
      </c>
      <c r="AD4889">
        <v>0</v>
      </c>
      <c r="AE4889">
        <v>0</v>
      </c>
      <c r="AF4889">
        <v>0</v>
      </c>
      <c r="AG4889">
        <v>0</v>
      </c>
      <c r="AH4889">
        <v>0</v>
      </c>
      <c r="AI4889">
        <v>70</v>
      </c>
      <c r="AJ4889">
        <v>1</v>
      </c>
      <c r="AK4889">
        <v>0</v>
      </c>
      <c r="AL4889">
        <v>0</v>
      </c>
      <c r="AM4889">
        <v>70</v>
      </c>
      <c r="AN4889">
        <v>0</v>
      </c>
      <c r="AO4889">
        <v>0</v>
      </c>
      <c r="AP4889">
        <v>0</v>
      </c>
      <c r="AQ4889">
        <v>0</v>
      </c>
      <c r="AS4889">
        <v>0</v>
      </c>
      <c r="AT4889">
        <v>0</v>
      </c>
      <c r="AV4889">
        <v>0</v>
      </c>
      <c r="AW4889">
        <v>0</v>
      </c>
      <c r="AY4889">
        <v>0</v>
      </c>
      <c r="AZ4889">
        <v>0</v>
      </c>
      <c r="BA4889">
        <v>49</v>
      </c>
      <c r="BE4889" t="str">
        <f>T("9791137014381")</f>
        <v>9791137014381</v>
      </c>
      <c r="BF4889" t="str">
        <f>T("D061675")</f>
        <v>D061675</v>
      </c>
      <c r="BG4889" t="str">
        <f>T("판타지 웹소설 &gt; 퓨전 판타지")</f>
        <v>판타지 웹소설 &gt; 퓨전 판타지</v>
      </c>
    </row>
    <row r="4890" spans="1:59">
      <c r="A4890" t="s">
        <v>60</v>
      </c>
      <c r="B4890" s="1">
        <v>46129</v>
      </c>
      <c r="C4890">
        <v>2378044065</v>
      </c>
      <c r="D4890">
        <v>2378077426</v>
      </c>
      <c r="E4890" t="str">
        <f>T("저승의 왕위를 계승했다 666화")</f>
        <v>저승의 왕위를 계승했다 666화</v>
      </c>
      <c r="F4890">
        <v>668</v>
      </c>
      <c r="G4890" t="str">
        <f>T("신타비")</f>
        <v>신타비</v>
      </c>
      <c r="J4890" t="str">
        <f>T("매드햇")</f>
        <v>매드햇</v>
      </c>
      <c r="K4890" t="str">
        <f>T("저승의 왕위를 계승했다")</f>
        <v>저승의 왕위를 계승했다</v>
      </c>
      <c r="L4890">
        <v>100</v>
      </c>
      <c r="M4890">
        <v>70</v>
      </c>
      <c r="N4890">
        <v>1</v>
      </c>
      <c r="O4890">
        <v>0</v>
      </c>
      <c r="P4890">
        <v>0</v>
      </c>
      <c r="Q4890">
        <v>0</v>
      </c>
      <c r="R4890">
        <v>0</v>
      </c>
      <c r="S4890">
        <v>0</v>
      </c>
      <c r="T4890">
        <v>0</v>
      </c>
      <c r="U4890">
        <v>0</v>
      </c>
      <c r="V4890">
        <v>0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0</v>
      </c>
      <c r="AC4890">
        <v>0</v>
      </c>
      <c r="AD4890">
        <v>0</v>
      </c>
      <c r="AE4890">
        <v>0</v>
      </c>
      <c r="AF4890">
        <v>0</v>
      </c>
      <c r="AG4890">
        <v>0</v>
      </c>
      <c r="AH4890">
        <v>0</v>
      </c>
      <c r="AI4890">
        <v>70</v>
      </c>
      <c r="AJ4890">
        <v>1</v>
      </c>
      <c r="AK4890">
        <v>0</v>
      </c>
      <c r="AL4890">
        <v>0</v>
      </c>
      <c r="AM4890">
        <v>70</v>
      </c>
      <c r="AN4890">
        <v>0</v>
      </c>
      <c r="AO4890">
        <v>0</v>
      </c>
      <c r="AP4890">
        <v>0</v>
      </c>
      <c r="AQ4890">
        <v>0</v>
      </c>
      <c r="AS4890">
        <v>0</v>
      </c>
      <c r="AT4890">
        <v>0</v>
      </c>
      <c r="AV4890">
        <v>0</v>
      </c>
      <c r="AW4890">
        <v>0</v>
      </c>
      <c r="AY4890">
        <v>0</v>
      </c>
      <c r="AZ4890">
        <v>0</v>
      </c>
      <c r="BA4890">
        <v>49</v>
      </c>
      <c r="BE4890" t="str">
        <f>T("9791137014381")</f>
        <v>9791137014381</v>
      </c>
      <c r="BF4890" t="str">
        <f>T("D061676")</f>
        <v>D061676</v>
      </c>
      <c r="BG4890" t="str">
        <f>T("판타지 웹소설 &gt; 퓨전 판타지")</f>
        <v>판타지 웹소설 &gt; 퓨전 판타지</v>
      </c>
    </row>
    <row r="4891" spans="1:59">
      <c r="A4891" t="s">
        <v>60</v>
      </c>
      <c r="B4891" s="1">
        <v>46129</v>
      </c>
      <c r="C4891">
        <v>2378044065</v>
      </c>
      <c r="D4891">
        <v>2378077431</v>
      </c>
      <c r="E4891" t="str">
        <f>T("저승의 왕위를 계승했다 667화")</f>
        <v>저승의 왕위를 계승했다 667화</v>
      </c>
      <c r="F4891">
        <v>669</v>
      </c>
      <c r="G4891" t="str">
        <f>T("신타비")</f>
        <v>신타비</v>
      </c>
      <c r="J4891" t="str">
        <f>T("매드햇")</f>
        <v>매드햇</v>
      </c>
      <c r="K4891" t="str">
        <f>T("저승의 왕위를 계승했다")</f>
        <v>저승의 왕위를 계승했다</v>
      </c>
      <c r="L4891">
        <v>100</v>
      </c>
      <c r="M4891">
        <v>70</v>
      </c>
      <c r="N4891">
        <v>1</v>
      </c>
      <c r="O4891">
        <v>0</v>
      </c>
      <c r="P4891">
        <v>0</v>
      </c>
      <c r="Q4891">
        <v>0</v>
      </c>
      <c r="R4891">
        <v>0</v>
      </c>
      <c r="S4891">
        <v>0</v>
      </c>
      <c r="T4891">
        <v>0</v>
      </c>
      <c r="U4891">
        <v>0</v>
      </c>
      <c r="V4891">
        <v>0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0</v>
      </c>
      <c r="AC4891">
        <v>0</v>
      </c>
      <c r="AD4891">
        <v>0</v>
      </c>
      <c r="AE4891">
        <v>0</v>
      </c>
      <c r="AF4891">
        <v>0</v>
      </c>
      <c r="AG4891">
        <v>0</v>
      </c>
      <c r="AH4891">
        <v>0</v>
      </c>
      <c r="AI4891">
        <v>70</v>
      </c>
      <c r="AJ4891">
        <v>1</v>
      </c>
      <c r="AK4891">
        <v>0</v>
      </c>
      <c r="AL4891">
        <v>0</v>
      </c>
      <c r="AM4891">
        <v>70</v>
      </c>
      <c r="AN4891">
        <v>0</v>
      </c>
      <c r="AO4891">
        <v>0</v>
      </c>
      <c r="AP4891">
        <v>0</v>
      </c>
      <c r="AQ4891">
        <v>0</v>
      </c>
      <c r="AS4891">
        <v>0</v>
      </c>
      <c r="AT4891">
        <v>0</v>
      </c>
      <c r="AV4891">
        <v>0</v>
      </c>
      <c r="AW4891">
        <v>0</v>
      </c>
      <c r="AY4891">
        <v>0</v>
      </c>
      <c r="AZ4891">
        <v>0</v>
      </c>
      <c r="BA4891">
        <v>49</v>
      </c>
      <c r="BE4891" t="str">
        <f>T("9791137014381")</f>
        <v>9791137014381</v>
      </c>
      <c r="BF4891" t="str">
        <f>T("D061677")</f>
        <v>D061677</v>
      </c>
      <c r="BG4891" t="str">
        <f>T("판타지 웹소설 &gt; 퓨전 판타지")</f>
        <v>판타지 웹소설 &gt; 퓨전 판타지</v>
      </c>
    </row>
    <row r="4892" spans="1:59">
      <c r="A4892" t="s">
        <v>60</v>
      </c>
      <c r="B4892" s="1">
        <v>46129</v>
      </c>
      <c r="C4892">
        <v>2378044065</v>
      </c>
      <c r="D4892">
        <v>2378077432</v>
      </c>
      <c r="E4892" t="str">
        <f>T("저승의 왕위를 계승했다 668화")</f>
        <v>저승의 왕위를 계승했다 668화</v>
      </c>
      <c r="F4892">
        <v>670</v>
      </c>
      <c r="G4892" t="str">
        <f>T("신타비")</f>
        <v>신타비</v>
      </c>
      <c r="J4892" t="str">
        <f>T("매드햇")</f>
        <v>매드햇</v>
      </c>
      <c r="K4892" t="str">
        <f>T("저승의 왕위를 계승했다")</f>
        <v>저승의 왕위를 계승했다</v>
      </c>
      <c r="L4892">
        <v>100</v>
      </c>
      <c r="M4892">
        <v>70</v>
      </c>
      <c r="N4892">
        <v>1</v>
      </c>
      <c r="O4892">
        <v>0</v>
      </c>
      <c r="P4892">
        <v>0</v>
      </c>
      <c r="Q4892">
        <v>0</v>
      </c>
      <c r="R4892">
        <v>0</v>
      </c>
      <c r="S4892">
        <v>0</v>
      </c>
      <c r="T4892">
        <v>0</v>
      </c>
      <c r="U4892">
        <v>0</v>
      </c>
      <c r="V4892">
        <v>0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0</v>
      </c>
      <c r="AC4892">
        <v>0</v>
      </c>
      <c r="AD4892">
        <v>0</v>
      </c>
      <c r="AE4892">
        <v>0</v>
      </c>
      <c r="AF4892">
        <v>0</v>
      </c>
      <c r="AG4892">
        <v>0</v>
      </c>
      <c r="AH4892">
        <v>0</v>
      </c>
      <c r="AI4892">
        <v>70</v>
      </c>
      <c r="AJ4892">
        <v>1</v>
      </c>
      <c r="AK4892">
        <v>0</v>
      </c>
      <c r="AL4892">
        <v>0</v>
      </c>
      <c r="AM4892">
        <v>70</v>
      </c>
      <c r="AN4892">
        <v>0</v>
      </c>
      <c r="AO4892">
        <v>0</v>
      </c>
      <c r="AP4892">
        <v>0</v>
      </c>
      <c r="AQ4892">
        <v>0</v>
      </c>
      <c r="AS4892">
        <v>0</v>
      </c>
      <c r="AT4892">
        <v>0</v>
      </c>
      <c r="AV4892">
        <v>0</v>
      </c>
      <c r="AW4892">
        <v>0</v>
      </c>
      <c r="AY4892">
        <v>0</v>
      </c>
      <c r="AZ4892">
        <v>0</v>
      </c>
      <c r="BA4892">
        <v>49</v>
      </c>
      <c r="BE4892" t="str">
        <f>T("9791137014381")</f>
        <v>9791137014381</v>
      </c>
      <c r="BF4892" t="str">
        <f>T("D061678")</f>
        <v>D061678</v>
      </c>
      <c r="BG4892" t="str">
        <f>T("판타지 웹소설 &gt; 퓨전 판타지")</f>
        <v>판타지 웹소설 &gt; 퓨전 판타지</v>
      </c>
    </row>
    <row r="4893" spans="1:59">
      <c r="A4893" t="s">
        <v>60</v>
      </c>
      <c r="B4893" s="1">
        <v>46129</v>
      </c>
      <c r="C4893">
        <v>2378044065</v>
      </c>
      <c r="D4893">
        <v>2378077479</v>
      </c>
      <c r="E4893" t="str">
        <f>T("저승의 왕위를 계승했다 669화")</f>
        <v>저승의 왕위를 계승했다 669화</v>
      </c>
      <c r="F4893">
        <v>671</v>
      </c>
      <c r="G4893" t="str">
        <f>T("신타비")</f>
        <v>신타비</v>
      </c>
      <c r="J4893" t="str">
        <f>T("매드햇")</f>
        <v>매드햇</v>
      </c>
      <c r="K4893" t="str">
        <f>T("저승의 왕위를 계승했다")</f>
        <v>저승의 왕위를 계승했다</v>
      </c>
      <c r="L4893">
        <v>100</v>
      </c>
      <c r="M4893">
        <v>70</v>
      </c>
      <c r="N4893">
        <v>1</v>
      </c>
      <c r="O4893">
        <v>0</v>
      </c>
      <c r="P4893">
        <v>0</v>
      </c>
      <c r="Q4893">
        <v>0</v>
      </c>
      <c r="R4893">
        <v>0</v>
      </c>
      <c r="S4893">
        <v>0</v>
      </c>
      <c r="T4893">
        <v>0</v>
      </c>
      <c r="U4893">
        <v>0</v>
      </c>
      <c r="V4893">
        <v>0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0</v>
      </c>
      <c r="AC4893">
        <v>0</v>
      </c>
      <c r="AD4893">
        <v>0</v>
      </c>
      <c r="AE4893">
        <v>0</v>
      </c>
      <c r="AF4893">
        <v>0</v>
      </c>
      <c r="AG4893">
        <v>0</v>
      </c>
      <c r="AH4893">
        <v>0</v>
      </c>
      <c r="AI4893">
        <v>70</v>
      </c>
      <c r="AJ4893">
        <v>1</v>
      </c>
      <c r="AK4893">
        <v>0</v>
      </c>
      <c r="AL4893">
        <v>0</v>
      </c>
      <c r="AM4893">
        <v>70</v>
      </c>
      <c r="AN4893">
        <v>0</v>
      </c>
      <c r="AO4893">
        <v>0</v>
      </c>
      <c r="AP4893">
        <v>0</v>
      </c>
      <c r="AQ4893">
        <v>0</v>
      </c>
      <c r="AS4893">
        <v>0</v>
      </c>
      <c r="AT4893">
        <v>0</v>
      </c>
      <c r="AV4893">
        <v>0</v>
      </c>
      <c r="AW4893">
        <v>0</v>
      </c>
      <c r="AY4893">
        <v>0</v>
      </c>
      <c r="AZ4893">
        <v>0</v>
      </c>
      <c r="BA4893">
        <v>49</v>
      </c>
      <c r="BE4893" t="str">
        <f>T("9791137014381")</f>
        <v>9791137014381</v>
      </c>
      <c r="BF4893" t="str">
        <f>T("D061679")</f>
        <v>D061679</v>
      </c>
      <c r="BG4893" t="str">
        <f>T("판타지 웹소설 &gt; 퓨전 판타지")</f>
        <v>판타지 웹소설 &gt; 퓨전 판타지</v>
      </c>
    </row>
    <row r="4894" spans="1:59">
      <c r="A4894" t="s">
        <v>60</v>
      </c>
      <c r="B4894" s="1">
        <v>46129</v>
      </c>
      <c r="C4894">
        <v>2378044065</v>
      </c>
      <c r="D4894">
        <v>2378077480</v>
      </c>
      <c r="E4894" t="str">
        <f>T("저승의 왕위를 계승했다 670화")</f>
        <v>저승의 왕위를 계승했다 670화</v>
      </c>
      <c r="F4894">
        <v>672</v>
      </c>
      <c r="G4894" t="str">
        <f>T("신타비")</f>
        <v>신타비</v>
      </c>
      <c r="J4894" t="str">
        <f>T("매드햇")</f>
        <v>매드햇</v>
      </c>
      <c r="K4894" t="str">
        <f>T("저승의 왕위를 계승했다")</f>
        <v>저승의 왕위를 계승했다</v>
      </c>
      <c r="L4894">
        <v>100</v>
      </c>
      <c r="M4894">
        <v>70</v>
      </c>
      <c r="N4894">
        <v>1</v>
      </c>
      <c r="O4894">
        <v>0</v>
      </c>
      <c r="P4894">
        <v>0</v>
      </c>
      <c r="Q4894">
        <v>0</v>
      </c>
      <c r="R4894">
        <v>0</v>
      </c>
      <c r="S4894">
        <v>0</v>
      </c>
      <c r="T4894">
        <v>0</v>
      </c>
      <c r="U4894">
        <v>0</v>
      </c>
      <c r="V4894">
        <v>0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0</v>
      </c>
      <c r="AC4894">
        <v>0</v>
      </c>
      <c r="AD4894">
        <v>0</v>
      </c>
      <c r="AE4894">
        <v>0</v>
      </c>
      <c r="AF4894">
        <v>0</v>
      </c>
      <c r="AG4894">
        <v>0</v>
      </c>
      <c r="AH4894">
        <v>0</v>
      </c>
      <c r="AI4894">
        <v>70</v>
      </c>
      <c r="AJ4894">
        <v>1</v>
      </c>
      <c r="AK4894">
        <v>0</v>
      </c>
      <c r="AL4894">
        <v>0</v>
      </c>
      <c r="AM4894">
        <v>70</v>
      </c>
      <c r="AN4894">
        <v>0</v>
      </c>
      <c r="AO4894">
        <v>0</v>
      </c>
      <c r="AP4894">
        <v>0</v>
      </c>
      <c r="AQ4894">
        <v>0</v>
      </c>
      <c r="AS4894">
        <v>0</v>
      </c>
      <c r="AT4894">
        <v>0</v>
      </c>
      <c r="AV4894">
        <v>0</v>
      </c>
      <c r="AW4894">
        <v>0</v>
      </c>
      <c r="AY4894">
        <v>0</v>
      </c>
      <c r="AZ4894">
        <v>0</v>
      </c>
      <c r="BA4894">
        <v>49</v>
      </c>
      <c r="BE4894" t="str">
        <f>T("9791137014381")</f>
        <v>9791137014381</v>
      </c>
      <c r="BF4894" t="str">
        <f>T("D061680")</f>
        <v>D061680</v>
      </c>
      <c r="BG4894" t="str">
        <f>T("판타지 웹소설 &gt; 퓨전 판타지")</f>
        <v>판타지 웹소설 &gt; 퓨전 판타지</v>
      </c>
    </row>
    <row r="4895" spans="1:59">
      <c r="A4895" t="s">
        <v>60</v>
      </c>
      <c r="B4895" s="1">
        <v>46129</v>
      </c>
      <c r="C4895">
        <v>2378044065</v>
      </c>
      <c r="D4895">
        <v>2378077481</v>
      </c>
      <c r="E4895" t="str">
        <f>T("저승의 왕위를 계승했다 671화")</f>
        <v>저승의 왕위를 계승했다 671화</v>
      </c>
      <c r="F4895">
        <v>673</v>
      </c>
      <c r="G4895" t="str">
        <f>T("신타비")</f>
        <v>신타비</v>
      </c>
      <c r="J4895" t="str">
        <f>T("매드햇")</f>
        <v>매드햇</v>
      </c>
      <c r="K4895" t="str">
        <f>T("저승의 왕위를 계승했다")</f>
        <v>저승의 왕위를 계승했다</v>
      </c>
      <c r="L4895">
        <v>100</v>
      </c>
      <c r="M4895">
        <v>70</v>
      </c>
      <c r="N4895">
        <v>1</v>
      </c>
      <c r="O4895">
        <v>0</v>
      </c>
      <c r="P4895">
        <v>0</v>
      </c>
      <c r="Q4895">
        <v>0</v>
      </c>
      <c r="R4895">
        <v>0</v>
      </c>
      <c r="S4895">
        <v>0</v>
      </c>
      <c r="T4895">
        <v>0</v>
      </c>
      <c r="U4895">
        <v>0</v>
      </c>
      <c r="V4895">
        <v>0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0</v>
      </c>
      <c r="AC4895">
        <v>0</v>
      </c>
      <c r="AD4895">
        <v>0</v>
      </c>
      <c r="AE4895">
        <v>0</v>
      </c>
      <c r="AF4895">
        <v>0</v>
      </c>
      <c r="AG4895">
        <v>0</v>
      </c>
      <c r="AH4895">
        <v>0</v>
      </c>
      <c r="AI4895">
        <v>70</v>
      </c>
      <c r="AJ4895">
        <v>1</v>
      </c>
      <c r="AK4895">
        <v>0</v>
      </c>
      <c r="AL4895">
        <v>0</v>
      </c>
      <c r="AM4895">
        <v>70</v>
      </c>
      <c r="AN4895">
        <v>0</v>
      </c>
      <c r="AO4895">
        <v>0</v>
      </c>
      <c r="AP4895">
        <v>0</v>
      </c>
      <c r="AQ4895">
        <v>0</v>
      </c>
      <c r="AS4895">
        <v>0</v>
      </c>
      <c r="AT4895">
        <v>0</v>
      </c>
      <c r="AV4895">
        <v>0</v>
      </c>
      <c r="AW4895">
        <v>0</v>
      </c>
      <c r="AY4895">
        <v>0</v>
      </c>
      <c r="AZ4895">
        <v>0</v>
      </c>
      <c r="BA4895">
        <v>49</v>
      </c>
      <c r="BE4895" t="str">
        <f>T("9791137014381")</f>
        <v>9791137014381</v>
      </c>
      <c r="BF4895" t="str">
        <f>T("D088741")</f>
        <v>D088741</v>
      </c>
      <c r="BG4895" t="str">
        <f>T("판타지 웹소설 &gt; 퓨전 판타지")</f>
        <v>판타지 웹소설 &gt; 퓨전 판타지</v>
      </c>
    </row>
    <row r="4896" spans="1:59">
      <c r="A4896" t="s">
        <v>60</v>
      </c>
      <c r="B4896" s="1">
        <v>46129</v>
      </c>
      <c r="C4896">
        <v>2378044065</v>
      </c>
      <c r="D4896">
        <v>2378077482</v>
      </c>
      <c r="E4896" t="str">
        <f>T("저승의 왕위를 계승했다 672화")</f>
        <v>저승의 왕위를 계승했다 672화</v>
      </c>
      <c r="F4896">
        <v>674</v>
      </c>
      <c r="G4896" t="str">
        <f>T("신타비")</f>
        <v>신타비</v>
      </c>
      <c r="J4896" t="str">
        <f>T("매드햇")</f>
        <v>매드햇</v>
      </c>
      <c r="K4896" t="str">
        <f>T("저승의 왕위를 계승했다")</f>
        <v>저승의 왕위를 계승했다</v>
      </c>
      <c r="L4896">
        <v>100</v>
      </c>
      <c r="M4896">
        <v>70</v>
      </c>
      <c r="N4896">
        <v>1</v>
      </c>
      <c r="O4896">
        <v>0</v>
      </c>
      <c r="P4896">
        <v>0</v>
      </c>
      <c r="Q4896">
        <v>0</v>
      </c>
      <c r="R4896">
        <v>0</v>
      </c>
      <c r="S4896">
        <v>0</v>
      </c>
      <c r="T4896">
        <v>0</v>
      </c>
      <c r="U4896">
        <v>0</v>
      </c>
      <c r="V4896">
        <v>0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0</v>
      </c>
      <c r="AC4896">
        <v>0</v>
      </c>
      <c r="AD4896">
        <v>0</v>
      </c>
      <c r="AE4896">
        <v>0</v>
      </c>
      <c r="AF4896">
        <v>0</v>
      </c>
      <c r="AG4896">
        <v>0</v>
      </c>
      <c r="AH4896">
        <v>0</v>
      </c>
      <c r="AI4896">
        <v>70</v>
      </c>
      <c r="AJ4896">
        <v>1</v>
      </c>
      <c r="AK4896">
        <v>0</v>
      </c>
      <c r="AL4896">
        <v>0</v>
      </c>
      <c r="AM4896">
        <v>70</v>
      </c>
      <c r="AN4896">
        <v>0</v>
      </c>
      <c r="AO4896">
        <v>0</v>
      </c>
      <c r="AP4896">
        <v>0</v>
      </c>
      <c r="AQ4896">
        <v>0</v>
      </c>
      <c r="AS4896">
        <v>0</v>
      </c>
      <c r="AT4896">
        <v>0</v>
      </c>
      <c r="AV4896">
        <v>0</v>
      </c>
      <c r="AW4896">
        <v>0</v>
      </c>
      <c r="AY4896">
        <v>0</v>
      </c>
      <c r="AZ4896">
        <v>0</v>
      </c>
      <c r="BA4896">
        <v>49</v>
      </c>
      <c r="BE4896" t="str">
        <f>T("9791137014381")</f>
        <v>9791137014381</v>
      </c>
      <c r="BF4896" t="str">
        <f>T("D088742")</f>
        <v>D088742</v>
      </c>
      <c r="BG4896" t="str">
        <f>T("판타지 웹소설 &gt; 퓨전 판타지")</f>
        <v>판타지 웹소설 &gt; 퓨전 판타지</v>
      </c>
    </row>
    <row r="4897" spans="1:59">
      <c r="A4897" t="s">
        <v>60</v>
      </c>
      <c r="B4897" s="1">
        <v>46129</v>
      </c>
      <c r="C4897">
        <v>2378044065</v>
      </c>
      <c r="D4897">
        <v>2378077645</v>
      </c>
      <c r="E4897" t="str">
        <f>T("저승의 왕위를 계승했다 673화")</f>
        <v>저승의 왕위를 계승했다 673화</v>
      </c>
      <c r="F4897">
        <v>675</v>
      </c>
      <c r="G4897" t="str">
        <f>T("신타비")</f>
        <v>신타비</v>
      </c>
      <c r="J4897" t="str">
        <f>T("매드햇")</f>
        <v>매드햇</v>
      </c>
      <c r="K4897" t="str">
        <f>T("저승의 왕위를 계승했다")</f>
        <v>저승의 왕위를 계승했다</v>
      </c>
      <c r="L4897">
        <v>100</v>
      </c>
      <c r="M4897">
        <v>70</v>
      </c>
      <c r="N4897">
        <v>1</v>
      </c>
      <c r="O4897">
        <v>0</v>
      </c>
      <c r="P4897">
        <v>0</v>
      </c>
      <c r="Q4897">
        <v>0</v>
      </c>
      <c r="R4897">
        <v>0</v>
      </c>
      <c r="S4897">
        <v>0</v>
      </c>
      <c r="T4897">
        <v>0</v>
      </c>
      <c r="U4897">
        <v>0</v>
      </c>
      <c r="V4897">
        <v>0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0</v>
      </c>
      <c r="AC4897">
        <v>0</v>
      </c>
      <c r="AD4897">
        <v>0</v>
      </c>
      <c r="AE4897">
        <v>0</v>
      </c>
      <c r="AF4897">
        <v>0</v>
      </c>
      <c r="AG4897">
        <v>0</v>
      </c>
      <c r="AH4897">
        <v>0</v>
      </c>
      <c r="AI4897">
        <v>70</v>
      </c>
      <c r="AJ4897">
        <v>1</v>
      </c>
      <c r="AK4897">
        <v>0</v>
      </c>
      <c r="AL4897">
        <v>0</v>
      </c>
      <c r="AM4897">
        <v>70</v>
      </c>
      <c r="AN4897">
        <v>0</v>
      </c>
      <c r="AO4897">
        <v>0</v>
      </c>
      <c r="AP4897">
        <v>0</v>
      </c>
      <c r="AQ4897">
        <v>0</v>
      </c>
      <c r="AS4897">
        <v>0</v>
      </c>
      <c r="AT4897">
        <v>0</v>
      </c>
      <c r="AV4897">
        <v>0</v>
      </c>
      <c r="AW4897">
        <v>0</v>
      </c>
      <c r="AY4897">
        <v>0</v>
      </c>
      <c r="AZ4897">
        <v>0</v>
      </c>
      <c r="BA4897">
        <v>49</v>
      </c>
      <c r="BE4897" t="str">
        <f>T("9791137014381")</f>
        <v>9791137014381</v>
      </c>
      <c r="BF4897" t="str">
        <f>T("D088743")</f>
        <v>D088743</v>
      </c>
      <c r="BG4897" t="str">
        <f>T("판타지 웹소설 &gt; 퓨전 판타지")</f>
        <v>판타지 웹소설 &gt; 퓨전 판타지</v>
      </c>
    </row>
    <row r="4898" spans="1:59">
      <c r="A4898" t="s">
        <v>60</v>
      </c>
      <c r="B4898" s="1">
        <v>46129</v>
      </c>
      <c r="C4898">
        <v>2378044065</v>
      </c>
      <c r="D4898">
        <v>2378077646</v>
      </c>
      <c r="E4898" t="str">
        <f>T("저승의 왕위를 계승했다 674화")</f>
        <v>저승의 왕위를 계승했다 674화</v>
      </c>
      <c r="F4898">
        <v>676</v>
      </c>
      <c r="G4898" t="str">
        <f>T("신타비")</f>
        <v>신타비</v>
      </c>
      <c r="J4898" t="str">
        <f>T("매드햇")</f>
        <v>매드햇</v>
      </c>
      <c r="K4898" t="str">
        <f>T("저승의 왕위를 계승했다")</f>
        <v>저승의 왕위를 계승했다</v>
      </c>
      <c r="L4898">
        <v>100</v>
      </c>
      <c r="M4898">
        <v>70</v>
      </c>
      <c r="N4898">
        <v>1</v>
      </c>
      <c r="O4898">
        <v>0</v>
      </c>
      <c r="P4898">
        <v>0</v>
      </c>
      <c r="Q4898">
        <v>0</v>
      </c>
      <c r="R4898">
        <v>0</v>
      </c>
      <c r="S4898">
        <v>0</v>
      </c>
      <c r="T4898">
        <v>0</v>
      </c>
      <c r="U4898">
        <v>0</v>
      </c>
      <c r="V4898">
        <v>0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0</v>
      </c>
      <c r="AC4898">
        <v>0</v>
      </c>
      <c r="AD4898">
        <v>0</v>
      </c>
      <c r="AE4898">
        <v>0</v>
      </c>
      <c r="AF4898">
        <v>0</v>
      </c>
      <c r="AG4898">
        <v>0</v>
      </c>
      <c r="AH4898">
        <v>0</v>
      </c>
      <c r="AI4898">
        <v>70</v>
      </c>
      <c r="AJ4898">
        <v>1</v>
      </c>
      <c r="AK4898">
        <v>0</v>
      </c>
      <c r="AL4898">
        <v>0</v>
      </c>
      <c r="AM4898">
        <v>70</v>
      </c>
      <c r="AN4898">
        <v>0</v>
      </c>
      <c r="AO4898">
        <v>0</v>
      </c>
      <c r="AP4898">
        <v>0</v>
      </c>
      <c r="AQ4898">
        <v>0</v>
      </c>
      <c r="AS4898">
        <v>0</v>
      </c>
      <c r="AT4898">
        <v>0</v>
      </c>
      <c r="AV4898">
        <v>0</v>
      </c>
      <c r="AW4898">
        <v>0</v>
      </c>
      <c r="AY4898">
        <v>0</v>
      </c>
      <c r="AZ4898">
        <v>0</v>
      </c>
      <c r="BA4898">
        <v>49</v>
      </c>
      <c r="BE4898" t="str">
        <f>T("9791137014381")</f>
        <v>9791137014381</v>
      </c>
      <c r="BF4898" t="str">
        <f>T("D088744")</f>
        <v>D088744</v>
      </c>
      <c r="BG4898" t="str">
        <f>T("판타지 웹소설 &gt; 퓨전 판타지")</f>
        <v>판타지 웹소설 &gt; 퓨전 판타지</v>
      </c>
    </row>
    <row r="4899" spans="1:59">
      <c r="A4899" t="s">
        <v>60</v>
      </c>
      <c r="B4899" s="1">
        <v>46129</v>
      </c>
      <c r="C4899">
        <v>2378044065</v>
      </c>
      <c r="D4899">
        <v>2378077647</v>
      </c>
      <c r="E4899" t="str">
        <f>T("저승의 왕위를 계승했다 675화")</f>
        <v>저승의 왕위를 계승했다 675화</v>
      </c>
      <c r="F4899">
        <v>677</v>
      </c>
      <c r="G4899" t="str">
        <f>T("신타비")</f>
        <v>신타비</v>
      </c>
      <c r="J4899" t="str">
        <f>T("매드햇")</f>
        <v>매드햇</v>
      </c>
      <c r="K4899" t="str">
        <f>T("저승의 왕위를 계승했다")</f>
        <v>저승의 왕위를 계승했다</v>
      </c>
      <c r="L4899">
        <v>100</v>
      </c>
      <c r="M4899">
        <v>70</v>
      </c>
      <c r="N4899">
        <v>1</v>
      </c>
      <c r="O4899">
        <v>0</v>
      </c>
      <c r="P4899">
        <v>0</v>
      </c>
      <c r="Q4899">
        <v>0</v>
      </c>
      <c r="R4899">
        <v>0</v>
      </c>
      <c r="S4899">
        <v>0</v>
      </c>
      <c r="T4899">
        <v>0</v>
      </c>
      <c r="U4899">
        <v>0</v>
      </c>
      <c r="V4899">
        <v>0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0</v>
      </c>
      <c r="AC4899">
        <v>0</v>
      </c>
      <c r="AD4899">
        <v>0</v>
      </c>
      <c r="AE4899">
        <v>0</v>
      </c>
      <c r="AF4899">
        <v>0</v>
      </c>
      <c r="AG4899">
        <v>0</v>
      </c>
      <c r="AH4899">
        <v>0</v>
      </c>
      <c r="AI4899">
        <v>70</v>
      </c>
      <c r="AJ4899">
        <v>1</v>
      </c>
      <c r="AK4899">
        <v>0</v>
      </c>
      <c r="AL4899">
        <v>0</v>
      </c>
      <c r="AM4899">
        <v>70</v>
      </c>
      <c r="AN4899">
        <v>0</v>
      </c>
      <c r="AO4899">
        <v>0</v>
      </c>
      <c r="AP4899">
        <v>0</v>
      </c>
      <c r="AQ4899">
        <v>0</v>
      </c>
      <c r="AS4899">
        <v>0</v>
      </c>
      <c r="AT4899">
        <v>0</v>
      </c>
      <c r="AV4899">
        <v>0</v>
      </c>
      <c r="AW4899">
        <v>0</v>
      </c>
      <c r="AY4899">
        <v>0</v>
      </c>
      <c r="AZ4899">
        <v>0</v>
      </c>
      <c r="BA4899">
        <v>49</v>
      </c>
      <c r="BE4899" t="str">
        <f>T("9791137014381")</f>
        <v>9791137014381</v>
      </c>
      <c r="BF4899" t="str">
        <f>T("D088745")</f>
        <v>D088745</v>
      </c>
      <c r="BG4899" t="str">
        <f>T("판타지 웹소설 &gt; 퓨전 판타지")</f>
        <v>판타지 웹소설 &gt; 퓨전 판타지</v>
      </c>
    </row>
    <row r="4900" spans="1:59">
      <c r="A4900" t="s">
        <v>60</v>
      </c>
      <c r="B4900" s="1">
        <v>46129</v>
      </c>
      <c r="C4900">
        <v>2378044065</v>
      </c>
      <c r="D4900">
        <v>2378077648</v>
      </c>
      <c r="E4900" t="str">
        <f>T("저승의 왕위를 계승했다 676화")</f>
        <v>저승의 왕위를 계승했다 676화</v>
      </c>
      <c r="F4900">
        <v>678</v>
      </c>
      <c r="G4900" t="str">
        <f>T("신타비")</f>
        <v>신타비</v>
      </c>
      <c r="J4900" t="str">
        <f>T("매드햇")</f>
        <v>매드햇</v>
      </c>
      <c r="K4900" t="str">
        <f>T("저승의 왕위를 계승했다")</f>
        <v>저승의 왕위를 계승했다</v>
      </c>
      <c r="L4900">
        <v>100</v>
      </c>
      <c r="M4900">
        <v>70</v>
      </c>
      <c r="N4900">
        <v>1</v>
      </c>
      <c r="O4900">
        <v>0</v>
      </c>
      <c r="P4900">
        <v>0</v>
      </c>
      <c r="Q4900">
        <v>0</v>
      </c>
      <c r="R4900">
        <v>0</v>
      </c>
      <c r="S4900">
        <v>0</v>
      </c>
      <c r="T4900">
        <v>0</v>
      </c>
      <c r="U4900">
        <v>0</v>
      </c>
      <c r="V4900">
        <v>0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0</v>
      </c>
      <c r="AC4900">
        <v>0</v>
      </c>
      <c r="AD4900">
        <v>0</v>
      </c>
      <c r="AE4900">
        <v>0</v>
      </c>
      <c r="AF4900">
        <v>0</v>
      </c>
      <c r="AG4900">
        <v>0</v>
      </c>
      <c r="AH4900">
        <v>0</v>
      </c>
      <c r="AI4900">
        <v>70</v>
      </c>
      <c r="AJ4900">
        <v>1</v>
      </c>
      <c r="AK4900">
        <v>0</v>
      </c>
      <c r="AL4900">
        <v>0</v>
      </c>
      <c r="AM4900">
        <v>70</v>
      </c>
      <c r="AN4900">
        <v>0</v>
      </c>
      <c r="AO4900">
        <v>0</v>
      </c>
      <c r="AP4900">
        <v>0</v>
      </c>
      <c r="AQ4900">
        <v>0</v>
      </c>
      <c r="AS4900">
        <v>0</v>
      </c>
      <c r="AT4900">
        <v>0</v>
      </c>
      <c r="AV4900">
        <v>0</v>
      </c>
      <c r="AW4900">
        <v>0</v>
      </c>
      <c r="AY4900">
        <v>0</v>
      </c>
      <c r="AZ4900">
        <v>0</v>
      </c>
      <c r="BA4900">
        <v>49</v>
      </c>
      <c r="BE4900" t="str">
        <f>T("9791137014381")</f>
        <v>9791137014381</v>
      </c>
      <c r="BF4900" t="str">
        <f>T("D088746")</f>
        <v>D088746</v>
      </c>
      <c r="BG4900" t="str">
        <f>T("판타지 웹소설 &gt; 퓨전 판타지")</f>
        <v>판타지 웹소설 &gt; 퓨전 판타지</v>
      </c>
    </row>
    <row r="4901" spans="1:59">
      <c r="A4901" t="s">
        <v>60</v>
      </c>
      <c r="B4901" s="1">
        <v>46129</v>
      </c>
      <c r="C4901">
        <v>2378044065</v>
      </c>
      <c r="D4901">
        <v>2378077688</v>
      </c>
      <c r="E4901" t="str">
        <f>T("저승의 왕위를 계승했다 677화")</f>
        <v>저승의 왕위를 계승했다 677화</v>
      </c>
      <c r="F4901">
        <v>679</v>
      </c>
      <c r="G4901" t="str">
        <f>T("신타비")</f>
        <v>신타비</v>
      </c>
      <c r="J4901" t="str">
        <f>T("매드햇")</f>
        <v>매드햇</v>
      </c>
      <c r="K4901" t="str">
        <f>T("저승의 왕위를 계승했다")</f>
        <v>저승의 왕위를 계승했다</v>
      </c>
      <c r="L4901">
        <v>100</v>
      </c>
      <c r="M4901">
        <v>70</v>
      </c>
      <c r="N4901">
        <v>1</v>
      </c>
      <c r="O4901">
        <v>0</v>
      </c>
      <c r="P4901">
        <v>0</v>
      </c>
      <c r="Q4901">
        <v>0</v>
      </c>
      <c r="R4901">
        <v>0</v>
      </c>
      <c r="S4901">
        <v>0</v>
      </c>
      <c r="T4901">
        <v>0</v>
      </c>
      <c r="U4901">
        <v>0</v>
      </c>
      <c r="V4901">
        <v>0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0</v>
      </c>
      <c r="AC4901">
        <v>0</v>
      </c>
      <c r="AD4901">
        <v>0</v>
      </c>
      <c r="AE4901">
        <v>0</v>
      </c>
      <c r="AF4901">
        <v>0</v>
      </c>
      <c r="AG4901">
        <v>0</v>
      </c>
      <c r="AH4901">
        <v>0</v>
      </c>
      <c r="AI4901">
        <v>70</v>
      </c>
      <c r="AJ4901">
        <v>1</v>
      </c>
      <c r="AK4901">
        <v>0</v>
      </c>
      <c r="AL4901">
        <v>0</v>
      </c>
      <c r="AM4901">
        <v>70</v>
      </c>
      <c r="AN4901">
        <v>0</v>
      </c>
      <c r="AO4901">
        <v>0</v>
      </c>
      <c r="AP4901">
        <v>0</v>
      </c>
      <c r="AQ4901">
        <v>0</v>
      </c>
      <c r="AS4901">
        <v>0</v>
      </c>
      <c r="AT4901">
        <v>0</v>
      </c>
      <c r="AV4901">
        <v>0</v>
      </c>
      <c r="AW4901">
        <v>0</v>
      </c>
      <c r="AY4901">
        <v>0</v>
      </c>
      <c r="AZ4901">
        <v>0</v>
      </c>
      <c r="BA4901">
        <v>49</v>
      </c>
      <c r="BE4901" t="str">
        <f>T("9791137014381")</f>
        <v>9791137014381</v>
      </c>
      <c r="BF4901" t="str">
        <f>T("D088747")</f>
        <v>D088747</v>
      </c>
      <c r="BG4901" t="str">
        <f>T("판타지 웹소설 &gt; 퓨전 판타지")</f>
        <v>판타지 웹소설 &gt; 퓨전 판타지</v>
      </c>
    </row>
    <row r="4902" spans="1:59">
      <c r="A4902" t="s">
        <v>60</v>
      </c>
      <c r="B4902" s="1">
        <v>46129</v>
      </c>
      <c r="C4902">
        <v>2378044065</v>
      </c>
      <c r="D4902">
        <v>2378077689</v>
      </c>
      <c r="E4902" t="str">
        <f>T("저승의 왕위를 계승했다 678화")</f>
        <v>저승의 왕위를 계승했다 678화</v>
      </c>
      <c r="F4902">
        <v>680</v>
      </c>
      <c r="G4902" t="str">
        <f>T("신타비")</f>
        <v>신타비</v>
      </c>
      <c r="J4902" t="str">
        <f>T("매드햇")</f>
        <v>매드햇</v>
      </c>
      <c r="K4902" t="str">
        <f>T("저승의 왕위를 계승했다")</f>
        <v>저승의 왕위를 계승했다</v>
      </c>
      <c r="L4902">
        <v>100</v>
      </c>
      <c r="M4902">
        <v>70</v>
      </c>
      <c r="N4902">
        <v>1</v>
      </c>
      <c r="O4902">
        <v>0</v>
      </c>
      <c r="P4902">
        <v>0</v>
      </c>
      <c r="Q4902">
        <v>0</v>
      </c>
      <c r="R4902">
        <v>0</v>
      </c>
      <c r="S4902">
        <v>0</v>
      </c>
      <c r="T4902">
        <v>0</v>
      </c>
      <c r="U4902">
        <v>0</v>
      </c>
      <c r="V4902">
        <v>0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0</v>
      </c>
      <c r="AC4902">
        <v>0</v>
      </c>
      <c r="AD4902">
        <v>0</v>
      </c>
      <c r="AE4902">
        <v>0</v>
      </c>
      <c r="AF4902">
        <v>0</v>
      </c>
      <c r="AG4902">
        <v>0</v>
      </c>
      <c r="AH4902">
        <v>0</v>
      </c>
      <c r="AI4902">
        <v>70</v>
      </c>
      <c r="AJ4902">
        <v>1</v>
      </c>
      <c r="AK4902">
        <v>0</v>
      </c>
      <c r="AL4902">
        <v>0</v>
      </c>
      <c r="AM4902">
        <v>70</v>
      </c>
      <c r="AN4902">
        <v>0</v>
      </c>
      <c r="AO4902">
        <v>0</v>
      </c>
      <c r="AP4902">
        <v>0</v>
      </c>
      <c r="AQ4902">
        <v>0</v>
      </c>
      <c r="AS4902">
        <v>0</v>
      </c>
      <c r="AT4902">
        <v>0</v>
      </c>
      <c r="AV4902">
        <v>0</v>
      </c>
      <c r="AW4902">
        <v>0</v>
      </c>
      <c r="AY4902">
        <v>0</v>
      </c>
      <c r="AZ4902">
        <v>0</v>
      </c>
      <c r="BA4902">
        <v>49</v>
      </c>
      <c r="BE4902" t="str">
        <f>T("9791137014381")</f>
        <v>9791137014381</v>
      </c>
      <c r="BF4902" t="str">
        <f>T("D088748")</f>
        <v>D088748</v>
      </c>
      <c r="BG4902" t="str">
        <f>T("판타지 웹소설 &gt; 퓨전 판타지")</f>
        <v>판타지 웹소설 &gt; 퓨전 판타지</v>
      </c>
    </row>
    <row r="4903" spans="1:59">
      <c r="A4903" t="s">
        <v>60</v>
      </c>
      <c r="B4903" s="1">
        <v>46129</v>
      </c>
      <c r="C4903">
        <v>2378044065</v>
      </c>
      <c r="D4903">
        <v>2378077690</v>
      </c>
      <c r="E4903" t="str">
        <f>T("저승의 왕위를 계승했다 679화")</f>
        <v>저승의 왕위를 계승했다 679화</v>
      </c>
      <c r="F4903">
        <v>681</v>
      </c>
      <c r="G4903" t="str">
        <f>T("신타비")</f>
        <v>신타비</v>
      </c>
      <c r="J4903" t="str">
        <f>T("매드햇")</f>
        <v>매드햇</v>
      </c>
      <c r="K4903" t="str">
        <f>T("저승의 왕위를 계승했다")</f>
        <v>저승의 왕위를 계승했다</v>
      </c>
      <c r="L4903">
        <v>100</v>
      </c>
      <c r="M4903">
        <v>70</v>
      </c>
      <c r="N4903">
        <v>1</v>
      </c>
      <c r="O4903">
        <v>0</v>
      </c>
      <c r="P4903">
        <v>0</v>
      </c>
      <c r="Q4903">
        <v>0</v>
      </c>
      <c r="R4903">
        <v>0</v>
      </c>
      <c r="S4903">
        <v>0</v>
      </c>
      <c r="T4903">
        <v>0</v>
      </c>
      <c r="U4903">
        <v>0</v>
      </c>
      <c r="V4903">
        <v>0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0</v>
      </c>
      <c r="AC4903">
        <v>0</v>
      </c>
      <c r="AD4903">
        <v>0</v>
      </c>
      <c r="AE4903">
        <v>0</v>
      </c>
      <c r="AF4903">
        <v>0</v>
      </c>
      <c r="AG4903">
        <v>0</v>
      </c>
      <c r="AH4903">
        <v>0</v>
      </c>
      <c r="AI4903">
        <v>70</v>
      </c>
      <c r="AJ4903">
        <v>1</v>
      </c>
      <c r="AK4903">
        <v>0</v>
      </c>
      <c r="AL4903">
        <v>0</v>
      </c>
      <c r="AM4903">
        <v>70</v>
      </c>
      <c r="AN4903">
        <v>0</v>
      </c>
      <c r="AO4903">
        <v>0</v>
      </c>
      <c r="AP4903">
        <v>0</v>
      </c>
      <c r="AQ4903">
        <v>0</v>
      </c>
      <c r="AS4903">
        <v>0</v>
      </c>
      <c r="AT4903">
        <v>0</v>
      </c>
      <c r="AV4903">
        <v>0</v>
      </c>
      <c r="AW4903">
        <v>0</v>
      </c>
      <c r="AY4903">
        <v>0</v>
      </c>
      <c r="AZ4903">
        <v>0</v>
      </c>
      <c r="BA4903">
        <v>49</v>
      </c>
      <c r="BE4903" t="str">
        <f>T("9791137014381")</f>
        <v>9791137014381</v>
      </c>
      <c r="BF4903" t="str">
        <f>T("D088749")</f>
        <v>D088749</v>
      </c>
      <c r="BG4903" t="str">
        <f>T("판타지 웹소설 &gt; 퓨전 판타지")</f>
        <v>판타지 웹소설 &gt; 퓨전 판타지</v>
      </c>
    </row>
    <row r="4904" spans="1:59">
      <c r="A4904" t="s">
        <v>60</v>
      </c>
      <c r="B4904" s="1">
        <v>46129</v>
      </c>
      <c r="C4904">
        <v>2378044065</v>
      </c>
      <c r="D4904">
        <v>2378077691</v>
      </c>
      <c r="E4904" t="str">
        <f>T("저승의 왕위를 계승했다 680화")</f>
        <v>저승의 왕위를 계승했다 680화</v>
      </c>
      <c r="F4904">
        <v>682</v>
      </c>
      <c r="G4904" t="str">
        <f>T("신타비")</f>
        <v>신타비</v>
      </c>
      <c r="J4904" t="str">
        <f>T("매드햇")</f>
        <v>매드햇</v>
      </c>
      <c r="K4904" t="str">
        <f>T("저승의 왕위를 계승했다")</f>
        <v>저승의 왕위를 계승했다</v>
      </c>
      <c r="L4904">
        <v>100</v>
      </c>
      <c r="M4904">
        <v>70</v>
      </c>
      <c r="N4904">
        <v>1</v>
      </c>
      <c r="O4904">
        <v>0</v>
      </c>
      <c r="P4904">
        <v>0</v>
      </c>
      <c r="Q4904">
        <v>0</v>
      </c>
      <c r="R4904">
        <v>0</v>
      </c>
      <c r="S4904">
        <v>0</v>
      </c>
      <c r="T4904">
        <v>0</v>
      </c>
      <c r="U4904">
        <v>0</v>
      </c>
      <c r="V4904">
        <v>0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0</v>
      </c>
      <c r="AC4904">
        <v>0</v>
      </c>
      <c r="AD4904">
        <v>0</v>
      </c>
      <c r="AE4904">
        <v>0</v>
      </c>
      <c r="AF4904">
        <v>0</v>
      </c>
      <c r="AG4904">
        <v>0</v>
      </c>
      <c r="AH4904">
        <v>0</v>
      </c>
      <c r="AI4904">
        <v>70</v>
      </c>
      <c r="AJ4904">
        <v>1</v>
      </c>
      <c r="AK4904">
        <v>0</v>
      </c>
      <c r="AL4904">
        <v>0</v>
      </c>
      <c r="AM4904">
        <v>70</v>
      </c>
      <c r="AN4904">
        <v>0</v>
      </c>
      <c r="AO4904">
        <v>0</v>
      </c>
      <c r="AP4904">
        <v>0</v>
      </c>
      <c r="AQ4904">
        <v>0</v>
      </c>
      <c r="AS4904">
        <v>0</v>
      </c>
      <c r="AT4904">
        <v>0</v>
      </c>
      <c r="AV4904">
        <v>0</v>
      </c>
      <c r="AW4904">
        <v>0</v>
      </c>
      <c r="AY4904">
        <v>0</v>
      </c>
      <c r="AZ4904">
        <v>0</v>
      </c>
      <c r="BA4904">
        <v>49</v>
      </c>
      <c r="BE4904" t="str">
        <f>T("9791137014381")</f>
        <v>9791137014381</v>
      </c>
      <c r="BF4904" t="str">
        <f>T("D088750")</f>
        <v>D088750</v>
      </c>
      <c r="BG4904" t="str">
        <f>T("판타지 웹소설 &gt; 퓨전 판타지")</f>
        <v>판타지 웹소설 &gt; 퓨전 판타지</v>
      </c>
    </row>
    <row r="4905" spans="1:59">
      <c r="A4905" t="s">
        <v>60</v>
      </c>
      <c r="B4905" s="1">
        <v>46129</v>
      </c>
      <c r="C4905">
        <v>2378044065</v>
      </c>
      <c r="D4905">
        <v>2378077747</v>
      </c>
      <c r="E4905" t="str">
        <f>T("저승의 왕위를 계승했다 681화")</f>
        <v>저승의 왕위를 계승했다 681화</v>
      </c>
      <c r="F4905">
        <v>683</v>
      </c>
      <c r="G4905" t="str">
        <f>T("신타비")</f>
        <v>신타비</v>
      </c>
      <c r="J4905" t="str">
        <f>T("매드햇")</f>
        <v>매드햇</v>
      </c>
      <c r="K4905" t="str">
        <f>T("저승의 왕위를 계승했다")</f>
        <v>저승의 왕위를 계승했다</v>
      </c>
      <c r="L4905">
        <v>100</v>
      </c>
      <c r="M4905">
        <v>70</v>
      </c>
      <c r="N4905">
        <v>1</v>
      </c>
      <c r="O4905">
        <v>0</v>
      </c>
      <c r="P4905">
        <v>0</v>
      </c>
      <c r="Q4905">
        <v>0</v>
      </c>
      <c r="R4905">
        <v>0</v>
      </c>
      <c r="S4905">
        <v>0</v>
      </c>
      <c r="T4905">
        <v>0</v>
      </c>
      <c r="U4905">
        <v>0</v>
      </c>
      <c r="V4905">
        <v>0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0</v>
      </c>
      <c r="AC4905">
        <v>0</v>
      </c>
      <c r="AD4905">
        <v>0</v>
      </c>
      <c r="AE4905">
        <v>0</v>
      </c>
      <c r="AF4905">
        <v>0</v>
      </c>
      <c r="AG4905">
        <v>0</v>
      </c>
      <c r="AH4905">
        <v>0</v>
      </c>
      <c r="AI4905">
        <v>70</v>
      </c>
      <c r="AJ4905">
        <v>1</v>
      </c>
      <c r="AK4905">
        <v>0</v>
      </c>
      <c r="AL4905">
        <v>0</v>
      </c>
      <c r="AM4905">
        <v>70</v>
      </c>
      <c r="AN4905">
        <v>0</v>
      </c>
      <c r="AO4905">
        <v>0</v>
      </c>
      <c r="AP4905">
        <v>0</v>
      </c>
      <c r="AQ4905">
        <v>0</v>
      </c>
      <c r="AS4905">
        <v>0</v>
      </c>
      <c r="AT4905">
        <v>0</v>
      </c>
      <c r="AV4905">
        <v>0</v>
      </c>
      <c r="AW4905">
        <v>0</v>
      </c>
      <c r="AY4905">
        <v>0</v>
      </c>
      <c r="AZ4905">
        <v>0</v>
      </c>
      <c r="BA4905">
        <v>49</v>
      </c>
      <c r="BE4905" t="str">
        <f>T("9791137014381")</f>
        <v>9791137014381</v>
      </c>
      <c r="BF4905" t="str">
        <f>T("D088751")</f>
        <v>D088751</v>
      </c>
      <c r="BG4905" t="str">
        <f>T("판타지 웹소설 &gt; 퓨전 판타지")</f>
        <v>판타지 웹소설 &gt; 퓨전 판타지</v>
      </c>
    </row>
    <row r="4906" spans="1:59">
      <c r="A4906" t="s">
        <v>60</v>
      </c>
      <c r="B4906" s="1">
        <v>46129</v>
      </c>
      <c r="C4906">
        <v>2378044065</v>
      </c>
      <c r="D4906">
        <v>2378077753</v>
      </c>
      <c r="E4906" t="str">
        <f>T("저승의 왕위를 계승했다 682화")</f>
        <v>저승의 왕위를 계승했다 682화</v>
      </c>
      <c r="F4906">
        <v>684</v>
      </c>
      <c r="G4906" t="str">
        <f>T("신타비")</f>
        <v>신타비</v>
      </c>
      <c r="J4906" t="str">
        <f>T("매드햇")</f>
        <v>매드햇</v>
      </c>
      <c r="K4906" t="str">
        <f>T("저승의 왕위를 계승했다")</f>
        <v>저승의 왕위를 계승했다</v>
      </c>
      <c r="L4906">
        <v>100</v>
      </c>
      <c r="M4906">
        <v>70</v>
      </c>
      <c r="N4906">
        <v>1</v>
      </c>
      <c r="O4906">
        <v>0</v>
      </c>
      <c r="P4906">
        <v>0</v>
      </c>
      <c r="Q4906">
        <v>0</v>
      </c>
      <c r="R4906">
        <v>0</v>
      </c>
      <c r="S4906">
        <v>0</v>
      </c>
      <c r="T4906">
        <v>0</v>
      </c>
      <c r="U4906">
        <v>0</v>
      </c>
      <c r="V4906">
        <v>0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0</v>
      </c>
      <c r="AC4906">
        <v>0</v>
      </c>
      <c r="AD4906">
        <v>0</v>
      </c>
      <c r="AE4906">
        <v>0</v>
      </c>
      <c r="AF4906">
        <v>0</v>
      </c>
      <c r="AG4906">
        <v>0</v>
      </c>
      <c r="AH4906">
        <v>0</v>
      </c>
      <c r="AI4906">
        <v>70</v>
      </c>
      <c r="AJ4906">
        <v>1</v>
      </c>
      <c r="AK4906">
        <v>0</v>
      </c>
      <c r="AL4906">
        <v>0</v>
      </c>
      <c r="AM4906">
        <v>70</v>
      </c>
      <c r="AN4906">
        <v>0</v>
      </c>
      <c r="AO4906">
        <v>0</v>
      </c>
      <c r="AP4906">
        <v>0</v>
      </c>
      <c r="AQ4906">
        <v>0</v>
      </c>
      <c r="AS4906">
        <v>0</v>
      </c>
      <c r="AT4906">
        <v>0</v>
      </c>
      <c r="AV4906">
        <v>0</v>
      </c>
      <c r="AW4906">
        <v>0</v>
      </c>
      <c r="AY4906">
        <v>0</v>
      </c>
      <c r="AZ4906">
        <v>0</v>
      </c>
      <c r="BA4906">
        <v>49</v>
      </c>
      <c r="BE4906" t="str">
        <f>T("9791137014381")</f>
        <v>9791137014381</v>
      </c>
      <c r="BF4906" t="str">
        <f>T("D088752")</f>
        <v>D088752</v>
      </c>
      <c r="BG4906" t="str">
        <f>T("판타지 웹소설 &gt; 퓨전 판타지")</f>
        <v>판타지 웹소설 &gt; 퓨전 판타지</v>
      </c>
    </row>
    <row r="4907" spans="1:59">
      <c r="A4907" t="s">
        <v>60</v>
      </c>
      <c r="B4907" s="1">
        <v>46129</v>
      </c>
      <c r="C4907">
        <v>2378044065</v>
      </c>
      <c r="D4907">
        <v>2378077754</v>
      </c>
      <c r="E4907" t="str">
        <f>T("저승의 왕위를 계승했다 683화")</f>
        <v>저승의 왕위를 계승했다 683화</v>
      </c>
      <c r="F4907">
        <v>685</v>
      </c>
      <c r="G4907" t="str">
        <f>T("신타비")</f>
        <v>신타비</v>
      </c>
      <c r="J4907" t="str">
        <f>T("매드햇")</f>
        <v>매드햇</v>
      </c>
      <c r="K4907" t="str">
        <f>T("저승의 왕위를 계승했다")</f>
        <v>저승의 왕위를 계승했다</v>
      </c>
      <c r="L4907">
        <v>100</v>
      </c>
      <c r="M4907">
        <v>70</v>
      </c>
      <c r="N4907">
        <v>1</v>
      </c>
      <c r="O4907">
        <v>0</v>
      </c>
      <c r="P4907">
        <v>0</v>
      </c>
      <c r="Q4907">
        <v>0</v>
      </c>
      <c r="R4907">
        <v>0</v>
      </c>
      <c r="S4907">
        <v>0</v>
      </c>
      <c r="T4907">
        <v>0</v>
      </c>
      <c r="U4907">
        <v>0</v>
      </c>
      <c r="V4907">
        <v>0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0</v>
      </c>
      <c r="AC4907">
        <v>0</v>
      </c>
      <c r="AD4907">
        <v>0</v>
      </c>
      <c r="AE4907">
        <v>0</v>
      </c>
      <c r="AF4907">
        <v>0</v>
      </c>
      <c r="AG4907">
        <v>0</v>
      </c>
      <c r="AH4907">
        <v>0</v>
      </c>
      <c r="AI4907">
        <v>70</v>
      </c>
      <c r="AJ4907">
        <v>1</v>
      </c>
      <c r="AK4907">
        <v>0</v>
      </c>
      <c r="AL4907">
        <v>0</v>
      </c>
      <c r="AM4907">
        <v>70</v>
      </c>
      <c r="AN4907">
        <v>0</v>
      </c>
      <c r="AO4907">
        <v>0</v>
      </c>
      <c r="AP4907">
        <v>0</v>
      </c>
      <c r="AQ4907">
        <v>0</v>
      </c>
      <c r="AS4907">
        <v>0</v>
      </c>
      <c r="AT4907">
        <v>0</v>
      </c>
      <c r="AV4907">
        <v>0</v>
      </c>
      <c r="AW4907">
        <v>0</v>
      </c>
      <c r="AY4907">
        <v>0</v>
      </c>
      <c r="AZ4907">
        <v>0</v>
      </c>
      <c r="BA4907">
        <v>49</v>
      </c>
      <c r="BE4907" t="str">
        <f>T("9791137014381")</f>
        <v>9791137014381</v>
      </c>
      <c r="BF4907" t="str">
        <f>T("D088753")</f>
        <v>D088753</v>
      </c>
      <c r="BG4907" t="str">
        <f>T("판타지 웹소설 &gt; 퓨전 판타지")</f>
        <v>판타지 웹소설 &gt; 퓨전 판타지</v>
      </c>
    </row>
    <row r="4908" spans="1:59">
      <c r="A4908" t="s">
        <v>60</v>
      </c>
      <c r="B4908" s="1">
        <v>46129</v>
      </c>
      <c r="C4908">
        <v>2378044065</v>
      </c>
      <c r="D4908">
        <v>2378077755</v>
      </c>
      <c r="E4908" t="str">
        <f>T("저승의 왕위를 계승했다 684화")</f>
        <v>저승의 왕위를 계승했다 684화</v>
      </c>
      <c r="F4908">
        <v>686</v>
      </c>
      <c r="G4908" t="str">
        <f>T("신타비")</f>
        <v>신타비</v>
      </c>
      <c r="J4908" t="str">
        <f>T("매드햇")</f>
        <v>매드햇</v>
      </c>
      <c r="K4908" t="str">
        <f>T("저승의 왕위를 계승했다")</f>
        <v>저승의 왕위를 계승했다</v>
      </c>
      <c r="L4908">
        <v>100</v>
      </c>
      <c r="M4908">
        <v>70</v>
      </c>
      <c r="N4908">
        <v>1</v>
      </c>
      <c r="O4908">
        <v>0</v>
      </c>
      <c r="P4908">
        <v>0</v>
      </c>
      <c r="Q4908">
        <v>0</v>
      </c>
      <c r="R4908">
        <v>0</v>
      </c>
      <c r="S4908">
        <v>0</v>
      </c>
      <c r="T4908">
        <v>0</v>
      </c>
      <c r="U4908">
        <v>0</v>
      </c>
      <c r="V4908">
        <v>0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0</v>
      </c>
      <c r="AC4908">
        <v>0</v>
      </c>
      <c r="AD4908">
        <v>0</v>
      </c>
      <c r="AE4908">
        <v>0</v>
      </c>
      <c r="AF4908">
        <v>0</v>
      </c>
      <c r="AG4908">
        <v>0</v>
      </c>
      <c r="AH4908">
        <v>0</v>
      </c>
      <c r="AI4908">
        <v>70</v>
      </c>
      <c r="AJ4908">
        <v>1</v>
      </c>
      <c r="AK4908">
        <v>0</v>
      </c>
      <c r="AL4908">
        <v>0</v>
      </c>
      <c r="AM4908">
        <v>70</v>
      </c>
      <c r="AN4908">
        <v>0</v>
      </c>
      <c r="AO4908">
        <v>0</v>
      </c>
      <c r="AP4908">
        <v>0</v>
      </c>
      <c r="AQ4908">
        <v>0</v>
      </c>
      <c r="AS4908">
        <v>0</v>
      </c>
      <c r="AT4908">
        <v>0</v>
      </c>
      <c r="AV4908">
        <v>0</v>
      </c>
      <c r="AW4908">
        <v>0</v>
      </c>
      <c r="AY4908">
        <v>0</v>
      </c>
      <c r="AZ4908">
        <v>0</v>
      </c>
      <c r="BA4908">
        <v>49</v>
      </c>
      <c r="BE4908" t="str">
        <f>T("9791137014381")</f>
        <v>9791137014381</v>
      </c>
      <c r="BF4908" t="str">
        <f>T("D088754")</f>
        <v>D088754</v>
      </c>
      <c r="BG4908" t="str">
        <f>T("판타지 웹소설 &gt; 퓨전 판타지")</f>
        <v>판타지 웹소설 &gt; 퓨전 판타지</v>
      </c>
    </row>
    <row r="4909" spans="1:59">
      <c r="A4909" t="s">
        <v>60</v>
      </c>
      <c r="B4909" s="1">
        <v>46129</v>
      </c>
      <c r="C4909">
        <v>2378044065</v>
      </c>
      <c r="D4909">
        <v>2378077907</v>
      </c>
      <c r="E4909" t="str">
        <f>T("저승의 왕위를 계승했다 685화")</f>
        <v>저승의 왕위를 계승했다 685화</v>
      </c>
      <c r="F4909">
        <v>687</v>
      </c>
      <c r="G4909" t="str">
        <f>T("신타비")</f>
        <v>신타비</v>
      </c>
      <c r="J4909" t="str">
        <f>T("매드햇")</f>
        <v>매드햇</v>
      </c>
      <c r="K4909" t="str">
        <f>T("저승의 왕위를 계승했다")</f>
        <v>저승의 왕위를 계승했다</v>
      </c>
      <c r="L4909">
        <v>100</v>
      </c>
      <c r="M4909">
        <v>70</v>
      </c>
      <c r="N4909">
        <v>1</v>
      </c>
      <c r="O4909">
        <v>0</v>
      </c>
      <c r="P4909">
        <v>0</v>
      </c>
      <c r="Q4909">
        <v>0</v>
      </c>
      <c r="R4909">
        <v>0</v>
      </c>
      <c r="S4909">
        <v>0</v>
      </c>
      <c r="T4909">
        <v>0</v>
      </c>
      <c r="U4909">
        <v>0</v>
      </c>
      <c r="V4909">
        <v>0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0</v>
      </c>
      <c r="AC4909">
        <v>0</v>
      </c>
      <c r="AD4909">
        <v>0</v>
      </c>
      <c r="AE4909">
        <v>0</v>
      </c>
      <c r="AF4909">
        <v>0</v>
      </c>
      <c r="AG4909">
        <v>0</v>
      </c>
      <c r="AH4909">
        <v>0</v>
      </c>
      <c r="AI4909">
        <v>70</v>
      </c>
      <c r="AJ4909">
        <v>1</v>
      </c>
      <c r="AK4909">
        <v>0</v>
      </c>
      <c r="AL4909">
        <v>0</v>
      </c>
      <c r="AM4909">
        <v>70</v>
      </c>
      <c r="AN4909">
        <v>0</v>
      </c>
      <c r="AO4909">
        <v>0</v>
      </c>
      <c r="AP4909">
        <v>0</v>
      </c>
      <c r="AQ4909">
        <v>0</v>
      </c>
      <c r="AS4909">
        <v>0</v>
      </c>
      <c r="AT4909">
        <v>0</v>
      </c>
      <c r="AV4909">
        <v>0</v>
      </c>
      <c r="AW4909">
        <v>0</v>
      </c>
      <c r="AY4909">
        <v>0</v>
      </c>
      <c r="AZ4909">
        <v>0</v>
      </c>
      <c r="BA4909">
        <v>49</v>
      </c>
      <c r="BE4909" t="str">
        <f>T("9791137014381")</f>
        <v>9791137014381</v>
      </c>
      <c r="BF4909" t="str">
        <f>T("D088755")</f>
        <v>D088755</v>
      </c>
      <c r="BG4909" t="str">
        <f>T("판타지 웹소설 &gt; 퓨전 판타지")</f>
        <v>판타지 웹소설 &gt; 퓨전 판타지</v>
      </c>
    </row>
    <row r="4910" spans="1:59">
      <c r="A4910" t="s">
        <v>60</v>
      </c>
      <c r="B4910" s="1">
        <v>46129</v>
      </c>
      <c r="C4910">
        <v>2378044065</v>
      </c>
      <c r="D4910">
        <v>2378077908</v>
      </c>
      <c r="E4910" t="str">
        <f>T("저승의 왕위를 계승했다 686화")</f>
        <v>저승의 왕위를 계승했다 686화</v>
      </c>
      <c r="F4910">
        <v>688</v>
      </c>
      <c r="G4910" t="str">
        <f>T("신타비")</f>
        <v>신타비</v>
      </c>
      <c r="J4910" t="str">
        <f>T("매드햇")</f>
        <v>매드햇</v>
      </c>
      <c r="K4910" t="str">
        <f>T("저승의 왕위를 계승했다")</f>
        <v>저승의 왕위를 계승했다</v>
      </c>
      <c r="L4910">
        <v>100</v>
      </c>
      <c r="M4910">
        <v>70</v>
      </c>
      <c r="N4910">
        <v>1</v>
      </c>
      <c r="O4910">
        <v>0</v>
      </c>
      <c r="P4910">
        <v>0</v>
      </c>
      <c r="Q4910">
        <v>0</v>
      </c>
      <c r="R4910">
        <v>0</v>
      </c>
      <c r="S4910">
        <v>0</v>
      </c>
      <c r="T4910">
        <v>0</v>
      </c>
      <c r="U4910">
        <v>0</v>
      </c>
      <c r="V4910">
        <v>0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0</v>
      </c>
      <c r="AC4910">
        <v>0</v>
      </c>
      <c r="AD4910">
        <v>0</v>
      </c>
      <c r="AE4910">
        <v>0</v>
      </c>
      <c r="AF4910">
        <v>0</v>
      </c>
      <c r="AG4910">
        <v>0</v>
      </c>
      <c r="AH4910">
        <v>0</v>
      </c>
      <c r="AI4910">
        <v>70</v>
      </c>
      <c r="AJ4910">
        <v>1</v>
      </c>
      <c r="AK4910">
        <v>0</v>
      </c>
      <c r="AL4910">
        <v>0</v>
      </c>
      <c r="AM4910">
        <v>70</v>
      </c>
      <c r="AN4910">
        <v>0</v>
      </c>
      <c r="AO4910">
        <v>0</v>
      </c>
      <c r="AP4910">
        <v>0</v>
      </c>
      <c r="AQ4910">
        <v>0</v>
      </c>
      <c r="AS4910">
        <v>0</v>
      </c>
      <c r="AT4910">
        <v>0</v>
      </c>
      <c r="AV4910">
        <v>0</v>
      </c>
      <c r="AW4910">
        <v>0</v>
      </c>
      <c r="AY4910">
        <v>0</v>
      </c>
      <c r="AZ4910">
        <v>0</v>
      </c>
      <c r="BA4910">
        <v>49</v>
      </c>
      <c r="BE4910" t="str">
        <f>T("9791137014381")</f>
        <v>9791137014381</v>
      </c>
      <c r="BF4910" t="str">
        <f>T("D088756")</f>
        <v>D088756</v>
      </c>
      <c r="BG4910" t="str">
        <f>T("판타지 웹소설 &gt; 퓨전 판타지")</f>
        <v>판타지 웹소설 &gt; 퓨전 판타지</v>
      </c>
    </row>
    <row r="4911" spans="1:59">
      <c r="A4911" t="s">
        <v>60</v>
      </c>
      <c r="B4911" s="1">
        <v>46129</v>
      </c>
      <c r="C4911">
        <v>2378044065</v>
      </c>
      <c r="D4911">
        <v>2378077909</v>
      </c>
      <c r="E4911" t="str">
        <f>T("저승의 왕위를 계승했다 687화")</f>
        <v>저승의 왕위를 계승했다 687화</v>
      </c>
      <c r="F4911">
        <v>689</v>
      </c>
      <c r="G4911" t="str">
        <f>T("신타비")</f>
        <v>신타비</v>
      </c>
      <c r="J4911" t="str">
        <f>T("매드햇")</f>
        <v>매드햇</v>
      </c>
      <c r="K4911" t="str">
        <f>T("저승의 왕위를 계승했다")</f>
        <v>저승의 왕위를 계승했다</v>
      </c>
      <c r="L4911">
        <v>100</v>
      </c>
      <c r="M4911">
        <v>70</v>
      </c>
      <c r="N4911">
        <v>1</v>
      </c>
      <c r="O4911">
        <v>0</v>
      </c>
      <c r="P4911">
        <v>0</v>
      </c>
      <c r="Q4911">
        <v>0</v>
      </c>
      <c r="R4911">
        <v>0</v>
      </c>
      <c r="S4911">
        <v>0</v>
      </c>
      <c r="T4911">
        <v>0</v>
      </c>
      <c r="U4911">
        <v>0</v>
      </c>
      <c r="V4911">
        <v>0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0</v>
      </c>
      <c r="AC4911">
        <v>0</v>
      </c>
      <c r="AD4911">
        <v>0</v>
      </c>
      <c r="AE4911">
        <v>0</v>
      </c>
      <c r="AF4911">
        <v>0</v>
      </c>
      <c r="AG4911">
        <v>0</v>
      </c>
      <c r="AH4911">
        <v>0</v>
      </c>
      <c r="AI4911">
        <v>70</v>
      </c>
      <c r="AJ4911">
        <v>1</v>
      </c>
      <c r="AK4911">
        <v>0</v>
      </c>
      <c r="AL4911">
        <v>0</v>
      </c>
      <c r="AM4911">
        <v>70</v>
      </c>
      <c r="AN4911">
        <v>0</v>
      </c>
      <c r="AO4911">
        <v>0</v>
      </c>
      <c r="AP4911">
        <v>0</v>
      </c>
      <c r="AQ4911">
        <v>0</v>
      </c>
      <c r="AS4911">
        <v>0</v>
      </c>
      <c r="AT4911">
        <v>0</v>
      </c>
      <c r="AV4911">
        <v>0</v>
      </c>
      <c r="AW4911">
        <v>0</v>
      </c>
      <c r="AY4911">
        <v>0</v>
      </c>
      <c r="AZ4911">
        <v>0</v>
      </c>
      <c r="BA4911">
        <v>49</v>
      </c>
      <c r="BE4911" t="str">
        <f>T("9791137014381")</f>
        <v>9791137014381</v>
      </c>
      <c r="BF4911" t="str">
        <f>T("D088757")</f>
        <v>D088757</v>
      </c>
      <c r="BG4911" t="str">
        <f>T("판타지 웹소설 &gt; 퓨전 판타지")</f>
        <v>판타지 웹소설 &gt; 퓨전 판타지</v>
      </c>
    </row>
    <row r="4912" spans="1:59">
      <c r="A4912" t="s">
        <v>60</v>
      </c>
      <c r="B4912" s="1">
        <v>46129</v>
      </c>
      <c r="C4912">
        <v>2378044065</v>
      </c>
      <c r="D4912">
        <v>2378077910</v>
      </c>
      <c r="E4912" t="str">
        <f>T("저승의 왕위를 계승했다 688화")</f>
        <v>저승의 왕위를 계승했다 688화</v>
      </c>
      <c r="F4912">
        <v>690</v>
      </c>
      <c r="G4912" t="str">
        <f>T("신타비")</f>
        <v>신타비</v>
      </c>
      <c r="J4912" t="str">
        <f>T("매드햇")</f>
        <v>매드햇</v>
      </c>
      <c r="K4912" t="str">
        <f>T("저승의 왕위를 계승했다")</f>
        <v>저승의 왕위를 계승했다</v>
      </c>
      <c r="L4912">
        <v>100</v>
      </c>
      <c r="M4912">
        <v>70</v>
      </c>
      <c r="N4912">
        <v>1</v>
      </c>
      <c r="O4912">
        <v>0</v>
      </c>
      <c r="P4912">
        <v>0</v>
      </c>
      <c r="Q4912">
        <v>0</v>
      </c>
      <c r="R4912">
        <v>0</v>
      </c>
      <c r="S4912">
        <v>0</v>
      </c>
      <c r="T4912">
        <v>0</v>
      </c>
      <c r="U4912">
        <v>0</v>
      </c>
      <c r="V4912">
        <v>0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0</v>
      </c>
      <c r="AC4912">
        <v>0</v>
      </c>
      <c r="AD4912">
        <v>0</v>
      </c>
      <c r="AE4912">
        <v>0</v>
      </c>
      <c r="AF4912">
        <v>0</v>
      </c>
      <c r="AG4912">
        <v>0</v>
      </c>
      <c r="AH4912">
        <v>0</v>
      </c>
      <c r="AI4912">
        <v>70</v>
      </c>
      <c r="AJ4912">
        <v>1</v>
      </c>
      <c r="AK4912">
        <v>0</v>
      </c>
      <c r="AL4912">
        <v>0</v>
      </c>
      <c r="AM4912">
        <v>70</v>
      </c>
      <c r="AN4912">
        <v>0</v>
      </c>
      <c r="AO4912">
        <v>0</v>
      </c>
      <c r="AP4912">
        <v>0</v>
      </c>
      <c r="AQ4912">
        <v>0</v>
      </c>
      <c r="AS4912">
        <v>0</v>
      </c>
      <c r="AT4912">
        <v>0</v>
      </c>
      <c r="AV4912">
        <v>0</v>
      </c>
      <c r="AW4912">
        <v>0</v>
      </c>
      <c r="AY4912">
        <v>0</v>
      </c>
      <c r="AZ4912">
        <v>0</v>
      </c>
      <c r="BA4912">
        <v>49</v>
      </c>
      <c r="BE4912" t="str">
        <f>T("9791137014381")</f>
        <v>9791137014381</v>
      </c>
      <c r="BF4912" t="str">
        <f>T("D088758")</f>
        <v>D088758</v>
      </c>
      <c r="BG4912" t="str">
        <f>T("판타지 웹소설 &gt; 퓨전 판타지")</f>
        <v>판타지 웹소설 &gt; 퓨전 판타지</v>
      </c>
    </row>
    <row r="4913" spans="1:59">
      <c r="A4913" t="s">
        <v>60</v>
      </c>
      <c r="B4913" s="1">
        <v>46129</v>
      </c>
      <c r="C4913">
        <v>2378044065</v>
      </c>
      <c r="D4913">
        <v>2378077960</v>
      </c>
      <c r="E4913" t="str">
        <f>T("저승의 왕위를 계승했다 689화")</f>
        <v>저승의 왕위를 계승했다 689화</v>
      </c>
      <c r="F4913">
        <v>691</v>
      </c>
      <c r="G4913" t="str">
        <f>T("신타비")</f>
        <v>신타비</v>
      </c>
      <c r="J4913" t="str">
        <f>T("매드햇")</f>
        <v>매드햇</v>
      </c>
      <c r="K4913" t="str">
        <f>T("저승의 왕위를 계승했다")</f>
        <v>저승의 왕위를 계승했다</v>
      </c>
      <c r="L4913">
        <v>100</v>
      </c>
      <c r="M4913">
        <v>70</v>
      </c>
      <c r="N4913">
        <v>1</v>
      </c>
      <c r="O4913">
        <v>0</v>
      </c>
      <c r="P4913">
        <v>0</v>
      </c>
      <c r="Q4913">
        <v>0</v>
      </c>
      <c r="R4913">
        <v>0</v>
      </c>
      <c r="S4913">
        <v>0</v>
      </c>
      <c r="T4913">
        <v>0</v>
      </c>
      <c r="U4913">
        <v>0</v>
      </c>
      <c r="V4913">
        <v>0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0</v>
      </c>
      <c r="AC4913">
        <v>0</v>
      </c>
      <c r="AD4913">
        <v>0</v>
      </c>
      <c r="AE4913">
        <v>0</v>
      </c>
      <c r="AF4913">
        <v>0</v>
      </c>
      <c r="AG4913">
        <v>0</v>
      </c>
      <c r="AH4913">
        <v>0</v>
      </c>
      <c r="AI4913">
        <v>70</v>
      </c>
      <c r="AJ4913">
        <v>1</v>
      </c>
      <c r="AK4913">
        <v>0</v>
      </c>
      <c r="AL4913">
        <v>0</v>
      </c>
      <c r="AM4913">
        <v>70</v>
      </c>
      <c r="AN4913">
        <v>0</v>
      </c>
      <c r="AO4913">
        <v>0</v>
      </c>
      <c r="AP4913">
        <v>0</v>
      </c>
      <c r="AQ4913">
        <v>0</v>
      </c>
      <c r="AS4913">
        <v>0</v>
      </c>
      <c r="AT4913">
        <v>0</v>
      </c>
      <c r="AV4913">
        <v>0</v>
      </c>
      <c r="AW4913">
        <v>0</v>
      </c>
      <c r="AY4913">
        <v>0</v>
      </c>
      <c r="AZ4913">
        <v>0</v>
      </c>
      <c r="BA4913">
        <v>49</v>
      </c>
      <c r="BE4913" t="str">
        <f>T("9791137014381")</f>
        <v>9791137014381</v>
      </c>
      <c r="BF4913" t="str">
        <f>T("D088759")</f>
        <v>D088759</v>
      </c>
      <c r="BG4913" t="str">
        <f>T("판타지 웹소설 &gt; 퓨전 판타지")</f>
        <v>판타지 웹소설 &gt; 퓨전 판타지</v>
      </c>
    </row>
    <row r="4914" spans="1:59">
      <c r="A4914" t="s">
        <v>60</v>
      </c>
      <c r="B4914" s="1">
        <v>46129</v>
      </c>
      <c r="C4914">
        <v>2378044065</v>
      </c>
      <c r="D4914">
        <v>2378077961</v>
      </c>
      <c r="E4914" t="str">
        <f>T("저승의 왕위를 계승했다 690화")</f>
        <v>저승의 왕위를 계승했다 690화</v>
      </c>
      <c r="F4914">
        <v>692</v>
      </c>
      <c r="G4914" t="str">
        <f>T("신타비")</f>
        <v>신타비</v>
      </c>
      <c r="J4914" t="str">
        <f>T("매드햇")</f>
        <v>매드햇</v>
      </c>
      <c r="K4914" t="str">
        <f>T("저승의 왕위를 계승했다")</f>
        <v>저승의 왕위를 계승했다</v>
      </c>
      <c r="L4914">
        <v>100</v>
      </c>
      <c r="M4914">
        <v>70</v>
      </c>
      <c r="N4914">
        <v>1</v>
      </c>
      <c r="O4914">
        <v>0</v>
      </c>
      <c r="P4914">
        <v>0</v>
      </c>
      <c r="Q4914">
        <v>0</v>
      </c>
      <c r="R4914">
        <v>0</v>
      </c>
      <c r="S4914">
        <v>0</v>
      </c>
      <c r="T4914">
        <v>0</v>
      </c>
      <c r="U4914">
        <v>0</v>
      </c>
      <c r="V4914">
        <v>0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0</v>
      </c>
      <c r="AC4914">
        <v>0</v>
      </c>
      <c r="AD4914">
        <v>0</v>
      </c>
      <c r="AE4914">
        <v>0</v>
      </c>
      <c r="AF4914">
        <v>0</v>
      </c>
      <c r="AG4914">
        <v>0</v>
      </c>
      <c r="AH4914">
        <v>0</v>
      </c>
      <c r="AI4914">
        <v>70</v>
      </c>
      <c r="AJ4914">
        <v>1</v>
      </c>
      <c r="AK4914">
        <v>0</v>
      </c>
      <c r="AL4914">
        <v>0</v>
      </c>
      <c r="AM4914">
        <v>70</v>
      </c>
      <c r="AN4914">
        <v>0</v>
      </c>
      <c r="AO4914">
        <v>0</v>
      </c>
      <c r="AP4914">
        <v>0</v>
      </c>
      <c r="AQ4914">
        <v>0</v>
      </c>
      <c r="AS4914">
        <v>0</v>
      </c>
      <c r="AT4914">
        <v>0</v>
      </c>
      <c r="AV4914">
        <v>0</v>
      </c>
      <c r="AW4914">
        <v>0</v>
      </c>
      <c r="AY4914">
        <v>0</v>
      </c>
      <c r="AZ4914">
        <v>0</v>
      </c>
      <c r="BA4914">
        <v>49</v>
      </c>
      <c r="BE4914" t="str">
        <f>T("9791137014381")</f>
        <v>9791137014381</v>
      </c>
      <c r="BF4914" t="str">
        <f>T("D088760")</f>
        <v>D088760</v>
      </c>
      <c r="BG4914" t="str">
        <f>T("판타지 웹소설 &gt; 퓨전 판타지")</f>
        <v>판타지 웹소설 &gt; 퓨전 판타지</v>
      </c>
    </row>
    <row r="4915" spans="1:59">
      <c r="A4915" t="s">
        <v>60</v>
      </c>
      <c r="B4915" s="1">
        <v>46129</v>
      </c>
      <c r="C4915">
        <v>2378044065</v>
      </c>
      <c r="D4915">
        <v>2378077962</v>
      </c>
      <c r="E4915" t="str">
        <f>T("저승의 왕위를 계승했다 691화")</f>
        <v>저승의 왕위를 계승했다 691화</v>
      </c>
      <c r="F4915">
        <v>693</v>
      </c>
      <c r="G4915" t="str">
        <f>T("신타비")</f>
        <v>신타비</v>
      </c>
      <c r="J4915" t="str">
        <f>T("매드햇")</f>
        <v>매드햇</v>
      </c>
      <c r="K4915" t="str">
        <f>T("저승의 왕위를 계승했다")</f>
        <v>저승의 왕위를 계승했다</v>
      </c>
      <c r="L4915">
        <v>100</v>
      </c>
      <c r="M4915">
        <v>70</v>
      </c>
      <c r="N4915">
        <v>1</v>
      </c>
      <c r="O4915">
        <v>0</v>
      </c>
      <c r="P4915">
        <v>0</v>
      </c>
      <c r="Q4915">
        <v>0</v>
      </c>
      <c r="R4915">
        <v>0</v>
      </c>
      <c r="S4915">
        <v>0</v>
      </c>
      <c r="T4915">
        <v>0</v>
      </c>
      <c r="U4915">
        <v>0</v>
      </c>
      <c r="V4915">
        <v>0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0</v>
      </c>
      <c r="AC4915">
        <v>0</v>
      </c>
      <c r="AD4915">
        <v>0</v>
      </c>
      <c r="AE4915">
        <v>0</v>
      </c>
      <c r="AF4915">
        <v>0</v>
      </c>
      <c r="AG4915">
        <v>0</v>
      </c>
      <c r="AH4915">
        <v>0</v>
      </c>
      <c r="AI4915">
        <v>70</v>
      </c>
      <c r="AJ4915">
        <v>1</v>
      </c>
      <c r="AK4915">
        <v>0</v>
      </c>
      <c r="AL4915">
        <v>0</v>
      </c>
      <c r="AM4915">
        <v>70</v>
      </c>
      <c r="AN4915">
        <v>0</v>
      </c>
      <c r="AO4915">
        <v>0</v>
      </c>
      <c r="AP4915">
        <v>0</v>
      </c>
      <c r="AQ4915">
        <v>0</v>
      </c>
      <c r="AS4915">
        <v>0</v>
      </c>
      <c r="AT4915">
        <v>0</v>
      </c>
      <c r="AV4915">
        <v>0</v>
      </c>
      <c r="AW4915">
        <v>0</v>
      </c>
      <c r="AY4915">
        <v>0</v>
      </c>
      <c r="AZ4915">
        <v>0</v>
      </c>
      <c r="BA4915">
        <v>49</v>
      </c>
      <c r="BE4915" t="str">
        <f>T("9791137014381")</f>
        <v>9791137014381</v>
      </c>
      <c r="BF4915" t="str">
        <f>T("D126941")</f>
        <v>D126941</v>
      </c>
      <c r="BG4915" t="str">
        <f>T("판타지 웹소설 &gt; 퓨전 판타지")</f>
        <v>판타지 웹소설 &gt; 퓨전 판타지</v>
      </c>
    </row>
    <row r="4916" spans="1:59">
      <c r="A4916" t="s">
        <v>60</v>
      </c>
      <c r="B4916" s="1">
        <v>46129</v>
      </c>
      <c r="C4916">
        <v>2378044065</v>
      </c>
      <c r="D4916">
        <v>2378078224</v>
      </c>
      <c r="E4916" t="str">
        <f>T("저승의 왕위를 계승했다 692화")</f>
        <v>저승의 왕위를 계승했다 692화</v>
      </c>
      <c r="F4916">
        <v>694</v>
      </c>
      <c r="G4916" t="str">
        <f>T("신타비")</f>
        <v>신타비</v>
      </c>
      <c r="J4916" t="str">
        <f>T("매드햇")</f>
        <v>매드햇</v>
      </c>
      <c r="K4916" t="str">
        <f>T("저승의 왕위를 계승했다")</f>
        <v>저승의 왕위를 계승했다</v>
      </c>
      <c r="L4916">
        <v>100</v>
      </c>
      <c r="M4916">
        <v>70</v>
      </c>
      <c r="N4916">
        <v>1</v>
      </c>
      <c r="O4916">
        <v>0</v>
      </c>
      <c r="P4916">
        <v>0</v>
      </c>
      <c r="Q4916">
        <v>0</v>
      </c>
      <c r="R4916">
        <v>0</v>
      </c>
      <c r="S4916">
        <v>0</v>
      </c>
      <c r="T4916">
        <v>0</v>
      </c>
      <c r="U4916">
        <v>0</v>
      </c>
      <c r="V4916">
        <v>0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0</v>
      </c>
      <c r="AC4916">
        <v>0</v>
      </c>
      <c r="AD4916">
        <v>0</v>
      </c>
      <c r="AE4916">
        <v>0</v>
      </c>
      <c r="AF4916">
        <v>0</v>
      </c>
      <c r="AG4916">
        <v>0</v>
      </c>
      <c r="AH4916">
        <v>0</v>
      </c>
      <c r="AI4916">
        <v>70</v>
      </c>
      <c r="AJ4916">
        <v>1</v>
      </c>
      <c r="AK4916">
        <v>0</v>
      </c>
      <c r="AL4916">
        <v>0</v>
      </c>
      <c r="AM4916">
        <v>70</v>
      </c>
      <c r="AN4916">
        <v>0</v>
      </c>
      <c r="AO4916">
        <v>0</v>
      </c>
      <c r="AP4916">
        <v>0</v>
      </c>
      <c r="AQ4916">
        <v>0</v>
      </c>
      <c r="AS4916">
        <v>0</v>
      </c>
      <c r="AT4916">
        <v>0</v>
      </c>
      <c r="AV4916">
        <v>0</v>
      </c>
      <c r="AW4916">
        <v>0</v>
      </c>
      <c r="AY4916">
        <v>0</v>
      </c>
      <c r="AZ4916">
        <v>0</v>
      </c>
      <c r="BA4916">
        <v>49</v>
      </c>
      <c r="BE4916" t="str">
        <f>T("9791137014381")</f>
        <v>9791137014381</v>
      </c>
      <c r="BF4916" t="str">
        <f>T("D126942")</f>
        <v>D126942</v>
      </c>
      <c r="BG4916" t="str">
        <f>T("판타지 웹소설 &gt; 퓨전 판타지")</f>
        <v>판타지 웹소설 &gt; 퓨전 판타지</v>
      </c>
    </row>
    <row r="4917" spans="1:59">
      <c r="A4917" t="s">
        <v>60</v>
      </c>
      <c r="B4917" s="1">
        <v>46129</v>
      </c>
      <c r="C4917">
        <v>2378044065</v>
      </c>
      <c r="D4917">
        <v>2378078231</v>
      </c>
      <c r="E4917" t="str">
        <f>T("저승의 왕위를 계승했다 693화")</f>
        <v>저승의 왕위를 계승했다 693화</v>
      </c>
      <c r="F4917">
        <v>695</v>
      </c>
      <c r="G4917" t="str">
        <f>T("신타비")</f>
        <v>신타비</v>
      </c>
      <c r="J4917" t="str">
        <f>T("매드햇")</f>
        <v>매드햇</v>
      </c>
      <c r="K4917" t="str">
        <f>T("저승의 왕위를 계승했다")</f>
        <v>저승의 왕위를 계승했다</v>
      </c>
      <c r="L4917">
        <v>100</v>
      </c>
      <c r="M4917">
        <v>70</v>
      </c>
      <c r="N4917">
        <v>1</v>
      </c>
      <c r="O4917">
        <v>0</v>
      </c>
      <c r="P4917">
        <v>0</v>
      </c>
      <c r="Q4917">
        <v>0</v>
      </c>
      <c r="R4917">
        <v>0</v>
      </c>
      <c r="S4917">
        <v>0</v>
      </c>
      <c r="T4917">
        <v>0</v>
      </c>
      <c r="U4917">
        <v>0</v>
      </c>
      <c r="V4917">
        <v>0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0</v>
      </c>
      <c r="AC4917">
        <v>0</v>
      </c>
      <c r="AD4917">
        <v>0</v>
      </c>
      <c r="AE4917">
        <v>0</v>
      </c>
      <c r="AF4917">
        <v>0</v>
      </c>
      <c r="AG4917">
        <v>0</v>
      </c>
      <c r="AH4917">
        <v>0</v>
      </c>
      <c r="AI4917">
        <v>70</v>
      </c>
      <c r="AJ4917">
        <v>1</v>
      </c>
      <c r="AK4917">
        <v>0</v>
      </c>
      <c r="AL4917">
        <v>0</v>
      </c>
      <c r="AM4917">
        <v>70</v>
      </c>
      <c r="AN4917">
        <v>0</v>
      </c>
      <c r="AO4917">
        <v>0</v>
      </c>
      <c r="AP4917">
        <v>0</v>
      </c>
      <c r="AQ4917">
        <v>0</v>
      </c>
      <c r="AS4917">
        <v>0</v>
      </c>
      <c r="AT4917">
        <v>0</v>
      </c>
      <c r="AV4917">
        <v>0</v>
      </c>
      <c r="AW4917">
        <v>0</v>
      </c>
      <c r="AY4917">
        <v>0</v>
      </c>
      <c r="AZ4917">
        <v>0</v>
      </c>
      <c r="BA4917">
        <v>49</v>
      </c>
      <c r="BE4917" t="str">
        <f>T("9791137014381")</f>
        <v>9791137014381</v>
      </c>
      <c r="BF4917" t="str">
        <f>T("D126943")</f>
        <v>D126943</v>
      </c>
      <c r="BG4917" t="str">
        <f>T("판타지 웹소설 &gt; 퓨전 판타지")</f>
        <v>판타지 웹소설 &gt; 퓨전 판타지</v>
      </c>
    </row>
    <row r="4918" spans="1:59">
      <c r="A4918" t="s">
        <v>60</v>
      </c>
      <c r="B4918" s="1">
        <v>46129</v>
      </c>
      <c r="C4918">
        <v>2378044065</v>
      </c>
      <c r="D4918">
        <v>2378078232</v>
      </c>
      <c r="E4918" t="str">
        <f>T("저승의 왕위를 계승했다 694화")</f>
        <v>저승의 왕위를 계승했다 694화</v>
      </c>
      <c r="F4918">
        <v>696</v>
      </c>
      <c r="G4918" t="str">
        <f>T("신타비")</f>
        <v>신타비</v>
      </c>
      <c r="J4918" t="str">
        <f>T("매드햇")</f>
        <v>매드햇</v>
      </c>
      <c r="K4918" t="str">
        <f>T("저승의 왕위를 계승했다")</f>
        <v>저승의 왕위를 계승했다</v>
      </c>
      <c r="L4918">
        <v>100</v>
      </c>
      <c r="M4918">
        <v>70</v>
      </c>
      <c r="N4918">
        <v>1</v>
      </c>
      <c r="O4918">
        <v>0</v>
      </c>
      <c r="P4918">
        <v>0</v>
      </c>
      <c r="Q4918">
        <v>0</v>
      </c>
      <c r="R4918">
        <v>0</v>
      </c>
      <c r="S4918">
        <v>0</v>
      </c>
      <c r="T4918">
        <v>0</v>
      </c>
      <c r="U4918">
        <v>0</v>
      </c>
      <c r="V4918">
        <v>0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0</v>
      </c>
      <c r="AC4918">
        <v>0</v>
      </c>
      <c r="AD4918">
        <v>0</v>
      </c>
      <c r="AE4918">
        <v>0</v>
      </c>
      <c r="AF4918">
        <v>0</v>
      </c>
      <c r="AG4918">
        <v>0</v>
      </c>
      <c r="AH4918">
        <v>0</v>
      </c>
      <c r="AI4918">
        <v>70</v>
      </c>
      <c r="AJ4918">
        <v>1</v>
      </c>
      <c r="AK4918">
        <v>0</v>
      </c>
      <c r="AL4918">
        <v>0</v>
      </c>
      <c r="AM4918">
        <v>70</v>
      </c>
      <c r="AN4918">
        <v>0</v>
      </c>
      <c r="AO4918">
        <v>0</v>
      </c>
      <c r="AP4918">
        <v>0</v>
      </c>
      <c r="AQ4918">
        <v>0</v>
      </c>
      <c r="AS4918">
        <v>0</v>
      </c>
      <c r="AT4918">
        <v>0</v>
      </c>
      <c r="AV4918">
        <v>0</v>
      </c>
      <c r="AW4918">
        <v>0</v>
      </c>
      <c r="AY4918">
        <v>0</v>
      </c>
      <c r="AZ4918">
        <v>0</v>
      </c>
      <c r="BA4918">
        <v>49</v>
      </c>
      <c r="BE4918" t="str">
        <f>T("9791137014381")</f>
        <v>9791137014381</v>
      </c>
      <c r="BF4918" t="str">
        <f>T("D126944")</f>
        <v>D126944</v>
      </c>
      <c r="BG4918" t="str">
        <f>T("판타지 웹소설 &gt; 퓨전 판타지")</f>
        <v>판타지 웹소설 &gt; 퓨전 판타지</v>
      </c>
    </row>
    <row r="4919" spans="1:59">
      <c r="A4919" t="s">
        <v>60</v>
      </c>
      <c r="B4919" s="1">
        <v>46129</v>
      </c>
      <c r="C4919">
        <v>2378044065</v>
      </c>
      <c r="D4919">
        <v>2378078233</v>
      </c>
      <c r="E4919" t="str">
        <f>T("저승의 왕위를 계승했다 695화")</f>
        <v>저승의 왕위를 계승했다 695화</v>
      </c>
      <c r="F4919">
        <v>697</v>
      </c>
      <c r="G4919" t="str">
        <f>T("신타비")</f>
        <v>신타비</v>
      </c>
      <c r="J4919" t="str">
        <f>T("매드햇")</f>
        <v>매드햇</v>
      </c>
      <c r="K4919" t="str">
        <f>T("저승의 왕위를 계승했다")</f>
        <v>저승의 왕위를 계승했다</v>
      </c>
      <c r="L4919">
        <v>100</v>
      </c>
      <c r="M4919">
        <v>70</v>
      </c>
      <c r="N4919">
        <v>1</v>
      </c>
      <c r="O4919">
        <v>0</v>
      </c>
      <c r="P4919">
        <v>0</v>
      </c>
      <c r="Q4919">
        <v>0</v>
      </c>
      <c r="R4919">
        <v>0</v>
      </c>
      <c r="S4919">
        <v>0</v>
      </c>
      <c r="T4919">
        <v>0</v>
      </c>
      <c r="U4919">
        <v>0</v>
      </c>
      <c r="V4919">
        <v>0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0</v>
      </c>
      <c r="AC4919">
        <v>0</v>
      </c>
      <c r="AD4919">
        <v>0</v>
      </c>
      <c r="AE4919">
        <v>0</v>
      </c>
      <c r="AF4919">
        <v>0</v>
      </c>
      <c r="AG4919">
        <v>0</v>
      </c>
      <c r="AH4919">
        <v>0</v>
      </c>
      <c r="AI4919">
        <v>70</v>
      </c>
      <c r="AJ4919">
        <v>1</v>
      </c>
      <c r="AK4919">
        <v>0</v>
      </c>
      <c r="AL4919">
        <v>0</v>
      </c>
      <c r="AM4919">
        <v>70</v>
      </c>
      <c r="AN4919">
        <v>0</v>
      </c>
      <c r="AO4919">
        <v>0</v>
      </c>
      <c r="AP4919">
        <v>0</v>
      </c>
      <c r="AQ4919">
        <v>0</v>
      </c>
      <c r="AS4919">
        <v>0</v>
      </c>
      <c r="AT4919">
        <v>0</v>
      </c>
      <c r="AV4919">
        <v>0</v>
      </c>
      <c r="AW4919">
        <v>0</v>
      </c>
      <c r="AY4919">
        <v>0</v>
      </c>
      <c r="AZ4919">
        <v>0</v>
      </c>
      <c r="BA4919">
        <v>49</v>
      </c>
      <c r="BE4919" t="str">
        <f>T("9791137014381")</f>
        <v>9791137014381</v>
      </c>
      <c r="BF4919" t="str">
        <f>T("D126945")</f>
        <v>D126945</v>
      </c>
      <c r="BG4919" t="str">
        <f>T("판타지 웹소설 &gt; 퓨전 판타지")</f>
        <v>판타지 웹소설 &gt; 퓨전 판타지</v>
      </c>
    </row>
    <row r="4920" spans="1:59">
      <c r="A4920" t="s">
        <v>60</v>
      </c>
      <c r="B4920" s="1">
        <v>46129</v>
      </c>
      <c r="C4920">
        <v>2378044065</v>
      </c>
      <c r="D4920">
        <v>2378078234</v>
      </c>
      <c r="E4920" t="str">
        <f>T("저승의 왕위를 계승했다 696화")</f>
        <v>저승의 왕위를 계승했다 696화</v>
      </c>
      <c r="F4920">
        <v>698</v>
      </c>
      <c r="G4920" t="str">
        <f>T("신타비")</f>
        <v>신타비</v>
      </c>
      <c r="J4920" t="str">
        <f>T("매드햇")</f>
        <v>매드햇</v>
      </c>
      <c r="K4920" t="str">
        <f>T("저승의 왕위를 계승했다")</f>
        <v>저승의 왕위를 계승했다</v>
      </c>
      <c r="L4920">
        <v>100</v>
      </c>
      <c r="M4920">
        <v>70</v>
      </c>
      <c r="N4920">
        <v>1</v>
      </c>
      <c r="O4920">
        <v>0</v>
      </c>
      <c r="P4920">
        <v>0</v>
      </c>
      <c r="Q4920">
        <v>0</v>
      </c>
      <c r="R4920">
        <v>0</v>
      </c>
      <c r="S4920">
        <v>0</v>
      </c>
      <c r="T4920">
        <v>0</v>
      </c>
      <c r="U4920">
        <v>0</v>
      </c>
      <c r="V4920">
        <v>0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0</v>
      </c>
      <c r="AC4920">
        <v>0</v>
      </c>
      <c r="AD4920">
        <v>0</v>
      </c>
      <c r="AE4920">
        <v>0</v>
      </c>
      <c r="AF4920">
        <v>0</v>
      </c>
      <c r="AG4920">
        <v>0</v>
      </c>
      <c r="AH4920">
        <v>0</v>
      </c>
      <c r="AI4920">
        <v>70</v>
      </c>
      <c r="AJ4920">
        <v>1</v>
      </c>
      <c r="AK4920">
        <v>0</v>
      </c>
      <c r="AL4920">
        <v>0</v>
      </c>
      <c r="AM4920">
        <v>70</v>
      </c>
      <c r="AN4920">
        <v>0</v>
      </c>
      <c r="AO4920">
        <v>0</v>
      </c>
      <c r="AP4920">
        <v>0</v>
      </c>
      <c r="AQ4920">
        <v>0</v>
      </c>
      <c r="AS4920">
        <v>0</v>
      </c>
      <c r="AT4920">
        <v>0</v>
      </c>
      <c r="AV4920">
        <v>0</v>
      </c>
      <c r="AW4920">
        <v>0</v>
      </c>
      <c r="AY4920">
        <v>0</v>
      </c>
      <c r="AZ4920">
        <v>0</v>
      </c>
      <c r="BA4920">
        <v>49</v>
      </c>
      <c r="BE4920" t="str">
        <f>T("9791137014381")</f>
        <v>9791137014381</v>
      </c>
      <c r="BF4920" t="str">
        <f>T("D126946")</f>
        <v>D126946</v>
      </c>
      <c r="BG4920" t="str">
        <f>T("판타지 웹소설 &gt; 퓨전 판타지")</f>
        <v>판타지 웹소설 &gt; 퓨전 판타지</v>
      </c>
    </row>
    <row r="4921" spans="1:59">
      <c r="A4921" t="s">
        <v>60</v>
      </c>
      <c r="B4921" s="1">
        <v>46129</v>
      </c>
      <c r="C4921">
        <v>2378044065</v>
      </c>
      <c r="D4921">
        <v>2378078324</v>
      </c>
      <c r="E4921" t="str">
        <f>T("저승의 왕위를 계승했다 697화")</f>
        <v>저승의 왕위를 계승했다 697화</v>
      </c>
      <c r="F4921">
        <v>699</v>
      </c>
      <c r="G4921" t="str">
        <f>T("신타비")</f>
        <v>신타비</v>
      </c>
      <c r="J4921" t="str">
        <f>T("매드햇")</f>
        <v>매드햇</v>
      </c>
      <c r="K4921" t="str">
        <f>T("저승의 왕위를 계승했다")</f>
        <v>저승의 왕위를 계승했다</v>
      </c>
      <c r="L4921">
        <v>100</v>
      </c>
      <c r="M4921">
        <v>70</v>
      </c>
      <c r="N4921">
        <v>1</v>
      </c>
      <c r="O4921">
        <v>0</v>
      </c>
      <c r="P4921">
        <v>0</v>
      </c>
      <c r="Q4921">
        <v>0</v>
      </c>
      <c r="R4921">
        <v>0</v>
      </c>
      <c r="S4921">
        <v>0</v>
      </c>
      <c r="T4921">
        <v>0</v>
      </c>
      <c r="U4921">
        <v>0</v>
      </c>
      <c r="V4921">
        <v>0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0</v>
      </c>
      <c r="AC4921">
        <v>0</v>
      </c>
      <c r="AD4921">
        <v>0</v>
      </c>
      <c r="AE4921">
        <v>0</v>
      </c>
      <c r="AF4921">
        <v>0</v>
      </c>
      <c r="AG4921">
        <v>0</v>
      </c>
      <c r="AH4921">
        <v>0</v>
      </c>
      <c r="AI4921">
        <v>70</v>
      </c>
      <c r="AJ4921">
        <v>1</v>
      </c>
      <c r="AK4921">
        <v>0</v>
      </c>
      <c r="AL4921">
        <v>0</v>
      </c>
      <c r="AM4921">
        <v>70</v>
      </c>
      <c r="AN4921">
        <v>0</v>
      </c>
      <c r="AO4921">
        <v>0</v>
      </c>
      <c r="AP4921">
        <v>0</v>
      </c>
      <c r="AQ4921">
        <v>0</v>
      </c>
      <c r="AS4921">
        <v>0</v>
      </c>
      <c r="AT4921">
        <v>0</v>
      </c>
      <c r="AV4921">
        <v>0</v>
      </c>
      <c r="AW4921">
        <v>0</v>
      </c>
      <c r="AY4921">
        <v>0</v>
      </c>
      <c r="AZ4921">
        <v>0</v>
      </c>
      <c r="BA4921">
        <v>49</v>
      </c>
      <c r="BE4921" t="str">
        <f>T("9791137014381")</f>
        <v>9791137014381</v>
      </c>
      <c r="BF4921" t="str">
        <f>T("D126947")</f>
        <v>D126947</v>
      </c>
      <c r="BG4921" t="str">
        <f>T("판타지 웹소설 &gt; 퓨전 판타지")</f>
        <v>판타지 웹소설 &gt; 퓨전 판타지</v>
      </c>
    </row>
    <row r="4922" spans="1:59">
      <c r="A4922" t="s">
        <v>60</v>
      </c>
      <c r="B4922" s="1">
        <v>46129</v>
      </c>
      <c r="C4922">
        <v>2378044065</v>
      </c>
      <c r="D4922">
        <v>2378078325</v>
      </c>
      <c r="E4922" t="str">
        <f>T("저승의 왕위를 계승했다 698화")</f>
        <v>저승의 왕위를 계승했다 698화</v>
      </c>
      <c r="F4922">
        <v>700</v>
      </c>
      <c r="G4922" t="str">
        <f>T("신타비")</f>
        <v>신타비</v>
      </c>
      <c r="J4922" t="str">
        <f>T("매드햇")</f>
        <v>매드햇</v>
      </c>
      <c r="K4922" t="str">
        <f>T("저승의 왕위를 계승했다")</f>
        <v>저승의 왕위를 계승했다</v>
      </c>
      <c r="L4922">
        <v>100</v>
      </c>
      <c r="M4922">
        <v>70</v>
      </c>
      <c r="N4922">
        <v>1</v>
      </c>
      <c r="O4922">
        <v>0</v>
      </c>
      <c r="P4922">
        <v>0</v>
      </c>
      <c r="Q4922">
        <v>0</v>
      </c>
      <c r="R4922">
        <v>0</v>
      </c>
      <c r="S4922">
        <v>0</v>
      </c>
      <c r="T4922">
        <v>0</v>
      </c>
      <c r="U4922">
        <v>0</v>
      </c>
      <c r="V4922">
        <v>0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0</v>
      </c>
      <c r="AC4922">
        <v>0</v>
      </c>
      <c r="AD4922">
        <v>0</v>
      </c>
      <c r="AE4922">
        <v>0</v>
      </c>
      <c r="AF4922">
        <v>0</v>
      </c>
      <c r="AG4922">
        <v>0</v>
      </c>
      <c r="AH4922">
        <v>0</v>
      </c>
      <c r="AI4922">
        <v>70</v>
      </c>
      <c r="AJ4922">
        <v>1</v>
      </c>
      <c r="AK4922">
        <v>0</v>
      </c>
      <c r="AL4922">
        <v>0</v>
      </c>
      <c r="AM4922">
        <v>70</v>
      </c>
      <c r="AN4922">
        <v>0</v>
      </c>
      <c r="AO4922">
        <v>0</v>
      </c>
      <c r="AP4922">
        <v>0</v>
      </c>
      <c r="AQ4922">
        <v>0</v>
      </c>
      <c r="AS4922">
        <v>0</v>
      </c>
      <c r="AT4922">
        <v>0</v>
      </c>
      <c r="AV4922">
        <v>0</v>
      </c>
      <c r="AW4922">
        <v>0</v>
      </c>
      <c r="AY4922">
        <v>0</v>
      </c>
      <c r="AZ4922">
        <v>0</v>
      </c>
      <c r="BA4922">
        <v>49</v>
      </c>
      <c r="BE4922" t="str">
        <f>T("9791137014381")</f>
        <v>9791137014381</v>
      </c>
      <c r="BF4922" t="str">
        <f>T("D126948")</f>
        <v>D126948</v>
      </c>
      <c r="BG4922" t="str">
        <f>T("판타지 웹소설 &gt; 퓨전 판타지")</f>
        <v>판타지 웹소설 &gt; 퓨전 판타지</v>
      </c>
    </row>
    <row r="4923" spans="1:59">
      <c r="A4923" t="s">
        <v>60</v>
      </c>
      <c r="B4923" s="1">
        <v>46129</v>
      </c>
      <c r="C4923">
        <v>2378044065</v>
      </c>
      <c r="D4923">
        <v>2378078326</v>
      </c>
      <c r="E4923" t="str">
        <f>T("저승의 왕위를 계승했다 699화")</f>
        <v>저승의 왕위를 계승했다 699화</v>
      </c>
      <c r="F4923">
        <v>701</v>
      </c>
      <c r="G4923" t="str">
        <f>T("신타비")</f>
        <v>신타비</v>
      </c>
      <c r="J4923" t="str">
        <f>T("매드햇")</f>
        <v>매드햇</v>
      </c>
      <c r="K4923" t="str">
        <f>T("저승의 왕위를 계승했다")</f>
        <v>저승의 왕위를 계승했다</v>
      </c>
      <c r="L4923">
        <v>100</v>
      </c>
      <c r="M4923">
        <v>70</v>
      </c>
      <c r="N4923">
        <v>1</v>
      </c>
      <c r="O4923">
        <v>0</v>
      </c>
      <c r="P4923">
        <v>0</v>
      </c>
      <c r="Q4923">
        <v>0</v>
      </c>
      <c r="R4923">
        <v>0</v>
      </c>
      <c r="S4923">
        <v>0</v>
      </c>
      <c r="T4923">
        <v>0</v>
      </c>
      <c r="U4923">
        <v>0</v>
      </c>
      <c r="V4923">
        <v>0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0</v>
      </c>
      <c r="AC4923">
        <v>0</v>
      </c>
      <c r="AD4923">
        <v>0</v>
      </c>
      <c r="AE4923">
        <v>0</v>
      </c>
      <c r="AF4923">
        <v>0</v>
      </c>
      <c r="AG4923">
        <v>0</v>
      </c>
      <c r="AH4923">
        <v>0</v>
      </c>
      <c r="AI4923">
        <v>70</v>
      </c>
      <c r="AJ4923">
        <v>1</v>
      </c>
      <c r="AK4923">
        <v>0</v>
      </c>
      <c r="AL4923">
        <v>0</v>
      </c>
      <c r="AM4923">
        <v>70</v>
      </c>
      <c r="AN4923">
        <v>0</v>
      </c>
      <c r="AO4923">
        <v>0</v>
      </c>
      <c r="AP4923">
        <v>0</v>
      </c>
      <c r="AQ4923">
        <v>0</v>
      </c>
      <c r="AS4923">
        <v>0</v>
      </c>
      <c r="AT4923">
        <v>0</v>
      </c>
      <c r="AV4923">
        <v>0</v>
      </c>
      <c r="AW4923">
        <v>0</v>
      </c>
      <c r="AY4923">
        <v>0</v>
      </c>
      <c r="AZ4923">
        <v>0</v>
      </c>
      <c r="BA4923">
        <v>49</v>
      </c>
      <c r="BE4923" t="str">
        <f>T("9791137014381")</f>
        <v>9791137014381</v>
      </c>
      <c r="BF4923" t="str">
        <f>T("D126949")</f>
        <v>D126949</v>
      </c>
      <c r="BG4923" t="str">
        <f>T("판타지 웹소설 &gt; 퓨전 판타지")</f>
        <v>판타지 웹소설 &gt; 퓨전 판타지</v>
      </c>
    </row>
    <row r="4924" spans="1:59">
      <c r="A4924" t="s">
        <v>60</v>
      </c>
      <c r="B4924" s="1">
        <v>46129</v>
      </c>
      <c r="C4924">
        <v>2378044065</v>
      </c>
      <c r="D4924">
        <v>2378078327</v>
      </c>
      <c r="E4924" t="str">
        <f>T("저승의 왕위를 계승했다 700화")</f>
        <v>저승의 왕위를 계승했다 700화</v>
      </c>
      <c r="F4924">
        <v>702</v>
      </c>
      <c r="G4924" t="str">
        <f>T("신타비")</f>
        <v>신타비</v>
      </c>
      <c r="J4924" t="str">
        <f>T("매드햇")</f>
        <v>매드햇</v>
      </c>
      <c r="K4924" t="str">
        <f>T("저승의 왕위를 계승했다")</f>
        <v>저승의 왕위를 계승했다</v>
      </c>
      <c r="L4924">
        <v>100</v>
      </c>
      <c r="M4924">
        <v>70</v>
      </c>
      <c r="N4924">
        <v>1</v>
      </c>
      <c r="O4924">
        <v>0</v>
      </c>
      <c r="P4924">
        <v>0</v>
      </c>
      <c r="Q4924">
        <v>0</v>
      </c>
      <c r="R4924">
        <v>0</v>
      </c>
      <c r="S4924">
        <v>0</v>
      </c>
      <c r="T4924">
        <v>0</v>
      </c>
      <c r="U4924">
        <v>0</v>
      </c>
      <c r="V4924">
        <v>0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0</v>
      </c>
      <c r="AC4924">
        <v>0</v>
      </c>
      <c r="AD4924">
        <v>0</v>
      </c>
      <c r="AE4924">
        <v>0</v>
      </c>
      <c r="AF4924">
        <v>0</v>
      </c>
      <c r="AG4924">
        <v>0</v>
      </c>
      <c r="AH4924">
        <v>0</v>
      </c>
      <c r="AI4924">
        <v>70</v>
      </c>
      <c r="AJ4924">
        <v>1</v>
      </c>
      <c r="AK4924">
        <v>0</v>
      </c>
      <c r="AL4924">
        <v>0</v>
      </c>
      <c r="AM4924">
        <v>70</v>
      </c>
      <c r="AN4924">
        <v>0</v>
      </c>
      <c r="AO4924">
        <v>0</v>
      </c>
      <c r="AP4924">
        <v>0</v>
      </c>
      <c r="AQ4924">
        <v>0</v>
      </c>
      <c r="AS4924">
        <v>0</v>
      </c>
      <c r="AT4924">
        <v>0</v>
      </c>
      <c r="AV4924">
        <v>0</v>
      </c>
      <c r="AW4924">
        <v>0</v>
      </c>
      <c r="AY4924">
        <v>0</v>
      </c>
      <c r="AZ4924">
        <v>0</v>
      </c>
      <c r="BA4924">
        <v>49</v>
      </c>
      <c r="BE4924" t="str">
        <f>T("9791137014381")</f>
        <v>9791137014381</v>
      </c>
      <c r="BF4924" t="str">
        <f>T("D126950")</f>
        <v>D126950</v>
      </c>
      <c r="BG4924" t="str">
        <f>T("판타지 웹소설 &gt; 퓨전 판타지")</f>
        <v>판타지 웹소설 &gt; 퓨전 판타지</v>
      </c>
    </row>
    <row r="4925" spans="1:59">
      <c r="A4925" t="s">
        <v>60</v>
      </c>
      <c r="B4925" s="1">
        <v>46129</v>
      </c>
      <c r="C4925">
        <v>2378044065</v>
      </c>
      <c r="D4925">
        <v>2378078369</v>
      </c>
      <c r="E4925" t="str">
        <f>T("저승의 왕위를 계승했다 701화")</f>
        <v>저승의 왕위를 계승했다 701화</v>
      </c>
      <c r="F4925">
        <v>703</v>
      </c>
      <c r="G4925" t="str">
        <f>T("신타비")</f>
        <v>신타비</v>
      </c>
      <c r="J4925" t="str">
        <f>T("매드햇")</f>
        <v>매드햇</v>
      </c>
      <c r="K4925" t="str">
        <f>T("저승의 왕위를 계승했다")</f>
        <v>저승의 왕위를 계승했다</v>
      </c>
      <c r="L4925">
        <v>100</v>
      </c>
      <c r="M4925">
        <v>70</v>
      </c>
      <c r="N4925">
        <v>1</v>
      </c>
      <c r="O4925">
        <v>0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0</v>
      </c>
      <c r="V4925">
        <v>0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0</v>
      </c>
      <c r="AC4925">
        <v>0</v>
      </c>
      <c r="AD4925">
        <v>0</v>
      </c>
      <c r="AE4925">
        <v>0</v>
      </c>
      <c r="AF4925">
        <v>0</v>
      </c>
      <c r="AG4925">
        <v>0</v>
      </c>
      <c r="AH4925">
        <v>0</v>
      </c>
      <c r="AI4925">
        <v>70</v>
      </c>
      <c r="AJ4925">
        <v>1</v>
      </c>
      <c r="AK4925">
        <v>0</v>
      </c>
      <c r="AL4925">
        <v>0</v>
      </c>
      <c r="AM4925">
        <v>70</v>
      </c>
      <c r="AN4925">
        <v>0</v>
      </c>
      <c r="AO4925">
        <v>0</v>
      </c>
      <c r="AP4925">
        <v>0</v>
      </c>
      <c r="AQ4925">
        <v>0</v>
      </c>
      <c r="AS4925">
        <v>0</v>
      </c>
      <c r="AT4925">
        <v>0</v>
      </c>
      <c r="AV4925">
        <v>0</v>
      </c>
      <c r="AW4925">
        <v>0</v>
      </c>
      <c r="AY4925">
        <v>0</v>
      </c>
      <c r="AZ4925">
        <v>0</v>
      </c>
      <c r="BA4925">
        <v>49</v>
      </c>
      <c r="BE4925" t="str">
        <f>T("9791137014381")</f>
        <v>9791137014381</v>
      </c>
      <c r="BF4925" t="str">
        <f>T("D126951")</f>
        <v>D126951</v>
      </c>
      <c r="BG4925" t="str">
        <f>T("판타지 웹소설 &gt; 퓨전 판타지")</f>
        <v>판타지 웹소설 &gt; 퓨전 판타지</v>
      </c>
    </row>
    <row r="4926" spans="1:59">
      <c r="A4926" t="s">
        <v>60</v>
      </c>
      <c r="B4926" s="1">
        <v>46129</v>
      </c>
      <c r="C4926">
        <v>2378044065</v>
      </c>
      <c r="D4926">
        <v>2378078370</v>
      </c>
      <c r="E4926" t="str">
        <f>T("저승의 왕위를 계승했다 702화")</f>
        <v>저승의 왕위를 계승했다 702화</v>
      </c>
      <c r="F4926">
        <v>704</v>
      </c>
      <c r="G4926" t="str">
        <f>T("신타비")</f>
        <v>신타비</v>
      </c>
      <c r="J4926" t="str">
        <f>T("매드햇")</f>
        <v>매드햇</v>
      </c>
      <c r="K4926" t="str">
        <f>T("저승의 왕위를 계승했다")</f>
        <v>저승의 왕위를 계승했다</v>
      </c>
      <c r="L4926">
        <v>100</v>
      </c>
      <c r="M4926">
        <v>70</v>
      </c>
      <c r="N4926">
        <v>1</v>
      </c>
      <c r="O4926">
        <v>0</v>
      </c>
      <c r="P4926">
        <v>0</v>
      </c>
      <c r="Q4926">
        <v>0</v>
      </c>
      <c r="R4926">
        <v>0</v>
      </c>
      <c r="S4926">
        <v>0</v>
      </c>
      <c r="T4926">
        <v>0</v>
      </c>
      <c r="U4926">
        <v>0</v>
      </c>
      <c r="V4926">
        <v>0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0</v>
      </c>
      <c r="AC4926">
        <v>0</v>
      </c>
      <c r="AD4926">
        <v>0</v>
      </c>
      <c r="AE4926">
        <v>0</v>
      </c>
      <c r="AF4926">
        <v>0</v>
      </c>
      <c r="AG4926">
        <v>0</v>
      </c>
      <c r="AH4926">
        <v>0</v>
      </c>
      <c r="AI4926">
        <v>70</v>
      </c>
      <c r="AJ4926">
        <v>1</v>
      </c>
      <c r="AK4926">
        <v>0</v>
      </c>
      <c r="AL4926">
        <v>0</v>
      </c>
      <c r="AM4926">
        <v>70</v>
      </c>
      <c r="AN4926">
        <v>0</v>
      </c>
      <c r="AO4926">
        <v>0</v>
      </c>
      <c r="AP4926">
        <v>0</v>
      </c>
      <c r="AQ4926">
        <v>0</v>
      </c>
      <c r="AS4926">
        <v>0</v>
      </c>
      <c r="AT4926">
        <v>0</v>
      </c>
      <c r="AV4926">
        <v>0</v>
      </c>
      <c r="AW4926">
        <v>0</v>
      </c>
      <c r="AY4926">
        <v>0</v>
      </c>
      <c r="AZ4926">
        <v>0</v>
      </c>
      <c r="BA4926">
        <v>49</v>
      </c>
      <c r="BE4926" t="str">
        <f>T("9791137014381")</f>
        <v>9791137014381</v>
      </c>
      <c r="BF4926" t="str">
        <f>T("D126952")</f>
        <v>D126952</v>
      </c>
      <c r="BG4926" t="str">
        <f>T("판타지 웹소설 &gt; 퓨전 판타지")</f>
        <v>판타지 웹소설 &gt; 퓨전 판타지</v>
      </c>
    </row>
    <row r="4927" spans="1:59">
      <c r="A4927" t="s">
        <v>60</v>
      </c>
      <c r="B4927" s="1">
        <v>46129</v>
      </c>
      <c r="C4927">
        <v>2378044065</v>
      </c>
      <c r="D4927">
        <v>2378078371</v>
      </c>
      <c r="E4927" t="str">
        <f>T("저승의 왕위를 계승했다 703화")</f>
        <v>저승의 왕위를 계승했다 703화</v>
      </c>
      <c r="F4927">
        <v>705</v>
      </c>
      <c r="G4927" t="str">
        <f>T("신타비")</f>
        <v>신타비</v>
      </c>
      <c r="J4927" t="str">
        <f>T("매드햇")</f>
        <v>매드햇</v>
      </c>
      <c r="K4927" t="str">
        <f>T("저승의 왕위를 계승했다")</f>
        <v>저승의 왕위를 계승했다</v>
      </c>
      <c r="L4927">
        <v>100</v>
      </c>
      <c r="M4927">
        <v>70</v>
      </c>
      <c r="N4927">
        <v>1</v>
      </c>
      <c r="O4927">
        <v>0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0</v>
      </c>
      <c r="V4927">
        <v>0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0</v>
      </c>
      <c r="AC4927">
        <v>0</v>
      </c>
      <c r="AD4927">
        <v>0</v>
      </c>
      <c r="AE4927">
        <v>0</v>
      </c>
      <c r="AF4927">
        <v>0</v>
      </c>
      <c r="AG4927">
        <v>0</v>
      </c>
      <c r="AH4927">
        <v>0</v>
      </c>
      <c r="AI4927">
        <v>70</v>
      </c>
      <c r="AJ4927">
        <v>1</v>
      </c>
      <c r="AK4927">
        <v>0</v>
      </c>
      <c r="AL4927">
        <v>0</v>
      </c>
      <c r="AM4927">
        <v>70</v>
      </c>
      <c r="AN4927">
        <v>0</v>
      </c>
      <c r="AO4927">
        <v>0</v>
      </c>
      <c r="AP4927">
        <v>0</v>
      </c>
      <c r="AQ4927">
        <v>0</v>
      </c>
      <c r="AS4927">
        <v>0</v>
      </c>
      <c r="AT4927">
        <v>0</v>
      </c>
      <c r="AV4927">
        <v>0</v>
      </c>
      <c r="AW4927">
        <v>0</v>
      </c>
      <c r="AY4927">
        <v>0</v>
      </c>
      <c r="AZ4927">
        <v>0</v>
      </c>
      <c r="BA4927">
        <v>49</v>
      </c>
      <c r="BE4927" t="str">
        <f>T("9791137014381")</f>
        <v>9791137014381</v>
      </c>
      <c r="BF4927" t="str">
        <f>T("D126953")</f>
        <v>D126953</v>
      </c>
      <c r="BG4927" t="str">
        <f>T("판타지 웹소설 &gt; 퓨전 판타지")</f>
        <v>판타지 웹소설 &gt; 퓨전 판타지</v>
      </c>
    </row>
    <row r="4928" spans="1:59">
      <c r="A4928" t="s">
        <v>60</v>
      </c>
      <c r="B4928" s="1">
        <v>46129</v>
      </c>
      <c r="C4928">
        <v>2378044065</v>
      </c>
      <c r="D4928">
        <v>2378078372</v>
      </c>
      <c r="E4928" t="str">
        <f>T("저승의 왕위를 계승했다 704화")</f>
        <v>저승의 왕위를 계승했다 704화</v>
      </c>
      <c r="F4928">
        <v>706</v>
      </c>
      <c r="G4928" t="str">
        <f>T("신타비")</f>
        <v>신타비</v>
      </c>
      <c r="J4928" t="str">
        <f>T("매드햇")</f>
        <v>매드햇</v>
      </c>
      <c r="K4928" t="str">
        <f>T("저승의 왕위를 계승했다")</f>
        <v>저승의 왕위를 계승했다</v>
      </c>
      <c r="L4928">
        <v>100</v>
      </c>
      <c r="M4928">
        <v>70</v>
      </c>
      <c r="N4928">
        <v>1</v>
      </c>
      <c r="O4928">
        <v>0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0</v>
      </c>
      <c r="V4928">
        <v>0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0</v>
      </c>
      <c r="AC4928">
        <v>0</v>
      </c>
      <c r="AD4928">
        <v>0</v>
      </c>
      <c r="AE4928">
        <v>0</v>
      </c>
      <c r="AF4928">
        <v>0</v>
      </c>
      <c r="AG4928">
        <v>0</v>
      </c>
      <c r="AH4928">
        <v>0</v>
      </c>
      <c r="AI4928">
        <v>70</v>
      </c>
      <c r="AJ4928">
        <v>1</v>
      </c>
      <c r="AK4928">
        <v>0</v>
      </c>
      <c r="AL4928">
        <v>0</v>
      </c>
      <c r="AM4928">
        <v>70</v>
      </c>
      <c r="AN4928">
        <v>0</v>
      </c>
      <c r="AO4928">
        <v>0</v>
      </c>
      <c r="AP4928">
        <v>0</v>
      </c>
      <c r="AQ4928">
        <v>0</v>
      </c>
      <c r="AS4928">
        <v>0</v>
      </c>
      <c r="AT4928">
        <v>0</v>
      </c>
      <c r="AV4928">
        <v>0</v>
      </c>
      <c r="AW4928">
        <v>0</v>
      </c>
      <c r="AY4928">
        <v>0</v>
      </c>
      <c r="AZ4928">
        <v>0</v>
      </c>
      <c r="BA4928">
        <v>49</v>
      </c>
      <c r="BE4928" t="str">
        <f>T("9791137014381")</f>
        <v>9791137014381</v>
      </c>
      <c r="BF4928" t="str">
        <f>T("D126954")</f>
        <v>D126954</v>
      </c>
      <c r="BG4928" t="str">
        <f>T("판타지 웹소설 &gt; 퓨전 판타지")</f>
        <v>판타지 웹소설 &gt; 퓨전 판타지</v>
      </c>
    </row>
    <row r="4929" spans="1:59">
      <c r="A4929" t="s">
        <v>60</v>
      </c>
      <c r="B4929" s="1">
        <v>46129</v>
      </c>
      <c r="C4929">
        <v>2378044065</v>
      </c>
      <c r="D4929">
        <v>2378078373</v>
      </c>
      <c r="E4929" t="str">
        <f>T("저승의 왕위를 계승했다 705화")</f>
        <v>저승의 왕위를 계승했다 705화</v>
      </c>
      <c r="F4929">
        <v>707</v>
      </c>
      <c r="G4929" t="str">
        <f>T("신타비")</f>
        <v>신타비</v>
      </c>
      <c r="J4929" t="str">
        <f>T("매드햇")</f>
        <v>매드햇</v>
      </c>
      <c r="K4929" t="str">
        <f>T("저승의 왕위를 계승했다")</f>
        <v>저승의 왕위를 계승했다</v>
      </c>
      <c r="L4929">
        <v>100</v>
      </c>
      <c r="M4929">
        <v>70</v>
      </c>
      <c r="N4929">
        <v>1</v>
      </c>
      <c r="O4929">
        <v>0</v>
      </c>
      <c r="P4929">
        <v>0</v>
      </c>
      <c r="Q4929">
        <v>0</v>
      </c>
      <c r="R4929">
        <v>0</v>
      </c>
      <c r="S4929">
        <v>0</v>
      </c>
      <c r="T4929">
        <v>0</v>
      </c>
      <c r="U4929">
        <v>0</v>
      </c>
      <c r="V4929">
        <v>0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0</v>
      </c>
      <c r="AC4929">
        <v>0</v>
      </c>
      <c r="AD4929">
        <v>0</v>
      </c>
      <c r="AE4929">
        <v>0</v>
      </c>
      <c r="AF4929">
        <v>0</v>
      </c>
      <c r="AG4929">
        <v>0</v>
      </c>
      <c r="AH4929">
        <v>0</v>
      </c>
      <c r="AI4929">
        <v>70</v>
      </c>
      <c r="AJ4929">
        <v>1</v>
      </c>
      <c r="AK4929">
        <v>0</v>
      </c>
      <c r="AL4929">
        <v>0</v>
      </c>
      <c r="AM4929">
        <v>70</v>
      </c>
      <c r="AN4929">
        <v>0</v>
      </c>
      <c r="AO4929">
        <v>0</v>
      </c>
      <c r="AP4929">
        <v>0</v>
      </c>
      <c r="AQ4929">
        <v>0</v>
      </c>
      <c r="AS4929">
        <v>0</v>
      </c>
      <c r="AT4929">
        <v>0</v>
      </c>
      <c r="AV4929">
        <v>0</v>
      </c>
      <c r="AW4929">
        <v>0</v>
      </c>
      <c r="AY4929">
        <v>0</v>
      </c>
      <c r="AZ4929">
        <v>0</v>
      </c>
      <c r="BA4929">
        <v>49</v>
      </c>
      <c r="BE4929" t="str">
        <f>T("9791137014381")</f>
        <v>9791137014381</v>
      </c>
      <c r="BF4929" t="str">
        <f>T("D126955")</f>
        <v>D126955</v>
      </c>
      <c r="BG4929" t="str">
        <f>T("판타지 웹소설 &gt; 퓨전 판타지")</f>
        <v>판타지 웹소설 &gt; 퓨전 판타지</v>
      </c>
    </row>
    <row r="4930" spans="1:59">
      <c r="A4930" t="s">
        <v>60</v>
      </c>
      <c r="B4930" s="1">
        <v>46129</v>
      </c>
      <c r="C4930">
        <v>2378044065</v>
      </c>
      <c r="D4930">
        <v>2378078374</v>
      </c>
      <c r="E4930" t="str">
        <f>T("저승의 왕위를 계승했다 706화")</f>
        <v>저승의 왕위를 계승했다 706화</v>
      </c>
      <c r="F4930">
        <v>708</v>
      </c>
      <c r="G4930" t="str">
        <f>T("신타비")</f>
        <v>신타비</v>
      </c>
      <c r="J4930" t="str">
        <f>T("매드햇")</f>
        <v>매드햇</v>
      </c>
      <c r="K4930" t="str">
        <f>T("저승의 왕위를 계승했다")</f>
        <v>저승의 왕위를 계승했다</v>
      </c>
      <c r="L4930">
        <v>100</v>
      </c>
      <c r="M4930">
        <v>70</v>
      </c>
      <c r="N4930">
        <v>1</v>
      </c>
      <c r="O4930">
        <v>0</v>
      </c>
      <c r="P4930">
        <v>0</v>
      </c>
      <c r="Q4930">
        <v>0</v>
      </c>
      <c r="R4930">
        <v>0</v>
      </c>
      <c r="S4930">
        <v>0</v>
      </c>
      <c r="T4930">
        <v>0</v>
      </c>
      <c r="U4930">
        <v>0</v>
      </c>
      <c r="V4930">
        <v>0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0</v>
      </c>
      <c r="AC4930">
        <v>0</v>
      </c>
      <c r="AD4930">
        <v>0</v>
      </c>
      <c r="AE4930">
        <v>0</v>
      </c>
      <c r="AF4930">
        <v>0</v>
      </c>
      <c r="AG4930">
        <v>0</v>
      </c>
      <c r="AH4930">
        <v>0</v>
      </c>
      <c r="AI4930">
        <v>70</v>
      </c>
      <c r="AJ4930">
        <v>1</v>
      </c>
      <c r="AK4930">
        <v>0</v>
      </c>
      <c r="AL4930">
        <v>0</v>
      </c>
      <c r="AM4930">
        <v>70</v>
      </c>
      <c r="AN4930">
        <v>0</v>
      </c>
      <c r="AO4930">
        <v>0</v>
      </c>
      <c r="AP4930">
        <v>0</v>
      </c>
      <c r="AQ4930">
        <v>0</v>
      </c>
      <c r="AS4930">
        <v>0</v>
      </c>
      <c r="AT4930">
        <v>0</v>
      </c>
      <c r="AV4930">
        <v>0</v>
      </c>
      <c r="AW4930">
        <v>0</v>
      </c>
      <c r="AY4930">
        <v>0</v>
      </c>
      <c r="AZ4930">
        <v>0</v>
      </c>
      <c r="BA4930">
        <v>49</v>
      </c>
      <c r="BE4930" t="str">
        <f>T("9791137014381")</f>
        <v>9791137014381</v>
      </c>
      <c r="BF4930" t="str">
        <f>T("D126956")</f>
        <v>D126956</v>
      </c>
      <c r="BG4930" t="str">
        <f>T("판타지 웹소설 &gt; 퓨전 판타지")</f>
        <v>판타지 웹소설 &gt; 퓨전 판타지</v>
      </c>
    </row>
    <row r="4931" spans="1:59">
      <c r="A4931" t="s">
        <v>60</v>
      </c>
      <c r="B4931" s="1">
        <v>46129</v>
      </c>
      <c r="C4931">
        <v>2378044065</v>
      </c>
      <c r="D4931">
        <v>2378078434</v>
      </c>
      <c r="E4931" t="str">
        <f>T("저승의 왕위를 계승했다 707화")</f>
        <v>저승의 왕위를 계승했다 707화</v>
      </c>
      <c r="F4931">
        <v>709</v>
      </c>
      <c r="G4931" t="str">
        <f>T("신타비")</f>
        <v>신타비</v>
      </c>
      <c r="J4931" t="str">
        <f>T("매드햇")</f>
        <v>매드햇</v>
      </c>
      <c r="K4931" t="str">
        <f>T("저승의 왕위를 계승했다")</f>
        <v>저승의 왕위를 계승했다</v>
      </c>
      <c r="L4931">
        <v>100</v>
      </c>
      <c r="M4931">
        <v>70</v>
      </c>
      <c r="N4931">
        <v>1</v>
      </c>
      <c r="O4931">
        <v>0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0</v>
      </c>
      <c r="V4931">
        <v>0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0</v>
      </c>
      <c r="AC4931">
        <v>0</v>
      </c>
      <c r="AD4931">
        <v>0</v>
      </c>
      <c r="AE4931">
        <v>0</v>
      </c>
      <c r="AF4931">
        <v>0</v>
      </c>
      <c r="AG4931">
        <v>0</v>
      </c>
      <c r="AH4931">
        <v>0</v>
      </c>
      <c r="AI4931">
        <v>70</v>
      </c>
      <c r="AJ4931">
        <v>1</v>
      </c>
      <c r="AK4931">
        <v>0</v>
      </c>
      <c r="AL4931">
        <v>0</v>
      </c>
      <c r="AM4931">
        <v>70</v>
      </c>
      <c r="AN4931">
        <v>0</v>
      </c>
      <c r="AO4931">
        <v>0</v>
      </c>
      <c r="AP4931">
        <v>0</v>
      </c>
      <c r="AQ4931">
        <v>0</v>
      </c>
      <c r="AS4931">
        <v>0</v>
      </c>
      <c r="AT4931">
        <v>0</v>
      </c>
      <c r="AV4931">
        <v>0</v>
      </c>
      <c r="AW4931">
        <v>0</v>
      </c>
      <c r="AY4931">
        <v>0</v>
      </c>
      <c r="AZ4931">
        <v>0</v>
      </c>
      <c r="BA4931">
        <v>49</v>
      </c>
      <c r="BE4931" t="str">
        <f>T("9791137014381")</f>
        <v>9791137014381</v>
      </c>
      <c r="BF4931" t="str">
        <f>T("D126957")</f>
        <v>D126957</v>
      </c>
      <c r="BG4931" t="str">
        <f>T("판타지 웹소설 &gt; 퓨전 판타지")</f>
        <v>판타지 웹소설 &gt; 퓨전 판타지</v>
      </c>
    </row>
    <row r="4932" spans="1:59">
      <c r="A4932" t="s">
        <v>60</v>
      </c>
      <c r="B4932" s="1">
        <v>46129</v>
      </c>
      <c r="C4932">
        <v>2378044065</v>
      </c>
      <c r="D4932">
        <v>2378078435</v>
      </c>
      <c r="E4932" t="str">
        <f>T("저승의 왕위를 계승했다 708화")</f>
        <v>저승의 왕위를 계승했다 708화</v>
      </c>
      <c r="F4932">
        <v>710</v>
      </c>
      <c r="G4932" t="str">
        <f>T("신타비")</f>
        <v>신타비</v>
      </c>
      <c r="J4932" t="str">
        <f>T("매드햇")</f>
        <v>매드햇</v>
      </c>
      <c r="K4932" t="str">
        <f>T("저승의 왕위를 계승했다")</f>
        <v>저승의 왕위를 계승했다</v>
      </c>
      <c r="L4932">
        <v>100</v>
      </c>
      <c r="M4932">
        <v>70</v>
      </c>
      <c r="N4932">
        <v>1</v>
      </c>
      <c r="O4932">
        <v>0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0</v>
      </c>
      <c r="V4932">
        <v>0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0</v>
      </c>
      <c r="AC4932">
        <v>0</v>
      </c>
      <c r="AD4932">
        <v>0</v>
      </c>
      <c r="AE4932">
        <v>0</v>
      </c>
      <c r="AF4932">
        <v>0</v>
      </c>
      <c r="AG4932">
        <v>0</v>
      </c>
      <c r="AH4932">
        <v>0</v>
      </c>
      <c r="AI4932">
        <v>70</v>
      </c>
      <c r="AJ4932">
        <v>1</v>
      </c>
      <c r="AK4932">
        <v>0</v>
      </c>
      <c r="AL4932">
        <v>0</v>
      </c>
      <c r="AM4932">
        <v>70</v>
      </c>
      <c r="AN4932">
        <v>0</v>
      </c>
      <c r="AO4932">
        <v>0</v>
      </c>
      <c r="AP4932">
        <v>0</v>
      </c>
      <c r="AQ4932">
        <v>0</v>
      </c>
      <c r="AS4932">
        <v>0</v>
      </c>
      <c r="AT4932">
        <v>0</v>
      </c>
      <c r="AV4932">
        <v>0</v>
      </c>
      <c r="AW4932">
        <v>0</v>
      </c>
      <c r="AY4932">
        <v>0</v>
      </c>
      <c r="AZ4932">
        <v>0</v>
      </c>
      <c r="BA4932">
        <v>49</v>
      </c>
      <c r="BE4932" t="str">
        <f>T("9791137014381")</f>
        <v>9791137014381</v>
      </c>
      <c r="BF4932" t="str">
        <f>T("D126958")</f>
        <v>D126958</v>
      </c>
      <c r="BG4932" t="str">
        <f>T("판타지 웹소설 &gt; 퓨전 판타지")</f>
        <v>판타지 웹소설 &gt; 퓨전 판타지</v>
      </c>
    </row>
    <row r="4933" spans="1:59">
      <c r="A4933" t="s">
        <v>60</v>
      </c>
      <c r="B4933" s="1">
        <v>46129</v>
      </c>
      <c r="C4933">
        <v>2378044065</v>
      </c>
      <c r="D4933">
        <v>2378078455</v>
      </c>
      <c r="E4933" t="str">
        <f>T("저승의 왕위를 계승했다 709화")</f>
        <v>저승의 왕위를 계승했다 709화</v>
      </c>
      <c r="F4933">
        <v>711</v>
      </c>
      <c r="G4933" t="str">
        <f>T("신타비")</f>
        <v>신타비</v>
      </c>
      <c r="J4933" t="str">
        <f>T("매드햇")</f>
        <v>매드햇</v>
      </c>
      <c r="K4933" t="str">
        <f>T("저승의 왕위를 계승했다")</f>
        <v>저승의 왕위를 계승했다</v>
      </c>
      <c r="L4933">
        <v>100</v>
      </c>
      <c r="M4933">
        <v>70</v>
      </c>
      <c r="N4933">
        <v>1</v>
      </c>
      <c r="O4933">
        <v>0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0</v>
      </c>
      <c r="V4933">
        <v>0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0</v>
      </c>
      <c r="AC4933">
        <v>0</v>
      </c>
      <c r="AD4933">
        <v>0</v>
      </c>
      <c r="AE4933">
        <v>0</v>
      </c>
      <c r="AF4933">
        <v>0</v>
      </c>
      <c r="AG4933">
        <v>0</v>
      </c>
      <c r="AH4933">
        <v>0</v>
      </c>
      <c r="AI4933">
        <v>70</v>
      </c>
      <c r="AJ4933">
        <v>1</v>
      </c>
      <c r="AK4933">
        <v>0</v>
      </c>
      <c r="AL4933">
        <v>0</v>
      </c>
      <c r="AM4933">
        <v>70</v>
      </c>
      <c r="AN4933">
        <v>0</v>
      </c>
      <c r="AO4933">
        <v>0</v>
      </c>
      <c r="AP4933">
        <v>0</v>
      </c>
      <c r="AQ4933">
        <v>0</v>
      </c>
      <c r="AS4933">
        <v>0</v>
      </c>
      <c r="AT4933">
        <v>0</v>
      </c>
      <c r="AV4933">
        <v>0</v>
      </c>
      <c r="AW4933">
        <v>0</v>
      </c>
      <c r="AY4933">
        <v>0</v>
      </c>
      <c r="AZ4933">
        <v>0</v>
      </c>
      <c r="BA4933">
        <v>49</v>
      </c>
      <c r="BE4933" t="str">
        <f>T("9791137014381")</f>
        <v>9791137014381</v>
      </c>
      <c r="BF4933" t="str">
        <f>T("D126959")</f>
        <v>D126959</v>
      </c>
      <c r="BG4933" t="str">
        <f>T("판타지 웹소설 &gt; 퓨전 판타지")</f>
        <v>판타지 웹소설 &gt; 퓨전 판타지</v>
      </c>
    </row>
    <row r="4934" spans="1:59">
      <c r="A4934" t="s">
        <v>60</v>
      </c>
      <c r="B4934" s="1">
        <v>46129</v>
      </c>
      <c r="C4934">
        <v>2378044065</v>
      </c>
      <c r="D4934">
        <v>2378078456</v>
      </c>
      <c r="E4934" t="str">
        <f>T("저승의 왕위를 계승했다 710화")</f>
        <v>저승의 왕위를 계승했다 710화</v>
      </c>
      <c r="F4934">
        <v>712</v>
      </c>
      <c r="G4934" t="str">
        <f>T("신타비")</f>
        <v>신타비</v>
      </c>
      <c r="J4934" t="str">
        <f>T("매드햇")</f>
        <v>매드햇</v>
      </c>
      <c r="K4934" t="str">
        <f>T("저승의 왕위를 계승했다")</f>
        <v>저승의 왕위를 계승했다</v>
      </c>
      <c r="L4934">
        <v>100</v>
      </c>
      <c r="M4934">
        <v>70</v>
      </c>
      <c r="N4934">
        <v>1</v>
      </c>
      <c r="O4934">
        <v>0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0</v>
      </c>
      <c r="V4934">
        <v>0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0</v>
      </c>
      <c r="AC4934">
        <v>0</v>
      </c>
      <c r="AD4934">
        <v>0</v>
      </c>
      <c r="AE4934">
        <v>0</v>
      </c>
      <c r="AF4934">
        <v>0</v>
      </c>
      <c r="AG4934">
        <v>0</v>
      </c>
      <c r="AH4934">
        <v>0</v>
      </c>
      <c r="AI4934">
        <v>70</v>
      </c>
      <c r="AJ4934">
        <v>1</v>
      </c>
      <c r="AK4934">
        <v>0</v>
      </c>
      <c r="AL4934">
        <v>0</v>
      </c>
      <c r="AM4934">
        <v>70</v>
      </c>
      <c r="AN4934">
        <v>0</v>
      </c>
      <c r="AO4934">
        <v>0</v>
      </c>
      <c r="AP4934">
        <v>0</v>
      </c>
      <c r="AQ4934">
        <v>0</v>
      </c>
      <c r="AS4934">
        <v>0</v>
      </c>
      <c r="AT4934">
        <v>0</v>
      </c>
      <c r="AV4934">
        <v>0</v>
      </c>
      <c r="AW4934">
        <v>0</v>
      </c>
      <c r="AY4934">
        <v>0</v>
      </c>
      <c r="AZ4934">
        <v>0</v>
      </c>
      <c r="BA4934">
        <v>49</v>
      </c>
      <c r="BE4934" t="str">
        <f>T("9791137014381")</f>
        <v>9791137014381</v>
      </c>
      <c r="BF4934" t="str">
        <f>T("D126960")</f>
        <v>D126960</v>
      </c>
      <c r="BG4934" t="str">
        <f>T("판타지 웹소설 &gt; 퓨전 판타지")</f>
        <v>판타지 웹소설 &gt; 퓨전 판타지</v>
      </c>
    </row>
    <row r="4935" spans="1:59">
      <c r="A4935" t="s">
        <v>60</v>
      </c>
      <c r="B4935" s="1">
        <v>46129</v>
      </c>
      <c r="C4935">
        <v>2378044065</v>
      </c>
      <c r="D4935">
        <v>2378078457</v>
      </c>
      <c r="E4935" t="str">
        <f>T("저승의 왕위를 계승했다 711화")</f>
        <v>저승의 왕위를 계승했다 711화</v>
      </c>
      <c r="F4935">
        <v>713</v>
      </c>
      <c r="G4935" t="str">
        <f>T("신타비")</f>
        <v>신타비</v>
      </c>
      <c r="J4935" t="str">
        <f>T("매드햇")</f>
        <v>매드햇</v>
      </c>
      <c r="K4935" t="str">
        <f>T("저승의 왕위를 계승했다")</f>
        <v>저승의 왕위를 계승했다</v>
      </c>
      <c r="L4935">
        <v>100</v>
      </c>
      <c r="M4935">
        <v>70</v>
      </c>
      <c r="N4935">
        <v>1</v>
      </c>
      <c r="O4935">
        <v>0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0</v>
      </c>
      <c r="V4935">
        <v>0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0</v>
      </c>
      <c r="AC4935">
        <v>0</v>
      </c>
      <c r="AD4935">
        <v>0</v>
      </c>
      <c r="AE4935">
        <v>0</v>
      </c>
      <c r="AF4935">
        <v>0</v>
      </c>
      <c r="AG4935">
        <v>0</v>
      </c>
      <c r="AH4935">
        <v>0</v>
      </c>
      <c r="AI4935">
        <v>70</v>
      </c>
      <c r="AJ4935">
        <v>1</v>
      </c>
      <c r="AK4935">
        <v>0</v>
      </c>
      <c r="AL4935">
        <v>0</v>
      </c>
      <c r="AM4935">
        <v>70</v>
      </c>
      <c r="AN4935">
        <v>0</v>
      </c>
      <c r="AO4935">
        <v>0</v>
      </c>
      <c r="AP4935">
        <v>0</v>
      </c>
      <c r="AQ4935">
        <v>0</v>
      </c>
      <c r="AS4935">
        <v>0</v>
      </c>
      <c r="AT4935">
        <v>0</v>
      </c>
      <c r="AV4935">
        <v>0</v>
      </c>
      <c r="AW4935">
        <v>0</v>
      </c>
      <c r="AY4935">
        <v>0</v>
      </c>
      <c r="AZ4935">
        <v>0</v>
      </c>
      <c r="BA4935">
        <v>49</v>
      </c>
      <c r="BE4935" t="str">
        <f>T("9791137014381")</f>
        <v>9791137014381</v>
      </c>
      <c r="BF4935" t="str">
        <f>T("D147791")</f>
        <v>D147791</v>
      </c>
      <c r="BG4935" t="str">
        <f>T("판타지 웹소설 &gt; 퓨전 판타지")</f>
        <v>판타지 웹소설 &gt; 퓨전 판타지</v>
      </c>
    </row>
    <row r="4936" spans="1:59">
      <c r="A4936" t="s">
        <v>60</v>
      </c>
      <c r="B4936" s="1">
        <v>46129</v>
      </c>
      <c r="C4936">
        <v>2378044065</v>
      </c>
      <c r="D4936">
        <v>2378078477</v>
      </c>
      <c r="E4936" t="str">
        <f>T("저승의 왕위를 계승했다 712화")</f>
        <v>저승의 왕위를 계승했다 712화</v>
      </c>
      <c r="F4936">
        <v>714</v>
      </c>
      <c r="G4936" t="str">
        <f>T("신타비")</f>
        <v>신타비</v>
      </c>
      <c r="J4936" t="str">
        <f>T("매드햇")</f>
        <v>매드햇</v>
      </c>
      <c r="K4936" t="str">
        <f>T("저승의 왕위를 계승했다")</f>
        <v>저승의 왕위를 계승했다</v>
      </c>
      <c r="L4936">
        <v>100</v>
      </c>
      <c r="M4936">
        <v>70</v>
      </c>
      <c r="N4936">
        <v>1</v>
      </c>
      <c r="O4936">
        <v>0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0</v>
      </c>
      <c r="V4936">
        <v>0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0</v>
      </c>
      <c r="AC4936">
        <v>0</v>
      </c>
      <c r="AD4936">
        <v>0</v>
      </c>
      <c r="AE4936">
        <v>0</v>
      </c>
      <c r="AF4936">
        <v>0</v>
      </c>
      <c r="AG4936">
        <v>0</v>
      </c>
      <c r="AH4936">
        <v>0</v>
      </c>
      <c r="AI4936">
        <v>70</v>
      </c>
      <c r="AJ4936">
        <v>1</v>
      </c>
      <c r="AK4936">
        <v>0</v>
      </c>
      <c r="AL4936">
        <v>0</v>
      </c>
      <c r="AM4936">
        <v>70</v>
      </c>
      <c r="AN4936">
        <v>0</v>
      </c>
      <c r="AO4936">
        <v>0</v>
      </c>
      <c r="AP4936">
        <v>0</v>
      </c>
      <c r="AQ4936">
        <v>0</v>
      </c>
      <c r="AS4936">
        <v>0</v>
      </c>
      <c r="AT4936">
        <v>0</v>
      </c>
      <c r="AV4936">
        <v>0</v>
      </c>
      <c r="AW4936">
        <v>0</v>
      </c>
      <c r="AY4936">
        <v>0</v>
      </c>
      <c r="AZ4936">
        <v>0</v>
      </c>
      <c r="BA4936">
        <v>49</v>
      </c>
      <c r="BE4936" t="str">
        <f>T("9791137014381")</f>
        <v>9791137014381</v>
      </c>
      <c r="BF4936" t="str">
        <f>T("D147792")</f>
        <v>D147792</v>
      </c>
      <c r="BG4936" t="str">
        <f>T("판타지 웹소설 &gt; 퓨전 판타지")</f>
        <v>판타지 웹소설 &gt; 퓨전 판타지</v>
      </c>
    </row>
    <row r="4937" spans="1:59">
      <c r="A4937" t="s">
        <v>60</v>
      </c>
      <c r="B4937" s="1">
        <v>46129</v>
      </c>
      <c r="C4937">
        <v>2378044065</v>
      </c>
      <c r="D4937">
        <v>2378044065</v>
      </c>
      <c r="E4937" t="str">
        <f>T("저승의 왕위를 계승했다 1화")</f>
        <v>저승의 왕위를 계승했다 1화</v>
      </c>
      <c r="F4937">
        <v>1</v>
      </c>
      <c r="G4937" t="str">
        <f>T("신타비")</f>
        <v>신타비</v>
      </c>
      <c r="J4937" t="str">
        <f>T("매드햇")</f>
        <v>매드햇</v>
      </c>
      <c r="K4937" t="str">
        <f>T("저승의 왕위를 계승했다")</f>
        <v>저승의 왕위를 계승했다</v>
      </c>
      <c r="L4937">
        <v>0</v>
      </c>
      <c r="M4937">
        <v>0</v>
      </c>
      <c r="N4937">
        <v>0</v>
      </c>
      <c r="O4937">
        <v>8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0</v>
      </c>
      <c r="V4937">
        <v>0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0</v>
      </c>
      <c r="AC4937">
        <v>0</v>
      </c>
      <c r="AD4937">
        <v>0</v>
      </c>
      <c r="AE4937">
        <v>0</v>
      </c>
      <c r="AF4937">
        <v>0</v>
      </c>
      <c r="AG4937">
        <v>0</v>
      </c>
      <c r="AH4937">
        <v>0</v>
      </c>
      <c r="AI4937">
        <v>0</v>
      </c>
      <c r="AJ4937">
        <v>8</v>
      </c>
      <c r="AK4937">
        <v>0</v>
      </c>
      <c r="AL4937">
        <v>0</v>
      </c>
      <c r="AM4937">
        <v>0</v>
      </c>
      <c r="AN4937">
        <v>0</v>
      </c>
      <c r="AO4937">
        <v>0</v>
      </c>
      <c r="AP4937">
        <v>0</v>
      </c>
      <c r="AQ4937">
        <v>0</v>
      </c>
      <c r="AS4937">
        <v>0</v>
      </c>
      <c r="AT4937">
        <v>0</v>
      </c>
      <c r="AV4937">
        <v>0</v>
      </c>
      <c r="AW4937">
        <v>0</v>
      </c>
      <c r="AY4937">
        <v>0</v>
      </c>
      <c r="AZ4937">
        <v>0</v>
      </c>
      <c r="BA4937">
        <v>0</v>
      </c>
      <c r="BE4937" t="str">
        <f>T("9791137014381")</f>
        <v>9791137014381</v>
      </c>
      <c r="BF4937" t="str">
        <f>T("N218749")</f>
        <v>N218749</v>
      </c>
      <c r="BG4937" t="str">
        <f>T("판타지 웹소설 &gt; 퓨전 판타지")</f>
        <v>판타지 웹소설 &gt; 퓨전 판타지</v>
      </c>
    </row>
    <row r="4938" spans="1:59">
      <c r="A4938" t="s">
        <v>60</v>
      </c>
      <c r="B4938" s="1">
        <v>46129</v>
      </c>
      <c r="C4938">
        <v>2378044065</v>
      </c>
      <c r="D4938">
        <v>2378044066</v>
      </c>
      <c r="E4938" t="str">
        <f>T("저승의 왕위를 계승했다 2화")</f>
        <v>저승의 왕위를 계승했다 2화</v>
      </c>
      <c r="F4938">
        <v>2</v>
      </c>
      <c r="G4938" t="str">
        <f>T("신타비")</f>
        <v>신타비</v>
      </c>
      <c r="J4938" t="str">
        <f>T("매드햇")</f>
        <v>매드햇</v>
      </c>
      <c r="K4938" t="str">
        <f>T("저승의 왕위를 계승했다")</f>
        <v>저승의 왕위를 계승했다</v>
      </c>
      <c r="L4938">
        <v>0</v>
      </c>
      <c r="M4938">
        <v>0</v>
      </c>
      <c r="N4938">
        <v>0</v>
      </c>
      <c r="O4938">
        <v>6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0</v>
      </c>
      <c r="V4938">
        <v>0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0</v>
      </c>
      <c r="AC4938">
        <v>0</v>
      </c>
      <c r="AD4938">
        <v>0</v>
      </c>
      <c r="AE4938">
        <v>0</v>
      </c>
      <c r="AF4938">
        <v>0</v>
      </c>
      <c r="AG4938">
        <v>0</v>
      </c>
      <c r="AH4938">
        <v>0</v>
      </c>
      <c r="AI4938">
        <v>0</v>
      </c>
      <c r="AJ4938">
        <v>6</v>
      </c>
      <c r="AK4938">
        <v>0</v>
      </c>
      <c r="AL4938">
        <v>0</v>
      </c>
      <c r="AM4938">
        <v>0</v>
      </c>
      <c r="AN4938">
        <v>0</v>
      </c>
      <c r="AO4938">
        <v>0</v>
      </c>
      <c r="AP4938">
        <v>0</v>
      </c>
      <c r="AQ4938">
        <v>0</v>
      </c>
      <c r="AS4938">
        <v>0</v>
      </c>
      <c r="AT4938">
        <v>0</v>
      </c>
      <c r="AV4938">
        <v>0</v>
      </c>
      <c r="AW4938">
        <v>0</v>
      </c>
      <c r="AY4938">
        <v>0</v>
      </c>
      <c r="AZ4938">
        <v>0</v>
      </c>
      <c r="BA4938">
        <v>0</v>
      </c>
      <c r="BE4938" t="str">
        <f>T("9791137014381")</f>
        <v>9791137014381</v>
      </c>
      <c r="BF4938" t="str">
        <f>T("N218750")</f>
        <v>N218750</v>
      </c>
      <c r="BG4938" t="str">
        <f>T("판타지 웹소설 &gt; 퓨전 판타지")</f>
        <v>판타지 웹소설 &gt; 퓨전 판타지</v>
      </c>
    </row>
    <row r="4939" spans="1:59">
      <c r="A4939" t="s">
        <v>60</v>
      </c>
      <c r="B4939" s="1">
        <v>46129</v>
      </c>
      <c r="C4939">
        <v>2378044065</v>
      </c>
      <c r="D4939">
        <v>2378044067</v>
      </c>
      <c r="E4939" t="str">
        <f>T("저승의 왕위를 계승했다 3화")</f>
        <v>저승의 왕위를 계승했다 3화</v>
      </c>
      <c r="F4939">
        <v>3</v>
      </c>
      <c r="G4939" t="str">
        <f>T("신타비")</f>
        <v>신타비</v>
      </c>
      <c r="J4939" t="str">
        <f>T("매드햇")</f>
        <v>매드햇</v>
      </c>
      <c r="K4939" t="str">
        <f>T("저승의 왕위를 계승했다")</f>
        <v>저승의 왕위를 계승했다</v>
      </c>
      <c r="L4939">
        <v>0</v>
      </c>
      <c r="M4939">
        <v>0</v>
      </c>
      <c r="N4939">
        <v>0</v>
      </c>
      <c r="O4939">
        <v>4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0</v>
      </c>
      <c r="V4939">
        <v>0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0</v>
      </c>
      <c r="AC4939">
        <v>0</v>
      </c>
      <c r="AD4939">
        <v>0</v>
      </c>
      <c r="AE4939">
        <v>0</v>
      </c>
      <c r="AF4939">
        <v>0</v>
      </c>
      <c r="AG4939">
        <v>0</v>
      </c>
      <c r="AH4939">
        <v>0</v>
      </c>
      <c r="AI4939">
        <v>0</v>
      </c>
      <c r="AJ4939">
        <v>4</v>
      </c>
      <c r="AK4939">
        <v>0</v>
      </c>
      <c r="AL4939">
        <v>0</v>
      </c>
      <c r="AM4939">
        <v>0</v>
      </c>
      <c r="AN4939">
        <v>0</v>
      </c>
      <c r="AO4939">
        <v>0</v>
      </c>
      <c r="AP4939">
        <v>0</v>
      </c>
      <c r="AQ4939">
        <v>0</v>
      </c>
      <c r="AS4939">
        <v>0</v>
      </c>
      <c r="AT4939">
        <v>0</v>
      </c>
      <c r="AV4939">
        <v>0</v>
      </c>
      <c r="AW4939">
        <v>0</v>
      </c>
      <c r="AY4939">
        <v>0</v>
      </c>
      <c r="AZ4939">
        <v>0</v>
      </c>
      <c r="BA4939">
        <v>0</v>
      </c>
      <c r="BE4939" t="str">
        <f>T("9791137014381")</f>
        <v>9791137014381</v>
      </c>
      <c r="BF4939" t="str">
        <f>T("N218751")</f>
        <v>N218751</v>
      </c>
      <c r="BG4939" t="str">
        <f>T("판타지 웹소설 &gt; 퓨전 판타지")</f>
        <v>판타지 웹소설 &gt; 퓨전 판타지</v>
      </c>
    </row>
    <row r="4940" spans="1:59">
      <c r="A4940" t="s">
        <v>60</v>
      </c>
      <c r="B4940" s="1">
        <v>46129</v>
      </c>
      <c r="C4940">
        <v>2378044065</v>
      </c>
      <c r="D4940">
        <v>2378044068</v>
      </c>
      <c r="E4940" t="str">
        <f>T("저승의 왕위를 계승했다 4화")</f>
        <v>저승의 왕위를 계승했다 4화</v>
      </c>
      <c r="F4940">
        <v>4</v>
      </c>
      <c r="G4940" t="str">
        <f>T("신타비")</f>
        <v>신타비</v>
      </c>
      <c r="J4940" t="str">
        <f>T("매드햇")</f>
        <v>매드햇</v>
      </c>
      <c r="K4940" t="str">
        <f>T("저승의 왕위를 계승했다")</f>
        <v>저승의 왕위를 계승했다</v>
      </c>
      <c r="L4940">
        <v>0</v>
      </c>
      <c r="M4940">
        <v>0</v>
      </c>
      <c r="N4940">
        <v>0</v>
      </c>
      <c r="O4940">
        <v>4</v>
      </c>
      <c r="P4940">
        <v>0</v>
      </c>
      <c r="Q4940">
        <v>0</v>
      </c>
      <c r="R4940">
        <v>0</v>
      </c>
      <c r="S4940">
        <v>0</v>
      </c>
      <c r="T4940">
        <v>0</v>
      </c>
      <c r="U4940">
        <v>0</v>
      </c>
      <c r="V4940">
        <v>0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0</v>
      </c>
      <c r="AC4940">
        <v>0</v>
      </c>
      <c r="AD4940">
        <v>0</v>
      </c>
      <c r="AE4940">
        <v>0</v>
      </c>
      <c r="AF4940">
        <v>0</v>
      </c>
      <c r="AG4940">
        <v>0</v>
      </c>
      <c r="AH4940">
        <v>0</v>
      </c>
      <c r="AI4940">
        <v>0</v>
      </c>
      <c r="AJ4940">
        <v>4</v>
      </c>
      <c r="AK4940">
        <v>0</v>
      </c>
      <c r="AL4940">
        <v>0</v>
      </c>
      <c r="AM4940">
        <v>0</v>
      </c>
      <c r="AN4940">
        <v>0</v>
      </c>
      <c r="AO4940">
        <v>0</v>
      </c>
      <c r="AP4940">
        <v>0</v>
      </c>
      <c r="AQ4940">
        <v>0</v>
      </c>
      <c r="AS4940">
        <v>0</v>
      </c>
      <c r="AT4940">
        <v>0</v>
      </c>
      <c r="AV4940">
        <v>0</v>
      </c>
      <c r="AW4940">
        <v>0</v>
      </c>
      <c r="AY4940">
        <v>0</v>
      </c>
      <c r="AZ4940">
        <v>0</v>
      </c>
      <c r="BA4940">
        <v>0</v>
      </c>
      <c r="BE4940" t="str">
        <f>T("9791137014381")</f>
        <v>9791137014381</v>
      </c>
      <c r="BF4940" t="str">
        <f>T("N218752")</f>
        <v>N218752</v>
      </c>
      <c r="BG4940" t="str">
        <f>T("판타지 웹소설 &gt; 퓨전 판타지")</f>
        <v>판타지 웹소설 &gt; 퓨전 판타지</v>
      </c>
    </row>
    <row r="4941" spans="1:59">
      <c r="A4941" t="s">
        <v>60</v>
      </c>
      <c r="B4941" s="1">
        <v>46129</v>
      </c>
      <c r="C4941">
        <v>2378044065</v>
      </c>
      <c r="D4941">
        <v>2378044069</v>
      </c>
      <c r="E4941" t="str">
        <f>T("저승의 왕위를 계승했다 5화")</f>
        <v>저승의 왕위를 계승했다 5화</v>
      </c>
      <c r="F4941">
        <v>5</v>
      </c>
      <c r="G4941" t="str">
        <f>T("신타비")</f>
        <v>신타비</v>
      </c>
      <c r="J4941" t="str">
        <f>T("매드햇")</f>
        <v>매드햇</v>
      </c>
      <c r="K4941" t="str">
        <f>T("저승의 왕위를 계승했다")</f>
        <v>저승의 왕위를 계승했다</v>
      </c>
      <c r="L4941">
        <v>0</v>
      </c>
      <c r="M4941">
        <v>0</v>
      </c>
      <c r="N4941">
        <v>0</v>
      </c>
      <c r="O4941">
        <v>3</v>
      </c>
      <c r="P4941">
        <v>0</v>
      </c>
      <c r="Q4941">
        <v>0</v>
      </c>
      <c r="R4941">
        <v>0</v>
      </c>
      <c r="S4941">
        <v>0</v>
      </c>
      <c r="T4941">
        <v>0</v>
      </c>
      <c r="U4941">
        <v>0</v>
      </c>
      <c r="V4941">
        <v>0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0</v>
      </c>
      <c r="AC4941">
        <v>0</v>
      </c>
      <c r="AD4941">
        <v>0</v>
      </c>
      <c r="AE4941">
        <v>0</v>
      </c>
      <c r="AF4941">
        <v>0</v>
      </c>
      <c r="AG4941">
        <v>0</v>
      </c>
      <c r="AH4941">
        <v>0</v>
      </c>
      <c r="AI4941">
        <v>0</v>
      </c>
      <c r="AJ4941">
        <v>3</v>
      </c>
      <c r="AK4941">
        <v>0</v>
      </c>
      <c r="AL4941">
        <v>0</v>
      </c>
      <c r="AM4941">
        <v>0</v>
      </c>
      <c r="AN4941">
        <v>0</v>
      </c>
      <c r="AO4941">
        <v>0</v>
      </c>
      <c r="AP4941">
        <v>0</v>
      </c>
      <c r="AQ4941">
        <v>0</v>
      </c>
      <c r="AS4941">
        <v>0</v>
      </c>
      <c r="AT4941">
        <v>0</v>
      </c>
      <c r="AV4941">
        <v>0</v>
      </c>
      <c r="AW4941">
        <v>0</v>
      </c>
      <c r="AY4941">
        <v>0</v>
      </c>
      <c r="AZ4941">
        <v>0</v>
      </c>
      <c r="BA4941">
        <v>0</v>
      </c>
      <c r="BE4941" t="str">
        <f>T("9791137014381")</f>
        <v>9791137014381</v>
      </c>
      <c r="BF4941" t="str">
        <f>T("N218753")</f>
        <v>N218753</v>
      </c>
      <c r="BG4941" t="str">
        <f>T("판타지 웹소설 &gt; 퓨전 판타지")</f>
        <v>판타지 웹소설 &gt; 퓨전 판타지</v>
      </c>
    </row>
    <row r="4942" spans="1:59">
      <c r="A4942" t="s">
        <v>60</v>
      </c>
      <c r="B4942" s="1">
        <v>46129</v>
      </c>
      <c r="C4942">
        <v>2378044065</v>
      </c>
      <c r="D4942">
        <v>2378044070</v>
      </c>
      <c r="E4942" t="str">
        <f>T("저승의 왕위를 계승했다 6화")</f>
        <v>저승의 왕위를 계승했다 6화</v>
      </c>
      <c r="F4942">
        <v>6</v>
      </c>
      <c r="G4942" t="str">
        <f>T("신타비")</f>
        <v>신타비</v>
      </c>
      <c r="J4942" t="str">
        <f>T("매드햇")</f>
        <v>매드햇</v>
      </c>
      <c r="K4942" t="str">
        <f>T("저승의 왕위를 계승했다")</f>
        <v>저승의 왕위를 계승했다</v>
      </c>
      <c r="L4942">
        <v>0</v>
      </c>
      <c r="M4942">
        <v>0</v>
      </c>
      <c r="N4942">
        <v>0</v>
      </c>
      <c r="O4942">
        <v>3</v>
      </c>
      <c r="P4942">
        <v>0</v>
      </c>
      <c r="Q4942">
        <v>0</v>
      </c>
      <c r="R4942">
        <v>0</v>
      </c>
      <c r="S4942">
        <v>0</v>
      </c>
      <c r="T4942">
        <v>0</v>
      </c>
      <c r="U4942">
        <v>0</v>
      </c>
      <c r="V4942">
        <v>0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0</v>
      </c>
      <c r="AC4942">
        <v>0</v>
      </c>
      <c r="AD4942">
        <v>0</v>
      </c>
      <c r="AE4942">
        <v>0</v>
      </c>
      <c r="AF4942">
        <v>0</v>
      </c>
      <c r="AG4942">
        <v>0</v>
      </c>
      <c r="AH4942">
        <v>0</v>
      </c>
      <c r="AI4942">
        <v>0</v>
      </c>
      <c r="AJ4942">
        <v>3</v>
      </c>
      <c r="AK4942">
        <v>0</v>
      </c>
      <c r="AL4942">
        <v>0</v>
      </c>
      <c r="AM4942">
        <v>0</v>
      </c>
      <c r="AN4942">
        <v>0</v>
      </c>
      <c r="AO4942">
        <v>0</v>
      </c>
      <c r="AP4942">
        <v>0</v>
      </c>
      <c r="AQ4942">
        <v>0</v>
      </c>
      <c r="AS4942">
        <v>0</v>
      </c>
      <c r="AT4942">
        <v>0</v>
      </c>
      <c r="AV4942">
        <v>0</v>
      </c>
      <c r="AW4942">
        <v>0</v>
      </c>
      <c r="AY4942">
        <v>0</v>
      </c>
      <c r="AZ4942">
        <v>0</v>
      </c>
      <c r="BA4942">
        <v>0</v>
      </c>
      <c r="BE4942" t="str">
        <f>T("9791137014381")</f>
        <v>9791137014381</v>
      </c>
      <c r="BF4942" t="str">
        <f>T("N218754")</f>
        <v>N218754</v>
      </c>
      <c r="BG4942" t="str">
        <f>T("판타지 웹소설 &gt; 퓨전 판타지")</f>
        <v>판타지 웹소설 &gt; 퓨전 판타지</v>
      </c>
    </row>
    <row r="4943" spans="1:59">
      <c r="A4943" t="s">
        <v>60</v>
      </c>
      <c r="B4943" s="1">
        <v>46129</v>
      </c>
      <c r="C4943">
        <v>2378044065</v>
      </c>
      <c r="D4943">
        <v>2378044071</v>
      </c>
      <c r="E4943" t="str">
        <f>T("저승의 왕위를 계승했다 7화")</f>
        <v>저승의 왕위를 계승했다 7화</v>
      </c>
      <c r="F4943">
        <v>7</v>
      </c>
      <c r="G4943" t="str">
        <f>T("신타비")</f>
        <v>신타비</v>
      </c>
      <c r="J4943" t="str">
        <f>T("매드햇")</f>
        <v>매드햇</v>
      </c>
      <c r="K4943" t="str">
        <f>T("저승의 왕위를 계승했다")</f>
        <v>저승의 왕위를 계승했다</v>
      </c>
      <c r="L4943">
        <v>0</v>
      </c>
      <c r="M4943">
        <v>0</v>
      </c>
      <c r="N4943">
        <v>0</v>
      </c>
      <c r="O4943">
        <v>3</v>
      </c>
      <c r="P4943">
        <v>0</v>
      </c>
      <c r="Q4943">
        <v>0</v>
      </c>
      <c r="R4943">
        <v>0</v>
      </c>
      <c r="S4943">
        <v>0</v>
      </c>
      <c r="T4943">
        <v>0</v>
      </c>
      <c r="U4943">
        <v>0</v>
      </c>
      <c r="V4943">
        <v>0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0</v>
      </c>
      <c r="AC4943">
        <v>0</v>
      </c>
      <c r="AD4943">
        <v>0</v>
      </c>
      <c r="AE4943">
        <v>0</v>
      </c>
      <c r="AF4943">
        <v>0</v>
      </c>
      <c r="AG4943">
        <v>0</v>
      </c>
      <c r="AH4943">
        <v>0</v>
      </c>
      <c r="AI4943">
        <v>0</v>
      </c>
      <c r="AJ4943">
        <v>3</v>
      </c>
      <c r="AK4943">
        <v>0</v>
      </c>
      <c r="AL4943">
        <v>0</v>
      </c>
      <c r="AM4943">
        <v>0</v>
      </c>
      <c r="AN4943">
        <v>0</v>
      </c>
      <c r="AO4943">
        <v>0</v>
      </c>
      <c r="AP4943">
        <v>0</v>
      </c>
      <c r="AQ4943">
        <v>0</v>
      </c>
      <c r="AS4943">
        <v>0</v>
      </c>
      <c r="AT4943">
        <v>0</v>
      </c>
      <c r="AV4943">
        <v>0</v>
      </c>
      <c r="AW4943">
        <v>0</v>
      </c>
      <c r="AY4943">
        <v>0</v>
      </c>
      <c r="AZ4943">
        <v>0</v>
      </c>
      <c r="BA4943">
        <v>0</v>
      </c>
      <c r="BE4943" t="str">
        <f>T("9791137014381")</f>
        <v>9791137014381</v>
      </c>
      <c r="BF4943" t="str">
        <f>T("N218755")</f>
        <v>N218755</v>
      </c>
      <c r="BG4943" t="str">
        <f>T("판타지 웹소설 &gt; 퓨전 판타지")</f>
        <v>판타지 웹소설 &gt; 퓨전 판타지</v>
      </c>
    </row>
    <row r="4944" spans="1:59">
      <c r="A4944" t="s">
        <v>60</v>
      </c>
      <c r="B4944" s="1">
        <v>46129</v>
      </c>
      <c r="C4944">
        <v>2378044065</v>
      </c>
      <c r="D4944">
        <v>2378044072</v>
      </c>
      <c r="E4944" t="str">
        <f>T("저승의 왕위를 계승했다 8화")</f>
        <v>저승의 왕위를 계승했다 8화</v>
      </c>
      <c r="F4944">
        <v>8</v>
      </c>
      <c r="G4944" t="str">
        <f>T("신타비")</f>
        <v>신타비</v>
      </c>
      <c r="J4944" t="str">
        <f>T("매드햇")</f>
        <v>매드햇</v>
      </c>
      <c r="K4944" t="str">
        <f>T("저승의 왕위를 계승했다")</f>
        <v>저승의 왕위를 계승했다</v>
      </c>
      <c r="L4944">
        <v>0</v>
      </c>
      <c r="M4944">
        <v>0</v>
      </c>
      <c r="N4944">
        <v>0</v>
      </c>
      <c r="O4944">
        <v>3</v>
      </c>
      <c r="P4944">
        <v>0</v>
      </c>
      <c r="Q4944">
        <v>0</v>
      </c>
      <c r="R4944">
        <v>0</v>
      </c>
      <c r="S4944">
        <v>0</v>
      </c>
      <c r="T4944">
        <v>0</v>
      </c>
      <c r="U4944">
        <v>0</v>
      </c>
      <c r="V4944">
        <v>0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0</v>
      </c>
      <c r="AC4944">
        <v>0</v>
      </c>
      <c r="AD4944">
        <v>0</v>
      </c>
      <c r="AE4944">
        <v>0</v>
      </c>
      <c r="AF4944">
        <v>0</v>
      </c>
      <c r="AG4944">
        <v>0</v>
      </c>
      <c r="AH4944">
        <v>0</v>
      </c>
      <c r="AI4944">
        <v>0</v>
      </c>
      <c r="AJ4944">
        <v>3</v>
      </c>
      <c r="AK4944">
        <v>0</v>
      </c>
      <c r="AL4944">
        <v>0</v>
      </c>
      <c r="AM4944">
        <v>0</v>
      </c>
      <c r="AN4944">
        <v>0</v>
      </c>
      <c r="AO4944">
        <v>0</v>
      </c>
      <c r="AP4944">
        <v>0</v>
      </c>
      <c r="AQ4944">
        <v>0</v>
      </c>
      <c r="AS4944">
        <v>0</v>
      </c>
      <c r="AT4944">
        <v>0</v>
      </c>
      <c r="AV4944">
        <v>0</v>
      </c>
      <c r="AW4944">
        <v>0</v>
      </c>
      <c r="AY4944">
        <v>0</v>
      </c>
      <c r="AZ4944">
        <v>0</v>
      </c>
      <c r="BA4944">
        <v>0</v>
      </c>
      <c r="BE4944" t="str">
        <f>T("9791137014381")</f>
        <v>9791137014381</v>
      </c>
      <c r="BF4944" t="str">
        <f>T("N218756")</f>
        <v>N218756</v>
      </c>
      <c r="BG4944" t="str">
        <f>T("판타지 웹소설 &gt; 퓨전 판타지")</f>
        <v>판타지 웹소설 &gt; 퓨전 판타지</v>
      </c>
    </row>
    <row r="4945" spans="1:59">
      <c r="A4945" t="s">
        <v>60</v>
      </c>
      <c r="B4945" s="1">
        <v>46129</v>
      </c>
      <c r="C4945">
        <v>2378044065</v>
      </c>
      <c r="D4945">
        <v>2378044073</v>
      </c>
      <c r="E4945" t="str">
        <f>T("저승의 왕위를 계승했다 9화")</f>
        <v>저승의 왕위를 계승했다 9화</v>
      </c>
      <c r="F4945">
        <v>9</v>
      </c>
      <c r="G4945" t="str">
        <f>T("신타비")</f>
        <v>신타비</v>
      </c>
      <c r="J4945" t="str">
        <f>T("매드햇")</f>
        <v>매드햇</v>
      </c>
      <c r="K4945" t="str">
        <f>T("저승의 왕위를 계승했다")</f>
        <v>저승의 왕위를 계승했다</v>
      </c>
      <c r="L4945">
        <v>0</v>
      </c>
      <c r="M4945">
        <v>0</v>
      </c>
      <c r="N4945">
        <v>0</v>
      </c>
      <c r="O4945">
        <v>3</v>
      </c>
      <c r="P4945">
        <v>0</v>
      </c>
      <c r="Q4945">
        <v>0</v>
      </c>
      <c r="R4945">
        <v>0</v>
      </c>
      <c r="S4945">
        <v>0</v>
      </c>
      <c r="T4945">
        <v>0</v>
      </c>
      <c r="U4945">
        <v>0</v>
      </c>
      <c r="V4945">
        <v>0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0</v>
      </c>
      <c r="AC4945">
        <v>0</v>
      </c>
      <c r="AD4945">
        <v>0</v>
      </c>
      <c r="AE4945">
        <v>0</v>
      </c>
      <c r="AF4945">
        <v>0</v>
      </c>
      <c r="AG4945">
        <v>0</v>
      </c>
      <c r="AH4945">
        <v>0</v>
      </c>
      <c r="AI4945">
        <v>0</v>
      </c>
      <c r="AJ4945">
        <v>3</v>
      </c>
      <c r="AK4945">
        <v>0</v>
      </c>
      <c r="AL4945">
        <v>0</v>
      </c>
      <c r="AM4945">
        <v>0</v>
      </c>
      <c r="AN4945">
        <v>0</v>
      </c>
      <c r="AO4945">
        <v>0</v>
      </c>
      <c r="AP4945">
        <v>0</v>
      </c>
      <c r="AQ4945">
        <v>0</v>
      </c>
      <c r="AS4945">
        <v>0</v>
      </c>
      <c r="AT4945">
        <v>0</v>
      </c>
      <c r="AV4945">
        <v>0</v>
      </c>
      <c r="AW4945">
        <v>0</v>
      </c>
      <c r="AY4945">
        <v>0</v>
      </c>
      <c r="AZ4945">
        <v>0</v>
      </c>
      <c r="BA4945">
        <v>0</v>
      </c>
      <c r="BE4945" t="str">
        <f>T("9791137014381")</f>
        <v>9791137014381</v>
      </c>
      <c r="BF4945" t="str">
        <f>T("N218757")</f>
        <v>N218757</v>
      </c>
      <c r="BG4945" t="str">
        <f>T("판타지 웹소설 &gt; 퓨전 판타지")</f>
        <v>판타지 웹소설 &gt; 퓨전 판타지</v>
      </c>
    </row>
    <row r="4946" spans="1:59">
      <c r="A4946" t="s">
        <v>60</v>
      </c>
      <c r="B4946" s="1">
        <v>46129</v>
      </c>
      <c r="C4946">
        <v>2378044065</v>
      </c>
      <c r="D4946">
        <v>2378044074</v>
      </c>
      <c r="E4946" t="str">
        <f>T("저승의 왕위를 계승했다 10화")</f>
        <v>저승의 왕위를 계승했다 10화</v>
      </c>
      <c r="F4946">
        <v>10</v>
      </c>
      <c r="G4946" t="str">
        <f>T("신타비")</f>
        <v>신타비</v>
      </c>
      <c r="J4946" t="str">
        <f>T("매드햇")</f>
        <v>매드햇</v>
      </c>
      <c r="K4946" t="str">
        <f>T("저승의 왕위를 계승했다")</f>
        <v>저승의 왕위를 계승했다</v>
      </c>
      <c r="L4946">
        <v>0</v>
      </c>
      <c r="M4946">
        <v>0</v>
      </c>
      <c r="N4946">
        <v>0</v>
      </c>
      <c r="O4946">
        <v>3</v>
      </c>
      <c r="P4946">
        <v>0</v>
      </c>
      <c r="Q4946">
        <v>0</v>
      </c>
      <c r="R4946">
        <v>0</v>
      </c>
      <c r="S4946">
        <v>0</v>
      </c>
      <c r="T4946">
        <v>0</v>
      </c>
      <c r="U4946">
        <v>0</v>
      </c>
      <c r="V4946">
        <v>0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0</v>
      </c>
      <c r="AC4946">
        <v>0</v>
      </c>
      <c r="AD4946">
        <v>0</v>
      </c>
      <c r="AE4946">
        <v>0</v>
      </c>
      <c r="AF4946">
        <v>0</v>
      </c>
      <c r="AG4946">
        <v>0</v>
      </c>
      <c r="AH4946">
        <v>0</v>
      </c>
      <c r="AI4946">
        <v>0</v>
      </c>
      <c r="AJ4946">
        <v>3</v>
      </c>
      <c r="AK4946">
        <v>0</v>
      </c>
      <c r="AL4946">
        <v>0</v>
      </c>
      <c r="AM4946">
        <v>0</v>
      </c>
      <c r="AN4946">
        <v>0</v>
      </c>
      <c r="AO4946">
        <v>0</v>
      </c>
      <c r="AP4946">
        <v>0</v>
      </c>
      <c r="AQ4946">
        <v>0</v>
      </c>
      <c r="AS4946">
        <v>0</v>
      </c>
      <c r="AT4946">
        <v>0</v>
      </c>
      <c r="AV4946">
        <v>0</v>
      </c>
      <c r="AW4946">
        <v>0</v>
      </c>
      <c r="AY4946">
        <v>0</v>
      </c>
      <c r="AZ4946">
        <v>0</v>
      </c>
      <c r="BA4946">
        <v>0</v>
      </c>
      <c r="BE4946" t="str">
        <f>T("9791137014381")</f>
        <v>9791137014381</v>
      </c>
      <c r="BF4946" t="str">
        <f>T("N218758")</f>
        <v>N218758</v>
      </c>
      <c r="BG4946" t="str">
        <f>T("판타지 웹소설 &gt; 퓨전 판타지")</f>
        <v>판타지 웹소설 &gt; 퓨전 판타지</v>
      </c>
    </row>
    <row r="4947" spans="1:59">
      <c r="A4947" t="s">
        <v>60</v>
      </c>
      <c r="B4947" s="1">
        <v>46129</v>
      </c>
      <c r="C4947">
        <v>2378044065</v>
      </c>
      <c r="D4947">
        <v>2378044075</v>
      </c>
      <c r="E4947" t="str">
        <f>T("저승의 왕위를 계승했다 11화")</f>
        <v>저승의 왕위를 계승했다 11화</v>
      </c>
      <c r="F4947">
        <v>11</v>
      </c>
      <c r="G4947" t="str">
        <f>T("신타비")</f>
        <v>신타비</v>
      </c>
      <c r="J4947" t="str">
        <f>T("매드햇")</f>
        <v>매드햇</v>
      </c>
      <c r="K4947" t="str">
        <f>T("저승의 왕위를 계승했다")</f>
        <v>저승의 왕위를 계승했다</v>
      </c>
      <c r="L4947">
        <v>0</v>
      </c>
      <c r="M4947">
        <v>0</v>
      </c>
      <c r="N4947">
        <v>0</v>
      </c>
      <c r="O4947">
        <v>2</v>
      </c>
      <c r="P4947">
        <v>0</v>
      </c>
      <c r="Q4947">
        <v>0</v>
      </c>
      <c r="R4947">
        <v>0</v>
      </c>
      <c r="S4947">
        <v>0</v>
      </c>
      <c r="T4947">
        <v>0</v>
      </c>
      <c r="U4947">
        <v>0</v>
      </c>
      <c r="V4947">
        <v>0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0</v>
      </c>
      <c r="AC4947">
        <v>0</v>
      </c>
      <c r="AD4947">
        <v>0</v>
      </c>
      <c r="AE4947">
        <v>0</v>
      </c>
      <c r="AF4947">
        <v>0</v>
      </c>
      <c r="AG4947">
        <v>0</v>
      </c>
      <c r="AH4947">
        <v>0</v>
      </c>
      <c r="AI4947">
        <v>0</v>
      </c>
      <c r="AJ4947">
        <v>2</v>
      </c>
      <c r="AK4947">
        <v>0</v>
      </c>
      <c r="AL4947">
        <v>0</v>
      </c>
      <c r="AM4947">
        <v>0</v>
      </c>
      <c r="AN4947">
        <v>0</v>
      </c>
      <c r="AO4947">
        <v>0</v>
      </c>
      <c r="AP4947">
        <v>0</v>
      </c>
      <c r="AQ4947">
        <v>0</v>
      </c>
      <c r="AS4947">
        <v>0</v>
      </c>
      <c r="AT4947">
        <v>0</v>
      </c>
      <c r="AV4947">
        <v>0</v>
      </c>
      <c r="AW4947">
        <v>0</v>
      </c>
      <c r="AY4947">
        <v>0</v>
      </c>
      <c r="AZ4947">
        <v>0</v>
      </c>
      <c r="BA4947">
        <v>0</v>
      </c>
      <c r="BE4947" t="str">
        <f>T("9791137014381")</f>
        <v>9791137014381</v>
      </c>
      <c r="BF4947" t="str">
        <f>T("N218759")</f>
        <v>N218759</v>
      </c>
      <c r="BG4947" t="str">
        <f>T("판타지 웹소설 &gt; 퓨전 판타지")</f>
        <v>판타지 웹소설 &gt; 퓨전 판타지</v>
      </c>
    </row>
    <row r="4948" spans="1:59">
      <c r="A4948" t="s">
        <v>60</v>
      </c>
      <c r="B4948" s="1">
        <v>46129</v>
      </c>
      <c r="C4948">
        <v>2378044065</v>
      </c>
      <c r="D4948">
        <v>2378044076</v>
      </c>
      <c r="E4948" t="str">
        <f>T("저승의 왕위를 계승했다 12화")</f>
        <v>저승의 왕위를 계승했다 12화</v>
      </c>
      <c r="F4948">
        <v>12</v>
      </c>
      <c r="G4948" t="str">
        <f>T("신타비")</f>
        <v>신타비</v>
      </c>
      <c r="J4948" t="str">
        <f>T("매드햇")</f>
        <v>매드햇</v>
      </c>
      <c r="K4948" t="str">
        <f>T("저승의 왕위를 계승했다")</f>
        <v>저승의 왕위를 계승했다</v>
      </c>
      <c r="L4948">
        <v>0</v>
      </c>
      <c r="M4948">
        <v>0</v>
      </c>
      <c r="N4948">
        <v>0</v>
      </c>
      <c r="O4948">
        <v>2</v>
      </c>
      <c r="P4948">
        <v>0</v>
      </c>
      <c r="Q4948">
        <v>0</v>
      </c>
      <c r="R4948">
        <v>0</v>
      </c>
      <c r="S4948">
        <v>0</v>
      </c>
      <c r="T4948">
        <v>0</v>
      </c>
      <c r="U4948">
        <v>0</v>
      </c>
      <c r="V4948">
        <v>0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0</v>
      </c>
      <c r="AC4948">
        <v>0</v>
      </c>
      <c r="AD4948">
        <v>0</v>
      </c>
      <c r="AE4948">
        <v>0</v>
      </c>
      <c r="AF4948">
        <v>0</v>
      </c>
      <c r="AG4948">
        <v>0</v>
      </c>
      <c r="AH4948">
        <v>0</v>
      </c>
      <c r="AI4948">
        <v>0</v>
      </c>
      <c r="AJ4948">
        <v>2</v>
      </c>
      <c r="AK4948">
        <v>0</v>
      </c>
      <c r="AL4948">
        <v>0</v>
      </c>
      <c r="AM4948">
        <v>0</v>
      </c>
      <c r="AN4948">
        <v>0</v>
      </c>
      <c r="AO4948">
        <v>0</v>
      </c>
      <c r="AP4948">
        <v>0</v>
      </c>
      <c r="AQ4948">
        <v>0</v>
      </c>
      <c r="AS4948">
        <v>0</v>
      </c>
      <c r="AT4948">
        <v>0</v>
      </c>
      <c r="AV4948">
        <v>0</v>
      </c>
      <c r="AW4948">
        <v>0</v>
      </c>
      <c r="AY4948">
        <v>0</v>
      </c>
      <c r="AZ4948">
        <v>0</v>
      </c>
      <c r="BA4948">
        <v>0</v>
      </c>
      <c r="BE4948" t="str">
        <f>T("9791137014381")</f>
        <v>9791137014381</v>
      </c>
      <c r="BF4948" t="str">
        <f>T("N218760")</f>
        <v>N218760</v>
      </c>
      <c r="BG4948" t="str">
        <f>T("판타지 웹소설 &gt; 퓨전 판타지")</f>
        <v>판타지 웹소설 &gt; 퓨전 판타지</v>
      </c>
    </row>
    <row r="4949" spans="1:59">
      <c r="A4949" t="s">
        <v>60</v>
      </c>
      <c r="B4949" s="1">
        <v>46129</v>
      </c>
      <c r="C4949">
        <v>2378044065</v>
      </c>
      <c r="D4949">
        <v>2378044077</v>
      </c>
      <c r="E4949" t="str">
        <f>T("저승의 왕위를 계승했다 13화")</f>
        <v>저승의 왕위를 계승했다 13화</v>
      </c>
      <c r="F4949">
        <v>13</v>
      </c>
      <c r="G4949" t="str">
        <f>T("신타비")</f>
        <v>신타비</v>
      </c>
      <c r="J4949" t="str">
        <f>T("매드햇")</f>
        <v>매드햇</v>
      </c>
      <c r="K4949" t="str">
        <f>T("저승의 왕위를 계승했다")</f>
        <v>저승의 왕위를 계승했다</v>
      </c>
      <c r="L4949">
        <v>0</v>
      </c>
      <c r="M4949">
        <v>0</v>
      </c>
      <c r="N4949">
        <v>0</v>
      </c>
      <c r="O4949">
        <v>2</v>
      </c>
      <c r="P4949">
        <v>0</v>
      </c>
      <c r="Q4949">
        <v>0</v>
      </c>
      <c r="R4949">
        <v>0</v>
      </c>
      <c r="S4949">
        <v>0</v>
      </c>
      <c r="T4949">
        <v>0</v>
      </c>
      <c r="U4949">
        <v>0</v>
      </c>
      <c r="V4949">
        <v>0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0</v>
      </c>
      <c r="AC4949">
        <v>0</v>
      </c>
      <c r="AD4949">
        <v>0</v>
      </c>
      <c r="AE4949">
        <v>0</v>
      </c>
      <c r="AF4949">
        <v>0</v>
      </c>
      <c r="AG4949">
        <v>0</v>
      </c>
      <c r="AH4949">
        <v>0</v>
      </c>
      <c r="AI4949">
        <v>0</v>
      </c>
      <c r="AJ4949">
        <v>2</v>
      </c>
      <c r="AK4949">
        <v>0</v>
      </c>
      <c r="AL4949">
        <v>0</v>
      </c>
      <c r="AM4949">
        <v>0</v>
      </c>
      <c r="AN4949">
        <v>0</v>
      </c>
      <c r="AO4949">
        <v>0</v>
      </c>
      <c r="AP4949">
        <v>0</v>
      </c>
      <c r="AQ4949">
        <v>0</v>
      </c>
      <c r="AS4949">
        <v>0</v>
      </c>
      <c r="AT4949">
        <v>0</v>
      </c>
      <c r="AV4949">
        <v>0</v>
      </c>
      <c r="AW4949">
        <v>0</v>
      </c>
      <c r="AY4949">
        <v>0</v>
      </c>
      <c r="AZ4949">
        <v>0</v>
      </c>
      <c r="BA4949">
        <v>0</v>
      </c>
      <c r="BE4949" t="str">
        <f>T("9791137014381")</f>
        <v>9791137014381</v>
      </c>
      <c r="BF4949" t="str">
        <f>T("N218761")</f>
        <v>N218761</v>
      </c>
      <c r="BG4949" t="str">
        <f>T("판타지 웹소설 &gt; 퓨전 판타지")</f>
        <v>판타지 웹소설 &gt; 퓨전 판타지</v>
      </c>
    </row>
    <row r="4950" spans="1:59">
      <c r="A4950" t="s">
        <v>60</v>
      </c>
      <c r="B4950" s="1">
        <v>46129</v>
      </c>
      <c r="C4950">
        <v>2378044065</v>
      </c>
      <c r="D4950">
        <v>2378044078</v>
      </c>
      <c r="E4950" t="str">
        <f>T("저승의 왕위를 계승했다 14화")</f>
        <v>저승의 왕위를 계승했다 14화</v>
      </c>
      <c r="F4950">
        <v>14</v>
      </c>
      <c r="G4950" t="str">
        <f>T("신타비")</f>
        <v>신타비</v>
      </c>
      <c r="J4950" t="str">
        <f>T("매드햇")</f>
        <v>매드햇</v>
      </c>
      <c r="K4950" t="str">
        <f>T("저승의 왕위를 계승했다")</f>
        <v>저승의 왕위를 계승했다</v>
      </c>
      <c r="L4950">
        <v>0</v>
      </c>
      <c r="M4950">
        <v>0</v>
      </c>
      <c r="N4950">
        <v>0</v>
      </c>
      <c r="O4950">
        <v>2</v>
      </c>
      <c r="P4950">
        <v>0</v>
      </c>
      <c r="Q4950">
        <v>0</v>
      </c>
      <c r="R4950">
        <v>0</v>
      </c>
      <c r="S4950">
        <v>0</v>
      </c>
      <c r="T4950">
        <v>0</v>
      </c>
      <c r="U4950">
        <v>0</v>
      </c>
      <c r="V4950">
        <v>0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0</v>
      </c>
      <c r="AC4950">
        <v>0</v>
      </c>
      <c r="AD4950">
        <v>0</v>
      </c>
      <c r="AE4950">
        <v>0</v>
      </c>
      <c r="AF4950">
        <v>0</v>
      </c>
      <c r="AG4950">
        <v>0</v>
      </c>
      <c r="AH4950">
        <v>0</v>
      </c>
      <c r="AI4950">
        <v>0</v>
      </c>
      <c r="AJ4950">
        <v>2</v>
      </c>
      <c r="AK4950">
        <v>0</v>
      </c>
      <c r="AL4950">
        <v>0</v>
      </c>
      <c r="AM4950">
        <v>0</v>
      </c>
      <c r="AN4950">
        <v>0</v>
      </c>
      <c r="AO4950">
        <v>0</v>
      </c>
      <c r="AP4950">
        <v>0</v>
      </c>
      <c r="AQ4950">
        <v>0</v>
      </c>
      <c r="AS4950">
        <v>0</v>
      </c>
      <c r="AT4950">
        <v>0</v>
      </c>
      <c r="AV4950">
        <v>0</v>
      </c>
      <c r="AW4950">
        <v>0</v>
      </c>
      <c r="AY4950">
        <v>0</v>
      </c>
      <c r="AZ4950">
        <v>0</v>
      </c>
      <c r="BA4950">
        <v>0</v>
      </c>
      <c r="BE4950" t="str">
        <f>T("9791137014381")</f>
        <v>9791137014381</v>
      </c>
      <c r="BF4950" t="str">
        <f>T("N218762")</f>
        <v>N218762</v>
      </c>
      <c r="BG4950" t="str">
        <f>T("판타지 웹소설 &gt; 퓨전 판타지")</f>
        <v>판타지 웹소설 &gt; 퓨전 판타지</v>
      </c>
    </row>
    <row r="4951" spans="1:59">
      <c r="A4951" t="s">
        <v>60</v>
      </c>
      <c r="B4951" s="1">
        <v>46129</v>
      </c>
      <c r="C4951">
        <v>2378044065</v>
      </c>
      <c r="D4951">
        <v>2378044079</v>
      </c>
      <c r="E4951" t="str">
        <f>T("저승의 왕위를 계승했다 15화")</f>
        <v>저승의 왕위를 계승했다 15화</v>
      </c>
      <c r="F4951">
        <v>15</v>
      </c>
      <c r="G4951" t="str">
        <f>T("신타비")</f>
        <v>신타비</v>
      </c>
      <c r="J4951" t="str">
        <f>T("매드햇")</f>
        <v>매드햇</v>
      </c>
      <c r="K4951" t="str">
        <f>T("저승의 왕위를 계승했다")</f>
        <v>저승의 왕위를 계승했다</v>
      </c>
      <c r="L4951">
        <v>0</v>
      </c>
      <c r="M4951">
        <v>0</v>
      </c>
      <c r="N4951">
        <v>0</v>
      </c>
      <c r="O4951">
        <v>2</v>
      </c>
      <c r="P4951">
        <v>0</v>
      </c>
      <c r="Q4951">
        <v>0</v>
      </c>
      <c r="R4951">
        <v>0</v>
      </c>
      <c r="S4951">
        <v>0</v>
      </c>
      <c r="T4951">
        <v>0</v>
      </c>
      <c r="U4951">
        <v>0</v>
      </c>
      <c r="V4951">
        <v>0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0</v>
      </c>
      <c r="AC4951">
        <v>0</v>
      </c>
      <c r="AD4951">
        <v>0</v>
      </c>
      <c r="AE4951">
        <v>0</v>
      </c>
      <c r="AF4951">
        <v>0</v>
      </c>
      <c r="AG4951">
        <v>0</v>
      </c>
      <c r="AH4951">
        <v>0</v>
      </c>
      <c r="AI4951">
        <v>0</v>
      </c>
      <c r="AJ4951">
        <v>2</v>
      </c>
      <c r="AK4951">
        <v>0</v>
      </c>
      <c r="AL4951">
        <v>0</v>
      </c>
      <c r="AM4951">
        <v>0</v>
      </c>
      <c r="AN4951">
        <v>0</v>
      </c>
      <c r="AO4951">
        <v>0</v>
      </c>
      <c r="AP4951">
        <v>0</v>
      </c>
      <c r="AQ4951">
        <v>0</v>
      </c>
      <c r="AS4951">
        <v>0</v>
      </c>
      <c r="AT4951">
        <v>0</v>
      </c>
      <c r="AV4951">
        <v>0</v>
      </c>
      <c r="AW4951">
        <v>0</v>
      </c>
      <c r="AY4951">
        <v>0</v>
      </c>
      <c r="AZ4951">
        <v>0</v>
      </c>
      <c r="BA4951">
        <v>0</v>
      </c>
      <c r="BE4951" t="str">
        <f>T("9791137014381")</f>
        <v>9791137014381</v>
      </c>
      <c r="BF4951" t="str">
        <f>T("N218763")</f>
        <v>N218763</v>
      </c>
      <c r="BG4951" t="str">
        <f>T("판타지 웹소설 &gt; 퓨전 판타지")</f>
        <v>판타지 웹소설 &gt; 퓨전 판타지</v>
      </c>
    </row>
    <row r="4952" spans="1:59">
      <c r="A4952" t="s">
        <v>60</v>
      </c>
      <c r="B4952" s="1">
        <v>46129</v>
      </c>
      <c r="C4952">
        <v>2378044065</v>
      </c>
      <c r="D4952">
        <v>2378044080</v>
      </c>
      <c r="E4952" t="str">
        <f>T("저승의 왕위를 계승했다 16화")</f>
        <v>저승의 왕위를 계승했다 16화</v>
      </c>
      <c r="F4952">
        <v>16</v>
      </c>
      <c r="G4952" t="str">
        <f>T("신타비")</f>
        <v>신타비</v>
      </c>
      <c r="J4952" t="str">
        <f>T("매드햇")</f>
        <v>매드햇</v>
      </c>
      <c r="K4952" t="str">
        <f>T("저승의 왕위를 계승했다")</f>
        <v>저승의 왕위를 계승했다</v>
      </c>
      <c r="L4952">
        <v>0</v>
      </c>
      <c r="M4952">
        <v>0</v>
      </c>
      <c r="N4952">
        <v>0</v>
      </c>
      <c r="O4952">
        <v>2</v>
      </c>
      <c r="P4952">
        <v>0</v>
      </c>
      <c r="Q4952">
        <v>0</v>
      </c>
      <c r="R4952">
        <v>0</v>
      </c>
      <c r="S4952">
        <v>0</v>
      </c>
      <c r="T4952">
        <v>0</v>
      </c>
      <c r="U4952">
        <v>0</v>
      </c>
      <c r="V4952">
        <v>0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0</v>
      </c>
      <c r="AC4952">
        <v>0</v>
      </c>
      <c r="AD4952">
        <v>0</v>
      </c>
      <c r="AE4952">
        <v>0</v>
      </c>
      <c r="AF4952">
        <v>0</v>
      </c>
      <c r="AG4952">
        <v>0</v>
      </c>
      <c r="AH4952">
        <v>0</v>
      </c>
      <c r="AI4952">
        <v>0</v>
      </c>
      <c r="AJ4952">
        <v>2</v>
      </c>
      <c r="AK4952">
        <v>0</v>
      </c>
      <c r="AL4952">
        <v>0</v>
      </c>
      <c r="AM4952">
        <v>0</v>
      </c>
      <c r="AN4952">
        <v>0</v>
      </c>
      <c r="AO4952">
        <v>0</v>
      </c>
      <c r="AP4952">
        <v>0</v>
      </c>
      <c r="AQ4952">
        <v>0</v>
      </c>
      <c r="AS4952">
        <v>0</v>
      </c>
      <c r="AT4952">
        <v>0</v>
      </c>
      <c r="AV4952">
        <v>0</v>
      </c>
      <c r="AW4952">
        <v>0</v>
      </c>
      <c r="AY4952">
        <v>0</v>
      </c>
      <c r="AZ4952">
        <v>0</v>
      </c>
      <c r="BA4952">
        <v>0</v>
      </c>
      <c r="BE4952" t="str">
        <f>T("9791137014381")</f>
        <v>9791137014381</v>
      </c>
      <c r="BF4952" t="str">
        <f>T("N218764")</f>
        <v>N218764</v>
      </c>
      <c r="BG4952" t="str">
        <f>T("판타지 웹소설 &gt; 퓨전 판타지")</f>
        <v>판타지 웹소설 &gt; 퓨전 판타지</v>
      </c>
    </row>
    <row r="4953" spans="1:59">
      <c r="A4953" t="s">
        <v>60</v>
      </c>
      <c r="B4953" s="1">
        <v>46129</v>
      </c>
      <c r="C4953">
        <v>2378044065</v>
      </c>
      <c r="D4953">
        <v>2378044081</v>
      </c>
      <c r="E4953" t="str">
        <f>T("저승의 왕위를 계승했다 17화")</f>
        <v>저승의 왕위를 계승했다 17화</v>
      </c>
      <c r="F4953">
        <v>17</v>
      </c>
      <c r="G4953" t="str">
        <f>T("신타비")</f>
        <v>신타비</v>
      </c>
      <c r="J4953" t="str">
        <f>T("매드햇")</f>
        <v>매드햇</v>
      </c>
      <c r="K4953" t="str">
        <f>T("저승의 왕위를 계승했다")</f>
        <v>저승의 왕위를 계승했다</v>
      </c>
      <c r="L4953">
        <v>0</v>
      </c>
      <c r="M4953">
        <v>0</v>
      </c>
      <c r="N4953">
        <v>0</v>
      </c>
      <c r="O4953">
        <v>2</v>
      </c>
      <c r="P4953">
        <v>0</v>
      </c>
      <c r="Q4953">
        <v>0</v>
      </c>
      <c r="R4953">
        <v>0</v>
      </c>
      <c r="S4953">
        <v>0</v>
      </c>
      <c r="T4953">
        <v>0</v>
      </c>
      <c r="U4953">
        <v>0</v>
      </c>
      <c r="V4953">
        <v>0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0</v>
      </c>
      <c r="AC4953">
        <v>0</v>
      </c>
      <c r="AD4953">
        <v>0</v>
      </c>
      <c r="AE4953">
        <v>0</v>
      </c>
      <c r="AF4953">
        <v>0</v>
      </c>
      <c r="AG4953">
        <v>0</v>
      </c>
      <c r="AH4953">
        <v>0</v>
      </c>
      <c r="AI4953">
        <v>0</v>
      </c>
      <c r="AJ4953">
        <v>2</v>
      </c>
      <c r="AK4953">
        <v>0</v>
      </c>
      <c r="AL4953">
        <v>0</v>
      </c>
      <c r="AM4953">
        <v>0</v>
      </c>
      <c r="AN4953">
        <v>0</v>
      </c>
      <c r="AO4953">
        <v>0</v>
      </c>
      <c r="AP4953">
        <v>0</v>
      </c>
      <c r="AQ4953">
        <v>0</v>
      </c>
      <c r="AS4953">
        <v>0</v>
      </c>
      <c r="AT4953">
        <v>0</v>
      </c>
      <c r="AV4953">
        <v>0</v>
      </c>
      <c r="AW4953">
        <v>0</v>
      </c>
      <c r="AY4953">
        <v>0</v>
      </c>
      <c r="AZ4953">
        <v>0</v>
      </c>
      <c r="BA4953">
        <v>0</v>
      </c>
      <c r="BE4953" t="str">
        <f>T("9791137014381")</f>
        <v>9791137014381</v>
      </c>
      <c r="BF4953" t="str">
        <f>T("N218765")</f>
        <v>N218765</v>
      </c>
      <c r="BG4953" t="str">
        <f>T("판타지 웹소설 &gt; 퓨전 판타지")</f>
        <v>판타지 웹소설 &gt; 퓨전 판타지</v>
      </c>
    </row>
    <row r="4954" spans="1:59">
      <c r="A4954" t="s">
        <v>60</v>
      </c>
      <c r="B4954" s="1">
        <v>46129</v>
      </c>
      <c r="C4954">
        <v>2378044065</v>
      </c>
      <c r="D4954">
        <v>2378044082</v>
      </c>
      <c r="E4954" t="str">
        <f>T("저승의 왕위를 계승했다 18화")</f>
        <v>저승의 왕위를 계승했다 18화</v>
      </c>
      <c r="F4954">
        <v>18</v>
      </c>
      <c r="G4954" t="str">
        <f>T("신타비")</f>
        <v>신타비</v>
      </c>
      <c r="J4954" t="str">
        <f>T("매드햇")</f>
        <v>매드햇</v>
      </c>
      <c r="K4954" t="str">
        <f>T("저승의 왕위를 계승했다")</f>
        <v>저승의 왕위를 계승했다</v>
      </c>
      <c r="L4954">
        <v>0</v>
      </c>
      <c r="M4954">
        <v>0</v>
      </c>
      <c r="N4954">
        <v>0</v>
      </c>
      <c r="O4954">
        <v>2</v>
      </c>
      <c r="P4954">
        <v>0</v>
      </c>
      <c r="Q4954">
        <v>0</v>
      </c>
      <c r="R4954">
        <v>0</v>
      </c>
      <c r="S4954">
        <v>0</v>
      </c>
      <c r="T4954">
        <v>0</v>
      </c>
      <c r="U4954">
        <v>0</v>
      </c>
      <c r="V4954">
        <v>0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0</v>
      </c>
      <c r="AC4954">
        <v>0</v>
      </c>
      <c r="AD4954">
        <v>0</v>
      </c>
      <c r="AE4954">
        <v>0</v>
      </c>
      <c r="AF4954">
        <v>0</v>
      </c>
      <c r="AG4954">
        <v>0</v>
      </c>
      <c r="AH4954">
        <v>0</v>
      </c>
      <c r="AI4954">
        <v>0</v>
      </c>
      <c r="AJ4954">
        <v>2</v>
      </c>
      <c r="AK4954">
        <v>0</v>
      </c>
      <c r="AL4954">
        <v>0</v>
      </c>
      <c r="AM4954">
        <v>0</v>
      </c>
      <c r="AN4954">
        <v>0</v>
      </c>
      <c r="AO4954">
        <v>0</v>
      </c>
      <c r="AP4954">
        <v>0</v>
      </c>
      <c r="AQ4954">
        <v>0</v>
      </c>
      <c r="AS4954">
        <v>0</v>
      </c>
      <c r="AT4954">
        <v>0</v>
      </c>
      <c r="AV4954">
        <v>0</v>
      </c>
      <c r="AW4954">
        <v>0</v>
      </c>
      <c r="AY4954">
        <v>0</v>
      </c>
      <c r="AZ4954">
        <v>0</v>
      </c>
      <c r="BA4954">
        <v>0</v>
      </c>
      <c r="BE4954" t="str">
        <f>T("9791137014381")</f>
        <v>9791137014381</v>
      </c>
      <c r="BF4954" t="str">
        <f>T("N218766")</f>
        <v>N218766</v>
      </c>
      <c r="BG4954" t="str">
        <f>T("판타지 웹소설 &gt; 퓨전 판타지")</f>
        <v>판타지 웹소설 &gt; 퓨전 판타지</v>
      </c>
    </row>
    <row r="4955" spans="1:59">
      <c r="A4955" t="s">
        <v>60</v>
      </c>
      <c r="B4955" s="1">
        <v>46129</v>
      </c>
      <c r="C4955">
        <v>2378044065</v>
      </c>
      <c r="D4955">
        <v>2378044083</v>
      </c>
      <c r="E4955" t="str">
        <f>T("저승의 왕위를 계승했다 19화")</f>
        <v>저승의 왕위를 계승했다 19화</v>
      </c>
      <c r="F4955">
        <v>19</v>
      </c>
      <c r="G4955" t="str">
        <f>T("신타비")</f>
        <v>신타비</v>
      </c>
      <c r="J4955" t="str">
        <f>T("매드햇")</f>
        <v>매드햇</v>
      </c>
      <c r="K4955" t="str">
        <f>T("저승의 왕위를 계승했다")</f>
        <v>저승의 왕위를 계승했다</v>
      </c>
      <c r="L4955">
        <v>0</v>
      </c>
      <c r="M4955">
        <v>0</v>
      </c>
      <c r="N4955">
        <v>0</v>
      </c>
      <c r="O4955">
        <v>2</v>
      </c>
      <c r="P4955">
        <v>0</v>
      </c>
      <c r="Q4955">
        <v>0</v>
      </c>
      <c r="R4955">
        <v>0</v>
      </c>
      <c r="S4955">
        <v>0</v>
      </c>
      <c r="T4955">
        <v>0</v>
      </c>
      <c r="U4955">
        <v>0</v>
      </c>
      <c r="V4955">
        <v>0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0</v>
      </c>
      <c r="AC4955">
        <v>0</v>
      </c>
      <c r="AD4955">
        <v>0</v>
      </c>
      <c r="AE4955">
        <v>0</v>
      </c>
      <c r="AF4955">
        <v>0</v>
      </c>
      <c r="AG4955">
        <v>0</v>
      </c>
      <c r="AH4955">
        <v>0</v>
      </c>
      <c r="AI4955">
        <v>0</v>
      </c>
      <c r="AJ4955">
        <v>2</v>
      </c>
      <c r="AK4955">
        <v>0</v>
      </c>
      <c r="AL4955">
        <v>0</v>
      </c>
      <c r="AM4955">
        <v>0</v>
      </c>
      <c r="AN4955">
        <v>0</v>
      </c>
      <c r="AO4955">
        <v>0</v>
      </c>
      <c r="AP4955">
        <v>0</v>
      </c>
      <c r="AQ4955">
        <v>0</v>
      </c>
      <c r="AS4955">
        <v>0</v>
      </c>
      <c r="AT4955">
        <v>0</v>
      </c>
      <c r="AV4955">
        <v>0</v>
      </c>
      <c r="AW4955">
        <v>0</v>
      </c>
      <c r="AY4955">
        <v>0</v>
      </c>
      <c r="AZ4955">
        <v>0</v>
      </c>
      <c r="BA4955">
        <v>0</v>
      </c>
      <c r="BE4955" t="str">
        <f>T("9791137014381")</f>
        <v>9791137014381</v>
      </c>
      <c r="BF4955" t="str">
        <f>T("N218767")</f>
        <v>N218767</v>
      </c>
      <c r="BG4955" t="str">
        <f>T("판타지 웹소설 &gt; 퓨전 판타지")</f>
        <v>판타지 웹소설 &gt; 퓨전 판타지</v>
      </c>
    </row>
    <row r="4956" spans="1:59">
      <c r="A4956" t="s">
        <v>60</v>
      </c>
      <c r="B4956" s="1">
        <v>46129</v>
      </c>
      <c r="C4956">
        <v>2378044065</v>
      </c>
      <c r="D4956">
        <v>2378044084</v>
      </c>
      <c r="E4956" t="str">
        <f>T("저승의 왕위를 계승했다 20화")</f>
        <v>저승의 왕위를 계승했다 20화</v>
      </c>
      <c r="F4956">
        <v>20</v>
      </c>
      <c r="G4956" t="str">
        <f>T("신타비")</f>
        <v>신타비</v>
      </c>
      <c r="J4956" t="str">
        <f>T("매드햇")</f>
        <v>매드햇</v>
      </c>
      <c r="K4956" t="str">
        <f>T("저승의 왕위를 계승했다")</f>
        <v>저승의 왕위를 계승했다</v>
      </c>
      <c r="L4956">
        <v>0</v>
      </c>
      <c r="M4956">
        <v>0</v>
      </c>
      <c r="N4956">
        <v>0</v>
      </c>
      <c r="O4956">
        <v>2</v>
      </c>
      <c r="P4956">
        <v>0</v>
      </c>
      <c r="Q4956">
        <v>0</v>
      </c>
      <c r="R4956">
        <v>0</v>
      </c>
      <c r="S4956">
        <v>0</v>
      </c>
      <c r="T4956">
        <v>0</v>
      </c>
      <c r="U4956">
        <v>0</v>
      </c>
      <c r="V4956">
        <v>0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0</v>
      </c>
      <c r="AC4956">
        <v>0</v>
      </c>
      <c r="AD4956">
        <v>0</v>
      </c>
      <c r="AE4956">
        <v>0</v>
      </c>
      <c r="AF4956">
        <v>0</v>
      </c>
      <c r="AG4956">
        <v>0</v>
      </c>
      <c r="AH4956">
        <v>0</v>
      </c>
      <c r="AI4956">
        <v>0</v>
      </c>
      <c r="AJ4956">
        <v>2</v>
      </c>
      <c r="AK4956">
        <v>0</v>
      </c>
      <c r="AL4956">
        <v>0</v>
      </c>
      <c r="AM4956">
        <v>0</v>
      </c>
      <c r="AN4956">
        <v>0</v>
      </c>
      <c r="AO4956">
        <v>0</v>
      </c>
      <c r="AP4956">
        <v>0</v>
      </c>
      <c r="AQ4956">
        <v>0</v>
      </c>
      <c r="AS4956">
        <v>0</v>
      </c>
      <c r="AT4956">
        <v>0</v>
      </c>
      <c r="AV4956">
        <v>0</v>
      </c>
      <c r="AW4956">
        <v>0</v>
      </c>
      <c r="AY4956">
        <v>0</v>
      </c>
      <c r="AZ4956">
        <v>0</v>
      </c>
      <c r="BA4956">
        <v>0</v>
      </c>
      <c r="BE4956" t="str">
        <f>T("9791137014381")</f>
        <v>9791137014381</v>
      </c>
      <c r="BF4956" t="str">
        <f>T("N218768")</f>
        <v>N218768</v>
      </c>
      <c r="BG4956" t="str">
        <f>T("판타지 웹소설 &gt; 퓨전 판타지")</f>
        <v>판타지 웹소설 &gt; 퓨전 판타지</v>
      </c>
    </row>
    <row r="4957" spans="1:59">
      <c r="A4957" t="s">
        <v>60</v>
      </c>
      <c r="B4957" s="1">
        <v>46129</v>
      </c>
      <c r="C4957">
        <v>2378044065</v>
      </c>
      <c r="D4957">
        <v>2378044085</v>
      </c>
      <c r="E4957" t="str">
        <f>T("저승의 왕위를 계승했다 21화")</f>
        <v>저승의 왕위를 계승했다 21화</v>
      </c>
      <c r="F4957">
        <v>21</v>
      </c>
      <c r="G4957" t="str">
        <f>T("신타비")</f>
        <v>신타비</v>
      </c>
      <c r="J4957" t="str">
        <f>T("매드햇")</f>
        <v>매드햇</v>
      </c>
      <c r="K4957" t="str">
        <f>T("저승의 왕위를 계승했다")</f>
        <v>저승의 왕위를 계승했다</v>
      </c>
      <c r="L4957">
        <v>0</v>
      </c>
      <c r="M4957">
        <v>0</v>
      </c>
      <c r="N4957">
        <v>0</v>
      </c>
      <c r="O4957">
        <v>2</v>
      </c>
      <c r="P4957">
        <v>0</v>
      </c>
      <c r="Q4957">
        <v>0</v>
      </c>
      <c r="R4957">
        <v>0</v>
      </c>
      <c r="S4957">
        <v>0</v>
      </c>
      <c r="T4957">
        <v>0</v>
      </c>
      <c r="U4957">
        <v>0</v>
      </c>
      <c r="V4957">
        <v>0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0</v>
      </c>
      <c r="AC4957">
        <v>0</v>
      </c>
      <c r="AD4957">
        <v>0</v>
      </c>
      <c r="AE4957">
        <v>0</v>
      </c>
      <c r="AF4957">
        <v>0</v>
      </c>
      <c r="AG4957">
        <v>0</v>
      </c>
      <c r="AH4957">
        <v>0</v>
      </c>
      <c r="AI4957">
        <v>0</v>
      </c>
      <c r="AJ4957">
        <v>2</v>
      </c>
      <c r="AK4957">
        <v>0</v>
      </c>
      <c r="AL4957">
        <v>0</v>
      </c>
      <c r="AM4957">
        <v>0</v>
      </c>
      <c r="AN4957">
        <v>0</v>
      </c>
      <c r="AO4957">
        <v>0</v>
      </c>
      <c r="AP4957">
        <v>0</v>
      </c>
      <c r="AQ4957">
        <v>0</v>
      </c>
      <c r="AS4957">
        <v>0</v>
      </c>
      <c r="AT4957">
        <v>0</v>
      </c>
      <c r="AV4957">
        <v>0</v>
      </c>
      <c r="AW4957">
        <v>0</v>
      </c>
      <c r="AY4957">
        <v>0</v>
      </c>
      <c r="AZ4957">
        <v>0</v>
      </c>
      <c r="BA4957">
        <v>0</v>
      </c>
      <c r="BE4957" t="str">
        <f>T("9791137014381")</f>
        <v>9791137014381</v>
      </c>
      <c r="BF4957" t="str">
        <f>T("N218769")</f>
        <v>N218769</v>
      </c>
      <c r="BG4957" t="str">
        <f>T("판타지 웹소설 &gt; 퓨전 판타지")</f>
        <v>판타지 웹소설 &gt; 퓨전 판타지</v>
      </c>
    </row>
    <row r="4958" spans="1:59">
      <c r="A4958" t="s">
        <v>60</v>
      </c>
      <c r="B4958" s="1">
        <v>46129</v>
      </c>
      <c r="C4958">
        <v>2378044065</v>
      </c>
      <c r="D4958">
        <v>2378044086</v>
      </c>
      <c r="E4958" t="str">
        <f>T("저승의 왕위를 계승했다 22화")</f>
        <v>저승의 왕위를 계승했다 22화</v>
      </c>
      <c r="F4958">
        <v>22</v>
      </c>
      <c r="G4958" t="str">
        <f>T("신타비")</f>
        <v>신타비</v>
      </c>
      <c r="J4958" t="str">
        <f>T("매드햇")</f>
        <v>매드햇</v>
      </c>
      <c r="K4958" t="str">
        <f>T("저승의 왕위를 계승했다")</f>
        <v>저승의 왕위를 계승했다</v>
      </c>
      <c r="L4958">
        <v>0</v>
      </c>
      <c r="M4958">
        <v>0</v>
      </c>
      <c r="N4958">
        <v>0</v>
      </c>
      <c r="O4958">
        <v>2</v>
      </c>
      <c r="P4958">
        <v>0</v>
      </c>
      <c r="Q4958">
        <v>0</v>
      </c>
      <c r="R4958">
        <v>0</v>
      </c>
      <c r="S4958">
        <v>0</v>
      </c>
      <c r="T4958">
        <v>0</v>
      </c>
      <c r="U4958">
        <v>0</v>
      </c>
      <c r="V4958">
        <v>0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0</v>
      </c>
      <c r="AC4958">
        <v>0</v>
      </c>
      <c r="AD4958">
        <v>0</v>
      </c>
      <c r="AE4958">
        <v>0</v>
      </c>
      <c r="AF4958">
        <v>0</v>
      </c>
      <c r="AG4958">
        <v>0</v>
      </c>
      <c r="AH4958">
        <v>0</v>
      </c>
      <c r="AI4958">
        <v>0</v>
      </c>
      <c r="AJ4958">
        <v>2</v>
      </c>
      <c r="AK4958">
        <v>0</v>
      </c>
      <c r="AL4958">
        <v>0</v>
      </c>
      <c r="AM4958">
        <v>0</v>
      </c>
      <c r="AN4958">
        <v>0</v>
      </c>
      <c r="AO4958">
        <v>0</v>
      </c>
      <c r="AP4958">
        <v>0</v>
      </c>
      <c r="AQ4958">
        <v>0</v>
      </c>
      <c r="AS4958">
        <v>0</v>
      </c>
      <c r="AT4958">
        <v>0</v>
      </c>
      <c r="AV4958">
        <v>0</v>
      </c>
      <c r="AW4958">
        <v>0</v>
      </c>
      <c r="AY4958">
        <v>0</v>
      </c>
      <c r="AZ4958">
        <v>0</v>
      </c>
      <c r="BA4958">
        <v>0</v>
      </c>
      <c r="BE4958" t="str">
        <f>T("9791137014381")</f>
        <v>9791137014381</v>
      </c>
      <c r="BF4958" t="str">
        <f>T("N218770")</f>
        <v>N218770</v>
      </c>
      <c r="BG4958" t="str">
        <f>T("판타지 웹소설 &gt; 퓨전 판타지")</f>
        <v>판타지 웹소설 &gt; 퓨전 판타지</v>
      </c>
    </row>
    <row r="4959" spans="1:59">
      <c r="A4959" t="s">
        <v>60</v>
      </c>
      <c r="B4959" s="1">
        <v>46129</v>
      </c>
      <c r="C4959">
        <v>2378044065</v>
      </c>
      <c r="D4959">
        <v>2378044087</v>
      </c>
      <c r="E4959" t="str">
        <f>T("저승의 왕위를 계승했다 23화")</f>
        <v>저승의 왕위를 계승했다 23화</v>
      </c>
      <c r="F4959">
        <v>23</v>
      </c>
      <c r="G4959" t="str">
        <f>T("신타비")</f>
        <v>신타비</v>
      </c>
      <c r="J4959" t="str">
        <f>T("매드햇")</f>
        <v>매드햇</v>
      </c>
      <c r="K4959" t="str">
        <f>T("저승의 왕위를 계승했다")</f>
        <v>저승의 왕위를 계승했다</v>
      </c>
      <c r="L4959">
        <v>0</v>
      </c>
      <c r="M4959">
        <v>0</v>
      </c>
      <c r="N4959">
        <v>0</v>
      </c>
      <c r="O4959">
        <v>2</v>
      </c>
      <c r="P4959">
        <v>0</v>
      </c>
      <c r="Q4959">
        <v>0</v>
      </c>
      <c r="R4959">
        <v>0</v>
      </c>
      <c r="S4959">
        <v>0</v>
      </c>
      <c r="T4959">
        <v>0</v>
      </c>
      <c r="U4959">
        <v>0</v>
      </c>
      <c r="V4959">
        <v>0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0</v>
      </c>
      <c r="AC4959">
        <v>0</v>
      </c>
      <c r="AD4959">
        <v>0</v>
      </c>
      <c r="AE4959">
        <v>0</v>
      </c>
      <c r="AF4959">
        <v>0</v>
      </c>
      <c r="AG4959">
        <v>0</v>
      </c>
      <c r="AH4959">
        <v>0</v>
      </c>
      <c r="AI4959">
        <v>0</v>
      </c>
      <c r="AJ4959">
        <v>2</v>
      </c>
      <c r="AK4959">
        <v>0</v>
      </c>
      <c r="AL4959">
        <v>0</v>
      </c>
      <c r="AM4959">
        <v>0</v>
      </c>
      <c r="AN4959">
        <v>0</v>
      </c>
      <c r="AO4959">
        <v>0</v>
      </c>
      <c r="AP4959">
        <v>0</v>
      </c>
      <c r="AQ4959">
        <v>0</v>
      </c>
      <c r="AS4959">
        <v>0</v>
      </c>
      <c r="AT4959">
        <v>0</v>
      </c>
      <c r="AV4959">
        <v>0</v>
      </c>
      <c r="AW4959">
        <v>0</v>
      </c>
      <c r="AY4959">
        <v>0</v>
      </c>
      <c r="AZ4959">
        <v>0</v>
      </c>
      <c r="BA4959">
        <v>0</v>
      </c>
      <c r="BE4959" t="str">
        <f>T("9791137014381")</f>
        <v>9791137014381</v>
      </c>
      <c r="BF4959" t="str">
        <f>T("N218771")</f>
        <v>N218771</v>
      </c>
      <c r="BG4959" t="str">
        <f>T("판타지 웹소설 &gt; 퓨전 판타지")</f>
        <v>판타지 웹소설 &gt; 퓨전 판타지</v>
      </c>
    </row>
    <row r="4960" spans="1:59">
      <c r="A4960" t="s">
        <v>60</v>
      </c>
      <c r="B4960" s="1">
        <v>46129</v>
      </c>
      <c r="C4960">
        <v>2378044065</v>
      </c>
      <c r="D4960">
        <v>2378044088</v>
      </c>
      <c r="E4960" t="str">
        <f>T("저승의 왕위를 계승했다 24화")</f>
        <v>저승의 왕위를 계승했다 24화</v>
      </c>
      <c r="F4960">
        <v>24</v>
      </c>
      <c r="G4960" t="str">
        <f>T("신타비")</f>
        <v>신타비</v>
      </c>
      <c r="J4960" t="str">
        <f>T("매드햇")</f>
        <v>매드햇</v>
      </c>
      <c r="K4960" t="str">
        <f>T("저승의 왕위를 계승했다")</f>
        <v>저승의 왕위를 계승했다</v>
      </c>
      <c r="L4960">
        <v>0</v>
      </c>
      <c r="M4960">
        <v>0</v>
      </c>
      <c r="N4960">
        <v>0</v>
      </c>
      <c r="O4960">
        <v>2</v>
      </c>
      <c r="P4960">
        <v>0</v>
      </c>
      <c r="Q4960">
        <v>0</v>
      </c>
      <c r="R4960">
        <v>0</v>
      </c>
      <c r="S4960">
        <v>0</v>
      </c>
      <c r="T4960">
        <v>0</v>
      </c>
      <c r="U4960">
        <v>0</v>
      </c>
      <c r="V4960">
        <v>0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0</v>
      </c>
      <c r="AC4960">
        <v>0</v>
      </c>
      <c r="AD4960">
        <v>0</v>
      </c>
      <c r="AE4960">
        <v>0</v>
      </c>
      <c r="AF4960">
        <v>0</v>
      </c>
      <c r="AG4960">
        <v>0</v>
      </c>
      <c r="AH4960">
        <v>0</v>
      </c>
      <c r="AI4960">
        <v>0</v>
      </c>
      <c r="AJ4960">
        <v>2</v>
      </c>
      <c r="AK4960">
        <v>0</v>
      </c>
      <c r="AL4960">
        <v>0</v>
      </c>
      <c r="AM4960">
        <v>0</v>
      </c>
      <c r="AN4960">
        <v>0</v>
      </c>
      <c r="AO4960">
        <v>0</v>
      </c>
      <c r="AP4960">
        <v>0</v>
      </c>
      <c r="AQ4960">
        <v>0</v>
      </c>
      <c r="AS4960">
        <v>0</v>
      </c>
      <c r="AT4960">
        <v>0</v>
      </c>
      <c r="AV4960">
        <v>0</v>
      </c>
      <c r="AW4960">
        <v>0</v>
      </c>
      <c r="AY4960">
        <v>0</v>
      </c>
      <c r="AZ4960">
        <v>0</v>
      </c>
      <c r="BA4960">
        <v>0</v>
      </c>
      <c r="BE4960" t="str">
        <f>T("9791137014381")</f>
        <v>9791137014381</v>
      </c>
      <c r="BF4960" t="str">
        <f>T("N218772")</f>
        <v>N218772</v>
      </c>
      <c r="BG4960" t="str">
        <f>T("판타지 웹소설 &gt; 퓨전 판타지")</f>
        <v>판타지 웹소설 &gt; 퓨전 판타지</v>
      </c>
    </row>
    <row r="4961" spans="1:59">
      <c r="A4961" t="s">
        <v>60</v>
      </c>
      <c r="B4961" s="1">
        <v>46129</v>
      </c>
      <c r="C4961">
        <v>2378044065</v>
      </c>
      <c r="D4961">
        <v>2378044089</v>
      </c>
      <c r="E4961" t="str">
        <f>T("저승의 왕위를 계승했다 25화")</f>
        <v>저승의 왕위를 계승했다 25화</v>
      </c>
      <c r="F4961">
        <v>25</v>
      </c>
      <c r="G4961" t="str">
        <f>T("신타비")</f>
        <v>신타비</v>
      </c>
      <c r="J4961" t="str">
        <f>T("매드햇")</f>
        <v>매드햇</v>
      </c>
      <c r="K4961" t="str">
        <f>T("저승의 왕위를 계승했다")</f>
        <v>저승의 왕위를 계승했다</v>
      </c>
      <c r="L4961">
        <v>0</v>
      </c>
      <c r="M4961">
        <v>0</v>
      </c>
      <c r="N4961">
        <v>0</v>
      </c>
      <c r="O4961">
        <v>2</v>
      </c>
      <c r="P4961">
        <v>0</v>
      </c>
      <c r="Q4961">
        <v>0</v>
      </c>
      <c r="R4961">
        <v>0</v>
      </c>
      <c r="S4961">
        <v>0</v>
      </c>
      <c r="T4961">
        <v>0</v>
      </c>
      <c r="U4961">
        <v>0</v>
      </c>
      <c r="V4961">
        <v>0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0</v>
      </c>
      <c r="AC4961">
        <v>0</v>
      </c>
      <c r="AD4961">
        <v>0</v>
      </c>
      <c r="AE4961">
        <v>0</v>
      </c>
      <c r="AF4961">
        <v>0</v>
      </c>
      <c r="AG4961">
        <v>0</v>
      </c>
      <c r="AH4961">
        <v>0</v>
      </c>
      <c r="AI4961">
        <v>0</v>
      </c>
      <c r="AJ4961">
        <v>2</v>
      </c>
      <c r="AK4961">
        <v>0</v>
      </c>
      <c r="AL4961">
        <v>0</v>
      </c>
      <c r="AM4961">
        <v>0</v>
      </c>
      <c r="AN4961">
        <v>0</v>
      </c>
      <c r="AO4961">
        <v>0</v>
      </c>
      <c r="AP4961">
        <v>0</v>
      </c>
      <c r="AQ4961">
        <v>0</v>
      </c>
      <c r="AS4961">
        <v>0</v>
      </c>
      <c r="AT4961">
        <v>0</v>
      </c>
      <c r="AV4961">
        <v>0</v>
      </c>
      <c r="AW4961">
        <v>0</v>
      </c>
      <c r="AY4961">
        <v>0</v>
      </c>
      <c r="AZ4961">
        <v>0</v>
      </c>
      <c r="BA4961">
        <v>0</v>
      </c>
      <c r="BE4961" t="str">
        <f>T("9791137014381")</f>
        <v>9791137014381</v>
      </c>
      <c r="BF4961" t="str">
        <f>T("N218773")</f>
        <v>N218773</v>
      </c>
      <c r="BG4961" t="str">
        <f>T("판타지 웹소설 &gt; 퓨전 판타지")</f>
        <v>판타지 웹소설 &gt; 퓨전 판타지</v>
      </c>
    </row>
    <row r="4962" spans="1:59">
      <c r="A4962" t="s">
        <v>60</v>
      </c>
      <c r="B4962" s="1">
        <v>46129</v>
      </c>
      <c r="C4962">
        <v>2378044065</v>
      </c>
      <c r="D4962">
        <v>2378044090</v>
      </c>
      <c r="E4962" t="str">
        <f>T("저승의 왕위를 계승했다 26화")</f>
        <v>저승의 왕위를 계승했다 26화</v>
      </c>
      <c r="F4962">
        <v>26</v>
      </c>
      <c r="G4962" t="str">
        <f>T("신타비")</f>
        <v>신타비</v>
      </c>
      <c r="J4962" t="str">
        <f>T("매드햇")</f>
        <v>매드햇</v>
      </c>
      <c r="K4962" t="str">
        <f>T("저승의 왕위를 계승했다")</f>
        <v>저승의 왕위를 계승했다</v>
      </c>
      <c r="L4962">
        <v>100</v>
      </c>
      <c r="M4962">
        <v>100</v>
      </c>
      <c r="N4962">
        <v>1</v>
      </c>
      <c r="O4962">
        <v>0</v>
      </c>
      <c r="P4962">
        <v>0</v>
      </c>
      <c r="Q4962">
        <v>0</v>
      </c>
      <c r="R4962">
        <v>0</v>
      </c>
      <c r="S4962">
        <v>0</v>
      </c>
      <c r="T4962">
        <v>0</v>
      </c>
      <c r="U4962">
        <v>0</v>
      </c>
      <c r="V4962">
        <v>0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0</v>
      </c>
      <c r="AC4962">
        <v>0</v>
      </c>
      <c r="AD4962">
        <v>0</v>
      </c>
      <c r="AE4962">
        <v>0</v>
      </c>
      <c r="AF4962">
        <v>0</v>
      </c>
      <c r="AG4962">
        <v>0</v>
      </c>
      <c r="AH4962">
        <v>0</v>
      </c>
      <c r="AI4962">
        <v>100</v>
      </c>
      <c r="AJ4962">
        <v>1</v>
      </c>
      <c r="AK4962">
        <v>0</v>
      </c>
      <c r="AL4962">
        <v>0</v>
      </c>
      <c r="AM4962">
        <v>100</v>
      </c>
      <c r="AN4962">
        <v>0</v>
      </c>
      <c r="AO4962">
        <v>0</v>
      </c>
      <c r="AP4962">
        <v>0</v>
      </c>
      <c r="AQ4962">
        <v>0</v>
      </c>
      <c r="AS4962">
        <v>0</v>
      </c>
      <c r="AT4962">
        <v>0</v>
      </c>
      <c r="AV4962">
        <v>0</v>
      </c>
      <c r="AW4962">
        <v>0</v>
      </c>
      <c r="AY4962">
        <v>0</v>
      </c>
      <c r="AZ4962">
        <v>0</v>
      </c>
      <c r="BA4962">
        <v>70</v>
      </c>
      <c r="BE4962" t="str">
        <f>T("9791137014381")</f>
        <v>9791137014381</v>
      </c>
      <c r="BF4962" t="str">
        <f>T("N218774")</f>
        <v>N218774</v>
      </c>
      <c r="BG4962" t="str">
        <f>T("판타지 웹소설 &gt; 퓨전 판타지")</f>
        <v>판타지 웹소설 &gt; 퓨전 판타지</v>
      </c>
    </row>
    <row r="4963" spans="1:59">
      <c r="A4963" t="s">
        <v>60</v>
      </c>
      <c r="B4963" s="1">
        <v>46129</v>
      </c>
      <c r="C4963">
        <v>2378044065</v>
      </c>
      <c r="D4963">
        <v>2378044091</v>
      </c>
      <c r="E4963" t="str">
        <f>T("저승의 왕위를 계승했다 27화")</f>
        <v>저승의 왕위를 계승했다 27화</v>
      </c>
      <c r="F4963">
        <v>27</v>
      </c>
      <c r="G4963" t="str">
        <f>T("신타비")</f>
        <v>신타비</v>
      </c>
      <c r="J4963" t="str">
        <f>T("매드햇")</f>
        <v>매드햇</v>
      </c>
      <c r="K4963" t="str">
        <f>T("저승의 왕위를 계승했다")</f>
        <v>저승의 왕위를 계승했다</v>
      </c>
      <c r="L4963">
        <v>100</v>
      </c>
      <c r="M4963">
        <v>100</v>
      </c>
      <c r="N4963">
        <v>1</v>
      </c>
      <c r="O4963">
        <v>0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0</v>
      </c>
      <c r="V4963">
        <v>0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0</v>
      </c>
      <c r="AC4963">
        <v>0</v>
      </c>
      <c r="AD4963">
        <v>0</v>
      </c>
      <c r="AE4963">
        <v>0</v>
      </c>
      <c r="AF4963">
        <v>0</v>
      </c>
      <c r="AG4963">
        <v>0</v>
      </c>
      <c r="AH4963">
        <v>0</v>
      </c>
      <c r="AI4963">
        <v>100</v>
      </c>
      <c r="AJ4963">
        <v>1</v>
      </c>
      <c r="AK4963">
        <v>0</v>
      </c>
      <c r="AL4963">
        <v>0</v>
      </c>
      <c r="AM4963">
        <v>100</v>
      </c>
      <c r="AN4963">
        <v>0</v>
      </c>
      <c r="AO4963">
        <v>0</v>
      </c>
      <c r="AP4963">
        <v>0</v>
      </c>
      <c r="AQ4963">
        <v>0</v>
      </c>
      <c r="AS4963">
        <v>0</v>
      </c>
      <c r="AT4963">
        <v>0</v>
      </c>
      <c r="AV4963">
        <v>0</v>
      </c>
      <c r="AW4963">
        <v>0</v>
      </c>
      <c r="AY4963">
        <v>0</v>
      </c>
      <c r="AZ4963">
        <v>0</v>
      </c>
      <c r="BA4963">
        <v>70</v>
      </c>
      <c r="BE4963" t="str">
        <f>T("9791137014381")</f>
        <v>9791137014381</v>
      </c>
      <c r="BF4963" t="str">
        <f>T("N218775")</f>
        <v>N218775</v>
      </c>
      <c r="BG4963" t="str">
        <f>T("판타지 웹소설 &gt; 퓨전 판타지")</f>
        <v>판타지 웹소설 &gt; 퓨전 판타지</v>
      </c>
    </row>
    <row r="4964" spans="1:59">
      <c r="A4964" t="s">
        <v>60</v>
      </c>
      <c r="B4964" s="1">
        <v>46129</v>
      </c>
      <c r="C4964">
        <v>2378044065</v>
      </c>
      <c r="D4964">
        <v>2378044092</v>
      </c>
      <c r="E4964" t="str">
        <f>T("저승의 왕위를 계승했다 28화")</f>
        <v>저승의 왕위를 계승했다 28화</v>
      </c>
      <c r="F4964">
        <v>28</v>
      </c>
      <c r="G4964" t="str">
        <f>T("신타비")</f>
        <v>신타비</v>
      </c>
      <c r="J4964" t="str">
        <f>T("매드햇")</f>
        <v>매드햇</v>
      </c>
      <c r="K4964" t="str">
        <f>T("저승의 왕위를 계승했다")</f>
        <v>저승의 왕위를 계승했다</v>
      </c>
      <c r="L4964">
        <v>100</v>
      </c>
      <c r="M4964">
        <v>100</v>
      </c>
      <c r="N4964">
        <v>1</v>
      </c>
      <c r="O4964">
        <v>0</v>
      </c>
      <c r="P4964">
        <v>0</v>
      </c>
      <c r="Q4964">
        <v>0</v>
      </c>
      <c r="R4964">
        <v>0</v>
      </c>
      <c r="S4964">
        <v>0</v>
      </c>
      <c r="T4964">
        <v>0</v>
      </c>
      <c r="U4964">
        <v>0</v>
      </c>
      <c r="V4964">
        <v>0</v>
      </c>
      <c r="W4964">
        <v>0</v>
      </c>
      <c r="X4964">
        <v>0</v>
      </c>
      <c r="Y4964">
        <v>0</v>
      </c>
      <c r="Z4964">
        <v>0</v>
      </c>
      <c r="AA4964">
        <v>0</v>
      </c>
      <c r="AB4964">
        <v>0</v>
      </c>
      <c r="AC4964">
        <v>0</v>
      </c>
      <c r="AD4964">
        <v>0</v>
      </c>
      <c r="AE4964">
        <v>0</v>
      </c>
      <c r="AF4964">
        <v>0</v>
      </c>
      <c r="AG4964">
        <v>0</v>
      </c>
      <c r="AH4964">
        <v>0</v>
      </c>
      <c r="AI4964">
        <v>100</v>
      </c>
      <c r="AJ4964">
        <v>1</v>
      </c>
      <c r="AK4964">
        <v>0</v>
      </c>
      <c r="AL4964">
        <v>0</v>
      </c>
      <c r="AM4964">
        <v>100</v>
      </c>
      <c r="AN4964">
        <v>0</v>
      </c>
      <c r="AO4964">
        <v>0</v>
      </c>
      <c r="AP4964">
        <v>0</v>
      </c>
      <c r="AQ4964">
        <v>0</v>
      </c>
      <c r="AS4964">
        <v>0</v>
      </c>
      <c r="AT4964">
        <v>0</v>
      </c>
      <c r="AV4964">
        <v>0</v>
      </c>
      <c r="AW4964">
        <v>0</v>
      </c>
      <c r="AY4964">
        <v>0</v>
      </c>
      <c r="AZ4964">
        <v>0</v>
      </c>
      <c r="BA4964">
        <v>70</v>
      </c>
      <c r="BE4964" t="str">
        <f>T("9791137014381")</f>
        <v>9791137014381</v>
      </c>
      <c r="BF4964" t="str">
        <f>T("N218776")</f>
        <v>N218776</v>
      </c>
      <c r="BG4964" t="str">
        <f>T("판타지 웹소설 &gt; 퓨전 판타지")</f>
        <v>판타지 웹소설 &gt; 퓨전 판타지</v>
      </c>
    </row>
    <row r="4965" spans="1:59">
      <c r="A4965" t="s">
        <v>60</v>
      </c>
      <c r="B4965" s="1">
        <v>46129</v>
      </c>
      <c r="C4965">
        <v>2378044065</v>
      </c>
      <c r="D4965">
        <v>2378044093</v>
      </c>
      <c r="E4965" t="str">
        <f>T("저승의 왕위를 계승했다 29화")</f>
        <v>저승의 왕위를 계승했다 29화</v>
      </c>
      <c r="F4965">
        <v>29</v>
      </c>
      <c r="G4965" t="str">
        <f>T("신타비")</f>
        <v>신타비</v>
      </c>
      <c r="J4965" t="str">
        <f>T("매드햇")</f>
        <v>매드햇</v>
      </c>
      <c r="K4965" t="str">
        <f>T("저승의 왕위를 계승했다")</f>
        <v>저승의 왕위를 계승했다</v>
      </c>
      <c r="L4965">
        <v>100</v>
      </c>
      <c r="M4965">
        <v>100</v>
      </c>
      <c r="N4965">
        <v>1</v>
      </c>
      <c r="O4965">
        <v>0</v>
      </c>
      <c r="P4965">
        <v>0</v>
      </c>
      <c r="Q4965">
        <v>0</v>
      </c>
      <c r="R4965">
        <v>0</v>
      </c>
      <c r="S4965">
        <v>0</v>
      </c>
      <c r="T4965">
        <v>0</v>
      </c>
      <c r="U4965">
        <v>0</v>
      </c>
      <c r="V4965">
        <v>0</v>
      </c>
      <c r="W4965">
        <v>0</v>
      </c>
      <c r="X4965">
        <v>0</v>
      </c>
      <c r="Y4965">
        <v>0</v>
      </c>
      <c r="Z4965">
        <v>0</v>
      </c>
      <c r="AA4965">
        <v>0</v>
      </c>
      <c r="AB4965">
        <v>0</v>
      </c>
      <c r="AC4965">
        <v>0</v>
      </c>
      <c r="AD4965">
        <v>0</v>
      </c>
      <c r="AE4965">
        <v>0</v>
      </c>
      <c r="AF4965">
        <v>0</v>
      </c>
      <c r="AG4965">
        <v>0</v>
      </c>
      <c r="AH4965">
        <v>0</v>
      </c>
      <c r="AI4965">
        <v>100</v>
      </c>
      <c r="AJ4965">
        <v>1</v>
      </c>
      <c r="AK4965">
        <v>0</v>
      </c>
      <c r="AL4965">
        <v>0</v>
      </c>
      <c r="AM4965">
        <v>100</v>
      </c>
      <c r="AN4965">
        <v>0</v>
      </c>
      <c r="AO4965">
        <v>0</v>
      </c>
      <c r="AP4965">
        <v>0</v>
      </c>
      <c r="AQ4965">
        <v>0</v>
      </c>
      <c r="AS4965">
        <v>0</v>
      </c>
      <c r="AT4965">
        <v>0</v>
      </c>
      <c r="AV4965">
        <v>0</v>
      </c>
      <c r="AW4965">
        <v>0</v>
      </c>
      <c r="AY4965">
        <v>0</v>
      </c>
      <c r="AZ4965">
        <v>0</v>
      </c>
      <c r="BA4965">
        <v>70</v>
      </c>
      <c r="BE4965" t="str">
        <f>T("9791137014381")</f>
        <v>9791137014381</v>
      </c>
      <c r="BF4965" t="str">
        <f>T("N218777")</f>
        <v>N218777</v>
      </c>
      <c r="BG4965" t="str">
        <f>T("판타지 웹소설 &gt; 퓨전 판타지")</f>
        <v>판타지 웹소설 &gt; 퓨전 판타지</v>
      </c>
    </row>
    <row r="4966" spans="1:59">
      <c r="A4966" t="s">
        <v>60</v>
      </c>
      <c r="B4966" s="1">
        <v>46129</v>
      </c>
      <c r="C4966">
        <v>2378044065</v>
      </c>
      <c r="D4966">
        <v>2378044094</v>
      </c>
      <c r="E4966" t="str">
        <f>T("저승의 왕위를 계승했다 30화")</f>
        <v>저승의 왕위를 계승했다 30화</v>
      </c>
      <c r="F4966">
        <v>30</v>
      </c>
      <c r="G4966" t="str">
        <f>T("신타비")</f>
        <v>신타비</v>
      </c>
      <c r="J4966" t="str">
        <f>T("매드햇")</f>
        <v>매드햇</v>
      </c>
      <c r="K4966" t="str">
        <f>T("저승의 왕위를 계승했다")</f>
        <v>저승의 왕위를 계승했다</v>
      </c>
      <c r="L4966">
        <v>100</v>
      </c>
      <c r="M4966">
        <v>100</v>
      </c>
      <c r="N4966">
        <v>1</v>
      </c>
      <c r="O4966">
        <v>0</v>
      </c>
      <c r="P4966">
        <v>0</v>
      </c>
      <c r="Q4966">
        <v>0</v>
      </c>
      <c r="R4966">
        <v>0</v>
      </c>
      <c r="S4966">
        <v>0</v>
      </c>
      <c r="T4966">
        <v>0</v>
      </c>
      <c r="U4966">
        <v>0</v>
      </c>
      <c r="V4966">
        <v>0</v>
      </c>
      <c r="W4966">
        <v>0</v>
      </c>
      <c r="X4966">
        <v>0</v>
      </c>
      <c r="Y4966">
        <v>0</v>
      </c>
      <c r="Z4966">
        <v>0</v>
      </c>
      <c r="AA4966">
        <v>0</v>
      </c>
      <c r="AB4966">
        <v>0</v>
      </c>
      <c r="AC4966">
        <v>0</v>
      </c>
      <c r="AD4966">
        <v>0</v>
      </c>
      <c r="AE4966">
        <v>0</v>
      </c>
      <c r="AF4966">
        <v>0</v>
      </c>
      <c r="AG4966">
        <v>0</v>
      </c>
      <c r="AH4966">
        <v>0</v>
      </c>
      <c r="AI4966">
        <v>100</v>
      </c>
      <c r="AJ4966">
        <v>1</v>
      </c>
      <c r="AK4966">
        <v>0</v>
      </c>
      <c r="AL4966">
        <v>0</v>
      </c>
      <c r="AM4966">
        <v>100</v>
      </c>
      <c r="AN4966">
        <v>0</v>
      </c>
      <c r="AO4966">
        <v>0</v>
      </c>
      <c r="AP4966">
        <v>0</v>
      </c>
      <c r="AQ4966">
        <v>0</v>
      </c>
      <c r="AS4966">
        <v>0</v>
      </c>
      <c r="AT4966">
        <v>0</v>
      </c>
      <c r="AV4966">
        <v>0</v>
      </c>
      <c r="AW4966">
        <v>0</v>
      </c>
      <c r="AY4966">
        <v>0</v>
      </c>
      <c r="AZ4966">
        <v>0</v>
      </c>
      <c r="BA4966">
        <v>70</v>
      </c>
      <c r="BE4966" t="str">
        <f>T("9791137014381")</f>
        <v>9791137014381</v>
      </c>
      <c r="BF4966" t="str">
        <f>T("N218778")</f>
        <v>N218778</v>
      </c>
      <c r="BG4966" t="str">
        <f>T("판타지 웹소설 &gt; 퓨전 판타지")</f>
        <v>판타지 웹소설 &gt; 퓨전 판타지</v>
      </c>
    </row>
    <row r="4967" spans="1:59">
      <c r="A4967" t="s">
        <v>60</v>
      </c>
      <c r="B4967" s="1">
        <v>46129</v>
      </c>
      <c r="C4967">
        <v>2378044065</v>
      </c>
      <c r="D4967">
        <v>2378044095</v>
      </c>
      <c r="E4967" t="str">
        <f>T("저승의 왕위를 계승했다 31화")</f>
        <v>저승의 왕위를 계승했다 31화</v>
      </c>
      <c r="F4967">
        <v>31</v>
      </c>
      <c r="G4967" t="str">
        <f>T("신타비")</f>
        <v>신타비</v>
      </c>
      <c r="J4967" t="str">
        <f>T("매드햇")</f>
        <v>매드햇</v>
      </c>
      <c r="K4967" t="str">
        <f>T("저승의 왕위를 계승했다")</f>
        <v>저승의 왕위를 계승했다</v>
      </c>
      <c r="L4967">
        <v>100</v>
      </c>
      <c r="M4967">
        <v>100</v>
      </c>
      <c r="N4967">
        <v>1</v>
      </c>
      <c r="O4967">
        <v>0</v>
      </c>
      <c r="P4967">
        <v>0</v>
      </c>
      <c r="Q4967">
        <v>0</v>
      </c>
      <c r="R4967">
        <v>0</v>
      </c>
      <c r="S4967">
        <v>0</v>
      </c>
      <c r="T4967">
        <v>0</v>
      </c>
      <c r="U4967">
        <v>0</v>
      </c>
      <c r="V4967">
        <v>0</v>
      </c>
      <c r="W4967">
        <v>0</v>
      </c>
      <c r="X4967">
        <v>0</v>
      </c>
      <c r="Y4967">
        <v>0</v>
      </c>
      <c r="Z4967">
        <v>0</v>
      </c>
      <c r="AA4967">
        <v>0</v>
      </c>
      <c r="AB4967">
        <v>0</v>
      </c>
      <c r="AC4967">
        <v>0</v>
      </c>
      <c r="AD4967">
        <v>0</v>
      </c>
      <c r="AE4967">
        <v>0</v>
      </c>
      <c r="AF4967">
        <v>0</v>
      </c>
      <c r="AG4967">
        <v>0</v>
      </c>
      <c r="AH4967">
        <v>0</v>
      </c>
      <c r="AI4967">
        <v>100</v>
      </c>
      <c r="AJ4967">
        <v>1</v>
      </c>
      <c r="AK4967">
        <v>0</v>
      </c>
      <c r="AL4967">
        <v>0</v>
      </c>
      <c r="AM4967">
        <v>100</v>
      </c>
      <c r="AN4967">
        <v>0</v>
      </c>
      <c r="AO4967">
        <v>0</v>
      </c>
      <c r="AP4967">
        <v>0</v>
      </c>
      <c r="AQ4967">
        <v>0</v>
      </c>
      <c r="AS4967">
        <v>0</v>
      </c>
      <c r="AT4967">
        <v>0</v>
      </c>
      <c r="AV4967">
        <v>0</v>
      </c>
      <c r="AW4967">
        <v>0</v>
      </c>
      <c r="AY4967">
        <v>0</v>
      </c>
      <c r="AZ4967">
        <v>0</v>
      </c>
      <c r="BA4967">
        <v>70</v>
      </c>
      <c r="BE4967" t="str">
        <f>T("9791137014381")</f>
        <v>9791137014381</v>
      </c>
      <c r="BF4967" t="str">
        <f>T("N218779")</f>
        <v>N218779</v>
      </c>
      <c r="BG4967" t="str">
        <f>T("판타지 웹소설 &gt; 퓨전 판타지")</f>
        <v>판타지 웹소설 &gt; 퓨전 판타지</v>
      </c>
    </row>
    <row r="4968" spans="1:59">
      <c r="A4968" t="s">
        <v>60</v>
      </c>
      <c r="B4968" s="1">
        <v>46129</v>
      </c>
      <c r="C4968">
        <v>2378044065</v>
      </c>
      <c r="D4968">
        <v>2378044096</v>
      </c>
      <c r="E4968" t="str">
        <f>T("저승의 왕위를 계승했다 32화")</f>
        <v>저승의 왕위를 계승했다 32화</v>
      </c>
      <c r="F4968">
        <v>32</v>
      </c>
      <c r="G4968" t="str">
        <f>T("신타비")</f>
        <v>신타비</v>
      </c>
      <c r="J4968" t="str">
        <f>T("매드햇")</f>
        <v>매드햇</v>
      </c>
      <c r="K4968" t="str">
        <f>T("저승의 왕위를 계승했다")</f>
        <v>저승의 왕위를 계승했다</v>
      </c>
      <c r="L4968">
        <v>100</v>
      </c>
      <c r="M4968">
        <v>100</v>
      </c>
      <c r="N4968">
        <v>1</v>
      </c>
      <c r="O4968">
        <v>0</v>
      </c>
      <c r="P4968">
        <v>0</v>
      </c>
      <c r="Q4968">
        <v>0</v>
      </c>
      <c r="R4968">
        <v>0</v>
      </c>
      <c r="S4968">
        <v>0</v>
      </c>
      <c r="T4968">
        <v>0</v>
      </c>
      <c r="U4968">
        <v>0</v>
      </c>
      <c r="V4968">
        <v>0</v>
      </c>
      <c r="W4968">
        <v>0</v>
      </c>
      <c r="X4968">
        <v>0</v>
      </c>
      <c r="Y4968">
        <v>0</v>
      </c>
      <c r="Z4968">
        <v>0</v>
      </c>
      <c r="AA4968">
        <v>0</v>
      </c>
      <c r="AB4968">
        <v>0</v>
      </c>
      <c r="AC4968">
        <v>0</v>
      </c>
      <c r="AD4968">
        <v>0</v>
      </c>
      <c r="AE4968">
        <v>0</v>
      </c>
      <c r="AF4968">
        <v>0</v>
      </c>
      <c r="AG4968">
        <v>0</v>
      </c>
      <c r="AH4968">
        <v>0</v>
      </c>
      <c r="AI4968">
        <v>100</v>
      </c>
      <c r="AJ4968">
        <v>1</v>
      </c>
      <c r="AK4968">
        <v>0</v>
      </c>
      <c r="AL4968">
        <v>0</v>
      </c>
      <c r="AM4968">
        <v>100</v>
      </c>
      <c r="AN4968">
        <v>0</v>
      </c>
      <c r="AO4968">
        <v>0</v>
      </c>
      <c r="AP4968">
        <v>0</v>
      </c>
      <c r="AQ4968">
        <v>0</v>
      </c>
      <c r="AS4968">
        <v>0</v>
      </c>
      <c r="AT4968">
        <v>0</v>
      </c>
      <c r="AV4968">
        <v>0</v>
      </c>
      <c r="AW4968">
        <v>0</v>
      </c>
      <c r="AY4968">
        <v>0</v>
      </c>
      <c r="AZ4968">
        <v>0</v>
      </c>
      <c r="BA4968">
        <v>70</v>
      </c>
      <c r="BE4968" t="str">
        <f>T("9791137014381")</f>
        <v>9791137014381</v>
      </c>
      <c r="BF4968" t="str">
        <f>T("N218780")</f>
        <v>N218780</v>
      </c>
      <c r="BG4968" t="str">
        <f>T("판타지 웹소설 &gt; 퓨전 판타지")</f>
        <v>판타지 웹소설 &gt; 퓨전 판타지</v>
      </c>
    </row>
    <row r="4969" spans="1:59">
      <c r="A4969" t="s">
        <v>60</v>
      </c>
      <c r="B4969" s="1">
        <v>46129</v>
      </c>
      <c r="C4969">
        <v>2378044065</v>
      </c>
      <c r="D4969">
        <v>2378044097</v>
      </c>
      <c r="E4969" t="str">
        <f>T("저승의 왕위를 계승했다 33화")</f>
        <v>저승의 왕위를 계승했다 33화</v>
      </c>
      <c r="F4969">
        <v>33</v>
      </c>
      <c r="G4969" t="str">
        <f>T("신타비")</f>
        <v>신타비</v>
      </c>
      <c r="J4969" t="str">
        <f>T("매드햇")</f>
        <v>매드햇</v>
      </c>
      <c r="K4969" t="str">
        <f>T("저승의 왕위를 계승했다")</f>
        <v>저승의 왕위를 계승했다</v>
      </c>
      <c r="L4969">
        <v>100</v>
      </c>
      <c r="M4969">
        <v>100</v>
      </c>
      <c r="N4969">
        <v>1</v>
      </c>
      <c r="O4969">
        <v>0</v>
      </c>
      <c r="P4969">
        <v>0</v>
      </c>
      <c r="Q4969">
        <v>0</v>
      </c>
      <c r="R4969">
        <v>0</v>
      </c>
      <c r="S4969">
        <v>0</v>
      </c>
      <c r="T4969">
        <v>0</v>
      </c>
      <c r="U4969">
        <v>0</v>
      </c>
      <c r="V4969">
        <v>0</v>
      </c>
      <c r="W4969">
        <v>0</v>
      </c>
      <c r="X4969">
        <v>0</v>
      </c>
      <c r="Y4969">
        <v>0</v>
      </c>
      <c r="Z4969">
        <v>0</v>
      </c>
      <c r="AA4969">
        <v>0</v>
      </c>
      <c r="AB4969">
        <v>0</v>
      </c>
      <c r="AC4969">
        <v>0</v>
      </c>
      <c r="AD4969">
        <v>0</v>
      </c>
      <c r="AE4969">
        <v>0</v>
      </c>
      <c r="AF4969">
        <v>0</v>
      </c>
      <c r="AG4969">
        <v>0</v>
      </c>
      <c r="AH4969">
        <v>0</v>
      </c>
      <c r="AI4969">
        <v>100</v>
      </c>
      <c r="AJ4969">
        <v>1</v>
      </c>
      <c r="AK4969">
        <v>0</v>
      </c>
      <c r="AL4969">
        <v>0</v>
      </c>
      <c r="AM4969">
        <v>100</v>
      </c>
      <c r="AN4969">
        <v>0</v>
      </c>
      <c r="AO4969">
        <v>0</v>
      </c>
      <c r="AP4969">
        <v>0</v>
      </c>
      <c r="AQ4969">
        <v>0</v>
      </c>
      <c r="AS4969">
        <v>0</v>
      </c>
      <c r="AT4969">
        <v>0</v>
      </c>
      <c r="AV4969">
        <v>0</v>
      </c>
      <c r="AW4969">
        <v>0</v>
      </c>
      <c r="AY4969">
        <v>0</v>
      </c>
      <c r="AZ4969">
        <v>0</v>
      </c>
      <c r="BA4969">
        <v>70</v>
      </c>
      <c r="BE4969" t="str">
        <f>T("9791137014381")</f>
        <v>9791137014381</v>
      </c>
      <c r="BF4969" t="str">
        <f>T("N218781")</f>
        <v>N218781</v>
      </c>
      <c r="BG4969" t="str">
        <f>T("판타지 웹소설 &gt; 퓨전 판타지")</f>
        <v>판타지 웹소설 &gt; 퓨전 판타지</v>
      </c>
    </row>
    <row r="4970" spans="1:59">
      <c r="A4970" t="s">
        <v>60</v>
      </c>
      <c r="B4970" s="1">
        <v>46129</v>
      </c>
      <c r="C4970">
        <v>2378044065</v>
      </c>
      <c r="D4970">
        <v>2378044098</v>
      </c>
      <c r="E4970" t="str">
        <f>T("저승의 왕위를 계승했다 34화")</f>
        <v>저승의 왕위를 계승했다 34화</v>
      </c>
      <c r="F4970">
        <v>34</v>
      </c>
      <c r="G4970" t="str">
        <f>T("신타비")</f>
        <v>신타비</v>
      </c>
      <c r="J4970" t="str">
        <f>T("매드햇")</f>
        <v>매드햇</v>
      </c>
      <c r="K4970" t="str">
        <f>T("저승의 왕위를 계승했다")</f>
        <v>저승의 왕위를 계승했다</v>
      </c>
      <c r="L4970">
        <v>100</v>
      </c>
      <c r="M4970">
        <v>100</v>
      </c>
      <c r="N4970">
        <v>1</v>
      </c>
      <c r="O4970">
        <v>0</v>
      </c>
      <c r="P4970">
        <v>0</v>
      </c>
      <c r="Q4970">
        <v>0</v>
      </c>
      <c r="R4970">
        <v>0</v>
      </c>
      <c r="S4970">
        <v>0</v>
      </c>
      <c r="T4970">
        <v>0</v>
      </c>
      <c r="U4970">
        <v>0</v>
      </c>
      <c r="V4970">
        <v>0</v>
      </c>
      <c r="W4970">
        <v>0</v>
      </c>
      <c r="X4970">
        <v>0</v>
      </c>
      <c r="Y4970">
        <v>0</v>
      </c>
      <c r="Z4970">
        <v>0</v>
      </c>
      <c r="AA4970">
        <v>0</v>
      </c>
      <c r="AB4970">
        <v>0</v>
      </c>
      <c r="AC4970">
        <v>0</v>
      </c>
      <c r="AD4970">
        <v>0</v>
      </c>
      <c r="AE4970">
        <v>0</v>
      </c>
      <c r="AF4970">
        <v>0</v>
      </c>
      <c r="AG4970">
        <v>0</v>
      </c>
      <c r="AH4970">
        <v>0</v>
      </c>
      <c r="AI4970">
        <v>100</v>
      </c>
      <c r="AJ4970">
        <v>1</v>
      </c>
      <c r="AK4970">
        <v>0</v>
      </c>
      <c r="AL4970">
        <v>0</v>
      </c>
      <c r="AM4970">
        <v>100</v>
      </c>
      <c r="AN4970">
        <v>0</v>
      </c>
      <c r="AO4970">
        <v>0</v>
      </c>
      <c r="AP4970">
        <v>0</v>
      </c>
      <c r="AQ4970">
        <v>0</v>
      </c>
      <c r="AS4970">
        <v>0</v>
      </c>
      <c r="AT4970">
        <v>0</v>
      </c>
      <c r="AV4970">
        <v>0</v>
      </c>
      <c r="AW4970">
        <v>0</v>
      </c>
      <c r="AY4970">
        <v>0</v>
      </c>
      <c r="AZ4970">
        <v>0</v>
      </c>
      <c r="BA4970">
        <v>70</v>
      </c>
      <c r="BE4970" t="str">
        <f>T("9791137014381")</f>
        <v>9791137014381</v>
      </c>
      <c r="BF4970" t="str">
        <f>T("N218782")</f>
        <v>N218782</v>
      </c>
      <c r="BG4970" t="str">
        <f>T("판타지 웹소설 &gt; 퓨전 판타지")</f>
        <v>판타지 웹소설 &gt; 퓨전 판타지</v>
      </c>
    </row>
    <row r="4971" spans="1:59">
      <c r="A4971" t="s">
        <v>60</v>
      </c>
      <c r="B4971" s="1">
        <v>46129</v>
      </c>
      <c r="C4971">
        <v>2378044065</v>
      </c>
      <c r="D4971">
        <v>2378044099</v>
      </c>
      <c r="E4971" t="str">
        <f>T("저승의 왕위를 계승했다 35화")</f>
        <v>저승의 왕위를 계승했다 35화</v>
      </c>
      <c r="F4971">
        <v>35</v>
      </c>
      <c r="G4971" t="str">
        <f>T("신타비")</f>
        <v>신타비</v>
      </c>
      <c r="J4971" t="str">
        <f>T("매드햇")</f>
        <v>매드햇</v>
      </c>
      <c r="K4971" t="str">
        <f>T("저승의 왕위를 계승했다")</f>
        <v>저승의 왕위를 계승했다</v>
      </c>
      <c r="L4971">
        <v>100</v>
      </c>
      <c r="M4971">
        <v>200</v>
      </c>
      <c r="N4971">
        <v>2</v>
      </c>
      <c r="O4971">
        <v>0</v>
      </c>
      <c r="P4971">
        <v>0</v>
      </c>
      <c r="Q4971">
        <v>0</v>
      </c>
      <c r="R4971">
        <v>0</v>
      </c>
      <c r="S4971">
        <v>0</v>
      </c>
      <c r="T4971">
        <v>0</v>
      </c>
      <c r="U4971">
        <v>0</v>
      </c>
      <c r="V4971">
        <v>0</v>
      </c>
      <c r="W4971">
        <v>0</v>
      </c>
      <c r="X4971">
        <v>0</v>
      </c>
      <c r="Y4971">
        <v>0</v>
      </c>
      <c r="Z4971">
        <v>0</v>
      </c>
      <c r="AA4971">
        <v>0</v>
      </c>
      <c r="AB4971">
        <v>0</v>
      </c>
      <c r="AC4971">
        <v>0</v>
      </c>
      <c r="AD4971">
        <v>0</v>
      </c>
      <c r="AE4971">
        <v>0</v>
      </c>
      <c r="AF4971">
        <v>0</v>
      </c>
      <c r="AG4971">
        <v>0</v>
      </c>
      <c r="AH4971">
        <v>0</v>
      </c>
      <c r="AI4971">
        <v>200</v>
      </c>
      <c r="AJ4971">
        <v>2</v>
      </c>
      <c r="AK4971">
        <v>0</v>
      </c>
      <c r="AL4971">
        <v>0</v>
      </c>
      <c r="AM4971">
        <v>200</v>
      </c>
      <c r="AN4971">
        <v>0</v>
      </c>
      <c r="AO4971">
        <v>0</v>
      </c>
      <c r="AP4971">
        <v>0</v>
      </c>
      <c r="AQ4971">
        <v>0</v>
      </c>
      <c r="AS4971">
        <v>0</v>
      </c>
      <c r="AT4971">
        <v>0</v>
      </c>
      <c r="AV4971">
        <v>0</v>
      </c>
      <c r="AW4971">
        <v>0</v>
      </c>
      <c r="AY4971">
        <v>0</v>
      </c>
      <c r="AZ4971">
        <v>0</v>
      </c>
      <c r="BA4971">
        <v>140</v>
      </c>
      <c r="BE4971" t="str">
        <f>T("9791137014381")</f>
        <v>9791137014381</v>
      </c>
      <c r="BF4971" t="str">
        <f>T("N218783")</f>
        <v>N218783</v>
      </c>
      <c r="BG4971" t="str">
        <f>T("판타지 웹소설 &gt; 퓨전 판타지")</f>
        <v>판타지 웹소설 &gt; 퓨전 판타지</v>
      </c>
    </row>
    <row r="4972" spans="1:59">
      <c r="A4972" t="s">
        <v>60</v>
      </c>
      <c r="B4972" s="1">
        <v>46129</v>
      </c>
      <c r="C4972">
        <v>2378044065</v>
      </c>
      <c r="D4972">
        <v>2378044100</v>
      </c>
      <c r="E4972" t="str">
        <f>T("저승의 왕위를 계승했다 36화")</f>
        <v>저승의 왕위를 계승했다 36화</v>
      </c>
      <c r="F4972">
        <v>36</v>
      </c>
      <c r="G4972" t="str">
        <f>T("신타비")</f>
        <v>신타비</v>
      </c>
      <c r="J4972" t="str">
        <f>T("매드햇")</f>
        <v>매드햇</v>
      </c>
      <c r="K4972" t="str">
        <f>T("저승의 왕위를 계승했다")</f>
        <v>저승의 왕위를 계승했다</v>
      </c>
      <c r="L4972">
        <v>100</v>
      </c>
      <c r="M4972">
        <v>200</v>
      </c>
      <c r="N4972">
        <v>2</v>
      </c>
      <c r="O4972">
        <v>0</v>
      </c>
      <c r="P4972">
        <v>0</v>
      </c>
      <c r="Q4972">
        <v>0</v>
      </c>
      <c r="R4972">
        <v>0</v>
      </c>
      <c r="S4972">
        <v>0</v>
      </c>
      <c r="T4972">
        <v>0</v>
      </c>
      <c r="U4972">
        <v>0</v>
      </c>
      <c r="V4972">
        <v>0</v>
      </c>
      <c r="W4972">
        <v>0</v>
      </c>
      <c r="X4972">
        <v>0</v>
      </c>
      <c r="Y4972">
        <v>0</v>
      </c>
      <c r="Z4972">
        <v>0</v>
      </c>
      <c r="AA4972">
        <v>0</v>
      </c>
      <c r="AB4972">
        <v>0</v>
      </c>
      <c r="AC4972">
        <v>0</v>
      </c>
      <c r="AD4972">
        <v>0</v>
      </c>
      <c r="AE4972">
        <v>0</v>
      </c>
      <c r="AF4972">
        <v>0</v>
      </c>
      <c r="AG4972">
        <v>0</v>
      </c>
      <c r="AH4972">
        <v>0</v>
      </c>
      <c r="AI4972">
        <v>200</v>
      </c>
      <c r="AJ4972">
        <v>2</v>
      </c>
      <c r="AK4972">
        <v>0</v>
      </c>
      <c r="AL4972">
        <v>0</v>
      </c>
      <c r="AM4972">
        <v>200</v>
      </c>
      <c r="AN4972">
        <v>0</v>
      </c>
      <c r="AO4972">
        <v>0</v>
      </c>
      <c r="AP4972">
        <v>0</v>
      </c>
      <c r="AQ4972">
        <v>0</v>
      </c>
      <c r="AS4972">
        <v>0</v>
      </c>
      <c r="AT4972">
        <v>0</v>
      </c>
      <c r="AV4972">
        <v>0</v>
      </c>
      <c r="AW4972">
        <v>0</v>
      </c>
      <c r="AY4972">
        <v>0</v>
      </c>
      <c r="AZ4972">
        <v>0</v>
      </c>
      <c r="BA4972">
        <v>140</v>
      </c>
      <c r="BE4972" t="str">
        <f>T("9791137014381")</f>
        <v>9791137014381</v>
      </c>
      <c r="BF4972" t="str">
        <f>T("N218784")</f>
        <v>N218784</v>
      </c>
      <c r="BG4972" t="str">
        <f>T("판타지 웹소설 &gt; 퓨전 판타지")</f>
        <v>판타지 웹소설 &gt; 퓨전 판타지</v>
      </c>
    </row>
    <row r="4973" spans="1:59">
      <c r="A4973" t="s">
        <v>60</v>
      </c>
      <c r="B4973" s="1">
        <v>46129</v>
      </c>
      <c r="C4973">
        <v>2378044065</v>
      </c>
      <c r="D4973">
        <v>2378044101</v>
      </c>
      <c r="E4973" t="str">
        <f>T("저승의 왕위를 계승했다 37화")</f>
        <v>저승의 왕위를 계승했다 37화</v>
      </c>
      <c r="F4973">
        <v>37</v>
      </c>
      <c r="G4973" t="str">
        <f>T("신타비")</f>
        <v>신타비</v>
      </c>
      <c r="J4973" t="str">
        <f>T("매드햇")</f>
        <v>매드햇</v>
      </c>
      <c r="K4973" t="str">
        <f>T("저승의 왕위를 계승했다")</f>
        <v>저승의 왕위를 계승했다</v>
      </c>
      <c r="L4973">
        <v>100</v>
      </c>
      <c r="M4973">
        <v>100</v>
      </c>
      <c r="N4973">
        <v>1</v>
      </c>
      <c r="O4973">
        <v>0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0</v>
      </c>
      <c r="V4973">
        <v>0</v>
      </c>
      <c r="W4973">
        <v>0</v>
      </c>
      <c r="X4973">
        <v>0</v>
      </c>
      <c r="Y4973">
        <v>0</v>
      </c>
      <c r="Z4973">
        <v>0</v>
      </c>
      <c r="AA4973">
        <v>0</v>
      </c>
      <c r="AB4973">
        <v>0</v>
      </c>
      <c r="AC4973">
        <v>0</v>
      </c>
      <c r="AD4973">
        <v>0</v>
      </c>
      <c r="AE4973">
        <v>0</v>
      </c>
      <c r="AF4973">
        <v>0</v>
      </c>
      <c r="AG4973">
        <v>0</v>
      </c>
      <c r="AH4973">
        <v>0</v>
      </c>
      <c r="AI4973">
        <v>100</v>
      </c>
      <c r="AJ4973">
        <v>1</v>
      </c>
      <c r="AK4973">
        <v>0</v>
      </c>
      <c r="AL4973">
        <v>0</v>
      </c>
      <c r="AM4973">
        <v>100</v>
      </c>
      <c r="AN4973">
        <v>0</v>
      </c>
      <c r="AO4973">
        <v>0</v>
      </c>
      <c r="AP4973">
        <v>0</v>
      </c>
      <c r="AQ4973">
        <v>0</v>
      </c>
      <c r="AS4973">
        <v>0</v>
      </c>
      <c r="AT4973">
        <v>0</v>
      </c>
      <c r="AV4973">
        <v>0</v>
      </c>
      <c r="AW4973">
        <v>0</v>
      </c>
      <c r="AY4973">
        <v>0</v>
      </c>
      <c r="AZ4973">
        <v>0</v>
      </c>
      <c r="BA4973">
        <v>70</v>
      </c>
      <c r="BE4973" t="str">
        <f>T("9791137014381")</f>
        <v>9791137014381</v>
      </c>
      <c r="BF4973" t="str">
        <f>T("N218785")</f>
        <v>N218785</v>
      </c>
      <c r="BG4973" t="str">
        <f>T("판타지 웹소설 &gt; 퓨전 판타지")</f>
        <v>판타지 웹소설 &gt; 퓨전 판타지</v>
      </c>
    </row>
    <row r="4974" spans="1:59">
      <c r="A4974" t="s">
        <v>60</v>
      </c>
      <c r="B4974" s="1">
        <v>46129</v>
      </c>
      <c r="C4974">
        <v>2378044065</v>
      </c>
      <c r="D4974">
        <v>2378044102</v>
      </c>
      <c r="E4974" t="str">
        <f>T("저승의 왕위를 계승했다 38화")</f>
        <v>저승의 왕위를 계승했다 38화</v>
      </c>
      <c r="F4974">
        <v>38</v>
      </c>
      <c r="G4974" t="str">
        <f>T("신타비")</f>
        <v>신타비</v>
      </c>
      <c r="J4974" t="str">
        <f>T("매드햇")</f>
        <v>매드햇</v>
      </c>
      <c r="K4974" t="str">
        <f>T("저승의 왕위를 계승했다")</f>
        <v>저승의 왕위를 계승했다</v>
      </c>
      <c r="L4974">
        <v>100</v>
      </c>
      <c r="M4974">
        <v>100</v>
      </c>
      <c r="N4974">
        <v>1</v>
      </c>
      <c r="O4974">
        <v>0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0</v>
      </c>
      <c r="V4974">
        <v>0</v>
      </c>
      <c r="W4974">
        <v>0</v>
      </c>
      <c r="X4974">
        <v>0</v>
      </c>
      <c r="Y4974">
        <v>0</v>
      </c>
      <c r="Z4974">
        <v>0</v>
      </c>
      <c r="AA4974">
        <v>0</v>
      </c>
      <c r="AB4974">
        <v>0</v>
      </c>
      <c r="AC4974">
        <v>0</v>
      </c>
      <c r="AD4974">
        <v>0</v>
      </c>
      <c r="AE4974">
        <v>0</v>
      </c>
      <c r="AF4974">
        <v>0</v>
      </c>
      <c r="AG4974">
        <v>0</v>
      </c>
      <c r="AH4974">
        <v>0</v>
      </c>
      <c r="AI4974">
        <v>100</v>
      </c>
      <c r="AJ4974">
        <v>1</v>
      </c>
      <c r="AK4974">
        <v>0</v>
      </c>
      <c r="AL4974">
        <v>0</v>
      </c>
      <c r="AM4974">
        <v>100</v>
      </c>
      <c r="AN4974">
        <v>0</v>
      </c>
      <c r="AO4974">
        <v>0</v>
      </c>
      <c r="AP4974">
        <v>0</v>
      </c>
      <c r="AQ4974">
        <v>0</v>
      </c>
      <c r="AS4974">
        <v>0</v>
      </c>
      <c r="AT4974">
        <v>0</v>
      </c>
      <c r="AV4974">
        <v>0</v>
      </c>
      <c r="AW4974">
        <v>0</v>
      </c>
      <c r="AY4974">
        <v>0</v>
      </c>
      <c r="AZ4974">
        <v>0</v>
      </c>
      <c r="BA4974">
        <v>70</v>
      </c>
      <c r="BE4974" t="str">
        <f>T("9791137014381")</f>
        <v>9791137014381</v>
      </c>
      <c r="BF4974" t="str">
        <f>T("N218786")</f>
        <v>N218786</v>
      </c>
      <c r="BG4974" t="str">
        <f>T("판타지 웹소설 &gt; 퓨전 판타지")</f>
        <v>판타지 웹소설 &gt; 퓨전 판타지</v>
      </c>
    </row>
    <row r="4975" spans="1:59">
      <c r="A4975" t="s">
        <v>60</v>
      </c>
      <c r="B4975" s="1">
        <v>46129</v>
      </c>
      <c r="C4975">
        <v>2378044065</v>
      </c>
      <c r="D4975">
        <v>2378044103</v>
      </c>
      <c r="E4975" t="str">
        <f>T("저승의 왕위를 계승했다 39화")</f>
        <v>저승의 왕위를 계승했다 39화</v>
      </c>
      <c r="F4975">
        <v>39</v>
      </c>
      <c r="G4975" t="str">
        <f>T("신타비")</f>
        <v>신타비</v>
      </c>
      <c r="J4975" t="str">
        <f>T("매드햇")</f>
        <v>매드햇</v>
      </c>
      <c r="K4975" t="str">
        <f>T("저승의 왕위를 계승했다")</f>
        <v>저승의 왕위를 계승했다</v>
      </c>
      <c r="L4975">
        <v>100</v>
      </c>
      <c r="M4975">
        <v>100</v>
      </c>
      <c r="N4975">
        <v>1</v>
      </c>
      <c r="O4975">
        <v>0</v>
      </c>
      <c r="P4975">
        <v>0</v>
      </c>
      <c r="Q4975">
        <v>0</v>
      </c>
      <c r="R4975">
        <v>0</v>
      </c>
      <c r="S4975">
        <v>0</v>
      </c>
      <c r="T4975">
        <v>0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>
        <v>0</v>
      </c>
      <c r="AC4975">
        <v>0</v>
      </c>
      <c r="AD4975">
        <v>0</v>
      </c>
      <c r="AE4975">
        <v>0</v>
      </c>
      <c r="AF4975">
        <v>0</v>
      </c>
      <c r="AG4975">
        <v>0</v>
      </c>
      <c r="AH4975">
        <v>0</v>
      </c>
      <c r="AI4975">
        <v>100</v>
      </c>
      <c r="AJ4975">
        <v>1</v>
      </c>
      <c r="AK4975">
        <v>0</v>
      </c>
      <c r="AL4975">
        <v>0</v>
      </c>
      <c r="AM4975">
        <v>100</v>
      </c>
      <c r="AN4975">
        <v>0</v>
      </c>
      <c r="AO4975">
        <v>0</v>
      </c>
      <c r="AP4975">
        <v>0</v>
      </c>
      <c r="AQ4975">
        <v>0</v>
      </c>
      <c r="AS4975">
        <v>0</v>
      </c>
      <c r="AT4975">
        <v>0</v>
      </c>
      <c r="AV4975">
        <v>0</v>
      </c>
      <c r="AW4975">
        <v>0</v>
      </c>
      <c r="AY4975">
        <v>0</v>
      </c>
      <c r="AZ4975">
        <v>0</v>
      </c>
      <c r="BA4975">
        <v>70</v>
      </c>
      <c r="BE4975" t="str">
        <f>T("9791137014381")</f>
        <v>9791137014381</v>
      </c>
      <c r="BF4975" t="str">
        <f>T("N218787")</f>
        <v>N218787</v>
      </c>
      <c r="BG4975" t="str">
        <f>T("판타지 웹소설 &gt; 퓨전 판타지")</f>
        <v>판타지 웹소설 &gt; 퓨전 판타지</v>
      </c>
    </row>
    <row r="4976" spans="1:59">
      <c r="A4976" t="s">
        <v>60</v>
      </c>
      <c r="B4976" s="1">
        <v>46129</v>
      </c>
      <c r="C4976">
        <v>2378044065</v>
      </c>
      <c r="D4976">
        <v>2378044104</v>
      </c>
      <c r="E4976" t="str">
        <f>T("저승의 왕위를 계승했다 40화")</f>
        <v>저승의 왕위를 계승했다 40화</v>
      </c>
      <c r="F4976">
        <v>40</v>
      </c>
      <c r="G4976" t="str">
        <f>T("신타비")</f>
        <v>신타비</v>
      </c>
      <c r="J4976" t="str">
        <f>T("매드햇")</f>
        <v>매드햇</v>
      </c>
      <c r="K4976" t="str">
        <f>T("저승의 왕위를 계승했다")</f>
        <v>저승의 왕위를 계승했다</v>
      </c>
      <c r="L4976">
        <v>100</v>
      </c>
      <c r="M4976">
        <v>100</v>
      </c>
      <c r="N4976">
        <v>1</v>
      </c>
      <c r="O4976">
        <v>0</v>
      </c>
      <c r="P4976">
        <v>0</v>
      </c>
      <c r="Q4976">
        <v>0</v>
      </c>
      <c r="R4976">
        <v>0</v>
      </c>
      <c r="S4976">
        <v>0</v>
      </c>
      <c r="T4976">
        <v>0</v>
      </c>
      <c r="U4976">
        <v>0</v>
      </c>
      <c r="V4976">
        <v>0</v>
      </c>
      <c r="W4976">
        <v>0</v>
      </c>
      <c r="X4976">
        <v>0</v>
      </c>
      <c r="Y4976">
        <v>0</v>
      </c>
      <c r="Z4976">
        <v>0</v>
      </c>
      <c r="AA4976">
        <v>0</v>
      </c>
      <c r="AB4976">
        <v>0</v>
      </c>
      <c r="AC4976">
        <v>0</v>
      </c>
      <c r="AD4976">
        <v>0</v>
      </c>
      <c r="AE4976">
        <v>0</v>
      </c>
      <c r="AF4976">
        <v>0</v>
      </c>
      <c r="AG4976">
        <v>0</v>
      </c>
      <c r="AH4976">
        <v>0</v>
      </c>
      <c r="AI4976">
        <v>100</v>
      </c>
      <c r="AJ4976">
        <v>1</v>
      </c>
      <c r="AK4976">
        <v>0</v>
      </c>
      <c r="AL4976">
        <v>0</v>
      </c>
      <c r="AM4976">
        <v>100</v>
      </c>
      <c r="AN4976">
        <v>0</v>
      </c>
      <c r="AO4976">
        <v>0</v>
      </c>
      <c r="AP4976">
        <v>0</v>
      </c>
      <c r="AQ4976">
        <v>0</v>
      </c>
      <c r="AS4976">
        <v>0</v>
      </c>
      <c r="AT4976">
        <v>0</v>
      </c>
      <c r="AV4976">
        <v>0</v>
      </c>
      <c r="AW4976">
        <v>0</v>
      </c>
      <c r="AY4976">
        <v>0</v>
      </c>
      <c r="AZ4976">
        <v>0</v>
      </c>
      <c r="BA4976">
        <v>70</v>
      </c>
      <c r="BE4976" t="str">
        <f>T("9791137014381")</f>
        <v>9791137014381</v>
      </c>
      <c r="BF4976" t="str">
        <f>T("N218788")</f>
        <v>N218788</v>
      </c>
      <c r="BG4976" t="str">
        <f>T("판타지 웹소설 &gt; 퓨전 판타지")</f>
        <v>판타지 웹소설 &gt; 퓨전 판타지</v>
      </c>
    </row>
    <row r="4977" spans="1:59">
      <c r="A4977" t="s">
        <v>60</v>
      </c>
      <c r="B4977" s="1">
        <v>46129</v>
      </c>
      <c r="C4977">
        <v>2378044065</v>
      </c>
      <c r="D4977">
        <v>2378044105</v>
      </c>
      <c r="E4977" t="str">
        <f>T("저승의 왕위를 계승했다 41화")</f>
        <v>저승의 왕위를 계승했다 41화</v>
      </c>
      <c r="F4977">
        <v>41</v>
      </c>
      <c r="G4977" t="str">
        <f>T("신타비")</f>
        <v>신타비</v>
      </c>
      <c r="J4977" t="str">
        <f>T("매드햇")</f>
        <v>매드햇</v>
      </c>
      <c r="K4977" t="str">
        <f>T("저승의 왕위를 계승했다")</f>
        <v>저승의 왕위를 계승했다</v>
      </c>
      <c r="L4977">
        <v>100</v>
      </c>
      <c r="M4977">
        <v>100</v>
      </c>
      <c r="N4977">
        <v>1</v>
      </c>
      <c r="O4977">
        <v>0</v>
      </c>
      <c r="P4977">
        <v>0</v>
      </c>
      <c r="Q4977">
        <v>0</v>
      </c>
      <c r="R4977">
        <v>0</v>
      </c>
      <c r="S4977">
        <v>0</v>
      </c>
      <c r="T4977">
        <v>0</v>
      </c>
      <c r="U4977">
        <v>0</v>
      </c>
      <c r="V4977">
        <v>0</v>
      </c>
      <c r="W4977">
        <v>0</v>
      </c>
      <c r="X4977">
        <v>0</v>
      </c>
      <c r="Y4977">
        <v>0</v>
      </c>
      <c r="Z4977">
        <v>0</v>
      </c>
      <c r="AA4977">
        <v>0</v>
      </c>
      <c r="AB4977">
        <v>0</v>
      </c>
      <c r="AC4977">
        <v>0</v>
      </c>
      <c r="AD4977">
        <v>0</v>
      </c>
      <c r="AE4977">
        <v>0</v>
      </c>
      <c r="AF4977">
        <v>0</v>
      </c>
      <c r="AG4977">
        <v>0</v>
      </c>
      <c r="AH4977">
        <v>0</v>
      </c>
      <c r="AI4977">
        <v>100</v>
      </c>
      <c r="AJ4977">
        <v>1</v>
      </c>
      <c r="AK4977">
        <v>0</v>
      </c>
      <c r="AL4977">
        <v>0</v>
      </c>
      <c r="AM4977">
        <v>100</v>
      </c>
      <c r="AN4977">
        <v>0</v>
      </c>
      <c r="AO4977">
        <v>0</v>
      </c>
      <c r="AP4977">
        <v>0</v>
      </c>
      <c r="AQ4977">
        <v>0</v>
      </c>
      <c r="AS4977">
        <v>0</v>
      </c>
      <c r="AT4977">
        <v>0</v>
      </c>
      <c r="AV4977">
        <v>0</v>
      </c>
      <c r="AW4977">
        <v>0</v>
      </c>
      <c r="AY4977">
        <v>0</v>
      </c>
      <c r="AZ4977">
        <v>0</v>
      </c>
      <c r="BA4977">
        <v>70</v>
      </c>
      <c r="BE4977" t="str">
        <f>T("9791137014381")</f>
        <v>9791137014381</v>
      </c>
      <c r="BF4977" t="str">
        <f>T("N218789")</f>
        <v>N218789</v>
      </c>
      <c r="BG4977" t="str">
        <f>T("판타지 웹소설 &gt; 퓨전 판타지")</f>
        <v>판타지 웹소설 &gt; 퓨전 판타지</v>
      </c>
    </row>
    <row r="4978" spans="1:59">
      <c r="A4978" t="s">
        <v>60</v>
      </c>
      <c r="B4978" s="1">
        <v>46129</v>
      </c>
      <c r="C4978">
        <v>2378044065</v>
      </c>
      <c r="D4978">
        <v>2378044106</v>
      </c>
      <c r="E4978" t="str">
        <f>T("저승의 왕위를 계승했다 42화")</f>
        <v>저승의 왕위를 계승했다 42화</v>
      </c>
      <c r="F4978">
        <v>42</v>
      </c>
      <c r="G4978" t="str">
        <f>T("신타비")</f>
        <v>신타비</v>
      </c>
      <c r="J4978" t="str">
        <f>T("매드햇")</f>
        <v>매드햇</v>
      </c>
      <c r="K4978" t="str">
        <f>T("저승의 왕위를 계승했다")</f>
        <v>저승의 왕위를 계승했다</v>
      </c>
      <c r="L4978">
        <v>100</v>
      </c>
      <c r="M4978">
        <v>100</v>
      </c>
      <c r="N4978">
        <v>1</v>
      </c>
      <c r="O4978">
        <v>0</v>
      </c>
      <c r="P4978">
        <v>0</v>
      </c>
      <c r="Q4978">
        <v>0</v>
      </c>
      <c r="R4978">
        <v>0</v>
      </c>
      <c r="S4978">
        <v>0</v>
      </c>
      <c r="T4978">
        <v>0</v>
      </c>
      <c r="U4978">
        <v>0</v>
      </c>
      <c r="V4978">
        <v>0</v>
      </c>
      <c r="W4978">
        <v>0</v>
      </c>
      <c r="X4978">
        <v>0</v>
      </c>
      <c r="Y4978">
        <v>0</v>
      </c>
      <c r="Z4978">
        <v>0</v>
      </c>
      <c r="AA4978">
        <v>0</v>
      </c>
      <c r="AB4978">
        <v>0</v>
      </c>
      <c r="AC4978">
        <v>0</v>
      </c>
      <c r="AD4978">
        <v>0</v>
      </c>
      <c r="AE4978">
        <v>0</v>
      </c>
      <c r="AF4978">
        <v>0</v>
      </c>
      <c r="AG4978">
        <v>0</v>
      </c>
      <c r="AH4978">
        <v>0</v>
      </c>
      <c r="AI4978">
        <v>100</v>
      </c>
      <c r="AJ4978">
        <v>1</v>
      </c>
      <c r="AK4978">
        <v>0</v>
      </c>
      <c r="AL4978">
        <v>0</v>
      </c>
      <c r="AM4978">
        <v>100</v>
      </c>
      <c r="AN4978">
        <v>0</v>
      </c>
      <c r="AO4978">
        <v>0</v>
      </c>
      <c r="AP4978">
        <v>0</v>
      </c>
      <c r="AQ4978">
        <v>0</v>
      </c>
      <c r="AS4978">
        <v>0</v>
      </c>
      <c r="AT4978">
        <v>0</v>
      </c>
      <c r="AV4978">
        <v>0</v>
      </c>
      <c r="AW4978">
        <v>0</v>
      </c>
      <c r="AY4978">
        <v>0</v>
      </c>
      <c r="AZ4978">
        <v>0</v>
      </c>
      <c r="BA4978">
        <v>70</v>
      </c>
      <c r="BE4978" t="str">
        <f>T("9791137014381")</f>
        <v>9791137014381</v>
      </c>
      <c r="BF4978" t="str">
        <f>T("N218790")</f>
        <v>N218790</v>
      </c>
      <c r="BG4978" t="str">
        <f>T("판타지 웹소설 &gt; 퓨전 판타지")</f>
        <v>판타지 웹소설 &gt; 퓨전 판타지</v>
      </c>
    </row>
    <row r="4979" spans="1:59">
      <c r="A4979" t="s">
        <v>60</v>
      </c>
      <c r="B4979" s="1">
        <v>46129</v>
      </c>
      <c r="C4979">
        <v>2378044065</v>
      </c>
      <c r="D4979">
        <v>2378044107</v>
      </c>
      <c r="E4979" t="str">
        <f>T("저승의 왕위를 계승했다 43화")</f>
        <v>저승의 왕위를 계승했다 43화</v>
      </c>
      <c r="F4979">
        <v>43</v>
      </c>
      <c r="G4979" t="str">
        <f>T("신타비")</f>
        <v>신타비</v>
      </c>
      <c r="J4979" t="str">
        <f>T("매드햇")</f>
        <v>매드햇</v>
      </c>
      <c r="K4979" t="str">
        <f>T("저승의 왕위를 계승했다")</f>
        <v>저승의 왕위를 계승했다</v>
      </c>
      <c r="L4979">
        <v>100</v>
      </c>
      <c r="M4979">
        <v>100</v>
      </c>
      <c r="N4979">
        <v>1</v>
      </c>
      <c r="O4979">
        <v>0</v>
      </c>
      <c r="P4979">
        <v>0</v>
      </c>
      <c r="Q4979">
        <v>0</v>
      </c>
      <c r="R4979">
        <v>0</v>
      </c>
      <c r="S4979">
        <v>0</v>
      </c>
      <c r="T4979">
        <v>0</v>
      </c>
      <c r="U4979">
        <v>0</v>
      </c>
      <c r="V4979">
        <v>0</v>
      </c>
      <c r="W4979">
        <v>0</v>
      </c>
      <c r="X4979">
        <v>0</v>
      </c>
      <c r="Y4979">
        <v>0</v>
      </c>
      <c r="Z4979">
        <v>0</v>
      </c>
      <c r="AA4979">
        <v>0</v>
      </c>
      <c r="AB4979">
        <v>0</v>
      </c>
      <c r="AC4979">
        <v>0</v>
      </c>
      <c r="AD4979">
        <v>0</v>
      </c>
      <c r="AE4979">
        <v>0</v>
      </c>
      <c r="AF4979">
        <v>0</v>
      </c>
      <c r="AG4979">
        <v>0</v>
      </c>
      <c r="AH4979">
        <v>0</v>
      </c>
      <c r="AI4979">
        <v>100</v>
      </c>
      <c r="AJ4979">
        <v>1</v>
      </c>
      <c r="AK4979">
        <v>0</v>
      </c>
      <c r="AL4979">
        <v>0</v>
      </c>
      <c r="AM4979">
        <v>100</v>
      </c>
      <c r="AN4979">
        <v>0</v>
      </c>
      <c r="AO4979">
        <v>0</v>
      </c>
      <c r="AP4979">
        <v>0</v>
      </c>
      <c r="AQ4979">
        <v>0</v>
      </c>
      <c r="AS4979">
        <v>0</v>
      </c>
      <c r="AT4979">
        <v>0</v>
      </c>
      <c r="AV4979">
        <v>0</v>
      </c>
      <c r="AW4979">
        <v>0</v>
      </c>
      <c r="AY4979">
        <v>0</v>
      </c>
      <c r="AZ4979">
        <v>0</v>
      </c>
      <c r="BA4979">
        <v>70</v>
      </c>
      <c r="BE4979" t="str">
        <f>T("9791137014381")</f>
        <v>9791137014381</v>
      </c>
      <c r="BF4979" t="str">
        <f>T("N218791")</f>
        <v>N218791</v>
      </c>
      <c r="BG4979" t="str">
        <f>T("판타지 웹소설 &gt; 퓨전 판타지")</f>
        <v>판타지 웹소설 &gt; 퓨전 판타지</v>
      </c>
    </row>
    <row r="4980" spans="1:59">
      <c r="A4980" t="s">
        <v>60</v>
      </c>
      <c r="B4980" s="1">
        <v>46129</v>
      </c>
      <c r="C4980">
        <v>2378044065</v>
      </c>
      <c r="D4980">
        <v>2378044108</v>
      </c>
      <c r="E4980" t="str">
        <f>T("저승의 왕위를 계승했다 44화")</f>
        <v>저승의 왕위를 계승했다 44화</v>
      </c>
      <c r="F4980">
        <v>44</v>
      </c>
      <c r="G4980" t="str">
        <f>T("신타비")</f>
        <v>신타비</v>
      </c>
      <c r="J4980" t="str">
        <f>T("매드햇")</f>
        <v>매드햇</v>
      </c>
      <c r="K4980" t="str">
        <f>T("저승의 왕위를 계승했다")</f>
        <v>저승의 왕위를 계승했다</v>
      </c>
      <c r="L4980">
        <v>100</v>
      </c>
      <c r="M4980">
        <v>100</v>
      </c>
      <c r="N4980">
        <v>1</v>
      </c>
      <c r="O4980">
        <v>0</v>
      </c>
      <c r="P4980">
        <v>0</v>
      </c>
      <c r="Q4980">
        <v>0</v>
      </c>
      <c r="R4980">
        <v>0</v>
      </c>
      <c r="S4980">
        <v>0</v>
      </c>
      <c r="T4980">
        <v>0</v>
      </c>
      <c r="U4980">
        <v>0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0</v>
      </c>
      <c r="AC4980">
        <v>0</v>
      </c>
      <c r="AD4980">
        <v>0</v>
      </c>
      <c r="AE4980">
        <v>0</v>
      </c>
      <c r="AF4980">
        <v>0</v>
      </c>
      <c r="AG4980">
        <v>0</v>
      </c>
      <c r="AH4980">
        <v>0</v>
      </c>
      <c r="AI4980">
        <v>100</v>
      </c>
      <c r="AJ4980">
        <v>1</v>
      </c>
      <c r="AK4980">
        <v>0</v>
      </c>
      <c r="AL4980">
        <v>0</v>
      </c>
      <c r="AM4980">
        <v>100</v>
      </c>
      <c r="AN4980">
        <v>0</v>
      </c>
      <c r="AO4980">
        <v>0</v>
      </c>
      <c r="AP4980">
        <v>0</v>
      </c>
      <c r="AQ4980">
        <v>0</v>
      </c>
      <c r="AS4980">
        <v>0</v>
      </c>
      <c r="AT4980">
        <v>0</v>
      </c>
      <c r="AV4980">
        <v>0</v>
      </c>
      <c r="AW4980">
        <v>0</v>
      </c>
      <c r="AY4980">
        <v>0</v>
      </c>
      <c r="AZ4980">
        <v>0</v>
      </c>
      <c r="BA4980">
        <v>70</v>
      </c>
      <c r="BE4980" t="str">
        <f>T("9791137014381")</f>
        <v>9791137014381</v>
      </c>
      <c r="BF4980" t="str">
        <f>T("N218792")</f>
        <v>N218792</v>
      </c>
      <c r="BG4980" t="str">
        <f>T("판타지 웹소설 &gt; 퓨전 판타지")</f>
        <v>판타지 웹소설 &gt; 퓨전 판타지</v>
      </c>
    </row>
    <row r="4981" spans="1:59">
      <c r="A4981" t="s">
        <v>60</v>
      </c>
      <c r="B4981" s="1">
        <v>46129</v>
      </c>
      <c r="C4981">
        <v>2378044065</v>
      </c>
      <c r="D4981">
        <v>2378044109</v>
      </c>
      <c r="E4981" t="str">
        <f>T("저승의 왕위를 계승했다 45화")</f>
        <v>저승의 왕위를 계승했다 45화</v>
      </c>
      <c r="F4981">
        <v>45</v>
      </c>
      <c r="G4981" t="str">
        <f>T("신타비")</f>
        <v>신타비</v>
      </c>
      <c r="J4981" t="str">
        <f>T("매드햇")</f>
        <v>매드햇</v>
      </c>
      <c r="K4981" t="str">
        <f>T("저승의 왕위를 계승했다")</f>
        <v>저승의 왕위를 계승했다</v>
      </c>
      <c r="L4981">
        <v>100</v>
      </c>
      <c r="M4981">
        <v>100</v>
      </c>
      <c r="N4981">
        <v>1</v>
      </c>
      <c r="O4981">
        <v>0</v>
      </c>
      <c r="P4981">
        <v>0</v>
      </c>
      <c r="Q4981">
        <v>0</v>
      </c>
      <c r="R4981">
        <v>0</v>
      </c>
      <c r="S4981">
        <v>0</v>
      </c>
      <c r="T4981">
        <v>0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0</v>
      </c>
      <c r="AE4981">
        <v>0</v>
      </c>
      <c r="AF4981">
        <v>0</v>
      </c>
      <c r="AG4981">
        <v>0</v>
      </c>
      <c r="AH4981">
        <v>0</v>
      </c>
      <c r="AI4981">
        <v>100</v>
      </c>
      <c r="AJ4981">
        <v>1</v>
      </c>
      <c r="AK4981">
        <v>0</v>
      </c>
      <c r="AL4981">
        <v>0</v>
      </c>
      <c r="AM4981">
        <v>100</v>
      </c>
      <c r="AN4981">
        <v>0</v>
      </c>
      <c r="AO4981">
        <v>0</v>
      </c>
      <c r="AP4981">
        <v>0</v>
      </c>
      <c r="AQ4981">
        <v>0</v>
      </c>
      <c r="AS4981">
        <v>0</v>
      </c>
      <c r="AT4981">
        <v>0</v>
      </c>
      <c r="AV4981">
        <v>0</v>
      </c>
      <c r="AW4981">
        <v>0</v>
      </c>
      <c r="AY4981">
        <v>0</v>
      </c>
      <c r="AZ4981">
        <v>0</v>
      </c>
      <c r="BA4981">
        <v>70</v>
      </c>
      <c r="BE4981" t="str">
        <f>T("9791137014381")</f>
        <v>9791137014381</v>
      </c>
      <c r="BF4981" t="str">
        <f>T("N218793")</f>
        <v>N218793</v>
      </c>
      <c r="BG4981" t="str">
        <f>T("판타지 웹소설 &gt; 퓨전 판타지")</f>
        <v>판타지 웹소설 &gt; 퓨전 판타지</v>
      </c>
    </row>
    <row r="4982" spans="1:59">
      <c r="A4982" t="s">
        <v>60</v>
      </c>
      <c r="B4982" s="1">
        <v>46129</v>
      </c>
      <c r="C4982">
        <v>2378044065</v>
      </c>
      <c r="D4982">
        <v>2378044110</v>
      </c>
      <c r="E4982" t="str">
        <f>T("저승의 왕위를 계승했다 46화")</f>
        <v>저승의 왕위를 계승했다 46화</v>
      </c>
      <c r="F4982">
        <v>46</v>
      </c>
      <c r="G4982" t="str">
        <f>T("신타비")</f>
        <v>신타비</v>
      </c>
      <c r="J4982" t="str">
        <f>T("매드햇")</f>
        <v>매드햇</v>
      </c>
      <c r="K4982" t="str">
        <f>T("저승의 왕위를 계승했다")</f>
        <v>저승의 왕위를 계승했다</v>
      </c>
      <c r="L4982">
        <v>100</v>
      </c>
      <c r="M4982">
        <v>100</v>
      </c>
      <c r="N4982">
        <v>1</v>
      </c>
      <c r="O4982">
        <v>0</v>
      </c>
      <c r="P4982">
        <v>0</v>
      </c>
      <c r="Q4982">
        <v>0</v>
      </c>
      <c r="R4982">
        <v>0</v>
      </c>
      <c r="S4982">
        <v>0</v>
      </c>
      <c r="T4982">
        <v>0</v>
      </c>
      <c r="U4982">
        <v>0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0</v>
      </c>
      <c r="AE4982">
        <v>0</v>
      </c>
      <c r="AF4982">
        <v>0</v>
      </c>
      <c r="AG4982">
        <v>0</v>
      </c>
      <c r="AH4982">
        <v>0</v>
      </c>
      <c r="AI4982">
        <v>100</v>
      </c>
      <c r="AJ4982">
        <v>1</v>
      </c>
      <c r="AK4982">
        <v>0</v>
      </c>
      <c r="AL4982">
        <v>0</v>
      </c>
      <c r="AM4982">
        <v>100</v>
      </c>
      <c r="AN4982">
        <v>0</v>
      </c>
      <c r="AO4982">
        <v>0</v>
      </c>
      <c r="AP4982">
        <v>0</v>
      </c>
      <c r="AQ4982">
        <v>0</v>
      </c>
      <c r="AS4982">
        <v>0</v>
      </c>
      <c r="AT4982">
        <v>0</v>
      </c>
      <c r="AV4982">
        <v>0</v>
      </c>
      <c r="AW4982">
        <v>0</v>
      </c>
      <c r="AY4982">
        <v>0</v>
      </c>
      <c r="AZ4982">
        <v>0</v>
      </c>
      <c r="BA4982">
        <v>70</v>
      </c>
      <c r="BE4982" t="str">
        <f>T("9791137014381")</f>
        <v>9791137014381</v>
      </c>
      <c r="BF4982" t="str">
        <f>T("N218794")</f>
        <v>N218794</v>
      </c>
      <c r="BG4982" t="str">
        <f>T("판타지 웹소설 &gt; 퓨전 판타지")</f>
        <v>판타지 웹소설 &gt; 퓨전 판타지</v>
      </c>
    </row>
    <row r="4983" spans="1:59">
      <c r="A4983" t="s">
        <v>60</v>
      </c>
      <c r="B4983" s="1">
        <v>46129</v>
      </c>
      <c r="C4983">
        <v>2378044065</v>
      </c>
      <c r="D4983">
        <v>2378044111</v>
      </c>
      <c r="E4983" t="str">
        <f>T("저승의 왕위를 계승했다 47화")</f>
        <v>저승의 왕위를 계승했다 47화</v>
      </c>
      <c r="F4983">
        <v>47</v>
      </c>
      <c r="G4983" t="str">
        <f>T("신타비")</f>
        <v>신타비</v>
      </c>
      <c r="J4983" t="str">
        <f>T("매드햇")</f>
        <v>매드햇</v>
      </c>
      <c r="K4983" t="str">
        <f>T("저승의 왕위를 계승했다")</f>
        <v>저승의 왕위를 계승했다</v>
      </c>
      <c r="L4983">
        <v>100</v>
      </c>
      <c r="M4983">
        <v>100</v>
      </c>
      <c r="N4983">
        <v>1</v>
      </c>
      <c r="O4983">
        <v>0</v>
      </c>
      <c r="P4983">
        <v>0</v>
      </c>
      <c r="Q4983">
        <v>0</v>
      </c>
      <c r="R4983">
        <v>0</v>
      </c>
      <c r="S4983">
        <v>0</v>
      </c>
      <c r="T4983">
        <v>0</v>
      </c>
      <c r="U4983">
        <v>0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0</v>
      </c>
      <c r="AE4983">
        <v>0</v>
      </c>
      <c r="AF4983">
        <v>0</v>
      </c>
      <c r="AG4983">
        <v>0</v>
      </c>
      <c r="AH4983">
        <v>0</v>
      </c>
      <c r="AI4983">
        <v>100</v>
      </c>
      <c r="AJ4983">
        <v>1</v>
      </c>
      <c r="AK4983">
        <v>0</v>
      </c>
      <c r="AL4983">
        <v>0</v>
      </c>
      <c r="AM4983">
        <v>100</v>
      </c>
      <c r="AN4983">
        <v>0</v>
      </c>
      <c r="AO4983">
        <v>0</v>
      </c>
      <c r="AP4983">
        <v>0</v>
      </c>
      <c r="AQ4983">
        <v>0</v>
      </c>
      <c r="AS4983">
        <v>0</v>
      </c>
      <c r="AT4983">
        <v>0</v>
      </c>
      <c r="AV4983">
        <v>0</v>
      </c>
      <c r="AW4983">
        <v>0</v>
      </c>
      <c r="AY4983">
        <v>0</v>
      </c>
      <c r="AZ4983">
        <v>0</v>
      </c>
      <c r="BA4983">
        <v>70</v>
      </c>
      <c r="BE4983" t="str">
        <f>T("9791137014381")</f>
        <v>9791137014381</v>
      </c>
      <c r="BF4983" t="str">
        <f>T("N218795")</f>
        <v>N218795</v>
      </c>
      <c r="BG4983" t="str">
        <f>T("판타지 웹소설 &gt; 퓨전 판타지")</f>
        <v>판타지 웹소설 &gt; 퓨전 판타지</v>
      </c>
    </row>
    <row r="4984" spans="1:59">
      <c r="A4984" t="s">
        <v>60</v>
      </c>
      <c r="B4984" s="1">
        <v>46129</v>
      </c>
      <c r="C4984">
        <v>2378044065</v>
      </c>
      <c r="D4984">
        <v>2378044112</v>
      </c>
      <c r="E4984" t="str">
        <f>T("저승의 왕위를 계승했다 48화")</f>
        <v>저승의 왕위를 계승했다 48화</v>
      </c>
      <c r="F4984">
        <v>48</v>
      </c>
      <c r="G4984" t="str">
        <f>T("신타비")</f>
        <v>신타비</v>
      </c>
      <c r="J4984" t="str">
        <f>T("매드햇")</f>
        <v>매드햇</v>
      </c>
      <c r="K4984" t="str">
        <f>T("저승의 왕위를 계승했다")</f>
        <v>저승의 왕위를 계승했다</v>
      </c>
      <c r="L4984">
        <v>100</v>
      </c>
      <c r="M4984">
        <v>100</v>
      </c>
      <c r="N4984">
        <v>1</v>
      </c>
      <c r="O4984">
        <v>0</v>
      </c>
      <c r="P4984">
        <v>0</v>
      </c>
      <c r="Q4984">
        <v>0</v>
      </c>
      <c r="R4984">
        <v>0</v>
      </c>
      <c r="S4984">
        <v>0</v>
      </c>
      <c r="T4984">
        <v>0</v>
      </c>
      <c r="U4984">
        <v>0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0</v>
      </c>
      <c r="AE4984">
        <v>0</v>
      </c>
      <c r="AF4984">
        <v>0</v>
      </c>
      <c r="AG4984">
        <v>0</v>
      </c>
      <c r="AH4984">
        <v>0</v>
      </c>
      <c r="AI4984">
        <v>100</v>
      </c>
      <c r="AJ4984">
        <v>1</v>
      </c>
      <c r="AK4984">
        <v>0</v>
      </c>
      <c r="AL4984">
        <v>0</v>
      </c>
      <c r="AM4984">
        <v>100</v>
      </c>
      <c r="AN4984">
        <v>0</v>
      </c>
      <c r="AO4984">
        <v>0</v>
      </c>
      <c r="AP4984">
        <v>0</v>
      </c>
      <c r="AQ4984">
        <v>0</v>
      </c>
      <c r="AS4984">
        <v>0</v>
      </c>
      <c r="AT4984">
        <v>0</v>
      </c>
      <c r="AV4984">
        <v>0</v>
      </c>
      <c r="AW4984">
        <v>0</v>
      </c>
      <c r="AY4984">
        <v>0</v>
      </c>
      <c r="AZ4984">
        <v>0</v>
      </c>
      <c r="BA4984">
        <v>70</v>
      </c>
      <c r="BE4984" t="str">
        <f>T("9791137014381")</f>
        <v>9791137014381</v>
      </c>
      <c r="BF4984" t="str">
        <f>T("N218796")</f>
        <v>N218796</v>
      </c>
      <c r="BG4984" t="str">
        <f>T("판타지 웹소설 &gt; 퓨전 판타지")</f>
        <v>판타지 웹소설 &gt; 퓨전 판타지</v>
      </c>
    </row>
    <row r="4985" spans="1:59">
      <c r="A4985" t="s">
        <v>60</v>
      </c>
      <c r="B4985" s="1">
        <v>46129</v>
      </c>
      <c r="C4985">
        <v>2378044065</v>
      </c>
      <c r="D4985">
        <v>2378044113</v>
      </c>
      <c r="E4985" t="str">
        <f>T("저승의 왕위를 계승했다 49화")</f>
        <v>저승의 왕위를 계승했다 49화</v>
      </c>
      <c r="F4985">
        <v>49</v>
      </c>
      <c r="G4985" t="str">
        <f>T("신타비")</f>
        <v>신타비</v>
      </c>
      <c r="J4985" t="str">
        <f>T("매드햇")</f>
        <v>매드햇</v>
      </c>
      <c r="K4985" t="str">
        <f>T("저승의 왕위를 계승했다")</f>
        <v>저승의 왕위를 계승했다</v>
      </c>
      <c r="L4985">
        <v>100</v>
      </c>
      <c r="M4985">
        <v>100</v>
      </c>
      <c r="N4985">
        <v>1</v>
      </c>
      <c r="O4985">
        <v>0</v>
      </c>
      <c r="P4985">
        <v>0</v>
      </c>
      <c r="Q4985">
        <v>0</v>
      </c>
      <c r="R4985">
        <v>0</v>
      </c>
      <c r="S4985">
        <v>0</v>
      </c>
      <c r="T4985">
        <v>0</v>
      </c>
      <c r="U4985">
        <v>0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0</v>
      </c>
      <c r="AE4985">
        <v>0</v>
      </c>
      <c r="AF4985">
        <v>0</v>
      </c>
      <c r="AG4985">
        <v>0</v>
      </c>
      <c r="AH4985">
        <v>0</v>
      </c>
      <c r="AI4985">
        <v>100</v>
      </c>
      <c r="AJ4985">
        <v>1</v>
      </c>
      <c r="AK4985">
        <v>0</v>
      </c>
      <c r="AL4985">
        <v>0</v>
      </c>
      <c r="AM4985">
        <v>100</v>
      </c>
      <c r="AN4985">
        <v>0</v>
      </c>
      <c r="AO4985">
        <v>0</v>
      </c>
      <c r="AP4985">
        <v>0</v>
      </c>
      <c r="AQ4985">
        <v>0</v>
      </c>
      <c r="AS4985">
        <v>0</v>
      </c>
      <c r="AT4985">
        <v>0</v>
      </c>
      <c r="AV4985">
        <v>0</v>
      </c>
      <c r="AW4985">
        <v>0</v>
      </c>
      <c r="AY4985">
        <v>0</v>
      </c>
      <c r="AZ4985">
        <v>0</v>
      </c>
      <c r="BA4985">
        <v>70</v>
      </c>
      <c r="BE4985" t="str">
        <f>T("9791137014381")</f>
        <v>9791137014381</v>
      </c>
      <c r="BF4985" t="str">
        <f>T("N218797")</f>
        <v>N218797</v>
      </c>
      <c r="BG4985" t="str">
        <f>T("판타지 웹소설 &gt; 퓨전 판타지")</f>
        <v>판타지 웹소설 &gt; 퓨전 판타지</v>
      </c>
    </row>
    <row r="4986" spans="1:59">
      <c r="A4986" t="s">
        <v>60</v>
      </c>
      <c r="B4986" s="1">
        <v>46129</v>
      </c>
      <c r="C4986">
        <v>2378044065</v>
      </c>
      <c r="D4986">
        <v>2378044114</v>
      </c>
      <c r="E4986" t="str">
        <f>T("저승의 왕위를 계승했다 50화")</f>
        <v>저승의 왕위를 계승했다 50화</v>
      </c>
      <c r="F4986">
        <v>50</v>
      </c>
      <c r="G4986" t="str">
        <f>T("신타비")</f>
        <v>신타비</v>
      </c>
      <c r="J4986" t="str">
        <f>T("매드햇")</f>
        <v>매드햇</v>
      </c>
      <c r="K4986" t="str">
        <f>T("저승의 왕위를 계승했다")</f>
        <v>저승의 왕위를 계승했다</v>
      </c>
      <c r="L4986">
        <v>100</v>
      </c>
      <c r="M4986">
        <v>100</v>
      </c>
      <c r="N4986">
        <v>1</v>
      </c>
      <c r="O4986">
        <v>0</v>
      </c>
      <c r="P4986">
        <v>0</v>
      </c>
      <c r="Q4986">
        <v>0</v>
      </c>
      <c r="R4986">
        <v>0</v>
      </c>
      <c r="S4986">
        <v>0</v>
      </c>
      <c r="T4986">
        <v>0</v>
      </c>
      <c r="U4986">
        <v>0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0</v>
      </c>
      <c r="AE4986">
        <v>0</v>
      </c>
      <c r="AF4986">
        <v>0</v>
      </c>
      <c r="AG4986">
        <v>0</v>
      </c>
      <c r="AH4986">
        <v>0</v>
      </c>
      <c r="AI4986">
        <v>100</v>
      </c>
      <c r="AJ4986">
        <v>1</v>
      </c>
      <c r="AK4986">
        <v>0</v>
      </c>
      <c r="AL4986">
        <v>0</v>
      </c>
      <c r="AM4986">
        <v>100</v>
      </c>
      <c r="AN4986">
        <v>0</v>
      </c>
      <c r="AO4986">
        <v>0</v>
      </c>
      <c r="AP4986">
        <v>0</v>
      </c>
      <c r="AQ4986">
        <v>0</v>
      </c>
      <c r="AS4986">
        <v>0</v>
      </c>
      <c r="AT4986">
        <v>0</v>
      </c>
      <c r="AV4986">
        <v>0</v>
      </c>
      <c r="AW4986">
        <v>0</v>
      </c>
      <c r="AY4986">
        <v>0</v>
      </c>
      <c r="AZ4986">
        <v>0</v>
      </c>
      <c r="BA4986">
        <v>70</v>
      </c>
      <c r="BE4986" t="str">
        <f>T("9791137014381")</f>
        <v>9791137014381</v>
      </c>
      <c r="BF4986" t="str">
        <f>T("N218798")</f>
        <v>N218798</v>
      </c>
      <c r="BG4986" t="str">
        <f>T("판타지 웹소설 &gt; 퓨전 판타지")</f>
        <v>판타지 웹소설 &gt; 퓨전 판타지</v>
      </c>
    </row>
    <row r="4987" spans="1:59">
      <c r="A4987" t="s">
        <v>60</v>
      </c>
      <c r="B4987" s="1">
        <v>46129</v>
      </c>
      <c r="C4987">
        <v>2378044065</v>
      </c>
      <c r="D4987">
        <v>2378044115</v>
      </c>
      <c r="E4987" t="str">
        <f>T("저승의 왕위를 계승했다 51화")</f>
        <v>저승의 왕위를 계승했다 51화</v>
      </c>
      <c r="F4987">
        <v>51</v>
      </c>
      <c r="G4987" t="str">
        <f>T("신타비")</f>
        <v>신타비</v>
      </c>
      <c r="J4987" t="str">
        <f>T("매드햇")</f>
        <v>매드햇</v>
      </c>
      <c r="K4987" t="str">
        <f>T("저승의 왕위를 계승했다")</f>
        <v>저승의 왕위를 계승했다</v>
      </c>
      <c r="L4987">
        <v>100</v>
      </c>
      <c r="M4987">
        <v>100</v>
      </c>
      <c r="N4987">
        <v>1</v>
      </c>
      <c r="O4987">
        <v>0</v>
      </c>
      <c r="P4987">
        <v>0</v>
      </c>
      <c r="Q4987">
        <v>0</v>
      </c>
      <c r="R4987">
        <v>0</v>
      </c>
      <c r="S4987">
        <v>0</v>
      </c>
      <c r="T4987">
        <v>0</v>
      </c>
      <c r="U4987">
        <v>0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0</v>
      </c>
      <c r="AE4987">
        <v>0</v>
      </c>
      <c r="AF4987">
        <v>0</v>
      </c>
      <c r="AG4987">
        <v>0</v>
      </c>
      <c r="AH4987">
        <v>0</v>
      </c>
      <c r="AI4987">
        <v>100</v>
      </c>
      <c r="AJ4987">
        <v>1</v>
      </c>
      <c r="AK4987">
        <v>0</v>
      </c>
      <c r="AL4987">
        <v>0</v>
      </c>
      <c r="AM4987">
        <v>100</v>
      </c>
      <c r="AN4987">
        <v>0</v>
      </c>
      <c r="AO4987">
        <v>0</v>
      </c>
      <c r="AP4987">
        <v>0</v>
      </c>
      <c r="AQ4987">
        <v>0</v>
      </c>
      <c r="AS4987">
        <v>0</v>
      </c>
      <c r="AT4987">
        <v>0</v>
      </c>
      <c r="AV4987">
        <v>0</v>
      </c>
      <c r="AW4987">
        <v>0</v>
      </c>
      <c r="AY4987">
        <v>0</v>
      </c>
      <c r="AZ4987">
        <v>0</v>
      </c>
      <c r="BA4987">
        <v>70</v>
      </c>
      <c r="BE4987" t="str">
        <f>T("9791137014381")</f>
        <v>9791137014381</v>
      </c>
      <c r="BF4987" t="str">
        <f>T("N218799")</f>
        <v>N218799</v>
      </c>
      <c r="BG4987" t="str">
        <f>T("판타지 웹소설 &gt; 퓨전 판타지")</f>
        <v>판타지 웹소설 &gt; 퓨전 판타지</v>
      </c>
    </row>
    <row r="4988" spans="1:59">
      <c r="A4988" t="s">
        <v>60</v>
      </c>
      <c r="B4988" s="1">
        <v>46129</v>
      </c>
      <c r="C4988">
        <v>2378044065</v>
      </c>
      <c r="D4988">
        <v>2378044116</v>
      </c>
      <c r="E4988" t="str">
        <f>T("저승의 왕위를 계승했다 52화")</f>
        <v>저승의 왕위를 계승했다 52화</v>
      </c>
      <c r="F4988">
        <v>52</v>
      </c>
      <c r="G4988" t="str">
        <f>T("신타비")</f>
        <v>신타비</v>
      </c>
      <c r="J4988" t="str">
        <f>T("매드햇")</f>
        <v>매드햇</v>
      </c>
      <c r="K4988" t="str">
        <f>T("저승의 왕위를 계승했다")</f>
        <v>저승의 왕위를 계승했다</v>
      </c>
      <c r="L4988">
        <v>100</v>
      </c>
      <c r="M4988">
        <v>100</v>
      </c>
      <c r="N4988">
        <v>1</v>
      </c>
      <c r="O4988">
        <v>0</v>
      </c>
      <c r="P4988">
        <v>0</v>
      </c>
      <c r="Q4988">
        <v>0</v>
      </c>
      <c r="R4988">
        <v>0</v>
      </c>
      <c r="S4988">
        <v>0</v>
      </c>
      <c r="T4988">
        <v>0</v>
      </c>
      <c r="U4988">
        <v>0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0</v>
      </c>
      <c r="AE4988">
        <v>0</v>
      </c>
      <c r="AF4988">
        <v>0</v>
      </c>
      <c r="AG4988">
        <v>0</v>
      </c>
      <c r="AH4988">
        <v>0</v>
      </c>
      <c r="AI4988">
        <v>100</v>
      </c>
      <c r="AJ4988">
        <v>1</v>
      </c>
      <c r="AK4988">
        <v>0</v>
      </c>
      <c r="AL4988">
        <v>0</v>
      </c>
      <c r="AM4988">
        <v>100</v>
      </c>
      <c r="AN4988">
        <v>0</v>
      </c>
      <c r="AO4988">
        <v>0</v>
      </c>
      <c r="AP4988">
        <v>0</v>
      </c>
      <c r="AQ4988">
        <v>0</v>
      </c>
      <c r="AS4988">
        <v>0</v>
      </c>
      <c r="AT4988">
        <v>0</v>
      </c>
      <c r="AV4988">
        <v>0</v>
      </c>
      <c r="AW4988">
        <v>0</v>
      </c>
      <c r="AY4988">
        <v>0</v>
      </c>
      <c r="AZ4988">
        <v>0</v>
      </c>
      <c r="BA4988">
        <v>70</v>
      </c>
      <c r="BE4988" t="str">
        <f>T("9791137014381")</f>
        <v>9791137014381</v>
      </c>
      <c r="BF4988" t="str">
        <f>T("N218800")</f>
        <v>N218800</v>
      </c>
      <c r="BG4988" t="str">
        <f>T("판타지 웹소설 &gt; 퓨전 판타지")</f>
        <v>판타지 웹소설 &gt; 퓨전 판타지</v>
      </c>
    </row>
    <row r="4989" spans="1:59">
      <c r="A4989" t="s">
        <v>60</v>
      </c>
      <c r="B4989" s="1">
        <v>46129</v>
      </c>
      <c r="C4989">
        <v>2378044065</v>
      </c>
      <c r="D4989">
        <v>2378044117</v>
      </c>
      <c r="E4989" t="str">
        <f>T("저승의 왕위를 계승했다 53화")</f>
        <v>저승의 왕위를 계승했다 53화</v>
      </c>
      <c r="F4989">
        <v>53</v>
      </c>
      <c r="G4989" t="str">
        <f>T("신타비")</f>
        <v>신타비</v>
      </c>
      <c r="J4989" t="str">
        <f>T("매드햇")</f>
        <v>매드햇</v>
      </c>
      <c r="K4989" t="str">
        <f>T("저승의 왕위를 계승했다")</f>
        <v>저승의 왕위를 계승했다</v>
      </c>
      <c r="L4989">
        <v>100</v>
      </c>
      <c r="M4989">
        <v>100</v>
      </c>
      <c r="N4989">
        <v>1</v>
      </c>
      <c r="O4989">
        <v>0</v>
      </c>
      <c r="P4989">
        <v>0</v>
      </c>
      <c r="Q4989">
        <v>0</v>
      </c>
      <c r="R4989">
        <v>0</v>
      </c>
      <c r="S4989">
        <v>0</v>
      </c>
      <c r="T4989">
        <v>0</v>
      </c>
      <c r="U4989">
        <v>0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0</v>
      </c>
      <c r="AE4989">
        <v>0</v>
      </c>
      <c r="AF4989">
        <v>0</v>
      </c>
      <c r="AG4989">
        <v>0</v>
      </c>
      <c r="AH4989">
        <v>0</v>
      </c>
      <c r="AI4989">
        <v>100</v>
      </c>
      <c r="AJ4989">
        <v>1</v>
      </c>
      <c r="AK4989">
        <v>0</v>
      </c>
      <c r="AL4989">
        <v>0</v>
      </c>
      <c r="AM4989">
        <v>100</v>
      </c>
      <c r="AN4989">
        <v>0</v>
      </c>
      <c r="AO4989">
        <v>0</v>
      </c>
      <c r="AP4989">
        <v>0</v>
      </c>
      <c r="AQ4989">
        <v>0</v>
      </c>
      <c r="AS4989">
        <v>0</v>
      </c>
      <c r="AT4989">
        <v>0</v>
      </c>
      <c r="AV4989">
        <v>0</v>
      </c>
      <c r="AW4989">
        <v>0</v>
      </c>
      <c r="AY4989">
        <v>0</v>
      </c>
      <c r="AZ4989">
        <v>0</v>
      </c>
      <c r="BA4989">
        <v>70</v>
      </c>
      <c r="BE4989" t="str">
        <f>T("9791137014381")</f>
        <v>9791137014381</v>
      </c>
      <c r="BF4989" t="str">
        <f>T("N218801")</f>
        <v>N218801</v>
      </c>
      <c r="BG4989" t="str">
        <f>T("판타지 웹소설 &gt; 퓨전 판타지")</f>
        <v>판타지 웹소설 &gt; 퓨전 판타지</v>
      </c>
    </row>
    <row r="4990" spans="1:59">
      <c r="A4990" t="s">
        <v>60</v>
      </c>
      <c r="B4990" s="1">
        <v>46129</v>
      </c>
      <c r="C4990">
        <v>2378044065</v>
      </c>
      <c r="D4990">
        <v>2378044118</v>
      </c>
      <c r="E4990" t="str">
        <f>T("저승의 왕위를 계승했다 54화")</f>
        <v>저승의 왕위를 계승했다 54화</v>
      </c>
      <c r="F4990">
        <v>54</v>
      </c>
      <c r="G4990" t="str">
        <f>T("신타비")</f>
        <v>신타비</v>
      </c>
      <c r="J4990" t="str">
        <f>T("매드햇")</f>
        <v>매드햇</v>
      </c>
      <c r="K4990" t="str">
        <f>T("저승의 왕위를 계승했다")</f>
        <v>저승의 왕위를 계승했다</v>
      </c>
      <c r="L4990">
        <v>100</v>
      </c>
      <c r="M4990">
        <v>100</v>
      </c>
      <c r="N4990">
        <v>1</v>
      </c>
      <c r="O4990">
        <v>0</v>
      </c>
      <c r="P4990">
        <v>0</v>
      </c>
      <c r="Q4990">
        <v>0</v>
      </c>
      <c r="R4990">
        <v>0</v>
      </c>
      <c r="S4990">
        <v>0</v>
      </c>
      <c r="T4990">
        <v>0</v>
      </c>
      <c r="U4990">
        <v>0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0</v>
      </c>
      <c r="AE4990">
        <v>0</v>
      </c>
      <c r="AF4990">
        <v>0</v>
      </c>
      <c r="AG4990">
        <v>0</v>
      </c>
      <c r="AH4990">
        <v>0</v>
      </c>
      <c r="AI4990">
        <v>100</v>
      </c>
      <c r="AJ4990">
        <v>1</v>
      </c>
      <c r="AK4990">
        <v>0</v>
      </c>
      <c r="AL4990">
        <v>0</v>
      </c>
      <c r="AM4990">
        <v>100</v>
      </c>
      <c r="AN4990">
        <v>0</v>
      </c>
      <c r="AO4990">
        <v>0</v>
      </c>
      <c r="AP4990">
        <v>0</v>
      </c>
      <c r="AQ4990">
        <v>0</v>
      </c>
      <c r="AS4990">
        <v>0</v>
      </c>
      <c r="AT4990">
        <v>0</v>
      </c>
      <c r="AV4990">
        <v>0</v>
      </c>
      <c r="AW4990">
        <v>0</v>
      </c>
      <c r="AY4990">
        <v>0</v>
      </c>
      <c r="AZ4990">
        <v>0</v>
      </c>
      <c r="BA4990">
        <v>70</v>
      </c>
      <c r="BE4990" t="str">
        <f>T("9791137014381")</f>
        <v>9791137014381</v>
      </c>
      <c r="BF4990" t="str">
        <f>T("N218802")</f>
        <v>N218802</v>
      </c>
      <c r="BG4990" t="str">
        <f>T("판타지 웹소설 &gt; 퓨전 판타지")</f>
        <v>판타지 웹소설 &gt; 퓨전 판타지</v>
      </c>
    </row>
    <row r="4991" spans="1:59">
      <c r="A4991" t="s">
        <v>60</v>
      </c>
      <c r="B4991" s="1">
        <v>46129</v>
      </c>
      <c r="C4991">
        <v>2378044065</v>
      </c>
      <c r="D4991">
        <v>2378044119</v>
      </c>
      <c r="E4991" t="str">
        <f>T("저승의 왕위를 계승했다 55화")</f>
        <v>저승의 왕위를 계승했다 55화</v>
      </c>
      <c r="F4991">
        <v>55</v>
      </c>
      <c r="G4991" t="str">
        <f>T("신타비")</f>
        <v>신타비</v>
      </c>
      <c r="J4991" t="str">
        <f>T("매드햇")</f>
        <v>매드햇</v>
      </c>
      <c r="K4991" t="str">
        <f>T("저승의 왕위를 계승했다")</f>
        <v>저승의 왕위를 계승했다</v>
      </c>
      <c r="L4991">
        <v>100</v>
      </c>
      <c r="M4991">
        <v>100</v>
      </c>
      <c r="N4991">
        <v>1</v>
      </c>
      <c r="O4991">
        <v>0</v>
      </c>
      <c r="P4991">
        <v>0</v>
      </c>
      <c r="Q4991">
        <v>0</v>
      </c>
      <c r="R4991">
        <v>0</v>
      </c>
      <c r="S4991">
        <v>0</v>
      </c>
      <c r="T4991">
        <v>0</v>
      </c>
      <c r="U4991">
        <v>0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0</v>
      </c>
      <c r="AE4991">
        <v>0</v>
      </c>
      <c r="AF4991">
        <v>0</v>
      </c>
      <c r="AG4991">
        <v>0</v>
      </c>
      <c r="AH4991">
        <v>0</v>
      </c>
      <c r="AI4991">
        <v>100</v>
      </c>
      <c r="AJ4991">
        <v>1</v>
      </c>
      <c r="AK4991">
        <v>0</v>
      </c>
      <c r="AL4991">
        <v>0</v>
      </c>
      <c r="AM4991">
        <v>100</v>
      </c>
      <c r="AN4991">
        <v>0</v>
      </c>
      <c r="AO4991">
        <v>0</v>
      </c>
      <c r="AP4991">
        <v>0</v>
      </c>
      <c r="AQ4991">
        <v>0</v>
      </c>
      <c r="AS4991">
        <v>0</v>
      </c>
      <c r="AT4991">
        <v>0</v>
      </c>
      <c r="AV4991">
        <v>0</v>
      </c>
      <c r="AW4991">
        <v>0</v>
      </c>
      <c r="AY4991">
        <v>0</v>
      </c>
      <c r="AZ4991">
        <v>0</v>
      </c>
      <c r="BA4991">
        <v>70</v>
      </c>
      <c r="BE4991" t="str">
        <f>T("9791137014381")</f>
        <v>9791137014381</v>
      </c>
      <c r="BF4991" t="str">
        <f>T("N218803")</f>
        <v>N218803</v>
      </c>
      <c r="BG4991" t="str">
        <f>T("판타지 웹소설 &gt; 퓨전 판타지")</f>
        <v>판타지 웹소설 &gt; 퓨전 판타지</v>
      </c>
    </row>
    <row r="4992" spans="1:59">
      <c r="A4992" t="s">
        <v>60</v>
      </c>
      <c r="B4992" s="1">
        <v>46129</v>
      </c>
      <c r="C4992">
        <v>2378044065</v>
      </c>
      <c r="D4992">
        <v>2378044120</v>
      </c>
      <c r="E4992" t="str">
        <f>T("저승의 왕위를 계승했다 56화")</f>
        <v>저승의 왕위를 계승했다 56화</v>
      </c>
      <c r="F4992">
        <v>56</v>
      </c>
      <c r="G4992" t="str">
        <f>T("신타비")</f>
        <v>신타비</v>
      </c>
      <c r="J4992" t="str">
        <f>T("매드햇")</f>
        <v>매드햇</v>
      </c>
      <c r="K4992" t="str">
        <f>T("저승의 왕위를 계승했다")</f>
        <v>저승의 왕위를 계승했다</v>
      </c>
      <c r="L4992">
        <v>100</v>
      </c>
      <c r="M4992">
        <v>100</v>
      </c>
      <c r="N4992">
        <v>1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0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0</v>
      </c>
      <c r="AE4992">
        <v>0</v>
      </c>
      <c r="AF4992">
        <v>0</v>
      </c>
      <c r="AG4992">
        <v>0</v>
      </c>
      <c r="AH4992">
        <v>0</v>
      </c>
      <c r="AI4992">
        <v>100</v>
      </c>
      <c r="AJ4992">
        <v>1</v>
      </c>
      <c r="AK4992">
        <v>0</v>
      </c>
      <c r="AL4992">
        <v>0</v>
      </c>
      <c r="AM4992">
        <v>100</v>
      </c>
      <c r="AN4992">
        <v>0</v>
      </c>
      <c r="AO4992">
        <v>0</v>
      </c>
      <c r="AP4992">
        <v>0</v>
      </c>
      <c r="AQ4992">
        <v>0</v>
      </c>
      <c r="AS4992">
        <v>0</v>
      </c>
      <c r="AT4992">
        <v>0</v>
      </c>
      <c r="AV4992">
        <v>0</v>
      </c>
      <c r="AW4992">
        <v>0</v>
      </c>
      <c r="AY4992">
        <v>0</v>
      </c>
      <c r="AZ4992">
        <v>0</v>
      </c>
      <c r="BA4992">
        <v>70</v>
      </c>
      <c r="BE4992" t="str">
        <f>T("9791137014381")</f>
        <v>9791137014381</v>
      </c>
      <c r="BF4992" t="str">
        <f>T("N218804")</f>
        <v>N218804</v>
      </c>
      <c r="BG4992" t="str">
        <f>T("판타지 웹소설 &gt; 퓨전 판타지")</f>
        <v>판타지 웹소설 &gt; 퓨전 판타지</v>
      </c>
    </row>
    <row r="4993" spans="1:59">
      <c r="A4993" t="s">
        <v>60</v>
      </c>
      <c r="B4993" s="1">
        <v>46129</v>
      </c>
      <c r="C4993">
        <v>2378044065</v>
      </c>
      <c r="D4993">
        <v>2378044121</v>
      </c>
      <c r="E4993" t="str">
        <f>T("저승의 왕위를 계승했다 57화")</f>
        <v>저승의 왕위를 계승했다 57화</v>
      </c>
      <c r="F4993">
        <v>57</v>
      </c>
      <c r="G4993" t="str">
        <f>T("신타비")</f>
        <v>신타비</v>
      </c>
      <c r="J4993" t="str">
        <f>T("매드햇")</f>
        <v>매드햇</v>
      </c>
      <c r="K4993" t="str">
        <f>T("저승의 왕위를 계승했다")</f>
        <v>저승의 왕위를 계승했다</v>
      </c>
      <c r="L4993">
        <v>100</v>
      </c>
      <c r="M4993">
        <v>100</v>
      </c>
      <c r="N4993">
        <v>1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0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0</v>
      </c>
      <c r="AE4993">
        <v>0</v>
      </c>
      <c r="AF4993">
        <v>0</v>
      </c>
      <c r="AG4993">
        <v>0</v>
      </c>
      <c r="AH4993">
        <v>0</v>
      </c>
      <c r="AI4993">
        <v>100</v>
      </c>
      <c r="AJ4993">
        <v>1</v>
      </c>
      <c r="AK4993">
        <v>0</v>
      </c>
      <c r="AL4993">
        <v>0</v>
      </c>
      <c r="AM4993">
        <v>100</v>
      </c>
      <c r="AN4993">
        <v>0</v>
      </c>
      <c r="AO4993">
        <v>0</v>
      </c>
      <c r="AP4993">
        <v>0</v>
      </c>
      <c r="AQ4993">
        <v>0</v>
      </c>
      <c r="AS4993">
        <v>0</v>
      </c>
      <c r="AT4993">
        <v>0</v>
      </c>
      <c r="AV4993">
        <v>0</v>
      </c>
      <c r="AW4993">
        <v>0</v>
      </c>
      <c r="AY4993">
        <v>0</v>
      </c>
      <c r="AZ4993">
        <v>0</v>
      </c>
      <c r="BA4993">
        <v>70</v>
      </c>
      <c r="BE4993" t="str">
        <f>T("9791137014381")</f>
        <v>9791137014381</v>
      </c>
      <c r="BF4993" t="str">
        <f>T("N218805")</f>
        <v>N218805</v>
      </c>
      <c r="BG4993" t="str">
        <f>T("판타지 웹소설 &gt; 퓨전 판타지")</f>
        <v>판타지 웹소설 &gt; 퓨전 판타지</v>
      </c>
    </row>
    <row r="4994" spans="1:59">
      <c r="A4994" t="s">
        <v>60</v>
      </c>
      <c r="B4994" s="1">
        <v>46129</v>
      </c>
      <c r="C4994">
        <v>2378044065</v>
      </c>
      <c r="D4994">
        <v>2378044122</v>
      </c>
      <c r="E4994" t="str">
        <f>T("저승의 왕위를 계승했다 58화")</f>
        <v>저승의 왕위를 계승했다 58화</v>
      </c>
      <c r="F4994">
        <v>58</v>
      </c>
      <c r="G4994" t="str">
        <f>T("신타비")</f>
        <v>신타비</v>
      </c>
      <c r="J4994" t="str">
        <f>T("매드햇")</f>
        <v>매드햇</v>
      </c>
      <c r="K4994" t="str">
        <f>T("저승의 왕위를 계승했다")</f>
        <v>저승의 왕위를 계승했다</v>
      </c>
      <c r="L4994">
        <v>100</v>
      </c>
      <c r="M4994">
        <v>100</v>
      </c>
      <c r="N4994">
        <v>1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0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0</v>
      </c>
      <c r="AE4994">
        <v>0</v>
      </c>
      <c r="AF4994">
        <v>0</v>
      </c>
      <c r="AG4994">
        <v>0</v>
      </c>
      <c r="AH4994">
        <v>0</v>
      </c>
      <c r="AI4994">
        <v>100</v>
      </c>
      <c r="AJ4994">
        <v>1</v>
      </c>
      <c r="AK4994">
        <v>0</v>
      </c>
      <c r="AL4994">
        <v>0</v>
      </c>
      <c r="AM4994">
        <v>100</v>
      </c>
      <c r="AN4994">
        <v>0</v>
      </c>
      <c r="AO4994">
        <v>0</v>
      </c>
      <c r="AP4994">
        <v>0</v>
      </c>
      <c r="AQ4994">
        <v>0</v>
      </c>
      <c r="AS4994">
        <v>0</v>
      </c>
      <c r="AT4994">
        <v>0</v>
      </c>
      <c r="AV4994">
        <v>0</v>
      </c>
      <c r="AW4994">
        <v>0</v>
      </c>
      <c r="AY4994">
        <v>0</v>
      </c>
      <c r="AZ4994">
        <v>0</v>
      </c>
      <c r="BA4994">
        <v>70</v>
      </c>
      <c r="BE4994" t="str">
        <f>T("9791137014381")</f>
        <v>9791137014381</v>
      </c>
      <c r="BF4994" t="str">
        <f>T("N218806")</f>
        <v>N218806</v>
      </c>
      <c r="BG4994" t="str">
        <f>T("판타지 웹소설 &gt; 퓨전 판타지")</f>
        <v>판타지 웹소설 &gt; 퓨전 판타지</v>
      </c>
    </row>
    <row r="4995" spans="1:59">
      <c r="A4995" t="s">
        <v>60</v>
      </c>
      <c r="B4995" s="1">
        <v>46129</v>
      </c>
      <c r="C4995">
        <v>2378044065</v>
      </c>
      <c r="D4995">
        <v>2378044123</v>
      </c>
      <c r="E4995" t="str">
        <f>T("저승의 왕위를 계승했다 59화")</f>
        <v>저승의 왕위를 계승했다 59화</v>
      </c>
      <c r="F4995">
        <v>59</v>
      </c>
      <c r="G4995" t="str">
        <f>T("신타비")</f>
        <v>신타비</v>
      </c>
      <c r="J4995" t="str">
        <f>T("매드햇")</f>
        <v>매드햇</v>
      </c>
      <c r="K4995" t="str">
        <f>T("저승의 왕위를 계승했다")</f>
        <v>저승의 왕위를 계승했다</v>
      </c>
      <c r="L4995">
        <v>100</v>
      </c>
      <c r="M4995">
        <v>100</v>
      </c>
      <c r="N4995">
        <v>1</v>
      </c>
      <c r="O4995">
        <v>0</v>
      </c>
      <c r="P4995">
        <v>0</v>
      </c>
      <c r="Q4995">
        <v>0</v>
      </c>
      <c r="R4995">
        <v>0</v>
      </c>
      <c r="S4995">
        <v>0</v>
      </c>
      <c r="T4995">
        <v>0</v>
      </c>
      <c r="U4995">
        <v>0</v>
      </c>
      <c r="V4995">
        <v>0</v>
      </c>
      <c r="W4995">
        <v>0</v>
      </c>
      <c r="X4995">
        <v>0</v>
      </c>
      <c r="Y4995">
        <v>0</v>
      </c>
      <c r="Z4995">
        <v>0</v>
      </c>
      <c r="AA4995">
        <v>0</v>
      </c>
      <c r="AB4995">
        <v>0</v>
      </c>
      <c r="AC4995">
        <v>0</v>
      </c>
      <c r="AD4995">
        <v>0</v>
      </c>
      <c r="AE4995">
        <v>0</v>
      </c>
      <c r="AF4995">
        <v>0</v>
      </c>
      <c r="AG4995">
        <v>0</v>
      </c>
      <c r="AH4995">
        <v>0</v>
      </c>
      <c r="AI4995">
        <v>100</v>
      </c>
      <c r="AJ4995">
        <v>1</v>
      </c>
      <c r="AK4995">
        <v>0</v>
      </c>
      <c r="AL4995">
        <v>0</v>
      </c>
      <c r="AM4995">
        <v>100</v>
      </c>
      <c r="AN4995">
        <v>0</v>
      </c>
      <c r="AO4995">
        <v>0</v>
      </c>
      <c r="AP4995">
        <v>0</v>
      </c>
      <c r="AQ4995">
        <v>0</v>
      </c>
      <c r="AS4995">
        <v>0</v>
      </c>
      <c r="AT4995">
        <v>0</v>
      </c>
      <c r="AV4995">
        <v>0</v>
      </c>
      <c r="AW4995">
        <v>0</v>
      </c>
      <c r="AY4995">
        <v>0</v>
      </c>
      <c r="AZ4995">
        <v>0</v>
      </c>
      <c r="BA4995">
        <v>70</v>
      </c>
      <c r="BE4995" t="str">
        <f>T("9791137014381")</f>
        <v>9791137014381</v>
      </c>
      <c r="BF4995" t="str">
        <f>T("N218807")</f>
        <v>N218807</v>
      </c>
      <c r="BG4995" t="str">
        <f>T("판타지 웹소설 &gt; 퓨전 판타지")</f>
        <v>판타지 웹소설 &gt; 퓨전 판타지</v>
      </c>
    </row>
    <row r="4996" spans="1:59">
      <c r="A4996" t="s">
        <v>60</v>
      </c>
      <c r="B4996" s="1">
        <v>46129</v>
      </c>
      <c r="C4996">
        <v>2378044065</v>
      </c>
      <c r="D4996">
        <v>2378044124</v>
      </c>
      <c r="E4996" t="str">
        <f>T("저승의 왕위를 계승했다 60화")</f>
        <v>저승의 왕위를 계승했다 60화</v>
      </c>
      <c r="F4996">
        <v>60</v>
      </c>
      <c r="G4996" t="str">
        <f>T("신타비")</f>
        <v>신타비</v>
      </c>
      <c r="J4996" t="str">
        <f>T("매드햇")</f>
        <v>매드햇</v>
      </c>
      <c r="K4996" t="str">
        <f>T("저승의 왕위를 계승했다")</f>
        <v>저승의 왕위를 계승했다</v>
      </c>
      <c r="L4996">
        <v>100</v>
      </c>
      <c r="M4996">
        <v>100</v>
      </c>
      <c r="N4996">
        <v>1</v>
      </c>
      <c r="O4996">
        <v>0</v>
      </c>
      <c r="P4996">
        <v>0</v>
      </c>
      <c r="Q4996">
        <v>0</v>
      </c>
      <c r="R4996">
        <v>0</v>
      </c>
      <c r="S4996">
        <v>0</v>
      </c>
      <c r="T4996">
        <v>0</v>
      </c>
      <c r="U4996">
        <v>0</v>
      </c>
      <c r="V4996">
        <v>0</v>
      </c>
      <c r="W4996">
        <v>0</v>
      </c>
      <c r="X4996">
        <v>0</v>
      </c>
      <c r="Y4996">
        <v>0</v>
      </c>
      <c r="Z4996">
        <v>0</v>
      </c>
      <c r="AA4996">
        <v>0</v>
      </c>
      <c r="AB4996">
        <v>0</v>
      </c>
      <c r="AC4996">
        <v>0</v>
      </c>
      <c r="AD4996">
        <v>0</v>
      </c>
      <c r="AE4996">
        <v>0</v>
      </c>
      <c r="AF4996">
        <v>0</v>
      </c>
      <c r="AG4996">
        <v>0</v>
      </c>
      <c r="AH4996">
        <v>0</v>
      </c>
      <c r="AI4996">
        <v>100</v>
      </c>
      <c r="AJ4996">
        <v>1</v>
      </c>
      <c r="AK4996">
        <v>0</v>
      </c>
      <c r="AL4996">
        <v>0</v>
      </c>
      <c r="AM4996">
        <v>100</v>
      </c>
      <c r="AN4996">
        <v>0</v>
      </c>
      <c r="AO4996">
        <v>0</v>
      </c>
      <c r="AP4996">
        <v>0</v>
      </c>
      <c r="AQ4996">
        <v>0</v>
      </c>
      <c r="AS4996">
        <v>0</v>
      </c>
      <c r="AT4996">
        <v>0</v>
      </c>
      <c r="AV4996">
        <v>0</v>
      </c>
      <c r="AW4996">
        <v>0</v>
      </c>
      <c r="AY4996">
        <v>0</v>
      </c>
      <c r="AZ4996">
        <v>0</v>
      </c>
      <c r="BA4996">
        <v>70</v>
      </c>
      <c r="BE4996" t="str">
        <f>T("9791137014381")</f>
        <v>9791137014381</v>
      </c>
      <c r="BF4996" t="str">
        <f>T("N218808")</f>
        <v>N218808</v>
      </c>
      <c r="BG4996" t="str">
        <f>T("판타지 웹소설 &gt; 퓨전 판타지")</f>
        <v>판타지 웹소설 &gt; 퓨전 판타지</v>
      </c>
    </row>
    <row r="4997" spans="1:59">
      <c r="A4997" t="s">
        <v>60</v>
      </c>
      <c r="B4997" s="1">
        <v>46129</v>
      </c>
      <c r="C4997">
        <v>2378044065</v>
      </c>
      <c r="D4997">
        <v>2378044125</v>
      </c>
      <c r="E4997" t="str">
        <f>T("저승의 왕위를 계승했다 61화")</f>
        <v>저승의 왕위를 계승했다 61화</v>
      </c>
      <c r="F4997">
        <v>61</v>
      </c>
      <c r="G4997" t="str">
        <f>T("신타비")</f>
        <v>신타비</v>
      </c>
      <c r="J4997" t="str">
        <f>T("매드햇")</f>
        <v>매드햇</v>
      </c>
      <c r="K4997" t="str">
        <f>T("저승의 왕위를 계승했다")</f>
        <v>저승의 왕위를 계승했다</v>
      </c>
      <c r="L4997">
        <v>100</v>
      </c>
      <c r="M4997">
        <v>100</v>
      </c>
      <c r="N4997">
        <v>1</v>
      </c>
      <c r="O4997">
        <v>0</v>
      </c>
      <c r="P4997">
        <v>0</v>
      </c>
      <c r="Q4997">
        <v>0</v>
      </c>
      <c r="R4997">
        <v>0</v>
      </c>
      <c r="S4997">
        <v>0</v>
      </c>
      <c r="T4997">
        <v>0</v>
      </c>
      <c r="U4997">
        <v>0</v>
      </c>
      <c r="V4997">
        <v>0</v>
      </c>
      <c r="W4997">
        <v>0</v>
      </c>
      <c r="X4997">
        <v>0</v>
      </c>
      <c r="Y4997">
        <v>0</v>
      </c>
      <c r="Z4997">
        <v>0</v>
      </c>
      <c r="AA4997">
        <v>0</v>
      </c>
      <c r="AB4997">
        <v>0</v>
      </c>
      <c r="AC4997">
        <v>0</v>
      </c>
      <c r="AD4997">
        <v>0</v>
      </c>
      <c r="AE4997">
        <v>0</v>
      </c>
      <c r="AF4997">
        <v>0</v>
      </c>
      <c r="AG4997">
        <v>0</v>
      </c>
      <c r="AH4997">
        <v>0</v>
      </c>
      <c r="AI4997">
        <v>100</v>
      </c>
      <c r="AJ4997">
        <v>1</v>
      </c>
      <c r="AK4997">
        <v>0</v>
      </c>
      <c r="AL4997">
        <v>0</v>
      </c>
      <c r="AM4997">
        <v>100</v>
      </c>
      <c r="AN4997">
        <v>0</v>
      </c>
      <c r="AO4997">
        <v>0</v>
      </c>
      <c r="AP4997">
        <v>0</v>
      </c>
      <c r="AQ4997">
        <v>0</v>
      </c>
      <c r="AS4997">
        <v>0</v>
      </c>
      <c r="AT4997">
        <v>0</v>
      </c>
      <c r="AV4997">
        <v>0</v>
      </c>
      <c r="AW4997">
        <v>0</v>
      </c>
      <c r="AY4997">
        <v>0</v>
      </c>
      <c r="AZ4997">
        <v>0</v>
      </c>
      <c r="BA4997">
        <v>70</v>
      </c>
      <c r="BE4997" t="str">
        <f>T("9791137014381")</f>
        <v>9791137014381</v>
      </c>
      <c r="BF4997" t="str">
        <f>T("N218809")</f>
        <v>N218809</v>
      </c>
      <c r="BG4997" t="str">
        <f>T("판타지 웹소설 &gt; 퓨전 판타지")</f>
        <v>판타지 웹소설 &gt; 퓨전 판타지</v>
      </c>
    </row>
    <row r="4998" spans="1:59">
      <c r="A4998" t="s">
        <v>60</v>
      </c>
      <c r="B4998" s="1">
        <v>46129</v>
      </c>
      <c r="C4998">
        <v>2378044065</v>
      </c>
      <c r="D4998">
        <v>2378044126</v>
      </c>
      <c r="E4998" t="str">
        <f>T("저승의 왕위를 계승했다 62화")</f>
        <v>저승의 왕위를 계승했다 62화</v>
      </c>
      <c r="F4998">
        <v>62</v>
      </c>
      <c r="G4998" t="str">
        <f>T("신타비")</f>
        <v>신타비</v>
      </c>
      <c r="J4998" t="str">
        <f>T("매드햇")</f>
        <v>매드햇</v>
      </c>
      <c r="K4998" t="str">
        <f>T("저승의 왕위를 계승했다")</f>
        <v>저승의 왕위를 계승했다</v>
      </c>
      <c r="L4998">
        <v>100</v>
      </c>
      <c r="M4998">
        <v>100</v>
      </c>
      <c r="N4998">
        <v>1</v>
      </c>
      <c r="O4998">
        <v>0</v>
      </c>
      <c r="P4998">
        <v>0</v>
      </c>
      <c r="Q4998">
        <v>0</v>
      </c>
      <c r="R4998">
        <v>0</v>
      </c>
      <c r="S4998">
        <v>0</v>
      </c>
      <c r="T4998">
        <v>0</v>
      </c>
      <c r="U4998">
        <v>0</v>
      </c>
      <c r="V4998">
        <v>0</v>
      </c>
      <c r="W4998">
        <v>0</v>
      </c>
      <c r="X4998">
        <v>0</v>
      </c>
      <c r="Y4998">
        <v>0</v>
      </c>
      <c r="Z4998">
        <v>0</v>
      </c>
      <c r="AA4998">
        <v>0</v>
      </c>
      <c r="AB4998">
        <v>0</v>
      </c>
      <c r="AC4998">
        <v>0</v>
      </c>
      <c r="AD4998">
        <v>0</v>
      </c>
      <c r="AE4998">
        <v>0</v>
      </c>
      <c r="AF4998">
        <v>0</v>
      </c>
      <c r="AG4998">
        <v>0</v>
      </c>
      <c r="AH4998">
        <v>0</v>
      </c>
      <c r="AI4998">
        <v>100</v>
      </c>
      <c r="AJ4998">
        <v>1</v>
      </c>
      <c r="AK4998">
        <v>0</v>
      </c>
      <c r="AL4998">
        <v>0</v>
      </c>
      <c r="AM4998">
        <v>100</v>
      </c>
      <c r="AN4998">
        <v>0</v>
      </c>
      <c r="AO4998">
        <v>0</v>
      </c>
      <c r="AP4998">
        <v>0</v>
      </c>
      <c r="AQ4998">
        <v>0</v>
      </c>
      <c r="AS4998">
        <v>0</v>
      </c>
      <c r="AT4998">
        <v>0</v>
      </c>
      <c r="AV4998">
        <v>0</v>
      </c>
      <c r="AW4998">
        <v>0</v>
      </c>
      <c r="AY4998">
        <v>0</v>
      </c>
      <c r="AZ4998">
        <v>0</v>
      </c>
      <c r="BA4998">
        <v>70</v>
      </c>
      <c r="BE4998" t="str">
        <f>T("9791137014381")</f>
        <v>9791137014381</v>
      </c>
      <c r="BF4998" t="str">
        <f>T("N218810")</f>
        <v>N218810</v>
      </c>
      <c r="BG4998" t="str">
        <f>T("판타지 웹소설 &gt; 퓨전 판타지")</f>
        <v>판타지 웹소설 &gt; 퓨전 판타지</v>
      </c>
    </row>
    <row r="4999" spans="1:59">
      <c r="A4999" t="s">
        <v>60</v>
      </c>
      <c r="B4999" s="1">
        <v>46129</v>
      </c>
      <c r="C4999">
        <v>2378044065</v>
      </c>
      <c r="D4999">
        <v>2378044127</v>
      </c>
      <c r="E4999" t="str">
        <f>T("저승의 왕위를 계승했다 63화")</f>
        <v>저승의 왕위를 계승했다 63화</v>
      </c>
      <c r="F4999">
        <v>63</v>
      </c>
      <c r="G4999" t="str">
        <f>T("신타비")</f>
        <v>신타비</v>
      </c>
      <c r="J4999" t="str">
        <f>T("매드햇")</f>
        <v>매드햇</v>
      </c>
      <c r="K4999" t="str">
        <f>T("저승의 왕위를 계승했다")</f>
        <v>저승의 왕위를 계승했다</v>
      </c>
      <c r="L4999">
        <v>100</v>
      </c>
      <c r="M4999">
        <v>100</v>
      </c>
      <c r="N4999">
        <v>1</v>
      </c>
      <c r="O4999">
        <v>0</v>
      </c>
      <c r="P4999">
        <v>0</v>
      </c>
      <c r="Q4999">
        <v>0</v>
      </c>
      <c r="R4999">
        <v>0</v>
      </c>
      <c r="S4999">
        <v>0</v>
      </c>
      <c r="T4999">
        <v>0</v>
      </c>
      <c r="U4999">
        <v>0</v>
      </c>
      <c r="V4999">
        <v>0</v>
      </c>
      <c r="W4999">
        <v>0</v>
      </c>
      <c r="X4999">
        <v>0</v>
      </c>
      <c r="Y4999">
        <v>0</v>
      </c>
      <c r="Z4999">
        <v>0</v>
      </c>
      <c r="AA4999">
        <v>0</v>
      </c>
      <c r="AB4999">
        <v>0</v>
      </c>
      <c r="AC4999">
        <v>0</v>
      </c>
      <c r="AD4999">
        <v>0</v>
      </c>
      <c r="AE4999">
        <v>0</v>
      </c>
      <c r="AF4999">
        <v>0</v>
      </c>
      <c r="AG4999">
        <v>0</v>
      </c>
      <c r="AH4999">
        <v>0</v>
      </c>
      <c r="AI4999">
        <v>100</v>
      </c>
      <c r="AJ4999">
        <v>1</v>
      </c>
      <c r="AK4999">
        <v>0</v>
      </c>
      <c r="AL4999">
        <v>0</v>
      </c>
      <c r="AM4999">
        <v>100</v>
      </c>
      <c r="AN4999">
        <v>0</v>
      </c>
      <c r="AO4999">
        <v>0</v>
      </c>
      <c r="AP4999">
        <v>0</v>
      </c>
      <c r="AQ4999">
        <v>0</v>
      </c>
      <c r="AS4999">
        <v>0</v>
      </c>
      <c r="AT4999">
        <v>0</v>
      </c>
      <c r="AV4999">
        <v>0</v>
      </c>
      <c r="AW4999">
        <v>0</v>
      </c>
      <c r="AY4999">
        <v>0</v>
      </c>
      <c r="AZ4999">
        <v>0</v>
      </c>
      <c r="BA4999">
        <v>70</v>
      </c>
      <c r="BE4999" t="str">
        <f>T("9791137014381")</f>
        <v>9791137014381</v>
      </c>
      <c r="BF4999" t="str">
        <f>T("N218811")</f>
        <v>N218811</v>
      </c>
      <c r="BG4999" t="str">
        <f>T("판타지 웹소설 &gt; 퓨전 판타지")</f>
        <v>판타지 웹소설 &gt; 퓨전 판타지</v>
      </c>
    </row>
    <row r="5000" spans="1:59">
      <c r="A5000" t="s">
        <v>60</v>
      </c>
      <c r="B5000" s="1">
        <v>46129</v>
      </c>
      <c r="C5000">
        <v>2378044065</v>
      </c>
      <c r="D5000">
        <v>2378044128</v>
      </c>
      <c r="E5000" t="str">
        <f>T("저승의 왕위를 계승했다 64화")</f>
        <v>저승의 왕위를 계승했다 64화</v>
      </c>
      <c r="F5000">
        <v>64</v>
      </c>
      <c r="G5000" t="str">
        <f>T("신타비")</f>
        <v>신타비</v>
      </c>
      <c r="J5000" t="str">
        <f>T("매드햇")</f>
        <v>매드햇</v>
      </c>
      <c r="K5000" t="str">
        <f>T("저승의 왕위를 계승했다")</f>
        <v>저승의 왕위를 계승했다</v>
      </c>
      <c r="L5000">
        <v>100</v>
      </c>
      <c r="M5000">
        <v>100</v>
      </c>
      <c r="N5000">
        <v>1</v>
      </c>
      <c r="O5000">
        <v>0</v>
      </c>
      <c r="P5000">
        <v>0</v>
      </c>
      <c r="Q5000">
        <v>0</v>
      </c>
      <c r="R5000">
        <v>0</v>
      </c>
      <c r="S5000">
        <v>0</v>
      </c>
      <c r="T5000">
        <v>0</v>
      </c>
      <c r="U5000">
        <v>0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0</v>
      </c>
      <c r="AE5000">
        <v>0</v>
      </c>
      <c r="AF5000">
        <v>0</v>
      </c>
      <c r="AG5000">
        <v>0</v>
      </c>
      <c r="AH5000">
        <v>0</v>
      </c>
      <c r="AI5000">
        <v>100</v>
      </c>
      <c r="AJ5000">
        <v>1</v>
      </c>
      <c r="AK5000">
        <v>0</v>
      </c>
      <c r="AL5000">
        <v>0</v>
      </c>
      <c r="AM5000">
        <v>100</v>
      </c>
      <c r="AN5000">
        <v>0</v>
      </c>
      <c r="AO5000">
        <v>0</v>
      </c>
      <c r="AP5000">
        <v>0</v>
      </c>
      <c r="AQ5000">
        <v>0</v>
      </c>
      <c r="AS5000">
        <v>0</v>
      </c>
      <c r="AT5000">
        <v>0</v>
      </c>
      <c r="AV5000">
        <v>0</v>
      </c>
      <c r="AW5000">
        <v>0</v>
      </c>
      <c r="AY5000">
        <v>0</v>
      </c>
      <c r="AZ5000">
        <v>0</v>
      </c>
      <c r="BA5000">
        <v>70</v>
      </c>
      <c r="BE5000" t="str">
        <f>T("9791137014381")</f>
        <v>9791137014381</v>
      </c>
      <c r="BF5000" t="str">
        <f>T("N218812")</f>
        <v>N218812</v>
      </c>
      <c r="BG5000" t="str">
        <f>T("판타지 웹소설 &gt; 퓨전 판타지")</f>
        <v>판타지 웹소설 &gt; 퓨전 판타지</v>
      </c>
    </row>
    <row r="5001" spans="1:59">
      <c r="A5001" t="s">
        <v>60</v>
      </c>
      <c r="B5001" s="1">
        <v>46129</v>
      </c>
      <c r="C5001">
        <v>2378044065</v>
      </c>
      <c r="D5001">
        <v>2378044129</v>
      </c>
      <c r="E5001" t="str">
        <f>T("저승의 왕위를 계승했다 65화")</f>
        <v>저승의 왕위를 계승했다 65화</v>
      </c>
      <c r="F5001">
        <v>65</v>
      </c>
      <c r="G5001" t="str">
        <f>T("신타비")</f>
        <v>신타비</v>
      </c>
      <c r="J5001" t="str">
        <f>T("매드햇")</f>
        <v>매드햇</v>
      </c>
      <c r="K5001" t="str">
        <f>T("저승의 왕위를 계승했다")</f>
        <v>저승의 왕위를 계승했다</v>
      </c>
      <c r="L5001">
        <v>100</v>
      </c>
      <c r="M5001">
        <v>100</v>
      </c>
      <c r="N5001">
        <v>1</v>
      </c>
      <c r="O5001">
        <v>0</v>
      </c>
      <c r="P5001">
        <v>0</v>
      </c>
      <c r="Q5001">
        <v>0</v>
      </c>
      <c r="R5001">
        <v>0</v>
      </c>
      <c r="S5001">
        <v>0</v>
      </c>
      <c r="T5001">
        <v>0</v>
      </c>
      <c r="U5001">
        <v>0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0</v>
      </c>
      <c r="AE5001">
        <v>0</v>
      </c>
      <c r="AF5001">
        <v>0</v>
      </c>
      <c r="AG5001">
        <v>0</v>
      </c>
      <c r="AH5001">
        <v>0</v>
      </c>
      <c r="AI5001">
        <v>100</v>
      </c>
      <c r="AJ5001">
        <v>1</v>
      </c>
      <c r="AK5001">
        <v>0</v>
      </c>
      <c r="AL5001">
        <v>0</v>
      </c>
      <c r="AM5001">
        <v>100</v>
      </c>
      <c r="AN5001">
        <v>0</v>
      </c>
      <c r="AO5001">
        <v>0</v>
      </c>
      <c r="AP5001">
        <v>0</v>
      </c>
      <c r="AQ5001">
        <v>0</v>
      </c>
      <c r="AS5001">
        <v>0</v>
      </c>
      <c r="AT5001">
        <v>0</v>
      </c>
      <c r="AV5001">
        <v>0</v>
      </c>
      <c r="AW5001">
        <v>0</v>
      </c>
      <c r="AY5001">
        <v>0</v>
      </c>
      <c r="AZ5001">
        <v>0</v>
      </c>
      <c r="BA5001">
        <v>70</v>
      </c>
      <c r="BE5001" t="str">
        <f>T("9791137014381")</f>
        <v>9791137014381</v>
      </c>
      <c r="BF5001" t="str">
        <f>T("N218813")</f>
        <v>N218813</v>
      </c>
      <c r="BG5001" t="str">
        <f>T("판타지 웹소설 &gt; 퓨전 판타지")</f>
        <v>판타지 웹소설 &gt; 퓨전 판타지</v>
      </c>
    </row>
    <row r="5002" spans="1:59">
      <c r="A5002" t="s">
        <v>60</v>
      </c>
      <c r="B5002" s="1">
        <v>46129</v>
      </c>
      <c r="C5002">
        <v>2378044065</v>
      </c>
      <c r="D5002">
        <v>2378044137</v>
      </c>
      <c r="E5002" t="str">
        <f>T("저승의 왕위를 계승했다 73화")</f>
        <v>저승의 왕위를 계승했다 73화</v>
      </c>
      <c r="F5002">
        <v>73</v>
      </c>
      <c r="G5002" t="str">
        <f>T("신타비")</f>
        <v>신타비</v>
      </c>
      <c r="J5002" t="str">
        <f>T("매드햇")</f>
        <v>매드햇</v>
      </c>
      <c r="K5002" t="str">
        <f>T("저승의 왕위를 계승했다")</f>
        <v>저승의 왕위를 계승했다</v>
      </c>
      <c r="L5002">
        <v>100</v>
      </c>
      <c r="M5002">
        <v>100</v>
      </c>
      <c r="N5002">
        <v>1</v>
      </c>
      <c r="O5002">
        <v>0</v>
      </c>
      <c r="P5002">
        <v>0</v>
      </c>
      <c r="Q5002">
        <v>0</v>
      </c>
      <c r="R5002">
        <v>0</v>
      </c>
      <c r="S5002">
        <v>0</v>
      </c>
      <c r="T5002">
        <v>0</v>
      </c>
      <c r="U5002">
        <v>0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0</v>
      </c>
      <c r="AE5002">
        <v>0</v>
      </c>
      <c r="AF5002">
        <v>0</v>
      </c>
      <c r="AG5002">
        <v>0</v>
      </c>
      <c r="AH5002">
        <v>0</v>
      </c>
      <c r="AI5002">
        <v>100</v>
      </c>
      <c r="AJ5002">
        <v>1</v>
      </c>
      <c r="AK5002">
        <v>0</v>
      </c>
      <c r="AL5002">
        <v>0</v>
      </c>
      <c r="AM5002">
        <v>100</v>
      </c>
      <c r="AN5002">
        <v>0</v>
      </c>
      <c r="AO5002">
        <v>0</v>
      </c>
      <c r="AP5002">
        <v>0</v>
      </c>
      <c r="AQ5002">
        <v>0</v>
      </c>
      <c r="AS5002">
        <v>0</v>
      </c>
      <c r="AT5002">
        <v>0</v>
      </c>
      <c r="AV5002">
        <v>0</v>
      </c>
      <c r="AW5002">
        <v>0</v>
      </c>
      <c r="AY5002">
        <v>0</v>
      </c>
      <c r="AZ5002">
        <v>0</v>
      </c>
      <c r="BA5002">
        <v>70</v>
      </c>
      <c r="BE5002" t="str">
        <f>T("9791137014381")</f>
        <v>9791137014381</v>
      </c>
      <c r="BF5002" t="str">
        <f>T("N218821")</f>
        <v>N218821</v>
      </c>
      <c r="BG5002" t="str">
        <f>T("판타지 웹소설 &gt; 퓨전 판타지")</f>
        <v>판타지 웹소설 &gt; 퓨전 판타지</v>
      </c>
    </row>
    <row r="5003" spans="1:59">
      <c r="A5003" t="s">
        <v>60</v>
      </c>
      <c r="B5003" s="1">
        <v>46129</v>
      </c>
      <c r="C5003">
        <v>2378044065</v>
      </c>
      <c r="D5003">
        <v>2378052719</v>
      </c>
      <c r="E5003" t="str">
        <f>T("저승의 왕위를 계승했다 206화")</f>
        <v>저승의 왕위를 계승했다 206화</v>
      </c>
      <c r="F5003">
        <v>206</v>
      </c>
      <c r="G5003" t="str">
        <f>T("신타비")</f>
        <v>신타비</v>
      </c>
      <c r="J5003" t="str">
        <f>T("매드햇")</f>
        <v>매드햇</v>
      </c>
      <c r="K5003" t="str">
        <f>T("저승의 왕위를 계승했다")</f>
        <v>저승의 왕위를 계승했다</v>
      </c>
      <c r="L5003">
        <v>100</v>
      </c>
      <c r="M5003">
        <v>70</v>
      </c>
      <c r="N5003">
        <v>1</v>
      </c>
      <c r="O5003">
        <v>0</v>
      </c>
      <c r="P5003">
        <v>0</v>
      </c>
      <c r="Q5003">
        <v>0</v>
      </c>
      <c r="R5003">
        <v>0</v>
      </c>
      <c r="S5003">
        <v>0</v>
      </c>
      <c r="T5003">
        <v>0</v>
      </c>
      <c r="U5003">
        <v>0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0</v>
      </c>
      <c r="AE5003">
        <v>0</v>
      </c>
      <c r="AF5003">
        <v>0</v>
      </c>
      <c r="AG5003">
        <v>0</v>
      </c>
      <c r="AH5003">
        <v>0</v>
      </c>
      <c r="AI5003">
        <v>70</v>
      </c>
      <c r="AJ5003">
        <v>1</v>
      </c>
      <c r="AK5003">
        <v>0</v>
      </c>
      <c r="AL5003">
        <v>0</v>
      </c>
      <c r="AM5003">
        <v>70</v>
      </c>
      <c r="AN5003">
        <v>0</v>
      </c>
      <c r="AO5003">
        <v>0</v>
      </c>
      <c r="AP5003">
        <v>0</v>
      </c>
      <c r="AQ5003">
        <v>0</v>
      </c>
      <c r="AS5003">
        <v>0</v>
      </c>
      <c r="AT5003">
        <v>0</v>
      </c>
      <c r="AV5003">
        <v>0</v>
      </c>
      <c r="AW5003">
        <v>0</v>
      </c>
      <c r="AY5003">
        <v>0</v>
      </c>
      <c r="AZ5003">
        <v>0</v>
      </c>
      <c r="BA5003">
        <v>49</v>
      </c>
      <c r="BE5003" t="str">
        <f>T("9791137014381")</f>
        <v>9791137014381</v>
      </c>
      <c r="BF5003" t="str">
        <f>T("k102389")</f>
        <v>k102389</v>
      </c>
      <c r="BG5003" t="str">
        <f>T("판타지 웹소설 &gt; 퓨전 판타지")</f>
        <v>판타지 웹소설 &gt; 퓨전 판타지</v>
      </c>
    </row>
    <row r="5004" spans="1:59">
      <c r="A5004" t="s">
        <v>60</v>
      </c>
      <c r="B5004" s="1">
        <v>46129</v>
      </c>
      <c r="C5004">
        <v>2378044065</v>
      </c>
      <c r="D5004">
        <v>2378052744</v>
      </c>
      <c r="E5004" t="str">
        <f>T("저승의 왕위를 계승했다 207화")</f>
        <v>저승의 왕위를 계승했다 207화</v>
      </c>
      <c r="F5004">
        <v>207</v>
      </c>
      <c r="G5004" t="str">
        <f>T("신타비")</f>
        <v>신타비</v>
      </c>
      <c r="J5004" t="str">
        <f>T("매드햇")</f>
        <v>매드햇</v>
      </c>
      <c r="K5004" t="str">
        <f>T("저승의 왕위를 계승했다")</f>
        <v>저승의 왕위를 계승했다</v>
      </c>
      <c r="L5004">
        <v>100</v>
      </c>
      <c r="M5004">
        <v>170</v>
      </c>
      <c r="N5004">
        <v>2</v>
      </c>
      <c r="O5004">
        <v>0</v>
      </c>
      <c r="P5004">
        <v>0</v>
      </c>
      <c r="Q5004">
        <v>0</v>
      </c>
      <c r="R5004">
        <v>0</v>
      </c>
      <c r="S5004">
        <v>0</v>
      </c>
      <c r="T5004">
        <v>0</v>
      </c>
      <c r="U5004">
        <v>0</v>
      </c>
      <c r="V5004">
        <v>0</v>
      </c>
      <c r="W5004">
        <v>0</v>
      </c>
      <c r="X5004">
        <v>0</v>
      </c>
      <c r="Y5004">
        <v>0</v>
      </c>
      <c r="Z5004">
        <v>0</v>
      </c>
      <c r="AA5004">
        <v>0</v>
      </c>
      <c r="AB5004">
        <v>0</v>
      </c>
      <c r="AC5004">
        <v>0</v>
      </c>
      <c r="AD5004">
        <v>0</v>
      </c>
      <c r="AE5004">
        <v>0</v>
      </c>
      <c r="AF5004">
        <v>0</v>
      </c>
      <c r="AG5004">
        <v>0</v>
      </c>
      <c r="AH5004">
        <v>0</v>
      </c>
      <c r="AI5004">
        <v>170</v>
      </c>
      <c r="AJ5004">
        <v>2</v>
      </c>
      <c r="AK5004">
        <v>0</v>
      </c>
      <c r="AL5004">
        <v>0</v>
      </c>
      <c r="AM5004">
        <v>170</v>
      </c>
      <c r="AN5004">
        <v>0</v>
      </c>
      <c r="AO5004">
        <v>0</v>
      </c>
      <c r="AP5004">
        <v>0</v>
      </c>
      <c r="AQ5004">
        <v>0</v>
      </c>
      <c r="AS5004">
        <v>0</v>
      </c>
      <c r="AT5004">
        <v>0</v>
      </c>
      <c r="AV5004">
        <v>0</v>
      </c>
      <c r="AW5004">
        <v>0</v>
      </c>
      <c r="AY5004">
        <v>0</v>
      </c>
      <c r="AZ5004">
        <v>0</v>
      </c>
      <c r="BA5004">
        <v>119</v>
      </c>
      <c r="BE5004" t="str">
        <f>T("9791137014381")</f>
        <v>9791137014381</v>
      </c>
      <c r="BF5004" t="str">
        <f>T("k107207")</f>
        <v>k107207</v>
      </c>
      <c r="BG5004" t="str">
        <f>T("판타지 웹소설 &gt; 퓨전 판타지")</f>
        <v>판타지 웹소설 &gt; 퓨전 판타지</v>
      </c>
    </row>
    <row r="5005" spans="1:59">
      <c r="A5005" t="s">
        <v>60</v>
      </c>
      <c r="B5005" s="1">
        <v>46129</v>
      </c>
      <c r="C5005">
        <v>2378044065</v>
      </c>
      <c r="D5005">
        <v>2378052956</v>
      </c>
      <c r="E5005" t="str">
        <f>T("저승의 왕위를 계승했다 208화")</f>
        <v>저승의 왕위를 계승했다 208화</v>
      </c>
      <c r="F5005">
        <v>208</v>
      </c>
      <c r="G5005" t="str">
        <f>T("신타비")</f>
        <v>신타비</v>
      </c>
      <c r="J5005" t="str">
        <f>T("매드햇")</f>
        <v>매드햇</v>
      </c>
      <c r="K5005" t="str">
        <f>T("저승의 왕위를 계승했다")</f>
        <v>저승의 왕위를 계승했다</v>
      </c>
      <c r="L5005">
        <v>100</v>
      </c>
      <c r="M5005">
        <v>70</v>
      </c>
      <c r="N5005">
        <v>1</v>
      </c>
      <c r="O5005">
        <v>0</v>
      </c>
      <c r="P5005">
        <v>0</v>
      </c>
      <c r="Q5005">
        <v>0</v>
      </c>
      <c r="R5005">
        <v>0</v>
      </c>
      <c r="S5005">
        <v>0</v>
      </c>
      <c r="T5005">
        <v>0</v>
      </c>
      <c r="U5005">
        <v>0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0</v>
      </c>
      <c r="AE5005">
        <v>0</v>
      </c>
      <c r="AF5005">
        <v>0</v>
      </c>
      <c r="AG5005">
        <v>0</v>
      </c>
      <c r="AH5005">
        <v>0</v>
      </c>
      <c r="AI5005">
        <v>70</v>
      </c>
      <c r="AJ5005">
        <v>1</v>
      </c>
      <c r="AK5005">
        <v>0</v>
      </c>
      <c r="AL5005">
        <v>0</v>
      </c>
      <c r="AM5005">
        <v>70</v>
      </c>
      <c r="AN5005">
        <v>0</v>
      </c>
      <c r="AO5005">
        <v>0</v>
      </c>
      <c r="AP5005">
        <v>0</v>
      </c>
      <c r="AQ5005">
        <v>0</v>
      </c>
      <c r="AS5005">
        <v>0</v>
      </c>
      <c r="AT5005">
        <v>0</v>
      </c>
      <c r="AV5005">
        <v>0</v>
      </c>
      <c r="AW5005">
        <v>0</v>
      </c>
      <c r="AY5005">
        <v>0</v>
      </c>
      <c r="AZ5005">
        <v>0</v>
      </c>
      <c r="BA5005">
        <v>49</v>
      </c>
      <c r="BE5005" t="str">
        <f>T("9791137014381")</f>
        <v>9791137014381</v>
      </c>
      <c r="BF5005" t="str">
        <f>T("k107208")</f>
        <v>k107208</v>
      </c>
      <c r="BG5005" t="str">
        <f>T("판타지 웹소설 &gt; 퓨전 판타지")</f>
        <v>판타지 웹소설 &gt; 퓨전 판타지</v>
      </c>
    </row>
    <row r="5006" spans="1:59">
      <c r="A5006" t="s">
        <v>60</v>
      </c>
      <c r="B5006" s="1">
        <v>46129</v>
      </c>
      <c r="C5006">
        <v>2378044065</v>
      </c>
      <c r="D5006">
        <v>2378053225</v>
      </c>
      <c r="E5006" t="str">
        <f>T("저승의 왕위를 계승했다 209화")</f>
        <v>저승의 왕위를 계승했다 209화</v>
      </c>
      <c r="F5006">
        <v>209</v>
      </c>
      <c r="G5006" t="str">
        <f>T("신타비")</f>
        <v>신타비</v>
      </c>
      <c r="J5006" t="str">
        <f>T("매드햇")</f>
        <v>매드햇</v>
      </c>
      <c r="K5006" t="str">
        <f>T("저승의 왕위를 계승했다")</f>
        <v>저승의 왕위를 계승했다</v>
      </c>
      <c r="L5006">
        <v>100</v>
      </c>
      <c r="M5006">
        <v>70</v>
      </c>
      <c r="N5006">
        <v>1</v>
      </c>
      <c r="O5006">
        <v>0</v>
      </c>
      <c r="P5006">
        <v>0</v>
      </c>
      <c r="Q5006">
        <v>0</v>
      </c>
      <c r="R5006">
        <v>0</v>
      </c>
      <c r="S5006">
        <v>0</v>
      </c>
      <c r="T5006">
        <v>0</v>
      </c>
      <c r="U5006">
        <v>0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0</v>
      </c>
      <c r="AE5006">
        <v>0</v>
      </c>
      <c r="AF5006">
        <v>0</v>
      </c>
      <c r="AG5006">
        <v>0</v>
      </c>
      <c r="AH5006">
        <v>0</v>
      </c>
      <c r="AI5006">
        <v>70</v>
      </c>
      <c r="AJ5006">
        <v>1</v>
      </c>
      <c r="AK5006">
        <v>0</v>
      </c>
      <c r="AL5006">
        <v>0</v>
      </c>
      <c r="AM5006">
        <v>70</v>
      </c>
      <c r="AN5006">
        <v>0</v>
      </c>
      <c r="AO5006">
        <v>0</v>
      </c>
      <c r="AP5006">
        <v>0</v>
      </c>
      <c r="AQ5006">
        <v>0</v>
      </c>
      <c r="AS5006">
        <v>0</v>
      </c>
      <c r="AT5006">
        <v>0</v>
      </c>
      <c r="AV5006">
        <v>0</v>
      </c>
      <c r="AW5006">
        <v>0</v>
      </c>
      <c r="AY5006">
        <v>0</v>
      </c>
      <c r="AZ5006">
        <v>0</v>
      </c>
      <c r="BA5006">
        <v>49</v>
      </c>
      <c r="BE5006" t="str">
        <f>T("9791137014381")</f>
        <v>9791137014381</v>
      </c>
      <c r="BF5006" t="str">
        <f>T("k107209")</f>
        <v>k107209</v>
      </c>
      <c r="BG5006" t="str">
        <f>T("판타지 웹소설 &gt; 퓨전 판타지")</f>
        <v>판타지 웹소설 &gt; 퓨전 판타지</v>
      </c>
    </row>
    <row r="5007" spans="1:59">
      <c r="A5007" t="s">
        <v>60</v>
      </c>
      <c r="B5007" s="1">
        <v>46129</v>
      </c>
      <c r="C5007">
        <v>2378044065</v>
      </c>
      <c r="D5007">
        <v>2378053226</v>
      </c>
      <c r="E5007" t="str">
        <f>T("저승의 왕위를 계승했다 210화 (삽화)")</f>
        <v>저승의 왕위를 계승했다 210화 (삽화)</v>
      </c>
      <c r="F5007">
        <v>210</v>
      </c>
      <c r="G5007" t="str">
        <f>T("신타비")</f>
        <v>신타비</v>
      </c>
      <c r="J5007" t="str">
        <f>T("매드햇")</f>
        <v>매드햇</v>
      </c>
      <c r="K5007" t="str">
        <f>T("저승의 왕위를 계승했다")</f>
        <v>저승의 왕위를 계승했다</v>
      </c>
      <c r="L5007">
        <v>100</v>
      </c>
      <c r="M5007">
        <v>70</v>
      </c>
      <c r="N5007">
        <v>1</v>
      </c>
      <c r="O5007">
        <v>0</v>
      </c>
      <c r="P5007">
        <v>0</v>
      </c>
      <c r="Q5007">
        <v>0</v>
      </c>
      <c r="R5007">
        <v>0</v>
      </c>
      <c r="S5007">
        <v>0</v>
      </c>
      <c r="T5007">
        <v>0</v>
      </c>
      <c r="U5007">
        <v>0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0</v>
      </c>
      <c r="AE5007">
        <v>0</v>
      </c>
      <c r="AF5007">
        <v>0</v>
      </c>
      <c r="AG5007">
        <v>0</v>
      </c>
      <c r="AH5007">
        <v>0</v>
      </c>
      <c r="AI5007">
        <v>70</v>
      </c>
      <c r="AJ5007">
        <v>1</v>
      </c>
      <c r="AK5007">
        <v>0</v>
      </c>
      <c r="AL5007">
        <v>0</v>
      </c>
      <c r="AM5007">
        <v>70</v>
      </c>
      <c r="AN5007">
        <v>0</v>
      </c>
      <c r="AO5007">
        <v>0</v>
      </c>
      <c r="AP5007">
        <v>0</v>
      </c>
      <c r="AQ5007">
        <v>0</v>
      </c>
      <c r="AS5007">
        <v>0</v>
      </c>
      <c r="AT5007">
        <v>0</v>
      </c>
      <c r="AV5007">
        <v>0</v>
      </c>
      <c r="AW5007">
        <v>0</v>
      </c>
      <c r="AY5007">
        <v>0</v>
      </c>
      <c r="AZ5007">
        <v>0</v>
      </c>
      <c r="BA5007">
        <v>49</v>
      </c>
      <c r="BE5007" t="str">
        <f>T("9791137014381")</f>
        <v>9791137014381</v>
      </c>
      <c r="BF5007" t="str">
        <f>T("k107908")</f>
        <v>k107908</v>
      </c>
      <c r="BG5007" t="str">
        <f>T("판타지 웹소설 &gt; 퓨전 판타지")</f>
        <v>판타지 웹소설 &gt; 퓨전 판타지</v>
      </c>
    </row>
    <row r="5008" spans="1:59">
      <c r="A5008" t="s">
        <v>60</v>
      </c>
      <c r="B5008" s="1">
        <v>46129</v>
      </c>
      <c r="C5008">
        <v>2378044065</v>
      </c>
      <c r="D5008">
        <v>2378053227</v>
      </c>
      <c r="E5008" t="str">
        <f>T("저승의 왕위를 계승했다 211화")</f>
        <v>저승의 왕위를 계승했다 211화</v>
      </c>
      <c r="F5008">
        <v>211</v>
      </c>
      <c r="G5008" t="str">
        <f>T("신타비")</f>
        <v>신타비</v>
      </c>
      <c r="J5008" t="str">
        <f>T("매드햇")</f>
        <v>매드햇</v>
      </c>
      <c r="K5008" t="str">
        <f>T("저승의 왕위를 계승했다")</f>
        <v>저승의 왕위를 계승했다</v>
      </c>
      <c r="L5008">
        <v>100</v>
      </c>
      <c r="M5008">
        <v>70</v>
      </c>
      <c r="N5008">
        <v>1</v>
      </c>
      <c r="O5008">
        <v>0</v>
      </c>
      <c r="P5008">
        <v>0</v>
      </c>
      <c r="Q5008">
        <v>0</v>
      </c>
      <c r="R5008">
        <v>0</v>
      </c>
      <c r="S5008">
        <v>0</v>
      </c>
      <c r="T5008">
        <v>0</v>
      </c>
      <c r="U5008">
        <v>0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0</v>
      </c>
      <c r="AE5008">
        <v>0</v>
      </c>
      <c r="AF5008">
        <v>0</v>
      </c>
      <c r="AG5008">
        <v>0</v>
      </c>
      <c r="AH5008">
        <v>0</v>
      </c>
      <c r="AI5008">
        <v>70</v>
      </c>
      <c r="AJ5008">
        <v>1</v>
      </c>
      <c r="AK5008">
        <v>0</v>
      </c>
      <c r="AL5008">
        <v>0</v>
      </c>
      <c r="AM5008">
        <v>70</v>
      </c>
      <c r="AN5008">
        <v>0</v>
      </c>
      <c r="AO5008">
        <v>0</v>
      </c>
      <c r="AP5008">
        <v>0</v>
      </c>
      <c r="AQ5008">
        <v>0</v>
      </c>
      <c r="AS5008">
        <v>0</v>
      </c>
      <c r="AT5008">
        <v>0</v>
      </c>
      <c r="AV5008">
        <v>0</v>
      </c>
      <c r="AW5008">
        <v>0</v>
      </c>
      <c r="AY5008">
        <v>0</v>
      </c>
      <c r="AZ5008">
        <v>0</v>
      </c>
      <c r="BA5008">
        <v>49</v>
      </c>
      <c r="BE5008" t="str">
        <f>T("9791137014381")</f>
        <v>9791137014381</v>
      </c>
      <c r="BF5008" t="str">
        <f>T("k107909")</f>
        <v>k107909</v>
      </c>
      <c r="BG5008" t="str">
        <f>T("판타지 웹소설 &gt; 퓨전 판타지")</f>
        <v>판타지 웹소설 &gt; 퓨전 판타지</v>
      </c>
    </row>
    <row r="5009" spans="1:59">
      <c r="A5009" t="s">
        <v>60</v>
      </c>
      <c r="B5009" s="1">
        <v>46129</v>
      </c>
      <c r="C5009">
        <v>2378044065</v>
      </c>
      <c r="D5009">
        <v>2378053232</v>
      </c>
      <c r="E5009" t="str">
        <f>T("저승의 왕위를 계승했다 212화")</f>
        <v>저승의 왕위를 계승했다 212화</v>
      </c>
      <c r="F5009">
        <v>212</v>
      </c>
      <c r="G5009" t="str">
        <f>T("신타비")</f>
        <v>신타비</v>
      </c>
      <c r="J5009" t="str">
        <f>T("매드햇")</f>
        <v>매드햇</v>
      </c>
      <c r="K5009" t="str">
        <f>T("저승의 왕위를 계승했다")</f>
        <v>저승의 왕위를 계승했다</v>
      </c>
      <c r="L5009">
        <v>100</v>
      </c>
      <c r="M5009">
        <v>70</v>
      </c>
      <c r="N5009">
        <v>1</v>
      </c>
      <c r="O5009">
        <v>0</v>
      </c>
      <c r="P5009">
        <v>0</v>
      </c>
      <c r="Q5009">
        <v>0</v>
      </c>
      <c r="R5009">
        <v>0</v>
      </c>
      <c r="S5009">
        <v>0</v>
      </c>
      <c r="T5009">
        <v>0</v>
      </c>
      <c r="U5009">
        <v>0</v>
      </c>
      <c r="V5009">
        <v>0</v>
      </c>
      <c r="W5009">
        <v>0</v>
      </c>
      <c r="X5009">
        <v>0</v>
      </c>
      <c r="Y5009">
        <v>0</v>
      </c>
      <c r="Z5009">
        <v>0</v>
      </c>
      <c r="AA5009">
        <v>0</v>
      </c>
      <c r="AB5009">
        <v>0</v>
      </c>
      <c r="AC5009">
        <v>0</v>
      </c>
      <c r="AD5009">
        <v>0</v>
      </c>
      <c r="AE5009">
        <v>0</v>
      </c>
      <c r="AF5009">
        <v>0</v>
      </c>
      <c r="AG5009">
        <v>0</v>
      </c>
      <c r="AH5009">
        <v>0</v>
      </c>
      <c r="AI5009">
        <v>70</v>
      </c>
      <c r="AJ5009">
        <v>1</v>
      </c>
      <c r="AK5009">
        <v>0</v>
      </c>
      <c r="AL5009">
        <v>0</v>
      </c>
      <c r="AM5009">
        <v>70</v>
      </c>
      <c r="AN5009">
        <v>0</v>
      </c>
      <c r="AO5009">
        <v>0</v>
      </c>
      <c r="AP5009">
        <v>0</v>
      </c>
      <c r="AQ5009">
        <v>0</v>
      </c>
      <c r="AS5009">
        <v>0</v>
      </c>
      <c r="AT5009">
        <v>0</v>
      </c>
      <c r="AV5009">
        <v>0</v>
      </c>
      <c r="AW5009">
        <v>0</v>
      </c>
      <c r="AY5009">
        <v>0</v>
      </c>
      <c r="AZ5009">
        <v>0</v>
      </c>
      <c r="BA5009">
        <v>49</v>
      </c>
      <c r="BE5009" t="str">
        <f>T("9791137014381")</f>
        <v>9791137014381</v>
      </c>
      <c r="BF5009" t="str">
        <f>T("k107910")</f>
        <v>k107910</v>
      </c>
      <c r="BG5009" t="str">
        <f>T("판타지 웹소설 &gt; 퓨전 판타지")</f>
        <v>판타지 웹소설 &gt; 퓨전 판타지</v>
      </c>
    </row>
    <row r="5010" spans="1:59">
      <c r="A5010" t="s">
        <v>60</v>
      </c>
      <c r="B5010" s="1">
        <v>46129</v>
      </c>
      <c r="C5010">
        <v>2378044065</v>
      </c>
      <c r="D5010">
        <v>2378053275</v>
      </c>
      <c r="E5010" t="str">
        <f>T("저승의 왕위를 계승했다 213화")</f>
        <v>저승의 왕위를 계승했다 213화</v>
      </c>
      <c r="F5010">
        <v>213</v>
      </c>
      <c r="G5010" t="str">
        <f>T("신타비")</f>
        <v>신타비</v>
      </c>
      <c r="J5010" t="str">
        <f>T("매드햇")</f>
        <v>매드햇</v>
      </c>
      <c r="K5010" t="str">
        <f>T("저승의 왕위를 계승했다")</f>
        <v>저승의 왕위를 계승했다</v>
      </c>
      <c r="L5010">
        <v>100</v>
      </c>
      <c r="M5010">
        <v>70</v>
      </c>
      <c r="N5010">
        <v>1</v>
      </c>
      <c r="O5010">
        <v>0</v>
      </c>
      <c r="P5010">
        <v>0</v>
      </c>
      <c r="Q5010">
        <v>0</v>
      </c>
      <c r="R5010">
        <v>0</v>
      </c>
      <c r="S5010">
        <v>0</v>
      </c>
      <c r="T5010">
        <v>0</v>
      </c>
      <c r="U5010">
        <v>0</v>
      </c>
      <c r="V5010">
        <v>0</v>
      </c>
      <c r="W5010">
        <v>0</v>
      </c>
      <c r="X5010">
        <v>0</v>
      </c>
      <c r="Y5010">
        <v>0</v>
      </c>
      <c r="Z5010">
        <v>0</v>
      </c>
      <c r="AA5010">
        <v>0</v>
      </c>
      <c r="AB5010">
        <v>0</v>
      </c>
      <c r="AC5010">
        <v>0</v>
      </c>
      <c r="AD5010">
        <v>0</v>
      </c>
      <c r="AE5010">
        <v>0</v>
      </c>
      <c r="AF5010">
        <v>0</v>
      </c>
      <c r="AG5010">
        <v>0</v>
      </c>
      <c r="AH5010">
        <v>0</v>
      </c>
      <c r="AI5010">
        <v>70</v>
      </c>
      <c r="AJ5010">
        <v>1</v>
      </c>
      <c r="AK5010">
        <v>0</v>
      </c>
      <c r="AL5010">
        <v>0</v>
      </c>
      <c r="AM5010">
        <v>70</v>
      </c>
      <c r="AN5010">
        <v>0</v>
      </c>
      <c r="AO5010">
        <v>0</v>
      </c>
      <c r="AP5010">
        <v>0</v>
      </c>
      <c r="AQ5010">
        <v>0</v>
      </c>
      <c r="AS5010">
        <v>0</v>
      </c>
      <c r="AT5010">
        <v>0</v>
      </c>
      <c r="AV5010">
        <v>0</v>
      </c>
      <c r="AW5010">
        <v>0</v>
      </c>
      <c r="AY5010">
        <v>0</v>
      </c>
      <c r="AZ5010">
        <v>0</v>
      </c>
      <c r="BA5010">
        <v>49</v>
      </c>
      <c r="BE5010" t="str">
        <f>T("9791137014381")</f>
        <v>9791137014381</v>
      </c>
      <c r="BF5010" t="str">
        <f>T("k107911")</f>
        <v>k107911</v>
      </c>
      <c r="BG5010" t="str">
        <f>T("판타지 웹소설 &gt; 퓨전 판타지")</f>
        <v>판타지 웹소설 &gt; 퓨전 판타지</v>
      </c>
    </row>
    <row r="5011" spans="1:59">
      <c r="A5011" t="s">
        <v>60</v>
      </c>
      <c r="B5011" s="1">
        <v>46129</v>
      </c>
      <c r="C5011">
        <v>2378044065</v>
      </c>
      <c r="D5011">
        <v>2378053276</v>
      </c>
      <c r="E5011" t="str">
        <f>T("저승의 왕위를 계승했다 214화")</f>
        <v>저승의 왕위를 계승했다 214화</v>
      </c>
      <c r="F5011">
        <v>214</v>
      </c>
      <c r="G5011" t="str">
        <f>T("신타비")</f>
        <v>신타비</v>
      </c>
      <c r="J5011" t="str">
        <f>T("매드햇")</f>
        <v>매드햇</v>
      </c>
      <c r="K5011" t="str">
        <f>T("저승의 왕위를 계승했다")</f>
        <v>저승의 왕위를 계승했다</v>
      </c>
      <c r="L5011">
        <v>100</v>
      </c>
      <c r="M5011">
        <v>70</v>
      </c>
      <c r="N5011">
        <v>1</v>
      </c>
      <c r="O5011">
        <v>0</v>
      </c>
      <c r="P5011">
        <v>0</v>
      </c>
      <c r="Q5011">
        <v>0</v>
      </c>
      <c r="R5011">
        <v>0</v>
      </c>
      <c r="S5011">
        <v>0</v>
      </c>
      <c r="T5011">
        <v>0</v>
      </c>
      <c r="U5011">
        <v>0</v>
      </c>
      <c r="V5011">
        <v>0</v>
      </c>
      <c r="W5011">
        <v>0</v>
      </c>
      <c r="X5011">
        <v>0</v>
      </c>
      <c r="Y5011">
        <v>0</v>
      </c>
      <c r="Z5011">
        <v>0</v>
      </c>
      <c r="AA5011">
        <v>0</v>
      </c>
      <c r="AB5011">
        <v>0</v>
      </c>
      <c r="AC5011">
        <v>0</v>
      </c>
      <c r="AD5011">
        <v>0</v>
      </c>
      <c r="AE5011">
        <v>0</v>
      </c>
      <c r="AF5011">
        <v>0</v>
      </c>
      <c r="AG5011">
        <v>0</v>
      </c>
      <c r="AH5011">
        <v>0</v>
      </c>
      <c r="AI5011">
        <v>70</v>
      </c>
      <c r="AJ5011">
        <v>1</v>
      </c>
      <c r="AK5011">
        <v>0</v>
      </c>
      <c r="AL5011">
        <v>0</v>
      </c>
      <c r="AM5011">
        <v>70</v>
      </c>
      <c r="AN5011">
        <v>0</v>
      </c>
      <c r="AO5011">
        <v>0</v>
      </c>
      <c r="AP5011">
        <v>0</v>
      </c>
      <c r="AQ5011">
        <v>0</v>
      </c>
      <c r="AS5011">
        <v>0</v>
      </c>
      <c r="AT5011">
        <v>0</v>
      </c>
      <c r="AV5011">
        <v>0</v>
      </c>
      <c r="AW5011">
        <v>0</v>
      </c>
      <c r="AY5011">
        <v>0</v>
      </c>
      <c r="AZ5011">
        <v>0</v>
      </c>
      <c r="BA5011">
        <v>49</v>
      </c>
      <c r="BE5011" t="str">
        <f>T("9791137014381")</f>
        <v>9791137014381</v>
      </c>
      <c r="BF5011" t="str">
        <f>T("k107930")</f>
        <v>k107930</v>
      </c>
      <c r="BG5011" t="str">
        <f>T("판타지 웹소설 &gt; 퓨전 판타지")</f>
        <v>판타지 웹소설 &gt; 퓨전 판타지</v>
      </c>
    </row>
    <row r="5012" spans="1:59">
      <c r="A5012" t="s">
        <v>60</v>
      </c>
      <c r="B5012" s="1">
        <v>46129</v>
      </c>
      <c r="C5012">
        <v>2378044065</v>
      </c>
      <c r="D5012">
        <v>2378053277</v>
      </c>
      <c r="E5012" t="str">
        <f>T("저승의 왕위를 계승했다 215화")</f>
        <v>저승의 왕위를 계승했다 215화</v>
      </c>
      <c r="F5012">
        <v>215</v>
      </c>
      <c r="G5012" t="str">
        <f>T("신타비")</f>
        <v>신타비</v>
      </c>
      <c r="J5012" t="str">
        <f>T("매드햇")</f>
        <v>매드햇</v>
      </c>
      <c r="K5012" t="str">
        <f>T("저승의 왕위를 계승했다")</f>
        <v>저승의 왕위를 계승했다</v>
      </c>
      <c r="L5012">
        <v>100</v>
      </c>
      <c r="M5012">
        <v>70</v>
      </c>
      <c r="N5012">
        <v>1</v>
      </c>
      <c r="O5012">
        <v>0</v>
      </c>
      <c r="P5012">
        <v>0</v>
      </c>
      <c r="Q5012">
        <v>0</v>
      </c>
      <c r="R5012">
        <v>0</v>
      </c>
      <c r="S5012">
        <v>0</v>
      </c>
      <c r="T5012">
        <v>0</v>
      </c>
      <c r="U5012">
        <v>0</v>
      </c>
      <c r="V5012">
        <v>0</v>
      </c>
      <c r="W5012">
        <v>0</v>
      </c>
      <c r="X5012">
        <v>0</v>
      </c>
      <c r="Y5012">
        <v>0</v>
      </c>
      <c r="Z5012">
        <v>0</v>
      </c>
      <c r="AA5012">
        <v>0</v>
      </c>
      <c r="AB5012">
        <v>0</v>
      </c>
      <c r="AC5012">
        <v>0</v>
      </c>
      <c r="AD5012">
        <v>0</v>
      </c>
      <c r="AE5012">
        <v>0</v>
      </c>
      <c r="AF5012">
        <v>0</v>
      </c>
      <c r="AG5012">
        <v>0</v>
      </c>
      <c r="AH5012">
        <v>0</v>
      </c>
      <c r="AI5012">
        <v>70</v>
      </c>
      <c r="AJ5012">
        <v>1</v>
      </c>
      <c r="AK5012">
        <v>0</v>
      </c>
      <c r="AL5012">
        <v>0</v>
      </c>
      <c r="AM5012">
        <v>70</v>
      </c>
      <c r="AN5012">
        <v>0</v>
      </c>
      <c r="AO5012">
        <v>0</v>
      </c>
      <c r="AP5012">
        <v>0</v>
      </c>
      <c r="AQ5012">
        <v>0</v>
      </c>
      <c r="AS5012">
        <v>0</v>
      </c>
      <c r="AT5012">
        <v>0</v>
      </c>
      <c r="AV5012">
        <v>0</v>
      </c>
      <c r="AW5012">
        <v>0</v>
      </c>
      <c r="AY5012">
        <v>0</v>
      </c>
      <c r="AZ5012">
        <v>0</v>
      </c>
      <c r="BA5012">
        <v>49</v>
      </c>
      <c r="BE5012" t="str">
        <f>T("9791137014381")</f>
        <v>9791137014381</v>
      </c>
      <c r="BF5012" t="str">
        <f>T("k110547")</f>
        <v>k110547</v>
      </c>
      <c r="BG5012" t="str">
        <f>T("판타지 웹소설 &gt; 퓨전 판타지")</f>
        <v>판타지 웹소설 &gt; 퓨전 판타지</v>
      </c>
    </row>
    <row r="5013" spans="1:59">
      <c r="A5013" t="s">
        <v>60</v>
      </c>
      <c r="B5013" s="1">
        <v>46129</v>
      </c>
      <c r="C5013">
        <v>2378044065</v>
      </c>
      <c r="D5013">
        <v>2378053280</v>
      </c>
      <c r="E5013" t="str">
        <f>T("저승의 왕위를 계승했다 216화")</f>
        <v>저승의 왕위를 계승했다 216화</v>
      </c>
      <c r="F5013">
        <v>216</v>
      </c>
      <c r="G5013" t="str">
        <f>T("신타비")</f>
        <v>신타비</v>
      </c>
      <c r="J5013" t="str">
        <f>T("매드햇")</f>
        <v>매드햇</v>
      </c>
      <c r="K5013" t="str">
        <f>T("저승의 왕위를 계승했다")</f>
        <v>저승의 왕위를 계승했다</v>
      </c>
      <c r="L5013">
        <v>100</v>
      </c>
      <c r="M5013">
        <v>70</v>
      </c>
      <c r="N5013">
        <v>1</v>
      </c>
      <c r="O5013">
        <v>0</v>
      </c>
      <c r="P5013">
        <v>0</v>
      </c>
      <c r="Q5013">
        <v>0</v>
      </c>
      <c r="R5013">
        <v>0</v>
      </c>
      <c r="S5013">
        <v>0</v>
      </c>
      <c r="T5013">
        <v>0</v>
      </c>
      <c r="U5013">
        <v>0</v>
      </c>
      <c r="V5013">
        <v>0</v>
      </c>
      <c r="W5013">
        <v>0</v>
      </c>
      <c r="X5013">
        <v>0</v>
      </c>
      <c r="Y5013">
        <v>0</v>
      </c>
      <c r="Z5013">
        <v>0</v>
      </c>
      <c r="AA5013">
        <v>0</v>
      </c>
      <c r="AB5013">
        <v>0</v>
      </c>
      <c r="AC5013">
        <v>0</v>
      </c>
      <c r="AD5013">
        <v>0</v>
      </c>
      <c r="AE5013">
        <v>0</v>
      </c>
      <c r="AF5013">
        <v>0</v>
      </c>
      <c r="AG5013">
        <v>0</v>
      </c>
      <c r="AH5013">
        <v>0</v>
      </c>
      <c r="AI5013">
        <v>70</v>
      </c>
      <c r="AJ5013">
        <v>1</v>
      </c>
      <c r="AK5013">
        <v>0</v>
      </c>
      <c r="AL5013">
        <v>0</v>
      </c>
      <c r="AM5013">
        <v>70</v>
      </c>
      <c r="AN5013">
        <v>0</v>
      </c>
      <c r="AO5013">
        <v>0</v>
      </c>
      <c r="AP5013">
        <v>0</v>
      </c>
      <c r="AQ5013">
        <v>0</v>
      </c>
      <c r="AS5013">
        <v>0</v>
      </c>
      <c r="AT5013">
        <v>0</v>
      </c>
      <c r="AV5013">
        <v>0</v>
      </c>
      <c r="AW5013">
        <v>0</v>
      </c>
      <c r="AY5013">
        <v>0</v>
      </c>
      <c r="AZ5013">
        <v>0</v>
      </c>
      <c r="BA5013">
        <v>49</v>
      </c>
      <c r="BE5013" t="str">
        <f>T("9791137014381")</f>
        <v>9791137014381</v>
      </c>
      <c r="BF5013" t="str">
        <f>T("k110548")</f>
        <v>k110548</v>
      </c>
      <c r="BG5013" t="str">
        <f>T("판타지 웹소설 &gt; 퓨전 판타지")</f>
        <v>판타지 웹소설 &gt; 퓨전 판타지</v>
      </c>
    </row>
    <row r="5014" spans="1:59">
      <c r="A5014" t="s">
        <v>60</v>
      </c>
      <c r="B5014" s="1">
        <v>46129</v>
      </c>
      <c r="C5014">
        <v>2378044065</v>
      </c>
      <c r="D5014">
        <v>2378053769</v>
      </c>
      <c r="E5014" t="str">
        <f>T("저승의 왕위를 계승했다 217화")</f>
        <v>저승의 왕위를 계승했다 217화</v>
      </c>
      <c r="F5014">
        <v>217</v>
      </c>
      <c r="G5014" t="str">
        <f>T("신타비")</f>
        <v>신타비</v>
      </c>
      <c r="J5014" t="str">
        <f>T("매드햇")</f>
        <v>매드햇</v>
      </c>
      <c r="K5014" t="str">
        <f>T("저승의 왕위를 계승했다")</f>
        <v>저승의 왕위를 계승했다</v>
      </c>
      <c r="L5014">
        <v>100</v>
      </c>
      <c r="M5014">
        <v>70</v>
      </c>
      <c r="N5014">
        <v>1</v>
      </c>
      <c r="O5014">
        <v>0</v>
      </c>
      <c r="P5014">
        <v>0</v>
      </c>
      <c r="Q5014">
        <v>0</v>
      </c>
      <c r="R5014">
        <v>0</v>
      </c>
      <c r="S5014">
        <v>0</v>
      </c>
      <c r="T5014">
        <v>0</v>
      </c>
      <c r="U5014">
        <v>0</v>
      </c>
      <c r="V5014">
        <v>0</v>
      </c>
      <c r="W5014">
        <v>0</v>
      </c>
      <c r="X5014">
        <v>0</v>
      </c>
      <c r="Y5014">
        <v>0</v>
      </c>
      <c r="Z5014">
        <v>0</v>
      </c>
      <c r="AA5014">
        <v>0</v>
      </c>
      <c r="AB5014">
        <v>0</v>
      </c>
      <c r="AC5014">
        <v>0</v>
      </c>
      <c r="AD5014">
        <v>0</v>
      </c>
      <c r="AE5014">
        <v>0</v>
      </c>
      <c r="AF5014">
        <v>0</v>
      </c>
      <c r="AG5014">
        <v>0</v>
      </c>
      <c r="AH5014">
        <v>0</v>
      </c>
      <c r="AI5014">
        <v>70</v>
      </c>
      <c r="AJ5014">
        <v>1</v>
      </c>
      <c r="AK5014">
        <v>0</v>
      </c>
      <c r="AL5014">
        <v>0</v>
      </c>
      <c r="AM5014">
        <v>70</v>
      </c>
      <c r="AN5014">
        <v>0</v>
      </c>
      <c r="AO5014">
        <v>0</v>
      </c>
      <c r="AP5014">
        <v>0</v>
      </c>
      <c r="AQ5014">
        <v>0</v>
      </c>
      <c r="AS5014">
        <v>0</v>
      </c>
      <c r="AT5014">
        <v>0</v>
      </c>
      <c r="AV5014">
        <v>0</v>
      </c>
      <c r="AW5014">
        <v>0</v>
      </c>
      <c r="AY5014">
        <v>0</v>
      </c>
      <c r="AZ5014">
        <v>0</v>
      </c>
      <c r="BA5014">
        <v>49</v>
      </c>
      <c r="BE5014" t="str">
        <f>T("9791137014381")</f>
        <v>9791137014381</v>
      </c>
      <c r="BF5014" t="str">
        <f>T("k110549")</f>
        <v>k110549</v>
      </c>
      <c r="BG5014" t="str">
        <f>T("판타지 웹소설 &gt; 퓨전 판타지")</f>
        <v>판타지 웹소설 &gt; 퓨전 판타지</v>
      </c>
    </row>
    <row r="5015" spans="1:59">
      <c r="A5015" t="s">
        <v>60</v>
      </c>
      <c r="B5015" s="1">
        <v>46129</v>
      </c>
      <c r="C5015">
        <v>2378044065</v>
      </c>
      <c r="D5015">
        <v>2378053795</v>
      </c>
      <c r="E5015" t="str">
        <f>T("저승의 왕위를 계승했다 218화")</f>
        <v>저승의 왕위를 계승했다 218화</v>
      </c>
      <c r="F5015">
        <v>218</v>
      </c>
      <c r="G5015" t="str">
        <f>T("신타비")</f>
        <v>신타비</v>
      </c>
      <c r="J5015" t="str">
        <f>T("매드햇")</f>
        <v>매드햇</v>
      </c>
      <c r="K5015" t="str">
        <f>T("저승의 왕위를 계승했다")</f>
        <v>저승의 왕위를 계승했다</v>
      </c>
      <c r="L5015">
        <v>100</v>
      </c>
      <c r="M5015">
        <v>70</v>
      </c>
      <c r="N5015">
        <v>1</v>
      </c>
      <c r="O5015">
        <v>0</v>
      </c>
      <c r="P5015">
        <v>0</v>
      </c>
      <c r="Q5015">
        <v>0</v>
      </c>
      <c r="R5015">
        <v>0</v>
      </c>
      <c r="S5015">
        <v>0</v>
      </c>
      <c r="T5015">
        <v>0</v>
      </c>
      <c r="U5015">
        <v>0</v>
      </c>
      <c r="V5015">
        <v>0</v>
      </c>
      <c r="W5015">
        <v>0</v>
      </c>
      <c r="X5015">
        <v>0</v>
      </c>
      <c r="Y5015">
        <v>0</v>
      </c>
      <c r="Z5015">
        <v>0</v>
      </c>
      <c r="AA5015">
        <v>0</v>
      </c>
      <c r="AB5015">
        <v>0</v>
      </c>
      <c r="AC5015">
        <v>0</v>
      </c>
      <c r="AD5015">
        <v>0</v>
      </c>
      <c r="AE5015">
        <v>0</v>
      </c>
      <c r="AF5015">
        <v>0</v>
      </c>
      <c r="AG5015">
        <v>0</v>
      </c>
      <c r="AH5015">
        <v>0</v>
      </c>
      <c r="AI5015">
        <v>70</v>
      </c>
      <c r="AJ5015">
        <v>1</v>
      </c>
      <c r="AK5015">
        <v>0</v>
      </c>
      <c r="AL5015">
        <v>0</v>
      </c>
      <c r="AM5015">
        <v>70</v>
      </c>
      <c r="AN5015">
        <v>0</v>
      </c>
      <c r="AO5015">
        <v>0</v>
      </c>
      <c r="AP5015">
        <v>0</v>
      </c>
      <c r="AQ5015">
        <v>0</v>
      </c>
      <c r="AS5015">
        <v>0</v>
      </c>
      <c r="AT5015">
        <v>0</v>
      </c>
      <c r="AV5015">
        <v>0</v>
      </c>
      <c r="AW5015">
        <v>0</v>
      </c>
      <c r="AY5015">
        <v>0</v>
      </c>
      <c r="AZ5015">
        <v>0</v>
      </c>
      <c r="BA5015">
        <v>49</v>
      </c>
      <c r="BE5015" t="str">
        <f>T("9791137014381")</f>
        <v>9791137014381</v>
      </c>
      <c r="BF5015" t="str">
        <f>T("k110550")</f>
        <v>k110550</v>
      </c>
      <c r="BG5015" t="str">
        <f>T("판타지 웹소설 &gt; 퓨전 판타지")</f>
        <v>판타지 웹소설 &gt; 퓨전 판타지</v>
      </c>
    </row>
    <row r="5016" spans="1:59">
      <c r="A5016" t="s">
        <v>60</v>
      </c>
      <c r="B5016" s="1">
        <v>46129</v>
      </c>
      <c r="C5016">
        <v>2378044065</v>
      </c>
      <c r="D5016">
        <v>2378053817</v>
      </c>
      <c r="E5016" t="str">
        <f>T("저승의 왕위를 계승했다 219화")</f>
        <v>저승의 왕위를 계승했다 219화</v>
      </c>
      <c r="F5016">
        <v>219</v>
      </c>
      <c r="G5016" t="str">
        <f>T("신타비")</f>
        <v>신타비</v>
      </c>
      <c r="J5016" t="str">
        <f>T("매드햇")</f>
        <v>매드햇</v>
      </c>
      <c r="K5016" t="str">
        <f>T("저승의 왕위를 계승했다")</f>
        <v>저승의 왕위를 계승했다</v>
      </c>
      <c r="L5016">
        <v>100</v>
      </c>
      <c r="M5016">
        <v>70</v>
      </c>
      <c r="N5016">
        <v>1</v>
      </c>
      <c r="O5016">
        <v>0</v>
      </c>
      <c r="P5016">
        <v>0</v>
      </c>
      <c r="Q5016">
        <v>0</v>
      </c>
      <c r="R5016">
        <v>0</v>
      </c>
      <c r="S5016">
        <v>0</v>
      </c>
      <c r="T5016">
        <v>0</v>
      </c>
      <c r="U5016">
        <v>0</v>
      </c>
      <c r="V5016">
        <v>0</v>
      </c>
      <c r="W5016">
        <v>0</v>
      </c>
      <c r="X5016">
        <v>0</v>
      </c>
      <c r="Y5016">
        <v>0</v>
      </c>
      <c r="Z5016">
        <v>0</v>
      </c>
      <c r="AA5016">
        <v>0</v>
      </c>
      <c r="AB5016">
        <v>0</v>
      </c>
      <c r="AC5016">
        <v>0</v>
      </c>
      <c r="AD5016">
        <v>0</v>
      </c>
      <c r="AE5016">
        <v>0</v>
      </c>
      <c r="AF5016">
        <v>0</v>
      </c>
      <c r="AG5016">
        <v>0</v>
      </c>
      <c r="AH5016">
        <v>0</v>
      </c>
      <c r="AI5016">
        <v>70</v>
      </c>
      <c r="AJ5016">
        <v>1</v>
      </c>
      <c r="AK5016">
        <v>0</v>
      </c>
      <c r="AL5016">
        <v>0</v>
      </c>
      <c r="AM5016">
        <v>70</v>
      </c>
      <c r="AN5016">
        <v>0</v>
      </c>
      <c r="AO5016">
        <v>0</v>
      </c>
      <c r="AP5016">
        <v>0</v>
      </c>
      <c r="AQ5016">
        <v>0</v>
      </c>
      <c r="AS5016">
        <v>0</v>
      </c>
      <c r="AT5016">
        <v>0</v>
      </c>
      <c r="AV5016">
        <v>0</v>
      </c>
      <c r="AW5016">
        <v>0</v>
      </c>
      <c r="AY5016">
        <v>0</v>
      </c>
      <c r="AZ5016">
        <v>0</v>
      </c>
      <c r="BA5016">
        <v>49</v>
      </c>
      <c r="BE5016" t="str">
        <f>T("9791137014381")</f>
        <v>9791137014381</v>
      </c>
      <c r="BF5016" t="str">
        <f>T("k115357")</f>
        <v>k115357</v>
      </c>
      <c r="BG5016" t="str">
        <f>T("판타지 웹소설 &gt; 퓨전 판타지")</f>
        <v>판타지 웹소설 &gt; 퓨전 판타지</v>
      </c>
    </row>
    <row r="5017" spans="1:59">
      <c r="A5017" t="s">
        <v>60</v>
      </c>
      <c r="B5017" s="1">
        <v>46129</v>
      </c>
      <c r="C5017">
        <v>2378044065</v>
      </c>
      <c r="D5017">
        <v>2378053858</v>
      </c>
      <c r="E5017" t="str">
        <f>T("저승의 왕위를 계승했다 220화")</f>
        <v>저승의 왕위를 계승했다 220화</v>
      </c>
      <c r="F5017">
        <v>220</v>
      </c>
      <c r="G5017" t="str">
        <f>T("신타비")</f>
        <v>신타비</v>
      </c>
      <c r="J5017" t="str">
        <f>T("매드햇")</f>
        <v>매드햇</v>
      </c>
      <c r="K5017" t="str">
        <f>T("저승의 왕위를 계승했다")</f>
        <v>저승의 왕위를 계승했다</v>
      </c>
      <c r="L5017">
        <v>100</v>
      </c>
      <c r="M5017">
        <v>70</v>
      </c>
      <c r="N5017">
        <v>1</v>
      </c>
      <c r="O5017">
        <v>0</v>
      </c>
      <c r="P5017">
        <v>0</v>
      </c>
      <c r="Q5017">
        <v>0</v>
      </c>
      <c r="R5017">
        <v>0</v>
      </c>
      <c r="S5017">
        <v>0</v>
      </c>
      <c r="T5017">
        <v>0</v>
      </c>
      <c r="U5017">
        <v>0</v>
      </c>
      <c r="V5017">
        <v>0</v>
      </c>
      <c r="W5017">
        <v>0</v>
      </c>
      <c r="X5017">
        <v>0</v>
      </c>
      <c r="Y5017">
        <v>0</v>
      </c>
      <c r="Z5017">
        <v>0</v>
      </c>
      <c r="AA5017">
        <v>0</v>
      </c>
      <c r="AB5017">
        <v>0</v>
      </c>
      <c r="AC5017">
        <v>0</v>
      </c>
      <c r="AD5017">
        <v>0</v>
      </c>
      <c r="AE5017">
        <v>0</v>
      </c>
      <c r="AF5017">
        <v>0</v>
      </c>
      <c r="AG5017">
        <v>0</v>
      </c>
      <c r="AH5017">
        <v>0</v>
      </c>
      <c r="AI5017">
        <v>70</v>
      </c>
      <c r="AJ5017">
        <v>1</v>
      </c>
      <c r="AK5017">
        <v>0</v>
      </c>
      <c r="AL5017">
        <v>0</v>
      </c>
      <c r="AM5017">
        <v>70</v>
      </c>
      <c r="AN5017">
        <v>0</v>
      </c>
      <c r="AO5017">
        <v>0</v>
      </c>
      <c r="AP5017">
        <v>0</v>
      </c>
      <c r="AQ5017">
        <v>0</v>
      </c>
      <c r="AS5017">
        <v>0</v>
      </c>
      <c r="AT5017">
        <v>0</v>
      </c>
      <c r="AV5017">
        <v>0</v>
      </c>
      <c r="AW5017">
        <v>0</v>
      </c>
      <c r="AY5017">
        <v>0</v>
      </c>
      <c r="AZ5017">
        <v>0</v>
      </c>
      <c r="BA5017">
        <v>49</v>
      </c>
      <c r="BE5017" t="str">
        <f>T("9791137014381")</f>
        <v>9791137014381</v>
      </c>
      <c r="BF5017" t="str">
        <f>T("k115358")</f>
        <v>k115358</v>
      </c>
      <c r="BG5017" t="str">
        <f>T("판타지 웹소설 &gt; 퓨전 판타지")</f>
        <v>판타지 웹소설 &gt; 퓨전 판타지</v>
      </c>
    </row>
    <row r="5018" spans="1:59">
      <c r="A5018" t="s">
        <v>60</v>
      </c>
      <c r="B5018" s="1">
        <v>46129</v>
      </c>
      <c r="C5018">
        <v>2378044065</v>
      </c>
      <c r="D5018">
        <v>2378053870</v>
      </c>
      <c r="E5018" t="str">
        <f>T("저승의 왕위를 계승했다 221화")</f>
        <v>저승의 왕위를 계승했다 221화</v>
      </c>
      <c r="F5018">
        <v>221</v>
      </c>
      <c r="G5018" t="str">
        <f>T("신타비")</f>
        <v>신타비</v>
      </c>
      <c r="J5018" t="str">
        <f>T("매드햇")</f>
        <v>매드햇</v>
      </c>
      <c r="K5018" t="str">
        <f>T("저승의 왕위를 계승했다")</f>
        <v>저승의 왕위를 계승했다</v>
      </c>
      <c r="L5018">
        <v>100</v>
      </c>
      <c r="M5018">
        <v>70</v>
      </c>
      <c r="N5018">
        <v>1</v>
      </c>
      <c r="O5018">
        <v>0</v>
      </c>
      <c r="P5018">
        <v>0</v>
      </c>
      <c r="Q5018">
        <v>0</v>
      </c>
      <c r="R5018">
        <v>0</v>
      </c>
      <c r="S5018">
        <v>0</v>
      </c>
      <c r="T5018">
        <v>0</v>
      </c>
      <c r="U5018">
        <v>0</v>
      </c>
      <c r="V5018">
        <v>0</v>
      </c>
      <c r="W5018">
        <v>0</v>
      </c>
      <c r="X5018">
        <v>0</v>
      </c>
      <c r="Y5018">
        <v>0</v>
      </c>
      <c r="Z5018">
        <v>0</v>
      </c>
      <c r="AA5018">
        <v>0</v>
      </c>
      <c r="AB5018">
        <v>0</v>
      </c>
      <c r="AC5018">
        <v>0</v>
      </c>
      <c r="AD5018">
        <v>0</v>
      </c>
      <c r="AE5018">
        <v>0</v>
      </c>
      <c r="AF5018">
        <v>0</v>
      </c>
      <c r="AG5018">
        <v>0</v>
      </c>
      <c r="AH5018">
        <v>0</v>
      </c>
      <c r="AI5018">
        <v>70</v>
      </c>
      <c r="AJ5018">
        <v>1</v>
      </c>
      <c r="AK5018">
        <v>0</v>
      </c>
      <c r="AL5018">
        <v>0</v>
      </c>
      <c r="AM5018">
        <v>70</v>
      </c>
      <c r="AN5018">
        <v>0</v>
      </c>
      <c r="AO5018">
        <v>0</v>
      </c>
      <c r="AP5018">
        <v>0</v>
      </c>
      <c r="AQ5018">
        <v>0</v>
      </c>
      <c r="AS5018">
        <v>0</v>
      </c>
      <c r="AT5018">
        <v>0</v>
      </c>
      <c r="AV5018">
        <v>0</v>
      </c>
      <c r="AW5018">
        <v>0</v>
      </c>
      <c r="AY5018">
        <v>0</v>
      </c>
      <c r="AZ5018">
        <v>0</v>
      </c>
      <c r="BA5018">
        <v>49</v>
      </c>
      <c r="BE5018" t="str">
        <f>T("9791137014381")</f>
        <v>9791137014381</v>
      </c>
      <c r="BF5018" t="str">
        <f>T("k115359")</f>
        <v>k115359</v>
      </c>
      <c r="BG5018" t="str">
        <f>T("판타지 웹소설 &gt; 퓨전 판타지")</f>
        <v>판타지 웹소설 &gt; 퓨전 판타지</v>
      </c>
    </row>
    <row r="5019" spans="1:59">
      <c r="A5019" t="s">
        <v>60</v>
      </c>
      <c r="B5019" s="1">
        <v>46129</v>
      </c>
      <c r="C5019">
        <v>2378044065</v>
      </c>
      <c r="D5019">
        <v>2378053880</v>
      </c>
      <c r="E5019" t="str">
        <f>T("저승의 왕위를 계승했다 222화")</f>
        <v>저승의 왕위를 계승했다 222화</v>
      </c>
      <c r="F5019">
        <v>222</v>
      </c>
      <c r="G5019" t="str">
        <f>T("신타비")</f>
        <v>신타비</v>
      </c>
      <c r="J5019" t="str">
        <f>T("매드햇")</f>
        <v>매드햇</v>
      </c>
      <c r="K5019" t="str">
        <f>T("저승의 왕위를 계승했다")</f>
        <v>저승의 왕위를 계승했다</v>
      </c>
      <c r="L5019">
        <v>100</v>
      </c>
      <c r="M5019">
        <v>70</v>
      </c>
      <c r="N5019">
        <v>1</v>
      </c>
      <c r="O5019">
        <v>0</v>
      </c>
      <c r="P5019">
        <v>0</v>
      </c>
      <c r="Q5019">
        <v>0</v>
      </c>
      <c r="R5019">
        <v>0</v>
      </c>
      <c r="S5019">
        <v>0</v>
      </c>
      <c r="T5019">
        <v>0</v>
      </c>
      <c r="U5019">
        <v>0</v>
      </c>
      <c r="V5019">
        <v>0</v>
      </c>
      <c r="W5019">
        <v>0</v>
      </c>
      <c r="X5019">
        <v>0</v>
      </c>
      <c r="Y5019">
        <v>0</v>
      </c>
      <c r="Z5019">
        <v>0</v>
      </c>
      <c r="AA5019">
        <v>0</v>
      </c>
      <c r="AB5019">
        <v>0</v>
      </c>
      <c r="AC5019">
        <v>0</v>
      </c>
      <c r="AD5019">
        <v>0</v>
      </c>
      <c r="AE5019">
        <v>0</v>
      </c>
      <c r="AF5019">
        <v>0</v>
      </c>
      <c r="AG5019">
        <v>0</v>
      </c>
      <c r="AH5019">
        <v>0</v>
      </c>
      <c r="AI5019">
        <v>70</v>
      </c>
      <c r="AJ5019">
        <v>1</v>
      </c>
      <c r="AK5019">
        <v>0</v>
      </c>
      <c r="AL5019">
        <v>0</v>
      </c>
      <c r="AM5019">
        <v>70</v>
      </c>
      <c r="AN5019">
        <v>0</v>
      </c>
      <c r="AO5019">
        <v>0</v>
      </c>
      <c r="AP5019">
        <v>0</v>
      </c>
      <c r="AQ5019">
        <v>0</v>
      </c>
      <c r="AS5019">
        <v>0</v>
      </c>
      <c r="AT5019">
        <v>0</v>
      </c>
      <c r="AV5019">
        <v>0</v>
      </c>
      <c r="AW5019">
        <v>0</v>
      </c>
      <c r="AY5019">
        <v>0</v>
      </c>
      <c r="AZ5019">
        <v>0</v>
      </c>
      <c r="BA5019">
        <v>49</v>
      </c>
      <c r="BE5019" t="str">
        <f>T("9791137014381")</f>
        <v>9791137014381</v>
      </c>
      <c r="BF5019" t="str">
        <f>T("k115360")</f>
        <v>k115360</v>
      </c>
      <c r="BG5019" t="str">
        <f>T("판타지 웹소설 &gt; 퓨전 판타지")</f>
        <v>판타지 웹소설 &gt; 퓨전 판타지</v>
      </c>
    </row>
    <row r="5020" spans="1:59">
      <c r="A5020" t="s">
        <v>60</v>
      </c>
      <c r="B5020" s="1">
        <v>46129</v>
      </c>
      <c r="C5020">
        <v>2378044065</v>
      </c>
      <c r="D5020">
        <v>2378053891</v>
      </c>
      <c r="E5020" t="str">
        <f>T("저승의 왕위를 계승했다 223화")</f>
        <v>저승의 왕위를 계승했다 223화</v>
      </c>
      <c r="F5020">
        <v>223</v>
      </c>
      <c r="G5020" t="str">
        <f>T("신타비")</f>
        <v>신타비</v>
      </c>
      <c r="J5020" t="str">
        <f>T("매드햇")</f>
        <v>매드햇</v>
      </c>
      <c r="K5020" t="str">
        <f>T("저승의 왕위를 계승했다")</f>
        <v>저승의 왕위를 계승했다</v>
      </c>
      <c r="L5020">
        <v>100</v>
      </c>
      <c r="M5020">
        <v>70</v>
      </c>
      <c r="N5020">
        <v>1</v>
      </c>
      <c r="O5020">
        <v>0</v>
      </c>
      <c r="P5020">
        <v>0</v>
      </c>
      <c r="Q5020">
        <v>0</v>
      </c>
      <c r="R5020">
        <v>0</v>
      </c>
      <c r="S5020">
        <v>0</v>
      </c>
      <c r="T5020">
        <v>0</v>
      </c>
      <c r="U5020">
        <v>0</v>
      </c>
      <c r="V5020">
        <v>0</v>
      </c>
      <c r="W5020">
        <v>0</v>
      </c>
      <c r="X5020">
        <v>0</v>
      </c>
      <c r="Y5020">
        <v>0</v>
      </c>
      <c r="Z5020">
        <v>0</v>
      </c>
      <c r="AA5020">
        <v>0</v>
      </c>
      <c r="AB5020">
        <v>0</v>
      </c>
      <c r="AC5020">
        <v>0</v>
      </c>
      <c r="AD5020">
        <v>0</v>
      </c>
      <c r="AE5020">
        <v>0</v>
      </c>
      <c r="AF5020">
        <v>0</v>
      </c>
      <c r="AG5020">
        <v>0</v>
      </c>
      <c r="AH5020">
        <v>0</v>
      </c>
      <c r="AI5020">
        <v>70</v>
      </c>
      <c r="AJ5020">
        <v>1</v>
      </c>
      <c r="AK5020">
        <v>0</v>
      </c>
      <c r="AL5020">
        <v>0</v>
      </c>
      <c r="AM5020">
        <v>70</v>
      </c>
      <c r="AN5020">
        <v>0</v>
      </c>
      <c r="AO5020">
        <v>0</v>
      </c>
      <c r="AP5020">
        <v>0</v>
      </c>
      <c r="AQ5020">
        <v>0</v>
      </c>
      <c r="AS5020">
        <v>0</v>
      </c>
      <c r="AT5020">
        <v>0</v>
      </c>
      <c r="AV5020">
        <v>0</v>
      </c>
      <c r="AW5020">
        <v>0</v>
      </c>
      <c r="AY5020">
        <v>0</v>
      </c>
      <c r="AZ5020">
        <v>0</v>
      </c>
      <c r="BA5020">
        <v>49</v>
      </c>
      <c r="BE5020" t="str">
        <f>T("9791137014381")</f>
        <v>9791137014381</v>
      </c>
      <c r="BF5020" t="str">
        <f>T("k117356")</f>
        <v>k117356</v>
      </c>
      <c r="BG5020" t="str">
        <f>T("판타지 웹소설 &gt; 퓨전 판타지")</f>
        <v>판타지 웹소설 &gt; 퓨전 판타지</v>
      </c>
    </row>
    <row r="5021" spans="1:59">
      <c r="A5021" t="s">
        <v>60</v>
      </c>
      <c r="B5021" s="1">
        <v>46129</v>
      </c>
      <c r="C5021">
        <v>2378044065</v>
      </c>
      <c r="D5021">
        <v>2378053899</v>
      </c>
      <c r="E5021" t="str">
        <f>T("저승의 왕위를 계승했다 224화")</f>
        <v>저승의 왕위를 계승했다 224화</v>
      </c>
      <c r="F5021">
        <v>224</v>
      </c>
      <c r="G5021" t="str">
        <f>T("신타비")</f>
        <v>신타비</v>
      </c>
      <c r="J5021" t="str">
        <f>T("매드햇")</f>
        <v>매드햇</v>
      </c>
      <c r="K5021" t="str">
        <f>T("저승의 왕위를 계승했다")</f>
        <v>저승의 왕위를 계승했다</v>
      </c>
      <c r="L5021">
        <v>100</v>
      </c>
      <c r="M5021">
        <v>70</v>
      </c>
      <c r="N5021">
        <v>1</v>
      </c>
      <c r="O5021">
        <v>0</v>
      </c>
      <c r="P5021">
        <v>0</v>
      </c>
      <c r="Q5021">
        <v>0</v>
      </c>
      <c r="R5021">
        <v>0</v>
      </c>
      <c r="S5021">
        <v>0</v>
      </c>
      <c r="T5021">
        <v>0</v>
      </c>
      <c r="U5021">
        <v>0</v>
      </c>
      <c r="V5021">
        <v>0</v>
      </c>
      <c r="W5021">
        <v>0</v>
      </c>
      <c r="X5021">
        <v>0</v>
      </c>
      <c r="Y5021">
        <v>0</v>
      </c>
      <c r="Z5021">
        <v>0</v>
      </c>
      <c r="AA5021">
        <v>0</v>
      </c>
      <c r="AB5021">
        <v>0</v>
      </c>
      <c r="AC5021">
        <v>0</v>
      </c>
      <c r="AD5021">
        <v>0</v>
      </c>
      <c r="AE5021">
        <v>0</v>
      </c>
      <c r="AF5021">
        <v>0</v>
      </c>
      <c r="AG5021">
        <v>0</v>
      </c>
      <c r="AH5021">
        <v>0</v>
      </c>
      <c r="AI5021">
        <v>70</v>
      </c>
      <c r="AJ5021">
        <v>1</v>
      </c>
      <c r="AK5021">
        <v>0</v>
      </c>
      <c r="AL5021">
        <v>0</v>
      </c>
      <c r="AM5021">
        <v>70</v>
      </c>
      <c r="AN5021">
        <v>0</v>
      </c>
      <c r="AO5021">
        <v>0</v>
      </c>
      <c r="AP5021">
        <v>0</v>
      </c>
      <c r="AQ5021">
        <v>0</v>
      </c>
      <c r="AS5021">
        <v>0</v>
      </c>
      <c r="AT5021">
        <v>0</v>
      </c>
      <c r="AV5021">
        <v>0</v>
      </c>
      <c r="AW5021">
        <v>0</v>
      </c>
      <c r="AY5021">
        <v>0</v>
      </c>
      <c r="AZ5021">
        <v>0</v>
      </c>
      <c r="BA5021">
        <v>49</v>
      </c>
      <c r="BE5021" t="str">
        <f>T("9791137014381")</f>
        <v>9791137014381</v>
      </c>
      <c r="BF5021" t="str">
        <f>T("k117357")</f>
        <v>k117357</v>
      </c>
      <c r="BG5021" t="str">
        <f>T("판타지 웹소설 &gt; 퓨전 판타지")</f>
        <v>판타지 웹소설 &gt; 퓨전 판타지</v>
      </c>
    </row>
    <row r="5022" spans="1:59">
      <c r="A5022" t="s">
        <v>60</v>
      </c>
      <c r="B5022" s="1">
        <v>46129</v>
      </c>
      <c r="C5022">
        <v>2378044065</v>
      </c>
      <c r="D5022">
        <v>2378054841</v>
      </c>
      <c r="E5022" t="str">
        <f>T("저승의 왕위를 계승했다 234화")</f>
        <v>저승의 왕위를 계승했다 234화</v>
      </c>
      <c r="F5022">
        <v>234</v>
      </c>
      <c r="G5022" t="str">
        <f>T("신타비")</f>
        <v>신타비</v>
      </c>
      <c r="J5022" t="str">
        <f>T("매드햇")</f>
        <v>매드햇</v>
      </c>
      <c r="K5022" t="str">
        <f>T("저승의 왕위를 계승했다")</f>
        <v>저승의 왕위를 계승했다</v>
      </c>
      <c r="L5022">
        <v>100</v>
      </c>
      <c r="M5022">
        <v>100</v>
      </c>
      <c r="N5022">
        <v>1</v>
      </c>
      <c r="O5022">
        <v>0</v>
      </c>
      <c r="P5022">
        <v>0</v>
      </c>
      <c r="Q5022">
        <v>0</v>
      </c>
      <c r="R5022">
        <v>0</v>
      </c>
      <c r="S5022">
        <v>0</v>
      </c>
      <c r="T5022">
        <v>0</v>
      </c>
      <c r="U5022">
        <v>0</v>
      </c>
      <c r="V5022">
        <v>0</v>
      </c>
      <c r="W5022">
        <v>0</v>
      </c>
      <c r="X5022">
        <v>0</v>
      </c>
      <c r="Y5022">
        <v>0</v>
      </c>
      <c r="Z5022">
        <v>0</v>
      </c>
      <c r="AA5022">
        <v>0</v>
      </c>
      <c r="AB5022">
        <v>0</v>
      </c>
      <c r="AC5022">
        <v>0</v>
      </c>
      <c r="AD5022">
        <v>0</v>
      </c>
      <c r="AE5022">
        <v>0</v>
      </c>
      <c r="AF5022">
        <v>0</v>
      </c>
      <c r="AG5022">
        <v>0</v>
      </c>
      <c r="AH5022">
        <v>0</v>
      </c>
      <c r="AI5022">
        <v>100</v>
      </c>
      <c r="AJ5022">
        <v>1</v>
      </c>
      <c r="AK5022">
        <v>0</v>
      </c>
      <c r="AL5022">
        <v>0</v>
      </c>
      <c r="AM5022">
        <v>100</v>
      </c>
      <c r="AN5022">
        <v>0</v>
      </c>
      <c r="AO5022">
        <v>0</v>
      </c>
      <c r="AP5022">
        <v>0</v>
      </c>
      <c r="AQ5022">
        <v>0</v>
      </c>
      <c r="AS5022">
        <v>0</v>
      </c>
      <c r="AT5022">
        <v>0</v>
      </c>
      <c r="AV5022">
        <v>0</v>
      </c>
      <c r="AW5022">
        <v>0</v>
      </c>
      <c r="AY5022">
        <v>0</v>
      </c>
      <c r="AZ5022">
        <v>0</v>
      </c>
      <c r="BA5022">
        <v>70</v>
      </c>
      <c r="BE5022" t="str">
        <f>T("9791137014381")</f>
        <v>9791137014381</v>
      </c>
      <c r="BF5022" t="str">
        <f>T("k123442")</f>
        <v>k123442</v>
      </c>
      <c r="BG5022" t="str">
        <f>T("판타지 웹소설 &gt; 퓨전 판타지")</f>
        <v>판타지 웹소설 &gt; 퓨전 판타지</v>
      </c>
    </row>
    <row r="5023" spans="1:59">
      <c r="A5023" t="s">
        <v>60</v>
      </c>
      <c r="B5023" s="1">
        <v>46129</v>
      </c>
      <c r="C5023">
        <v>2378044065</v>
      </c>
      <c r="D5023">
        <v>2378060486</v>
      </c>
      <c r="E5023" t="str">
        <f>T("저승의 왕위를 계승했다 327화")</f>
        <v>저승의 왕위를 계승했다 327화</v>
      </c>
      <c r="F5023">
        <v>328</v>
      </c>
      <c r="G5023" t="str">
        <f>T("신타비")</f>
        <v>신타비</v>
      </c>
      <c r="J5023" t="str">
        <f>T("매드햇")</f>
        <v>매드햇</v>
      </c>
      <c r="K5023" t="str">
        <f>T("저승의 왕위를 계승했다")</f>
        <v>저승의 왕위를 계승했다</v>
      </c>
      <c r="L5023">
        <v>100</v>
      </c>
      <c r="M5023">
        <v>100</v>
      </c>
      <c r="N5023">
        <v>1</v>
      </c>
      <c r="O5023">
        <v>0</v>
      </c>
      <c r="P5023">
        <v>0</v>
      </c>
      <c r="Q5023">
        <v>0</v>
      </c>
      <c r="R5023">
        <v>0</v>
      </c>
      <c r="S5023">
        <v>0</v>
      </c>
      <c r="T5023">
        <v>0</v>
      </c>
      <c r="U5023">
        <v>0</v>
      </c>
      <c r="V5023">
        <v>0</v>
      </c>
      <c r="W5023">
        <v>0</v>
      </c>
      <c r="X5023">
        <v>0</v>
      </c>
      <c r="Y5023">
        <v>0</v>
      </c>
      <c r="Z5023">
        <v>0</v>
      </c>
      <c r="AA5023">
        <v>0</v>
      </c>
      <c r="AB5023">
        <v>0</v>
      </c>
      <c r="AC5023">
        <v>0</v>
      </c>
      <c r="AD5023">
        <v>0</v>
      </c>
      <c r="AE5023">
        <v>0</v>
      </c>
      <c r="AF5023">
        <v>0</v>
      </c>
      <c r="AG5023">
        <v>0</v>
      </c>
      <c r="AH5023">
        <v>0</v>
      </c>
      <c r="AI5023">
        <v>100</v>
      </c>
      <c r="AJ5023">
        <v>1</v>
      </c>
      <c r="AK5023">
        <v>0</v>
      </c>
      <c r="AL5023">
        <v>0</v>
      </c>
      <c r="AM5023">
        <v>100</v>
      </c>
      <c r="AN5023">
        <v>0</v>
      </c>
      <c r="AO5023">
        <v>0</v>
      </c>
      <c r="AP5023">
        <v>0</v>
      </c>
      <c r="AQ5023">
        <v>0</v>
      </c>
      <c r="AS5023">
        <v>0</v>
      </c>
      <c r="AT5023">
        <v>0</v>
      </c>
      <c r="AV5023">
        <v>0</v>
      </c>
      <c r="AW5023">
        <v>0</v>
      </c>
      <c r="AY5023">
        <v>0</v>
      </c>
      <c r="AZ5023">
        <v>0</v>
      </c>
      <c r="BA5023">
        <v>70</v>
      </c>
      <c r="BE5023" t="str">
        <f>T("9791137014381")</f>
        <v>9791137014381</v>
      </c>
      <c r="BF5023" t="str">
        <f>T("k207426")</f>
        <v>k207426</v>
      </c>
      <c r="BG5023" t="str">
        <f>T("판타지 웹소설 &gt; 퓨전 판타지")</f>
        <v>판타지 웹소설 &gt; 퓨전 판타지</v>
      </c>
    </row>
    <row r="5024" spans="1:59">
      <c r="A5024" t="s">
        <v>60</v>
      </c>
      <c r="B5024" s="1">
        <v>46129</v>
      </c>
      <c r="C5024">
        <v>2378044065</v>
      </c>
      <c r="D5024">
        <v>2378060487</v>
      </c>
      <c r="E5024" t="str">
        <f>T("저승의 왕위를 계승했다 328화")</f>
        <v>저승의 왕위를 계승했다 328화</v>
      </c>
      <c r="F5024">
        <v>329</v>
      </c>
      <c r="G5024" t="str">
        <f>T("신타비")</f>
        <v>신타비</v>
      </c>
      <c r="J5024" t="str">
        <f>T("매드햇")</f>
        <v>매드햇</v>
      </c>
      <c r="K5024" t="str">
        <f>T("저승의 왕위를 계승했다")</f>
        <v>저승의 왕위를 계승했다</v>
      </c>
      <c r="L5024">
        <v>100</v>
      </c>
      <c r="M5024">
        <v>100</v>
      </c>
      <c r="N5024">
        <v>1</v>
      </c>
      <c r="O5024">
        <v>0</v>
      </c>
      <c r="P5024">
        <v>0</v>
      </c>
      <c r="Q5024">
        <v>0</v>
      </c>
      <c r="R5024">
        <v>0</v>
      </c>
      <c r="S5024">
        <v>0</v>
      </c>
      <c r="T5024">
        <v>0</v>
      </c>
      <c r="U5024">
        <v>0</v>
      </c>
      <c r="V5024">
        <v>0</v>
      </c>
      <c r="W5024">
        <v>0</v>
      </c>
      <c r="X5024">
        <v>0</v>
      </c>
      <c r="Y5024">
        <v>0</v>
      </c>
      <c r="Z5024">
        <v>0</v>
      </c>
      <c r="AA5024">
        <v>0</v>
      </c>
      <c r="AB5024">
        <v>0</v>
      </c>
      <c r="AC5024">
        <v>0</v>
      </c>
      <c r="AD5024">
        <v>0</v>
      </c>
      <c r="AE5024">
        <v>0</v>
      </c>
      <c r="AF5024">
        <v>0</v>
      </c>
      <c r="AG5024">
        <v>0</v>
      </c>
      <c r="AH5024">
        <v>0</v>
      </c>
      <c r="AI5024">
        <v>100</v>
      </c>
      <c r="AJ5024">
        <v>1</v>
      </c>
      <c r="AK5024">
        <v>0</v>
      </c>
      <c r="AL5024">
        <v>0</v>
      </c>
      <c r="AM5024">
        <v>100</v>
      </c>
      <c r="AN5024">
        <v>0</v>
      </c>
      <c r="AO5024">
        <v>0</v>
      </c>
      <c r="AP5024">
        <v>0</v>
      </c>
      <c r="AQ5024">
        <v>0</v>
      </c>
      <c r="AS5024">
        <v>0</v>
      </c>
      <c r="AT5024">
        <v>0</v>
      </c>
      <c r="AV5024">
        <v>0</v>
      </c>
      <c r="AW5024">
        <v>0</v>
      </c>
      <c r="AY5024">
        <v>0</v>
      </c>
      <c r="AZ5024">
        <v>0</v>
      </c>
      <c r="BA5024">
        <v>70</v>
      </c>
      <c r="BE5024" t="str">
        <f>T("9791137014381")</f>
        <v>9791137014381</v>
      </c>
      <c r="BF5024" t="str">
        <f>T("k207427")</f>
        <v>k207427</v>
      </c>
      <c r="BG5024" t="str">
        <f>T("판타지 웹소설 &gt; 퓨전 판타지")</f>
        <v>판타지 웹소설 &gt; 퓨전 판타지</v>
      </c>
    </row>
    <row r="5025" spans="1:59">
      <c r="A5025" t="s">
        <v>60</v>
      </c>
      <c r="B5025" s="1">
        <v>46129</v>
      </c>
      <c r="C5025">
        <v>2378044065</v>
      </c>
      <c r="D5025">
        <v>2378060526</v>
      </c>
      <c r="E5025" t="str">
        <f>T("저승의 왕위를 계승했다 329화")</f>
        <v>저승의 왕위를 계승했다 329화</v>
      </c>
      <c r="F5025">
        <v>330</v>
      </c>
      <c r="G5025" t="str">
        <f>T("신타비")</f>
        <v>신타비</v>
      </c>
      <c r="J5025" t="str">
        <f>T("매드햇")</f>
        <v>매드햇</v>
      </c>
      <c r="K5025" t="str">
        <f>T("저승의 왕위를 계승했다")</f>
        <v>저승의 왕위를 계승했다</v>
      </c>
      <c r="L5025">
        <v>100</v>
      </c>
      <c r="M5025">
        <v>100</v>
      </c>
      <c r="N5025">
        <v>1</v>
      </c>
      <c r="O5025">
        <v>0</v>
      </c>
      <c r="P5025">
        <v>0</v>
      </c>
      <c r="Q5025">
        <v>0</v>
      </c>
      <c r="R5025">
        <v>0</v>
      </c>
      <c r="S5025">
        <v>0</v>
      </c>
      <c r="T5025">
        <v>0</v>
      </c>
      <c r="U5025">
        <v>0</v>
      </c>
      <c r="V5025">
        <v>0</v>
      </c>
      <c r="W5025">
        <v>0</v>
      </c>
      <c r="X5025">
        <v>0</v>
      </c>
      <c r="Y5025">
        <v>0</v>
      </c>
      <c r="Z5025">
        <v>0</v>
      </c>
      <c r="AA5025">
        <v>0</v>
      </c>
      <c r="AB5025">
        <v>0</v>
      </c>
      <c r="AC5025">
        <v>0</v>
      </c>
      <c r="AD5025">
        <v>0</v>
      </c>
      <c r="AE5025">
        <v>0</v>
      </c>
      <c r="AF5025">
        <v>0</v>
      </c>
      <c r="AG5025">
        <v>0</v>
      </c>
      <c r="AH5025">
        <v>0</v>
      </c>
      <c r="AI5025">
        <v>100</v>
      </c>
      <c r="AJ5025">
        <v>1</v>
      </c>
      <c r="AK5025">
        <v>0</v>
      </c>
      <c r="AL5025">
        <v>0</v>
      </c>
      <c r="AM5025">
        <v>100</v>
      </c>
      <c r="AN5025">
        <v>0</v>
      </c>
      <c r="AO5025">
        <v>0</v>
      </c>
      <c r="AP5025">
        <v>0</v>
      </c>
      <c r="AQ5025">
        <v>0</v>
      </c>
      <c r="AS5025">
        <v>0</v>
      </c>
      <c r="AT5025">
        <v>0</v>
      </c>
      <c r="AV5025">
        <v>0</v>
      </c>
      <c r="AW5025">
        <v>0</v>
      </c>
      <c r="AY5025">
        <v>0</v>
      </c>
      <c r="AZ5025">
        <v>0</v>
      </c>
      <c r="BA5025">
        <v>70</v>
      </c>
      <c r="BE5025" t="str">
        <f>T("9791137014381")</f>
        <v>9791137014381</v>
      </c>
      <c r="BF5025" t="str">
        <f>T("k209688")</f>
        <v>k209688</v>
      </c>
      <c r="BG5025" t="str">
        <f>T("판타지 웹소설 &gt; 퓨전 판타지")</f>
        <v>판타지 웹소설 &gt; 퓨전 판타지</v>
      </c>
    </row>
    <row r="5026" spans="1:59">
      <c r="A5026" t="s">
        <v>60</v>
      </c>
      <c r="B5026" s="1">
        <v>46129</v>
      </c>
      <c r="C5026">
        <v>2378044065</v>
      </c>
      <c r="D5026">
        <v>2378060527</v>
      </c>
      <c r="E5026" t="str">
        <f>T("저승의 왕위를 계승했다 330화")</f>
        <v>저승의 왕위를 계승했다 330화</v>
      </c>
      <c r="F5026">
        <v>331</v>
      </c>
      <c r="G5026" t="str">
        <f>T("신타비")</f>
        <v>신타비</v>
      </c>
      <c r="J5026" t="str">
        <f>T("매드햇")</f>
        <v>매드햇</v>
      </c>
      <c r="K5026" t="str">
        <f>T("저승의 왕위를 계승했다")</f>
        <v>저승의 왕위를 계승했다</v>
      </c>
      <c r="L5026">
        <v>100</v>
      </c>
      <c r="M5026">
        <v>100</v>
      </c>
      <c r="N5026">
        <v>1</v>
      </c>
      <c r="O5026">
        <v>0</v>
      </c>
      <c r="P5026">
        <v>0</v>
      </c>
      <c r="Q5026">
        <v>0</v>
      </c>
      <c r="R5026">
        <v>0</v>
      </c>
      <c r="S5026">
        <v>0</v>
      </c>
      <c r="T5026">
        <v>0</v>
      </c>
      <c r="U5026">
        <v>0</v>
      </c>
      <c r="V5026">
        <v>0</v>
      </c>
      <c r="W5026">
        <v>0</v>
      </c>
      <c r="X5026">
        <v>0</v>
      </c>
      <c r="Y5026">
        <v>0</v>
      </c>
      <c r="Z5026">
        <v>0</v>
      </c>
      <c r="AA5026">
        <v>0</v>
      </c>
      <c r="AB5026">
        <v>0</v>
      </c>
      <c r="AC5026">
        <v>0</v>
      </c>
      <c r="AD5026">
        <v>0</v>
      </c>
      <c r="AE5026">
        <v>0</v>
      </c>
      <c r="AF5026">
        <v>0</v>
      </c>
      <c r="AG5026">
        <v>0</v>
      </c>
      <c r="AH5026">
        <v>0</v>
      </c>
      <c r="AI5026">
        <v>100</v>
      </c>
      <c r="AJ5026">
        <v>1</v>
      </c>
      <c r="AK5026">
        <v>0</v>
      </c>
      <c r="AL5026">
        <v>0</v>
      </c>
      <c r="AM5026">
        <v>100</v>
      </c>
      <c r="AN5026">
        <v>0</v>
      </c>
      <c r="AO5026">
        <v>0</v>
      </c>
      <c r="AP5026">
        <v>0</v>
      </c>
      <c r="AQ5026">
        <v>0</v>
      </c>
      <c r="AS5026">
        <v>0</v>
      </c>
      <c r="AT5026">
        <v>0</v>
      </c>
      <c r="AV5026">
        <v>0</v>
      </c>
      <c r="AW5026">
        <v>0</v>
      </c>
      <c r="AY5026">
        <v>0</v>
      </c>
      <c r="AZ5026">
        <v>0</v>
      </c>
      <c r="BA5026">
        <v>70</v>
      </c>
      <c r="BE5026" t="str">
        <f>T("9791137014381")</f>
        <v>9791137014381</v>
      </c>
      <c r="BF5026" t="str">
        <f>T("k209689")</f>
        <v>k209689</v>
      </c>
      <c r="BG5026" t="str">
        <f>T("판타지 웹소설 &gt; 퓨전 판타지")</f>
        <v>판타지 웹소설 &gt; 퓨전 판타지</v>
      </c>
    </row>
    <row r="5027" spans="1:59">
      <c r="A5027" t="s">
        <v>60</v>
      </c>
      <c r="B5027" s="1">
        <v>46129</v>
      </c>
      <c r="C5027">
        <v>2378044065</v>
      </c>
      <c r="D5027">
        <v>2378060544</v>
      </c>
      <c r="E5027" t="str">
        <f>T("저승의 왕위를 계승했다 331화")</f>
        <v>저승의 왕위를 계승했다 331화</v>
      </c>
      <c r="F5027">
        <v>332</v>
      </c>
      <c r="G5027" t="str">
        <f>T("신타비")</f>
        <v>신타비</v>
      </c>
      <c r="J5027" t="str">
        <f>T("매드햇")</f>
        <v>매드햇</v>
      </c>
      <c r="K5027" t="str">
        <f>T("저승의 왕위를 계승했다")</f>
        <v>저승의 왕위를 계승했다</v>
      </c>
      <c r="L5027">
        <v>100</v>
      </c>
      <c r="M5027">
        <v>100</v>
      </c>
      <c r="N5027">
        <v>1</v>
      </c>
      <c r="O5027">
        <v>0</v>
      </c>
      <c r="P5027">
        <v>0</v>
      </c>
      <c r="Q5027">
        <v>0</v>
      </c>
      <c r="R5027">
        <v>0</v>
      </c>
      <c r="S5027">
        <v>0</v>
      </c>
      <c r="T5027">
        <v>0</v>
      </c>
      <c r="U5027">
        <v>0</v>
      </c>
      <c r="V5027">
        <v>0</v>
      </c>
      <c r="W5027">
        <v>0</v>
      </c>
      <c r="X5027">
        <v>0</v>
      </c>
      <c r="Y5027">
        <v>0</v>
      </c>
      <c r="Z5027">
        <v>0</v>
      </c>
      <c r="AA5027">
        <v>0</v>
      </c>
      <c r="AB5027">
        <v>0</v>
      </c>
      <c r="AC5027">
        <v>0</v>
      </c>
      <c r="AD5027">
        <v>0</v>
      </c>
      <c r="AE5027">
        <v>0</v>
      </c>
      <c r="AF5027">
        <v>0</v>
      </c>
      <c r="AG5027">
        <v>0</v>
      </c>
      <c r="AH5027">
        <v>0</v>
      </c>
      <c r="AI5027">
        <v>100</v>
      </c>
      <c r="AJ5027">
        <v>1</v>
      </c>
      <c r="AK5027">
        <v>0</v>
      </c>
      <c r="AL5027">
        <v>0</v>
      </c>
      <c r="AM5027">
        <v>100</v>
      </c>
      <c r="AN5027">
        <v>0</v>
      </c>
      <c r="AO5027">
        <v>0</v>
      </c>
      <c r="AP5027">
        <v>0</v>
      </c>
      <c r="AQ5027">
        <v>0</v>
      </c>
      <c r="AS5027">
        <v>0</v>
      </c>
      <c r="AT5027">
        <v>0</v>
      </c>
      <c r="AV5027">
        <v>0</v>
      </c>
      <c r="AW5027">
        <v>0</v>
      </c>
      <c r="AY5027">
        <v>0</v>
      </c>
      <c r="AZ5027">
        <v>0</v>
      </c>
      <c r="BA5027">
        <v>70</v>
      </c>
      <c r="BE5027" t="str">
        <f>T("9791137014381")</f>
        <v>9791137014381</v>
      </c>
      <c r="BF5027" t="str">
        <f>T("k209690")</f>
        <v>k209690</v>
      </c>
      <c r="BG5027" t="str">
        <f>T("판타지 웹소설 &gt; 퓨전 판타지")</f>
        <v>판타지 웹소설 &gt; 퓨전 판타지</v>
      </c>
    </row>
    <row r="5028" spans="1:59">
      <c r="A5028" t="s">
        <v>60</v>
      </c>
      <c r="B5028" s="1">
        <v>46129</v>
      </c>
      <c r="C5028">
        <v>2378044065</v>
      </c>
      <c r="D5028">
        <v>2378060569</v>
      </c>
      <c r="E5028" t="str">
        <f>T("저승의 왕위를 계승했다 332화")</f>
        <v>저승의 왕위를 계승했다 332화</v>
      </c>
      <c r="F5028">
        <v>333</v>
      </c>
      <c r="G5028" t="str">
        <f>T("신타비")</f>
        <v>신타비</v>
      </c>
      <c r="J5028" t="str">
        <f>T("매드햇")</f>
        <v>매드햇</v>
      </c>
      <c r="K5028" t="str">
        <f>T("저승의 왕위를 계승했다")</f>
        <v>저승의 왕위를 계승했다</v>
      </c>
      <c r="L5028">
        <v>100</v>
      </c>
      <c r="M5028">
        <v>100</v>
      </c>
      <c r="N5028">
        <v>1</v>
      </c>
      <c r="O5028">
        <v>0</v>
      </c>
      <c r="P5028">
        <v>0</v>
      </c>
      <c r="Q5028">
        <v>0</v>
      </c>
      <c r="R5028">
        <v>0</v>
      </c>
      <c r="S5028">
        <v>0</v>
      </c>
      <c r="T5028">
        <v>0</v>
      </c>
      <c r="U5028">
        <v>0</v>
      </c>
      <c r="V5028">
        <v>0</v>
      </c>
      <c r="W5028">
        <v>0</v>
      </c>
      <c r="X5028">
        <v>0</v>
      </c>
      <c r="Y5028">
        <v>0</v>
      </c>
      <c r="Z5028">
        <v>0</v>
      </c>
      <c r="AA5028">
        <v>0</v>
      </c>
      <c r="AB5028">
        <v>0</v>
      </c>
      <c r="AC5028">
        <v>0</v>
      </c>
      <c r="AD5028">
        <v>0</v>
      </c>
      <c r="AE5028">
        <v>0</v>
      </c>
      <c r="AF5028">
        <v>0</v>
      </c>
      <c r="AG5028">
        <v>0</v>
      </c>
      <c r="AH5028">
        <v>0</v>
      </c>
      <c r="AI5028">
        <v>100</v>
      </c>
      <c r="AJ5028">
        <v>1</v>
      </c>
      <c r="AK5028">
        <v>0</v>
      </c>
      <c r="AL5028">
        <v>0</v>
      </c>
      <c r="AM5028">
        <v>100</v>
      </c>
      <c r="AN5028">
        <v>0</v>
      </c>
      <c r="AO5028">
        <v>0</v>
      </c>
      <c r="AP5028">
        <v>0</v>
      </c>
      <c r="AQ5028">
        <v>0</v>
      </c>
      <c r="AS5028">
        <v>0</v>
      </c>
      <c r="AT5028">
        <v>0</v>
      </c>
      <c r="AV5028">
        <v>0</v>
      </c>
      <c r="AW5028">
        <v>0</v>
      </c>
      <c r="AY5028">
        <v>0</v>
      </c>
      <c r="AZ5028">
        <v>0</v>
      </c>
      <c r="BA5028">
        <v>70</v>
      </c>
      <c r="BE5028" t="str">
        <f>T("9791137014381")</f>
        <v>9791137014381</v>
      </c>
      <c r="BF5028" t="str">
        <f>T("k209691")</f>
        <v>k209691</v>
      </c>
      <c r="BG5028" t="str">
        <f>T("판타지 웹소설 &gt; 퓨전 판타지")</f>
        <v>판타지 웹소설 &gt; 퓨전 판타지</v>
      </c>
    </row>
    <row r="5029" spans="1:59">
      <c r="A5029" t="s">
        <v>60</v>
      </c>
      <c r="B5029" s="1">
        <v>46129</v>
      </c>
      <c r="C5029">
        <v>2378044065</v>
      </c>
      <c r="D5029">
        <v>2378060686</v>
      </c>
      <c r="E5029" t="str">
        <f>T("저승의 왕위를 계승했다 333화")</f>
        <v>저승의 왕위를 계승했다 333화</v>
      </c>
      <c r="F5029">
        <v>334</v>
      </c>
      <c r="G5029" t="str">
        <f>T("신타비")</f>
        <v>신타비</v>
      </c>
      <c r="J5029" t="str">
        <f>T("매드햇")</f>
        <v>매드햇</v>
      </c>
      <c r="K5029" t="str">
        <f>T("저승의 왕위를 계승했다")</f>
        <v>저승의 왕위를 계승했다</v>
      </c>
      <c r="L5029">
        <v>100</v>
      </c>
      <c r="M5029">
        <v>100</v>
      </c>
      <c r="N5029">
        <v>1</v>
      </c>
      <c r="O5029">
        <v>0</v>
      </c>
      <c r="P5029">
        <v>0</v>
      </c>
      <c r="Q5029">
        <v>0</v>
      </c>
      <c r="R5029">
        <v>0</v>
      </c>
      <c r="S5029">
        <v>0</v>
      </c>
      <c r="T5029">
        <v>0</v>
      </c>
      <c r="U5029">
        <v>0</v>
      </c>
      <c r="V5029">
        <v>0</v>
      </c>
      <c r="W5029">
        <v>0</v>
      </c>
      <c r="X5029">
        <v>0</v>
      </c>
      <c r="Y5029">
        <v>0</v>
      </c>
      <c r="Z5029">
        <v>0</v>
      </c>
      <c r="AA5029">
        <v>0</v>
      </c>
      <c r="AB5029">
        <v>0</v>
      </c>
      <c r="AC5029">
        <v>0</v>
      </c>
      <c r="AD5029">
        <v>0</v>
      </c>
      <c r="AE5029">
        <v>0</v>
      </c>
      <c r="AF5029">
        <v>0</v>
      </c>
      <c r="AG5029">
        <v>0</v>
      </c>
      <c r="AH5029">
        <v>0</v>
      </c>
      <c r="AI5029">
        <v>100</v>
      </c>
      <c r="AJ5029">
        <v>1</v>
      </c>
      <c r="AK5029">
        <v>0</v>
      </c>
      <c r="AL5029">
        <v>0</v>
      </c>
      <c r="AM5029">
        <v>100</v>
      </c>
      <c r="AN5029">
        <v>0</v>
      </c>
      <c r="AO5029">
        <v>0</v>
      </c>
      <c r="AP5029">
        <v>0</v>
      </c>
      <c r="AQ5029">
        <v>0</v>
      </c>
      <c r="AS5029">
        <v>0</v>
      </c>
      <c r="AT5029">
        <v>0</v>
      </c>
      <c r="AV5029">
        <v>0</v>
      </c>
      <c r="AW5029">
        <v>0</v>
      </c>
      <c r="AY5029">
        <v>0</v>
      </c>
      <c r="AZ5029">
        <v>0</v>
      </c>
      <c r="BA5029">
        <v>70</v>
      </c>
      <c r="BE5029" t="str">
        <f>T("9791137014381")</f>
        <v>9791137014381</v>
      </c>
      <c r="BF5029" t="str">
        <f>T("k212766")</f>
        <v>k212766</v>
      </c>
      <c r="BG5029" t="str">
        <f>T("판타지 웹소설 &gt; 퓨전 판타지")</f>
        <v>판타지 웹소설 &gt; 퓨전 판타지</v>
      </c>
    </row>
    <row r="5030" spans="1:59">
      <c r="A5030" t="s">
        <v>60</v>
      </c>
      <c r="B5030" s="1">
        <v>46129</v>
      </c>
      <c r="C5030">
        <v>2378044065</v>
      </c>
      <c r="D5030">
        <v>2378061438</v>
      </c>
      <c r="E5030" t="str">
        <f>T("저승의 왕위를 계승했다 334화")</f>
        <v>저승의 왕위를 계승했다 334화</v>
      </c>
      <c r="F5030">
        <v>335</v>
      </c>
      <c r="G5030" t="str">
        <f>T("신타비")</f>
        <v>신타비</v>
      </c>
      <c r="J5030" t="str">
        <f>T("매드햇")</f>
        <v>매드햇</v>
      </c>
      <c r="K5030" t="str">
        <f>T("저승의 왕위를 계승했다")</f>
        <v>저승의 왕위를 계승했다</v>
      </c>
      <c r="L5030">
        <v>100</v>
      </c>
      <c r="M5030">
        <v>100</v>
      </c>
      <c r="N5030">
        <v>1</v>
      </c>
      <c r="O5030">
        <v>0</v>
      </c>
      <c r="P5030">
        <v>0</v>
      </c>
      <c r="Q5030">
        <v>0</v>
      </c>
      <c r="R5030">
        <v>0</v>
      </c>
      <c r="S5030">
        <v>0</v>
      </c>
      <c r="T5030">
        <v>0</v>
      </c>
      <c r="U5030">
        <v>0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0</v>
      </c>
      <c r="AE5030">
        <v>0</v>
      </c>
      <c r="AF5030">
        <v>0</v>
      </c>
      <c r="AG5030">
        <v>0</v>
      </c>
      <c r="AH5030">
        <v>0</v>
      </c>
      <c r="AI5030">
        <v>100</v>
      </c>
      <c r="AJ5030">
        <v>1</v>
      </c>
      <c r="AK5030">
        <v>0</v>
      </c>
      <c r="AL5030">
        <v>0</v>
      </c>
      <c r="AM5030">
        <v>100</v>
      </c>
      <c r="AN5030">
        <v>0</v>
      </c>
      <c r="AO5030">
        <v>0</v>
      </c>
      <c r="AP5030">
        <v>0</v>
      </c>
      <c r="AQ5030">
        <v>0</v>
      </c>
      <c r="AS5030">
        <v>0</v>
      </c>
      <c r="AT5030">
        <v>0</v>
      </c>
      <c r="AV5030">
        <v>0</v>
      </c>
      <c r="AW5030">
        <v>0</v>
      </c>
      <c r="AY5030">
        <v>0</v>
      </c>
      <c r="AZ5030">
        <v>0</v>
      </c>
      <c r="BA5030">
        <v>70</v>
      </c>
      <c r="BE5030" t="str">
        <f>T("9791137014381")</f>
        <v>9791137014381</v>
      </c>
      <c r="BF5030" t="str">
        <f>T("k212767")</f>
        <v>k212767</v>
      </c>
      <c r="BG5030" t="str">
        <f>T("판타지 웹소설 &gt; 퓨전 판타지")</f>
        <v>판타지 웹소설 &gt; 퓨전 판타지</v>
      </c>
    </row>
    <row r="5031" spans="1:59">
      <c r="A5031" t="s">
        <v>60</v>
      </c>
      <c r="B5031" s="1">
        <v>46129</v>
      </c>
      <c r="C5031">
        <v>2378044065</v>
      </c>
      <c r="D5031">
        <v>2378061453</v>
      </c>
      <c r="E5031" t="str">
        <f>T("저승의 왕위를 계승했다 335화")</f>
        <v>저승의 왕위를 계승했다 335화</v>
      </c>
      <c r="F5031">
        <v>336</v>
      </c>
      <c r="G5031" t="str">
        <f>T("신타비")</f>
        <v>신타비</v>
      </c>
      <c r="J5031" t="str">
        <f>T("매드햇")</f>
        <v>매드햇</v>
      </c>
      <c r="K5031" t="str">
        <f>T("저승의 왕위를 계승했다")</f>
        <v>저승의 왕위를 계승했다</v>
      </c>
      <c r="L5031">
        <v>100</v>
      </c>
      <c r="M5031">
        <v>100</v>
      </c>
      <c r="N5031">
        <v>1</v>
      </c>
      <c r="O5031">
        <v>0</v>
      </c>
      <c r="P5031">
        <v>0</v>
      </c>
      <c r="Q5031">
        <v>0</v>
      </c>
      <c r="R5031">
        <v>0</v>
      </c>
      <c r="S5031">
        <v>0</v>
      </c>
      <c r="T5031">
        <v>0</v>
      </c>
      <c r="U5031">
        <v>0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0</v>
      </c>
      <c r="AE5031">
        <v>0</v>
      </c>
      <c r="AF5031">
        <v>0</v>
      </c>
      <c r="AG5031">
        <v>0</v>
      </c>
      <c r="AH5031">
        <v>0</v>
      </c>
      <c r="AI5031">
        <v>100</v>
      </c>
      <c r="AJ5031">
        <v>1</v>
      </c>
      <c r="AK5031">
        <v>0</v>
      </c>
      <c r="AL5031">
        <v>0</v>
      </c>
      <c r="AM5031">
        <v>100</v>
      </c>
      <c r="AN5031">
        <v>0</v>
      </c>
      <c r="AO5031">
        <v>0</v>
      </c>
      <c r="AP5031">
        <v>0</v>
      </c>
      <c r="AQ5031">
        <v>0</v>
      </c>
      <c r="AS5031">
        <v>0</v>
      </c>
      <c r="AT5031">
        <v>0</v>
      </c>
      <c r="AV5031">
        <v>0</v>
      </c>
      <c r="AW5031">
        <v>0</v>
      </c>
      <c r="AY5031">
        <v>0</v>
      </c>
      <c r="AZ5031">
        <v>0</v>
      </c>
      <c r="BA5031">
        <v>70</v>
      </c>
      <c r="BE5031" t="str">
        <f>T("9791137014381")</f>
        <v>9791137014381</v>
      </c>
      <c r="BF5031" t="str">
        <f>T("k212768")</f>
        <v>k212768</v>
      </c>
      <c r="BG5031" t="str">
        <f>T("판타지 웹소설 &gt; 퓨전 판타지")</f>
        <v>판타지 웹소설 &gt; 퓨전 판타지</v>
      </c>
    </row>
    <row r="5032" spans="1:59">
      <c r="A5032" t="s">
        <v>60</v>
      </c>
      <c r="B5032" s="1">
        <v>46129</v>
      </c>
      <c r="C5032">
        <v>2378044065</v>
      </c>
      <c r="D5032">
        <v>2378061496</v>
      </c>
      <c r="E5032" t="str">
        <f>T("저승의 왕위를 계승했다 336화")</f>
        <v>저승의 왕위를 계승했다 336화</v>
      </c>
      <c r="F5032">
        <v>337</v>
      </c>
      <c r="G5032" t="str">
        <f>T("신타비")</f>
        <v>신타비</v>
      </c>
      <c r="J5032" t="str">
        <f>T("매드햇")</f>
        <v>매드햇</v>
      </c>
      <c r="K5032" t="str">
        <f>T("저승의 왕위를 계승했다")</f>
        <v>저승의 왕위를 계승했다</v>
      </c>
      <c r="L5032">
        <v>100</v>
      </c>
      <c r="M5032">
        <v>100</v>
      </c>
      <c r="N5032">
        <v>1</v>
      </c>
      <c r="O5032">
        <v>0</v>
      </c>
      <c r="P5032">
        <v>0</v>
      </c>
      <c r="Q5032">
        <v>0</v>
      </c>
      <c r="R5032">
        <v>0</v>
      </c>
      <c r="S5032">
        <v>0</v>
      </c>
      <c r="T5032">
        <v>0</v>
      </c>
      <c r="U5032">
        <v>0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0</v>
      </c>
      <c r="AE5032">
        <v>0</v>
      </c>
      <c r="AF5032">
        <v>0</v>
      </c>
      <c r="AG5032">
        <v>0</v>
      </c>
      <c r="AH5032">
        <v>0</v>
      </c>
      <c r="AI5032">
        <v>100</v>
      </c>
      <c r="AJ5032">
        <v>1</v>
      </c>
      <c r="AK5032">
        <v>0</v>
      </c>
      <c r="AL5032">
        <v>0</v>
      </c>
      <c r="AM5032">
        <v>100</v>
      </c>
      <c r="AN5032">
        <v>0</v>
      </c>
      <c r="AO5032">
        <v>0</v>
      </c>
      <c r="AP5032">
        <v>0</v>
      </c>
      <c r="AQ5032">
        <v>0</v>
      </c>
      <c r="AS5032">
        <v>0</v>
      </c>
      <c r="AT5032">
        <v>0</v>
      </c>
      <c r="AV5032">
        <v>0</v>
      </c>
      <c r="AW5032">
        <v>0</v>
      </c>
      <c r="AY5032">
        <v>0</v>
      </c>
      <c r="AZ5032">
        <v>0</v>
      </c>
      <c r="BA5032">
        <v>70</v>
      </c>
      <c r="BE5032" t="str">
        <f>T("9791137014381")</f>
        <v>9791137014381</v>
      </c>
      <c r="BF5032" t="str">
        <f>T("k212769")</f>
        <v>k212769</v>
      </c>
      <c r="BG5032" t="str">
        <f>T("판타지 웹소설 &gt; 퓨전 판타지")</f>
        <v>판타지 웹소설 &gt; 퓨전 판타지</v>
      </c>
    </row>
    <row r="5033" spans="1:59">
      <c r="A5033" t="s">
        <v>60</v>
      </c>
      <c r="B5033" s="1">
        <v>46129</v>
      </c>
      <c r="C5033">
        <v>2378044065</v>
      </c>
      <c r="D5033">
        <v>2378061689</v>
      </c>
      <c r="E5033" t="str">
        <f>T("저승의 왕위를 계승했다 337화")</f>
        <v>저승의 왕위를 계승했다 337화</v>
      </c>
      <c r="F5033">
        <v>338</v>
      </c>
      <c r="G5033" t="str">
        <f>T("신타비")</f>
        <v>신타비</v>
      </c>
      <c r="J5033" t="str">
        <f>T("매드햇")</f>
        <v>매드햇</v>
      </c>
      <c r="K5033" t="str">
        <f>T("저승의 왕위를 계승했다")</f>
        <v>저승의 왕위를 계승했다</v>
      </c>
      <c r="L5033">
        <v>100</v>
      </c>
      <c r="M5033">
        <v>100</v>
      </c>
      <c r="N5033">
        <v>1</v>
      </c>
      <c r="O5033">
        <v>0</v>
      </c>
      <c r="P5033">
        <v>0</v>
      </c>
      <c r="Q5033">
        <v>0</v>
      </c>
      <c r="R5033">
        <v>0</v>
      </c>
      <c r="S5033">
        <v>0</v>
      </c>
      <c r="T5033">
        <v>0</v>
      </c>
      <c r="U5033">
        <v>0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0</v>
      </c>
      <c r="AE5033">
        <v>0</v>
      </c>
      <c r="AF5033">
        <v>0</v>
      </c>
      <c r="AG5033">
        <v>0</v>
      </c>
      <c r="AH5033">
        <v>0</v>
      </c>
      <c r="AI5033">
        <v>100</v>
      </c>
      <c r="AJ5033">
        <v>1</v>
      </c>
      <c r="AK5033">
        <v>0</v>
      </c>
      <c r="AL5033">
        <v>0</v>
      </c>
      <c r="AM5033">
        <v>100</v>
      </c>
      <c r="AN5033">
        <v>0</v>
      </c>
      <c r="AO5033">
        <v>0</v>
      </c>
      <c r="AP5033">
        <v>0</v>
      </c>
      <c r="AQ5033">
        <v>0</v>
      </c>
      <c r="AS5033">
        <v>0</v>
      </c>
      <c r="AT5033">
        <v>0</v>
      </c>
      <c r="AV5033">
        <v>0</v>
      </c>
      <c r="AW5033">
        <v>0</v>
      </c>
      <c r="AY5033">
        <v>0</v>
      </c>
      <c r="AZ5033">
        <v>0</v>
      </c>
      <c r="BA5033">
        <v>70</v>
      </c>
      <c r="BE5033" t="str">
        <f>T("9791137014381")</f>
        <v>9791137014381</v>
      </c>
      <c r="BF5033" t="str">
        <f>T("k212770")</f>
        <v>k212770</v>
      </c>
      <c r="BG5033" t="str">
        <f>T("판타지 웹소설 &gt; 퓨전 판타지")</f>
        <v>판타지 웹소설 &gt; 퓨전 판타지</v>
      </c>
    </row>
    <row r="5034" spans="1:59">
      <c r="A5034" t="s">
        <v>60</v>
      </c>
      <c r="B5034" s="1">
        <v>46129</v>
      </c>
      <c r="C5034">
        <v>2378044065</v>
      </c>
      <c r="D5034">
        <v>2378061728</v>
      </c>
      <c r="E5034" t="str">
        <f>T("저승의 왕위를 계승했다 338화")</f>
        <v>저승의 왕위를 계승했다 338화</v>
      </c>
      <c r="F5034">
        <v>339</v>
      </c>
      <c r="G5034" t="str">
        <f>T("신타비")</f>
        <v>신타비</v>
      </c>
      <c r="J5034" t="str">
        <f>T("매드햇")</f>
        <v>매드햇</v>
      </c>
      <c r="K5034" t="str">
        <f>T("저승의 왕위를 계승했다")</f>
        <v>저승의 왕위를 계승했다</v>
      </c>
      <c r="L5034">
        <v>100</v>
      </c>
      <c r="M5034">
        <v>100</v>
      </c>
      <c r="N5034">
        <v>1</v>
      </c>
      <c r="O5034">
        <v>0</v>
      </c>
      <c r="P5034">
        <v>0</v>
      </c>
      <c r="Q5034">
        <v>0</v>
      </c>
      <c r="R5034">
        <v>0</v>
      </c>
      <c r="S5034">
        <v>0</v>
      </c>
      <c r="T5034">
        <v>0</v>
      </c>
      <c r="U5034">
        <v>0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0</v>
      </c>
      <c r="AE5034">
        <v>0</v>
      </c>
      <c r="AF5034">
        <v>0</v>
      </c>
      <c r="AG5034">
        <v>0</v>
      </c>
      <c r="AH5034">
        <v>0</v>
      </c>
      <c r="AI5034">
        <v>100</v>
      </c>
      <c r="AJ5034">
        <v>1</v>
      </c>
      <c r="AK5034">
        <v>0</v>
      </c>
      <c r="AL5034">
        <v>0</v>
      </c>
      <c r="AM5034">
        <v>100</v>
      </c>
      <c r="AN5034">
        <v>0</v>
      </c>
      <c r="AO5034">
        <v>0</v>
      </c>
      <c r="AP5034">
        <v>0</v>
      </c>
      <c r="AQ5034">
        <v>0</v>
      </c>
      <c r="AS5034">
        <v>0</v>
      </c>
      <c r="AT5034">
        <v>0</v>
      </c>
      <c r="AV5034">
        <v>0</v>
      </c>
      <c r="AW5034">
        <v>0</v>
      </c>
      <c r="AY5034">
        <v>0</v>
      </c>
      <c r="AZ5034">
        <v>0</v>
      </c>
      <c r="BA5034">
        <v>70</v>
      </c>
      <c r="BE5034" t="str">
        <f>T("9791137014381")</f>
        <v>9791137014381</v>
      </c>
      <c r="BF5034" t="str">
        <f>T("k212771")</f>
        <v>k212771</v>
      </c>
      <c r="BG5034" t="str">
        <f>T("판타지 웹소설 &gt; 퓨전 판타지")</f>
        <v>판타지 웹소설 &gt; 퓨전 판타지</v>
      </c>
    </row>
    <row r="5035" spans="1:59">
      <c r="A5035" t="s">
        <v>60</v>
      </c>
      <c r="B5035" s="1">
        <v>46129</v>
      </c>
      <c r="C5035">
        <v>2378044065</v>
      </c>
      <c r="D5035">
        <v>2378078603</v>
      </c>
      <c r="E5035" t="str">
        <f>T("저승의 왕위를 계승했다 713화")</f>
        <v>저승의 왕위를 계승했다 713화</v>
      </c>
      <c r="F5035">
        <v>715</v>
      </c>
      <c r="G5035" t="str">
        <f>T("신타비")</f>
        <v>신타비</v>
      </c>
      <c r="J5035" t="str">
        <f>T("매드햇")</f>
        <v>매드햇</v>
      </c>
      <c r="K5035" t="str">
        <f>T("저승의 왕위를 계승했다")</f>
        <v>저승의 왕위를 계승했다</v>
      </c>
      <c r="L5035">
        <v>100</v>
      </c>
      <c r="M5035">
        <v>70</v>
      </c>
      <c r="N5035">
        <v>1</v>
      </c>
      <c r="O5035">
        <v>0</v>
      </c>
      <c r="P5035">
        <v>0</v>
      </c>
      <c r="Q5035">
        <v>0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0</v>
      </c>
      <c r="AE5035">
        <v>0</v>
      </c>
      <c r="AF5035">
        <v>0</v>
      </c>
      <c r="AG5035">
        <v>0</v>
      </c>
      <c r="AH5035">
        <v>0</v>
      </c>
      <c r="AI5035">
        <v>70</v>
      </c>
      <c r="AJ5035">
        <v>1</v>
      </c>
      <c r="AK5035">
        <v>0</v>
      </c>
      <c r="AL5035">
        <v>0</v>
      </c>
      <c r="AM5035">
        <v>70</v>
      </c>
      <c r="AN5035">
        <v>0</v>
      </c>
      <c r="AO5035">
        <v>0</v>
      </c>
      <c r="AP5035">
        <v>0</v>
      </c>
      <c r="AQ5035">
        <v>0</v>
      </c>
      <c r="AS5035">
        <v>0</v>
      </c>
      <c r="AT5035">
        <v>0</v>
      </c>
      <c r="AV5035">
        <v>0</v>
      </c>
      <c r="AW5035">
        <v>0</v>
      </c>
      <c r="AY5035">
        <v>0</v>
      </c>
      <c r="AZ5035">
        <v>0</v>
      </c>
      <c r="BA5035">
        <v>49</v>
      </c>
      <c r="BE5035" t="str">
        <f>T("9791137014381")</f>
        <v>9791137014381</v>
      </c>
      <c r="BF5035" t="str">
        <f>T("D147793")</f>
        <v>D147793</v>
      </c>
      <c r="BG5035" t="str">
        <f>T("판타지 웹소설 &gt; 퓨전 판타지")</f>
        <v>판타지 웹소설 &gt; 퓨전 판타지</v>
      </c>
    </row>
    <row r="5036" spans="1:59">
      <c r="A5036" t="s">
        <v>60</v>
      </c>
      <c r="B5036" s="1">
        <v>46129</v>
      </c>
      <c r="C5036">
        <v>2378044065</v>
      </c>
      <c r="D5036">
        <v>2378078604</v>
      </c>
      <c r="E5036" t="str">
        <f>T("저승의 왕위를 계승했다 714화")</f>
        <v>저승의 왕위를 계승했다 714화</v>
      </c>
      <c r="F5036">
        <v>716</v>
      </c>
      <c r="G5036" t="str">
        <f>T("신타비")</f>
        <v>신타비</v>
      </c>
      <c r="J5036" t="str">
        <f>T("매드햇")</f>
        <v>매드햇</v>
      </c>
      <c r="K5036" t="str">
        <f>T("저승의 왕위를 계승했다")</f>
        <v>저승의 왕위를 계승했다</v>
      </c>
      <c r="L5036">
        <v>100</v>
      </c>
      <c r="M5036">
        <v>70</v>
      </c>
      <c r="N5036">
        <v>1</v>
      </c>
      <c r="O5036">
        <v>0</v>
      </c>
      <c r="P5036">
        <v>0</v>
      </c>
      <c r="Q5036">
        <v>0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0</v>
      </c>
      <c r="AE5036">
        <v>0</v>
      </c>
      <c r="AF5036">
        <v>0</v>
      </c>
      <c r="AG5036">
        <v>0</v>
      </c>
      <c r="AH5036">
        <v>0</v>
      </c>
      <c r="AI5036">
        <v>70</v>
      </c>
      <c r="AJ5036">
        <v>1</v>
      </c>
      <c r="AK5036">
        <v>0</v>
      </c>
      <c r="AL5036">
        <v>0</v>
      </c>
      <c r="AM5036">
        <v>70</v>
      </c>
      <c r="AN5036">
        <v>0</v>
      </c>
      <c r="AO5036">
        <v>0</v>
      </c>
      <c r="AP5036">
        <v>0</v>
      </c>
      <c r="AQ5036">
        <v>0</v>
      </c>
      <c r="AS5036">
        <v>0</v>
      </c>
      <c r="AT5036">
        <v>0</v>
      </c>
      <c r="AV5036">
        <v>0</v>
      </c>
      <c r="AW5036">
        <v>0</v>
      </c>
      <c r="AY5036">
        <v>0</v>
      </c>
      <c r="AZ5036">
        <v>0</v>
      </c>
      <c r="BA5036">
        <v>49</v>
      </c>
      <c r="BE5036" t="str">
        <f>T("9791137014381")</f>
        <v>9791137014381</v>
      </c>
      <c r="BF5036" t="str">
        <f>T("D147794")</f>
        <v>D147794</v>
      </c>
      <c r="BG5036" t="str">
        <f>T("판타지 웹소설 &gt; 퓨전 판타지")</f>
        <v>판타지 웹소설 &gt; 퓨전 판타지</v>
      </c>
    </row>
    <row r="5037" spans="1:59">
      <c r="A5037" t="s">
        <v>60</v>
      </c>
      <c r="B5037" s="1">
        <v>46129</v>
      </c>
      <c r="C5037">
        <v>2378044065</v>
      </c>
      <c r="D5037">
        <v>2378078630</v>
      </c>
      <c r="E5037" t="str">
        <f>T("저승의 왕위를 계승했다 715화")</f>
        <v>저승의 왕위를 계승했다 715화</v>
      </c>
      <c r="F5037">
        <v>717</v>
      </c>
      <c r="G5037" t="str">
        <f>T("신타비")</f>
        <v>신타비</v>
      </c>
      <c r="J5037" t="str">
        <f>T("매드햇")</f>
        <v>매드햇</v>
      </c>
      <c r="K5037" t="str">
        <f>T("저승의 왕위를 계승했다")</f>
        <v>저승의 왕위를 계승했다</v>
      </c>
      <c r="L5037">
        <v>100</v>
      </c>
      <c r="M5037">
        <v>70</v>
      </c>
      <c r="N5037">
        <v>1</v>
      </c>
      <c r="O5037">
        <v>0</v>
      </c>
      <c r="P5037">
        <v>0</v>
      </c>
      <c r="Q5037">
        <v>0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0</v>
      </c>
      <c r="AE5037">
        <v>0</v>
      </c>
      <c r="AF5037">
        <v>0</v>
      </c>
      <c r="AG5037">
        <v>0</v>
      </c>
      <c r="AH5037">
        <v>0</v>
      </c>
      <c r="AI5037">
        <v>70</v>
      </c>
      <c r="AJ5037">
        <v>1</v>
      </c>
      <c r="AK5037">
        <v>0</v>
      </c>
      <c r="AL5037">
        <v>0</v>
      </c>
      <c r="AM5037">
        <v>70</v>
      </c>
      <c r="AN5037">
        <v>0</v>
      </c>
      <c r="AO5037">
        <v>0</v>
      </c>
      <c r="AP5037">
        <v>0</v>
      </c>
      <c r="AQ5037">
        <v>0</v>
      </c>
      <c r="AS5037">
        <v>0</v>
      </c>
      <c r="AT5037">
        <v>0</v>
      </c>
      <c r="AV5037">
        <v>0</v>
      </c>
      <c r="AW5037">
        <v>0</v>
      </c>
      <c r="AY5037">
        <v>0</v>
      </c>
      <c r="AZ5037">
        <v>0</v>
      </c>
      <c r="BA5037">
        <v>49</v>
      </c>
      <c r="BE5037" t="str">
        <f>T("9791137014381")</f>
        <v>9791137014381</v>
      </c>
      <c r="BF5037" t="str">
        <f>T("D147795")</f>
        <v>D147795</v>
      </c>
      <c r="BG5037" t="str">
        <f>T("판타지 웹소설 &gt; 퓨전 판타지")</f>
        <v>판타지 웹소설 &gt; 퓨전 판타지</v>
      </c>
    </row>
    <row r="5038" spans="1:59">
      <c r="A5038" t="s">
        <v>60</v>
      </c>
      <c r="B5038" s="1">
        <v>46129</v>
      </c>
      <c r="C5038">
        <v>2378044065</v>
      </c>
      <c r="D5038">
        <v>2378078631</v>
      </c>
      <c r="E5038" t="str">
        <f>T("저승의 왕위를 계승했다 716화")</f>
        <v>저승의 왕위를 계승했다 716화</v>
      </c>
      <c r="F5038">
        <v>718</v>
      </c>
      <c r="G5038" t="str">
        <f>T("신타비")</f>
        <v>신타비</v>
      </c>
      <c r="J5038" t="str">
        <f>T("매드햇")</f>
        <v>매드햇</v>
      </c>
      <c r="K5038" t="str">
        <f>T("저승의 왕위를 계승했다")</f>
        <v>저승의 왕위를 계승했다</v>
      </c>
      <c r="L5038">
        <v>100</v>
      </c>
      <c r="M5038">
        <v>70</v>
      </c>
      <c r="N5038">
        <v>1</v>
      </c>
      <c r="O5038">
        <v>0</v>
      </c>
      <c r="P5038">
        <v>0</v>
      </c>
      <c r="Q5038">
        <v>0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0</v>
      </c>
      <c r="AE5038">
        <v>0</v>
      </c>
      <c r="AF5038">
        <v>0</v>
      </c>
      <c r="AG5038">
        <v>0</v>
      </c>
      <c r="AH5038">
        <v>0</v>
      </c>
      <c r="AI5038">
        <v>70</v>
      </c>
      <c r="AJ5038">
        <v>1</v>
      </c>
      <c r="AK5038">
        <v>0</v>
      </c>
      <c r="AL5038">
        <v>0</v>
      </c>
      <c r="AM5038">
        <v>70</v>
      </c>
      <c r="AN5038">
        <v>0</v>
      </c>
      <c r="AO5038">
        <v>0</v>
      </c>
      <c r="AP5038">
        <v>0</v>
      </c>
      <c r="AQ5038">
        <v>0</v>
      </c>
      <c r="AS5038">
        <v>0</v>
      </c>
      <c r="AT5038">
        <v>0</v>
      </c>
      <c r="AV5038">
        <v>0</v>
      </c>
      <c r="AW5038">
        <v>0</v>
      </c>
      <c r="AY5038">
        <v>0</v>
      </c>
      <c r="AZ5038">
        <v>0</v>
      </c>
      <c r="BA5038">
        <v>49</v>
      </c>
      <c r="BE5038" t="str">
        <f>T("9791137014381")</f>
        <v>9791137014381</v>
      </c>
      <c r="BF5038" t="str">
        <f>T("D147796")</f>
        <v>D147796</v>
      </c>
      <c r="BG5038" t="str">
        <f>T("판타지 웹소설 &gt; 퓨전 판타지")</f>
        <v>판타지 웹소설 &gt; 퓨전 판타지</v>
      </c>
    </row>
    <row r="5039" spans="1:59">
      <c r="A5039" t="s">
        <v>60</v>
      </c>
      <c r="B5039" s="1">
        <v>46129</v>
      </c>
      <c r="C5039">
        <v>2378044065</v>
      </c>
      <c r="D5039">
        <v>2378078644</v>
      </c>
      <c r="E5039" t="str">
        <f>T("저승의 왕위를 계승했다 717화")</f>
        <v>저승의 왕위를 계승했다 717화</v>
      </c>
      <c r="F5039">
        <v>719</v>
      </c>
      <c r="G5039" t="str">
        <f>T("신타비")</f>
        <v>신타비</v>
      </c>
      <c r="J5039" t="str">
        <f>T("매드햇")</f>
        <v>매드햇</v>
      </c>
      <c r="K5039" t="str">
        <f>T("저승의 왕위를 계승했다")</f>
        <v>저승의 왕위를 계승했다</v>
      </c>
      <c r="L5039">
        <v>100</v>
      </c>
      <c r="M5039">
        <v>70</v>
      </c>
      <c r="N5039">
        <v>1</v>
      </c>
      <c r="O5039">
        <v>0</v>
      </c>
      <c r="P5039">
        <v>0</v>
      </c>
      <c r="Q5039">
        <v>0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0</v>
      </c>
      <c r="AE5039">
        <v>0</v>
      </c>
      <c r="AF5039">
        <v>0</v>
      </c>
      <c r="AG5039">
        <v>0</v>
      </c>
      <c r="AH5039">
        <v>0</v>
      </c>
      <c r="AI5039">
        <v>70</v>
      </c>
      <c r="AJ5039">
        <v>1</v>
      </c>
      <c r="AK5039">
        <v>0</v>
      </c>
      <c r="AL5039">
        <v>0</v>
      </c>
      <c r="AM5039">
        <v>70</v>
      </c>
      <c r="AN5039">
        <v>0</v>
      </c>
      <c r="AO5039">
        <v>0</v>
      </c>
      <c r="AP5039">
        <v>0</v>
      </c>
      <c r="AQ5039">
        <v>0</v>
      </c>
      <c r="AS5039">
        <v>0</v>
      </c>
      <c r="AT5039">
        <v>0</v>
      </c>
      <c r="AV5039">
        <v>0</v>
      </c>
      <c r="AW5039">
        <v>0</v>
      </c>
      <c r="AY5039">
        <v>0</v>
      </c>
      <c r="AZ5039">
        <v>0</v>
      </c>
      <c r="BA5039">
        <v>49</v>
      </c>
      <c r="BE5039" t="str">
        <f>T("9791137014381")</f>
        <v>9791137014381</v>
      </c>
      <c r="BF5039" t="str">
        <f>T("D147797")</f>
        <v>D147797</v>
      </c>
      <c r="BG5039" t="str">
        <f>T("판타지 웹소설 &gt; 퓨전 판타지")</f>
        <v>판타지 웹소설 &gt; 퓨전 판타지</v>
      </c>
    </row>
    <row r="5040" spans="1:59">
      <c r="A5040" t="s">
        <v>60</v>
      </c>
      <c r="B5040" s="1">
        <v>46129</v>
      </c>
      <c r="C5040">
        <v>2378044065</v>
      </c>
      <c r="D5040">
        <v>2378078645</v>
      </c>
      <c r="E5040" t="str">
        <f>T("저승의 왕위를 계승했다 718화")</f>
        <v>저승의 왕위를 계승했다 718화</v>
      </c>
      <c r="F5040">
        <v>720</v>
      </c>
      <c r="G5040" t="str">
        <f>T("신타비")</f>
        <v>신타비</v>
      </c>
      <c r="J5040" t="str">
        <f>T("매드햇")</f>
        <v>매드햇</v>
      </c>
      <c r="K5040" t="str">
        <f>T("저승의 왕위를 계승했다")</f>
        <v>저승의 왕위를 계승했다</v>
      </c>
      <c r="L5040">
        <v>100</v>
      </c>
      <c r="M5040">
        <v>70</v>
      </c>
      <c r="N5040">
        <v>1</v>
      </c>
      <c r="O5040">
        <v>0</v>
      </c>
      <c r="P5040">
        <v>0</v>
      </c>
      <c r="Q5040">
        <v>0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0</v>
      </c>
      <c r="AE5040">
        <v>0</v>
      </c>
      <c r="AF5040">
        <v>0</v>
      </c>
      <c r="AG5040">
        <v>0</v>
      </c>
      <c r="AH5040">
        <v>0</v>
      </c>
      <c r="AI5040">
        <v>70</v>
      </c>
      <c r="AJ5040">
        <v>1</v>
      </c>
      <c r="AK5040">
        <v>0</v>
      </c>
      <c r="AL5040">
        <v>0</v>
      </c>
      <c r="AM5040">
        <v>70</v>
      </c>
      <c r="AN5040">
        <v>0</v>
      </c>
      <c r="AO5040">
        <v>0</v>
      </c>
      <c r="AP5040">
        <v>0</v>
      </c>
      <c r="AQ5040">
        <v>0</v>
      </c>
      <c r="AS5040">
        <v>0</v>
      </c>
      <c r="AT5040">
        <v>0</v>
      </c>
      <c r="AV5040">
        <v>0</v>
      </c>
      <c r="AW5040">
        <v>0</v>
      </c>
      <c r="AY5040">
        <v>0</v>
      </c>
      <c r="AZ5040">
        <v>0</v>
      </c>
      <c r="BA5040">
        <v>49</v>
      </c>
      <c r="BE5040" t="str">
        <f>T("9791137014381")</f>
        <v>9791137014381</v>
      </c>
      <c r="BF5040" t="str">
        <f>T("D147798")</f>
        <v>D147798</v>
      </c>
      <c r="BG5040" t="str">
        <f>T("판타지 웹소설 &gt; 퓨전 판타지")</f>
        <v>판타지 웹소설 &gt; 퓨전 판타지</v>
      </c>
    </row>
    <row r="5041" spans="1:59">
      <c r="A5041" t="s">
        <v>60</v>
      </c>
      <c r="B5041" s="1">
        <v>46129</v>
      </c>
      <c r="C5041">
        <v>2378044065</v>
      </c>
      <c r="D5041">
        <v>2378078667</v>
      </c>
      <c r="E5041" t="str">
        <f>T("저승의 왕위를 계승했다 719화")</f>
        <v>저승의 왕위를 계승했다 719화</v>
      </c>
      <c r="F5041">
        <v>721</v>
      </c>
      <c r="G5041" t="str">
        <f>T("신타비")</f>
        <v>신타비</v>
      </c>
      <c r="J5041" t="str">
        <f>T("매드햇")</f>
        <v>매드햇</v>
      </c>
      <c r="K5041" t="str">
        <f>T("저승의 왕위를 계승했다")</f>
        <v>저승의 왕위를 계승했다</v>
      </c>
      <c r="L5041">
        <v>100</v>
      </c>
      <c r="M5041">
        <v>70</v>
      </c>
      <c r="N5041">
        <v>1</v>
      </c>
      <c r="O5041">
        <v>0</v>
      </c>
      <c r="P5041">
        <v>0</v>
      </c>
      <c r="Q5041">
        <v>0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0</v>
      </c>
      <c r="AE5041">
        <v>0</v>
      </c>
      <c r="AF5041">
        <v>0</v>
      </c>
      <c r="AG5041">
        <v>0</v>
      </c>
      <c r="AH5041">
        <v>0</v>
      </c>
      <c r="AI5041">
        <v>70</v>
      </c>
      <c r="AJ5041">
        <v>1</v>
      </c>
      <c r="AK5041">
        <v>0</v>
      </c>
      <c r="AL5041">
        <v>0</v>
      </c>
      <c r="AM5041">
        <v>70</v>
      </c>
      <c r="AN5041">
        <v>0</v>
      </c>
      <c r="AO5041">
        <v>0</v>
      </c>
      <c r="AP5041">
        <v>0</v>
      </c>
      <c r="AQ5041">
        <v>0</v>
      </c>
      <c r="AS5041">
        <v>0</v>
      </c>
      <c r="AT5041">
        <v>0</v>
      </c>
      <c r="AV5041">
        <v>0</v>
      </c>
      <c r="AW5041">
        <v>0</v>
      </c>
      <c r="AY5041">
        <v>0</v>
      </c>
      <c r="AZ5041">
        <v>0</v>
      </c>
      <c r="BA5041">
        <v>49</v>
      </c>
      <c r="BE5041" t="str">
        <f>T("9791137014381")</f>
        <v>9791137014381</v>
      </c>
      <c r="BF5041" t="str">
        <f>T("D147799")</f>
        <v>D147799</v>
      </c>
      <c r="BG5041" t="str">
        <f>T("판타지 웹소설 &gt; 퓨전 판타지")</f>
        <v>판타지 웹소설 &gt; 퓨전 판타지</v>
      </c>
    </row>
    <row r="5042" spans="1:59">
      <c r="A5042" t="s">
        <v>60</v>
      </c>
      <c r="B5042" s="1">
        <v>46129</v>
      </c>
      <c r="C5042">
        <v>2378044065</v>
      </c>
      <c r="D5042">
        <v>2378078668</v>
      </c>
      <c r="E5042" t="str">
        <f>T("저승의 왕위를 계승했다 720화")</f>
        <v>저승의 왕위를 계승했다 720화</v>
      </c>
      <c r="F5042">
        <v>722</v>
      </c>
      <c r="G5042" t="str">
        <f>T("신타비")</f>
        <v>신타비</v>
      </c>
      <c r="J5042" t="str">
        <f>T("매드햇")</f>
        <v>매드햇</v>
      </c>
      <c r="K5042" t="str">
        <f>T("저승의 왕위를 계승했다")</f>
        <v>저승의 왕위를 계승했다</v>
      </c>
      <c r="L5042">
        <v>100</v>
      </c>
      <c r="M5042">
        <v>70</v>
      </c>
      <c r="N5042">
        <v>1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0</v>
      </c>
      <c r="AE5042">
        <v>0</v>
      </c>
      <c r="AF5042">
        <v>0</v>
      </c>
      <c r="AG5042">
        <v>0</v>
      </c>
      <c r="AH5042">
        <v>0</v>
      </c>
      <c r="AI5042">
        <v>70</v>
      </c>
      <c r="AJ5042">
        <v>1</v>
      </c>
      <c r="AK5042">
        <v>0</v>
      </c>
      <c r="AL5042">
        <v>0</v>
      </c>
      <c r="AM5042">
        <v>70</v>
      </c>
      <c r="AN5042">
        <v>0</v>
      </c>
      <c r="AO5042">
        <v>0</v>
      </c>
      <c r="AP5042">
        <v>0</v>
      </c>
      <c r="AQ5042">
        <v>0</v>
      </c>
      <c r="AS5042">
        <v>0</v>
      </c>
      <c r="AT5042">
        <v>0</v>
      </c>
      <c r="AV5042">
        <v>0</v>
      </c>
      <c r="AW5042">
        <v>0</v>
      </c>
      <c r="AY5042">
        <v>0</v>
      </c>
      <c r="AZ5042">
        <v>0</v>
      </c>
      <c r="BA5042">
        <v>49</v>
      </c>
      <c r="BE5042" t="str">
        <f>T("9791137014381")</f>
        <v>9791137014381</v>
      </c>
      <c r="BF5042" t="str">
        <f>T("D147800")</f>
        <v>D147800</v>
      </c>
      <c r="BG5042" t="str">
        <f>T("판타지 웹소설 &gt; 퓨전 판타지")</f>
        <v>판타지 웹소설 &gt; 퓨전 판타지</v>
      </c>
    </row>
    <row r="5043" spans="1:59">
      <c r="A5043" t="s">
        <v>60</v>
      </c>
      <c r="B5043" s="1">
        <v>46129</v>
      </c>
      <c r="C5043">
        <v>2378044065</v>
      </c>
      <c r="D5043">
        <v>2378078687</v>
      </c>
      <c r="E5043" t="str">
        <f>T("저승의 왕위를 계승했다 721화")</f>
        <v>저승의 왕위를 계승했다 721화</v>
      </c>
      <c r="F5043">
        <v>723</v>
      </c>
      <c r="G5043" t="str">
        <f>T("신타비")</f>
        <v>신타비</v>
      </c>
      <c r="J5043" t="str">
        <f>T("매드햇")</f>
        <v>매드햇</v>
      </c>
      <c r="K5043" t="str">
        <f>T("저승의 왕위를 계승했다")</f>
        <v>저승의 왕위를 계승했다</v>
      </c>
      <c r="L5043">
        <v>100</v>
      </c>
      <c r="M5043">
        <v>70</v>
      </c>
      <c r="N5043">
        <v>1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0</v>
      </c>
      <c r="AE5043">
        <v>0</v>
      </c>
      <c r="AF5043">
        <v>0</v>
      </c>
      <c r="AG5043">
        <v>0</v>
      </c>
      <c r="AH5043">
        <v>0</v>
      </c>
      <c r="AI5043">
        <v>70</v>
      </c>
      <c r="AJ5043">
        <v>1</v>
      </c>
      <c r="AK5043">
        <v>0</v>
      </c>
      <c r="AL5043">
        <v>0</v>
      </c>
      <c r="AM5043">
        <v>70</v>
      </c>
      <c r="AN5043">
        <v>0</v>
      </c>
      <c r="AO5043">
        <v>0</v>
      </c>
      <c r="AP5043">
        <v>0</v>
      </c>
      <c r="AQ5043">
        <v>0</v>
      </c>
      <c r="AS5043">
        <v>0</v>
      </c>
      <c r="AT5043">
        <v>0</v>
      </c>
      <c r="AV5043">
        <v>0</v>
      </c>
      <c r="AW5043">
        <v>0</v>
      </c>
      <c r="AY5043">
        <v>0</v>
      </c>
      <c r="AZ5043">
        <v>0</v>
      </c>
      <c r="BA5043">
        <v>49</v>
      </c>
      <c r="BE5043" t="str">
        <f>T("9791137014381")</f>
        <v>9791137014381</v>
      </c>
      <c r="BF5043" t="str">
        <f>T("D147801")</f>
        <v>D147801</v>
      </c>
      <c r="BG5043" t="str">
        <f>T("판타지 웹소설 &gt; 퓨전 판타지")</f>
        <v>판타지 웹소설 &gt; 퓨전 판타지</v>
      </c>
    </row>
    <row r="5044" spans="1:59">
      <c r="A5044" t="s">
        <v>60</v>
      </c>
      <c r="B5044" s="1">
        <v>46129</v>
      </c>
      <c r="C5044">
        <v>2378044065</v>
      </c>
      <c r="D5044">
        <v>2378078688</v>
      </c>
      <c r="E5044" t="str">
        <f>T("저승의 왕위를 계승했다 722화")</f>
        <v>저승의 왕위를 계승했다 722화</v>
      </c>
      <c r="F5044">
        <v>724</v>
      </c>
      <c r="G5044" t="str">
        <f>T("신타비")</f>
        <v>신타비</v>
      </c>
      <c r="J5044" t="str">
        <f>T("매드햇")</f>
        <v>매드햇</v>
      </c>
      <c r="K5044" t="str">
        <f>T("저승의 왕위를 계승했다")</f>
        <v>저승의 왕위를 계승했다</v>
      </c>
      <c r="L5044">
        <v>100</v>
      </c>
      <c r="M5044">
        <v>70</v>
      </c>
      <c r="N5044">
        <v>1</v>
      </c>
      <c r="O5044">
        <v>0</v>
      </c>
      <c r="P5044">
        <v>0</v>
      </c>
      <c r="Q5044">
        <v>0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0</v>
      </c>
      <c r="AE5044">
        <v>0</v>
      </c>
      <c r="AF5044">
        <v>0</v>
      </c>
      <c r="AG5044">
        <v>0</v>
      </c>
      <c r="AH5044">
        <v>0</v>
      </c>
      <c r="AI5044">
        <v>70</v>
      </c>
      <c r="AJ5044">
        <v>1</v>
      </c>
      <c r="AK5044">
        <v>0</v>
      </c>
      <c r="AL5044">
        <v>0</v>
      </c>
      <c r="AM5044">
        <v>70</v>
      </c>
      <c r="AN5044">
        <v>0</v>
      </c>
      <c r="AO5044">
        <v>0</v>
      </c>
      <c r="AP5044">
        <v>0</v>
      </c>
      <c r="AQ5044">
        <v>0</v>
      </c>
      <c r="AS5044">
        <v>0</v>
      </c>
      <c r="AT5044">
        <v>0</v>
      </c>
      <c r="AV5044">
        <v>0</v>
      </c>
      <c r="AW5044">
        <v>0</v>
      </c>
      <c r="AY5044">
        <v>0</v>
      </c>
      <c r="AZ5044">
        <v>0</v>
      </c>
      <c r="BA5044">
        <v>49</v>
      </c>
      <c r="BE5044" t="str">
        <f>T("9791137014381")</f>
        <v>9791137014381</v>
      </c>
      <c r="BF5044" t="str">
        <f>T("D147802")</f>
        <v>D147802</v>
      </c>
      <c r="BG5044" t="str">
        <f>T("판타지 웹소설 &gt; 퓨전 판타지")</f>
        <v>판타지 웹소설 &gt; 퓨전 판타지</v>
      </c>
    </row>
    <row r="5045" spans="1:59">
      <c r="A5045" t="s">
        <v>60</v>
      </c>
      <c r="B5045" s="1">
        <v>46129</v>
      </c>
      <c r="C5045">
        <v>2378044065</v>
      </c>
      <c r="D5045">
        <v>2378078689</v>
      </c>
      <c r="E5045" t="str">
        <f>T("저승의 왕위를 계승했다 723화")</f>
        <v>저승의 왕위를 계승했다 723화</v>
      </c>
      <c r="F5045">
        <v>725</v>
      </c>
      <c r="G5045" t="str">
        <f>T("신타비")</f>
        <v>신타비</v>
      </c>
      <c r="J5045" t="str">
        <f>T("매드햇")</f>
        <v>매드햇</v>
      </c>
      <c r="K5045" t="str">
        <f>T("저승의 왕위를 계승했다")</f>
        <v>저승의 왕위를 계승했다</v>
      </c>
      <c r="L5045">
        <v>100</v>
      </c>
      <c r="M5045">
        <v>70</v>
      </c>
      <c r="N5045">
        <v>1</v>
      </c>
      <c r="O5045">
        <v>0</v>
      </c>
      <c r="P5045">
        <v>0</v>
      </c>
      <c r="Q5045">
        <v>0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0</v>
      </c>
      <c r="AE5045">
        <v>0</v>
      </c>
      <c r="AF5045">
        <v>0</v>
      </c>
      <c r="AG5045">
        <v>0</v>
      </c>
      <c r="AH5045">
        <v>0</v>
      </c>
      <c r="AI5045">
        <v>70</v>
      </c>
      <c r="AJ5045">
        <v>1</v>
      </c>
      <c r="AK5045">
        <v>0</v>
      </c>
      <c r="AL5045">
        <v>0</v>
      </c>
      <c r="AM5045">
        <v>70</v>
      </c>
      <c r="AN5045">
        <v>0</v>
      </c>
      <c r="AO5045">
        <v>0</v>
      </c>
      <c r="AP5045">
        <v>0</v>
      </c>
      <c r="AQ5045">
        <v>0</v>
      </c>
      <c r="AS5045">
        <v>0</v>
      </c>
      <c r="AT5045">
        <v>0</v>
      </c>
      <c r="AV5045">
        <v>0</v>
      </c>
      <c r="AW5045">
        <v>0</v>
      </c>
      <c r="AY5045">
        <v>0</v>
      </c>
      <c r="AZ5045">
        <v>0</v>
      </c>
      <c r="BA5045">
        <v>49</v>
      </c>
      <c r="BE5045" t="str">
        <f>T("9791137014381")</f>
        <v>9791137014381</v>
      </c>
      <c r="BF5045" t="str">
        <f>T("D147803")</f>
        <v>D147803</v>
      </c>
      <c r="BG5045" t="str">
        <f>T("판타지 웹소설 &gt; 퓨전 판타지")</f>
        <v>판타지 웹소설 &gt; 퓨전 판타지</v>
      </c>
    </row>
    <row r="5046" spans="1:59">
      <c r="A5046" t="s">
        <v>60</v>
      </c>
      <c r="B5046" s="1">
        <v>46129</v>
      </c>
      <c r="C5046">
        <v>2378044065</v>
      </c>
      <c r="D5046">
        <v>2378078785</v>
      </c>
      <c r="E5046" t="str">
        <f>T("저승의 왕위를 계승했다 724화")</f>
        <v>저승의 왕위를 계승했다 724화</v>
      </c>
      <c r="F5046">
        <v>726</v>
      </c>
      <c r="G5046" t="str">
        <f>T("신타비")</f>
        <v>신타비</v>
      </c>
      <c r="J5046" t="str">
        <f>T("매드햇")</f>
        <v>매드햇</v>
      </c>
      <c r="K5046" t="str">
        <f>T("저승의 왕위를 계승했다")</f>
        <v>저승의 왕위를 계승했다</v>
      </c>
      <c r="L5046">
        <v>100</v>
      </c>
      <c r="M5046">
        <v>70</v>
      </c>
      <c r="N5046">
        <v>1</v>
      </c>
      <c r="O5046">
        <v>0</v>
      </c>
      <c r="P5046">
        <v>0</v>
      </c>
      <c r="Q5046">
        <v>0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0</v>
      </c>
      <c r="AE5046">
        <v>0</v>
      </c>
      <c r="AF5046">
        <v>0</v>
      </c>
      <c r="AG5046">
        <v>0</v>
      </c>
      <c r="AH5046">
        <v>0</v>
      </c>
      <c r="AI5046">
        <v>70</v>
      </c>
      <c r="AJ5046">
        <v>1</v>
      </c>
      <c r="AK5046">
        <v>0</v>
      </c>
      <c r="AL5046">
        <v>0</v>
      </c>
      <c r="AM5046">
        <v>70</v>
      </c>
      <c r="AN5046">
        <v>0</v>
      </c>
      <c r="AO5046">
        <v>0</v>
      </c>
      <c r="AP5046">
        <v>0</v>
      </c>
      <c r="AQ5046">
        <v>0</v>
      </c>
      <c r="AS5046">
        <v>0</v>
      </c>
      <c r="AT5046">
        <v>0</v>
      </c>
      <c r="AV5046">
        <v>0</v>
      </c>
      <c r="AW5046">
        <v>0</v>
      </c>
      <c r="AY5046">
        <v>0</v>
      </c>
      <c r="AZ5046">
        <v>0</v>
      </c>
      <c r="BA5046">
        <v>49</v>
      </c>
      <c r="BE5046" t="str">
        <f>T("9791137014381")</f>
        <v>9791137014381</v>
      </c>
      <c r="BF5046" t="str">
        <f>T("D147804")</f>
        <v>D147804</v>
      </c>
      <c r="BG5046" t="str">
        <f>T("판타지 웹소설 &gt; 퓨전 판타지")</f>
        <v>판타지 웹소설 &gt; 퓨전 판타지</v>
      </c>
    </row>
    <row r="5047" spans="1:59">
      <c r="A5047" t="s">
        <v>60</v>
      </c>
      <c r="B5047" s="1">
        <v>46129</v>
      </c>
      <c r="C5047">
        <v>2378044065</v>
      </c>
      <c r="D5047">
        <v>2378078797</v>
      </c>
      <c r="E5047" t="str">
        <f>T("저승의 왕위를 계승했다 725화")</f>
        <v>저승의 왕위를 계승했다 725화</v>
      </c>
      <c r="F5047">
        <v>727</v>
      </c>
      <c r="G5047" t="str">
        <f>T("신타비")</f>
        <v>신타비</v>
      </c>
      <c r="J5047" t="str">
        <f>T("매드햇")</f>
        <v>매드햇</v>
      </c>
      <c r="K5047" t="str">
        <f>T("저승의 왕위를 계승했다")</f>
        <v>저승의 왕위를 계승했다</v>
      </c>
      <c r="L5047">
        <v>100</v>
      </c>
      <c r="M5047">
        <v>70</v>
      </c>
      <c r="N5047">
        <v>1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0</v>
      </c>
      <c r="AE5047">
        <v>0</v>
      </c>
      <c r="AF5047">
        <v>0</v>
      </c>
      <c r="AG5047">
        <v>0</v>
      </c>
      <c r="AH5047">
        <v>0</v>
      </c>
      <c r="AI5047">
        <v>70</v>
      </c>
      <c r="AJ5047">
        <v>1</v>
      </c>
      <c r="AK5047">
        <v>0</v>
      </c>
      <c r="AL5047">
        <v>0</v>
      </c>
      <c r="AM5047">
        <v>70</v>
      </c>
      <c r="AN5047">
        <v>0</v>
      </c>
      <c r="AO5047">
        <v>0</v>
      </c>
      <c r="AP5047">
        <v>0</v>
      </c>
      <c r="AQ5047">
        <v>0</v>
      </c>
      <c r="AS5047">
        <v>0</v>
      </c>
      <c r="AT5047">
        <v>0</v>
      </c>
      <c r="AV5047">
        <v>0</v>
      </c>
      <c r="AW5047">
        <v>0</v>
      </c>
      <c r="AY5047">
        <v>0</v>
      </c>
      <c r="AZ5047">
        <v>0</v>
      </c>
      <c r="BA5047">
        <v>49</v>
      </c>
      <c r="BE5047" t="str">
        <f>T("9791137014381")</f>
        <v>9791137014381</v>
      </c>
      <c r="BF5047" t="str">
        <f>T("D147805")</f>
        <v>D147805</v>
      </c>
      <c r="BG5047" t="str">
        <f>T("판타지 웹소설 &gt; 퓨전 판타지")</f>
        <v>판타지 웹소설 &gt; 퓨전 판타지</v>
      </c>
    </row>
    <row r="5048" spans="1:59">
      <c r="A5048" t="s">
        <v>60</v>
      </c>
      <c r="B5048" s="1">
        <v>46129</v>
      </c>
      <c r="C5048">
        <v>2378044065</v>
      </c>
      <c r="D5048">
        <v>2378078798</v>
      </c>
      <c r="E5048" t="str">
        <f>T("저승의 왕위를 계승했다 726화")</f>
        <v>저승의 왕위를 계승했다 726화</v>
      </c>
      <c r="F5048">
        <v>728</v>
      </c>
      <c r="G5048" t="str">
        <f>T("신타비")</f>
        <v>신타비</v>
      </c>
      <c r="J5048" t="str">
        <f>T("매드햇")</f>
        <v>매드햇</v>
      </c>
      <c r="K5048" t="str">
        <f>T("저승의 왕위를 계승했다")</f>
        <v>저승의 왕위를 계승했다</v>
      </c>
      <c r="L5048">
        <v>100</v>
      </c>
      <c r="M5048">
        <v>140</v>
      </c>
      <c r="N5048">
        <v>2</v>
      </c>
      <c r="O5048">
        <v>0</v>
      </c>
      <c r="P5048">
        <v>0</v>
      </c>
      <c r="Q5048">
        <v>0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0</v>
      </c>
      <c r="AE5048">
        <v>0</v>
      </c>
      <c r="AF5048">
        <v>0</v>
      </c>
      <c r="AG5048">
        <v>0</v>
      </c>
      <c r="AH5048">
        <v>0</v>
      </c>
      <c r="AI5048">
        <v>140</v>
      </c>
      <c r="AJ5048">
        <v>2</v>
      </c>
      <c r="AK5048">
        <v>0</v>
      </c>
      <c r="AL5048">
        <v>0</v>
      </c>
      <c r="AM5048">
        <v>140</v>
      </c>
      <c r="AN5048">
        <v>0</v>
      </c>
      <c r="AO5048">
        <v>0</v>
      </c>
      <c r="AP5048">
        <v>0</v>
      </c>
      <c r="AQ5048">
        <v>0</v>
      </c>
      <c r="AS5048">
        <v>0</v>
      </c>
      <c r="AT5048">
        <v>0</v>
      </c>
      <c r="AV5048">
        <v>0</v>
      </c>
      <c r="AW5048">
        <v>0</v>
      </c>
      <c r="AY5048">
        <v>0</v>
      </c>
      <c r="AZ5048">
        <v>0</v>
      </c>
      <c r="BA5048">
        <v>98</v>
      </c>
      <c r="BE5048" t="str">
        <f>T("9791137014381")</f>
        <v>9791137014381</v>
      </c>
      <c r="BF5048" t="str">
        <f>T("D147806")</f>
        <v>D147806</v>
      </c>
      <c r="BG5048" t="str">
        <f>T("판타지 웹소설 &gt; 퓨전 판타지")</f>
        <v>판타지 웹소설 &gt; 퓨전 판타지</v>
      </c>
    </row>
    <row r="5049" spans="1:59">
      <c r="A5049" t="s">
        <v>60</v>
      </c>
      <c r="B5049" s="1">
        <v>46129</v>
      </c>
      <c r="C5049">
        <v>2378044065</v>
      </c>
      <c r="D5049">
        <v>2378078799</v>
      </c>
      <c r="E5049" t="str">
        <f>T("저승의 왕위를 계승했다 727화")</f>
        <v>저승의 왕위를 계승했다 727화</v>
      </c>
      <c r="F5049">
        <v>729</v>
      </c>
      <c r="G5049" t="str">
        <f>T("신타비")</f>
        <v>신타비</v>
      </c>
      <c r="J5049" t="str">
        <f>T("매드햇")</f>
        <v>매드햇</v>
      </c>
      <c r="K5049" t="str">
        <f>T("저승의 왕위를 계승했다")</f>
        <v>저승의 왕위를 계승했다</v>
      </c>
      <c r="L5049">
        <v>100</v>
      </c>
      <c r="M5049">
        <v>140</v>
      </c>
      <c r="N5049">
        <v>2</v>
      </c>
      <c r="O5049">
        <v>0</v>
      </c>
      <c r="P5049">
        <v>0</v>
      </c>
      <c r="Q5049">
        <v>0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0</v>
      </c>
      <c r="AE5049">
        <v>0</v>
      </c>
      <c r="AF5049">
        <v>0</v>
      </c>
      <c r="AG5049">
        <v>0</v>
      </c>
      <c r="AH5049">
        <v>0</v>
      </c>
      <c r="AI5049">
        <v>140</v>
      </c>
      <c r="AJ5049">
        <v>2</v>
      </c>
      <c r="AK5049">
        <v>0</v>
      </c>
      <c r="AL5049">
        <v>0</v>
      </c>
      <c r="AM5049">
        <v>140</v>
      </c>
      <c r="AN5049">
        <v>0</v>
      </c>
      <c r="AO5049">
        <v>0</v>
      </c>
      <c r="AP5049">
        <v>0</v>
      </c>
      <c r="AQ5049">
        <v>0</v>
      </c>
      <c r="AS5049">
        <v>0</v>
      </c>
      <c r="AT5049">
        <v>0</v>
      </c>
      <c r="AV5049">
        <v>0</v>
      </c>
      <c r="AW5049">
        <v>0</v>
      </c>
      <c r="AY5049">
        <v>0</v>
      </c>
      <c r="AZ5049">
        <v>0</v>
      </c>
      <c r="BA5049">
        <v>98</v>
      </c>
      <c r="BE5049" t="str">
        <f>T("9791137014381")</f>
        <v>9791137014381</v>
      </c>
      <c r="BF5049" t="str">
        <f>T("D147807")</f>
        <v>D147807</v>
      </c>
      <c r="BG5049" t="str">
        <f>T("판타지 웹소설 &gt; 퓨전 판타지")</f>
        <v>판타지 웹소설 &gt; 퓨전 판타지</v>
      </c>
    </row>
    <row r="5050" spans="1:59">
      <c r="A5050" t="s">
        <v>60</v>
      </c>
      <c r="B5050" s="1">
        <v>46129</v>
      </c>
      <c r="C5050">
        <v>2378044065</v>
      </c>
      <c r="D5050">
        <v>2378078800</v>
      </c>
      <c r="E5050" t="str">
        <f>T("저승의 왕위를 계승했다 728화")</f>
        <v>저승의 왕위를 계승했다 728화</v>
      </c>
      <c r="F5050">
        <v>730</v>
      </c>
      <c r="G5050" t="str">
        <f>T("신타비")</f>
        <v>신타비</v>
      </c>
      <c r="J5050" t="str">
        <f>T("매드햇")</f>
        <v>매드햇</v>
      </c>
      <c r="K5050" t="str">
        <f>T("저승의 왕위를 계승했다")</f>
        <v>저승의 왕위를 계승했다</v>
      </c>
      <c r="L5050">
        <v>100</v>
      </c>
      <c r="M5050">
        <v>140</v>
      </c>
      <c r="N5050">
        <v>2</v>
      </c>
      <c r="O5050">
        <v>0</v>
      </c>
      <c r="P5050">
        <v>0</v>
      </c>
      <c r="Q5050">
        <v>0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0</v>
      </c>
      <c r="AE5050">
        <v>0</v>
      </c>
      <c r="AF5050">
        <v>0</v>
      </c>
      <c r="AG5050">
        <v>0</v>
      </c>
      <c r="AH5050">
        <v>0</v>
      </c>
      <c r="AI5050">
        <v>140</v>
      </c>
      <c r="AJ5050">
        <v>2</v>
      </c>
      <c r="AK5050">
        <v>0</v>
      </c>
      <c r="AL5050">
        <v>0</v>
      </c>
      <c r="AM5050">
        <v>140</v>
      </c>
      <c r="AN5050">
        <v>0</v>
      </c>
      <c r="AO5050">
        <v>0</v>
      </c>
      <c r="AP5050">
        <v>0</v>
      </c>
      <c r="AQ5050">
        <v>0</v>
      </c>
      <c r="AS5050">
        <v>0</v>
      </c>
      <c r="AT5050">
        <v>0</v>
      </c>
      <c r="AV5050">
        <v>0</v>
      </c>
      <c r="AW5050">
        <v>0</v>
      </c>
      <c r="AY5050">
        <v>0</v>
      </c>
      <c r="AZ5050">
        <v>0</v>
      </c>
      <c r="BA5050">
        <v>98</v>
      </c>
      <c r="BE5050" t="str">
        <f>T("9791137014381")</f>
        <v>9791137014381</v>
      </c>
      <c r="BF5050" t="str">
        <f>T("D147808")</f>
        <v>D147808</v>
      </c>
      <c r="BG5050" t="str">
        <f>T("판타지 웹소설 &gt; 퓨전 판타지")</f>
        <v>판타지 웹소설 &gt; 퓨전 판타지</v>
      </c>
    </row>
    <row r="5051" spans="1:59">
      <c r="A5051" t="s">
        <v>60</v>
      </c>
      <c r="B5051" s="1">
        <v>46129</v>
      </c>
      <c r="C5051">
        <v>2378044065</v>
      </c>
      <c r="D5051">
        <v>2378079014</v>
      </c>
      <c r="E5051" t="str">
        <f>T("저승의 왕위를 계승했다 729화")</f>
        <v>저승의 왕위를 계승했다 729화</v>
      </c>
      <c r="F5051">
        <v>731</v>
      </c>
      <c r="G5051" t="str">
        <f>T("신타비")</f>
        <v>신타비</v>
      </c>
      <c r="J5051" t="str">
        <f>T("매드햇")</f>
        <v>매드햇</v>
      </c>
      <c r="K5051" t="str">
        <f>T("저승의 왕위를 계승했다")</f>
        <v>저승의 왕위를 계승했다</v>
      </c>
      <c r="L5051">
        <v>100</v>
      </c>
      <c r="M5051">
        <v>140</v>
      </c>
      <c r="N5051">
        <v>2</v>
      </c>
      <c r="O5051">
        <v>0</v>
      </c>
      <c r="P5051">
        <v>0</v>
      </c>
      <c r="Q5051">
        <v>0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0</v>
      </c>
      <c r="AE5051">
        <v>0</v>
      </c>
      <c r="AF5051">
        <v>0</v>
      </c>
      <c r="AG5051">
        <v>0</v>
      </c>
      <c r="AH5051">
        <v>0</v>
      </c>
      <c r="AI5051">
        <v>140</v>
      </c>
      <c r="AJ5051">
        <v>2</v>
      </c>
      <c r="AK5051">
        <v>0</v>
      </c>
      <c r="AL5051">
        <v>0</v>
      </c>
      <c r="AM5051">
        <v>140</v>
      </c>
      <c r="AN5051">
        <v>0</v>
      </c>
      <c r="AO5051">
        <v>0</v>
      </c>
      <c r="AP5051">
        <v>0</v>
      </c>
      <c r="AQ5051">
        <v>0</v>
      </c>
      <c r="AS5051">
        <v>0</v>
      </c>
      <c r="AT5051">
        <v>0</v>
      </c>
      <c r="AV5051">
        <v>0</v>
      </c>
      <c r="AW5051">
        <v>0</v>
      </c>
      <c r="AY5051">
        <v>0</v>
      </c>
      <c r="AZ5051">
        <v>0</v>
      </c>
      <c r="BA5051">
        <v>98</v>
      </c>
      <c r="BE5051" t="str">
        <f>T("9791137014381")</f>
        <v>9791137014381</v>
      </c>
      <c r="BF5051" t="str">
        <f>T("D147809")</f>
        <v>D147809</v>
      </c>
      <c r="BG5051" t="str">
        <f>T("판타지 웹소설 &gt; 퓨전 판타지")</f>
        <v>판타지 웹소설 &gt; 퓨전 판타지</v>
      </c>
    </row>
    <row r="5052" spans="1:59">
      <c r="A5052" t="s">
        <v>60</v>
      </c>
      <c r="B5052" s="1">
        <v>46129</v>
      </c>
      <c r="C5052">
        <v>2378044065</v>
      </c>
      <c r="D5052">
        <v>2378079015</v>
      </c>
      <c r="E5052" t="str">
        <f>T("저승의 왕위를 계승했다 730화")</f>
        <v>저승의 왕위를 계승했다 730화</v>
      </c>
      <c r="F5052">
        <v>732</v>
      </c>
      <c r="G5052" t="str">
        <f>T("신타비")</f>
        <v>신타비</v>
      </c>
      <c r="J5052" t="str">
        <f>T("매드햇")</f>
        <v>매드햇</v>
      </c>
      <c r="K5052" t="str">
        <f>T("저승의 왕위를 계승했다")</f>
        <v>저승의 왕위를 계승했다</v>
      </c>
      <c r="L5052">
        <v>100</v>
      </c>
      <c r="M5052">
        <v>140</v>
      </c>
      <c r="N5052">
        <v>2</v>
      </c>
      <c r="O5052">
        <v>0</v>
      </c>
      <c r="P5052">
        <v>0</v>
      </c>
      <c r="Q5052">
        <v>0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0</v>
      </c>
      <c r="AE5052">
        <v>0</v>
      </c>
      <c r="AF5052">
        <v>0</v>
      </c>
      <c r="AG5052">
        <v>0</v>
      </c>
      <c r="AH5052">
        <v>0</v>
      </c>
      <c r="AI5052">
        <v>140</v>
      </c>
      <c r="AJ5052">
        <v>2</v>
      </c>
      <c r="AK5052">
        <v>0</v>
      </c>
      <c r="AL5052">
        <v>0</v>
      </c>
      <c r="AM5052">
        <v>140</v>
      </c>
      <c r="AN5052">
        <v>0</v>
      </c>
      <c r="AO5052">
        <v>0</v>
      </c>
      <c r="AP5052">
        <v>0</v>
      </c>
      <c r="AQ5052">
        <v>0</v>
      </c>
      <c r="AS5052">
        <v>0</v>
      </c>
      <c r="AT5052">
        <v>0</v>
      </c>
      <c r="AV5052">
        <v>0</v>
      </c>
      <c r="AW5052">
        <v>0</v>
      </c>
      <c r="AY5052">
        <v>0</v>
      </c>
      <c r="AZ5052">
        <v>0</v>
      </c>
      <c r="BA5052">
        <v>98</v>
      </c>
      <c r="BE5052" t="str">
        <f>T("9791137014381")</f>
        <v>9791137014381</v>
      </c>
      <c r="BF5052" t="str">
        <f>T("D147810")</f>
        <v>D147810</v>
      </c>
      <c r="BG5052" t="str">
        <f>T("판타지 웹소설 &gt; 퓨전 판타지")</f>
        <v>판타지 웹소설 &gt; 퓨전 판타지</v>
      </c>
    </row>
    <row r="5053" spans="1:59">
      <c r="A5053" t="s">
        <v>60</v>
      </c>
      <c r="B5053" s="1">
        <v>46129</v>
      </c>
      <c r="C5053">
        <v>2378044065</v>
      </c>
      <c r="D5053">
        <v>2378079016</v>
      </c>
      <c r="E5053" t="str">
        <f>T("저승의 왕위를 계승했다 731화")</f>
        <v>저승의 왕위를 계승했다 731화</v>
      </c>
      <c r="F5053">
        <v>733</v>
      </c>
      <c r="G5053" t="str">
        <f>T("신타비")</f>
        <v>신타비</v>
      </c>
      <c r="J5053" t="str">
        <f>T("매드햇")</f>
        <v>매드햇</v>
      </c>
      <c r="K5053" t="str">
        <f>T("저승의 왕위를 계승했다")</f>
        <v>저승의 왕위를 계승했다</v>
      </c>
      <c r="L5053">
        <v>100</v>
      </c>
      <c r="M5053">
        <v>140</v>
      </c>
      <c r="N5053">
        <v>2</v>
      </c>
      <c r="O5053">
        <v>0</v>
      </c>
      <c r="P5053">
        <v>0</v>
      </c>
      <c r="Q5053">
        <v>0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0</v>
      </c>
      <c r="AE5053">
        <v>0</v>
      </c>
      <c r="AF5053">
        <v>0</v>
      </c>
      <c r="AG5053">
        <v>0</v>
      </c>
      <c r="AH5053">
        <v>0</v>
      </c>
      <c r="AI5053">
        <v>140</v>
      </c>
      <c r="AJ5053">
        <v>2</v>
      </c>
      <c r="AK5053">
        <v>0</v>
      </c>
      <c r="AL5053">
        <v>0</v>
      </c>
      <c r="AM5053">
        <v>140</v>
      </c>
      <c r="AN5053">
        <v>0</v>
      </c>
      <c r="AO5053">
        <v>0</v>
      </c>
      <c r="AP5053">
        <v>0</v>
      </c>
      <c r="AQ5053">
        <v>0</v>
      </c>
      <c r="AS5053">
        <v>0</v>
      </c>
      <c r="AT5053">
        <v>0</v>
      </c>
      <c r="AV5053">
        <v>0</v>
      </c>
      <c r="AW5053">
        <v>0</v>
      </c>
      <c r="AY5053">
        <v>0</v>
      </c>
      <c r="AZ5053">
        <v>0</v>
      </c>
      <c r="BA5053">
        <v>98</v>
      </c>
      <c r="BE5053" t="str">
        <f>T("9791137014381")</f>
        <v>9791137014381</v>
      </c>
      <c r="BF5053" t="str">
        <f>T("D168240")</f>
        <v>D168240</v>
      </c>
      <c r="BG5053" t="str">
        <f>T("판타지 웹소설 &gt; 퓨전 판타지")</f>
        <v>판타지 웹소설 &gt; 퓨전 판타지</v>
      </c>
    </row>
    <row r="5054" spans="1:59">
      <c r="A5054" t="s">
        <v>60</v>
      </c>
      <c r="B5054" s="1">
        <v>46129</v>
      </c>
      <c r="C5054">
        <v>2378044065</v>
      </c>
      <c r="D5054">
        <v>2378079017</v>
      </c>
      <c r="E5054" t="str">
        <f>T("저승의 왕위를 계승했다 732화")</f>
        <v>저승의 왕위를 계승했다 732화</v>
      </c>
      <c r="F5054">
        <v>734</v>
      </c>
      <c r="G5054" t="str">
        <f>T("신타비")</f>
        <v>신타비</v>
      </c>
      <c r="J5054" t="str">
        <f>T("매드햇")</f>
        <v>매드햇</v>
      </c>
      <c r="K5054" t="str">
        <f>T("저승의 왕위를 계승했다")</f>
        <v>저승의 왕위를 계승했다</v>
      </c>
      <c r="L5054">
        <v>100</v>
      </c>
      <c r="M5054">
        <v>140</v>
      </c>
      <c r="N5054">
        <v>2</v>
      </c>
      <c r="O5054">
        <v>0</v>
      </c>
      <c r="P5054">
        <v>0</v>
      </c>
      <c r="Q5054">
        <v>0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0</v>
      </c>
      <c r="AE5054">
        <v>0</v>
      </c>
      <c r="AF5054">
        <v>0</v>
      </c>
      <c r="AG5054">
        <v>0</v>
      </c>
      <c r="AH5054">
        <v>0</v>
      </c>
      <c r="AI5054">
        <v>140</v>
      </c>
      <c r="AJ5054">
        <v>2</v>
      </c>
      <c r="AK5054">
        <v>0</v>
      </c>
      <c r="AL5054">
        <v>0</v>
      </c>
      <c r="AM5054">
        <v>140</v>
      </c>
      <c r="AN5054">
        <v>0</v>
      </c>
      <c r="AO5054">
        <v>0</v>
      </c>
      <c r="AP5054">
        <v>0</v>
      </c>
      <c r="AQ5054">
        <v>0</v>
      </c>
      <c r="AS5054">
        <v>0</v>
      </c>
      <c r="AT5054">
        <v>0</v>
      </c>
      <c r="AV5054">
        <v>0</v>
      </c>
      <c r="AW5054">
        <v>0</v>
      </c>
      <c r="AY5054">
        <v>0</v>
      </c>
      <c r="AZ5054">
        <v>0</v>
      </c>
      <c r="BA5054">
        <v>98</v>
      </c>
      <c r="BE5054" t="str">
        <f>T("9791137014381")</f>
        <v>9791137014381</v>
      </c>
      <c r="BF5054" t="str">
        <f>T("D168241")</f>
        <v>D168241</v>
      </c>
      <c r="BG5054" t="str">
        <f>T("판타지 웹소설 &gt; 퓨전 판타지")</f>
        <v>판타지 웹소설 &gt; 퓨전 판타지</v>
      </c>
    </row>
    <row r="5055" spans="1:59">
      <c r="A5055" t="s">
        <v>60</v>
      </c>
      <c r="B5055" s="1">
        <v>46129</v>
      </c>
      <c r="C5055">
        <v>2378044065</v>
      </c>
      <c r="D5055">
        <v>2378079031</v>
      </c>
      <c r="E5055" t="str">
        <f>T("저승의 왕위를 계승했다 733화")</f>
        <v>저승의 왕위를 계승했다 733화</v>
      </c>
      <c r="F5055">
        <v>735</v>
      </c>
      <c r="G5055" t="str">
        <f>T("신타비")</f>
        <v>신타비</v>
      </c>
      <c r="J5055" t="str">
        <f>T("매드햇")</f>
        <v>매드햇</v>
      </c>
      <c r="K5055" t="str">
        <f>T("저승의 왕위를 계승했다")</f>
        <v>저승의 왕위를 계승했다</v>
      </c>
      <c r="L5055">
        <v>100</v>
      </c>
      <c r="M5055">
        <v>140</v>
      </c>
      <c r="N5055">
        <v>2</v>
      </c>
      <c r="O5055">
        <v>0</v>
      </c>
      <c r="P5055">
        <v>0</v>
      </c>
      <c r="Q5055">
        <v>0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0</v>
      </c>
      <c r="AE5055">
        <v>0</v>
      </c>
      <c r="AF5055">
        <v>0</v>
      </c>
      <c r="AG5055">
        <v>0</v>
      </c>
      <c r="AH5055">
        <v>0</v>
      </c>
      <c r="AI5055">
        <v>140</v>
      </c>
      <c r="AJ5055">
        <v>2</v>
      </c>
      <c r="AK5055">
        <v>0</v>
      </c>
      <c r="AL5055">
        <v>0</v>
      </c>
      <c r="AM5055">
        <v>140</v>
      </c>
      <c r="AN5055">
        <v>0</v>
      </c>
      <c r="AO5055">
        <v>0</v>
      </c>
      <c r="AP5055">
        <v>0</v>
      </c>
      <c r="AQ5055">
        <v>0</v>
      </c>
      <c r="AS5055">
        <v>0</v>
      </c>
      <c r="AT5055">
        <v>0</v>
      </c>
      <c r="AV5055">
        <v>0</v>
      </c>
      <c r="AW5055">
        <v>0</v>
      </c>
      <c r="AY5055">
        <v>0</v>
      </c>
      <c r="AZ5055">
        <v>0</v>
      </c>
      <c r="BA5055">
        <v>98</v>
      </c>
      <c r="BE5055" t="str">
        <f>T("9791137014381")</f>
        <v>9791137014381</v>
      </c>
      <c r="BF5055" t="str">
        <f>T("D168242")</f>
        <v>D168242</v>
      </c>
      <c r="BG5055" t="str">
        <f>T("판타지 웹소설 &gt; 퓨전 판타지")</f>
        <v>판타지 웹소설 &gt; 퓨전 판타지</v>
      </c>
    </row>
    <row r="5056" spans="1:59">
      <c r="A5056" t="s">
        <v>60</v>
      </c>
      <c r="B5056" s="1">
        <v>46129</v>
      </c>
      <c r="C5056">
        <v>2378044065</v>
      </c>
      <c r="D5056">
        <v>2378079032</v>
      </c>
      <c r="E5056" t="str">
        <f>T("저승의 왕위를 계승했다 734화")</f>
        <v>저승의 왕위를 계승했다 734화</v>
      </c>
      <c r="F5056">
        <v>736</v>
      </c>
      <c r="G5056" t="str">
        <f>T("신타비")</f>
        <v>신타비</v>
      </c>
      <c r="J5056" t="str">
        <f>T("매드햇")</f>
        <v>매드햇</v>
      </c>
      <c r="K5056" t="str">
        <f>T("저승의 왕위를 계승했다")</f>
        <v>저승의 왕위를 계승했다</v>
      </c>
      <c r="L5056">
        <v>100</v>
      </c>
      <c r="M5056">
        <v>140</v>
      </c>
      <c r="N5056">
        <v>2</v>
      </c>
      <c r="O5056">
        <v>0</v>
      </c>
      <c r="P5056">
        <v>0</v>
      </c>
      <c r="Q5056">
        <v>0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0</v>
      </c>
      <c r="AE5056">
        <v>0</v>
      </c>
      <c r="AF5056">
        <v>0</v>
      </c>
      <c r="AG5056">
        <v>0</v>
      </c>
      <c r="AH5056">
        <v>0</v>
      </c>
      <c r="AI5056">
        <v>140</v>
      </c>
      <c r="AJ5056">
        <v>2</v>
      </c>
      <c r="AK5056">
        <v>0</v>
      </c>
      <c r="AL5056">
        <v>0</v>
      </c>
      <c r="AM5056">
        <v>140</v>
      </c>
      <c r="AN5056">
        <v>0</v>
      </c>
      <c r="AO5056">
        <v>0</v>
      </c>
      <c r="AP5056">
        <v>0</v>
      </c>
      <c r="AQ5056">
        <v>0</v>
      </c>
      <c r="AS5056">
        <v>0</v>
      </c>
      <c r="AT5056">
        <v>0</v>
      </c>
      <c r="AV5056">
        <v>0</v>
      </c>
      <c r="AW5056">
        <v>0</v>
      </c>
      <c r="AY5056">
        <v>0</v>
      </c>
      <c r="AZ5056">
        <v>0</v>
      </c>
      <c r="BA5056">
        <v>98</v>
      </c>
      <c r="BE5056" t="str">
        <f>T("9791137014381")</f>
        <v>9791137014381</v>
      </c>
      <c r="BF5056" t="str">
        <f>T("D168243")</f>
        <v>D168243</v>
      </c>
      <c r="BG5056" t="str">
        <f>T("판타지 웹소설 &gt; 퓨전 판타지")</f>
        <v>판타지 웹소설 &gt; 퓨전 판타지</v>
      </c>
    </row>
    <row r="5057" spans="1:59">
      <c r="A5057" t="s">
        <v>60</v>
      </c>
      <c r="B5057" s="1">
        <v>46129</v>
      </c>
      <c r="C5057">
        <v>2378044065</v>
      </c>
      <c r="D5057">
        <v>2378079042</v>
      </c>
      <c r="E5057" t="str">
        <f>T("저승의 왕위를 계승했다 735화")</f>
        <v>저승의 왕위를 계승했다 735화</v>
      </c>
      <c r="F5057">
        <v>737</v>
      </c>
      <c r="G5057" t="str">
        <f>T("신타비")</f>
        <v>신타비</v>
      </c>
      <c r="J5057" t="str">
        <f>T("매드햇")</f>
        <v>매드햇</v>
      </c>
      <c r="K5057" t="str">
        <f>T("저승의 왕위를 계승했다")</f>
        <v>저승의 왕위를 계승했다</v>
      </c>
      <c r="L5057">
        <v>100</v>
      </c>
      <c r="M5057">
        <v>140</v>
      </c>
      <c r="N5057">
        <v>2</v>
      </c>
      <c r="O5057">
        <v>0</v>
      </c>
      <c r="P5057">
        <v>0</v>
      </c>
      <c r="Q5057">
        <v>0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0</v>
      </c>
      <c r="AE5057">
        <v>0</v>
      </c>
      <c r="AF5057">
        <v>0</v>
      </c>
      <c r="AG5057">
        <v>0</v>
      </c>
      <c r="AH5057">
        <v>0</v>
      </c>
      <c r="AI5057">
        <v>140</v>
      </c>
      <c r="AJ5057">
        <v>2</v>
      </c>
      <c r="AK5057">
        <v>0</v>
      </c>
      <c r="AL5057">
        <v>0</v>
      </c>
      <c r="AM5057">
        <v>140</v>
      </c>
      <c r="AN5057">
        <v>0</v>
      </c>
      <c r="AO5057">
        <v>0</v>
      </c>
      <c r="AP5057">
        <v>0</v>
      </c>
      <c r="AQ5057">
        <v>0</v>
      </c>
      <c r="AS5057">
        <v>0</v>
      </c>
      <c r="AT5057">
        <v>0</v>
      </c>
      <c r="AV5057">
        <v>0</v>
      </c>
      <c r="AW5057">
        <v>0</v>
      </c>
      <c r="AY5057">
        <v>0</v>
      </c>
      <c r="AZ5057">
        <v>0</v>
      </c>
      <c r="BA5057">
        <v>98</v>
      </c>
      <c r="BE5057" t="str">
        <f>T("9791137014381")</f>
        <v>9791137014381</v>
      </c>
      <c r="BF5057" t="str">
        <f>T("D168244")</f>
        <v>D168244</v>
      </c>
      <c r="BG5057" t="str">
        <f>T("판타지 웹소설 &gt; 퓨전 판타지")</f>
        <v>판타지 웹소설 &gt; 퓨전 판타지</v>
      </c>
    </row>
    <row r="5058" spans="1:59">
      <c r="A5058" t="s">
        <v>60</v>
      </c>
      <c r="B5058" s="1">
        <v>46129</v>
      </c>
      <c r="C5058">
        <v>2378044065</v>
      </c>
      <c r="D5058">
        <v>2378079043</v>
      </c>
      <c r="E5058" t="str">
        <f>T("저승의 왕위를 계승했다 736화")</f>
        <v>저승의 왕위를 계승했다 736화</v>
      </c>
      <c r="F5058">
        <v>738</v>
      </c>
      <c r="G5058" t="str">
        <f>T("신타비")</f>
        <v>신타비</v>
      </c>
      <c r="J5058" t="str">
        <f>T("매드햇")</f>
        <v>매드햇</v>
      </c>
      <c r="K5058" t="str">
        <f>T("저승의 왕위를 계승했다")</f>
        <v>저승의 왕위를 계승했다</v>
      </c>
      <c r="L5058">
        <v>100</v>
      </c>
      <c r="M5058">
        <v>140</v>
      </c>
      <c r="N5058">
        <v>2</v>
      </c>
      <c r="O5058">
        <v>0</v>
      </c>
      <c r="P5058">
        <v>0</v>
      </c>
      <c r="Q5058">
        <v>0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0</v>
      </c>
      <c r="AE5058">
        <v>0</v>
      </c>
      <c r="AF5058">
        <v>0</v>
      </c>
      <c r="AG5058">
        <v>0</v>
      </c>
      <c r="AH5058">
        <v>0</v>
      </c>
      <c r="AI5058">
        <v>140</v>
      </c>
      <c r="AJ5058">
        <v>2</v>
      </c>
      <c r="AK5058">
        <v>0</v>
      </c>
      <c r="AL5058">
        <v>0</v>
      </c>
      <c r="AM5058">
        <v>140</v>
      </c>
      <c r="AN5058">
        <v>0</v>
      </c>
      <c r="AO5058">
        <v>0</v>
      </c>
      <c r="AP5058">
        <v>0</v>
      </c>
      <c r="AQ5058">
        <v>0</v>
      </c>
      <c r="AS5058">
        <v>0</v>
      </c>
      <c r="AT5058">
        <v>0</v>
      </c>
      <c r="AV5058">
        <v>0</v>
      </c>
      <c r="AW5058">
        <v>0</v>
      </c>
      <c r="AY5058">
        <v>0</v>
      </c>
      <c r="AZ5058">
        <v>0</v>
      </c>
      <c r="BA5058">
        <v>98</v>
      </c>
      <c r="BE5058" t="str">
        <f>T("9791137014381")</f>
        <v>9791137014381</v>
      </c>
      <c r="BF5058" t="str">
        <f>T("D168245")</f>
        <v>D168245</v>
      </c>
      <c r="BG5058" t="str">
        <f>T("판타지 웹소설 &gt; 퓨전 판타지")</f>
        <v>판타지 웹소설 &gt; 퓨전 판타지</v>
      </c>
    </row>
    <row r="5059" spans="1:59">
      <c r="A5059" t="s">
        <v>60</v>
      </c>
      <c r="B5059" s="1">
        <v>46129</v>
      </c>
      <c r="C5059">
        <v>2378044065</v>
      </c>
      <c r="D5059">
        <v>2378079044</v>
      </c>
      <c r="E5059" t="str">
        <f>T("저승의 왕위를 계승했다 737화")</f>
        <v>저승의 왕위를 계승했다 737화</v>
      </c>
      <c r="F5059">
        <v>739</v>
      </c>
      <c r="G5059" t="str">
        <f>T("신타비")</f>
        <v>신타비</v>
      </c>
      <c r="J5059" t="str">
        <f>T("매드햇")</f>
        <v>매드햇</v>
      </c>
      <c r="K5059" t="str">
        <f>T("저승의 왕위를 계승했다")</f>
        <v>저승의 왕위를 계승했다</v>
      </c>
      <c r="L5059">
        <v>100</v>
      </c>
      <c r="M5059">
        <v>140</v>
      </c>
      <c r="N5059">
        <v>2</v>
      </c>
      <c r="O5059">
        <v>0</v>
      </c>
      <c r="P5059">
        <v>0</v>
      </c>
      <c r="Q5059">
        <v>0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0</v>
      </c>
      <c r="AE5059">
        <v>0</v>
      </c>
      <c r="AF5059">
        <v>0</v>
      </c>
      <c r="AG5059">
        <v>0</v>
      </c>
      <c r="AH5059">
        <v>0</v>
      </c>
      <c r="AI5059">
        <v>140</v>
      </c>
      <c r="AJ5059">
        <v>2</v>
      </c>
      <c r="AK5059">
        <v>0</v>
      </c>
      <c r="AL5059">
        <v>0</v>
      </c>
      <c r="AM5059">
        <v>140</v>
      </c>
      <c r="AN5059">
        <v>0</v>
      </c>
      <c r="AO5059">
        <v>0</v>
      </c>
      <c r="AP5059">
        <v>0</v>
      </c>
      <c r="AQ5059">
        <v>0</v>
      </c>
      <c r="AS5059">
        <v>0</v>
      </c>
      <c r="AT5059">
        <v>0</v>
      </c>
      <c r="AV5059">
        <v>0</v>
      </c>
      <c r="AW5059">
        <v>0</v>
      </c>
      <c r="AY5059">
        <v>0</v>
      </c>
      <c r="AZ5059">
        <v>0</v>
      </c>
      <c r="BA5059">
        <v>98</v>
      </c>
      <c r="BE5059" t="str">
        <f>T("9791137014381")</f>
        <v>9791137014381</v>
      </c>
      <c r="BF5059" t="str">
        <f>T("D168246")</f>
        <v>D168246</v>
      </c>
      <c r="BG5059" t="str">
        <f>T("판타지 웹소설 &gt; 퓨전 판타지")</f>
        <v>판타지 웹소설 &gt; 퓨전 판타지</v>
      </c>
    </row>
    <row r="5060" spans="1:59">
      <c r="A5060" t="s">
        <v>60</v>
      </c>
      <c r="B5060" s="1">
        <v>46129</v>
      </c>
      <c r="C5060">
        <v>2378044065</v>
      </c>
      <c r="D5060">
        <v>2378079059</v>
      </c>
      <c r="E5060" t="str">
        <f>T("저승의 왕위를 계승했다 738화")</f>
        <v>저승의 왕위를 계승했다 738화</v>
      </c>
      <c r="F5060">
        <v>740</v>
      </c>
      <c r="G5060" t="str">
        <f>T("신타비")</f>
        <v>신타비</v>
      </c>
      <c r="J5060" t="str">
        <f>T("매드햇")</f>
        <v>매드햇</v>
      </c>
      <c r="K5060" t="str">
        <f>T("저승의 왕위를 계승했다")</f>
        <v>저승의 왕위를 계승했다</v>
      </c>
      <c r="L5060">
        <v>100</v>
      </c>
      <c r="M5060">
        <v>140</v>
      </c>
      <c r="N5060">
        <v>2</v>
      </c>
      <c r="O5060">
        <v>0</v>
      </c>
      <c r="P5060">
        <v>0</v>
      </c>
      <c r="Q5060">
        <v>0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0</v>
      </c>
      <c r="AE5060">
        <v>0</v>
      </c>
      <c r="AF5060">
        <v>0</v>
      </c>
      <c r="AG5060">
        <v>0</v>
      </c>
      <c r="AH5060">
        <v>0</v>
      </c>
      <c r="AI5060">
        <v>140</v>
      </c>
      <c r="AJ5060">
        <v>2</v>
      </c>
      <c r="AK5060">
        <v>0</v>
      </c>
      <c r="AL5060">
        <v>0</v>
      </c>
      <c r="AM5060">
        <v>140</v>
      </c>
      <c r="AN5060">
        <v>0</v>
      </c>
      <c r="AO5060">
        <v>0</v>
      </c>
      <c r="AP5060">
        <v>0</v>
      </c>
      <c r="AQ5060">
        <v>0</v>
      </c>
      <c r="AS5060">
        <v>0</v>
      </c>
      <c r="AT5060">
        <v>0</v>
      </c>
      <c r="AV5060">
        <v>0</v>
      </c>
      <c r="AW5060">
        <v>0</v>
      </c>
      <c r="AY5060">
        <v>0</v>
      </c>
      <c r="AZ5060">
        <v>0</v>
      </c>
      <c r="BA5060">
        <v>98</v>
      </c>
      <c r="BE5060" t="str">
        <f>T("9791137014381")</f>
        <v>9791137014381</v>
      </c>
      <c r="BF5060" t="str">
        <f>T("D168247")</f>
        <v>D168247</v>
      </c>
      <c r="BG5060" t="str">
        <f>T("판타지 웹소설 &gt; 퓨전 판타지")</f>
        <v>판타지 웹소설 &gt; 퓨전 판타지</v>
      </c>
    </row>
    <row r="5061" spans="1:59">
      <c r="A5061" t="s">
        <v>60</v>
      </c>
      <c r="B5061" s="1">
        <v>46129</v>
      </c>
      <c r="C5061">
        <v>2378044065</v>
      </c>
      <c r="D5061">
        <v>2378079060</v>
      </c>
      <c r="E5061" t="str">
        <f>T("저승의 왕위를 계승했다 739화")</f>
        <v>저승의 왕위를 계승했다 739화</v>
      </c>
      <c r="F5061">
        <v>741</v>
      </c>
      <c r="G5061" t="str">
        <f>T("신타비")</f>
        <v>신타비</v>
      </c>
      <c r="J5061" t="str">
        <f>T("매드햇")</f>
        <v>매드햇</v>
      </c>
      <c r="K5061" t="str">
        <f>T("저승의 왕위를 계승했다")</f>
        <v>저승의 왕위를 계승했다</v>
      </c>
      <c r="L5061">
        <v>100</v>
      </c>
      <c r="M5061">
        <v>140</v>
      </c>
      <c r="N5061">
        <v>2</v>
      </c>
      <c r="O5061">
        <v>0</v>
      </c>
      <c r="P5061">
        <v>0</v>
      </c>
      <c r="Q5061">
        <v>0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0</v>
      </c>
      <c r="AE5061">
        <v>0</v>
      </c>
      <c r="AF5061">
        <v>0</v>
      </c>
      <c r="AG5061">
        <v>0</v>
      </c>
      <c r="AH5061">
        <v>0</v>
      </c>
      <c r="AI5061">
        <v>140</v>
      </c>
      <c r="AJ5061">
        <v>2</v>
      </c>
      <c r="AK5061">
        <v>0</v>
      </c>
      <c r="AL5061">
        <v>0</v>
      </c>
      <c r="AM5061">
        <v>140</v>
      </c>
      <c r="AN5061">
        <v>0</v>
      </c>
      <c r="AO5061">
        <v>0</v>
      </c>
      <c r="AP5061">
        <v>0</v>
      </c>
      <c r="AQ5061">
        <v>0</v>
      </c>
      <c r="AS5061">
        <v>0</v>
      </c>
      <c r="AT5061">
        <v>0</v>
      </c>
      <c r="AV5061">
        <v>0</v>
      </c>
      <c r="AW5061">
        <v>0</v>
      </c>
      <c r="AY5061">
        <v>0</v>
      </c>
      <c r="AZ5061">
        <v>0</v>
      </c>
      <c r="BA5061">
        <v>98</v>
      </c>
      <c r="BE5061" t="str">
        <f>T("9791137014381")</f>
        <v>9791137014381</v>
      </c>
      <c r="BF5061" t="str">
        <f>T("D168248")</f>
        <v>D168248</v>
      </c>
      <c r="BG5061" t="str">
        <f>T("판타지 웹소설 &gt; 퓨전 판타지")</f>
        <v>판타지 웹소설 &gt; 퓨전 판타지</v>
      </c>
    </row>
    <row r="5062" spans="1:59">
      <c r="A5062" t="s">
        <v>60</v>
      </c>
      <c r="B5062" s="1">
        <v>46129</v>
      </c>
      <c r="C5062">
        <v>2378044065</v>
      </c>
      <c r="D5062">
        <v>2378079087</v>
      </c>
      <c r="E5062" t="str">
        <f>T("저승의 왕위를 계승했다 740화")</f>
        <v>저승의 왕위를 계승했다 740화</v>
      </c>
      <c r="F5062">
        <v>742</v>
      </c>
      <c r="G5062" t="str">
        <f>T("신타비")</f>
        <v>신타비</v>
      </c>
      <c r="J5062" t="str">
        <f>T("매드햇")</f>
        <v>매드햇</v>
      </c>
      <c r="K5062" t="str">
        <f>T("저승의 왕위를 계승했다")</f>
        <v>저승의 왕위를 계승했다</v>
      </c>
      <c r="L5062">
        <v>100</v>
      </c>
      <c r="M5062">
        <v>140</v>
      </c>
      <c r="N5062">
        <v>2</v>
      </c>
      <c r="O5062">
        <v>0</v>
      </c>
      <c r="P5062">
        <v>0</v>
      </c>
      <c r="Q5062">
        <v>0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0</v>
      </c>
      <c r="AE5062">
        <v>0</v>
      </c>
      <c r="AF5062">
        <v>0</v>
      </c>
      <c r="AG5062">
        <v>0</v>
      </c>
      <c r="AH5062">
        <v>0</v>
      </c>
      <c r="AI5062">
        <v>140</v>
      </c>
      <c r="AJ5062">
        <v>2</v>
      </c>
      <c r="AK5062">
        <v>0</v>
      </c>
      <c r="AL5062">
        <v>0</v>
      </c>
      <c r="AM5062">
        <v>140</v>
      </c>
      <c r="AN5062">
        <v>0</v>
      </c>
      <c r="AO5062">
        <v>0</v>
      </c>
      <c r="AP5062">
        <v>0</v>
      </c>
      <c r="AQ5062">
        <v>0</v>
      </c>
      <c r="AS5062">
        <v>0</v>
      </c>
      <c r="AT5062">
        <v>0</v>
      </c>
      <c r="AV5062">
        <v>0</v>
      </c>
      <c r="AW5062">
        <v>0</v>
      </c>
      <c r="AY5062">
        <v>0</v>
      </c>
      <c r="AZ5062">
        <v>0</v>
      </c>
      <c r="BA5062">
        <v>98</v>
      </c>
      <c r="BE5062" t="str">
        <f>T("9791137014381")</f>
        <v>9791137014381</v>
      </c>
      <c r="BF5062" t="str">
        <f>T("D168249")</f>
        <v>D168249</v>
      </c>
      <c r="BG5062" t="str">
        <f>T("판타지 웹소설 &gt; 퓨전 판타지")</f>
        <v>판타지 웹소설 &gt; 퓨전 판타지</v>
      </c>
    </row>
    <row r="5063" spans="1:59">
      <c r="A5063" t="s">
        <v>60</v>
      </c>
      <c r="B5063" s="1">
        <v>46129</v>
      </c>
      <c r="C5063">
        <v>2378044065</v>
      </c>
      <c r="D5063">
        <v>2378079088</v>
      </c>
      <c r="E5063" t="str">
        <f>T("저승의 왕위를 계승했다 741화")</f>
        <v>저승의 왕위를 계승했다 741화</v>
      </c>
      <c r="F5063">
        <v>743</v>
      </c>
      <c r="G5063" t="str">
        <f>T("신타비")</f>
        <v>신타비</v>
      </c>
      <c r="J5063" t="str">
        <f>T("매드햇")</f>
        <v>매드햇</v>
      </c>
      <c r="K5063" t="str">
        <f>T("저승의 왕위를 계승했다")</f>
        <v>저승의 왕위를 계승했다</v>
      </c>
      <c r="L5063">
        <v>100</v>
      </c>
      <c r="M5063">
        <v>140</v>
      </c>
      <c r="N5063">
        <v>2</v>
      </c>
      <c r="O5063">
        <v>0</v>
      </c>
      <c r="P5063">
        <v>0</v>
      </c>
      <c r="Q5063">
        <v>0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0</v>
      </c>
      <c r="AE5063">
        <v>0</v>
      </c>
      <c r="AF5063">
        <v>0</v>
      </c>
      <c r="AG5063">
        <v>0</v>
      </c>
      <c r="AH5063">
        <v>0</v>
      </c>
      <c r="AI5063">
        <v>140</v>
      </c>
      <c r="AJ5063">
        <v>2</v>
      </c>
      <c r="AK5063">
        <v>0</v>
      </c>
      <c r="AL5063">
        <v>0</v>
      </c>
      <c r="AM5063">
        <v>140</v>
      </c>
      <c r="AN5063">
        <v>0</v>
      </c>
      <c r="AO5063">
        <v>0</v>
      </c>
      <c r="AP5063">
        <v>0</v>
      </c>
      <c r="AQ5063">
        <v>0</v>
      </c>
      <c r="AS5063">
        <v>0</v>
      </c>
      <c r="AT5063">
        <v>0</v>
      </c>
      <c r="AV5063">
        <v>0</v>
      </c>
      <c r="AW5063">
        <v>0</v>
      </c>
      <c r="AY5063">
        <v>0</v>
      </c>
      <c r="AZ5063">
        <v>0</v>
      </c>
      <c r="BA5063">
        <v>98</v>
      </c>
      <c r="BE5063" t="str">
        <f>T("9791137014381")</f>
        <v>9791137014381</v>
      </c>
      <c r="BF5063" t="str">
        <f>T("D168250")</f>
        <v>D168250</v>
      </c>
      <c r="BG5063" t="str">
        <f>T("판타지 웹소설 &gt; 퓨전 판타지")</f>
        <v>판타지 웹소설 &gt; 퓨전 판타지</v>
      </c>
    </row>
    <row r="5064" spans="1:59">
      <c r="A5064" t="s">
        <v>60</v>
      </c>
      <c r="B5064" s="1">
        <v>46129</v>
      </c>
      <c r="C5064">
        <v>2378044065</v>
      </c>
      <c r="D5064">
        <v>2378079089</v>
      </c>
      <c r="E5064" t="str">
        <f>T("저승의 왕위를 계승했다 742화")</f>
        <v>저승의 왕위를 계승했다 742화</v>
      </c>
      <c r="F5064">
        <v>744</v>
      </c>
      <c r="G5064" t="str">
        <f>T("신타비")</f>
        <v>신타비</v>
      </c>
      <c r="J5064" t="str">
        <f>T("매드햇")</f>
        <v>매드햇</v>
      </c>
      <c r="K5064" t="str">
        <f>T("저승의 왕위를 계승했다")</f>
        <v>저승의 왕위를 계승했다</v>
      </c>
      <c r="L5064">
        <v>100</v>
      </c>
      <c r="M5064">
        <v>140</v>
      </c>
      <c r="N5064">
        <v>2</v>
      </c>
      <c r="O5064">
        <v>0</v>
      </c>
      <c r="P5064">
        <v>0</v>
      </c>
      <c r="Q5064">
        <v>0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0</v>
      </c>
      <c r="AE5064">
        <v>0</v>
      </c>
      <c r="AF5064">
        <v>0</v>
      </c>
      <c r="AG5064">
        <v>0</v>
      </c>
      <c r="AH5064">
        <v>0</v>
      </c>
      <c r="AI5064">
        <v>140</v>
      </c>
      <c r="AJ5064">
        <v>2</v>
      </c>
      <c r="AK5064">
        <v>0</v>
      </c>
      <c r="AL5064">
        <v>0</v>
      </c>
      <c r="AM5064">
        <v>140</v>
      </c>
      <c r="AN5064">
        <v>0</v>
      </c>
      <c r="AO5064">
        <v>0</v>
      </c>
      <c r="AP5064">
        <v>0</v>
      </c>
      <c r="AQ5064">
        <v>0</v>
      </c>
      <c r="AS5064">
        <v>0</v>
      </c>
      <c r="AT5064">
        <v>0</v>
      </c>
      <c r="AV5064">
        <v>0</v>
      </c>
      <c r="AW5064">
        <v>0</v>
      </c>
      <c r="AY5064">
        <v>0</v>
      </c>
      <c r="AZ5064">
        <v>0</v>
      </c>
      <c r="BA5064">
        <v>98</v>
      </c>
      <c r="BE5064" t="str">
        <f>T("9791137014381")</f>
        <v>9791137014381</v>
      </c>
      <c r="BF5064" t="str">
        <f>T("D168251")</f>
        <v>D168251</v>
      </c>
      <c r="BG5064" t="str">
        <f>T("판타지 웹소설 &gt; 퓨전 판타지")</f>
        <v>판타지 웹소설 &gt; 퓨전 판타지</v>
      </c>
    </row>
    <row r="5065" spans="1:59">
      <c r="A5065" t="s">
        <v>60</v>
      </c>
      <c r="B5065" s="1">
        <v>46129</v>
      </c>
      <c r="C5065">
        <v>2378044065</v>
      </c>
      <c r="D5065">
        <v>2378079090</v>
      </c>
      <c r="E5065" t="str">
        <f>T("저승의 왕위를 계승했다 743화")</f>
        <v>저승의 왕위를 계승했다 743화</v>
      </c>
      <c r="F5065">
        <v>745</v>
      </c>
      <c r="G5065" t="str">
        <f>T("신타비")</f>
        <v>신타비</v>
      </c>
      <c r="J5065" t="str">
        <f>T("매드햇")</f>
        <v>매드햇</v>
      </c>
      <c r="K5065" t="str">
        <f>T("저승의 왕위를 계승했다")</f>
        <v>저승의 왕위를 계승했다</v>
      </c>
      <c r="L5065">
        <v>100</v>
      </c>
      <c r="M5065">
        <v>140</v>
      </c>
      <c r="N5065">
        <v>2</v>
      </c>
      <c r="O5065">
        <v>0</v>
      </c>
      <c r="P5065">
        <v>0</v>
      </c>
      <c r="Q5065">
        <v>0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0</v>
      </c>
      <c r="AE5065">
        <v>0</v>
      </c>
      <c r="AF5065">
        <v>0</v>
      </c>
      <c r="AG5065">
        <v>0</v>
      </c>
      <c r="AH5065">
        <v>0</v>
      </c>
      <c r="AI5065">
        <v>140</v>
      </c>
      <c r="AJ5065">
        <v>2</v>
      </c>
      <c r="AK5065">
        <v>0</v>
      </c>
      <c r="AL5065">
        <v>0</v>
      </c>
      <c r="AM5065">
        <v>140</v>
      </c>
      <c r="AN5065">
        <v>0</v>
      </c>
      <c r="AO5065">
        <v>0</v>
      </c>
      <c r="AP5065">
        <v>0</v>
      </c>
      <c r="AQ5065">
        <v>0</v>
      </c>
      <c r="AS5065">
        <v>0</v>
      </c>
      <c r="AT5065">
        <v>0</v>
      </c>
      <c r="AV5065">
        <v>0</v>
      </c>
      <c r="AW5065">
        <v>0</v>
      </c>
      <c r="AY5065">
        <v>0</v>
      </c>
      <c r="AZ5065">
        <v>0</v>
      </c>
      <c r="BA5065">
        <v>98</v>
      </c>
      <c r="BE5065" t="str">
        <f>T("9791137014381")</f>
        <v>9791137014381</v>
      </c>
      <c r="BF5065" t="str">
        <f>T("D168252")</f>
        <v>D168252</v>
      </c>
      <c r="BG5065" t="str">
        <f>T("판타지 웹소설 &gt; 퓨전 판타지")</f>
        <v>판타지 웹소설 &gt; 퓨전 판타지</v>
      </c>
    </row>
    <row r="5066" spans="1:59">
      <c r="A5066" t="s">
        <v>60</v>
      </c>
      <c r="B5066" s="1">
        <v>46129</v>
      </c>
      <c r="C5066">
        <v>2378044065</v>
      </c>
      <c r="D5066">
        <v>2378079098</v>
      </c>
      <c r="E5066" t="str">
        <f>T("저승의 왕위를 계승했다 744화")</f>
        <v>저승의 왕위를 계승했다 744화</v>
      </c>
      <c r="F5066">
        <v>746</v>
      </c>
      <c r="G5066" t="str">
        <f>T("신타비")</f>
        <v>신타비</v>
      </c>
      <c r="J5066" t="str">
        <f>T("매드햇")</f>
        <v>매드햇</v>
      </c>
      <c r="K5066" t="str">
        <f>T("저승의 왕위를 계승했다")</f>
        <v>저승의 왕위를 계승했다</v>
      </c>
      <c r="L5066">
        <v>100</v>
      </c>
      <c r="M5066">
        <v>140</v>
      </c>
      <c r="N5066">
        <v>2</v>
      </c>
      <c r="O5066">
        <v>0</v>
      </c>
      <c r="P5066">
        <v>0</v>
      </c>
      <c r="Q5066">
        <v>0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0</v>
      </c>
      <c r="AE5066">
        <v>0</v>
      </c>
      <c r="AF5066">
        <v>0</v>
      </c>
      <c r="AG5066">
        <v>0</v>
      </c>
      <c r="AH5066">
        <v>0</v>
      </c>
      <c r="AI5066">
        <v>140</v>
      </c>
      <c r="AJ5066">
        <v>2</v>
      </c>
      <c r="AK5066">
        <v>0</v>
      </c>
      <c r="AL5066">
        <v>0</v>
      </c>
      <c r="AM5066">
        <v>140</v>
      </c>
      <c r="AN5066">
        <v>0</v>
      </c>
      <c r="AO5066">
        <v>0</v>
      </c>
      <c r="AP5066">
        <v>0</v>
      </c>
      <c r="AQ5066">
        <v>0</v>
      </c>
      <c r="AS5066">
        <v>0</v>
      </c>
      <c r="AT5066">
        <v>0</v>
      </c>
      <c r="AV5066">
        <v>0</v>
      </c>
      <c r="AW5066">
        <v>0</v>
      </c>
      <c r="AY5066">
        <v>0</v>
      </c>
      <c r="AZ5066">
        <v>0</v>
      </c>
      <c r="BA5066">
        <v>98</v>
      </c>
      <c r="BE5066" t="str">
        <f>T("9791137014381")</f>
        <v>9791137014381</v>
      </c>
      <c r="BF5066" t="str">
        <f>T("D168253")</f>
        <v>D168253</v>
      </c>
      <c r="BG5066" t="str">
        <f>T("판타지 웹소설 &gt; 퓨전 판타지")</f>
        <v>판타지 웹소설 &gt; 퓨전 판타지</v>
      </c>
    </row>
    <row r="5067" spans="1:59">
      <c r="A5067" t="s">
        <v>60</v>
      </c>
      <c r="B5067" s="1">
        <v>46129</v>
      </c>
      <c r="C5067">
        <v>2378044065</v>
      </c>
      <c r="D5067">
        <v>2378079099</v>
      </c>
      <c r="E5067" t="str">
        <f>T("저승의 왕위를 계승했다 745화")</f>
        <v>저승의 왕위를 계승했다 745화</v>
      </c>
      <c r="F5067">
        <v>747</v>
      </c>
      <c r="G5067" t="str">
        <f>T("신타비")</f>
        <v>신타비</v>
      </c>
      <c r="J5067" t="str">
        <f>T("매드햇")</f>
        <v>매드햇</v>
      </c>
      <c r="K5067" t="str">
        <f>T("저승의 왕위를 계승했다")</f>
        <v>저승의 왕위를 계승했다</v>
      </c>
      <c r="L5067">
        <v>100</v>
      </c>
      <c r="M5067">
        <v>140</v>
      </c>
      <c r="N5067">
        <v>2</v>
      </c>
      <c r="O5067">
        <v>0</v>
      </c>
      <c r="P5067">
        <v>0</v>
      </c>
      <c r="Q5067">
        <v>0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0</v>
      </c>
      <c r="AE5067">
        <v>0</v>
      </c>
      <c r="AF5067">
        <v>0</v>
      </c>
      <c r="AG5067">
        <v>0</v>
      </c>
      <c r="AH5067">
        <v>0</v>
      </c>
      <c r="AI5067">
        <v>140</v>
      </c>
      <c r="AJ5067">
        <v>2</v>
      </c>
      <c r="AK5067">
        <v>0</v>
      </c>
      <c r="AL5067">
        <v>0</v>
      </c>
      <c r="AM5067">
        <v>140</v>
      </c>
      <c r="AN5067">
        <v>0</v>
      </c>
      <c r="AO5067">
        <v>0</v>
      </c>
      <c r="AP5067">
        <v>0</v>
      </c>
      <c r="AQ5067">
        <v>0</v>
      </c>
      <c r="AS5067">
        <v>0</v>
      </c>
      <c r="AT5067">
        <v>0</v>
      </c>
      <c r="AV5067">
        <v>0</v>
      </c>
      <c r="AW5067">
        <v>0</v>
      </c>
      <c r="AY5067">
        <v>0</v>
      </c>
      <c r="AZ5067">
        <v>0</v>
      </c>
      <c r="BA5067">
        <v>98</v>
      </c>
      <c r="BE5067" t="str">
        <f>T("9791137014381")</f>
        <v>9791137014381</v>
      </c>
      <c r="BF5067" t="str">
        <f>T("D168254")</f>
        <v>D168254</v>
      </c>
      <c r="BG5067" t="str">
        <f>T("판타지 웹소설 &gt; 퓨전 판타지")</f>
        <v>판타지 웹소설 &gt; 퓨전 판타지</v>
      </c>
    </row>
    <row r="5068" spans="1:59">
      <c r="A5068" t="s">
        <v>60</v>
      </c>
      <c r="B5068" s="1">
        <v>46129</v>
      </c>
      <c r="C5068">
        <v>2378044065</v>
      </c>
      <c r="D5068">
        <v>2378080091</v>
      </c>
      <c r="E5068" t="str">
        <f>T("저승의 왕위를 계승했다 746화")</f>
        <v>저승의 왕위를 계승했다 746화</v>
      </c>
      <c r="F5068">
        <v>748</v>
      </c>
      <c r="G5068" t="str">
        <f>T("신타비")</f>
        <v>신타비</v>
      </c>
      <c r="J5068" t="str">
        <f>T("매드햇")</f>
        <v>매드햇</v>
      </c>
      <c r="K5068" t="str">
        <f>T("저승의 왕위를 계승했다")</f>
        <v>저승의 왕위를 계승했다</v>
      </c>
      <c r="L5068">
        <v>100</v>
      </c>
      <c r="M5068">
        <v>140</v>
      </c>
      <c r="N5068">
        <v>2</v>
      </c>
      <c r="O5068">
        <v>0</v>
      </c>
      <c r="P5068">
        <v>0</v>
      </c>
      <c r="Q5068">
        <v>0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0</v>
      </c>
      <c r="AE5068">
        <v>0</v>
      </c>
      <c r="AF5068">
        <v>0</v>
      </c>
      <c r="AG5068">
        <v>0</v>
      </c>
      <c r="AH5068">
        <v>0</v>
      </c>
      <c r="AI5068">
        <v>140</v>
      </c>
      <c r="AJ5068">
        <v>2</v>
      </c>
      <c r="AK5068">
        <v>0</v>
      </c>
      <c r="AL5068">
        <v>0</v>
      </c>
      <c r="AM5068">
        <v>140</v>
      </c>
      <c r="AN5068">
        <v>0</v>
      </c>
      <c r="AO5068">
        <v>0</v>
      </c>
      <c r="AP5068">
        <v>0</v>
      </c>
      <c r="AQ5068">
        <v>0</v>
      </c>
      <c r="AS5068">
        <v>0</v>
      </c>
      <c r="AT5068">
        <v>0</v>
      </c>
      <c r="AV5068">
        <v>0</v>
      </c>
      <c r="AW5068">
        <v>0</v>
      </c>
      <c r="AY5068">
        <v>0</v>
      </c>
      <c r="AZ5068">
        <v>0</v>
      </c>
      <c r="BA5068">
        <v>98</v>
      </c>
      <c r="BE5068" t="str">
        <f>T("9791137014381")</f>
        <v>9791137014381</v>
      </c>
      <c r="BF5068" t="str">
        <f>T("D168255")</f>
        <v>D168255</v>
      </c>
      <c r="BG5068" t="str">
        <f>T("판타지 웹소설 &gt; 퓨전 판타지")</f>
        <v>판타지 웹소설 &gt; 퓨전 판타지</v>
      </c>
    </row>
    <row r="5069" spans="1:59">
      <c r="A5069" t="s">
        <v>60</v>
      </c>
      <c r="B5069" s="1">
        <v>46129</v>
      </c>
      <c r="C5069">
        <v>2378044065</v>
      </c>
      <c r="D5069">
        <v>2378080097</v>
      </c>
      <c r="E5069" t="str">
        <f>T("저승의 왕위를 계승했다 747화")</f>
        <v>저승의 왕위를 계승했다 747화</v>
      </c>
      <c r="F5069">
        <v>749</v>
      </c>
      <c r="G5069" t="str">
        <f>T("신타비")</f>
        <v>신타비</v>
      </c>
      <c r="J5069" t="str">
        <f>T("매드햇")</f>
        <v>매드햇</v>
      </c>
      <c r="K5069" t="str">
        <f>T("저승의 왕위를 계승했다")</f>
        <v>저승의 왕위를 계승했다</v>
      </c>
      <c r="L5069">
        <v>100</v>
      </c>
      <c r="M5069">
        <v>140</v>
      </c>
      <c r="N5069">
        <v>2</v>
      </c>
      <c r="O5069">
        <v>0</v>
      </c>
      <c r="P5069">
        <v>0</v>
      </c>
      <c r="Q5069">
        <v>0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0</v>
      </c>
      <c r="AC5069">
        <v>0</v>
      </c>
      <c r="AD5069">
        <v>0</v>
      </c>
      <c r="AE5069">
        <v>0</v>
      </c>
      <c r="AF5069">
        <v>0</v>
      </c>
      <c r="AG5069">
        <v>0</v>
      </c>
      <c r="AH5069">
        <v>0</v>
      </c>
      <c r="AI5069">
        <v>140</v>
      </c>
      <c r="AJ5069">
        <v>2</v>
      </c>
      <c r="AK5069">
        <v>0</v>
      </c>
      <c r="AL5069">
        <v>0</v>
      </c>
      <c r="AM5069">
        <v>140</v>
      </c>
      <c r="AN5069">
        <v>0</v>
      </c>
      <c r="AO5069">
        <v>0</v>
      </c>
      <c r="AP5069">
        <v>0</v>
      </c>
      <c r="AQ5069">
        <v>0</v>
      </c>
      <c r="AS5069">
        <v>0</v>
      </c>
      <c r="AT5069">
        <v>0</v>
      </c>
      <c r="AV5069">
        <v>0</v>
      </c>
      <c r="AW5069">
        <v>0</v>
      </c>
      <c r="AY5069">
        <v>0</v>
      </c>
      <c r="AZ5069">
        <v>0</v>
      </c>
      <c r="BA5069">
        <v>98</v>
      </c>
      <c r="BE5069" t="str">
        <f>T("9791137014381")</f>
        <v>9791137014381</v>
      </c>
      <c r="BF5069" t="str">
        <f>T("D168256")</f>
        <v>D168256</v>
      </c>
      <c r="BG5069" t="str">
        <f>T("판타지 웹소설 &gt; 퓨전 판타지")</f>
        <v>판타지 웹소설 &gt; 퓨전 판타지</v>
      </c>
    </row>
    <row r="5070" spans="1:59">
      <c r="A5070" t="s">
        <v>60</v>
      </c>
      <c r="B5070" s="1">
        <v>46129</v>
      </c>
      <c r="C5070">
        <v>2378044065</v>
      </c>
      <c r="D5070">
        <v>2378080098</v>
      </c>
      <c r="E5070" t="str">
        <f>T("저승의 왕위를 계승했다 748화")</f>
        <v>저승의 왕위를 계승했다 748화</v>
      </c>
      <c r="F5070">
        <v>750</v>
      </c>
      <c r="G5070" t="str">
        <f>T("신타비")</f>
        <v>신타비</v>
      </c>
      <c r="J5070" t="str">
        <f>T("매드햇")</f>
        <v>매드햇</v>
      </c>
      <c r="K5070" t="str">
        <f>T("저승의 왕위를 계승했다")</f>
        <v>저승의 왕위를 계승했다</v>
      </c>
      <c r="L5070">
        <v>100</v>
      </c>
      <c r="M5070">
        <v>140</v>
      </c>
      <c r="N5070">
        <v>2</v>
      </c>
      <c r="O5070">
        <v>0</v>
      </c>
      <c r="P5070">
        <v>0</v>
      </c>
      <c r="Q5070">
        <v>0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0</v>
      </c>
      <c r="AC5070">
        <v>0</v>
      </c>
      <c r="AD5070">
        <v>0</v>
      </c>
      <c r="AE5070">
        <v>0</v>
      </c>
      <c r="AF5070">
        <v>0</v>
      </c>
      <c r="AG5070">
        <v>0</v>
      </c>
      <c r="AH5070">
        <v>0</v>
      </c>
      <c r="AI5070">
        <v>140</v>
      </c>
      <c r="AJ5070">
        <v>2</v>
      </c>
      <c r="AK5070">
        <v>0</v>
      </c>
      <c r="AL5070">
        <v>0</v>
      </c>
      <c r="AM5070">
        <v>140</v>
      </c>
      <c r="AN5070">
        <v>0</v>
      </c>
      <c r="AO5070">
        <v>0</v>
      </c>
      <c r="AP5070">
        <v>0</v>
      </c>
      <c r="AQ5070">
        <v>0</v>
      </c>
      <c r="AS5070">
        <v>0</v>
      </c>
      <c r="AT5070">
        <v>0</v>
      </c>
      <c r="AV5070">
        <v>0</v>
      </c>
      <c r="AW5070">
        <v>0</v>
      </c>
      <c r="AY5070">
        <v>0</v>
      </c>
      <c r="AZ5070">
        <v>0</v>
      </c>
      <c r="BA5070">
        <v>98</v>
      </c>
      <c r="BE5070" t="str">
        <f>T("9791137014381")</f>
        <v>9791137014381</v>
      </c>
      <c r="BF5070" t="str">
        <f>T("D168257")</f>
        <v>D168257</v>
      </c>
      <c r="BG5070" t="str">
        <f>T("판타지 웹소설 &gt; 퓨전 판타지")</f>
        <v>판타지 웹소설 &gt; 퓨전 판타지</v>
      </c>
    </row>
    <row r="5071" spans="1:59">
      <c r="A5071" t="s">
        <v>60</v>
      </c>
      <c r="B5071" s="1">
        <v>46129</v>
      </c>
      <c r="C5071">
        <v>2378044065</v>
      </c>
      <c r="D5071">
        <v>2378080114</v>
      </c>
      <c r="E5071" t="str">
        <f>T("저승의 왕위를 계승했다 749화")</f>
        <v>저승의 왕위를 계승했다 749화</v>
      </c>
      <c r="F5071">
        <v>751</v>
      </c>
      <c r="G5071" t="str">
        <f>T("신타비")</f>
        <v>신타비</v>
      </c>
      <c r="J5071" t="str">
        <f>T("매드햇")</f>
        <v>매드햇</v>
      </c>
      <c r="K5071" t="str">
        <f>T("저승의 왕위를 계승했다")</f>
        <v>저승의 왕위를 계승했다</v>
      </c>
      <c r="L5071">
        <v>100</v>
      </c>
      <c r="M5071">
        <v>140</v>
      </c>
      <c r="N5071">
        <v>2</v>
      </c>
      <c r="O5071">
        <v>0</v>
      </c>
      <c r="P5071">
        <v>0</v>
      </c>
      <c r="Q5071">
        <v>0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0</v>
      </c>
      <c r="AC5071">
        <v>0</v>
      </c>
      <c r="AD5071">
        <v>0</v>
      </c>
      <c r="AE5071">
        <v>0</v>
      </c>
      <c r="AF5071">
        <v>0</v>
      </c>
      <c r="AG5071">
        <v>0</v>
      </c>
      <c r="AH5071">
        <v>0</v>
      </c>
      <c r="AI5071">
        <v>140</v>
      </c>
      <c r="AJ5071">
        <v>2</v>
      </c>
      <c r="AK5071">
        <v>0</v>
      </c>
      <c r="AL5071">
        <v>0</v>
      </c>
      <c r="AM5071">
        <v>140</v>
      </c>
      <c r="AN5071">
        <v>0</v>
      </c>
      <c r="AO5071">
        <v>0</v>
      </c>
      <c r="AP5071">
        <v>0</v>
      </c>
      <c r="AQ5071">
        <v>0</v>
      </c>
      <c r="AS5071">
        <v>0</v>
      </c>
      <c r="AT5071">
        <v>0</v>
      </c>
      <c r="AV5071">
        <v>0</v>
      </c>
      <c r="AW5071">
        <v>0</v>
      </c>
      <c r="AY5071">
        <v>0</v>
      </c>
      <c r="AZ5071">
        <v>0</v>
      </c>
      <c r="BA5071">
        <v>98</v>
      </c>
      <c r="BE5071" t="str">
        <f>T("9791137014381")</f>
        <v>9791137014381</v>
      </c>
      <c r="BF5071" t="str">
        <f>T("D168258")</f>
        <v>D168258</v>
      </c>
      <c r="BG5071" t="str">
        <f>T("판타지 웹소설 &gt; 퓨전 판타지")</f>
        <v>판타지 웹소설 &gt; 퓨전 판타지</v>
      </c>
    </row>
    <row r="5072" spans="1:59">
      <c r="A5072" t="s">
        <v>60</v>
      </c>
      <c r="B5072" s="1">
        <v>46129</v>
      </c>
      <c r="C5072">
        <v>2378044065</v>
      </c>
      <c r="D5072">
        <v>2378080115</v>
      </c>
      <c r="E5072" t="str">
        <f>T("저승의 왕위를 계승했다 750화")</f>
        <v>저승의 왕위를 계승했다 750화</v>
      </c>
      <c r="F5072">
        <v>752</v>
      </c>
      <c r="G5072" t="str">
        <f>T("신타비")</f>
        <v>신타비</v>
      </c>
      <c r="J5072" t="str">
        <f>T("매드햇")</f>
        <v>매드햇</v>
      </c>
      <c r="K5072" t="str">
        <f>T("저승의 왕위를 계승했다")</f>
        <v>저승의 왕위를 계승했다</v>
      </c>
      <c r="L5072">
        <v>100</v>
      </c>
      <c r="M5072">
        <v>140</v>
      </c>
      <c r="N5072">
        <v>2</v>
      </c>
      <c r="O5072">
        <v>0</v>
      </c>
      <c r="P5072">
        <v>0</v>
      </c>
      <c r="Q5072">
        <v>0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0</v>
      </c>
      <c r="AC5072">
        <v>0</v>
      </c>
      <c r="AD5072">
        <v>0</v>
      </c>
      <c r="AE5072">
        <v>0</v>
      </c>
      <c r="AF5072">
        <v>0</v>
      </c>
      <c r="AG5072">
        <v>0</v>
      </c>
      <c r="AH5072">
        <v>0</v>
      </c>
      <c r="AI5072">
        <v>140</v>
      </c>
      <c r="AJ5072">
        <v>2</v>
      </c>
      <c r="AK5072">
        <v>0</v>
      </c>
      <c r="AL5072">
        <v>0</v>
      </c>
      <c r="AM5072">
        <v>140</v>
      </c>
      <c r="AN5072">
        <v>0</v>
      </c>
      <c r="AO5072">
        <v>0</v>
      </c>
      <c r="AP5072">
        <v>0</v>
      </c>
      <c r="AQ5072">
        <v>0</v>
      </c>
      <c r="AS5072">
        <v>0</v>
      </c>
      <c r="AT5072">
        <v>0</v>
      </c>
      <c r="AV5072">
        <v>0</v>
      </c>
      <c r="AW5072">
        <v>0</v>
      </c>
      <c r="AY5072">
        <v>0</v>
      </c>
      <c r="AZ5072">
        <v>0</v>
      </c>
      <c r="BA5072">
        <v>98</v>
      </c>
      <c r="BE5072" t="str">
        <f>T("9791137014381")</f>
        <v>9791137014381</v>
      </c>
      <c r="BF5072" t="str">
        <f>T("D168259")</f>
        <v>D168259</v>
      </c>
      <c r="BG5072" t="str">
        <f>T("판타지 웹소설 &gt; 퓨전 판타지")</f>
        <v>판타지 웹소설 &gt; 퓨전 판타지</v>
      </c>
    </row>
    <row r="5073" spans="1:59">
      <c r="A5073" t="s">
        <v>60</v>
      </c>
      <c r="B5073" s="1">
        <v>46129</v>
      </c>
      <c r="C5073">
        <v>2378044065</v>
      </c>
      <c r="D5073">
        <v>2378080116</v>
      </c>
      <c r="E5073" t="str">
        <f>T("저승의 왕위를 계승했다 751화")</f>
        <v>저승의 왕위를 계승했다 751화</v>
      </c>
      <c r="F5073">
        <v>753</v>
      </c>
      <c r="G5073" t="str">
        <f>T("신타비")</f>
        <v>신타비</v>
      </c>
      <c r="J5073" t="str">
        <f>T("매드햇")</f>
        <v>매드햇</v>
      </c>
      <c r="K5073" t="str">
        <f>T("저승의 왕위를 계승했다")</f>
        <v>저승의 왕위를 계승했다</v>
      </c>
      <c r="L5073">
        <v>100</v>
      </c>
      <c r="M5073">
        <v>140</v>
      </c>
      <c r="N5073">
        <v>2</v>
      </c>
      <c r="O5073">
        <v>0</v>
      </c>
      <c r="P5073">
        <v>0</v>
      </c>
      <c r="Q5073">
        <v>0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0</v>
      </c>
      <c r="AC5073">
        <v>0</v>
      </c>
      <c r="AD5073">
        <v>0</v>
      </c>
      <c r="AE5073">
        <v>0</v>
      </c>
      <c r="AF5073">
        <v>0</v>
      </c>
      <c r="AG5073">
        <v>0</v>
      </c>
      <c r="AH5073">
        <v>0</v>
      </c>
      <c r="AI5073">
        <v>140</v>
      </c>
      <c r="AJ5073">
        <v>2</v>
      </c>
      <c r="AK5073">
        <v>0</v>
      </c>
      <c r="AL5073">
        <v>0</v>
      </c>
      <c r="AM5073">
        <v>140</v>
      </c>
      <c r="AN5073">
        <v>0</v>
      </c>
      <c r="AO5073">
        <v>0</v>
      </c>
      <c r="AP5073">
        <v>0</v>
      </c>
      <c r="AQ5073">
        <v>0</v>
      </c>
      <c r="AS5073">
        <v>0</v>
      </c>
      <c r="AT5073">
        <v>0</v>
      </c>
      <c r="AV5073">
        <v>0</v>
      </c>
      <c r="AW5073">
        <v>0</v>
      </c>
      <c r="AY5073">
        <v>0</v>
      </c>
      <c r="AZ5073">
        <v>0</v>
      </c>
      <c r="BA5073">
        <v>98</v>
      </c>
      <c r="BE5073" t="str">
        <f>T("9791137014381")</f>
        <v>9791137014381</v>
      </c>
      <c r="BF5073" t="str">
        <f>T("D184247")</f>
        <v>D184247</v>
      </c>
      <c r="BG5073" t="str">
        <f>T("판타지 웹소설 &gt; 퓨전 판타지")</f>
        <v>판타지 웹소설 &gt; 퓨전 판타지</v>
      </c>
    </row>
    <row r="5074" spans="1:59">
      <c r="A5074" t="s">
        <v>60</v>
      </c>
      <c r="B5074" s="1">
        <v>46129</v>
      </c>
      <c r="C5074">
        <v>2378044065</v>
      </c>
      <c r="D5074">
        <v>2378080117</v>
      </c>
      <c r="E5074" t="str">
        <f>T("저승의 왕위를 계승했다 752화")</f>
        <v>저승의 왕위를 계승했다 752화</v>
      </c>
      <c r="F5074">
        <v>754</v>
      </c>
      <c r="G5074" t="str">
        <f>T("신타비")</f>
        <v>신타비</v>
      </c>
      <c r="J5074" t="str">
        <f>T("매드햇")</f>
        <v>매드햇</v>
      </c>
      <c r="K5074" t="str">
        <f>T("저승의 왕위를 계승했다")</f>
        <v>저승의 왕위를 계승했다</v>
      </c>
      <c r="L5074">
        <v>100</v>
      </c>
      <c r="M5074">
        <v>140</v>
      </c>
      <c r="N5074">
        <v>2</v>
      </c>
      <c r="O5074">
        <v>0</v>
      </c>
      <c r="P5074">
        <v>0</v>
      </c>
      <c r="Q5074">
        <v>0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0</v>
      </c>
      <c r="AC5074">
        <v>0</v>
      </c>
      <c r="AD5074">
        <v>0</v>
      </c>
      <c r="AE5074">
        <v>0</v>
      </c>
      <c r="AF5074">
        <v>0</v>
      </c>
      <c r="AG5074">
        <v>0</v>
      </c>
      <c r="AH5074">
        <v>0</v>
      </c>
      <c r="AI5074">
        <v>140</v>
      </c>
      <c r="AJ5074">
        <v>2</v>
      </c>
      <c r="AK5074">
        <v>0</v>
      </c>
      <c r="AL5074">
        <v>0</v>
      </c>
      <c r="AM5074">
        <v>140</v>
      </c>
      <c r="AN5074">
        <v>0</v>
      </c>
      <c r="AO5074">
        <v>0</v>
      </c>
      <c r="AP5074">
        <v>0</v>
      </c>
      <c r="AQ5074">
        <v>0</v>
      </c>
      <c r="AS5074">
        <v>0</v>
      </c>
      <c r="AT5074">
        <v>0</v>
      </c>
      <c r="AV5074">
        <v>0</v>
      </c>
      <c r="AW5074">
        <v>0</v>
      </c>
      <c r="AY5074">
        <v>0</v>
      </c>
      <c r="AZ5074">
        <v>0</v>
      </c>
      <c r="BA5074">
        <v>98</v>
      </c>
      <c r="BE5074" t="str">
        <f>T("9791137014381")</f>
        <v>9791137014381</v>
      </c>
      <c r="BF5074" t="str">
        <f>T("D184248")</f>
        <v>D184248</v>
      </c>
      <c r="BG5074" t="str">
        <f>T("판타지 웹소설 &gt; 퓨전 판타지")</f>
        <v>판타지 웹소설 &gt; 퓨전 판타지</v>
      </c>
    </row>
    <row r="5075" spans="1:59">
      <c r="A5075" t="s">
        <v>60</v>
      </c>
      <c r="B5075" s="1">
        <v>46129</v>
      </c>
      <c r="C5075">
        <v>2378044065</v>
      </c>
      <c r="D5075">
        <v>2378080309</v>
      </c>
      <c r="E5075" t="str">
        <f>T("저승의 왕위를 계승했다 753화")</f>
        <v>저승의 왕위를 계승했다 753화</v>
      </c>
      <c r="F5075">
        <v>755</v>
      </c>
      <c r="G5075" t="str">
        <f>T("신타비")</f>
        <v>신타비</v>
      </c>
      <c r="J5075" t="str">
        <f>T("매드햇")</f>
        <v>매드햇</v>
      </c>
      <c r="K5075" t="str">
        <f>T("저승의 왕위를 계승했다")</f>
        <v>저승의 왕위를 계승했다</v>
      </c>
      <c r="L5075">
        <v>100</v>
      </c>
      <c r="M5075">
        <v>140</v>
      </c>
      <c r="N5075">
        <v>2</v>
      </c>
      <c r="O5075">
        <v>0</v>
      </c>
      <c r="P5075">
        <v>0</v>
      </c>
      <c r="Q5075">
        <v>0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0</v>
      </c>
      <c r="AE5075">
        <v>0</v>
      </c>
      <c r="AF5075">
        <v>0</v>
      </c>
      <c r="AG5075">
        <v>0</v>
      </c>
      <c r="AH5075">
        <v>0</v>
      </c>
      <c r="AI5075">
        <v>140</v>
      </c>
      <c r="AJ5075">
        <v>2</v>
      </c>
      <c r="AK5075">
        <v>0</v>
      </c>
      <c r="AL5075">
        <v>0</v>
      </c>
      <c r="AM5075">
        <v>140</v>
      </c>
      <c r="AN5075">
        <v>0</v>
      </c>
      <c r="AO5075">
        <v>0</v>
      </c>
      <c r="AP5075">
        <v>0</v>
      </c>
      <c r="AQ5075">
        <v>0</v>
      </c>
      <c r="AS5075">
        <v>0</v>
      </c>
      <c r="AT5075">
        <v>0</v>
      </c>
      <c r="AV5075">
        <v>0</v>
      </c>
      <c r="AW5075">
        <v>0</v>
      </c>
      <c r="AY5075">
        <v>0</v>
      </c>
      <c r="AZ5075">
        <v>0</v>
      </c>
      <c r="BA5075">
        <v>98</v>
      </c>
      <c r="BE5075" t="str">
        <f>T("9791137014381")</f>
        <v>9791137014381</v>
      </c>
      <c r="BF5075" t="str">
        <f>T("D184249")</f>
        <v>D184249</v>
      </c>
      <c r="BG5075" t="str">
        <f>T("판타지 웹소설 &gt; 퓨전 판타지")</f>
        <v>판타지 웹소설 &gt; 퓨전 판타지</v>
      </c>
    </row>
    <row r="5076" spans="1:59">
      <c r="A5076" t="s">
        <v>60</v>
      </c>
      <c r="B5076" s="1">
        <v>46129</v>
      </c>
      <c r="C5076">
        <v>2378044065</v>
      </c>
      <c r="D5076">
        <v>2378080310</v>
      </c>
      <c r="E5076" t="str">
        <f>T("저승의 왕위를 계승했다 754화")</f>
        <v>저승의 왕위를 계승했다 754화</v>
      </c>
      <c r="F5076">
        <v>756</v>
      </c>
      <c r="G5076" t="str">
        <f>T("신타비")</f>
        <v>신타비</v>
      </c>
      <c r="J5076" t="str">
        <f>T("매드햇")</f>
        <v>매드햇</v>
      </c>
      <c r="K5076" t="str">
        <f>T("저승의 왕위를 계승했다")</f>
        <v>저승의 왕위를 계승했다</v>
      </c>
      <c r="L5076">
        <v>100</v>
      </c>
      <c r="M5076">
        <v>140</v>
      </c>
      <c r="N5076">
        <v>2</v>
      </c>
      <c r="O5076">
        <v>0</v>
      </c>
      <c r="P5076">
        <v>0</v>
      </c>
      <c r="Q5076">
        <v>0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0</v>
      </c>
      <c r="AE5076">
        <v>0</v>
      </c>
      <c r="AF5076">
        <v>0</v>
      </c>
      <c r="AG5076">
        <v>0</v>
      </c>
      <c r="AH5076">
        <v>0</v>
      </c>
      <c r="AI5076">
        <v>140</v>
      </c>
      <c r="AJ5076">
        <v>2</v>
      </c>
      <c r="AK5076">
        <v>0</v>
      </c>
      <c r="AL5076">
        <v>0</v>
      </c>
      <c r="AM5076">
        <v>140</v>
      </c>
      <c r="AN5076">
        <v>0</v>
      </c>
      <c r="AO5076">
        <v>0</v>
      </c>
      <c r="AP5076">
        <v>0</v>
      </c>
      <c r="AQ5076">
        <v>0</v>
      </c>
      <c r="AS5076">
        <v>0</v>
      </c>
      <c r="AT5076">
        <v>0</v>
      </c>
      <c r="AV5076">
        <v>0</v>
      </c>
      <c r="AW5076">
        <v>0</v>
      </c>
      <c r="AY5076">
        <v>0</v>
      </c>
      <c r="AZ5076">
        <v>0</v>
      </c>
      <c r="BA5076">
        <v>98</v>
      </c>
      <c r="BE5076" t="str">
        <f>T("9791137014381")</f>
        <v>9791137014381</v>
      </c>
      <c r="BF5076" t="str">
        <f>T("D184250")</f>
        <v>D184250</v>
      </c>
      <c r="BG5076" t="str">
        <f>T("판타지 웹소설 &gt; 퓨전 판타지")</f>
        <v>판타지 웹소설 &gt; 퓨전 판타지</v>
      </c>
    </row>
    <row r="5077" spans="1:59">
      <c r="A5077" t="s">
        <v>60</v>
      </c>
      <c r="B5077" s="1">
        <v>46129</v>
      </c>
      <c r="C5077">
        <v>2378044065</v>
      </c>
      <c r="D5077">
        <v>2378080311</v>
      </c>
      <c r="E5077" t="str">
        <f>T("저승의 왕위를 계승했다 755화")</f>
        <v>저승의 왕위를 계승했다 755화</v>
      </c>
      <c r="F5077">
        <v>757</v>
      </c>
      <c r="G5077" t="str">
        <f>T("신타비")</f>
        <v>신타비</v>
      </c>
      <c r="J5077" t="str">
        <f>T("매드햇")</f>
        <v>매드햇</v>
      </c>
      <c r="K5077" t="str">
        <f>T("저승의 왕위를 계승했다")</f>
        <v>저승의 왕위를 계승했다</v>
      </c>
      <c r="L5077">
        <v>100</v>
      </c>
      <c r="M5077">
        <v>140</v>
      </c>
      <c r="N5077">
        <v>2</v>
      </c>
      <c r="O5077">
        <v>0</v>
      </c>
      <c r="P5077">
        <v>0</v>
      </c>
      <c r="Q5077">
        <v>0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0</v>
      </c>
      <c r="AE5077">
        <v>0</v>
      </c>
      <c r="AF5077">
        <v>0</v>
      </c>
      <c r="AG5077">
        <v>0</v>
      </c>
      <c r="AH5077">
        <v>0</v>
      </c>
      <c r="AI5077">
        <v>140</v>
      </c>
      <c r="AJ5077">
        <v>2</v>
      </c>
      <c r="AK5077">
        <v>0</v>
      </c>
      <c r="AL5077">
        <v>0</v>
      </c>
      <c r="AM5077">
        <v>140</v>
      </c>
      <c r="AN5077">
        <v>0</v>
      </c>
      <c r="AO5077">
        <v>0</v>
      </c>
      <c r="AP5077">
        <v>0</v>
      </c>
      <c r="AQ5077">
        <v>0</v>
      </c>
      <c r="AS5077">
        <v>0</v>
      </c>
      <c r="AT5077">
        <v>0</v>
      </c>
      <c r="AV5077">
        <v>0</v>
      </c>
      <c r="AW5077">
        <v>0</v>
      </c>
      <c r="AY5077">
        <v>0</v>
      </c>
      <c r="AZ5077">
        <v>0</v>
      </c>
      <c r="BA5077">
        <v>98</v>
      </c>
      <c r="BE5077" t="str">
        <f>T("9791137014381")</f>
        <v>9791137014381</v>
      </c>
      <c r="BF5077" t="str">
        <f>T("D184251")</f>
        <v>D184251</v>
      </c>
      <c r="BG5077" t="str">
        <f>T("판타지 웹소설 &gt; 퓨전 판타지")</f>
        <v>판타지 웹소설 &gt; 퓨전 판타지</v>
      </c>
    </row>
    <row r="5078" spans="1:59">
      <c r="A5078" t="s">
        <v>60</v>
      </c>
      <c r="B5078" s="1">
        <v>46129</v>
      </c>
      <c r="C5078">
        <v>2378044065</v>
      </c>
      <c r="D5078">
        <v>2378080312</v>
      </c>
      <c r="E5078" t="str">
        <f>T("저승의 왕위를 계승했다 756화")</f>
        <v>저승의 왕위를 계승했다 756화</v>
      </c>
      <c r="F5078">
        <v>758</v>
      </c>
      <c r="G5078" t="str">
        <f>T("신타비")</f>
        <v>신타비</v>
      </c>
      <c r="J5078" t="str">
        <f>T("매드햇")</f>
        <v>매드햇</v>
      </c>
      <c r="K5078" t="str">
        <f>T("저승의 왕위를 계승했다")</f>
        <v>저승의 왕위를 계승했다</v>
      </c>
      <c r="L5078">
        <v>100</v>
      </c>
      <c r="M5078">
        <v>140</v>
      </c>
      <c r="N5078">
        <v>2</v>
      </c>
      <c r="O5078">
        <v>0</v>
      </c>
      <c r="P5078">
        <v>0</v>
      </c>
      <c r="Q5078">
        <v>0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0</v>
      </c>
      <c r="AE5078">
        <v>0</v>
      </c>
      <c r="AF5078">
        <v>0</v>
      </c>
      <c r="AG5078">
        <v>0</v>
      </c>
      <c r="AH5078">
        <v>0</v>
      </c>
      <c r="AI5078">
        <v>140</v>
      </c>
      <c r="AJ5078">
        <v>2</v>
      </c>
      <c r="AK5078">
        <v>0</v>
      </c>
      <c r="AL5078">
        <v>0</v>
      </c>
      <c r="AM5078">
        <v>140</v>
      </c>
      <c r="AN5078">
        <v>0</v>
      </c>
      <c r="AO5078">
        <v>0</v>
      </c>
      <c r="AP5078">
        <v>0</v>
      </c>
      <c r="AQ5078">
        <v>0</v>
      </c>
      <c r="AS5078">
        <v>0</v>
      </c>
      <c r="AT5078">
        <v>0</v>
      </c>
      <c r="AV5078">
        <v>0</v>
      </c>
      <c r="AW5078">
        <v>0</v>
      </c>
      <c r="AY5078">
        <v>0</v>
      </c>
      <c r="AZ5078">
        <v>0</v>
      </c>
      <c r="BA5078">
        <v>98</v>
      </c>
      <c r="BE5078" t="str">
        <f>T("9791137014381")</f>
        <v>9791137014381</v>
      </c>
      <c r="BF5078" t="str">
        <f>T("D184252")</f>
        <v>D184252</v>
      </c>
      <c r="BG5078" t="str">
        <f>T("판타지 웹소설 &gt; 퓨전 판타지")</f>
        <v>판타지 웹소설 &gt; 퓨전 판타지</v>
      </c>
    </row>
    <row r="5079" spans="1:59">
      <c r="A5079" t="s">
        <v>60</v>
      </c>
      <c r="B5079" s="1">
        <v>46129</v>
      </c>
      <c r="C5079">
        <v>2378044065</v>
      </c>
      <c r="D5079">
        <v>2378080343</v>
      </c>
      <c r="E5079" t="str">
        <f>T("저승의 왕위를 계승했다 757화")</f>
        <v>저승의 왕위를 계승했다 757화</v>
      </c>
      <c r="F5079">
        <v>759</v>
      </c>
      <c r="G5079" t="str">
        <f>T("신타비")</f>
        <v>신타비</v>
      </c>
      <c r="J5079" t="str">
        <f>T("매드햇")</f>
        <v>매드햇</v>
      </c>
      <c r="K5079" t="str">
        <f>T("저승의 왕위를 계승했다")</f>
        <v>저승의 왕위를 계승했다</v>
      </c>
      <c r="L5079">
        <v>100</v>
      </c>
      <c r="M5079">
        <v>140</v>
      </c>
      <c r="N5079">
        <v>2</v>
      </c>
      <c r="O5079">
        <v>0</v>
      </c>
      <c r="P5079">
        <v>0</v>
      </c>
      <c r="Q5079">
        <v>0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0</v>
      </c>
      <c r="AE5079">
        <v>0</v>
      </c>
      <c r="AF5079">
        <v>0</v>
      </c>
      <c r="AG5079">
        <v>0</v>
      </c>
      <c r="AH5079">
        <v>0</v>
      </c>
      <c r="AI5079">
        <v>140</v>
      </c>
      <c r="AJ5079">
        <v>2</v>
      </c>
      <c r="AK5079">
        <v>0</v>
      </c>
      <c r="AL5079">
        <v>0</v>
      </c>
      <c r="AM5079">
        <v>140</v>
      </c>
      <c r="AN5079">
        <v>0</v>
      </c>
      <c r="AO5079">
        <v>0</v>
      </c>
      <c r="AP5079">
        <v>0</v>
      </c>
      <c r="AQ5079">
        <v>0</v>
      </c>
      <c r="AS5079">
        <v>0</v>
      </c>
      <c r="AT5079">
        <v>0</v>
      </c>
      <c r="AV5079">
        <v>0</v>
      </c>
      <c r="AW5079">
        <v>0</v>
      </c>
      <c r="AY5079">
        <v>0</v>
      </c>
      <c r="AZ5079">
        <v>0</v>
      </c>
      <c r="BA5079">
        <v>98</v>
      </c>
      <c r="BE5079" t="str">
        <f>T("9791137014381")</f>
        <v>9791137014381</v>
      </c>
      <c r="BF5079" t="str">
        <f>T("D184253")</f>
        <v>D184253</v>
      </c>
      <c r="BG5079" t="str">
        <f>T("판타지 웹소설 &gt; 퓨전 판타지")</f>
        <v>판타지 웹소설 &gt; 퓨전 판타지</v>
      </c>
    </row>
    <row r="5080" spans="1:59">
      <c r="A5080" t="s">
        <v>60</v>
      </c>
      <c r="B5080" s="1">
        <v>46129</v>
      </c>
      <c r="C5080">
        <v>2378044065</v>
      </c>
      <c r="D5080">
        <v>2378080344</v>
      </c>
      <c r="E5080" t="str">
        <f>T("저승의 왕위를 계승했다 758화")</f>
        <v>저승의 왕위를 계승했다 758화</v>
      </c>
      <c r="F5080">
        <v>760</v>
      </c>
      <c r="G5080" t="str">
        <f>T("신타비")</f>
        <v>신타비</v>
      </c>
      <c r="J5080" t="str">
        <f>T("매드햇")</f>
        <v>매드햇</v>
      </c>
      <c r="K5080" t="str">
        <f>T("저승의 왕위를 계승했다")</f>
        <v>저승의 왕위를 계승했다</v>
      </c>
      <c r="L5080">
        <v>100</v>
      </c>
      <c r="M5080">
        <v>140</v>
      </c>
      <c r="N5080">
        <v>2</v>
      </c>
      <c r="O5080">
        <v>0</v>
      </c>
      <c r="P5080">
        <v>0</v>
      </c>
      <c r="Q5080">
        <v>0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0</v>
      </c>
      <c r="AE5080">
        <v>0</v>
      </c>
      <c r="AF5080">
        <v>0</v>
      </c>
      <c r="AG5080">
        <v>0</v>
      </c>
      <c r="AH5080">
        <v>0</v>
      </c>
      <c r="AI5080">
        <v>140</v>
      </c>
      <c r="AJ5080">
        <v>2</v>
      </c>
      <c r="AK5080">
        <v>0</v>
      </c>
      <c r="AL5080">
        <v>0</v>
      </c>
      <c r="AM5080">
        <v>140</v>
      </c>
      <c r="AN5080">
        <v>0</v>
      </c>
      <c r="AO5080">
        <v>0</v>
      </c>
      <c r="AP5080">
        <v>0</v>
      </c>
      <c r="AQ5080">
        <v>0</v>
      </c>
      <c r="AS5080">
        <v>0</v>
      </c>
      <c r="AT5080">
        <v>0</v>
      </c>
      <c r="AV5080">
        <v>0</v>
      </c>
      <c r="AW5080">
        <v>0</v>
      </c>
      <c r="AY5080">
        <v>0</v>
      </c>
      <c r="AZ5080">
        <v>0</v>
      </c>
      <c r="BA5080">
        <v>98</v>
      </c>
      <c r="BE5080" t="str">
        <f>T("9791137014381")</f>
        <v>9791137014381</v>
      </c>
      <c r="BF5080" t="str">
        <f>T("D184254")</f>
        <v>D184254</v>
      </c>
      <c r="BG5080" t="str">
        <f>T("판타지 웹소설 &gt; 퓨전 판타지")</f>
        <v>판타지 웹소설 &gt; 퓨전 판타지</v>
      </c>
    </row>
    <row r="5081" spans="1:59">
      <c r="A5081" t="s">
        <v>60</v>
      </c>
      <c r="B5081" s="1">
        <v>46129</v>
      </c>
      <c r="C5081">
        <v>2378044065</v>
      </c>
      <c r="D5081">
        <v>2378080345</v>
      </c>
      <c r="E5081" t="str">
        <f>T("저승의 왕위를 계승했다 759화")</f>
        <v>저승의 왕위를 계승했다 759화</v>
      </c>
      <c r="F5081">
        <v>761</v>
      </c>
      <c r="G5081" t="str">
        <f>T("신타비")</f>
        <v>신타비</v>
      </c>
      <c r="J5081" t="str">
        <f>T("매드햇")</f>
        <v>매드햇</v>
      </c>
      <c r="K5081" t="str">
        <f>T("저승의 왕위를 계승했다")</f>
        <v>저승의 왕위를 계승했다</v>
      </c>
      <c r="L5081">
        <v>100</v>
      </c>
      <c r="M5081">
        <v>140</v>
      </c>
      <c r="N5081">
        <v>2</v>
      </c>
      <c r="O5081">
        <v>0</v>
      </c>
      <c r="P5081">
        <v>0</v>
      </c>
      <c r="Q5081">
        <v>0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0</v>
      </c>
      <c r="AE5081">
        <v>0</v>
      </c>
      <c r="AF5081">
        <v>0</v>
      </c>
      <c r="AG5081">
        <v>0</v>
      </c>
      <c r="AH5081">
        <v>0</v>
      </c>
      <c r="AI5081">
        <v>140</v>
      </c>
      <c r="AJ5081">
        <v>2</v>
      </c>
      <c r="AK5081">
        <v>0</v>
      </c>
      <c r="AL5081">
        <v>0</v>
      </c>
      <c r="AM5081">
        <v>140</v>
      </c>
      <c r="AN5081">
        <v>0</v>
      </c>
      <c r="AO5081">
        <v>0</v>
      </c>
      <c r="AP5081">
        <v>0</v>
      </c>
      <c r="AQ5081">
        <v>0</v>
      </c>
      <c r="AS5081">
        <v>0</v>
      </c>
      <c r="AT5081">
        <v>0</v>
      </c>
      <c r="AV5081">
        <v>0</v>
      </c>
      <c r="AW5081">
        <v>0</v>
      </c>
      <c r="AY5081">
        <v>0</v>
      </c>
      <c r="AZ5081">
        <v>0</v>
      </c>
      <c r="BA5081">
        <v>98</v>
      </c>
      <c r="BE5081" t="str">
        <f>T("9791137014381")</f>
        <v>9791137014381</v>
      </c>
      <c r="BF5081" t="str">
        <f>T("D184255")</f>
        <v>D184255</v>
      </c>
      <c r="BG5081" t="str">
        <f>T("판타지 웹소설 &gt; 퓨전 판타지")</f>
        <v>판타지 웹소설 &gt; 퓨전 판타지</v>
      </c>
    </row>
    <row r="5082" spans="1:59">
      <c r="A5082" t="s">
        <v>60</v>
      </c>
      <c r="B5082" s="1">
        <v>46129</v>
      </c>
      <c r="C5082">
        <v>2378044065</v>
      </c>
      <c r="D5082">
        <v>2378080346</v>
      </c>
      <c r="E5082" t="str">
        <f>T("저승의 왕위를 계승했다 760화")</f>
        <v>저승의 왕위를 계승했다 760화</v>
      </c>
      <c r="F5082">
        <v>762</v>
      </c>
      <c r="G5082" t="str">
        <f>T("신타비")</f>
        <v>신타비</v>
      </c>
      <c r="J5082" t="str">
        <f>T("매드햇")</f>
        <v>매드햇</v>
      </c>
      <c r="K5082" t="str">
        <f>T("저승의 왕위를 계승했다")</f>
        <v>저승의 왕위를 계승했다</v>
      </c>
      <c r="L5082">
        <v>100</v>
      </c>
      <c r="M5082">
        <v>210</v>
      </c>
      <c r="N5082">
        <v>3</v>
      </c>
      <c r="O5082">
        <v>0</v>
      </c>
      <c r="P5082">
        <v>0</v>
      </c>
      <c r="Q5082">
        <v>0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0</v>
      </c>
      <c r="AE5082">
        <v>0</v>
      </c>
      <c r="AF5082">
        <v>0</v>
      </c>
      <c r="AG5082">
        <v>0</v>
      </c>
      <c r="AH5082">
        <v>0</v>
      </c>
      <c r="AI5082">
        <v>210</v>
      </c>
      <c r="AJ5082">
        <v>3</v>
      </c>
      <c r="AK5082">
        <v>0</v>
      </c>
      <c r="AL5082">
        <v>0</v>
      </c>
      <c r="AM5082">
        <v>210</v>
      </c>
      <c r="AN5082">
        <v>0</v>
      </c>
      <c r="AO5082">
        <v>0</v>
      </c>
      <c r="AP5082">
        <v>0</v>
      </c>
      <c r="AQ5082">
        <v>0</v>
      </c>
      <c r="AS5082">
        <v>0</v>
      </c>
      <c r="AT5082">
        <v>0</v>
      </c>
      <c r="AV5082">
        <v>0</v>
      </c>
      <c r="AW5082">
        <v>0</v>
      </c>
      <c r="AY5082">
        <v>0</v>
      </c>
      <c r="AZ5082">
        <v>0</v>
      </c>
      <c r="BA5082">
        <v>147</v>
      </c>
      <c r="BE5082" t="str">
        <f>T("9791137014381")</f>
        <v>9791137014381</v>
      </c>
      <c r="BF5082" t="str">
        <f>T("D184256")</f>
        <v>D184256</v>
      </c>
      <c r="BG5082" t="str">
        <f>T("판타지 웹소설 &gt; 퓨전 판타지")</f>
        <v>판타지 웹소설 &gt; 퓨전 판타지</v>
      </c>
    </row>
    <row r="5083" spans="1:59">
      <c r="A5083" t="s">
        <v>60</v>
      </c>
      <c r="B5083" s="1">
        <v>46129</v>
      </c>
      <c r="C5083">
        <v>2378044065</v>
      </c>
      <c r="D5083">
        <v>2378080369</v>
      </c>
      <c r="E5083" t="str">
        <f>T("저승의 왕위를 계승했다 761화")</f>
        <v>저승의 왕위를 계승했다 761화</v>
      </c>
      <c r="F5083">
        <v>763</v>
      </c>
      <c r="G5083" t="str">
        <f>T("신타비")</f>
        <v>신타비</v>
      </c>
      <c r="J5083" t="str">
        <f>T("매드햇")</f>
        <v>매드햇</v>
      </c>
      <c r="K5083" t="str">
        <f>T("저승의 왕위를 계승했다")</f>
        <v>저승의 왕위를 계승했다</v>
      </c>
      <c r="L5083">
        <v>100</v>
      </c>
      <c r="M5083">
        <v>170</v>
      </c>
      <c r="N5083">
        <v>2</v>
      </c>
      <c r="O5083">
        <v>0</v>
      </c>
      <c r="P5083">
        <v>0</v>
      </c>
      <c r="Q5083">
        <v>0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0</v>
      </c>
      <c r="AE5083">
        <v>0</v>
      </c>
      <c r="AF5083">
        <v>0</v>
      </c>
      <c r="AG5083">
        <v>0</v>
      </c>
      <c r="AH5083">
        <v>0</v>
      </c>
      <c r="AI5083">
        <v>170</v>
      </c>
      <c r="AJ5083">
        <v>2</v>
      </c>
      <c r="AK5083">
        <v>0</v>
      </c>
      <c r="AL5083">
        <v>0</v>
      </c>
      <c r="AM5083">
        <v>170</v>
      </c>
      <c r="AN5083">
        <v>0</v>
      </c>
      <c r="AO5083">
        <v>0</v>
      </c>
      <c r="AP5083">
        <v>0</v>
      </c>
      <c r="AQ5083">
        <v>0</v>
      </c>
      <c r="AS5083">
        <v>0</v>
      </c>
      <c r="AT5083">
        <v>0</v>
      </c>
      <c r="AV5083">
        <v>0</v>
      </c>
      <c r="AW5083">
        <v>0</v>
      </c>
      <c r="AY5083">
        <v>0</v>
      </c>
      <c r="AZ5083">
        <v>0</v>
      </c>
      <c r="BA5083">
        <v>119</v>
      </c>
      <c r="BE5083" t="str">
        <f>T("9791137014381")</f>
        <v>9791137014381</v>
      </c>
      <c r="BF5083" t="str">
        <f>T("D184257")</f>
        <v>D184257</v>
      </c>
      <c r="BG5083" t="str">
        <f>T("판타지 웹소설 &gt; 퓨전 판타지")</f>
        <v>판타지 웹소설 &gt; 퓨전 판타지</v>
      </c>
    </row>
    <row r="5084" spans="1:59">
      <c r="A5084" t="s">
        <v>60</v>
      </c>
      <c r="B5084" s="1">
        <v>46129</v>
      </c>
      <c r="C5084">
        <v>2378044065</v>
      </c>
      <c r="D5084">
        <v>2378080370</v>
      </c>
      <c r="E5084" t="str">
        <f>T("저승의 왕위를 계승했다 762화")</f>
        <v>저승의 왕위를 계승했다 762화</v>
      </c>
      <c r="F5084">
        <v>764</v>
      </c>
      <c r="G5084" t="str">
        <f>T("신타비")</f>
        <v>신타비</v>
      </c>
      <c r="J5084" t="str">
        <f>T("매드햇")</f>
        <v>매드햇</v>
      </c>
      <c r="K5084" t="str">
        <f>T("저승의 왕위를 계승했다")</f>
        <v>저승의 왕위를 계승했다</v>
      </c>
      <c r="L5084">
        <v>100</v>
      </c>
      <c r="M5084">
        <v>170</v>
      </c>
      <c r="N5084">
        <v>2</v>
      </c>
      <c r="O5084">
        <v>0</v>
      </c>
      <c r="P5084">
        <v>0</v>
      </c>
      <c r="Q5084">
        <v>0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0</v>
      </c>
      <c r="AE5084">
        <v>0</v>
      </c>
      <c r="AF5084">
        <v>0</v>
      </c>
      <c r="AG5084">
        <v>0</v>
      </c>
      <c r="AH5084">
        <v>0</v>
      </c>
      <c r="AI5084">
        <v>170</v>
      </c>
      <c r="AJ5084">
        <v>2</v>
      </c>
      <c r="AK5084">
        <v>0</v>
      </c>
      <c r="AL5084">
        <v>0</v>
      </c>
      <c r="AM5084">
        <v>170</v>
      </c>
      <c r="AN5084">
        <v>0</v>
      </c>
      <c r="AO5084">
        <v>0</v>
      </c>
      <c r="AP5084">
        <v>0</v>
      </c>
      <c r="AQ5084">
        <v>0</v>
      </c>
      <c r="AS5084">
        <v>0</v>
      </c>
      <c r="AT5084">
        <v>0</v>
      </c>
      <c r="AV5084">
        <v>0</v>
      </c>
      <c r="AW5084">
        <v>0</v>
      </c>
      <c r="AY5084">
        <v>0</v>
      </c>
      <c r="AZ5084">
        <v>0</v>
      </c>
      <c r="BA5084">
        <v>119</v>
      </c>
      <c r="BE5084" t="str">
        <f>T("9791137014381")</f>
        <v>9791137014381</v>
      </c>
      <c r="BF5084" t="str">
        <f>T("D184258")</f>
        <v>D184258</v>
      </c>
      <c r="BG5084" t="str">
        <f>T("판타지 웹소설 &gt; 퓨전 판타지")</f>
        <v>판타지 웹소설 &gt; 퓨전 판타지</v>
      </c>
    </row>
    <row r="5085" spans="1:59">
      <c r="A5085" t="s">
        <v>60</v>
      </c>
      <c r="B5085" s="1">
        <v>46129</v>
      </c>
      <c r="C5085">
        <v>2378044065</v>
      </c>
      <c r="D5085">
        <v>2378080371</v>
      </c>
      <c r="E5085" t="str">
        <f>T("저승의 왕위를 계승했다 763화")</f>
        <v>저승의 왕위를 계승했다 763화</v>
      </c>
      <c r="F5085">
        <v>765</v>
      </c>
      <c r="G5085" t="str">
        <f>T("신타비")</f>
        <v>신타비</v>
      </c>
      <c r="J5085" t="str">
        <f>T("매드햇")</f>
        <v>매드햇</v>
      </c>
      <c r="K5085" t="str">
        <f>T("저승의 왕위를 계승했다")</f>
        <v>저승의 왕위를 계승했다</v>
      </c>
      <c r="L5085">
        <v>100</v>
      </c>
      <c r="M5085">
        <v>170</v>
      </c>
      <c r="N5085">
        <v>2</v>
      </c>
      <c r="O5085">
        <v>0</v>
      </c>
      <c r="P5085">
        <v>0</v>
      </c>
      <c r="Q5085">
        <v>0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0</v>
      </c>
      <c r="AE5085">
        <v>0</v>
      </c>
      <c r="AF5085">
        <v>0</v>
      </c>
      <c r="AG5085">
        <v>0</v>
      </c>
      <c r="AH5085">
        <v>0</v>
      </c>
      <c r="AI5085">
        <v>170</v>
      </c>
      <c r="AJ5085">
        <v>2</v>
      </c>
      <c r="AK5085">
        <v>0</v>
      </c>
      <c r="AL5085">
        <v>0</v>
      </c>
      <c r="AM5085">
        <v>170</v>
      </c>
      <c r="AN5085">
        <v>0</v>
      </c>
      <c r="AO5085">
        <v>0</v>
      </c>
      <c r="AP5085">
        <v>0</v>
      </c>
      <c r="AQ5085">
        <v>0</v>
      </c>
      <c r="AS5085">
        <v>0</v>
      </c>
      <c r="AT5085">
        <v>0</v>
      </c>
      <c r="AV5085">
        <v>0</v>
      </c>
      <c r="AW5085">
        <v>0</v>
      </c>
      <c r="AY5085">
        <v>0</v>
      </c>
      <c r="AZ5085">
        <v>0</v>
      </c>
      <c r="BA5085">
        <v>119</v>
      </c>
      <c r="BE5085" t="str">
        <f>T("9791137014381")</f>
        <v>9791137014381</v>
      </c>
      <c r="BF5085" t="str">
        <f>T("D184259")</f>
        <v>D184259</v>
      </c>
      <c r="BG5085" t="str">
        <f>T("판타지 웹소설 &gt; 퓨전 판타지")</f>
        <v>판타지 웹소설 &gt; 퓨전 판타지</v>
      </c>
    </row>
    <row r="5086" spans="1:59">
      <c r="A5086" t="s">
        <v>60</v>
      </c>
      <c r="B5086" s="1">
        <v>46129</v>
      </c>
      <c r="C5086">
        <v>2378044065</v>
      </c>
      <c r="D5086">
        <v>2378080372</v>
      </c>
      <c r="E5086" t="str">
        <f>T("저승의 왕위를 계승했다 764화")</f>
        <v>저승의 왕위를 계승했다 764화</v>
      </c>
      <c r="F5086">
        <v>766</v>
      </c>
      <c r="G5086" t="str">
        <f>T("신타비")</f>
        <v>신타비</v>
      </c>
      <c r="J5086" t="str">
        <f>T("매드햇")</f>
        <v>매드햇</v>
      </c>
      <c r="K5086" t="str">
        <f>T("저승의 왕위를 계승했다")</f>
        <v>저승의 왕위를 계승했다</v>
      </c>
      <c r="L5086">
        <v>100</v>
      </c>
      <c r="M5086">
        <v>170</v>
      </c>
      <c r="N5086">
        <v>2</v>
      </c>
      <c r="O5086">
        <v>0</v>
      </c>
      <c r="P5086">
        <v>0</v>
      </c>
      <c r="Q5086">
        <v>0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0</v>
      </c>
      <c r="AE5086">
        <v>0</v>
      </c>
      <c r="AF5086">
        <v>0</v>
      </c>
      <c r="AG5086">
        <v>0</v>
      </c>
      <c r="AH5086">
        <v>0</v>
      </c>
      <c r="AI5086">
        <v>170</v>
      </c>
      <c r="AJ5086">
        <v>2</v>
      </c>
      <c r="AK5086">
        <v>0</v>
      </c>
      <c r="AL5086">
        <v>0</v>
      </c>
      <c r="AM5086">
        <v>170</v>
      </c>
      <c r="AN5086">
        <v>0</v>
      </c>
      <c r="AO5086">
        <v>0</v>
      </c>
      <c r="AP5086">
        <v>0</v>
      </c>
      <c r="AQ5086">
        <v>0</v>
      </c>
      <c r="AS5086">
        <v>0</v>
      </c>
      <c r="AT5086">
        <v>0</v>
      </c>
      <c r="AV5086">
        <v>0</v>
      </c>
      <c r="AW5086">
        <v>0</v>
      </c>
      <c r="AY5086">
        <v>0</v>
      </c>
      <c r="AZ5086">
        <v>0</v>
      </c>
      <c r="BA5086">
        <v>119</v>
      </c>
      <c r="BE5086" t="str">
        <f>T("9791137014381")</f>
        <v>9791137014381</v>
      </c>
      <c r="BF5086" t="str">
        <f>T("D184260")</f>
        <v>D184260</v>
      </c>
      <c r="BG5086" t="str">
        <f>T("판타지 웹소설 &gt; 퓨전 판타지")</f>
        <v>판타지 웹소설 &gt; 퓨전 판타지</v>
      </c>
    </row>
    <row r="5087" spans="1:59">
      <c r="A5087" t="s">
        <v>60</v>
      </c>
      <c r="B5087" s="1">
        <v>46129</v>
      </c>
      <c r="C5087">
        <v>2378044065</v>
      </c>
      <c r="D5087">
        <v>2378080377</v>
      </c>
      <c r="E5087" t="str">
        <f>T("저승의 왕위를 계승했다 765화")</f>
        <v>저승의 왕위를 계승했다 765화</v>
      </c>
      <c r="F5087">
        <v>767</v>
      </c>
      <c r="G5087" t="str">
        <f>T("신타비")</f>
        <v>신타비</v>
      </c>
      <c r="J5087" t="str">
        <f>T("매드햇")</f>
        <v>매드햇</v>
      </c>
      <c r="K5087" t="str">
        <f>T("저승의 왕위를 계승했다")</f>
        <v>저승의 왕위를 계승했다</v>
      </c>
      <c r="L5087">
        <v>100</v>
      </c>
      <c r="M5087">
        <v>170</v>
      </c>
      <c r="N5087">
        <v>2</v>
      </c>
      <c r="O5087">
        <v>0</v>
      </c>
      <c r="P5087">
        <v>0</v>
      </c>
      <c r="Q5087">
        <v>0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0</v>
      </c>
      <c r="AE5087">
        <v>0</v>
      </c>
      <c r="AF5087">
        <v>0</v>
      </c>
      <c r="AG5087">
        <v>0</v>
      </c>
      <c r="AH5087">
        <v>0</v>
      </c>
      <c r="AI5087">
        <v>170</v>
      </c>
      <c r="AJ5087">
        <v>2</v>
      </c>
      <c r="AK5087">
        <v>0</v>
      </c>
      <c r="AL5087">
        <v>0</v>
      </c>
      <c r="AM5087">
        <v>170</v>
      </c>
      <c r="AN5087">
        <v>0</v>
      </c>
      <c r="AO5087">
        <v>0</v>
      </c>
      <c r="AP5087">
        <v>0</v>
      </c>
      <c r="AQ5087">
        <v>0</v>
      </c>
      <c r="AS5087">
        <v>0</v>
      </c>
      <c r="AT5087">
        <v>0</v>
      </c>
      <c r="AV5087">
        <v>0</v>
      </c>
      <c r="AW5087">
        <v>0</v>
      </c>
      <c r="AY5087">
        <v>0</v>
      </c>
      <c r="AZ5087">
        <v>0</v>
      </c>
      <c r="BA5087">
        <v>119</v>
      </c>
      <c r="BE5087" t="str">
        <f>T("9791137014381")</f>
        <v>9791137014381</v>
      </c>
      <c r="BF5087" t="str">
        <f>T("D184261")</f>
        <v>D184261</v>
      </c>
      <c r="BG5087" t="str">
        <f>T("판타지 웹소설 &gt; 퓨전 판타지")</f>
        <v>판타지 웹소설 &gt; 퓨전 판타지</v>
      </c>
    </row>
    <row r="5088" spans="1:59">
      <c r="A5088" t="s">
        <v>60</v>
      </c>
      <c r="B5088" s="1">
        <v>46129</v>
      </c>
      <c r="C5088">
        <v>2378044065</v>
      </c>
      <c r="D5088">
        <v>2378080378</v>
      </c>
      <c r="E5088" t="str">
        <f>T("저승의 왕위를 계승했다 766화")</f>
        <v>저승의 왕위를 계승했다 766화</v>
      </c>
      <c r="F5088">
        <v>768</v>
      </c>
      <c r="G5088" t="str">
        <f>T("신타비")</f>
        <v>신타비</v>
      </c>
      <c r="J5088" t="str">
        <f>T("매드햇")</f>
        <v>매드햇</v>
      </c>
      <c r="K5088" t="str">
        <f>T("저승의 왕위를 계승했다")</f>
        <v>저승의 왕위를 계승했다</v>
      </c>
      <c r="L5088">
        <v>100</v>
      </c>
      <c r="M5088">
        <v>170</v>
      </c>
      <c r="N5088">
        <v>2</v>
      </c>
      <c r="O5088">
        <v>0</v>
      </c>
      <c r="P5088">
        <v>0</v>
      </c>
      <c r="Q5088">
        <v>0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0</v>
      </c>
      <c r="AE5088">
        <v>0</v>
      </c>
      <c r="AF5088">
        <v>0</v>
      </c>
      <c r="AG5088">
        <v>0</v>
      </c>
      <c r="AH5088">
        <v>0</v>
      </c>
      <c r="AI5088">
        <v>170</v>
      </c>
      <c r="AJ5088">
        <v>2</v>
      </c>
      <c r="AK5088">
        <v>0</v>
      </c>
      <c r="AL5088">
        <v>0</v>
      </c>
      <c r="AM5088">
        <v>170</v>
      </c>
      <c r="AN5088">
        <v>0</v>
      </c>
      <c r="AO5088">
        <v>0</v>
      </c>
      <c r="AP5088">
        <v>0</v>
      </c>
      <c r="AQ5088">
        <v>0</v>
      </c>
      <c r="AS5088">
        <v>0</v>
      </c>
      <c r="AT5088">
        <v>0</v>
      </c>
      <c r="AV5088">
        <v>0</v>
      </c>
      <c r="AW5088">
        <v>0</v>
      </c>
      <c r="AY5088">
        <v>0</v>
      </c>
      <c r="AZ5088">
        <v>0</v>
      </c>
      <c r="BA5088">
        <v>119</v>
      </c>
      <c r="BE5088" t="str">
        <f>T("9791137014381")</f>
        <v>9791137014381</v>
      </c>
      <c r="BF5088" t="str">
        <f>T("D184262")</f>
        <v>D184262</v>
      </c>
      <c r="BG5088" t="str">
        <f>T("판타지 웹소설 &gt; 퓨전 판타지")</f>
        <v>판타지 웹소설 &gt; 퓨전 판타지</v>
      </c>
    </row>
    <row r="5089" spans="1:59">
      <c r="A5089" t="s">
        <v>60</v>
      </c>
      <c r="B5089" s="1">
        <v>46129</v>
      </c>
      <c r="C5089">
        <v>2378044065</v>
      </c>
      <c r="D5089">
        <v>2378080379</v>
      </c>
      <c r="E5089" t="str">
        <f>T("저승의 왕위를 계승했다 767화")</f>
        <v>저승의 왕위를 계승했다 767화</v>
      </c>
      <c r="F5089">
        <v>769</v>
      </c>
      <c r="G5089" t="str">
        <f>T("신타비")</f>
        <v>신타비</v>
      </c>
      <c r="J5089" t="str">
        <f>T("매드햇")</f>
        <v>매드햇</v>
      </c>
      <c r="K5089" t="str">
        <f>T("저승의 왕위를 계승했다")</f>
        <v>저승의 왕위를 계승했다</v>
      </c>
      <c r="L5089">
        <v>100</v>
      </c>
      <c r="M5089">
        <v>170</v>
      </c>
      <c r="N5089">
        <v>2</v>
      </c>
      <c r="O5089">
        <v>0</v>
      </c>
      <c r="P5089">
        <v>0</v>
      </c>
      <c r="Q5089">
        <v>0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0</v>
      </c>
      <c r="AE5089">
        <v>0</v>
      </c>
      <c r="AF5089">
        <v>0</v>
      </c>
      <c r="AG5089">
        <v>0</v>
      </c>
      <c r="AH5089">
        <v>0</v>
      </c>
      <c r="AI5089">
        <v>170</v>
      </c>
      <c r="AJ5089">
        <v>2</v>
      </c>
      <c r="AK5089">
        <v>0</v>
      </c>
      <c r="AL5089">
        <v>0</v>
      </c>
      <c r="AM5089">
        <v>170</v>
      </c>
      <c r="AN5089">
        <v>0</v>
      </c>
      <c r="AO5089">
        <v>0</v>
      </c>
      <c r="AP5089">
        <v>0</v>
      </c>
      <c r="AQ5089">
        <v>0</v>
      </c>
      <c r="AS5089">
        <v>0</v>
      </c>
      <c r="AT5089">
        <v>0</v>
      </c>
      <c r="AV5089">
        <v>0</v>
      </c>
      <c r="AW5089">
        <v>0</v>
      </c>
      <c r="AY5089">
        <v>0</v>
      </c>
      <c r="AZ5089">
        <v>0</v>
      </c>
      <c r="BA5089">
        <v>119</v>
      </c>
      <c r="BE5089" t="str">
        <f>T("9791137014381")</f>
        <v>9791137014381</v>
      </c>
      <c r="BF5089" t="str">
        <f>T("D184263")</f>
        <v>D184263</v>
      </c>
      <c r="BG5089" t="str">
        <f>T("판타지 웹소설 &gt; 퓨전 판타지")</f>
        <v>판타지 웹소설 &gt; 퓨전 판타지</v>
      </c>
    </row>
    <row r="5090" spans="1:59">
      <c r="A5090" t="s">
        <v>60</v>
      </c>
      <c r="B5090" s="1">
        <v>46129</v>
      </c>
      <c r="C5090">
        <v>2378044065</v>
      </c>
      <c r="D5090">
        <v>2378080380</v>
      </c>
      <c r="E5090" t="str">
        <f>T("저승의 왕위를 계승했다 768화")</f>
        <v>저승의 왕위를 계승했다 768화</v>
      </c>
      <c r="F5090">
        <v>770</v>
      </c>
      <c r="G5090" t="str">
        <f>T("신타비")</f>
        <v>신타비</v>
      </c>
      <c r="J5090" t="str">
        <f>T("매드햇")</f>
        <v>매드햇</v>
      </c>
      <c r="K5090" t="str">
        <f>T("저승의 왕위를 계승했다")</f>
        <v>저승의 왕위를 계승했다</v>
      </c>
      <c r="L5090">
        <v>100</v>
      </c>
      <c r="M5090">
        <v>170</v>
      </c>
      <c r="N5090">
        <v>2</v>
      </c>
      <c r="O5090">
        <v>0</v>
      </c>
      <c r="P5090">
        <v>0</v>
      </c>
      <c r="Q5090">
        <v>0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0</v>
      </c>
      <c r="AE5090">
        <v>0</v>
      </c>
      <c r="AF5090">
        <v>0</v>
      </c>
      <c r="AG5090">
        <v>0</v>
      </c>
      <c r="AH5090">
        <v>0</v>
      </c>
      <c r="AI5090">
        <v>170</v>
      </c>
      <c r="AJ5090">
        <v>2</v>
      </c>
      <c r="AK5090">
        <v>0</v>
      </c>
      <c r="AL5090">
        <v>0</v>
      </c>
      <c r="AM5090">
        <v>170</v>
      </c>
      <c r="AN5090">
        <v>0</v>
      </c>
      <c r="AO5090">
        <v>0</v>
      </c>
      <c r="AP5090">
        <v>0</v>
      </c>
      <c r="AQ5090">
        <v>0</v>
      </c>
      <c r="AS5090">
        <v>0</v>
      </c>
      <c r="AT5090">
        <v>0</v>
      </c>
      <c r="AV5090">
        <v>0</v>
      </c>
      <c r="AW5090">
        <v>0</v>
      </c>
      <c r="AY5090">
        <v>0</v>
      </c>
      <c r="AZ5090">
        <v>0</v>
      </c>
      <c r="BA5090">
        <v>119</v>
      </c>
      <c r="BE5090" t="str">
        <f>T("9791137014381")</f>
        <v>9791137014381</v>
      </c>
      <c r="BF5090" t="str">
        <f>T("D184264")</f>
        <v>D184264</v>
      </c>
      <c r="BG5090" t="str">
        <f>T("판타지 웹소설 &gt; 퓨전 판타지")</f>
        <v>판타지 웹소설 &gt; 퓨전 판타지</v>
      </c>
    </row>
    <row r="5091" spans="1:59">
      <c r="A5091" t="s">
        <v>60</v>
      </c>
      <c r="B5091" s="1">
        <v>46129</v>
      </c>
      <c r="C5091">
        <v>2378044065</v>
      </c>
      <c r="D5091">
        <v>2378080391</v>
      </c>
      <c r="E5091" t="str">
        <f>T("저승의 왕위를 계승했다 769화")</f>
        <v>저승의 왕위를 계승했다 769화</v>
      </c>
      <c r="F5091">
        <v>771</v>
      </c>
      <c r="G5091" t="str">
        <f>T("신타비")</f>
        <v>신타비</v>
      </c>
      <c r="J5091" t="str">
        <f>T("매드햇")</f>
        <v>매드햇</v>
      </c>
      <c r="K5091" t="str">
        <f>T("저승의 왕위를 계승했다")</f>
        <v>저승의 왕위를 계승했다</v>
      </c>
      <c r="L5091">
        <v>100</v>
      </c>
      <c r="M5091">
        <v>170</v>
      </c>
      <c r="N5091">
        <v>2</v>
      </c>
      <c r="O5091">
        <v>0</v>
      </c>
      <c r="P5091">
        <v>0</v>
      </c>
      <c r="Q5091">
        <v>0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0</v>
      </c>
      <c r="AE5091">
        <v>0</v>
      </c>
      <c r="AF5091">
        <v>0</v>
      </c>
      <c r="AG5091">
        <v>0</v>
      </c>
      <c r="AH5091">
        <v>0</v>
      </c>
      <c r="AI5091">
        <v>170</v>
      </c>
      <c r="AJ5091">
        <v>2</v>
      </c>
      <c r="AK5091">
        <v>0</v>
      </c>
      <c r="AL5091">
        <v>0</v>
      </c>
      <c r="AM5091">
        <v>170</v>
      </c>
      <c r="AN5091">
        <v>0</v>
      </c>
      <c r="AO5091">
        <v>0</v>
      </c>
      <c r="AP5091">
        <v>0</v>
      </c>
      <c r="AQ5091">
        <v>0</v>
      </c>
      <c r="AS5091">
        <v>0</v>
      </c>
      <c r="AT5091">
        <v>0</v>
      </c>
      <c r="AV5091">
        <v>0</v>
      </c>
      <c r="AW5091">
        <v>0</v>
      </c>
      <c r="AY5091">
        <v>0</v>
      </c>
      <c r="AZ5091">
        <v>0</v>
      </c>
      <c r="BA5091">
        <v>119</v>
      </c>
      <c r="BE5091" t="str">
        <f>T("9791137014381")</f>
        <v>9791137014381</v>
      </c>
      <c r="BF5091" t="str">
        <f>T("D184265")</f>
        <v>D184265</v>
      </c>
      <c r="BG5091" t="str">
        <f>T("판타지 웹소설 &gt; 퓨전 판타지")</f>
        <v>판타지 웹소설 &gt; 퓨전 판타지</v>
      </c>
    </row>
    <row r="5092" spans="1:59">
      <c r="A5092" t="s">
        <v>60</v>
      </c>
      <c r="B5092" s="1">
        <v>46129</v>
      </c>
      <c r="C5092">
        <v>2378044065</v>
      </c>
      <c r="D5092">
        <v>2378080392</v>
      </c>
      <c r="E5092" t="str">
        <f>T("저승의 왕위를 계승했다 770화")</f>
        <v>저승의 왕위를 계승했다 770화</v>
      </c>
      <c r="F5092">
        <v>772</v>
      </c>
      <c r="G5092" t="str">
        <f>T("신타비")</f>
        <v>신타비</v>
      </c>
      <c r="J5092" t="str">
        <f>T("매드햇")</f>
        <v>매드햇</v>
      </c>
      <c r="K5092" t="str">
        <f>T("저승의 왕위를 계승했다")</f>
        <v>저승의 왕위를 계승했다</v>
      </c>
      <c r="L5092">
        <v>100</v>
      </c>
      <c r="M5092">
        <v>170</v>
      </c>
      <c r="N5092">
        <v>2</v>
      </c>
      <c r="O5092">
        <v>0</v>
      </c>
      <c r="P5092">
        <v>0</v>
      </c>
      <c r="Q5092">
        <v>0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0</v>
      </c>
      <c r="AE5092">
        <v>0</v>
      </c>
      <c r="AF5092">
        <v>0</v>
      </c>
      <c r="AG5092">
        <v>0</v>
      </c>
      <c r="AH5092">
        <v>0</v>
      </c>
      <c r="AI5092">
        <v>170</v>
      </c>
      <c r="AJ5092">
        <v>2</v>
      </c>
      <c r="AK5092">
        <v>0</v>
      </c>
      <c r="AL5092">
        <v>0</v>
      </c>
      <c r="AM5092">
        <v>170</v>
      </c>
      <c r="AN5092">
        <v>0</v>
      </c>
      <c r="AO5092">
        <v>0</v>
      </c>
      <c r="AP5092">
        <v>0</v>
      </c>
      <c r="AQ5092">
        <v>0</v>
      </c>
      <c r="AS5092">
        <v>0</v>
      </c>
      <c r="AT5092">
        <v>0</v>
      </c>
      <c r="AV5092">
        <v>0</v>
      </c>
      <c r="AW5092">
        <v>0</v>
      </c>
      <c r="AY5092">
        <v>0</v>
      </c>
      <c r="AZ5092">
        <v>0</v>
      </c>
      <c r="BA5092">
        <v>119</v>
      </c>
      <c r="BE5092" t="str">
        <f>T("9791137014381")</f>
        <v>9791137014381</v>
      </c>
      <c r="BF5092" t="str">
        <f>T("D184266")</f>
        <v>D184266</v>
      </c>
      <c r="BG5092" t="str">
        <f>T("판타지 웹소설 &gt; 퓨전 판타지")</f>
        <v>판타지 웹소설 &gt; 퓨전 판타지</v>
      </c>
    </row>
    <row r="5093" spans="1:59">
      <c r="A5093" t="s">
        <v>60</v>
      </c>
      <c r="B5093" s="1">
        <v>46129</v>
      </c>
      <c r="C5093">
        <v>2378044065</v>
      </c>
      <c r="D5093">
        <v>2378080393</v>
      </c>
      <c r="E5093" t="str">
        <f>T("저승의 왕위를 계승했다 771화")</f>
        <v>저승의 왕위를 계승했다 771화</v>
      </c>
      <c r="F5093">
        <v>773</v>
      </c>
      <c r="G5093" t="str">
        <f>T("신타비")</f>
        <v>신타비</v>
      </c>
      <c r="J5093" t="str">
        <f>T("매드햇")</f>
        <v>매드햇</v>
      </c>
      <c r="K5093" t="str">
        <f>T("저승의 왕위를 계승했다")</f>
        <v>저승의 왕위를 계승했다</v>
      </c>
      <c r="L5093">
        <v>100</v>
      </c>
      <c r="M5093">
        <v>170</v>
      </c>
      <c r="N5093">
        <v>2</v>
      </c>
      <c r="O5093">
        <v>0</v>
      </c>
      <c r="P5093">
        <v>0</v>
      </c>
      <c r="Q5093">
        <v>0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0</v>
      </c>
      <c r="AE5093">
        <v>0</v>
      </c>
      <c r="AF5093">
        <v>0</v>
      </c>
      <c r="AG5093">
        <v>0</v>
      </c>
      <c r="AH5093">
        <v>0</v>
      </c>
      <c r="AI5093">
        <v>170</v>
      </c>
      <c r="AJ5093">
        <v>2</v>
      </c>
      <c r="AK5093">
        <v>0</v>
      </c>
      <c r="AL5093">
        <v>0</v>
      </c>
      <c r="AM5093">
        <v>170</v>
      </c>
      <c r="AN5093">
        <v>0</v>
      </c>
      <c r="AO5093">
        <v>0</v>
      </c>
      <c r="AP5093">
        <v>0</v>
      </c>
      <c r="AQ5093">
        <v>0</v>
      </c>
      <c r="AS5093">
        <v>0</v>
      </c>
      <c r="AT5093">
        <v>0</v>
      </c>
      <c r="AV5093">
        <v>0</v>
      </c>
      <c r="AW5093">
        <v>0</v>
      </c>
      <c r="AY5093">
        <v>0</v>
      </c>
      <c r="AZ5093">
        <v>0</v>
      </c>
      <c r="BA5093">
        <v>119</v>
      </c>
      <c r="BE5093" t="str">
        <f>T("9791137014381")</f>
        <v>9791137014381</v>
      </c>
      <c r="BF5093" t="str">
        <f>T("D203862")</f>
        <v>D203862</v>
      </c>
      <c r="BG5093" t="str">
        <f>T("판타지 웹소설 &gt; 퓨전 판타지")</f>
        <v>판타지 웹소설 &gt; 퓨전 판타지</v>
      </c>
    </row>
    <row r="5094" spans="1:59">
      <c r="A5094" t="s">
        <v>60</v>
      </c>
      <c r="B5094" s="1">
        <v>46129</v>
      </c>
      <c r="C5094">
        <v>2378044065</v>
      </c>
      <c r="D5094">
        <v>2378080394</v>
      </c>
      <c r="E5094" t="str">
        <f>T("저승의 왕위를 계승했다 772화")</f>
        <v>저승의 왕위를 계승했다 772화</v>
      </c>
      <c r="F5094">
        <v>774</v>
      </c>
      <c r="G5094" t="str">
        <f>T("신타비")</f>
        <v>신타비</v>
      </c>
      <c r="J5094" t="str">
        <f>T("매드햇")</f>
        <v>매드햇</v>
      </c>
      <c r="K5094" t="str">
        <f>T("저승의 왕위를 계승했다")</f>
        <v>저승의 왕위를 계승했다</v>
      </c>
      <c r="L5094">
        <v>100</v>
      </c>
      <c r="M5094">
        <v>170</v>
      </c>
      <c r="N5094">
        <v>2</v>
      </c>
      <c r="O5094">
        <v>0</v>
      </c>
      <c r="P5094">
        <v>0</v>
      </c>
      <c r="Q5094">
        <v>0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0</v>
      </c>
      <c r="AE5094">
        <v>0</v>
      </c>
      <c r="AF5094">
        <v>0</v>
      </c>
      <c r="AG5094">
        <v>0</v>
      </c>
      <c r="AH5094">
        <v>0</v>
      </c>
      <c r="AI5094">
        <v>170</v>
      </c>
      <c r="AJ5094">
        <v>2</v>
      </c>
      <c r="AK5094">
        <v>0</v>
      </c>
      <c r="AL5094">
        <v>0</v>
      </c>
      <c r="AM5094">
        <v>170</v>
      </c>
      <c r="AN5094">
        <v>0</v>
      </c>
      <c r="AO5094">
        <v>0</v>
      </c>
      <c r="AP5094">
        <v>0</v>
      </c>
      <c r="AQ5094">
        <v>0</v>
      </c>
      <c r="AS5094">
        <v>0</v>
      </c>
      <c r="AT5094">
        <v>0</v>
      </c>
      <c r="AV5094">
        <v>0</v>
      </c>
      <c r="AW5094">
        <v>0</v>
      </c>
      <c r="AY5094">
        <v>0</v>
      </c>
      <c r="AZ5094">
        <v>0</v>
      </c>
      <c r="BA5094">
        <v>119</v>
      </c>
      <c r="BE5094" t="str">
        <f>T("9791137014381")</f>
        <v>9791137014381</v>
      </c>
      <c r="BF5094" t="str">
        <f>T("D203863")</f>
        <v>D203863</v>
      </c>
      <c r="BG5094" t="str">
        <f>T("판타지 웹소설 &gt; 퓨전 판타지")</f>
        <v>판타지 웹소설 &gt; 퓨전 판타지</v>
      </c>
    </row>
    <row r="5095" spans="1:59">
      <c r="A5095" t="s">
        <v>60</v>
      </c>
      <c r="B5095" s="1">
        <v>46129</v>
      </c>
      <c r="C5095">
        <v>2378044065</v>
      </c>
      <c r="D5095">
        <v>2378080481</v>
      </c>
      <c r="E5095" t="str">
        <f>T("저승의 왕위를 계승했다 773화")</f>
        <v>저승의 왕위를 계승했다 773화</v>
      </c>
      <c r="F5095">
        <v>775</v>
      </c>
      <c r="G5095" t="str">
        <f>T("신타비")</f>
        <v>신타비</v>
      </c>
      <c r="J5095" t="str">
        <f>T("매드햇")</f>
        <v>매드햇</v>
      </c>
      <c r="K5095" t="str">
        <f>T("저승의 왕위를 계승했다")</f>
        <v>저승의 왕위를 계승했다</v>
      </c>
      <c r="L5095">
        <v>100</v>
      </c>
      <c r="M5095">
        <v>170</v>
      </c>
      <c r="N5095">
        <v>2</v>
      </c>
      <c r="O5095">
        <v>0</v>
      </c>
      <c r="P5095">
        <v>0</v>
      </c>
      <c r="Q5095">
        <v>0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0</v>
      </c>
      <c r="AE5095">
        <v>0</v>
      </c>
      <c r="AF5095">
        <v>0</v>
      </c>
      <c r="AG5095">
        <v>0</v>
      </c>
      <c r="AH5095">
        <v>0</v>
      </c>
      <c r="AI5095">
        <v>170</v>
      </c>
      <c r="AJ5095">
        <v>2</v>
      </c>
      <c r="AK5095">
        <v>0</v>
      </c>
      <c r="AL5095">
        <v>0</v>
      </c>
      <c r="AM5095">
        <v>170</v>
      </c>
      <c r="AN5095">
        <v>0</v>
      </c>
      <c r="AO5095">
        <v>0</v>
      </c>
      <c r="AP5095">
        <v>0</v>
      </c>
      <c r="AQ5095">
        <v>0</v>
      </c>
      <c r="AS5095">
        <v>0</v>
      </c>
      <c r="AT5095">
        <v>0</v>
      </c>
      <c r="AV5095">
        <v>0</v>
      </c>
      <c r="AW5095">
        <v>0</v>
      </c>
      <c r="AY5095">
        <v>0</v>
      </c>
      <c r="AZ5095">
        <v>0</v>
      </c>
      <c r="BA5095">
        <v>119</v>
      </c>
      <c r="BE5095" t="str">
        <f>T("9791137014381")</f>
        <v>9791137014381</v>
      </c>
      <c r="BF5095" t="str">
        <f>T("D203864")</f>
        <v>D203864</v>
      </c>
      <c r="BG5095" t="str">
        <f>T("판타지 웹소설 &gt; 퓨전 판타지")</f>
        <v>판타지 웹소설 &gt; 퓨전 판타지</v>
      </c>
    </row>
    <row r="5096" spans="1:59">
      <c r="A5096" t="s">
        <v>60</v>
      </c>
      <c r="B5096" s="1">
        <v>46129</v>
      </c>
      <c r="C5096">
        <v>2378044065</v>
      </c>
      <c r="D5096">
        <v>2378080482</v>
      </c>
      <c r="E5096" t="str">
        <f>T("저승의 왕위를 계승했다 774화")</f>
        <v>저승의 왕위를 계승했다 774화</v>
      </c>
      <c r="F5096">
        <v>776</v>
      </c>
      <c r="G5096" t="str">
        <f>T("신타비")</f>
        <v>신타비</v>
      </c>
      <c r="J5096" t="str">
        <f>T("매드햇")</f>
        <v>매드햇</v>
      </c>
      <c r="K5096" t="str">
        <f>T("저승의 왕위를 계승했다")</f>
        <v>저승의 왕위를 계승했다</v>
      </c>
      <c r="L5096">
        <v>100</v>
      </c>
      <c r="M5096">
        <v>170</v>
      </c>
      <c r="N5096">
        <v>2</v>
      </c>
      <c r="O5096">
        <v>0</v>
      </c>
      <c r="P5096">
        <v>0</v>
      </c>
      <c r="Q5096">
        <v>0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0</v>
      </c>
      <c r="AE5096">
        <v>0</v>
      </c>
      <c r="AF5096">
        <v>0</v>
      </c>
      <c r="AG5096">
        <v>0</v>
      </c>
      <c r="AH5096">
        <v>0</v>
      </c>
      <c r="AI5096">
        <v>170</v>
      </c>
      <c r="AJ5096">
        <v>2</v>
      </c>
      <c r="AK5096">
        <v>0</v>
      </c>
      <c r="AL5096">
        <v>0</v>
      </c>
      <c r="AM5096">
        <v>170</v>
      </c>
      <c r="AN5096">
        <v>0</v>
      </c>
      <c r="AO5096">
        <v>0</v>
      </c>
      <c r="AP5096">
        <v>0</v>
      </c>
      <c r="AQ5096">
        <v>0</v>
      </c>
      <c r="AS5096">
        <v>0</v>
      </c>
      <c r="AT5096">
        <v>0</v>
      </c>
      <c r="AV5096">
        <v>0</v>
      </c>
      <c r="AW5096">
        <v>0</v>
      </c>
      <c r="AY5096">
        <v>0</v>
      </c>
      <c r="AZ5096">
        <v>0</v>
      </c>
      <c r="BA5096">
        <v>119</v>
      </c>
      <c r="BE5096" t="str">
        <f>T("9791137014381")</f>
        <v>9791137014381</v>
      </c>
      <c r="BF5096" t="str">
        <f>T("D203865")</f>
        <v>D203865</v>
      </c>
      <c r="BG5096" t="str">
        <f>T("판타지 웹소설 &gt; 퓨전 판타지")</f>
        <v>판타지 웹소설 &gt; 퓨전 판타지</v>
      </c>
    </row>
    <row r="5097" spans="1:59">
      <c r="A5097" t="s">
        <v>60</v>
      </c>
      <c r="B5097" s="1">
        <v>46129</v>
      </c>
      <c r="C5097">
        <v>2378044065</v>
      </c>
      <c r="D5097">
        <v>2378080483</v>
      </c>
      <c r="E5097" t="str">
        <f>T("저승의 왕위를 계승했다 775화")</f>
        <v>저승의 왕위를 계승했다 775화</v>
      </c>
      <c r="F5097">
        <v>777</v>
      </c>
      <c r="G5097" t="str">
        <f>T("신타비")</f>
        <v>신타비</v>
      </c>
      <c r="J5097" t="str">
        <f>T("매드햇")</f>
        <v>매드햇</v>
      </c>
      <c r="K5097" t="str">
        <f>T("저승의 왕위를 계승했다")</f>
        <v>저승의 왕위를 계승했다</v>
      </c>
      <c r="L5097">
        <v>100</v>
      </c>
      <c r="M5097">
        <v>170</v>
      </c>
      <c r="N5097">
        <v>2</v>
      </c>
      <c r="O5097">
        <v>0</v>
      </c>
      <c r="P5097">
        <v>0</v>
      </c>
      <c r="Q5097">
        <v>0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0</v>
      </c>
      <c r="AE5097">
        <v>0</v>
      </c>
      <c r="AF5097">
        <v>0</v>
      </c>
      <c r="AG5097">
        <v>0</v>
      </c>
      <c r="AH5097">
        <v>0</v>
      </c>
      <c r="AI5097">
        <v>170</v>
      </c>
      <c r="AJ5097">
        <v>2</v>
      </c>
      <c r="AK5097">
        <v>0</v>
      </c>
      <c r="AL5097">
        <v>0</v>
      </c>
      <c r="AM5097">
        <v>170</v>
      </c>
      <c r="AN5097">
        <v>0</v>
      </c>
      <c r="AO5097">
        <v>0</v>
      </c>
      <c r="AP5097">
        <v>0</v>
      </c>
      <c r="AQ5097">
        <v>0</v>
      </c>
      <c r="AS5097">
        <v>0</v>
      </c>
      <c r="AT5097">
        <v>0</v>
      </c>
      <c r="AV5097">
        <v>0</v>
      </c>
      <c r="AW5097">
        <v>0</v>
      </c>
      <c r="AY5097">
        <v>0</v>
      </c>
      <c r="AZ5097">
        <v>0</v>
      </c>
      <c r="BA5097">
        <v>119</v>
      </c>
      <c r="BE5097" t="str">
        <f>T("9791137014381")</f>
        <v>9791137014381</v>
      </c>
      <c r="BF5097" t="str">
        <f>T("D203866")</f>
        <v>D203866</v>
      </c>
      <c r="BG5097" t="str">
        <f>T("판타지 웹소설 &gt; 퓨전 판타지")</f>
        <v>판타지 웹소설 &gt; 퓨전 판타지</v>
      </c>
    </row>
    <row r="5098" spans="1:59">
      <c r="A5098" t="s">
        <v>60</v>
      </c>
      <c r="B5098" s="1">
        <v>46129</v>
      </c>
      <c r="C5098">
        <v>2378044065</v>
      </c>
      <c r="D5098">
        <v>2378080484</v>
      </c>
      <c r="E5098" t="str">
        <f>T("저승의 왕위를 계승했다 776화")</f>
        <v>저승의 왕위를 계승했다 776화</v>
      </c>
      <c r="F5098">
        <v>778</v>
      </c>
      <c r="G5098" t="str">
        <f>T("신타비")</f>
        <v>신타비</v>
      </c>
      <c r="J5098" t="str">
        <f>T("매드햇")</f>
        <v>매드햇</v>
      </c>
      <c r="K5098" t="str">
        <f>T("저승의 왕위를 계승했다")</f>
        <v>저승의 왕위를 계승했다</v>
      </c>
      <c r="L5098">
        <v>100</v>
      </c>
      <c r="M5098">
        <v>170</v>
      </c>
      <c r="N5098">
        <v>2</v>
      </c>
      <c r="O5098">
        <v>0</v>
      </c>
      <c r="P5098">
        <v>0</v>
      </c>
      <c r="Q5098">
        <v>0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0</v>
      </c>
      <c r="AE5098">
        <v>0</v>
      </c>
      <c r="AF5098">
        <v>0</v>
      </c>
      <c r="AG5098">
        <v>0</v>
      </c>
      <c r="AH5098">
        <v>0</v>
      </c>
      <c r="AI5098">
        <v>170</v>
      </c>
      <c r="AJ5098">
        <v>2</v>
      </c>
      <c r="AK5098">
        <v>0</v>
      </c>
      <c r="AL5098">
        <v>0</v>
      </c>
      <c r="AM5098">
        <v>170</v>
      </c>
      <c r="AN5098">
        <v>0</v>
      </c>
      <c r="AO5098">
        <v>0</v>
      </c>
      <c r="AP5098">
        <v>0</v>
      </c>
      <c r="AQ5098">
        <v>0</v>
      </c>
      <c r="AS5098">
        <v>0</v>
      </c>
      <c r="AT5098">
        <v>0</v>
      </c>
      <c r="AV5098">
        <v>0</v>
      </c>
      <c r="AW5098">
        <v>0</v>
      </c>
      <c r="AY5098">
        <v>0</v>
      </c>
      <c r="AZ5098">
        <v>0</v>
      </c>
      <c r="BA5098">
        <v>119</v>
      </c>
      <c r="BE5098" t="str">
        <f>T("9791137014381")</f>
        <v>9791137014381</v>
      </c>
      <c r="BF5098" t="str">
        <f>T("D203867")</f>
        <v>D203867</v>
      </c>
      <c r="BG5098" t="str">
        <f>T("판타지 웹소설 &gt; 퓨전 판타지")</f>
        <v>판타지 웹소설 &gt; 퓨전 판타지</v>
      </c>
    </row>
    <row r="5099" spans="1:59">
      <c r="A5099" t="s">
        <v>60</v>
      </c>
      <c r="B5099" s="1">
        <v>46129</v>
      </c>
      <c r="C5099">
        <v>2378044065</v>
      </c>
      <c r="D5099">
        <v>2378080502</v>
      </c>
      <c r="E5099" t="str">
        <f>T("저승의 왕위를 계승했다 777화")</f>
        <v>저승의 왕위를 계승했다 777화</v>
      </c>
      <c r="F5099">
        <v>779</v>
      </c>
      <c r="G5099" t="str">
        <f>T("신타비")</f>
        <v>신타비</v>
      </c>
      <c r="J5099" t="str">
        <f>T("매드햇")</f>
        <v>매드햇</v>
      </c>
      <c r="K5099" t="str">
        <f>T("저승의 왕위를 계승했다")</f>
        <v>저승의 왕위를 계승했다</v>
      </c>
      <c r="L5099">
        <v>100</v>
      </c>
      <c r="M5099">
        <v>170</v>
      </c>
      <c r="N5099">
        <v>2</v>
      </c>
      <c r="O5099">
        <v>0</v>
      </c>
      <c r="P5099">
        <v>0</v>
      </c>
      <c r="Q5099">
        <v>0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0</v>
      </c>
      <c r="AE5099">
        <v>0</v>
      </c>
      <c r="AF5099">
        <v>0</v>
      </c>
      <c r="AG5099">
        <v>0</v>
      </c>
      <c r="AH5099">
        <v>0</v>
      </c>
      <c r="AI5099">
        <v>170</v>
      </c>
      <c r="AJ5099">
        <v>2</v>
      </c>
      <c r="AK5099">
        <v>0</v>
      </c>
      <c r="AL5099">
        <v>0</v>
      </c>
      <c r="AM5099">
        <v>170</v>
      </c>
      <c r="AN5099">
        <v>0</v>
      </c>
      <c r="AO5099">
        <v>0</v>
      </c>
      <c r="AP5099">
        <v>0</v>
      </c>
      <c r="AQ5099">
        <v>0</v>
      </c>
      <c r="AS5099">
        <v>0</v>
      </c>
      <c r="AT5099">
        <v>0</v>
      </c>
      <c r="AV5099">
        <v>0</v>
      </c>
      <c r="AW5099">
        <v>0</v>
      </c>
      <c r="AY5099">
        <v>0</v>
      </c>
      <c r="AZ5099">
        <v>0</v>
      </c>
      <c r="BA5099">
        <v>119</v>
      </c>
      <c r="BE5099" t="str">
        <f>T("9791137014381")</f>
        <v>9791137014381</v>
      </c>
      <c r="BF5099" t="str">
        <f>T("D203868")</f>
        <v>D203868</v>
      </c>
      <c r="BG5099" t="str">
        <f>T("판타지 웹소설 &gt; 퓨전 판타지")</f>
        <v>판타지 웹소설 &gt; 퓨전 판타지</v>
      </c>
    </row>
    <row r="5100" spans="1:59">
      <c r="A5100" t="s">
        <v>60</v>
      </c>
      <c r="B5100" s="1">
        <v>46129</v>
      </c>
      <c r="C5100">
        <v>2378044065</v>
      </c>
      <c r="D5100">
        <v>2378080503</v>
      </c>
      <c r="E5100" t="str">
        <f>T("저승의 왕위를 계승했다 778화")</f>
        <v>저승의 왕위를 계승했다 778화</v>
      </c>
      <c r="F5100">
        <v>780</v>
      </c>
      <c r="G5100" t="str">
        <f>T("신타비")</f>
        <v>신타비</v>
      </c>
      <c r="J5100" t="str">
        <f>T("매드햇")</f>
        <v>매드햇</v>
      </c>
      <c r="K5100" t="str">
        <f>T("저승의 왕위를 계승했다")</f>
        <v>저승의 왕위를 계승했다</v>
      </c>
      <c r="L5100">
        <v>100</v>
      </c>
      <c r="M5100">
        <v>170</v>
      </c>
      <c r="N5100">
        <v>2</v>
      </c>
      <c r="O5100">
        <v>0</v>
      </c>
      <c r="P5100">
        <v>0</v>
      </c>
      <c r="Q5100">
        <v>0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0</v>
      </c>
      <c r="AE5100">
        <v>0</v>
      </c>
      <c r="AF5100">
        <v>0</v>
      </c>
      <c r="AG5100">
        <v>0</v>
      </c>
      <c r="AH5100">
        <v>0</v>
      </c>
      <c r="AI5100">
        <v>170</v>
      </c>
      <c r="AJ5100">
        <v>2</v>
      </c>
      <c r="AK5100">
        <v>0</v>
      </c>
      <c r="AL5100">
        <v>0</v>
      </c>
      <c r="AM5100">
        <v>170</v>
      </c>
      <c r="AN5100">
        <v>0</v>
      </c>
      <c r="AO5100">
        <v>0</v>
      </c>
      <c r="AP5100">
        <v>0</v>
      </c>
      <c r="AQ5100">
        <v>0</v>
      </c>
      <c r="AS5100">
        <v>0</v>
      </c>
      <c r="AT5100">
        <v>0</v>
      </c>
      <c r="AV5100">
        <v>0</v>
      </c>
      <c r="AW5100">
        <v>0</v>
      </c>
      <c r="AY5100">
        <v>0</v>
      </c>
      <c r="AZ5100">
        <v>0</v>
      </c>
      <c r="BA5100">
        <v>119</v>
      </c>
      <c r="BE5100" t="str">
        <f>T("9791137014381")</f>
        <v>9791137014381</v>
      </c>
      <c r="BF5100" t="str">
        <f>T("D203869")</f>
        <v>D203869</v>
      </c>
      <c r="BG5100" t="str">
        <f>T("판타지 웹소설 &gt; 퓨전 판타지")</f>
        <v>판타지 웹소설 &gt; 퓨전 판타지</v>
      </c>
    </row>
    <row r="5101" spans="1:59">
      <c r="A5101" t="s">
        <v>60</v>
      </c>
      <c r="B5101" s="1">
        <v>46129</v>
      </c>
      <c r="C5101">
        <v>2378044065</v>
      </c>
      <c r="D5101">
        <v>2378080504</v>
      </c>
      <c r="E5101" t="str">
        <f>T("저승의 왕위를 계승했다 779화")</f>
        <v>저승의 왕위를 계승했다 779화</v>
      </c>
      <c r="F5101">
        <v>781</v>
      </c>
      <c r="G5101" t="str">
        <f>T("신타비")</f>
        <v>신타비</v>
      </c>
      <c r="J5101" t="str">
        <f>T("매드햇")</f>
        <v>매드햇</v>
      </c>
      <c r="K5101" t="str">
        <f>T("저승의 왕위를 계승했다")</f>
        <v>저승의 왕위를 계승했다</v>
      </c>
      <c r="L5101">
        <v>100</v>
      </c>
      <c r="M5101">
        <v>170</v>
      </c>
      <c r="N5101">
        <v>2</v>
      </c>
      <c r="O5101">
        <v>0</v>
      </c>
      <c r="P5101">
        <v>0</v>
      </c>
      <c r="Q5101">
        <v>0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0</v>
      </c>
      <c r="AE5101">
        <v>0</v>
      </c>
      <c r="AF5101">
        <v>0</v>
      </c>
      <c r="AG5101">
        <v>0</v>
      </c>
      <c r="AH5101">
        <v>0</v>
      </c>
      <c r="AI5101">
        <v>170</v>
      </c>
      <c r="AJ5101">
        <v>2</v>
      </c>
      <c r="AK5101">
        <v>0</v>
      </c>
      <c r="AL5101">
        <v>0</v>
      </c>
      <c r="AM5101">
        <v>170</v>
      </c>
      <c r="AN5101">
        <v>0</v>
      </c>
      <c r="AO5101">
        <v>0</v>
      </c>
      <c r="AP5101">
        <v>0</v>
      </c>
      <c r="AQ5101">
        <v>0</v>
      </c>
      <c r="AS5101">
        <v>0</v>
      </c>
      <c r="AT5101">
        <v>0</v>
      </c>
      <c r="AV5101">
        <v>0</v>
      </c>
      <c r="AW5101">
        <v>0</v>
      </c>
      <c r="AY5101">
        <v>0</v>
      </c>
      <c r="AZ5101">
        <v>0</v>
      </c>
      <c r="BA5101">
        <v>119</v>
      </c>
      <c r="BE5101" t="str">
        <f>T("9791137014381")</f>
        <v>9791137014381</v>
      </c>
      <c r="BF5101" t="str">
        <f>T("D203870")</f>
        <v>D203870</v>
      </c>
      <c r="BG5101" t="str">
        <f>T("판타지 웹소설 &gt; 퓨전 판타지")</f>
        <v>판타지 웹소설 &gt; 퓨전 판타지</v>
      </c>
    </row>
    <row r="5102" spans="1:59">
      <c r="A5102" t="s">
        <v>60</v>
      </c>
      <c r="B5102" s="1">
        <v>46129</v>
      </c>
      <c r="C5102">
        <v>2378044065</v>
      </c>
      <c r="D5102">
        <v>2378080505</v>
      </c>
      <c r="E5102" t="str">
        <f>T("저승의 왕위를 계승했다 780화")</f>
        <v>저승의 왕위를 계승했다 780화</v>
      </c>
      <c r="F5102">
        <v>782</v>
      </c>
      <c r="G5102" t="str">
        <f>T("신타비")</f>
        <v>신타비</v>
      </c>
      <c r="J5102" t="str">
        <f>T("매드햇")</f>
        <v>매드햇</v>
      </c>
      <c r="K5102" t="str">
        <f>T("저승의 왕위를 계승했다")</f>
        <v>저승의 왕위를 계승했다</v>
      </c>
      <c r="L5102">
        <v>100</v>
      </c>
      <c r="M5102">
        <v>170</v>
      </c>
      <c r="N5102">
        <v>2</v>
      </c>
      <c r="O5102">
        <v>0</v>
      </c>
      <c r="P5102">
        <v>0</v>
      </c>
      <c r="Q5102">
        <v>0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0</v>
      </c>
      <c r="AE5102">
        <v>0</v>
      </c>
      <c r="AF5102">
        <v>0</v>
      </c>
      <c r="AG5102">
        <v>0</v>
      </c>
      <c r="AH5102">
        <v>0</v>
      </c>
      <c r="AI5102">
        <v>170</v>
      </c>
      <c r="AJ5102">
        <v>2</v>
      </c>
      <c r="AK5102">
        <v>0</v>
      </c>
      <c r="AL5102">
        <v>0</v>
      </c>
      <c r="AM5102">
        <v>170</v>
      </c>
      <c r="AN5102">
        <v>0</v>
      </c>
      <c r="AO5102">
        <v>0</v>
      </c>
      <c r="AP5102">
        <v>0</v>
      </c>
      <c r="AQ5102">
        <v>0</v>
      </c>
      <c r="AS5102">
        <v>0</v>
      </c>
      <c r="AT5102">
        <v>0</v>
      </c>
      <c r="AV5102">
        <v>0</v>
      </c>
      <c r="AW5102">
        <v>0</v>
      </c>
      <c r="AY5102">
        <v>0</v>
      </c>
      <c r="AZ5102">
        <v>0</v>
      </c>
      <c r="BA5102">
        <v>119</v>
      </c>
      <c r="BE5102" t="str">
        <f>T("9791137014381")</f>
        <v>9791137014381</v>
      </c>
      <c r="BF5102" t="str">
        <f>T("D203871")</f>
        <v>D203871</v>
      </c>
      <c r="BG5102" t="str">
        <f>T("판타지 웹소설 &gt; 퓨전 판타지")</f>
        <v>판타지 웹소설 &gt; 퓨전 판타지</v>
      </c>
    </row>
    <row r="5103" spans="1:59">
      <c r="A5103" t="s">
        <v>60</v>
      </c>
      <c r="B5103" s="1">
        <v>46129</v>
      </c>
      <c r="C5103">
        <v>2378044065</v>
      </c>
      <c r="D5103">
        <v>2378080509</v>
      </c>
      <c r="E5103" t="str">
        <f>T("저승의 왕위를 계승했다 781화")</f>
        <v>저승의 왕위를 계승했다 781화</v>
      </c>
      <c r="F5103">
        <v>783</v>
      </c>
      <c r="G5103" t="str">
        <f>T("신타비")</f>
        <v>신타비</v>
      </c>
      <c r="J5103" t="str">
        <f>T("매드햇")</f>
        <v>매드햇</v>
      </c>
      <c r="K5103" t="str">
        <f>T("저승의 왕위를 계승했다")</f>
        <v>저승의 왕위를 계승했다</v>
      </c>
      <c r="L5103">
        <v>100</v>
      </c>
      <c r="M5103">
        <v>170</v>
      </c>
      <c r="N5103">
        <v>2</v>
      </c>
      <c r="O5103">
        <v>0</v>
      </c>
      <c r="P5103">
        <v>0</v>
      </c>
      <c r="Q5103">
        <v>0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0</v>
      </c>
      <c r="AE5103">
        <v>0</v>
      </c>
      <c r="AF5103">
        <v>0</v>
      </c>
      <c r="AG5103">
        <v>0</v>
      </c>
      <c r="AH5103">
        <v>0</v>
      </c>
      <c r="AI5103">
        <v>170</v>
      </c>
      <c r="AJ5103">
        <v>2</v>
      </c>
      <c r="AK5103">
        <v>0</v>
      </c>
      <c r="AL5103">
        <v>0</v>
      </c>
      <c r="AM5103">
        <v>170</v>
      </c>
      <c r="AN5103">
        <v>0</v>
      </c>
      <c r="AO5103">
        <v>0</v>
      </c>
      <c r="AP5103">
        <v>0</v>
      </c>
      <c r="AQ5103">
        <v>0</v>
      </c>
      <c r="AS5103">
        <v>0</v>
      </c>
      <c r="AT5103">
        <v>0</v>
      </c>
      <c r="AV5103">
        <v>0</v>
      </c>
      <c r="AW5103">
        <v>0</v>
      </c>
      <c r="AY5103">
        <v>0</v>
      </c>
      <c r="AZ5103">
        <v>0</v>
      </c>
      <c r="BA5103">
        <v>119</v>
      </c>
      <c r="BE5103" t="str">
        <f>T("9791137014381")</f>
        <v>9791137014381</v>
      </c>
      <c r="BF5103" t="str">
        <f>T("D227218")</f>
        <v>D227218</v>
      </c>
      <c r="BG5103" t="str">
        <f>T("판타지 웹소설 &gt; 퓨전 판타지")</f>
        <v>판타지 웹소설 &gt; 퓨전 판타지</v>
      </c>
    </row>
    <row r="5104" spans="1:59">
      <c r="A5104" t="s">
        <v>60</v>
      </c>
      <c r="B5104" s="1">
        <v>46129</v>
      </c>
      <c r="C5104">
        <v>2378044065</v>
      </c>
      <c r="D5104">
        <v>2378080510</v>
      </c>
      <c r="E5104" t="str">
        <f>T("저승의 왕위를 계승했다 782화")</f>
        <v>저승의 왕위를 계승했다 782화</v>
      </c>
      <c r="F5104">
        <v>784</v>
      </c>
      <c r="G5104" t="str">
        <f>T("신타비")</f>
        <v>신타비</v>
      </c>
      <c r="J5104" t="str">
        <f>T("매드햇")</f>
        <v>매드햇</v>
      </c>
      <c r="K5104" t="str">
        <f>T("저승의 왕위를 계승했다")</f>
        <v>저승의 왕위를 계승했다</v>
      </c>
      <c r="L5104">
        <v>100</v>
      </c>
      <c r="M5104">
        <v>170</v>
      </c>
      <c r="N5104">
        <v>2</v>
      </c>
      <c r="O5104">
        <v>0</v>
      </c>
      <c r="P5104">
        <v>0</v>
      </c>
      <c r="Q5104">
        <v>0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0</v>
      </c>
      <c r="AE5104">
        <v>0</v>
      </c>
      <c r="AF5104">
        <v>0</v>
      </c>
      <c r="AG5104">
        <v>0</v>
      </c>
      <c r="AH5104">
        <v>0</v>
      </c>
      <c r="AI5104">
        <v>170</v>
      </c>
      <c r="AJ5104">
        <v>2</v>
      </c>
      <c r="AK5104">
        <v>0</v>
      </c>
      <c r="AL5104">
        <v>0</v>
      </c>
      <c r="AM5104">
        <v>170</v>
      </c>
      <c r="AN5104">
        <v>0</v>
      </c>
      <c r="AO5104">
        <v>0</v>
      </c>
      <c r="AP5104">
        <v>0</v>
      </c>
      <c r="AQ5104">
        <v>0</v>
      </c>
      <c r="AS5104">
        <v>0</v>
      </c>
      <c r="AT5104">
        <v>0</v>
      </c>
      <c r="AV5104">
        <v>0</v>
      </c>
      <c r="AW5104">
        <v>0</v>
      </c>
      <c r="AY5104">
        <v>0</v>
      </c>
      <c r="AZ5104">
        <v>0</v>
      </c>
      <c r="BA5104">
        <v>119</v>
      </c>
      <c r="BE5104" t="str">
        <f>T("9791137014381")</f>
        <v>9791137014381</v>
      </c>
      <c r="BF5104" t="str">
        <f>T("D227219")</f>
        <v>D227219</v>
      </c>
      <c r="BG5104" t="str">
        <f>T("판타지 웹소설 &gt; 퓨전 판타지")</f>
        <v>판타지 웹소설 &gt; 퓨전 판타지</v>
      </c>
    </row>
    <row r="5105" spans="1:59">
      <c r="A5105" t="s">
        <v>60</v>
      </c>
      <c r="B5105" s="1">
        <v>46129</v>
      </c>
      <c r="C5105">
        <v>2378044065</v>
      </c>
      <c r="D5105">
        <v>2378080515</v>
      </c>
      <c r="E5105" t="str">
        <f>T("저승의 왕위를 계승했다 783화")</f>
        <v>저승의 왕위를 계승했다 783화</v>
      </c>
      <c r="F5105">
        <v>785</v>
      </c>
      <c r="G5105" t="str">
        <f>T("신타비")</f>
        <v>신타비</v>
      </c>
      <c r="J5105" t="str">
        <f>T("매드햇")</f>
        <v>매드햇</v>
      </c>
      <c r="K5105" t="str">
        <f>T("저승의 왕위를 계승했다")</f>
        <v>저승의 왕위를 계승했다</v>
      </c>
      <c r="L5105">
        <v>100</v>
      </c>
      <c r="M5105">
        <v>170</v>
      </c>
      <c r="N5105">
        <v>2</v>
      </c>
      <c r="O5105">
        <v>0</v>
      </c>
      <c r="P5105">
        <v>0</v>
      </c>
      <c r="Q5105">
        <v>0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0</v>
      </c>
      <c r="AE5105">
        <v>0</v>
      </c>
      <c r="AF5105">
        <v>0</v>
      </c>
      <c r="AG5105">
        <v>0</v>
      </c>
      <c r="AH5105">
        <v>0</v>
      </c>
      <c r="AI5105">
        <v>170</v>
      </c>
      <c r="AJ5105">
        <v>2</v>
      </c>
      <c r="AK5105">
        <v>0</v>
      </c>
      <c r="AL5105">
        <v>0</v>
      </c>
      <c r="AM5105">
        <v>170</v>
      </c>
      <c r="AN5105">
        <v>0</v>
      </c>
      <c r="AO5105">
        <v>0</v>
      </c>
      <c r="AP5105">
        <v>0</v>
      </c>
      <c r="AQ5105">
        <v>0</v>
      </c>
      <c r="AS5105">
        <v>0</v>
      </c>
      <c r="AT5105">
        <v>0</v>
      </c>
      <c r="AV5105">
        <v>0</v>
      </c>
      <c r="AW5105">
        <v>0</v>
      </c>
      <c r="AY5105">
        <v>0</v>
      </c>
      <c r="AZ5105">
        <v>0</v>
      </c>
      <c r="BA5105">
        <v>119</v>
      </c>
      <c r="BE5105" t="str">
        <f>T("9791137014381")</f>
        <v>9791137014381</v>
      </c>
      <c r="BF5105" t="str">
        <f>T("D227220")</f>
        <v>D227220</v>
      </c>
      <c r="BG5105" t="str">
        <f>T("판타지 웹소설 &gt; 퓨전 판타지")</f>
        <v>판타지 웹소설 &gt; 퓨전 판타지</v>
      </c>
    </row>
    <row r="5106" spans="1:59">
      <c r="A5106" t="s">
        <v>60</v>
      </c>
      <c r="B5106" s="1">
        <v>46129</v>
      </c>
      <c r="C5106">
        <v>2378044065</v>
      </c>
      <c r="D5106">
        <v>2378080516</v>
      </c>
      <c r="E5106" t="str">
        <f>T("저승의 왕위를 계승했다 784화")</f>
        <v>저승의 왕위를 계승했다 784화</v>
      </c>
      <c r="F5106">
        <v>786</v>
      </c>
      <c r="G5106" t="str">
        <f>T("신타비")</f>
        <v>신타비</v>
      </c>
      <c r="J5106" t="str">
        <f>T("매드햇")</f>
        <v>매드햇</v>
      </c>
      <c r="K5106" t="str">
        <f>T("저승의 왕위를 계승했다")</f>
        <v>저승의 왕위를 계승했다</v>
      </c>
      <c r="L5106">
        <v>100</v>
      </c>
      <c r="M5106">
        <v>170</v>
      </c>
      <c r="N5106">
        <v>2</v>
      </c>
      <c r="O5106">
        <v>0</v>
      </c>
      <c r="P5106">
        <v>0</v>
      </c>
      <c r="Q5106">
        <v>0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0</v>
      </c>
      <c r="AE5106">
        <v>0</v>
      </c>
      <c r="AF5106">
        <v>0</v>
      </c>
      <c r="AG5106">
        <v>0</v>
      </c>
      <c r="AH5106">
        <v>0</v>
      </c>
      <c r="AI5106">
        <v>170</v>
      </c>
      <c r="AJ5106">
        <v>2</v>
      </c>
      <c r="AK5106">
        <v>0</v>
      </c>
      <c r="AL5106">
        <v>0</v>
      </c>
      <c r="AM5106">
        <v>170</v>
      </c>
      <c r="AN5106">
        <v>0</v>
      </c>
      <c r="AO5106">
        <v>0</v>
      </c>
      <c r="AP5106">
        <v>0</v>
      </c>
      <c r="AQ5106">
        <v>0</v>
      </c>
      <c r="AS5106">
        <v>0</v>
      </c>
      <c r="AT5106">
        <v>0</v>
      </c>
      <c r="AV5106">
        <v>0</v>
      </c>
      <c r="AW5106">
        <v>0</v>
      </c>
      <c r="AY5106">
        <v>0</v>
      </c>
      <c r="AZ5106">
        <v>0</v>
      </c>
      <c r="BA5106">
        <v>119</v>
      </c>
      <c r="BE5106" t="str">
        <f>T("9791137014381")</f>
        <v>9791137014381</v>
      </c>
      <c r="BF5106" t="str">
        <f>T("D227221")</f>
        <v>D227221</v>
      </c>
      <c r="BG5106" t="str">
        <f>T("판타지 웹소설 &gt; 퓨전 판타지")</f>
        <v>판타지 웹소설 &gt; 퓨전 판타지</v>
      </c>
    </row>
    <row r="5107" spans="1:59">
      <c r="A5107" t="s">
        <v>60</v>
      </c>
      <c r="B5107" s="1">
        <v>46129</v>
      </c>
      <c r="C5107">
        <v>2378044065</v>
      </c>
      <c r="D5107">
        <v>2378080889</v>
      </c>
      <c r="E5107" t="str">
        <f>T("저승의 왕위를 계승했다 785화")</f>
        <v>저승의 왕위를 계승했다 785화</v>
      </c>
      <c r="F5107">
        <v>787</v>
      </c>
      <c r="G5107" t="str">
        <f>T("신타비")</f>
        <v>신타비</v>
      </c>
      <c r="J5107" t="str">
        <f>T("매드햇")</f>
        <v>매드햇</v>
      </c>
      <c r="K5107" t="str">
        <f>T("저승의 왕위를 계승했다")</f>
        <v>저승의 왕위를 계승했다</v>
      </c>
      <c r="L5107">
        <v>100</v>
      </c>
      <c r="M5107">
        <v>170</v>
      </c>
      <c r="N5107">
        <v>2</v>
      </c>
      <c r="O5107">
        <v>0</v>
      </c>
      <c r="P5107">
        <v>0</v>
      </c>
      <c r="Q5107">
        <v>0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0</v>
      </c>
      <c r="AE5107">
        <v>0</v>
      </c>
      <c r="AF5107">
        <v>0</v>
      </c>
      <c r="AG5107">
        <v>0</v>
      </c>
      <c r="AH5107">
        <v>0</v>
      </c>
      <c r="AI5107">
        <v>170</v>
      </c>
      <c r="AJ5107">
        <v>2</v>
      </c>
      <c r="AK5107">
        <v>0</v>
      </c>
      <c r="AL5107">
        <v>0</v>
      </c>
      <c r="AM5107">
        <v>170</v>
      </c>
      <c r="AN5107">
        <v>0</v>
      </c>
      <c r="AO5107">
        <v>0</v>
      </c>
      <c r="AP5107">
        <v>0</v>
      </c>
      <c r="AQ5107">
        <v>0</v>
      </c>
      <c r="AS5107">
        <v>0</v>
      </c>
      <c r="AT5107">
        <v>0</v>
      </c>
      <c r="AV5107">
        <v>0</v>
      </c>
      <c r="AW5107">
        <v>0</v>
      </c>
      <c r="AY5107">
        <v>0</v>
      </c>
      <c r="AZ5107">
        <v>0</v>
      </c>
      <c r="BA5107">
        <v>119</v>
      </c>
      <c r="BE5107" t="str">
        <f>T("9791137014381")</f>
        <v>9791137014381</v>
      </c>
      <c r="BF5107" t="str">
        <f>T("D227222")</f>
        <v>D227222</v>
      </c>
      <c r="BG5107" t="str">
        <f>T("판타지 웹소설 &gt; 퓨전 판타지")</f>
        <v>판타지 웹소설 &gt; 퓨전 판타지</v>
      </c>
    </row>
    <row r="5108" spans="1:59">
      <c r="A5108" t="s">
        <v>60</v>
      </c>
      <c r="B5108" s="1">
        <v>46129</v>
      </c>
      <c r="C5108">
        <v>2378044065</v>
      </c>
      <c r="D5108">
        <v>2378080890</v>
      </c>
      <c r="E5108" t="str">
        <f>T("저승의 왕위를 계승했다 786화")</f>
        <v>저승의 왕위를 계승했다 786화</v>
      </c>
      <c r="F5108">
        <v>788</v>
      </c>
      <c r="G5108" t="str">
        <f>T("신타비")</f>
        <v>신타비</v>
      </c>
      <c r="J5108" t="str">
        <f>T("매드햇")</f>
        <v>매드햇</v>
      </c>
      <c r="K5108" t="str">
        <f>T("저승의 왕위를 계승했다")</f>
        <v>저승의 왕위를 계승했다</v>
      </c>
      <c r="L5108">
        <v>100</v>
      </c>
      <c r="M5108">
        <v>170</v>
      </c>
      <c r="N5108">
        <v>2</v>
      </c>
      <c r="O5108">
        <v>0</v>
      </c>
      <c r="P5108">
        <v>0</v>
      </c>
      <c r="Q5108">
        <v>0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0</v>
      </c>
      <c r="AE5108">
        <v>0</v>
      </c>
      <c r="AF5108">
        <v>0</v>
      </c>
      <c r="AG5108">
        <v>0</v>
      </c>
      <c r="AH5108">
        <v>0</v>
      </c>
      <c r="AI5108">
        <v>170</v>
      </c>
      <c r="AJ5108">
        <v>2</v>
      </c>
      <c r="AK5108">
        <v>0</v>
      </c>
      <c r="AL5108">
        <v>0</v>
      </c>
      <c r="AM5108">
        <v>170</v>
      </c>
      <c r="AN5108">
        <v>0</v>
      </c>
      <c r="AO5108">
        <v>0</v>
      </c>
      <c r="AP5108">
        <v>0</v>
      </c>
      <c r="AQ5108">
        <v>0</v>
      </c>
      <c r="AS5108">
        <v>0</v>
      </c>
      <c r="AT5108">
        <v>0</v>
      </c>
      <c r="AV5108">
        <v>0</v>
      </c>
      <c r="AW5108">
        <v>0</v>
      </c>
      <c r="AY5108">
        <v>0</v>
      </c>
      <c r="AZ5108">
        <v>0</v>
      </c>
      <c r="BA5108">
        <v>119</v>
      </c>
      <c r="BE5108" t="str">
        <f>T("9791137014381")</f>
        <v>9791137014381</v>
      </c>
      <c r="BF5108" t="str">
        <f>T("D227223")</f>
        <v>D227223</v>
      </c>
      <c r="BG5108" t="str">
        <f>T("판타지 웹소설 &gt; 퓨전 판타지")</f>
        <v>판타지 웹소설 &gt; 퓨전 판타지</v>
      </c>
    </row>
    <row r="5109" spans="1:59">
      <c r="A5109" t="s">
        <v>60</v>
      </c>
      <c r="B5109" s="1">
        <v>46129</v>
      </c>
      <c r="C5109">
        <v>2378044065</v>
      </c>
      <c r="D5109">
        <v>2378080891</v>
      </c>
      <c r="E5109" t="str">
        <f>T("저승의 왕위를 계승했다 787화")</f>
        <v>저승의 왕위를 계승했다 787화</v>
      </c>
      <c r="F5109">
        <v>789</v>
      </c>
      <c r="G5109" t="str">
        <f>T("신타비")</f>
        <v>신타비</v>
      </c>
      <c r="J5109" t="str">
        <f>T("매드햇")</f>
        <v>매드햇</v>
      </c>
      <c r="K5109" t="str">
        <f>T("저승의 왕위를 계승했다")</f>
        <v>저승의 왕위를 계승했다</v>
      </c>
      <c r="L5109">
        <v>100</v>
      </c>
      <c r="M5109">
        <v>170</v>
      </c>
      <c r="N5109">
        <v>2</v>
      </c>
      <c r="O5109">
        <v>0</v>
      </c>
      <c r="P5109">
        <v>0</v>
      </c>
      <c r="Q5109">
        <v>0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0</v>
      </c>
      <c r="AE5109">
        <v>0</v>
      </c>
      <c r="AF5109">
        <v>0</v>
      </c>
      <c r="AG5109">
        <v>0</v>
      </c>
      <c r="AH5109">
        <v>0</v>
      </c>
      <c r="AI5109">
        <v>170</v>
      </c>
      <c r="AJ5109">
        <v>2</v>
      </c>
      <c r="AK5109">
        <v>0</v>
      </c>
      <c r="AL5109">
        <v>0</v>
      </c>
      <c r="AM5109">
        <v>170</v>
      </c>
      <c r="AN5109">
        <v>0</v>
      </c>
      <c r="AO5109">
        <v>0</v>
      </c>
      <c r="AP5109">
        <v>0</v>
      </c>
      <c r="AQ5109">
        <v>0</v>
      </c>
      <c r="AS5109">
        <v>0</v>
      </c>
      <c r="AT5109">
        <v>0</v>
      </c>
      <c r="AV5109">
        <v>0</v>
      </c>
      <c r="AW5109">
        <v>0</v>
      </c>
      <c r="AY5109">
        <v>0</v>
      </c>
      <c r="AZ5109">
        <v>0</v>
      </c>
      <c r="BA5109">
        <v>119</v>
      </c>
      <c r="BE5109" t="str">
        <f>T("9791137014381")</f>
        <v>9791137014381</v>
      </c>
      <c r="BF5109" t="str">
        <f>T("D227224")</f>
        <v>D227224</v>
      </c>
      <c r="BG5109" t="str">
        <f>T("판타지 웹소설 &gt; 퓨전 판타지")</f>
        <v>판타지 웹소설 &gt; 퓨전 판타지</v>
      </c>
    </row>
    <row r="5110" spans="1:59">
      <c r="A5110" t="s">
        <v>60</v>
      </c>
      <c r="B5110" s="1">
        <v>46129</v>
      </c>
      <c r="C5110">
        <v>2378044065</v>
      </c>
      <c r="D5110">
        <v>2378080892</v>
      </c>
      <c r="E5110" t="str">
        <f>T("저승의 왕위를 계승했다 788화")</f>
        <v>저승의 왕위를 계승했다 788화</v>
      </c>
      <c r="F5110">
        <v>790</v>
      </c>
      <c r="G5110" t="str">
        <f>T("신타비")</f>
        <v>신타비</v>
      </c>
      <c r="J5110" t="str">
        <f>T("매드햇")</f>
        <v>매드햇</v>
      </c>
      <c r="K5110" t="str">
        <f>T("저승의 왕위를 계승했다")</f>
        <v>저승의 왕위를 계승했다</v>
      </c>
      <c r="L5110">
        <v>100</v>
      </c>
      <c r="M5110">
        <v>170</v>
      </c>
      <c r="N5110">
        <v>2</v>
      </c>
      <c r="O5110">
        <v>0</v>
      </c>
      <c r="P5110">
        <v>0</v>
      </c>
      <c r="Q5110">
        <v>0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0</v>
      </c>
      <c r="AE5110">
        <v>0</v>
      </c>
      <c r="AF5110">
        <v>0</v>
      </c>
      <c r="AG5110">
        <v>0</v>
      </c>
      <c r="AH5110">
        <v>0</v>
      </c>
      <c r="AI5110">
        <v>170</v>
      </c>
      <c r="AJ5110">
        <v>2</v>
      </c>
      <c r="AK5110">
        <v>0</v>
      </c>
      <c r="AL5110">
        <v>0</v>
      </c>
      <c r="AM5110">
        <v>170</v>
      </c>
      <c r="AN5110">
        <v>0</v>
      </c>
      <c r="AO5110">
        <v>0</v>
      </c>
      <c r="AP5110">
        <v>0</v>
      </c>
      <c r="AQ5110">
        <v>0</v>
      </c>
      <c r="AS5110">
        <v>0</v>
      </c>
      <c r="AT5110">
        <v>0</v>
      </c>
      <c r="AV5110">
        <v>0</v>
      </c>
      <c r="AW5110">
        <v>0</v>
      </c>
      <c r="AY5110">
        <v>0</v>
      </c>
      <c r="AZ5110">
        <v>0</v>
      </c>
      <c r="BA5110">
        <v>119</v>
      </c>
      <c r="BE5110" t="str">
        <f>T("9791137014381")</f>
        <v>9791137014381</v>
      </c>
      <c r="BF5110" t="str">
        <f>T("D227225")</f>
        <v>D227225</v>
      </c>
      <c r="BG5110" t="str">
        <f>T("판타지 웹소설 &gt; 퓨전 판타지")</f>
        <v>판타지 웹소설 &gt; 퓨전 판타지</v>
      </c>
    </row>
    <row r="5111" spans="1:59">
      <c r="A5111" t="s">
        <v>60</v>
      </c>
      <c r="B5111" s="1">
        <v>46130</v>
      </c>
      <c r="C5111">
        <v>2378044065</v>
      </c>
      <c r="D5111">
        <v>2378044065</v>
      </c>
      <c r="E5111" t="str">
        <f>T("저승의 왕위를 계승했다 1화")</f>
        <v>저승의 왕위를 계승했다 1화</v>
      </c>
      <c r="F5111">
        <v>1</v>
      </c>
      <c r="G5111" t="str">
        <f>T("신타비")</f>
        <v>신타비</v>
      </c>
      <c r="J5111" t="str">
        <f>T("매드햇")</f>
        <v>매드햇</v>
      </c>
      <c r="K5111" t="str">
        <f>T("저승의 왕위를 계승했다")</f>
        <v>저승의 왕위를 계승했다</v>
      </c>
      <c r="L5111">
        <v>0</v>
      </c>
      <c r="M5111">
        <v>0</v>
      </c>
      <c r="N5111">
        <v>0</v>
      </c>
      <c r="O5111">
        <v>7</v>
      </c>
      <c r="P5111">
        <v>0</v>
      </c>
      <c r="Q5111">
        <v>0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0</v>
      </c>
      <c r="AE5111">
        <v>0</v>
      </c>
      <c r="AF5111">
        <v>0</v>
      </c>
      <c r="AG5111">
        <v>0</v>
      </c>
      <c r="AH5111">
        <v>0</v>
      </c>
      <c r="AI5111">
        <v>0</v>
      </c>
      <c r="AJ5111">
        <v>7</v>
      </c>
      <c r="AK5111">
        <v>0</v>
      </c>
      <c r="AL5111">
        <v>0</v>
      </c>
      <c r="AM5111">
        <v>0</v>
      </c>
      <c r="AN5111">
        <v>0</v>
      </c>
      <c r="AO5111">
        <v>0</v>
      </c>
      <c r="AP5111">
        <v>0</v>
      </c>
      <c r="AQ5111">
        <v>0</v>
      </c>
      <c r="AS5111">
        <v>0</v>
      </c>
      <c r="AT5111">
        <v>0</v>
      </c>
      <c r="AV5111">
        <v>0</v>
      </c>
      <c r="AW5111">
        <v>0</v>
      </c>
      <c r="AY5111">
        <v>0</v>
      </c>
      <c r="AZ5111">
        <v>0</v>
      </c>
      <c r="BA5111">
        <v>0</v>
      </c>
      <c r="BE5111" t="str">
        <f>T("9791137014381")</f>
        <v>9791137014381</v>
      </c>
      <c r="BF5111" t="str">
        <f>T("N218749")</f>
        <v>N218749</v>
      </c>
      <c r="BG5111" t="str">
        <f>T("판타지 웹소설 &gt; 퓨전 판타지")</f>
        <v>판타지 웹소설 &gt; 퓨전 판타지</v>
      </c>
    </row>
    <row r="5112" spans="1:59">
      <c r="A5112" t="s">
        <v>60</v>
      </c>
      <c r="B5112" s="1">
        <v>46130</v>
      </c>
      <c r="C5112">
        <v>2378044065</v>
      </c>
      <c r="D5112">
        <v>2378044066</v>
      </c>
      <c r="E5112" t="str">
        <f>T("저승의 왕위를 계승했다 2화")</f>
        <v>저승의 왕위를 계승했다 2화</v>
      </c>
      <c r="F5112">
        <v>2</v>
      </c>
      <c r="G5112" t="str">
        <f>T("신타비")</f>
        <v>신타비</v>
      </c>
      <c r="J5112" t="str">
        <f>T("매드햇")</f>
        <v>매드햇</v>
      </c>
      <c r="K5112" t="str">
        <f>T("저승의 왕위를 계승했다")</f>
        <v>저승의 왕위를 계승했다</v>
      </c>
      <c r="L5112">
        <v>0</v>
      </c>
      <c r="M5112">
        <v>0</v>
      </c>
      <c r="N5112">
        <v>0</v>
      </c>
      <c r="O5112">
        <v>6</v>
      </c>
      <c r="P5112">
        <v>0</v>
      </c>
      <c r="Q5112">
        <v>0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0</v>
      </c>
      <c r="AE5112">
        <v>0</v>
      </c>
      <c r="AF5112">
        <v>0</v>
      </c>
      <c r="AG5112">
        <v>0</v>
      </c>
      <c r="AH5112">
        <v>0</v>
      </c>
      <c r="AI5112">
        <v>0</v>
      </c>
      <c r="AJ5112">
        <v>6</v>
      </c>
      <c r="AK5112">
        <v>0</v>
      </c>
      <c r="AL5112">
        <v>0</v>
      </c>
      <c r="AM5112">
        <v>0</v>
      </c>
      <c r="AN5112">
        <v>0</v>
      </c>
      <c r="AO5112">
        <v>0</v>
      </c>
      <c r="AP5112">
        <v>0</v>
      </c>
      <c r="AQ5112">
        <v>0</v>
      </c>
      <c r="AS5112">
        <v>0</v>
      </c>
      <c r="AT5112">
        <v>0</v>
      </c>
      <c r="AV5112">
        <v>0</v>
      </c>
      <c r="AW5112">
        <v>0</v>
      </c>
      <c r="AY5112">
        <v>0</v>
      </c>
      <c r="AZ5112">
        <v>0</v>
      </c>
      <c r="BA5112">
        <v>0</v>
      </c>
      <c r="BE5112" t="str">
        <f>T("9791137014381")</f>
        <v>9791137014381</v>
      </c>
      <c r="BF5112" t="str">
        <f>T("N218750")</f>
        <v>N218750</v>
      </c>
      <c r="BG5112" t="str">
        <f>T("판타지 웹소설 &gt; 퓨전 판타지")</f>
        <v>판타지 웹소설 &gt; 퓨전 판타지</v>
      </c>
    </row>
    <row r="5113" spans="1:59">
      <c r="A5113" t="s">
        <v>60</v>
      </c>
      <c r="B5113" s="1">
        <v>46130</v>
      </c>
      <c r="C5113">
        <v>2378044065</v>
      </c>
      <c r="D5113">
        <v>2378044067</v>
      </c>
      <c r="E5113" t="str">
        <f>T("저승의 왕위를 계승했다 3화")</f>
        <v>저승의 왕위를 계승했다 3화</v>
      </c>
      <c r="F5113">
        <v>3</v>
      </c>
      <c r="G5113" t="str">
        <f>T("신타비")</f>
        <v>신타비</v>
      </c>
      <c r="J5113" t="str">
        <f>T("매드햇")</f>
        <v>매드햇</v>
      </c>
      <c r="K5113" t="str">
        <f>T("저승의 왕위를 계승했다")</f>
        <v>저승의 왕위를 계승했다</v>
      </c>
      <c r="L5113">
        <v>0</v>
      </c>
      <c r="M5113">
        <v>0</v>
      </c>
      <c r="N5113">
        <v>0</v>
      </c>
      <c r="O5113">
        <v>5</v>
      </c>
      <c r="P5113">
        <v>0</v>
      </c>
      <c r="Q5113">
        <v>0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0</v>
      </c>
      <c r="AE5113">
        <v>0</v>
      </c>
      <c r="AF5113">
        <v>0</v>
      </c>
      <c r="AG5113">
        <v>0</v>
      </c>
      <c r="AH5113">
        <v>0</v>
      </c>
      <c r="AI5113">
        <v>0</v>
      </c>
      <c r="AJ5113">
        <v>5</v>
      </c>
      <c r="AK5113">
        <v>0</v>
      </c>
      <c r="AL5113">
        <v>0</v>
      </c>
      <c r="AM5113">
        <v>0</v>
      </c>
      <c r="AN5113">
        <v>0</v>
      </c>
      <c r="AO5113">
        <v>0</v>
      </c>
      <c r="AP5113">
        <v>0</v>
      </c>
      <c r="AQ5113">
        <v>0</v>
      </c>
      <c r="AS5113">
        <v>0</v>
      </c>
      <c r="AT5113">
        <v>0</v>
      </c>
      <c r="AV5113">
        <v>0</v>
      </c>
      <c r="AW5113">
        <v>0</v>
      </c>
      <c r="AY5113">
        <v>0</v>
      </c>
      <c r="AZ5113">
        <v>0</v>
      </c>
      <c r="BA5113">
        <v>0</v>
      </c>
      <c r="BE5113" t="str">
        <f>T("9791137014381")</f>
        <v>9791137014381</v>
      </c>
      <c r="BF5113" t="str">
        <f>T("N218751")</f>
        <v>N218751</v>
      </c>
      <c r="BG5113" t="str">
        <f>T("판타지 웹소설 &gt; 퓨전 판타지")</f>
        <v>판타지 웹소설 &gt; 퓨전 판타지</v>
      </c>
    </row>
    <row r="5114" spans="1:59">
      <c r="A5114" t="s">
        <v>60</v>
      </c>
      <c r="B5114" s="1">
        <v>46130</v>
      </c>
      <c r="C5114">
        <v>2378044065</v>
      </c>
      <c r="D5114">
        <v>2378044068</v>
      </c>
      <c r="E5114" t="str">
        <f>T("저승의 왕위를 계승했다 4화")</f>
        <v>저승의 왕위를 계승했다 4화</v>
      </c>
      <c r="F5114">
        <v>4</v>
      </c>
      <c r="G5114" t="str">
        <f>T("신타비")</f>
        <v>신타비</v>
      </c>
      <c r="J5114" t="str">
        <f>T("매드햇")</f>
        <v>매드햇</v>
      </c>
      <c r="K5114" t="str">
        <f>T("저승의 왕위를 계승했다")</f>
        <v>저승의 왕위를 계승했다</v>
      </c>
      <c r="L5114">
        <v>0</v>
      </c>
      <c r="M5114">
        <v>0</v>
      </c>
      <c r="N5114">
        <v>0</v>
      </c>
      <c r="O5114">
        <v>4</v>
      </c>
      <c r="P5114">
        <v>0</v>
      </c>
      <c r="Q5114">
        <v>0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0</v>
      </c>
      <c r="AE5114">
        <v>0</v>
      </c>
      <c r="AF5114">
        <v>0</v>
      </c>
      <c r="AG5114">
        <v>0</v>
      </c>
      <c r="AH5114">
        <v>0</v>
      </c>
      <c r="AI5114">
        <v>0</v>
      </c>
      <c r="AJ5114">
        <v>4</v>
      </c>
      <c r="AK5114">
        <v>0</v>
      </c>
      <c r="AL5114">
        <v>0</v>
      </c>
      <c r="AM5114">
        <v>0</v>
      </c>
      <c r="AN5114">
        <v>0</v>
      </c>
      <c r="AO5114">
        <v>0</v>
      </c>
      <c r="AP5114">
        <v>0</v>
      </c>
      <c r="AQ5114">
        <v>0</v>
      </c>
      <c r="AS5114">
        <v>0</v>
      </c>
      <c r="AT5114">
        <v>0</v>
      </c>
      <c r="AV5114">
        <v>0</v>
      </c>
      <c r="AW5114">
        <v>0</v>
      </c>
      <c r="AY5114">
        <v>0</v>
      </c>
      <c r="AZ5114">
        <v>0</v>
      </c>
      <c r="BA5114">
        <v>0</v>
      </c>
      <c r="BE5114" t="str">
        <f>T("9791137014381")</f>
        <v>9791137014381</v>
      </c>
      <c r="BF5114" t="str">
        <f>T("N218752")</f>
        <v>N218752</v>
      </c>
      <c r="BG5114" t="str">
        <f>T("판타지 웹소설 &gt; 퓨전 판타지")</f>
        <v>판타지 웹소설 &gt; 퓨전 판타지</v>
      </c>
    </row>
    <row r="5115" spans="1:59">
      <c r="A5115" t="s">
        <v>60</v>
      </c>
      <c r="B5115" s="1">
        <v>46130</v>
      </c>
      <c r="C5115">
        <v>2378044065</v>
      </c>
      <c r="D5115">
        <v>2378044069</v>
      </c>
      <c r="E5115" t="str">
        <f>T("저승의 왕위를 계승했다 5화")</f>
        <v>저승의 왕위를 계승했다 5화</v>
      </c>
      <c r="F5115">
        <v>5</v>
      </c>
      <c r="G5115" t="str">
        <f>T("신타비")</f>
        <v>신타비</v>
      </c>
      <c r="J5115" t="str">
        <f>T("매드햇")</f>
        <v>매드햇</v>
      </c>
      <c r="K5115" t="str">
        <f>T("저승의 왕위를 계승했다")</f>
        <v>저승의 왕위를 계승했다</v>
      </c>
      <c r="L5115">
        <v>0</v>
      </c>
      <c r="M5115">
        <v>0</v>
      </c>
      <c r="N5115">
        <v>0</v>
      </c>
      <c r="O5115">
        <v>3</v>
      </c>
      <c r="P5115">
        <v>0</v>
      </c>
      <c r="Q5115">
        <v>0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0</v>
      </c>
      <c r="AE5115">
        <v>0</v>
      </c>
      <c r="AF5115">
        <v>0</v>
      </c>
      <c r="AG5115">
        <v>0</v>
      </c>
      <c r="AH5115">
        <v>0</v>
      </c>
      <c r="AI5115">
        <v>0</v>
      </c>
      <c r="AJ5115">
        <v>3</v>
      </c>
      <c r="AK5115">
        <v>0</v>
      </c>
      <c r="AL5115">
        <v>0</v>
      </c>
      <c r="AM5115">
        <v>0</v>
      </c>
      <c r="AN5115">
        <v>0</v>
      </c>
      <c r="AO5115">
        <v>0</v>
      </c>
      <c r="AP5115">
        <v>0</v>
      </c>
      <c r="AQ5115">
        <v>0</v>
      </c>
      <c r="AS5115">
        <v>0</v>
      </c>
      <c r="AT5115">
        <v>0</v>
      </c>
      <c r="AV5115">
        <v>0</v>
      </c>
      <c r="AW5115">
        <v>0</v>
      </c>
      <c r="AY5115">
        <v>0</v>
      </c>
      <c r="AZ5115">
        <v>0</v>
      </c>
      <c r="BA5115">
        <v>0</v>
      </c>
      <c r="BE5115" t="str">
        <f>T("9791137014381")</f>
        <v>9791137014381</v>
      </c>
      <c r="BF5115" t="str">
        <f>T("N218753")</f>
        <v>N218753</v>
      </c>
      <c r="BG5115" t="str">
        <f>T("판타지 웹소설 &gt; 퓨전 판타지")</f>
        <v>판타지 웹소설 &gt; 퓨전 판타지</v>
      </c>
    </row>
    <row r="5116" spans="1:59">
      <c r="A5116" t="s">
        <v>60</v>
      </c>
      <c r="B5116" s="1">
        <v>46130</v>
      </c>
      <c r="C5116">
        <v>2378044065</v>
      </c>
      <c r="D5116">
        <v>2378081202</v>
      </c>
      <c r="E5116" t="str">
        <f>T("저승의 왕위를 계승했다 806화")</f>
        <v>저승의 왕위를 계승했다 806화</v>
      </c>
      <c r="F5116">
        <v>808</v>
      </c>
      <c r="G5116" t="str">
        <f>T("신타비")</f>
        <v>신타비</v>
      </c>
      <c r="J5116" t="str">
        <f>T("매드햇")</f>
        <v>매드햇</v>
      </c>
      <c r="K5116" t="str">
        <f>T("저승의 왕위를 계승했다")</f>
        <v>저승의 왕위를 계승했다</v>
      </c>
      <c r="L5116">
        <v>100</v>
      </c>
      <c r="M5116">
        <v>470</v>
      </c>
      <c r="N5116">
        <v>5</v>
      </c>
      <c r="O5116">
        <v>0</v>
      </c>
      <c r="P5116">
        <v>0</v>
      </c>
      <c r="Q5116">
        <v>0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0</v>
      </c>
      <c r="AE5116">
        <v>0</v>
      </c>
      <c r="AF5116">
        <v>0</v>
      </c>
      <c r="AG5116">
        <v>0</v>
      </c>
      <c r="AH5116">
        <v>0</v>
      </c>
      <c r="AI5116">
        <v>470</v>
      </c>
      <c r="AJ5116">
        <v>5</v>
      </c>
      <c r="AK5116">
        <v>0</v>
      </c>
      <c r="AL5116">
        <v>0</v>
      </c>
      <c r="AM5116">
        <v>470</v>
      </c>
      <c r="AN5116">
        <v>0</v>
      </c>
      <c r="AO5116">
        <v>0</v>
      </c>
      <c r="AP5116">
        <v>0</v>
      </c>
      <c r="AQ5116">
        <v>0</v>
      </c>
      <c r="AS5116">
        <v>0</v>
      </c>
      <c r="AT5116">
        <v>0</v>
      </c>
      <c r="AV5116">
        <v>0</v>
      </c>
      <c r="AW5116">
        <v>0</v>
      </c>
      <c r="AY5116">
        <v>0</v>
      </c>
      <c r="AZ5116">
        <v>0</v>
      </c>
      <c r="BA5116">
        <v>329</v>
      </c>
      <c r="BE5116" t="str">
        <f>T("9791137014381")</f>
        <v>9791137014381</v>
      </c>
      <c r="BF5116" t="str">
        <f>T("D227243")</f>
        <v>D227243</v>
      </c>
      <c r="BG5116" t="str">
        <f>T("판타지 웹소설 &gt; 퓨전 판타지")</f>
        <v>판타지 웹소설 &gt; 퓨전 판타지</v>
      </c>
    </row>
    <row r="5117" spans="1:59">
      <c r="A5117" t="s">
        <v>60</v>
      </c>
      <c r="B5117" s="1">
        <v>46130</v>
      </c>
      <c r="C5117">
        <v>2378044065</v>
      </c>
      <c r="D5117">
        <v>2378051311</v>
      </c>
      <c r="E5117" t="str">
        <f>T("저승의 왕위를 계승했다 185화 (삽화)")</f>
        <v>저승의 왕위를 계승했다 185화 (삽화)</v>
      </c>
      <c r="F5117">
        <v>185</v>
      </c>
      <c r="G5117" t="str">
        <f>T("신타비")</f>
        <v>신타비</v>
      </c>
      <c r="J5117" t="str">
        <f>T("매드햇")</f>
        <v>매드햇</v>
      </c>
      <c r="K5117" t="str">
        <f>T("저승의 왕위를 계승했다")</f>
        <v>저승의 왕위를 계승했다</v>
      </c>
      <c r="L5117">
        <v>100</v>
      </c>
      <c r="M5117">
        <v>175</v>
      </c>
      <c r="N5117">
        <v>2</v>
      </c>
      <c r="O5117">
        <v>0</v>
      </c>
      <c r="P5117">
        <v>0</v>
      </c>
      <c r="Q5117">
        <v>0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0</v>
      </c>
      <c r="AE5117">
        <v>0</v>
      </c>
      <c r="AF5117">
        <v>0</v>
      </c>
      <c r="AG5117">
        <v>0</v>
      </c>
      <c r="AH5117">
        <v>0</v>
      </c>
      <c r="AI5117">
        <v>175</v>
      </c>
      <c r="AJ5117">
        <v>2</v>
      </c>
      <c r="AK5117">
        <v>0</v>
      </c>
      <c r="AL5117">
        <v>0</v>
      </c>
      <c r="AM5117">
        <v>175</v>
      </c>
      <c r="AN5117">
        <v>0</v>
      </c>
      <c r="AO5117">
        <v>0</v>
      </c>
      <c r="AP5117">
        <v>0</v>
      </c>
      <c r="AQ5117">
        <v>0</v>
      </c>
      <c r="AS5117">
        <v>0</v>
      </c>
      <c r="AT5117">
        <v>0</v>
      </c>
      <c r="AV5117">
        <v>0</v>
      </c>
      <c r="AW5117">
        <v>0</v>
      </c>
      <c r="AY5117">
        <v>0</v>
      </c>
      <c r="AZ5117">
        <v>0</v>
      </c>
      <c r="BA5117">
        <v>122.5</v>
      </c>
      <c r="BE5117" t="str">
        <f>T("9791137014381")</f>
        <v>9791137014381</v>
      </c>
      <c r="BF5117" t="str">
        <f>T("k069453")</f>
        <v>k069453</v>
      </c>
      <c r="BG5117" t="str">
        <f>T("판타지 웹소설 &gt; 퓨전 판타지")</f>
        <v>판타지 웹소설 &gt; 퓨전 판타지</v>
      </c>
    </row>
    <row r="5118" spans="1:59">
      <c r="A5118" t="s">
        <v>60</v>
      </c>
      <c r="B5118" s="1">
        <v>46130</v>
      </c>
      <c r="C5118">
        <v>2378044065</v>
      </c>
      <c r="D5118">
        <v>2378053226</v>
      </c>
      <c r="E5118" t="str">
        <f>T("저승의 왕위를 계승했다 210화 (삽화)")</f>
        <v>저승의 왕위를 계승했다 210화 (삽화)</v>
      </c>
      <c r="F5118">
        <v>210</v>
      </c>
      <c r="G5118" t="str">
        <f>T("신타비")</f>
        <v>신타비</v>
      </c>
      <c r="J5118" t="str">
        <f>T("매드햇")</f>
        <v>매드햇</v>
      </c>
      <c r="K5118" t="str">
        <f>T("저승의 왕위를 계승했다")</f>
        <v>저승의 왕위를 계승했다</v>
      </c>
      <c r="L5118">
        <v>100</v>
      </c>
      <c r="M5118">
        <v>175</v>
      </c>
      <c r="N5118">
        <v>2</v>
      </c>
      <c r="O5118">
        <v>0</v>
      </c>
      <c r="P5118">
        <v>0</v>
      </c>
      <c r="Q5118">
        <v>0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0</v>
      </c>
      <c r="AE5118">
        <v>0</v>
      </c>
      <c r="AF5118">
        <v>0</v>
      </c>
      <c r="AG5118">
        <v>0</v>
      </c>
      <c r="AH5118">
        <v>0</v>
      </c>
      <c r="AI5118">
        <v>175</v>
      </c>
      <c r="AJ5118">
        <v>2</v>
      </c>
      <c r="AK5118">
        <v>0</v>
      </c>
      <c r="AL5118">
        <v>0</v>
      </c>
      <c r="AM5118">
        <v>175</v>
      </c>
      <c r="AN5118">
        <v>0</v>
      </c>
      <c r="AO5118">
        <v>0</v>
      </c>
      <c r="AP5118">
        <v>0</v>
      </c>
      <c r="AQ5118">
        <v>0</v>
      </c>
      <c r="AS5118">
        <v>0</v>
      </c>
      <c r="AT5118">
        <v>0</v>
      </c>
      <c r="AV5118">
        <v>0</v>
      </c>
      <c r="AW5118">
        <v>0</v>
      </c>
      <c r="AY5118">
        <v>0</v>
      </c>
      <c r="AZ5118">
        <v>0</v>
      </c>
      <c r="BA5118">
        <v>122.5</v>
      </c>
      <c r="BE5118" t="str">
        <f>T("9791137014381")</f>
        <v>9791137014381</v>
      </c>
      <c r="BF5118" t="str">
        <f>T("k107908")</f>
        <v>k107908</v>
      </c>
      <c r="BG5118" t="str">
        <f>T("판타지 웹소설 &gt; 퓨전 판타지")</f>
        <v>판타지 웹소설 &gt; 퓨전 판타지</v>
      </c>
    </row>
    <row r="5119" spans="1:59">
      <c r="A5119" t="s">
        <v>60</v>
      </c>
      <c r="B5119" s="1">
        <v>46130</v>
      </c>
      <c r="C5119">
        <v>2378044065</v>
      </c>
      <c r="D5119">
        <v>2378055024</v>
      </c>
      <c r="E5119" t="str">
        <f>T("저승의 왕위를 계승했다 242화 (삽화)")</f>
        <v>저승의 왕위를 계승했다 242화 (삽화)</v>
      </c>
      <c r="F5119">
        <v>242</v>
      </c>
      <c r="G5119" t="str">
        <f>T("신타비")</f>
        <v>신타비</v>
      </c>
      <c r="J5119" t="str">
        <f>T("매드햇")</f>
        <v>매드햇</v>
      </c>
      <c r="K5119" t="str">
        <f>T("저승의 왕위를 계승했다")</f>
        <v>저승의 왕위를 계승했다</v>
      </c>
      <c r="L5119">
        <v>100</v>
      </c>
      <c r="M5119">
        <v>175</v>
      </c>
      <c r="N5119">
        <v>2</v>
      </c>
      <c r="O5119">
        <v>0</v>
      </c>
      <c r="P5119">
        <v>0</v>
      </c>
      <c r="Q5119">
        <v>0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0</v>
      </c>
      <c r="AE5119">
        <v>0</v>
      </c>
      <c r="AF5119">
        <v>0</v>
      </c>
      <c r="AG5119">
        <v>0</v>
      </c>
      <c r="AH5119">
        <v>0</v>
      </c>
      <c r="AI5119">
        <v>175</v>
      </c>
      <c r="AJ5119">
        <v>2</v>
      </c>
      <c r="AK5119">
        <v>0</v>
      </c>
      <c r="AL5119">
        <v>0</v>
      </c>
      <c r="AM5119">
        <v>175</v>
      </c>
      <c r="AN5119">
        <v>0</v>
      </c>
      <c r="AO5119">
        <v>0</v>
      </c>
      <c r="AP5119">
        <v>0</v>
      </c>
      <c r="AQ5119">
        <v>0</v>
      </c>
      <c r="AS5119">
        <v>0</v>
      </c>
      <c r="AT5119">
        <v>0</v>
      </c>
      <c r="AV5119">
        <v>0</v>
      </c>
      <c r="AW5119">
        <v>0</v>
      </c>
      <c r="AY5119">
        <v>0</v>
      </c>
      <c r="AZ5119">
        <v>0</v>
      </c>
      <c r="BA5119">
        <v>122.5</v>
      </c>
      <c r="BE5119" t="str">
        <f>T("9791137014381")</f>
        <v>9791137014381</v>
      </c>
      <c r="BF5119" t="str">
        <f>T("k125842")</f>
        <v>k125842</v>
      </c>
      <c r="BG5119" t="str">
        <f>T("판타지 웹소설 &gt; 퓨전 판타지")</f>
        <v>판타지 웹소설 &gt; 퓨전 판타지</v>
      </c>
    </row>
    <row r="5120" spans="1:59">
      <c r="A5120" t="s">
        <v>60</v>
      </c>
      <c r="B5120" s="1">
        <v>46130</v>
      </c>
      <c r="C5120">
        <v>2378044065</v>
      </c>
      <c r="D5120">
        <v>2378047857</v>
      </c>
      <c r="E5120" t="str">
        <f>T("저승의 왕위를 계승했다 147화")</f>
        <v>저승의 왕위를 계승했다 147화</v>
      </c>
      <c r="F5120">
        <v>147</v>
      </c>
      <c r="G5120" t="str">
        <f>T("신타비")</f>
        <v>신타비</v>
      </c>
      <c r="J5120" t="str">
        <f>T("매드햇")</f>
        <v>매드햇</v>
      </c>
      <c r="K5120" t="str">
        <f>T("저승의 왕위를 계승했다")</f>
        <v>저승의 왕위를 계승했다</v>
      </c>
      <c r="L5120">
        <v>100</v>
      </c>
      <c r="M5120">
        <v>74</v>
      </c>
      <c r="N5120">
        <v>1</v>
      </c>
      <c r="O5120">
        <v>0</v>
      </c>
      <c r="P5120">
        <v>0</v>
      </c>
      <c r="Q5120">
        <v>0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0</v>
      </c>
      <c r="AE5120">
        <v>0</v>
      </c>
      <c r="AF5120">
        <v>0</v>
      </c>
      <c r="AG5120">
        <v>0</v>
      </c>
      <c r="AH5120">
        <v>0</v>
      </c>
      <c r="AI5120">
        <v>74</v>
      </c>
      <c r="AJ5120">
        <v>1</v>
      </c>
      <c r="AK5120">
        <v>0</v>
      </c>
      <c r="AL5120">
        <v>0</v>
      </c>
      <c r="AM5120">
        <v>74</v>
      </c>
      <c r="AN5120">
        <v>0</v>
      </c>
      <c r="AO5120">
        <v>0</v>
      </c>
      <c r="AP5120">
        <v>0</v>
      </c>
      <c r="AQ5120">
        <v>0</v>
      </c>
      <c r="AS5120">
        <v>0</v>
      </c>
      <c r="AT5120">
        <v>0</v>
      </c>
      <c r="AV5120">
        <v>0</v>
      </c>
      <c r="AW5120">
        <v>0</v>
      </c>
      <c r="AY5120">
        <v>0</v>
      </c>
      <c r="AZ5120">
        <v>0</v>
      </c>
      <c r="BA5120">
        <v>51.8</v>
      </c>
      <c r="BE5120" t="str">
        <f>T("9791137014381")</f>
        <v>9791137014381</v>
      </c>
      <c r="BF5120" t="str">
        <f>T("k022905")</f>
        <v>k022905</v>
      </c>
      <c r="BG5120" t="str">
        <f>T("판타지 웹소설 &gt; 퓨전 판타지")</f>
        <v>판타지 웹소설 &gt; 퓨전 판타지</v>
      </c>
    </row>
    <row r="5121" spans="1:59">
      <c r="A5121" t="s">
        <v>60</v>
      </c>
      <c r="B5121" s="1">
        <v>46130</v>
      </c>
      <c r="C5121">
        <v>2378044065</v>
      </c>
      <c r="D5121">
        <v>2378047858</v>
      </c>
      <c r="E5121" t="str">
        <f>T("저승의 왕위를 계승했다 148화")</f>
        <v>저승의 왕위를 계승했다 148화</v>
      </c>
      <c r="F5121">
        <v>148</v>
      </c>
      <c r="G5121" t="str">
        <f>T("신타비")</f>
        <v>신타비</v>
      </c>
      <c r="J5121" t="str">
        <f>T("매드햇")</f>
        <v>매드햇</v>
      </c>
      <c r="K5121" t="str">
        <f>T("저승의 왕위를 계승했다")</f>
        <v>저승의 왕위를 계승했다</v>
      </c>
      <c r="L5121">
        <v>100</v>
      </c>
      <c r="M5121">
        <v>74</v>
      </c>
      <c r="N5121">
        <v>1</v>
      </c>
      <c r="O5121">
        <v>0</v>
      </c>
      <c r="P5121">
        <v>0</v>
      </c>
      <c r="Q5121">
        <v>0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0</v>
      </c>
      <c r="AE5121">
        <v>0</v>
      </c>
      <c r="AF5121">
        <v>0</v>
      </c>
      <c r="AG5121">
        <v>0</v>
      </c>
      <c r="AH5121">
        <v>0</v>
      </c>
      <c r="AI5121">
        <v>74</v>
      </c>
      <c r="AJ5121">
        <v>1</v>
      </c>
      <c r="AK5121">
        <v>0</v>
      </c>
      <c r="AL5121">
        <v>0</v>
      </c>
      <c r="AM5121">
        <v>74</v>
      </c>
      <c r="AN5121">
        <v>0</v>
      </c>
      <c r="AO5121">
        <v>0</v>
      </c>
      <c r="AP5121">
        <v>0</v>
      </c>
      <c r="AQ5121">
        <v>0</v>
      </c>
      <c r="AS5121">
        <v>0</v>
      </c>
      <c r="AT5121">
        <v>0</v>
      </c>
      <c r="AV5121">
        <v>0</v>
      </c>
      <c r="AW5121">
        <v>0</v>
      </c>
      <c r="AY5121">
        <v>0</v>
      </c>
      <c r="AZ5121">
        <v>0</v>
      </c>
      <c r="BA5121">
        <v>51.8</v>
      </c>
      <c r="BE5121" t="str">
        <f>T("9791137014381")</f>
        <v>9791137014381</v>
      </c>
      <c r="BF5121" t="str">
        <f>T("k022906")</f>
        <v>k022906</v>
      </c>
      <c r="BG5121" t="str">
        <f>T("판타지 웹소설 &gt; 퓨전 판타지")</f>
        <v>판타지 웹소설 &gt; 퓨전 판타지</v>
      </c>
    </row>
    <row r="5122" spans="1:59">
      <c r="A5122" t="s">
        <v>60</v>
      </c>
      <c r="B5122" s="1">
        <v>46130</v>
      </c>
      <c r="C5122">
        <v>2378044065</v>
      </c>
      <c r="D5122">
        <v>2378047878</v>
      </c>
      <c r="E5122" t="str">
        <f>T("저승의 왕위를 계승했다 149화")</f>
        <v>저승의 왕위를 계승했다 149화</v>
      </c>
      <c r="F5122">
        <v>149</v>
      </c>
      <c r="G5122" t="str">
        <f>T("신타비")</f>
        <v>신타비</v>
      </c>
      <c r="J5122" t="str">
        <f>T("매드햇")</f>
        <v>매드햇</v>
      </c>
      <c r="K5122" t="str">
        <f>T("저승의 왕위를 계승했다")</f>
        <v>저승의 왕위를 계승했다</v>
      </c>
      <c r="L5122">
        <v>100</v>
      </c>
      <c r="M5122">
        <v>74</v>
      </c>
      <c r="N5122">
        <v>1</v>
      </c>
      <c r="O5122">
        <v>0</v>
      </c>
      <c r="P5122">
        <v>0</v>
      </c>
      <c r="Q5122">
        <v>0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0</v>
      </c>
      <c r="AE5122">
        <v>0</v>
      </c>
      <c r="AF5122">
        <v>0</v>
      </c>
      <c r="AG5122">
        <v>0</v>
      </c>
      <c r="AH5122">
        <v>0</v>
      </c>
      <c r="AI5122">
        <v>74</v>
      </c>
      <c r="AJ5122">
        <v>1</v>
      </c>
      <c r="AK5122">
        <v>0</v>
      </c>
      <c r="AL5122">
        <v>0</v>
      </c>
      <c r="AM5122">
        <v>74</v>
      </c>
      <c r="AN5122">
        <v>0</v>
      </c>
      <c r="AO5122">
        <v>0</v>
      </c>
      <c r="AP5122">
        <v>0</v>
      </c>
      <c r="AQ5122">
        <v>0</v>
      </c>
      <c r="AS5122">
        <v>0</v>
      </c>
      <c r="AT5122">
        <v>0</v>
      </c>
      <c r="AV5122">
        <v>0</v>
      </c>
      <c r="AW5122">
        <v>0</v>
      </c>
      <c r="AY5122">
        <v>0</v>
      </c>
      <c r="AZ5122">
        <v>0</v>
      </c>
      <c r="BA5122">
        <v>51.8</v>
      </c>
      <c r="BE5122" t="str">
        <f>T("9791137014381")</f>
        <v>9791137014381</v>
      </c>
      <c r="BF5122" t="str">
        <f>T("k022907")</f>
        <v>k022907</v>
      </c>
      <c r="BG5122" t="str">
        <f>T("판타지 웹소설 &gt; 퓨전 판타지")</f>
        <v>판타지 웹소설 &gt; 퓨전 판타지</v>
      </c>
    </row>
    <row r="5123" spans="1:59">
      <c r="A5123" t="s">
        <v>60</v>
      </c>
      <c r="B5123" s="1">
        <v>46130</v>
      </c>
      <c r="C5123">
        <v>2378044065</v>
      </c>
      <c r="D5123">
        <v>2378049671</v>
      </c>
      <c r="E5123" t="str">
        <f>T("저승의 왕위를 계승했다 150화")</f>
        <v>저승의 왕위를 계승했다 150화</v>
      </c>
      <c r="F5123">
        <v>150</v>
      </c>
      <c r="G5123" t="str">
        <f>T("신타비")</f>
        <v>신타비</v>
      </c>
      <c r="J5123" t="str">
        <f>T("매드햇")</f>
        <v>매드햇</v>
      </c>
      <c r="K5123" t="str">
        <f>T("저승의 왕위를 계승했다")</f>
        <v>저승의 왕위를 계승했다</v>
      </c>
      <c r="L5123">
        <v>100</v>
      </c>
      <c r="M5123">
        <v>74</v>
      </c>
      <c r="N5123">
        <v>1</v>
      </c>
      <c r="O5123">
        <v>0</v>
      </c>
      <c r="P5123">
        <v>0</v>
      </c>
      <c r="Q5123">
        <v>0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0</v>
      </c>
      <c r="AE5123">
        <v>0</v>
      </c>
      <c r="AF5123">
        <v>0</v>
      </c>
      <c r="AG5123">
        <v>0</v>
      </c>
      <c r="AH5123">
        <v>0</v>
      </c>
      <c r="AI5123">
        <v>74</v>
      </c>
      <c r="AJ5123">
        <v>1</v>
      </c>
      <c r="AK5123">
        <v>0</v>
      </c>
      <c r="AL5123">
        <v>0</v>
      </c>
      <c r="AM5123">
        <v>74</v>
      </c>
      <c r="AN5123">
        <v>0</v>
      </c>
      <c r="AO5123">
        <v>0</v>
      </c>
      <c r="AP5123">
        <v>0</v>
      </c>
      <c r="AQ5123">
        <v>0</v>
      </c>
      <c r="AS5123">
        <v>0</v>
      </c>
      <c r="AT5123">
        <v>0</v>
      </c>
      <c r="AV5123">
        <v>0</v>
      </c>
      <c r="AW5123">
        <v>0</v>
      </c>
      <c r="AY5123">
        <v>0</v>
      </c>
      <c r="AZ5123">
        <v>0</v>
      </c>
      <c r="BA5123">
        <v>51.8</v>
      </c>
      <c r="BE5123" t="str">
        <f>T("9791137014381")</f>
        <v>9791137014381</v>
      </c>
      <c r="BF5123" t="str">
        <f>T("k025321")</f>
        <v>k025321</v>
      </c>
      <c r="BG5123" t="str">
        <f>T("판타지 웹소설 &gt; 퓨전 판타지")</f>
        <v>판타지 웹소설 &gt; 퓨전 판타지</v>
      </c>
    </row>
    <row r="5124" spans="1:59">
      <c r="A5124" t="s">
        <v>60</v>
      </c>
      <c r="B5124" s="1">
        <v>46130</v>
      </c>
      <c r="C5124">
        <v>2378044065</v>
      </c>
      <c r="D5124">
        <v>2378049672</v>
      </c>
      <c r="E5124" t="str">
        <f>T("저승의 왕위를 계승했다 151화")</f>
        <v>저승의 왕위를 계승했다 151화</v>
      </c>
      <c r="F5124">
        <v>151</v>
      </c>
      <c r="G5124" t="str">
        <f>T("신타비")</f>
        <v>신타비</v>
      </c>
      <c r="J5124" t="str">
        <f>T("매드햇")</f>
        <v>매드햇</v>
      </c>
      <c r="K5124" t="str">
        <f>T("저승의 왕위를 계승했다")</f>
        <v>저승의 왕위를 계승했다</v>
      </c>
      <c r="L5124">
        <v>100</v>
      </c>
      <c r="M5124">
        <v>74</v>
      </c>
      <c r="N5124">
        <v>1</v>
      </c>
      <c r="O5124">
        <v>0</v>
      </c>
      <c r="P5124">
        <v>0</v>
      </c>
      <c r="Q5124">
        <v>0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0</v>
      </c>
      <c r="AE5124">
        <v>0</v>
      </c>
      <c r="AF5124">
        <v>0</v>
      </c>
      <c r="AG5124">
        <v>0</v>
      </c>
      <c r="AH5124">
        <v>0</v>
      </c>
      <c r="AI5124">
        <v>74</v>
      </c>
      <c r="AJ5124">
        <v>1</v>
      </c>
      <c r="AK5124">
        <v>0</v>
      </c>
      <c r="AL5124">
        <v>0</v>
      </c>
      <c r="AM5124">
        <v>74</v>
      </c>
      <c r="AN5124">
        <v>0</v>
      </c>
      <c r="AO5124">
        <v>0</v>
      </c>
      <c r="AP5124">
        <v>0</v>
      </c>
      <c r="AQ5124">
        <v>0</v>
      </c>
      <c r="AS5124">
        <v>0</v>
      </c>
      <c r="AT5124">
        <v>0</v>
      </c>
      <c r="AV5124">
        <v>0</v>
      </c>
      <c r="AW5124">
        <v>0</v>
      </c>
      <c r="AY5124">
        <v>0</v>
      </c>
      <c r="AZ5124">
        <v>0</v>
      </c>
      <c r="BA5124">
        <v>51.8</v>
      </c>
      <c r="BE5124" t="str">
        <f>T("9791137014381")</f>
        <v>9791137014381</v>
      </c>
      <c r="BF5124" t="str">
        <f>T("k025322")</f>
        <v>k025322</v>
      </c>
      <c r="BG5124" t="str">
        <f>T("판타지 웹소설 &gt; 퓨전 판타지")</f>
        <v>판타지 웹소설 &gt; 퓨전 판타지</v>
      </c>
    </row>
    <row r="5125" spans="1:59">
      <c r="A5125" t="s">
        <v>60</v>
      </c>
      <c r="B5125" s="1">
        <v>46130</v>
      </c>
      <c r="C5125">
        <v>2378044065</v>
      </c>
      <c r="D5125">
        <v>2378049710</v>
      </c>
      <c r="E5125" t="str">
        <f>T("저승의 왕위를 계승했다 152화")</f>
        <v>저승의 왕위를 계승했다 152화</v>
      </c>
      <c r="F5125">
        <v>152</v>
      </c>
      <c r="G5125" t="str">
        <f>T("신타비")</f>
        <v>신타비</v>
      </c>
      <c r="J5125" t="str">
        <f>T("매드햇")</f>
        <v>매드햇</v>
      </c>
      <c r="K5125" t="str">
        <f>T("저승의 왕위를 계승했다")</f>
        <v>저승의 왕위를 계승했다</v>
      </c>
      <c r="L5125">
        <v>100</v>
      </c>
      <c r="M5125">
        <v>74</v>
      </c>
      <c r="N5125">
        <v>1</v>
      </c>
      <c r="O5125">
        <v>0</v>
      </c>
      <c r="P5125">
        <v>0</v>
      </c>
      <c r="Q5125">
        <v>0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0</v>
      </c>
      <c r="AE5125">
        <v>0</v>
      </c>
      <c r="AF5125">
        <v>0</v>
      </c>
      <c r="AG5125">
        <v>0</v>
      </c>
      <c r="AH5125">
        <v>0</v>
      </c>
      <c r="AI5125">
        <v>74</v>
      </c>
      <c r="AJ5125">
        <v>1</v>
      </c>
      <c r="AK5125">
        <v>0</v>
      </c>
      <c r="AL5125">
        <v>0</v>
      </c>
      <c r="AM5125">
        <v>74</v>
      </c>
      <c r="AN5125">
        <v>0</v>
      </c>
      <c r="AO5125">
        <v>0</v>
      </c>
      <c r="AP5125">
        <v>0</v>
      </c>
      <c r="AQ5125">
        <v>0</v>
      </c>
      <c r="AS5125">
        <v>0</v>
      </c>
      <c r="AT5125">
        <v>0</v>
      </c>
      <c r="AV5125">
        <v>0</v>
      </c>
      <c r="AW5125">
        <v>0</v>
      </c>
      <c r="AY5125">
        <v>0</v>
      </c>
      <c r="AZ5125">
        <v>0</v>
      </c>
      <c r="BA5125">
        <v>51.8</v>
      </c>
      <c r="BE5125" t="str">
        <f>T("9791137014381")</f>
        <v>9791137014381</v>
      </c>
      <c r="BF5125" t="str">
        <f>T("k025323")</f>
        <v>k025323</v>
      </c>
      <c r="BG5125" t="str">
        <f>T("판타지 웹소설 &gt; 퓨전 판타지")</f>
        <v>판타지 웹소설 &gt; 퓨전 판타지</v>
      </c>
    </row>
    <row r="5126" spans="1:59">
      <c r="A5126" t="s">
        <v>60</v>
      </c>
      <c r="B5126" s="1">
        <v>46130</v>
      </c>
      <c r="C5126">
        <v>2378044065</v>
      </c>
      <c r="D5126">
        <v>2378049717</v>
      </c>
      <c r="E5126" t="str">
        <f>T("저승의 왕위를 계승했다 153화")</f>
        <v>저승의 왕위를 계승했다 153화</v>
      </c>
      <c r="F5126">
        <v>153</v>
      </c>
      <c r="G5126" t="str">
        <f>T("신타비")</f>
        <v>신타비</v>
      </c>
      <c r="J5126" t="str">
        <f>T("매드햇")</f>
        <v>매드햇</v>
      </c>
      <c r="K5126" t="str">
        <f>T("저승의 왕위를 계승했다")</f>
        <v>저승의 왕위를 계승했다</v>
      </c>
      <c r="L5126">
        <v>100</v>
      </c>
      <c r="M5126">
        <v>74</v>
      </c>
      <c r="N5126">
        <v>1</v>
      </c>
      <c r="O5126">
        <v>0</v>
      </c>
      <c r="P5126">
        <v>0</v>
      </c>
      <c r="Q5126">
        <v>0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0</v>
      </c>
      <c r="AE5126">
        <v>0</v>
      </c>
      <c r="AF5126">
        <v>0</v>
      </c>
      <c r="AG5126">
        <v>0</v>
      </c>
      <c r="AH5126">
        <v>0</v>
      </c>
      <c r="AI5126">
        <v>74</v>
      </c>
      <c r="AJ5126">
        <v>1</v>
      </c>
      <c r="AK5126">
        <v>0</v>
      </c>
      <c r="AL5126">
        <v>0</v>
      </c>
      <c r="AM5126">
        <v>74</v>
      </c>
      <c r="AN5126">
        <v>0</v>
      </c>
      <c r="AO5126">
        <v>0</v>
      </c>
      <c r="AP5126">
        <v>0</v>
      </c>
      <c r="AQ5126">
        <v>0</v>
      </c>
      <c r="AS5126">
        <v>0</v>
      </c>
      <c r="AT5126">
        <v>0</v>
      </c>
      <c r="AV5126">
        <v>0</v>
      </c>
      <c r="AW5126">
        <v>0</v>
      </c>
      <c r="AY5126">
        <v>0</v>
      </c>
      <c r="AZ5126">
        <v>0</v>
      </c>
      <c r="BA5126">
        <v>51.8</v>
      </c>
      <c r="BE5126" t="str">
        <f>T("9791137014381")</f>
        <v>9791137014381</v>
      </c>
      <c r="BF5126" t="str">
        <f>T("k025324")</f>
        <v>k025324</v>
      </c>
      <c r="BG5126" t="str">
        <f>T("판타지 웹소설 &gt; 퓨전 판타지")</f>
        <v>판타지 웹소설 &gt; 퓨전 판타지</v>
      </c>
    </row>
    <row r="5127" spans="1:59">
      <c r="A5127" t="s">
        <v>60</v>
      </c>
      <c r="B5127" s="1">
        <v>46130</v>
      </c>
      <c r="C5127">
        <v>2378044065</v>
      </c>
      <c r="D5127">
        <v>2378049745</v>
      </c>
      <c r="E5127" t="str">
        <f>T("저승의 왕위를 계승했다 154화")</f>
        <v>저승의 왕위를 계승했다 154화</v>
      </c>
      <c r="F5127">
        <v>154</v>
      </c>
      <c r="G5127" t="str">
        <f>T("신타비")</f>
        <v>신타비</v>
      </c>
      <c r="J5127" t="str">
        <f>T("매드햇")</f>
        <v>매드햇</v>
      </c>
      <c r="K5127" t="str">
        <f>T("저승의 왕위를 계승했다")</f>
        <v>저승의 왕위를 계승했다</v>
      </c>
      <c r="L5127">
        <v>100</v>
      </c>
      <c r="M5127">
        <v>74</v>
      </c>
      <c r="N5127">
        <v>1</v>
      </c>
      <c r="O5127">
        <v>0</v>
      </c>
      <c r="P5127">
        <v>0</v>
      </c>
      <c r="Q5127">
        <v>0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0</v>
      </c>
      <c r="AE5127">
        <v>0</v>
      </c>
      <c r="AF5127">
        <v>0</v>
      </c>
      <c r="AG5127">
        <v>0</v>
      </c>
      <c r="AH5127">
        <v>0</v>
      </c>
      <c r="AI5127">
        <v>74</v>
      </c>
      <c r="AJ5127">
        <v>1</v>
      </c>
      <c r="AK5127">
        <v>0</v>
      </c>
      <c r="AL5127">
        <v>0</v>
      </c>
      <c r="AM5127">
        <v>74</v>
      </c>
      <c r="AN5127">
        <v>0</v>
      </c>
      <c r="AO5127">
        <v>0</v>
      </c>
      <c r="AP5127">
        <v>0</v>
      </c>
      <c r="AQ5127">
        <v>0</v>
      </c>
      <c r="AS5127">
        <v>0</v>
      </c>
      <c r="AT5127">
        <v>0</v>
      </c>
      <c r="AV5127">
        <v>0</v>
      </c>
      <c r="AW5127">
        <v>0</v>
      </c>
      <c r="AY5127">
        <v>0</v>
      </c>
      <c r="AZ5127">
        <v>0</v>
      </c>
      <c r="BA5127">
        <v>51.8</v>
      </c>
      <c r="BE5127" t="str">
        <f>T("9791137014381")</f>
        <v>9791137014381</v>
      </c>
      <c r="BF5127" t="str">
        <f>T("k025325")</f>
        <v>k025325</v>
      </c>
      <c r="BG5127" t="str">
        <f>T("판타지 웹소설 &gt; 퓨전 판타지")</f>
        <v>판타지 웹소설 &gt; 퓨전 판타지</v>
      </c>
    </row>
    <row r="5128" spans="1:59">
      <c r="A5128" t="s">
        <v>60</v>
      </c>
      <c r="B5128" s="1">
        <v>46130</v>
      </c>
      <c r="C5128">
        <v>2378044065</v>
      </c>
      <c r="D5128">
        <v>2378049759</v>
      </c>
      <c r="E5128" t="str">
        <f>T("저승의 왕위를 계승했다 155화")</f>
        <v>저승의 왕위를 계승했다 155화</v>
      </c>
      <c r="F5128">
        <v>155</v>
      </c>
      <c r="G5128" t="str">
        <f>T("신타비")</f>
        <v>신타비</v>
      </c>
      <c r="J5128" t="str">
        <f>T("매드햇")</f>
        <v>매드햇</v>
      </c>
      <c r="K5128" t="str">
        <f>T("저승의 왕위를 계승했다")</f>
        <v>저승의 왕위를 계승했다</v>
      </c>
      <c r="L5128">
        <v>100</v>
      </c>
      <c r="M5128">
        <v>74</v>
      </c>
      <c r="N5128">
        <v>1</v>
      </c>
      <c r="O5128">
        <v>0</v>
      </c>
      <c r="P5128">
        <v>0</v>
      </c>
      <c r="Q5128">
        <v>0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0</v>
      </c>
      <c r="AE5128">
        <v>0</v>
      </c>
      <c r="AF5128">
        <v>0</v>
      </c>
      <c r="AG5128">
        <v>0</v>
      </c>
      <c r="AH5128">
        <v>0</v>
      </c>
      <c r="AI5128">
        <v>74</v>
      </c>
      <c r="AJ5128">
        <v>1</v>
      </c>
      <c r="AK5128">
        <v>0</v>
      </c>
      <c r="AL5128">
        <v>0</v>
      </c>
      <c r="AM5128">
        <v>74</v>
      </c>
      <c r="AN5128">
        <v>0</v>
      </c>
      <c r="AO5128">
        <v>0</v>
      </c>
      <c r="AP5128">
        <v>0</v>
      </c>
      <c r="AQ5128">
        <v>0</v>
      </c>
      <c r="AS5128">
        <v>0</v>
      </c>
      <c r="AT5128">
        <v>0</v>
      </c>
      <c r="AV5128">
        <v>0</v>
      </c>
      <c r="AW5128">
        <v>0</v>
      </c>
      <c r="AY5128">
        <v>0</v>
      </c>
      <c r="AZ5128">
        <v>0</v>
      </c>
      <c r="BA5128">
        <v>51.8</v>
      </c>
      <c r="BE5128" t="str">
        <f>T("9791137014381")</f>
        <v>9791137014381</v>
      </c>
      <c r="BF5128" t="str">
        <f>T("k032713")</f>
        <v>k032713</v>
      </c>
      <c r="BG5128" t="str">
        <f>T("판타지 웹소설 &gt; 퓨전 판타지")</f>
        <v>판타지 웹소설 &gt; 퓨전 판타지</v>
      </c>
    </row>
    <row r="5129" spans="1:59">
      <c r="A5129" t="s">
        <v>60</v>
      </c>
      <c r="B5129" s="1">
        <v>46130</v>
      </c>
      <c r="C5129">
        <v>2378044065</v>
      </c>
      <c r="D5129">
        <v>2378049789</v>
      </c>
      <c r="E5129" t="str">
        <f>T("저승의 왕위를 계승했다 156화")</f>
        <v>저승의 왕위를 계승했다 156화</v>
      </c>
      <c r="F5129">
        <v>156</v>
      </c>
      <c r="G5129" t="str">
        <f>T("신타비")</f>
        <v>신타비</v>
      </c>
      <c r="J5129" t="str">
        <f>T("매드햇")</f>
        <v>매드햇</v>
      </c>
      <c r="K5129" t="str">
        <f>T("저승의 왕위를 계승했다")</f>
        <v>저승의 왕위를 계승했다</v>
      </c>
      <c r="L5129">
        <v>100</v>
      </c>
      <c r="M5129">
        <v>74</v>
      </c>
      <c r="N5129">
        <v>1</v>
      </c>
      <c r="O5129">
        <v>0</v>
      </c>
      <c r="P5129">
        <v>0</v>
      </c>
      <c r="Q5129">
        <v>0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0</v>
      </c>
      <c r="AE5129">
        <v>0</v>
      </c>
      <c r="AF5129">
        <v>0</v>
      </c>
      <c r="AG5129">
        <v>0</v>
      </c>
      <c r="AH5129">
        <v>0</v>
      </c>
      <c r="AI5129">
        <v>74</v>
      </c>
      <c r="AJ5129">
        <v>1</v>
      </c>
      <c r="AK5129">
        <v>0</v>
      </c>
      <c r="AL5129">
        <v>0</v>
      </c>
      <c r="AM5129">
        <v>74</v>
      </c>
      <c r="AN5129">
        <v>0</v>
      </c>
      <c r="AO5129">
        <v>0</v>
      </c>
      <c r="AP5129">
        <v>0</v>
      </c>
      <c r="AQ5129">
        <v>0</v>
      </c>
      <c r="AS5129">
        <v>0</v>
      </c>
      <c r="AT5129">
        <v>0</v>
      </c>
      <c r="AV5129">
        <v>0</v>
      </c>
      <c r="AW5129">
        <v>0</v>
      </c>
      <c r="AY5129">
        <v>0</v>
      </c>
      <c r="AZ5129">
        <v>0</v>
      </c>
      <c r="BA5129">
        <v>51.8</v>
      </c>
      <c r="BE5129" t="str">
        <f>T("9791137014381")</f>
        <v>9791137014381</v>
      </c>
      <c r="BF5129" t="str">
        <f>T("k032714")</f>
        <v>k032714</v>
      </c>
      <c r="BG5129" t="str">
        <f>T("판타지 웹소설 &gt; 퓨전 판타지")</f>
        <v>판타지 웹소설 &gt; 퓨전 판타지</v>
      </c>
    </row>
    <row r="5130" spans="1:59">
      <c r="A5130" t="s">
        <v>60</v>
      </c>
      <c r="B5130" s="1">
        <v>46130</v>
      </c>
      <c r="C5130">
        <v>2378044065</v>
      </c>
      <c r="D5130">
        <v>2378049813</v>
      </c>
      <c r="E5130" t="str">
        <f>T("저승의 왕위를 계승했다 157화")</f>
        <v>저승의 왕위를 계승했다 157화</v>
      </c>
      <c r="F5130">
        <v>157</v>
      </c>
      <c r="G5130" t="str">
        <f>T("신타비")</f>
        <v>신타비</v>
      </c>
      <c r="J5130" t="str">
        <f>T("매드햇")</f>
        <v>매드햇</v>
      </c>
      <c r="K5130" t="str">
        <f>T("저승의 왕위를 계승했다")</f>
        <v>저승의 왕위를 계승했다</v>
      </c>
      <c r="L5130">
        <v>100</v>
      </c>
      <c r="M5130">
        <v>74</v>
      </c>
      <c r="N5130">
        <v>1</v>
      </c>
      <c r="O5130">
        <v>0</v>
      </c>
      <c r="P5130">
        <v>0</v>
      </c>
      <c r="Q5130">
        <v>0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0</v>
      </c>
      <c r="AE5130">
        <v>0</v>
      </c>
      <c r="AF5130">
        <v>0</v>
      </c>
      <c r="AG5130">
        <v>0</v>
      </c>
      <c r="AH5130">
        <v>0</v>
      </c>
      <c r="AI5130">
        <v>74</v>
      </c>
      <c r="AJ5130">
        <v>1</v>
      </c>
      <c r="AK5130">
        <v>0</v>
      </c>
      <c r="AL5130">
        <v>0</v>
      </c>
      <c r="AM5130">
        <v>74</v>
      </c>
      <c r="AN5130">
        <v>0</v>
      </c>
      <c r="AO5130">
        <v>0</v>
      </c>
      <c r="AP5130">
        <v>0</v>
      </c>
      <c r="AQ5130">
        <v>0</v>
      </c>
      <c r="AS5130">
        <v>0</v>
      </c>
      <c r="AT5130">
        <v>0</v>
      </c>
      <c r="AV5130">
        <v>0</v>
      </c>
      <c r="AW5130">
        <v>0</v>
      </c>
      <c r="AY5130">
        <v>0</v>
      </c>
      <c r="AZ5130">
        <v>0</v>
      </c>
      <c r="BA5130">
        <v>51.8</v>
      </c>
      <c r="BE5130" t="str">
        <f>T("9791137014381")</f>
        <v>9791137014381</v>
      </c>
      <c r="BF5130" t="str">
        <f>T("k032715")</f>
        <v>k032715</v>
      </c>
      <c r="BG5130" t="str">
        <f>T("판타지 웹소설 &gt; 퓨전 판타지")</f>
        <v>판타지 웹소설 &gt; 퓨전 판타지</v>
      </c>
    </row>
    <row r="5131" spans="1:59">
      <c r="A5131" t="s">
        <v>60</v>
      </c>
      <c r="B5131" s="1">
        <v>46130</v>
      </c>
      <c r="C5131">
        <v>2378044065</v>
      </c>
      <c r="D5131">
        <v>2378049825</v>
      </c>
      <c r="E5131" t="str">
        <f>T("저승의 왕위를 계승했다 158화")</f>
        <v>저승의 왕위를 계승했다 158화</v>
      </c>
      <c r="F5131">
        <v>158</v>
      </c>
      <c r="G5131" t="str">
        <f>T("신타비")</f>
        <v>신타비</v>
      </c>
      <c r="J5131" t="str">
        <f>T("매드햇")</f>
        <v>매드햇</v>
      </c>
      <c r="K5131" t="str">
        <f>T("저승의 왕위를 계승했다")</f>
        <v>저승의 왕위를 계승했다</v>
      </c>
      <c r="L5131">
        <v>100</v>
      </c>
      <c r="M5131">
        <v>74</v>
      </c>
      <c r="N5131">
        <v>1</v>
      </c>
      <c r="O5131">
        <v>0</v>
      </c>
      <c r="P5131">
        <v>0</v>
      </c>
      <c r="Q5131">
        <v>0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0</v>
      </c>
      <c r="AE5131">
        <v>0</v>
      </c>
      <c r="AF5131">
        <v>0</v>
      </c>
      <c r="AG5131">
        <v>0</v>
      </c>
      <c r="AH5131">
        <v>0</v>
      </c>
      <c r="AI5131">
        <v>74</v>
      </c>
      <c r="AJ5131">
        <v>1</v>
      </c>
      <c r="AK5131">
        <v>0</v>
      </c>
      <c r="AL5131">
        <v>0</v>
      </c>
      <c r="AM5131">
        <v>74</v>
      </c>
      <c r="AN5131">
        <v>0</v>
      </c>
      <c r="AO5131">
        <v>0</v>
      </c>
      <c r="AP5131">
        <v>0</v>
      </c>
      <c r="AQ5131">
        <v>0</v>
      </c>
      <c r="AS5131">
        <v>0</v>
      </c>
      <c r="AT5131">
        <v>0</v>
      </c>
      <c r="AV5131">
        <v>0</v>
      </c>
      <c r="AW5131">
        <v>0</v>
      </c>
      <c r="AY5131">
        <v>0</v>
      </c>
      <c r="AZ5131">
        <v>0</v>
      </c>
      <c r="BA5131">
        <v>51.8</v>
      </c>
      <c r="BE5131" t="str">
        <f>T("9791137014381")</f>
        <v>9791137014381</v>
      </c>
      <c r="BF5131" t="str">
        <f>T("k032716")</f>
        <v>k032716</v>
      </c>
      <c r="BG5131" t="str">
        <f>T("판타지 웹소설 &gt; 퓨전 판타지")</f>
        <v>판타지 웹소설 &gt; 퓨전 판타지</v>
      </c>
    </row>
    <row r="5132" spans="1:59">
      <c r="A5132" t="s">
        <v>60</v>
      </c>
      <c r="B5132" s="1">
        <v>46130</v>
      </c>
      <c r="C5132">
        <v>2378044065</v>
      </c>
      <c r="D5132">
        <v>2378049829</v>
      </c>
      <c r="E5132" t="str">
        <f>T("저승의 왕위를 계승했다 159화")</f>
        <v>저승의 왕위를 계승했다 159화</v>
      </c>
      <c r="F5132">
        <v>159</v>
      </c>
      <c r="G5132" t="str">
        <f>T("신타비")</f>
        <v>신타비</v>
      </c>
      <c r="J5132" t="str">
        <f>T("매드햇")</f>
        <v>매드햇</v>
      </c>
      <c r="K5132" t="str">
        <f>T("저승의 왕위를 계승했다")</f>
        <v>저승의 왕위를 계승했다</v>
      </c>
      <c r="L5132">
        <v>100</v>
      </c>
      <c r="M5132">
        <v>74</v>
      </c>
      <c r="N5132">
        <v>1</v>
      </c>
      <c r="O5132">
        <v>0</v>
      </c>
      <c r="P5132">
        <v>0</v>
      </c>
      <c r="Q5132">
        <v>0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0</v>
      </c>
      <c r="AE5132">
        <v>0</v>
      </c>
      <c r="AF5132">
        <v>0</v>
      </c>
      <c r="AG5132">
        <v>0</v>
      </c>
      <c r="AH5132">
        <v>0</v>
      </c>
      <c r="AI5132">
        <v>74</v>
      </c>
      <c r="AJ5132">
        <v>1</v>
      </c>
      <c r="AK5132">
        <v>0</v>
      </c>
      <c r="AL5132">
        <v>0</v>
      </c>
      <c r="AM5132">
        <v>74</v>
      </c>
      <c r="AN5132">
        <v>0</v>
      </c>
      <c r="AO5132">
        <v>0</v>
      </c>
      <c r="AP5132">
        <v>0</v>
      </c>
      <c r="AQ5132">
        <v>0</v>
      </c>
      <c r="AS5132">
        <v>0</v>
      </c>
      <c r="AT5132">
        <v>0</v>
      </c>
      <c r="AV5132">
        <v>0</v>
      </c>
      <c r="AW5132">
        <v>0</v>
      </c>
      <c r="AY5132">
        <v>0</v>
      </c>
      <c r="AZ5132">
        <v>0</v>
      </c>
      <c r="BA5132">
        <v>51.8</v>
      </c>
      <c r="BE5132" t="str">
        <f>T("9791137014381")</f>
        <v>9791137014381</v>
      </c>
      <c r="BF5132" t="str">
        <f>T("k032717")</f>
        <v>k032717</v>
      </c>
      <c r="BG5132" t="str">
        <f>T("판타지 웹소설 &gt; 퓨전 판타지")</f>
        <v>판타지 웹소설 &gt; 퓨전 판타지</v>
      </c>
    </row>
    <row r="5133" spans="1:59">
      <c r="A5133" t="s">
        <v>60</v>
      </c>
      <c r="B5133" s="1">
        <v>46130</v>
      </c>
      <c r="C5133">
        <v>2378044065</v>
      </c>
      <c r="D5133">
        <v>2378049847</v>
      </c>
      <c r="E5133" t="str">
        <f>T("저승의 왕위를 계승했다 160화")</f>
        <v>저승의 왕위를 계승했다 160화</v>
      </c>
      <c r="F5133">
        <v>160</v>
      </c>
      <c r="G5133" t="str">
        <f>T("신타비")</f>
        <v>신타비</v>
      </c>
      <c r="J5133" t="str">
        <f>T("매드햇")</f>
        <v>매드햇</v>
      </c>
      <c r="K5133" t="str">
        <f>T("저승의 왕위를 계승했다")</f>
        <v>저승의 왕위를 계승했다</v>
      </c>
      <c r="L5133">
        <v>100</v>
      </c>
      <c r="M5133">
        <v>74</v>
      </c>
      <c r="N5133">
        <v>1</v>
      </c>
      <c r="O5133">
        <v>0</v>
      </c>
      <c r="P5133">
        <v>0</v>
      </c>
      <c r="Q5133">
        <v>0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0</v>
      </c>
      <c r="AE5133">
        <v>0</v>
      </c>
      <c r="AF5133">
        <v>0</v>
      </c>
      <c r="AG5133">
        <v>0</v>
      </c>
      <c r="AH5133">
        <v>0</v>
      </c>
      <c r="AI5133">
        <v>74</v>
      </c>
      <c r="AJ5133">
        <v>1</v>
      </c>
      <c r="AK5133">
        <v>0</v>
      </c>
      <c r="AL5133">
        <v>0</v>
      </c>
      <c r="AM5133">
        <v>74</v>
      </c>
      <c r="AN5133">
        <v>0</v>
      </c>
      <c r="AO5133">
        <v>0</v>
      </c>
      <c r="AP5133">
        <v>0</v>
      </c>
      <c r="AQ5133">
        <v>0</v>
      </c>
      <c r="AS5133">
        <v>0</v>
      </c>
      <c r="AT5133">
        <v>0</v>
      </c>
      <c r="AV5133">
        <v>0</v>
      </c>
      <c r="AW5133">
        <v>0</v>
      </c>
      <c r="AY5133">
        <v>0</v>
      </c>
      <c r="AZ5133">
        <v>0</v>
      </c>
      <c r="BA5133">
        <v>51.8</v>
      </c>
      <c r="BE5133" t="str">
        <f>T("9791137014381")</f>
        <v>9791137014381</v>
      </c>
      <c r="BF5133" t="str">
        <f>T("k035202")</f>
        <v>k035202</v>
      </c>
      <c r="BG5133" t="str">
        <f>T("판타지 웹소설 &gt; 퓨전 판타지")</f>
        <v>판타지 웹소설 &gt; 퓨전 판타지</v>
      </c>
    </row>
    <row r="5134" spans="1:59">
      <c r="A5134" t="s">
        <v>60</v>
      </c>
      <c r="B5134" s="1">
        <v>46130</v>
      </c>
      <c r="C5134">
        <v>2378044065</v>
      </c>
      <c r="D5134">
        <v>2378050084</v>
      </c>
      <c r="E5134" t="str">
        <f>T("저승의 왕위를 계승했다 161화")</f>
        <v>저승의 왕위를 계승했다 161화</v>
      </c>
      <c r="F5134">
        <v>161</v>
      </c>
      <c r="G5134" t="str">
        <f>T("신타비")</f>
        <v>신타비</v>
      </c>
      <c r="J5134" t="str">
        <f>T("매드햇")</f>
        <v>매드햇</v>
      </c>
      <c r="K5134" t="str">
        <f>T("저승의 왕위를 계승했다")</f>
        <v>저승의 왕위를 계승했다</v>
      </c>
      <c r="L5134">
        <v>100</v>
      </c>
      <c r="M5134">
        <v>74</v>
      </c>
      <c r="N5134">
        <v>1</v>
      </c>
      <c r="O5134">
        <v>0</v>
      </c>
      <c r="P5134">
        <v>0</v>
      </c>
      <c r="Q5134">
        <v>0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0</v>
      </c>
      <c r="AE5134">
        <v>0</v>
      </c>
      <c r="AF5134">
        <v>0</v>
      </c>
      <c r="AG5134">
        <v>0</v>
      </c>
      <c r="AH5134">
        <v>0</v>
      </c>
      <c r="AI5134">
        <v>74</v>
      </c>
      <c r="AJ5134">
        <v>1</v>
      </c>
      <c r="AK5134">
        <v>0</v>
      </c>
      <c r="AL5134">
        <v>0</v>
      </c>
      <c r="AM5134">
        <v>74</v>
      </c>
      <c r="AN5134">
        <v>0</v>
      </c>
      <c r="AO5134">
        <v>0</v>
      </c>
      <c r="AP5134">
        <v>0</v>
      </c>
      <c r="AQ5134">
        <v>0</v>
      </c>
      <c r="AS5134">
        <v>0</v>
      </c>
      <c r="AT5134">
        <v>0</v>
      </c>
      <c r="AV5134">
        <v>0</v>
      </c>
      <c r="AW5134">
        <v>0</v>
      </c>
      <c r="AY5134">
        <v>0</v>
      </c>
      <c r="AZ5134">
        <v>0</v>
      </c>
      <c r="BA5134">
        <v>51.8</v>
      </c>
      <c r="BE5134" t="str">
        <f>T("9791137014381")</f>
        <v>9791137014381</v>
      </c>
      <c r="BF5134" t="str">
        <f>T("k035203")</f>
        <v>k035203</v>
      </c>
      <c r="BG5134" t="str">
        <f>T("판타지 웹소설 &gt; 퓨전 판타지")</f>
        <v>판타지 웹소설 &gt; 퓨전 판타지</v>
      </c>
    </row>
    <row r="5135" spans="1:59">
      <c r="A5135" t="s">
        <v>60</v>
      </c>
      <c r="B5135" s="1">
        <v>46130</v>
      </c>
      <c r="C5135">
        <v>2378044065</v>
      </c>
      <c r="D5135">
        <v>2378050085</v>
      </c>
      <c r="E5135" t="str">
        <f>T("저승의 왕위를 계승했다 162화")</f>
        <v>저승의 왕위를 계승했다 162화</v>
      </c>
      <c r="F5135">
        <v>162</v>
      </c>
      <c r="G5135" t="str">
        <f>T("신타비")</f>
        <v>신타비</v>
      </c>
      <c r="J5135" t="str">
        <f>T("매드햇")</f>
        <v>매드햇</v>
      </c>
      <c r="K5135" t="str">
        <f>T("저승의 왕위를 계승했다")</f>
        <v>저승의 왕위를 계승했다</v>
      </c>
      <c r="L5135">
        <v>100</v>
      </c>
      <c r="M5135">
        <v>74</v>
      </c>
      <c r="N5135">
        <v>1</v>
      </c>
      <c r="O5135">
        <v>0</v>
      </c>
      <c r="P5135">
        <v>0</v>
      </c>
      <c r="Q5135">
        <v>0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0</v>
      </c>
      <c r="AE5135">
        <v>0</v>
      </c>
      <c r="AF5135">
        <v>0</v>
      </c>
      <c r="AG5135">
        <v>0</v>
      </c>
      <c r="AH5135">
        <v>0</v>
      </c>
      <c r="AI5135">
        <v>74</v>
      </c>
      <c r="AJ5135">
        <v>1</v>
      </c>
      <c r="AK5135">
        <v>0</v>
      </c>
      <c r="AL5135">
        <v>0</v>
      </c>
      <c r="AM5135">
        <v>74</v>
      </c>
      <c r="AN5135">
        <v>0</v>
      </c>
      <c r="AO5135">
        <v>0</v>
      </c>
      <c r="AP5135">
        <v>0</v>
      </c>
      <c r="AQ5135">
        <v>0</v>
      </c>
      <c r="AS5135">
        <v>0</v>
      </c>
      <c r="AT5135">
        <v>0</v>
      </c>
      <c r="AV5135">
        <v>0</v>
      </c>
      <c r="AW5135">
        <v>0</v>
      </c>
      <c r="AY5135">
        <v>0</v>
      </c>
      <c r="AZ5135">
        <v>0</v>
      </c>
      <c r="BA5135">
        <v>51.8</v>
      </c>
      <c r="BE5135" t="str">
        <f>T("9791137014381")</f>
        <v>9791137014381</v>
      </c>
      <c r="BF5135" t="str">
        <f>T("k035204")</f>
        <v>k035204</v>
      </c>
      <c r="BG5135" t="str">
        <f>T("판타지 웹소설 &gt; 퓨전 판타지")</f>
        <v>판타지 웹소설 &gt; 퓨전 판타지</v>
      </c>
    </row>
    <row r="5136" spans="1:59">
      <c r="A5136" t="s">
        <v>60</v>
      </c>
      <c r="B5136" s="1">
        <v>46130</v>
      </c>
      <c r="C5136">
        <v>2378044065</v>
      </c>
      <c r="D5136">
        <v>2378050098</v>
      </c>
      <c r="E5136" t="str">
        <f>T("저승의 왕위를 계승했다 163화")</f>
        <v>저승의 왕위를 계승했다 163화</v>
      </c>
      <c r="F5136">
        <v>163</v>
      </c>
      <c r="G5136" t="str">
        <f>T("신타비")</f>
        <v>신타비</v>
      </c>
      <c r="J5136" t="str">
        <f>T("매드햇")</f>
        <v>매드햇</v>
      </c>
      <c r="K5136" t="str">
        <f>T("저승의 왕위를 계승했다")</f>
        <v>저승의 왕위를 계승했다</v>
      </c>
      <c r="L5136">
        <v>100</v>
      </c>
      <c r="M5136">
        <v>74</v>
      </c>
      <c r="N5136">
        <v>1</v>
      </c>
      <c r="O5136">
        <v>0</v>
      </c>
      <c r="P5136">
        <v>0</v>
      </c>
      <c r="Q5136">
        <v>0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0</v>
      </c>
      <c r="AE5136">
        <v>0</v>
      </c>
      <c r="AF5136">
        <v>0</v>
      </c>
      <c r="AG5136">
        <v>0</v>
      </c>
      <c r="AH5136">
        <v>0</v>
      </c>
      <c r="AI5136">
        <v>74</v>
      </c>
      <c r="AJ5136">
        <v>1</v>
      </c>
      <c r="AK5136">
        <v>0</v>
      </c>
      <c r="AL5136">
        <v>0</v>
      </c>
      <c r="AM5136">
        <v>74</v>
      </c>
      <c r="AN5136">
        <v>0</v>
      </c>
      <c r="AO5136">
        <v>0</v>
      </c>
      <c r="AP5136">
        <v>0</v>
      </c>
      <c r="AQ5136">
        <v>0</v>
      </c>
      <c r="AS5136">
        <v>0</v>
      </c>
      <c r="AT5136">
        <v>0</v>
      </c>
      <c r="AV5136">
        <v>0</v>
      </c>
      <c r="AW5136">
        <v>0</v>
      </c>
      <c r="AY5136">
        <v>0</v>
      </c>
      <c r="AZ5136">
        <v>0</v>
      </c>
      <c r="BA5136">
        <v>51.8</v>
      </c>
      <c r="BE5136" t="str">
        <f>T("9791137014381")</f>
        <v>9791137014381</v>
      </c>
      <c r="BF5136" t="str">
        <f>T("k035205")</f>
        <v>k035205</v>
      </c>
      <c r="BG5136" t="str">
        <f>T("판타지 웹소설 &gt; 퓨전 판타지")</f>
        <v>판타지 웹소설 &gt; 퓨전 판타지</v>
      </c>
    </row>
    <row r="5137" spans="1:59">
      <c r="A5137" t="s">
        <v>60</v>
      </c>
      <c r="B5137" s="1">
        <v>46130</v>
      </c>
      <c r="C5137">
        <v>2378044065</v>
      </c>
      <c r="D5137">
        <v>2378050124</v>
      </c>
      <c r="E5137" t="str">
        <f>T("저승의 왕위를 계승했다 164화")</f>
        <v>저승의 왕위를 계승했다 164화</v>
      </c>
      <c r="F5137">
        <v>164</v>
      </c>
      <c r="G5137" t="str">
        <f>T("신타비")</f>
        <v>신타비</v>
      </c>
      <c r="J5137" t="str">
        <f>T("매드햇")</f>
        <v>매드햇</v>
      </c>
      <c r="K5137" t="str">
        <f>T("저승의 왕위를 계승했다")</f>
        <v>저승의 왕위를 계승했다</v>
      </c>
      <c r="L5137">
        <v>100</v>
      </c>
      <c r="M5137">
        <v>74</v>
      </c>
      <c r="N5137">
        <v>1</v>
      </c>
      <c r="O5137">
        <v>0</v>
      </c>
      <c r="P5137">
        <v>0</v>
      </c>
      <c r="Q5137">
        <v>0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0</v>
      </c>
      <c r="AE5137">
        <v>0</v>
      </c>
      <c r="AF5137">
        <v>0</v>
      </c>
      <c r="AG5137">
        <v>0</v>
      </c>
      <c r="AH5137">
        <v>0</v>
      </c>
      <c r="AI5137">
        <v>74</v>
      </c>
      <c r="AJ5137">
        <v>1</v>
      </c>
      <c r="AK5137">
        <v>0</v>
      </c>
      <c r="AL5137">
        <v>0</v>
      </c>
      <c r="AM5137">
        <v>74</v>
      </c>
      <c r="AN5137">
        <v>0</v>
      </c>
      <c r="AO5137">
        <v>0</v>
      </c>
      <c r="AP5137">
        <v>0</v>
      </c>
      <c r="AQ5137">
        <v>0</v>
      </c>
      <c r="AS5137">
        <v>0</v>
      </c>
      <c r="AT5137">
        <v>0</v>
      </c>
      <c r="AV5137">
        <v>0</v>
      </c>
      <c r="AW5137">
        <v>0</v>
      </c>
      <c r="AY5137">
        <v>0</v>
      </c>
      <c r="AZ5137">
        <v>0</v>
      </c>
      <c r="BA5137">
        <v>51.8</v>
      </c>
      <c r="BE5137" t="str">
        <f>T("9791137014381")</f>
        <v>9791137014381</v>
      </c>
      <c r="BF5137" t="str">
        <f>T("k035206")</f>
        <v>k035206</v>
      </c>
      <c r="BG5137" t="str">
        <f>T("판타지 웹소설 &gt; 퓨전 판타지")</f>
        <v>판타지 웹소설 &gt; 퓨전 판타지</v>
      </c>
    </row>
    <row r="5138" spans="1:59">
      <c r="A5138" t="s">
        <v>60</v>
      </c>
      <c r="B5138" s="1">
        <v>46130</v>
      </c>
      <c r="C5138">
        <v>2378044065</v>
      </c>
      <c r="D5138">
        <v>2378050581</v>
      </c>
      <c r="E5138" t="str">
        <f>T("저승의 왕위를 계승했다 165화")</f>
        <v>저승의 왕위를 계승했다 165화</v>
      </c>
      <c r="F5138">
        <v>165</v>
      </c>
      <c r="G5138" t="str">
        <f>T("신타비")</f>
        <v>신타비</v>
      </c>
      <c r="J5138" t="str">
        <f>T("매드햇")</f>
        <v>매드햇</v>
      </c>
      <c r="K5138" t="str">
        <f>T("저승의 왕위를 계승했다")</f>
        <v>저승의 왕위를 계승했다</v>
      </c>
      <c r="L5138">
        <v>100</v>
      </c>
      <c r="M5138">
        <v>74</v>
      </c>
      <c r="N5138">
        <v>1</v>
      </c>
      <c r="O5138">
        <v>0</v>
      </c>
      <c r="P5138">
        <v>0</v>
      </c>
      <c r="Q5138">
        <v>0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0</v>
      </c>
      <c r="AE5138">
        <v>0</v>
      </c>
      <c r="AF5138">
        <v>0</v>
      </c>
      <c r="AG5138">
        <v>0</v>
      </c>
      <c r="AH5138">
        <v>0</v>
      </c>
      <c r="AI5138">
        <v>74</v>
      </c>
      <c r="AJ5138">
        <v>1</v>
      </c>
      <c r="AK5138">
        <v>0</v>
      </c>
      <c r="AL5138">
        <v>0</v>
      </c>
      <c r="AM5138">
        <v>74</v>
      </c>
      <c r="AN5138">
        <v>0</v>
      </c>
      <c r="AO5138">
        <v>0</v>
      </c>
      <c r="AP5138">
        <v>0</v>
      </c>
      <c r="AQ5138">
        <v>0</v>
      </c>
      <c r="AS5138">
        <v>0</v>
      </c>
      <c r="AT5138">
        <v>0</v>
      </c>
      <c r="AV5138">
        <v>0</v>
      </c>
      <c r="AW5138">
        <v>0</v>
      </c>
      <c r="AY5138">
        <v>0</v>
      </c>
      <c r="AZ5138">
        <v>0</v>
      </c>
      <c r="BA5138">
        <v>51.8</v>
      </c>
      <c r="BE5138" t="str">
        <f>T("9791137014381")</f>
        <v>9791137014381</v>
      </c>
      <c r="BF5138" t="str">
        <f>T("k036409")</f>
        <v>k036409</v>
      </c>
      <c r="BG5138" t="str">
        <f>T("판타지 웹소설 &gt; 퓨전 판타지")</f>
        <v>판타지 웹소설 &gt; 퓨전 판타지</v>
      </c>
    </row>
    <row r="5139" spans="1:59">
      <c r="A5139" t="s">
        <v>60</v>
      </c>
      <c r="B5139" s="1">
        <v>46130</v>
      </c>
      <c r="C5139">
        <v>2378044065</v>
      </c>
      <c r="D5139">
        <v>2378050587</v>
      </c>
      <c r="E5139" t="str">
        <f>T("저승의 왕위를 계승했다 166화")</f>
        <v>저승의 왕위를 계승했다 166화</v>
      </c>
      <c r="F5139">
        <v>166</v>
      </c>
      <c r="G5139" t="str">
        <f>T("신타비")</f>
        <v>신타비</v>
      </c>
      <c r="J5139" t="str">
        <f>T("매드햇")</f>
        <v>매드햇</v>
      </c>
      <c r="K5139" t="str">
        <f>T("저승의 왕위를 계승했다")</f>
        <v>저승의 왕위를 계승했다</v>
      </c>
      <c r="L5139">
        <v>100</v>
      </c>
      <c r="M5139">
        <v>74</v>
      </c>
      <c r="N5139">
        <v>1</v>
      </c>
      <c r="O5139">
        <v>0</v>
      </c>
      <c r="P5139">
        <v>0</v>
      </c>
      <c r="Q5139">
        <v>0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0</v>
      </c>
      <c r="AE5139">
        <v>0</v>
      </c>
      <c r="AF5139">
        <v>0</v>
      </c>
      <c r="AG5139">
        <v>0</v>
      </c>
      <c r="AH5139">
        <v>0</v>
      </c>
      <c r="AI5139">
        <v>74</v>
      </c>
      <c r="AJ5139">
        <v>1</v>
      </c>
      <c r="AK5139">
        <v>0</v>
      </c>
      <c r="AL5139">
        <v>0</v>
      </c>
      <c r="AM5139">
        <v>74</v>
      </c>
      <c r="AN5139">
        <v>0</v>
      </c>
      <c r="AO5139">
        <v>0</v>
      </c>
      <c r="AP5139">
        <v>0</v>
      </c>
      <c r="AQ5139">
        <v>0</v>
      </c>
      <c r="AS5139">
        <v>0</v>
      </c>
      <c r="AT5139">
        <v>0</v>
      </c>
      <c r="AV5139">
        <v>0</v>
      </c>
      <c r="AW5139">
        <v>0</v>
      </c>
      <c r="AY5139">
        <v>0</v>
      </c>
      <c r="AZ5139">
        <v>0</v>
      </c>
      <c r="BA5139">
        <v>51.8</v>
      </c>
      <c r="BE5139" t="str">
        <f>T("9791137014381")</f>
        <v>9791137014381</v>
      </c>
      <c r="BF5139" t="str">
        <f>T("k036410")</f>
        <v>k036410</v>
      </c>
      <c r="BG5139" t="str">
        <f>T("판타지 웹소설 &gt; 퓨전 판타지")</f>
        <v>판타지 웹소설 &gt; 퓨전 판타지</v>
      </c>
    </row>
    <row r="5140" spans="1:59">
      <c r="A5140" t="s">
        <v>60</v>
      </c>
      <c r="B5140" s="1">
        <v>46130</v>
      </c>
      <c r="C5140">
        <v>2378044065</v>
      </c>
      <c r="D5140">
        <v>2378050599</v>
      </c>
      <c r="E5140" t="str">
        <f>T("저승의 왕위를 계승했다 167화")</f>
        <v>저승의 왕위를 계승했다 167화</v>
      </c>
      <c r="F5140">
        <v>167</v>
      </c>
      <c r="G5140" t="str">
        <f>T("신타비")</f>
        <v>신타비</v>
      </c>
      <c r="J5140" t="str">
        <f>T("매드햇")</f>
        <v>매드햇</v>
      </c>
      <c r="K5140" t="str">
        <f>T("저승의 왕위를 계승했다")</f>
        <v>저승의 왕위를 계승했다</v>
      </c>
      <c r="L5140">
        <v>100</v>
      </c>
      <c r="M5140">
        <v>74</v>
      </c>
      <c r="N5140">
        <v>1</v>
      </c>
      <c r="O5140">
        <v>0</v>
      </c>
      <c r="P5140">
        <v>0</v>
      </c>
      <c r="Q5140">
        <v>0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0</v>
      </c>
      <c r="AE5140">
        <v>0</v>
      </c>
      <c r="AF5140">
        <v>0</v>
      </c>
      <c r="AG5140">
        <v>0</v>
      </c>
      <c r="AH5140">
        <v>0</v>
      </c>
      <c r="AI5140">
        <v>74</v>
      </c>
      <c r="AJ5140">
        <v>1</v>
      </c>
      <c r="AK5140">
        <v>0</v>
      </c>
      <c r="AL5140">
        <v>0</v>
      </c>
      <c r="AM5140">
        <v>74</v>
      </c>
      <c r="AN5140">
        <v>0</v>
      </c>
      <c r="AO5140">
        <v>0</v>
      </c>
      <c r="AP5140">
        <v>0</v>
      </c>
      <c r="AQ5140">
        <v>0</v>
      </c>
      <c r="AS5140">
        <v>0</v>
      </c>
      <c r="AT5140">
        <v>0</v>
      </c>
      <c r="AV5140">
        <v>0</v>
      </c>
      <c r="AW5140">
        <v>0</v>
      </c>
      <c r="AY5140">
        <v>0</v>
      </c>
      <c r="AZ5140">
        <v>0</v>
      </c>
      <c r="BA5140">
        <v>51.8</v>
      </c>
      <c r="BE5140" t="str">
        <f>T("9791137014381")</f>
        <v>9791137014381</v>
      </c>
      <c r="BF5140" t="str">
        <f>T("k036411")</f>
        <v>k036411</v>
      </c>
      <c r="BG5140" t="str">
        <f>T("판타지 웹소설 &gt; 퓨전 판타지")</f>
        <v>판타지 웹소설 &gt; 퓨전 판타지</v>
      </c>
    </row>
    <row r="5141" spans="1:59">
      <c r="A5141" t="s">
        <v>60</v>
      </c>
      <c r="B5141" s="1">
        <v>46130</v>
      </c>
      <c r="C5141">
        <v>2378044065</v>
      </c>
      <c r="D5141">
        <v>2378050606</v>
      </c>
      <c r="E5141" t="str">
        <f>T("저승의 왕위를 계승했다 168화")</f>
        <v>저승의 왕위를 계승했다 168화</v>
      </c>
      <c r="F5141">
        <v>168</v>
      </c>
      <c r="G5141" t="str">
        <f>T("신타비")</f>
        <v>신타비</v>
      </c>
      <c r="J5141" t="str">
        <f>T("매드햇")</f>
        <v>매드햇</v>
      </c>
      <c r="K5141" t="str">
        <f>T("저승의 왕위를 계승했다")</f>
        <v>저승의 왕위를 계승했다</v>
      </c>
      <c r="L5141">
        <v>100</v>
      </c>
      <c r="M5141">
        <v>74</v>
      </c>
      <c r="N5141">
        <v>1</v>
      </c>
      <c r="O5141">
        <v>0</v>
      </c>
      <c r="P5141">
        <v>0</v>
      </c>
      <c r="Q5141">
        <v>0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0</v>
      </c>
      <c r="AE5141">
        <v>0</v>
      </c>
      <c r="AF5141">
        <v>0</v>
      </c>
      <c r="AG5141">
        <v>0</v>
      </c>
      <c r="AH5141">
        <v>0</v>
      </c>
      <c r="AI5141">
        <v>74</v>
      </c>
      <c r="AJ5141">
        <v>1</v>
      </c>
      <c r="AK5141">
        <v>0</v>
      </c>
      <c r="AL5141">
        <v>0</v>
      </c>
      <c r="AM5141">
        <v>74</v>
      </c>
      <c r="AN5141">
        <v>0</v>
      </c>
      <c r="AO5141">
        <v>0</v>
      </c>
      <c r="AP5141">
        <v>0</v>
      </c>
      <c r="AQ5141">
        <v>0</v>
      </c>
      <c r="AS5141">
        <v>0</v>
      </c>
      <c r="AT5141">
        <v>0</v>
      </c>
      <c r="AV5141">
        <v>0</v>
      </c>
      <c r="AW5141">
        <v>0</v>
      </c>
      <c r="AY5141">
        <v>0</v>
      </c>
      <c r="AZ5141">
        <v>0</v>
      </c>
      <c r="BA5141">
        <v>51.8</v>
      </c>
      <c r="BE5141" t="str">
        <f>T("9791137014381")</f>
        <v>9791137014381</v>
      </c>
      <c r="BF5141" t="str">
        <f>T("k036412")</f>
        <v>k036412</v>
      </c>
      <c r="BG5141" t="str">
        <f>T("판타지 웹소설 &gt; 퓨전 판타지")</f>
        <v>판타지 웹소설 &gt; 퓨전 판타지</v>
      </c>
    </row>
    <row r="5142" spans="1:59">
      <c r="A5142" t="s">
        <v>60</v>
      </c>
      <c r="B5142" s="1">
        <v>46130</v>
      </c>
      <c r="C5142">
        <v>2378044065</v>
      </c>
      <c r="D5142">
        <v>2378050634</v>
      </c>
      <c r="E5142" t="str">
        <f>T("저승의 왕위를 계승했다 169화")</f>
        <v>저승의 왕위를 계승했다 169화</v>
      </c>
      <c r="F5142">
        <v>169</v>
      </c>
      <c r="G5142" t="str">
        <f>T("신타비")</f>
        <v>신타비</v>
      </c>
      <c r="J5142" t="str">
        <f>T("매드햇")</f>
        <v>매드햇</v>
      </c>
      <c r="K5142" t="str">
        <f>T("저승의 왕위를 계승했다")</f>
        <v>저승의 왕위를 계승했다</v>
      </c>
      <c r="L5142">
        <v>100</v>
      </c>
      <c r="M5142">
        <v>74</v>
      </c>
      <c r="N5142">
        <v>1</v>
      </c>
      <c r="O5142">
        <v>0</v>
      </c>
      <c r="P5142">
        <v>0</v>
      </c>
      <c r="Q5142">
        <v>0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0</v>
      </c>
      <c r="AE5142">
        <v>0</v>
      </c>
      <c r="AF5142">
        <v>0</v>
      </c>
      <c r="AG5142">
        <v>0</v>
      </c>
      <c r="AH5142">
        <v>0</v>
      </c>
      <c r="AI5142">
        <v>74</v>
      </c>
      <c r="AJ5142">
        <v>1</v>
      </c>
      <c r="AK5142">
        <v>0</v>
      </c>
      <c r="AL5142">
        <v>0</v>
      </c>
      <c r="AM5142">
        <v>74</v>
      </c>
      <c r="AN5142">
        <v>0</v>
      </c>
      <c r="AO5142">
        <v>0</v>
      </c>
      <c r="AP5142">
        <v>0</v>
      </c>
      <c r="AQ5142">
        <v>0</v>
      </c>
      <c r="AS5142">
        <v>0</v>
      </c>
      <c r="AT5142">
        <v>0</v>
      </c>
      <c r="AV5142">
        <v>0</v>
      </c>
      <c r="AW5142">
        <v>0</v>
      </c>
      <c r="AY5142">
        <v>0</v>
      </c>
      <c r="AZ5142">
        <v>0</v>
      </c>
      <c r="BA5142">
        <v>51.8</v>
      </c>
      <c r="BE5142" t="str">
        <f>T("9791137014381")</f>
        <v>9791137014381</v>
      </c>
      <c r="BF5142" t="str">
        <f>T("k036413")</f>
        <v>k036413</v>
      </c>
      <c r="BG5142" t="str">
        <f>T("판타지 웹소설 &gt; 퓨전 판타지")</f>
        <v>판타지 웹소설 &gt; 퓨전 판타지</v>
      </c>
    </row>
    <row r="5143" spans="1:59">
      <c r="A5143" t="s">
        <v>60</v>
      </c>
      <c r="B5143" s="1">
        <v>46130</v>
      </c>
      <c r="C5143">
        <v>2378044065</v>
      </c>
      <c r="D5143">
        <v>2378050643</v>
      </c>
      <c r="E5143" t="str">
        <f>T("저승의 왕위를 계승했다 170화")</f>
        <v>저승의 왕위를 계승했다 170화</v>
      </c>
      <c r="F5143">
        <v>170</v>
      </c>
      <c r="G5143" t="str">
        <f>T("신타비")</f>
        <v>신타비</v>
      </c>
      <c r="J5143" t="str">
        <f>T("매드햇")</f>
        <v>매드햇</v>
      </c>
      <c r="K5143" t="str">
        <f>T("저승의 왕위를 계승했다")</f>
        <v>저승의 왕위를 계승했다</v>
      </c>
      <c r="L5143">
        <v>100</v>
      </c>
      <c r="M5143">
        <v>74</v>
      </c>
      <c r="N5143">
        <v>1</v>
      </c>
      <c r="O5143">
        <v>0</v>
      </c>
      <c r="P5143">
        <v>0</v>
      </c>
      <c r="Q5143">
        <v>0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0</v>
      </c>
      <c r="AE5143">
        <v>0</v>
      </c>
      <c r="AF5143">
        <v>0</v>
      </c>
      <c r="AG5143">
        <v>0</v>
      </c>
      <c r="AH5143">
        <v>0</v>
      </c>
      <c r="AI5143">
        <v>74</v>
      </c>
      <c r="AJ5143">
        <v>1</v>
      </c>
      <c r="AK5143">
        <v>0</v>
      </c>
      <c r="AL5143">
        <v>0</v>
      </c>
      <c r="AM5143">
        <v>74</v>
      </c>
      <c r="AN5143">
        <v>0</v>
      </c>
      <c r="AO5143">
        <v>0</v>
      </c>
      <c r="AP5143">
        <v>0</v>
      </c>
      <c r="AQ5143">
        <v>0</v>
      </c>
      <c r="AS5143">
        <v>0</v>
      </c>
      <c r="AT5143">
        <v>0</v>
      </c>
      <c r="AV5143">
        <v>0</v>
      </c>
      <c r="AW5143">
        <v>0</v>
      </c>
      <c r="AY5143">
        <v>0</v>
      </c>
      <c r="AZ5143">
        <v>0</v>
      </c>
      <c r="BA5143">
        <v>51.8</v>
      </c>
      <c r="BE5143" t="str">
        <f>T("9791137014381")</f>
        <v>9791137014381</v>
      </c>
      <c r="BF5143" t="str">
        <f>T("k047476")</f>
        <v>k047476</v>
      </c>
      <c r="BG5143" t="str">
        <f>T("판타지 웹소설 &gt; 퓨전 판타지")</f>
        <v>판타지 웹소설 &gt; 퓨전 판타지</v>
      </c>
    </row>
    <row r="5144" spans="1:59">
      <c r="A5144" t="s">
        <v>60</v>
      </c>
      <c r="B5144" s="1">
        <v>46130</v>
      </c>
      <c r="C5144">
        <v>2378044065</v>
      </c>
      <c r="D5144">
        <v>2378050662</v>
      </c>
      <c r="E5144" t="str">
        <f>T("저승의 왕위를 계승했다 171화")</f>
        <v>저승의 왕위를 계승했다 171화</v>
      </c>
      <c r="F5144">
        <v>171</v>
      </c>
      <c r="G5144" t="str">
        <f>T("신타비")</f>
        <v>신타비</v>
      </c>
      <c r="J5144" t="str">
        <f>T("매드햇")</f>
        <v>매드햇</v>
      </c>
      <c r="K5144" t="str">
        <f>T("저승의 왕위를 계승했다")</f>
        <v>저승의 왕위를 계승했다</v>
      </c>
      <c r="L5144">
        <v>100</v>
      </c>
      <c r="M5144">
        <v>74</v>
      </c>
      <c r="N5144">
        <v>1</v>
      </c>
      <c r="O5144">
        <v>0</v>
      </c>
      <c r="P5144">
        <v>0</v>
      </c>
      <c r="Q5144">
        <v>0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0</v>
      </c>
      <c r="AE5144">
        <v>0</v>
      </c>
      <c r="AF5144">
        <v>0</v>
      </c>
      <c r="AG5144">
        <v>0</v>
      </c>
      <c r="AH5144">
        <v>0</v>
      </c>
      <c r="AI5144">
        <v>74</v>
      </c>
      <c r="AJ5144">
        <v>1</v>
      </c>
      <c r="AK5144">
        <v>0</v>
      </c>
      <c r="AL5144">
        <v>0</v>
      </c>
      <c r="AM5144">
        <v>74</v>
      </c>
      <c r="AN5144">
        <v>0</v>
      </c>
      <c r="AO5144">
        <v>0</v>
      </c>
      <c r="AP5144">
        <v>0</v>
      </c>
      <c r="AQ5144">
        <v>0</v>
      </c>
      <c r="AS5144">
        <v>0</v>
      </c>
      <c r="AT5144">
        <v>0</v>
      </c>
      <c r="AV5144">
        <v>0</v>
      </c>
      <c r="AW5144">
        <v>0</v>
      </c>
      <c r="AY5144">
        <v>0</v>
      </c>
      <c r="AZ5144">
        <v>0</v>
      </c>
      <c r="BA5144">
        <v>51.8</v>
      </c>
      <c r="BE5144" t="str">
        <f>T("9791137014381")</f>
        <v>9791137014381</v>
      </c>
      <c r="BF5144" t="str">
        <f>T("k047477")</f>
        <v>k047477</v>
      </c>
      <c r="BG5144" t="str">
        <f>T("판타지 웹소설 &gt; 퓨전 판타지")</f>
        <v>판타지 웹소설 &gt; 퓨전 판타지</v>
      </c>
    </row>
    <row r="5145" spans="1:59">
      <c r="A5145" t="s">
        <v>60</v>
      </c>
      <c r="B5145" s="1">
        <v>46130</v>
      </c>
      <c r="C5145">
        <v>2378044065</v>
      </c>
      <c r="D5145">
        <v>2378050682</v>
      </c>
      <c r="E5145" t="str">
        <f>T("저승의 왕위를 계승했다 172화")</f>
        <v>저승의 왕위를 계승했다 172화</v>
      </c>
      <c r="F5145">
        <v>172</v>
      </c>
      <c r="G5145" t="str">
        <f>T("신타비")</f>
        <v>신타비</v>
      </c>
      <c r="J5145" t="str">
        <f>T("매드햇")</f>
        <v>매드햇</v>
      </c>
      <c r="K5145" t="str">
        <f>T("저승의 왕위를 계승했다")</f>
        <v>저승의 왕위를 계승했다</v>
      </c>
      <c r="L5145">
        <v>100</v>
      </c>
      <c r="M5145">
        <v>75</v>
      </c>
      <c r="N5145">
        <v>1</v>
      </c>
      <c r="O5145">
        <v>0</v>
      </c>
      <c r="P5145">
        <v>0</v>
      </c>
      <c r="Q5145">
        <v>0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0</v>
      </c>
      <c r="AE5145">
        <v>0</v>
      </c>
      <c r="AF5145">
        <v>0</v>
      </c>
      <c r="AG5145">
        <v>0</v>
      </c>
      <c r="AH5145">
        <v>0</v>
      </c>
      <c r="AI5145">
        <v>75</v>
      </c>
      <c r="AJ5145">
        <v>1</v>
      </c>
      <c r="AK5145">
        <v>0</v>
      </c>
      <c r="AL5145">
        <v>0</v>
      </c>
      <c r="AM5145">
        <v>75</v>
      </c>
      <c r="AN5145">
        <v>0</v>
      </c>
      <c r="AO5145">
        <v>0</v>
      </c>
      <c r="AP5145">
        <v>0</v>
      </c>
      <c r="AQ5145">
        <v>0</v>
      </c>
      <c r="AS5145">
        <v>0</v>
      </c>
      <c r="AT5145">
        <v>0</v>
      </c>
      <c r="AV5145">
        <v>0</v>
      </c>
      <c r="AW5145">
        <v>0</v>
      </c>
      <c r="AY5145">
        <v>0</v>
      </c>
      <c r="AZ5145">
        <v>0</v>
      </c>
      <c r="BA5145">
        <v>52.5</v>
      </c>
      <c r="BE5145" t="str">
        <f>T("9791137014381")</f>
        <v>9791137014381</v>
      </c>
      <c r="BF5145" t="str">
        <f>T("k047478")</f>
        <v>k047478</v>
      </c>
      <c r="BG5145" t="str">
        <f>T("판타지 웹소설 &gt; 퓨전 판타지")</f>
        <v>판타지 웹소설 &gt; 퓨전 판타지</v>
      </c>
    </row>
    <row r="5146" spans="1:59">
      <c r="A5146" t="s">
        <v>60</v>
      </c>
      <c r="B5146" s="1">
        <v>46130</v>
      </c>
      <c r="C5146">
        <v>2378044065</v>
      </c>
      <c r="D5146">
        <v>2378050856</v>
      </c>
      <c r="E5146" t="str">
        <f>T("저승의 왕위를 계승했다 173화")</f>
        <v>저승의 왕위를 계승했다 173화</v>
      </c>
      <c r="F5146">
        <v>173</v>
      </c>
      <c r="G5146" t="str">
        <f>T("신타비")</f>
        <v>신타비</v>
      </c>
      <c r="J5146" t="str">
        <f>T("매드햇")</f>
        <v>매드햇</v>
      </c>
      <c r="K5146" t="str">
        <f>T("저승의 왕위를 계승했다")</f>
        <v>저승의 왕위를 계승했다</v>
      </c>
      <c r="L5146">
        <v>100</v>
      </c>
      <c r="M5146">
        <v>75</v>
      </c>
      <c r="N5146">
        <v>1</v>
      </c>
      <c r="O5146">
        <v>0</v>
      </c>
      <c r="P5146">
        <v>0</v>
      </c>
      <c r="Q5146">
        <v>0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0</v>
      </c>
      <c r="AE5146">
        <v>0</v>
      </c>
      <c r="AF5146">
        <v>0</v>
      </c>
      <c r="AG5146">
        <v>0</v>
      </c>
      <c r="AH5146">
        <v>0</v>
      </c>
      <c r="AI5146">
        <v>75</v>
      </c>
      <c r="AJ5146">
        <v>1</v>
      </c>
      <c r="AK5146">
        <v>0</v>
      </c>
      <c r="AL5146">
        <v>0</v>
      </c>
      <c r="AM5146">
        <v>75</v>
      </c>
      <c r="AN5146">
        <v>0</v>
      </c>
      <c r="AO5146">
        <v>0</v>
      </c>
      <c r="AP5146">
        <v>0</v>
      </c>
      <c r="AQ5146">
        <v>0</v>
      </c>
      <c r="AS5146">
        <v>0</v>
      </c>
      <c r="AT5146">
        <v>0</v>
      </c>
      <c r="AV5146">
        <v>0</v>
      </c>
      <c r="AW5146">
        <v>0</v>
      </c>
      <c r="AY5146">
        <v>0</v>
      </c>
      <c r="AZ5146">
        <v>0</v>
      </c>
      <c r="BA5146">
        <v>52.5</v>
      </c>
      <c r="BE5146" t="str">
        <f>T("9791137014381")</f>
        <v>9791137014381</v>
      </c>
      <c r="BF5146" t="str">
        <f>T("k047479")</f>
        <v>k047479</v>
      </c>
      <c r="BG5146" t="str">
        <f>T("판타지 웹소설 &gt; 퓨전 판타지")</f>
        <v>판타지 웹소설 &gt; 퓨전 판타지</v>
      </c>
    </row>
    <row r="5147" spans="1:59">
      <c r="A5147" t="s">
        <v>60</v>
      </c>
      <c r="B5147" s="1">
        <v>46130</v>
      </c>
      <c r="C5147">
        <v>2378044065</v>
      </c>
      <c r="D5147">
        <v>2378050857</v>
      </c>
      <c r="E5147" t="str">
        <f>T("저승의 왕위를 계승했다 174화")</f>
        <v>저승의 왕위를 계승했다 174화</v>
      </c>
      <c r="F5147">
        <v>174</v>
      </c>
      <c r="G5147" t="str">
        <f>T("신타비")</f>
        <v>신타비</v>
      </c>
      <c r="J5147" t="str">
        <f>T("매드햇")</f>
        <v>매드햇</v>
      </c>
      <c r="K5147" t="str">
        <f>T("저승의 왕위를 계승했다")</f>
        <v>저승의 왕위를 계승했다</v>
      </c>
      <c r="L5147">
        <v>100</v>
      </c>
      <c r="M5147">
        <v>75</v>
      </c>
      <c r="N5147">
        <v>1</v>
      </c>
      <c r="O5147">
        <v>0</v>
      </c>
      <c r="P5147">
        <v>0</v>
      </c>
      <c r="Q5147">
        <v>0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0</v>
      </c>
      <c r="AE5147">
        <v>0</v>
      </c>
      <c r="AF5147">
        <v>0</v>
      </c>
      <c r="AG5147">
        <v>0</v>
      </c>
      <c r="AH5147">
        <v>0</v>
      </c>
      <c r="AI5147">
        <v>75</v>
      </c>
      <c r="AJ5147">
        <v>1</v>
      </c>
      <c r="AK5147">
        <v>0</v>
      </c>
      <c r="AL5147">
        <v>0</v>
      </c>
      <c r="AM5147">
        <v>75</v>
      </c>
      <c r="AN5147">
        <v>0</v>
      </c>
      <c r="AO5147">
        <v>0</v>
      </c>
      <c r="AP5147">
        <v>0</v>
      </c>
      <c r="AQ5147">
        <v>0</v>
      </c>
      <c r="AS5147">
        <v>0</v>
      </c>
      <c r="AT5147">
        <v>0</v>
      </c>
      <c r="AV5147">
        <v>0</v>
      </c>
      <c r="AW5147">
        <v>0</v>
      </c>
      <c r="AY5147">
        <v>0</v>
      </c>
      <c r="AZ5147">
        <v>0</v>
      </c>
      <c r="BA5147">
        <v>52.5</v>
      </c>
      <c r="BE5147" t="str">
        <f>T("9791137014381")</f>
        <v>9791137014381</v>
      </c>
      <c r="BF5147" t="str">
        <f>T("k047480")</f>
        <v>k047480</v>
      </c>
      <c r="BG5147" t="str">
        <f>T("판타지 웹소설 &gt; 퓨전 판타지")</f>
        <v>판타지 웹소설 &gt; 퓨전 판타지</v>
      </c>
    </row>
    <row r="5148" spans="1:59">
      <c r="A5148" t="s">
        <v>60</v>
      </c>
      <c r="B5148" s="1">
        <v>46130</v>
      </c>
      <c r="C5148">
        <v>2378044065</v>
      </c>
      <c r="D5148">
        <v>2378050858</v>
      </c>
      <c r="E5148" t="str">
        <f>T("저승의 왕위를 계승했다 175화")</f>
        <v>저승의 왕위를 계승했다 175화</v>
      </c>
      <c r="F5148">
        <v>175</v>
      </c>
      <c r="G5148" t="str">
        <f>T("신타비")</f>
        <v>신타비</v>
      </c>
      <c r="J5148" t="str">
        <f>T("매드햇")</f>
        <v>매드햇</v>
      </c>
      <c r="K5148" t="str">
        <f>T("저승의 왕위를 계승했다")</f>
        <v>저승의 왕위를 계승했다</v>
      </c>
      <c r="L5148">
        <v>100</v>
      </c>
      <c r="M5148">
        <v>75</v>
      </c>
      <c r="N5148">
        <v>1</v>
      </c>
      <c r="O5148">
        <v>0</v>
      </c>
      <c r="P5148">
        <v>0</v>
      </c>
      <c r="Q5148">
        <v>0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0</v>
      </c>
      <c r="AE5148">
        <v>0</v>
      </c>
      <c r="AF5148">
        <v>0</v>
      </c>
      <c r="AG5148">
        <v>0</v>
      </c>
      <c r="AH5148">
        <v>0</v>
      </c>
      <c r="AI5148">
        <v>75</v>
      </c>
      <c r="AJ5148">
        <v>1</v>
      </c>
      <c r="AK5148">
        <v>0</v>
      </c>
      <c r="AL5148">
        <v>0</v>
      </c>
      <c r="AM5148">
        <v>75</v>
      </c>
      <c r="AN5148">
        <v>0</v>
      </c>
      <c r="AO5148">
        <v>0</v>
      </c>
      <c r="AP5148">
        <v>0</v>
      </c>
      <c r="AQ5148">
        <v>0</v>
      </c>
      <c r="AS5148">
        <v>0</v>
      </c>
      <c r="AT5148">
        <v>0</v>
      </c>
      <c r="AV5148">
        <v>0</v>
      </c>
      <c r="AW5148">
        <v>0</v>
      </c>
      <c r="AY5148">
        <v>0</v>
      </c>
      <c r="AZ5148">
        <v>0</v>
      </c>
      <c r="BA5148">
        <v>52.5</v>
      </c>
      <c r="BE5148" t="str">
        <f>T("9791137014381")</f>
        <v>9791137014381</v>
      </c>
      <c r="BF5148" t="str">
        <f>T("k063061")</f>
        <v>k063061</v>
      </c>
      <c r="BG5148" t="str">
        <f>T("판타지 웹소설 &gt; 퓨전 판타지")</f>
        <v>판타지 웹소설 &gt; 퓨전 판타지</v>
      </c>
    </row>
    <row r="5149" spans="1:59">
      <c r="A5149" t="s">
        <v>60</v>
      </c>
      <c r="B5149" s="1">
        <v>46130</v>
      </c>
      <c r="C5149">
        <v>2378044065</v>
      </c>
      <c r="D5149">
        <v>2378050925</v>
      </c>
      <c r="E5149" t="str">
        <f>T("저승의 왕위를 계승했다 176화")</f>
        <v>저승의 왕위를 계승했다 176화</v>
      </c>
      <c r="F5149">
        <v>176</v>
      </c>
      <c r="G5149" t="str">
        <f>T("신타비")</f>
        <v>신타비</v>
      </c>
      <c r="J5149" t="str">
        <f>T("매드햇")</f>
        <v>매드햇</v>
      </c>
      <c r="K5149" t="str">
        <f>T("저승의 왕위를 계승했다")</f>
        <v>저승의 왕위를 계승했다</v>
      </c>
      <c r="L5149">
        <v>100</v>
      </c>
      <c r="M5149">
        <v>75</v>
      </c>
      <c r="N5149">
        <v>1</v>
      </c>
      <c r="O5149">
        <v>0</v>
      </c>
      <c r="P5149">
        <v>0</v>
      </c>
      <c r="Q5149">
        <v>0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0</v>
      </c>
      <c r="AE5149">
        <v>0</v>
      </c>
      <c r="AF5149">
        <v>0</v>
      </c>
      <c r="AG5149">
        <v>0</v>
      </c>
      <c r="AH5149">
        <v>0</v>
      </c>
      <c r="AI5149">
        <v>75</v>
      </c>
      <c r="AJ5149">
        <v>1</v>
      </c>
      <c r="AK5149">
        <v>0</v>
      </c>
      <c r="AL5149">
        <v>0</v>
      </c>
      <c r="AM5149">
        <v>75</v>
      </c>
      <c r="AN5149">
        <v>0</v>
      </c>
      <c r="AO5149">
        <v>0</v>
      </c>
      <c r="AP5149">
        <v>0</v>
      </c>
      <c r="AQ5149">
        <v>0</v>
      </c>
      <c r="AS5149">
        <v>0</v>
      </c>
      <c r="AT5149">
        <v>0</v>
      </c>
      <c r="AV5149">
        <v>0</v>
      </c>
      <c r="AW5149">
        <v>0</v>
      </c>
      <c r="AY5149">
        <v>0</v>
      </c>
      <c r="AZ5149">
        <v>0</v>
      </c>
      <c r="BA5149">
        <v>52.5</v>
      </c>
      <c r="BE5149" t="str">
        <f>T("9791137014381")</f>
        <v>9791137014381</v>
      </c>
      <c r="BF5149" t="str">
        <f>T("k063062")</f>
        <v>k063062</v>
      </c>
      <c r="BG5149" t="str">
        <f>T("판타지 웹소설 &gt; 퓨전 판타지")</f>
        <v>판타지 웹소설 &gt; 퓨전 판타지</v>
      </c>
    </row>
    <row r="5150" spans="1:59">
      <c r="A5150" t="s">
        <v>60</v>
      </c>
      <c r="B5150" s="1">
        <v>46130</v>
      </c>
      <c r="C5150">
        <v>2378044065</v>
      </c>
      <c r="D5150">
        <v>2378050926</v>
      </c>
      <c r="E5150" t="str">
        <f>T("저승의 왕위를 계승했다 177화")</f>
        <v>저승의 왕위를 계승했다 177화</v>
      </c>
      <c r="F5150">
        <v>177</v>
      </c>
      <c r="G5150" t="str">
        <f>T("신타비")</f>
        <v>신타비</v>
      </c>
      <c r="J5150" t="str">
        <f>T("매드햇")</f>
        <v>매드햇</v>
      </c>
      <c r="K5150" t="str">
        <f>T("저승의 왕위를 계승했다")</f>
        <v>저승의 왕위를 계승했다</v>
      </c>
      <c r="L5150">
        <v>100</v>
      </c>
      <c r="M5150">
        <v>75</v>
      </c>
      <c r="N5150">
        <v>1</v>
      </c>
      <c r="O5150">
        <v>0</v>
      </c>
      <c r="P5150">
        <v>0</v>
      </c>
      <c r="Q5150">
        <v>0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0</v>
      </c>
      <c r="AE5150">
        <v>0</v>
      </c>
      <c r="AF5150">
        <v>0</v>
      </c>
      <c r="AG5150">
        <v>0</v>
      </c>
      <c r="AH5150">
        <v>0</v>
      </c>
      <c r="AI5150">
        <v>75</v>
      </c>
      <c r="AJ5150">
        <v>1</v>
      </c>
      <c r="AK5150">
        <v>0</v>
      </c>
      <c r="AL5150">
        <v>0</v>
      </c>
      <c r="AM5150">
        <v>75</v>
      </c>
      <c r="AN5150">
        <v>0</v>
      </c>
      <c r="AO5150">
        <v>0</v>
      </c>
      <c r="AP5150">
        <v>0</v>
      </c>
      <c r="AQ5150">
        <v>0</v>
      </c>
      <c r="AS5150">
        <v>0</v>
      </c>
      <c r="AT5150">
        <v>0</v>
      </c>
      <c r="AV5150">
        <v>0</v>
      </c>
      <c r="AW5150">
        <v>0</v>
      </c>
      <c r="AY5150">
        <v>0</v>
      </c>
      <c r="AZ5150">
        <v>0</v>
      </c>
      <c r="BA5150">
        <v>52.5</v>
      </c>
      <c r="BE5150" t="str">
        <f>T("9791137014381")</f>
        <v>9791137014381</v>
      </c>
      <c r="BF5150" t="str">
        <f>T("k063063")</f>
        <v>k063063</v>
      </c>
      <c r="BG5150" t="str">
        <f>T("판타지 웹소설 &gt; 퓨전 판타지")</f>
        <v>판타지 웹소설 &gt; 퓨전 판타지</v>
      </c>
    </row>
    <row r="5151" spans="1:59">
      <c r="A5151" t="s">
        <v>60</v>
      </c>
      <c r="B5151" s="1">
        <v>46130</v>
      </c>
      <c r="C5151">
        <v>2378044065</v>
      </c>
      <c r="D5151">
        <v>2378050927</v>
      </c>
      <c r="E5151" t="str">
        <f>T("저승의 왕위를 계승했다 178화")</f>
        <v>저승의 왕위를 계승했다 178화</v>
      </c>
      <c r="F5151">
        <v>178</v>
      </c>
      <c r="G5151" t="str">
        <f>T("신타비")</f>
        <v>신타비</v>
      </c>
      <c r="J5151" t="str">
        <f>T("매드햇")</f>
        <v>매드햇</v>
      </c>
      <c r="K5151" t="str">
        <f>T("저승의 왕위를 계승했다")</f>
        <v>저승의 왕위를 계승했다</v>
      </c>
      <c r="L5151">
        <v>100</v>
      </c>
      <c r="M5151">
        <v>75</v>
      </c>
      <c r="N5151">
        <v>1</v>
      </c>
      <c r="O5151">
        <v>0</v>
      </c>
      <c r="P5151">
        <v>0</v>
      </c>
      <c r="Q5151">
        <v>0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0</v>
      </c>
      <c r="AE5151">
        <v>0</v>
      </c>
      <c r="AF5151">
        <v>0</v>
      </c>
      <c r="AG5151">
        <v>0</v>
      </c>
      <c r="AH5151">
        <v>0</v>
      </c>
      <c r="AI5151">
        <v>75</v>
      </c>
      <c r="AJ5151">
        <v>1</v>
      </c>
      <c r="AK5151">
        <v>0</v>
      </c>
      <c r="AL5151">
        <v>0</v>
      </c>
      <c r="AM5151">
        <v>75</v>
      </c>
      <c r="AN5151">
        <v>0</v>
      </c>
      <c r="AO5151">
        <v>0</v>
      </c>
      <c r="AP5151">
        <v>0</v>
      </c>
      <c r="AQ5151">
        <v>0</v>
      </c>
      <c r="AS5151">
        <v>0</v>
      </c>
      <c r="AT5151">
        <v>0</v>
      </c>
      <c r="AV5151">
        <v>0</v>
      </c>
      <c r="AW5151">
        <v>0</v>
      </c>
      <c r="AY5151">
        <v>0</v>
      </c>
      <c r="AZ5151">
        <v>0</v>
      </c>
      <c r="BA5151">
        <v>52.5</v>
      </c>
      <c r="BE5151" t="str">
        <f>T("9791137014381")</f>
        <v>9791137014381</v>
      </c>
      <c r="BF5151" t="str">
        <f>T("k063064")</f>
        <v>k063064</v>
      </c>
      <c r="BG5151" t="str">
        <f>T("판타지 웹소설 &gt; 퓨전 판타지")</f>
        <v>판타지 웹소설 &gt; 퓨전 판타지</v>
      </c>
    </row>
    <row r="5152" spans="1:59">
      <c r="A5152" t="s">
        <v>60</v>
      </c>
      <c r="B5152" s="1">
        <v>46130</v>
      </c>
      <c r="C5152">
        <v>2378044065</v>
      </c>
      <c r="D5152">
        <v>2378051088</v>
      </c>
      <c r="E5152" t="str">
        <f>T("저승의 왕위를 계승했다 179화")</f>
        <v>저승의 왕위를 계승했다 179화</v>
      </c>
      <c r="F5152">
        <v>179</v>
      </c>
      <c r="G5152" t="str">
        <f>T("신타비")</f>
        <v>신타비</v>
      </c>
      <c r="J5152" t="str">
        <f>T("매드햇")</f>
        <v>매드햇</v>
      </c>
      <c r="K5152" t="str">
        <f>T("저승의 왕위를 계승했다")</f>
        <v>저승의 왕위를 계승했다</v>
      </c>
      <c r="L5152">
        <v>100</v>
      </c>
      <c r="M5152">
        <v>75</v>
      </c>
      <c r="N5152">
        <v>1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0</v>
      </c>
      <c r="AE5152">
        <v>0</v>
      </c>
      <c r="AF5152">
        <v>0</v>
      </c>
      <c r="AG5152">
        <v>0</v>
      </c>
      <c r="AH5152">
        <v>0</v>
      </c>
      <c r="AI5152">
        <v>75</v>
      </c>
      <c r="AJ5152">
        <v>1</v>
      </c>
      <c r="AK5152">
        <v>0</v>
      </c>
      <c r="AL5152">
        <v>0</v>
      </c>
      <c r="AM5152">
        <v>75</v>
      </c>
      <c r="AN5152">
        <v>0</v>
      </c>
      <c r="AO5152">
        <v>0</v>
      </c>
      <c r="AP5152">
        <v>0</v>
      </c>
      <c r="AQ5152">
        <v>0</v>
      </c>
      <c r="AS5152">
        <v>0</v>
      </c>
      <c r="AT5152">
        <v>0</v>
      </c>
      <c r="AV5152">
        <v>0</v>
      </c>
      <c r="AW5152">
        <v>0</v>
      </c>
      <c r="AY5152">
        <v>0</v>
      </c>
      <c r="AZ5152">
        <v>0</v>
      </c>
      <c r="BA5152">
        <v>52.5</v>
      </c>
      <c r="BE5152" t="str">
        <f>T("9791137014381")</f>
        <v>9791137014381</v>
      </c>
      <c r="BF5152" t="str">
        <f>T("k063065")</f>
        <v>k063065</v>
      </c>
      <c r="BG5152" t="str">
        <f>T("판타지 웹소설 &gt; 퓨전 판타지")</f>
        <v>판타지 웹소설 &gt; 퓨전 판타지</v>
      </c>
    </row>
    <row r="5153" spans="1:59">
      <c r="A5153" t="s">
        <v>60</v>
      </c>
      <c r="B5153" s="1">
        <v>46130</v>
      </c>
      <c r="C5153">
        <v>2378044065</v>
      </c>
      <c r="D5153">
        <v>2378051111</v>
      </c>
      <c r="E5153" t="str">
        <f>T("저승의 왕위를 계승했다 180화")</f>
        <v>저승의 왕위를 계승했다 180화</v>
      </c>
      <c r="F5153">
        <v>180</v>
      </c>
      <c r="G5153" t="str">
        <f>T("신타비")</f>
        <v>신타비</v>
      </c>
      <c r="J5153" t="str">
        <f>T("매드햇")</f>
        <v>매드햇</v>
      </c>
      <c r="K5153" t="str">
        <f>T("저승의 왕위를 계승했다")</f>
        <v>저승의 왕위를 계승했다</v>
      </c>
      <c r="L5153">
        <v>100</v>
      </c>
      <c r="M5153">
        <v>75</v>
      </c>
      <c r="N5153">
        <v>1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0</v>
      </c>
      <c r="AE5153">
        <v>0</v>
      </c>
      <c r="AF5153">
        <v>0</v>
      </c>
      <c r="AG5153">
        <v>0</v>
      </c>
      <c r="AH5153">
        <v>0</v>
      </c>
      <c r="AI5153">
        <v>75</v>
      </c>
      <c r="AJ5153">
        <v>1</v>
      </c>
      <c r="AK5153">
        <v>0</v>
      </c>
      <c r="AL5153">
        <v>0</v>
      </c>
      <c r="AM5153">
        <v>75</v>
      </c>
      <c r="AN5153">
        <v>0</v>
      </c>
      <c r="AO5153">
        <v>0</v>
      </c>
      <c r="AP5153">
        <v>0</v>
      </c>
      <c r="AQ5153">
        <v>0</v>
      </c>
      <c r="AS5153">
        <v>0</v>
      </c>
      <c r="AT5153">
        <v>0</v>
      </c>
      <c r="AV5153">
        <v>0</v>
      </c>
      <c r="AW5153">
        <v>0</v>
      </c>
      <c r="AY5153">
        <v>0</v>
      </c>
      <c r="AZ5153">
        <v>0</v>
      </c>
      <c r="BA5153">
        <v>52.5</v>
      </c>
      <c r="BE5153" t="str">
        <f>T("9791137014381")</f>
        <v>9791137014381</v>
      </c>
      <c r="BF5153" t="str">
        <f>T("k065935")</f>
        <v>k065935</v>
      </c>
      <c r="BG5153" t="str">
        <f>T("판타지 웹소설 &gt; 퓨전 판타지")</f>
        <v>판타지 웹소설 &gt; 퓨전 판타지</v>
      </c>
    </row>
    <row r="5154" spans="1:59">
      <c r="A5154" t="s">
        <v>60</v>
      </c>
      <c r="B5154" s="1">
        <v>46130</v>
      </c>
      <c r="C5154">
        <v>2378044065</v>
      </c>
      <c r="D5154">
        <v>2378051174</v>
      </c>
      <c r="E5154" t="str">
        <f>T("저승의 왕위를 계승했다 181화")</f>
        <v>저승의 왕위를 계승했다 181화</v>
      </c>
      <c r="F5154">
        <v>181</v>
      </c>
      <c r="G5154" t="str">
        <f>T("신타비")</f>
        <v>신타비</v>
      </c>
      <c r="J5154" t="str">
        <f>T("매드햇")</f>
        <v>매드햇</v>
      </c>
      <c r="K5154" t="str">
        <f>T("저승의 왕위를 계승했다")</f>
        <v>저승의 왕위를 계승했다</v>
      </c>
      <c r="L5154">
        <v>100</v>
      </c>
      <c r="M5154">
        <v>75</v>
      </c>
      <c r="N5154">
        <v>1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0</v>
      </c>
      <c r="AE5154">
        <v>0</v>
      </c>
      <c r="AF5154">
        <v>0</v>
      </c>
      <c r="AG5154">
        <v>0</v>
      </c>
      <c r="AH5154">
        <v>0</v>
      </c>
      <c r="AI5154">
        <v>75</v>
      </c>
      <c r="AJ5154">
        <v>1</v>
      </c>
      <c r="AK5154">
        <v>0</v>
      </c>
      <c r="AL5154">
        <v>0</v>
      </c>
      <c r="AM5154">
        <v>75</v>
      </c>
      <c r="AN5154">
        <v>0</v>
      </c>
      <c r="AO5154">
        <v>0</v>
      </c>
      <c r="AP5154">
        <v>0</v>
      </c>
      <c r="AQ5154">
        <v>0</v>
      </c>
      <c r="AS5154">
        <v>0</v>
      </c>
      <c r="AT5154">
        <v>0</v>
      </c>
      <c r="AV5154">
        <v>0</v>
      </c>
      <c r="AW5154">
        <v>0</v>
      </c>
      <c r="AY5154">
        <v>0</v>
      </c>
      <c r="AZ5154">
        <v>0</v>
      </c>
      <c r="BA5154">
        <v>52.5</v>
      </c>
      <c r="BE5154" t="str">
        <f>T("9791137014381")</f>
        <v>9791137014381</v>
      </c>
      <c r="BF5154" t="str">
        <f>T("k065936")</f>
        <v>k065936</v>
      </c>
      <c r="BG5154" t="str">
        <f>T("판타지 웹소설 &gt; 퓨전 판타지")</f>
        <v>판타지 웹소설 &gt; 퓨전 판타지</v>
      </c>
    </row>
    <row r="5155" spans="1:59">
      <c r="A5155" t="s">
        <v>60</v>
      </c>
      <c r="B5155" s="1">
        <v>46130</v>
      </c>
      <c r="C5155">
        <v>2378044065</v>
      </c>
      <c r="D5155">
        <v>2378051175</v>
      </c>
      <c r="E5155" t="str">
        <f>T("저승의 왕위를 계승했다 182화")</f>
        <v>저승의 왕위를 계승했다 182화</v>
      </c>
      <c r="F5155">
        <v>182</v>
      </c>
      <c r="G5155" t="str">
        <f>T("신타비")</f>
        <v>신타비</v>
      </c>
      <c r="J5155" t="str">
        <f>T("매드햇")</f>
        <v>매드햇</v>
      </c>
      <c r="K5155" t="str">
        <f>T("저승의 왕위를 계승했다")</f>
        <v>저승의 왕위를 계승했다</v>
      </c>
      <c r="L5155">
        <v>100</v>
      </c>
      <c r="M5155">
        <v>75</v>
      </c>
      <c r="N5155">
        <v>1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0</v>
      </c>
      <c r="AE5155">
        <v>0</v>
      </c>
      <c r="AF5155">
        <v>0</v>
      </c>
      <c r="AG5155">
        <v>0</v>
      </c>
      <c r="AH5155">
        <v>0</v>
      </c>
      <c r="AI5155">
        <v>75</v>
      </c>
      <c r="AJ5155">
        <v>1</v>
      </c>
      <c r="AK5155">
        <v>0</v>
      </c>
      <c r="AL5155">
        <v>0</v>
      </c>
      <c r="AM5155">
        <v>75</v>
      </c>
      <c r="AN5155">
        <v>0</v>
      </c>
      <c r="AO5155">
        <v>0</v>
      </c>
      <c r="AP5155">
        <v>0</v>
      </c>
      <c r="AQ5155">
        <v>0</v>
      </c>
      <c r="AS5155">
        <v>0</v>
      </c>
      <c r="AT5155">
        <v>0</v>
      </c>
      <c r="AV5155">
        <v>0</v>
      </c>
      <c r="AW5155">
        <v>0</v>
      </c>
      <c r="AY5155">
        <v>0</v>
      </c>
      <c r="AZ5155">
        <v>0</v>
      </c>
      <c r="BA5155">
        <v>52.5</v>
      </c>
      <c r="BE5155" t="str">
        <f>T("9791137014381")</f>
        <v>9791137014381</v>
      </c>
      <c r="BF5155" t="str">
        <f>T("k065937")</f>
        <v>k065937</v>
      </c>
      <c r="BG5155" t="str">
        <f>T("판타지 웹소설 &gt; 퓨전 판타지")</f>
        <v>판타지 웹소설 &gt; 퓨전 판타지</v>
      </c>
    </row>
    <row r="5156" spans="1:59">
      <c r="A5156" t="s">
        <v>60</v>
      </c>
      <c r="B5156" s="1">
        <v>46130</v>
      </c>
      <c r="C5156">
        <v>2378044065</v>
      </c>
      <c r="D5156">
        <v>2378051276</v>
      </c>
      <c r="E5156" t="str">
        <f>T("저승의 왕위를 계승했다 183화")</f>
        <v>저승의 왕위를 계승했다 183화</v>
      </c>
      <c r="F5156">
        <v>183</v>
      </c>
      <c r="G5156" t="str">
        <f>T("신타비")</f>
        <v>신타비</v>
      </c>
      <c r="J5156" t="str">
        <f>T("매드햇")</f>
        <v>매드햇</v>
      </c>
      <c r="K5156" t="str">
        <f>T("저승의 왕위를 계승했다")</f>
        <v>저승의 왕위를 계승했다</v>
      </c>
      <c r="L5156">
        <v>100</v>
      </c>
      <c r="M5156">
        <v>75</v>
      </c>
      <c r="N5156">
        <v>1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0</v>
      </c>
      <c r="AE5156">
        <v>0</v>
      </c>
      <c r="AF5156">
        <v>0</v>
      </c>
      <c r="AG5156">
        <v>0</v>
      </c>
      <c r="AH5156">
        <v>0</v>
      </c>
      <c r="AI5156">
        <v>75</v>
      </c>
      <c r="AJ5156">
        <v>1</v>
      </c>
      <c r="AK5156">
        <v>0</v>
      </c>
      <c r="AL5156">
        <v>0</v>
      </c>
      <c r="AM5156">
        <v>75</v>
      </c>
      <c r="AN5156">
        <v>0</v>
      </c>
      <c r="AO5156">
        <v>0</v>
      </c>
      <c r="AP5156">
        <v>0</v>
      </c>
      <c r="AQ5156">
        <v>0</v>
      </c>
      <c r="AS5156">
        <v>0</v>
      </c>
      <c r="AT5156">
        <v>0</v>
      </c>
      <c r="AV5156">
        <v>0</v>
      </c>
      <c r="AW5156">
        <v>0</v>
      </c>
      <c r="AY5156">
        <v>0</v>
      </c>
      <c r="AZ5156">
        <v>0</v>
      </c>
      <c r="BA5156">
        <v>52.5</v>
      </c>
      <c r="BE5156" t="str">
        <f>T("9791137014381")</f>
        <v>9791137014381</v>
      </c>
      <c r="BF5156" t="str">
        <f>T("k069451")</f>
        <v>k069451</v>
      </c>
      <c r="BG5156" t="str">
        <f>T("판타지 웹소설 &gt; 퓨전 판타지")</f>
        <v>판타지 웹소설 &gt; 퓨전 판타지</v>
      </c>
    </row>
    <row r="5157" spans="1:59">
      <c r="A5157" t="s">
        <v>60</v>
      </c>
      <c r="B5157" s="1">
        <v>46130</v>
      </c>
      <c r="C5157">
        <v>2378044065</v>
      </c>
      <c r="D5157">
        <v>2378051295</v>
      </c>
      <c r="E5157" t="str">
        <f>T("저승의 왕위를 계승했다 184화")</f>
        <v>저승의 왕위를 계승했다 184화</v>
      </c>
      <c r="F5157">
        <v>184</v>
      </c>
      <c r="G5157" t="str">
        <f>T("신타비")</f>
        <v>신타비</v>
      </c>
      <c r="J5157" t="str">
        <f>T("매드햇")</f>
        <v>매드햇</v>
      </c>
      <c r="K5157" t="str">
        <f>T("저승의 왕위를 계승했다")</f>
        <v>저승의 왕위를 계승했다</v>
      </c>
      <c r="L5157">
        <v>100</v>
      </c>
      <c r="M5157">
        <v>75</v>
      </c>
      <c r="N5157">
        <v>1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0</v>
      </c>
      <c r="AE5157">
        <v>0</v>
      </c>
      <c r="AF5157">
        <v>0</v>
      </c>
      <c r="AG5157">
        <v>0</v>
      </c>
      <c r="AH5157">
        <v>0</v>
      </c>
      <c r="AI5157">
        <v>75</v>
      </c>
      <c r="AJ5157">
        <v>1</v>
      </c>
      <c r="AK5157">
        <v>0</v>
      </c>
      <c r="AL5157">
        <v>0</v>
      </c>
      <c r="AM5157">
        <v>75</v>
      </c>
      <c r="AN5157">
        <v>0</v>
      </c>
      <c r="AO5157">
        <v>0</v>
      </c>
      <c r="AP5157">
        <v>0</v>
      </c>
      <c r="AQ5157">
        <v>0</v>
      </c>
      <c r="AS5157">
        <v>0</v>
      </c>
      <c r="AT5157">
        <v>0</v>
      </c>
      <c r="AV5157">
        <v>0</v>
      </c>
      <c r="AW5157">
        <v>0</v>
      </c>
      <c r="AY5157">
        <v>0</v>
      </c>
      <c r="AZ5157">
        <v>0</v>
      </c>
      <c r="BA5157">
        <v>52.5</v>
      </c>
      <c r="BE5157" t="str">
        <f>T("9791137014381")</f>
        <v>9791137014381</v>
      </c>
      <c r="BF5157" t="str">
        <f>T("k069452")</f>
        <v>k069452</v>
      </c>
      <c r="BG5157" t="str">
        <f>T("판타지 웹소설 &gt; 퓨전 판타지")</f>
        <v>판타지 웹소설 &gt; 퓨전 판타지</v>
      </c>
    </row>
    <row r="5158" spans="1:59">
      <c r="A5158" t="s">
        <v>60</v>
      </c>
      <c r="B5158" s="1">
        <v>46130</v>
      </c>
      <c r="C5158">
        <v>2378044065</v>
      </c>
      <c r="D5158">
        <v>2378051683</v>
      </c>
      <c r="E5158" t="str">
        <f>T("저승의 왕위를 계승했다 186화")</f>
        <v>저승의 왕위를 계승했다 186화</v>
      </c>
      <c r="F5158">
        <v>186</v>
      </c>
      <c r="G5158" t="str">
        <f>T("신타비")</f>
        <v>신타비</v>
      </c>
      <c r="J5158" t="str">
        <f>T("매드햇")</f>
        <v>매드햇</v>
      </c>
      <c r="K5158" t="str">
        <f>T("저승의 왕위를 계승했다")</f>
        <v>저승의 왕위를 계승했다</v>
      </c>
      <c r="L5158">
        <v>100</v>
      </c>
      <c r="M5158">
        <v>75</v>
      </c>
      <c r="N5158">
        <v>1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0</v>
      </c>
      <c r="AE5158">
        <v>0</v>
      </c>
      <c r="AF5158">
        <v>0</v>
      </c>
      <c r="AG5158">
        <v>0</v>
      </c>
      <c r="AH5158">
        <v>0</v>
      </c>
      <c r="AI5158">
        <v>75</v>
      </c>
      <c r="AJ5158">
        <v>1</v>
      </c>
      <c r="AK5158">
        <v>0</v>
      </c>
      <c r="AL5158">
        <v>0</v>
      </c>
      <c r="AM5158">
        <v>75</v>
      </c>
      <c r="AN5158">
        <v>0</v>
      </c>
      <c r="AO5158">
        <v>0</v>
      </c>
      <c r="AP5158">
        <v>0</v>
      </c>
      <c r="AQ5158">
        <v>0</v>
      </c>
      <c r="AS5158">
        <v>0</v>
      </c>
      <c r="AT5158">
        <v>0</v>
      </c>
      <c r="AV5158">
        <v>0</v>
      </c>
      <c r="AW5158">
        <v>0</v>
      </c>
      <c r="AY5158">
        <v>0</v>
      </c>
      <c r="AZ5158">
        <v>0</v>
      </c>
      <c r="BA5158">
        <v>52.5</v>
      </c>
      <c r="BE5158" t="str">
        <f>T("9791137014381")</f>
        <v>9791137014381</v>
      </c>
      <c r="BF5158" t="str">
        <f>T("k075198")</f>
        <v>k075198</v>
      </c>
      <c r="BG5158" t="str">
        <f>T("판타지 웹소설 &gt; 퓨전 판타지")</f>
        <v>판타지 웹소설 &gt; 퓨전 판타지</v>
      </c>
    </row>
    <row r="5159" spans="1:59">
      <c r="A5159" t="s">
        <v>60</v>
      </c>
      <c r="B5159" s="1">
        <v>46130</v>
      </c>
      <c r="C5159">
        <v>2378044065</v>
      </c>
      <c r="D5159">
        <v>2378051705</v>
      </c>
      <c r="E5159" t="str">
        <f>T("저승의 왕위를 계승했다 187화")</f>
        <v>저승의 왕위를 계승했다 187화</v>
      </c>
      <c r="F5159">
        <v>187</v>
      </c>
      <c r="G5159" t="str">
        <f>T("신타비")</f>
        <v>신타비</v>
      </c>
      <c r="J5159" t="str">
        <f>T("매드햇")</f>
        <v>매드햇</v>
      </c>
      <c r="K5159" t="str">
        <f>T("저승의 왕위를 계승했다")</f>
        <v>저승의 왕위를 계승했다</v>
      </c>
      <c r="L5159">
        <v>100</v>
      </c>
      <c r="M5159">
        <v>75</v>
      </c>
      <c r="N5159">
        <v>1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0</v>
      </c>
      <c r="AE5159">
        <v>0</v>
      </c>
      <c r="AF5159">
        <v>0</v>
      </c>
      <c r="AG5159">
        <v>0</v>
      </c>
      <c r="AH5159">
        <v>0</v>
      </c>
      <c r="AI5159">
        <v>75</v>
      </c>
      <c r="AJ5159">
        <v>1</v>
      </c>
      <c r="AK5159">
        <v>0</v>
      </c>
      <c r="AL5159">
        <v>0</v>
      </c>
      <c r="AM5159">
        <v>75</v>
      </c>
      <c r="AN5159">
        <v>0</v>
      </c>
      <c r="AO5159">
        <v>0</v>
      </c>
      <c r="AP5159">
        <v>0</v>
      </c>
      <c r="AQ5159">
        <v>0</v>
      </c>
      <c r="AS5159">
        <v>0</v>
      </c>
      <c r="AT5159">
        <v>0</v>
      </c>
      <c r="AV5159">
        <v>0</v>
      </c>
      <c r="AW5159">
        <v>0</v>
      </c>
      <c r="AY5159">
        <v>0</v>
      </c>
      <c r="AZ5159">
        <v>0</v>
      </c>
      <c r="BA5159">
        <v>52.5</v>
      </c>
      <c r="BE5159" t="str">
        <f>T("9791137014381")</f>
        <v>9791137014381</v>
      </c>
      <c r="BF5159" t="str">
        <f>T("k075199")</f>
        <v>k075199</v>
      </c>
      <c r="BG5159" t="str">
        <f>T("판타지 웹소설 &gt; 퓨전 판타지")</f>
        <v>판타지 웹소설 &gt; 퓨전 판타지</v>
      </c>
    </row>
    <row r="5160" spans="1:59">
      <c r="A5160" t="s">
        <v>60</v>
      </c>
      <c r="B5160" s="1">
        <v>46130</v>
      </c>
      <c r="C5160">
        <v>2378044065</v>
      </c>
      <c r="D5160">
        <v>2378051722</v>
      </c>
      <c r="E5160" t="str">
        <f>T("저승의 왕위를 계승했다 188화")</f>
        <v>저승의 왕위를 계승했다 188화</v>
      </c>
      <c r="F5160">
        <v>188</v>
      </c>
      <c r="G5160" t="str">
        <f>T("신타비")</f>
        <v>신타비</v>
      </c>
      <c r="J5160" t="str">
        <f>T("매드햇")</f>
        <v>매드햇</v>
      </c>
      <c r="K5160" t="str">
        <f>T("저승의 왕위를 계승했다")</f>
        <v>저승의 왕위를 계승했다</v>
      </c>
      <c r="L5160">
        <v>100</v>
      </c>
      <c r="M5160">
        <v>75</v>
      </c>
      <c r="N5160">
        <v>1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0</v>
      </c>
      <c r="AE5160">
        <v>0</v>
      </c>
      <c r="AF5160">
        <v>0</v>
      </c>
      <c r="AG5160">
        <v>0</v>
      </c>
      <c r="AH5160">
        <v>0</v>
      </c>
      <c r="AI5160">
        <v>75</v>
      </c>
      <c r="AJ5160">
        <v>1</v>
      </c>
      <c r="AK5160">
        <v>0</v>
      </c>
      <c r="AL5160">
        <v>0</v>
      </c>
      <c r="AM5160">
        <v>75</v>
      </c>
      <c r="AN5160">
        <v>0</v>
      </c>
      <c r="AO5160">
        <v>0</v>
      </c>
      <c r="AP5160">
        <v>0</v>
      </c>
      <c r="AQ5160">
        <v>0</v>
      </c>
      <c r="AS5160">
        <v>0</v>
      </c>
      <c r="AT5160">
        <v>0</v>
      </c>
      <c r="AV5160">
        <v>0</v>
      </c>
      <c r="AW5160">
        <v>0</v>
      </c>
      <c r="AY5160">
        <v>0</v>
      </c>
      <c r="AZ5160">
        <v>0</v>
      </c>
      <c r="BA5160">
        <v>52.5</v>
      </c>
      <c r="BE5160" t="str">
        <f>T("9791137014381")</f>
        <v>9791137014381</v>
      </c>
      <c r="BF5160" t="str">
        <f>T("k075200")</f>
        <v>k075200</v>
      </c>
      <c r="BG5160" t="str">
        <f>T("판타지 웹소설 &gt; 퓨전 판타지")</f>
        <v>판타지 웹소설 &gt; 퓨전 판타지</v>
      </c>
    </row>
    <row r="5161" spans="1:59">
      <c r="A5161" t="s">
        <v>60</v>
      </c>
      <c r="B5161" s="1">
        <v>46130</v>
      </c>
      <c r="C5161">
        <v>2378044065</v>
      </c>
      <c r="D5161">
        <v>2378051741</v>
      </c>
      <c r="E5161" t="str">
        <f>T("저승의 왕위를 계승했다 189화")</f>
        <v>저승의 왕위를 계승했다 189화</v>
      </c>
      <c r="F5161">
        <v>189</v>
      </c>
      <c r="G5161" t="str">
        <f>T("신타비")</f>
        <v>신타비</v>
      </c>
      <c r="J5161" t="str">
        <f>T("매드햇")</f>
        <v>매드햇</v>
      </c>
      <c r="K5161" t="str">
        <f>T("저승의 왕위를 계승했다")</f>
        <v>저승의 왕위를 계승했다</v>
      </c>
      <c r="L5161">
        <v>100</v>
      </c>
      <c r="M5161">
        <v>75</v>
      </c>
      <c r="N5161">
        <v>1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0</v>
      </c>
      <c r="AE5161">
        <v>0</v>
      </c>
      <c r="AF5161">
        <v>0</v>
      </c>
      <c r="AG5161">
        <v>0</v>
      </c>
      <c r="AH5161">
        <v>0</v>
      </c>
      <c r="AI5161">
        <v>75</v>
      </c>
      <c r="AJ5161">
        <v>1</v>
      </c>
      <c r="AK5161">
        <v>0</v>
      </c>
      <c r="AL5161">
        <v>0</v>
      </c>
      <c r="AM5161">
        <v>75</v>
      </c>
      <c r="AN5161">
        <v>0</v>
      </c>
      <c r="AO5161">
        <v>0</v>
      </c>
      <c r="AP5161">
        <v>0</v>
      </c>
      <c r="AQ5161">
        <v>0</v>
      </c>
      <c r="AS5161">
        <v>0</v>
      </c>
      <c r="AT5161">
        <v>0</v>
      </c>
      <c r="AV5161">
        <v>0</v>
      </c>
      <c r="AW5161">
        <v>0</v>
      </c>
      <c r="AY5161">
        <v>0</v>
      </c>
      <c r="AZ5161">
        <v>0</v>
      </c>
      <c r="BA5161">
        <v>52.5</v>
      </c>
      <c r="BE5161" t="str">
        <f>T("9791137014381")</f>
        <v>9791137014381</v>
      </c>
      <c r="BF5161" t="str">
        <f>T("k078820")</f>
        <v>k078820</v>
      </c>
      <c r="BG5161" t="str">
        <f>T("판타지 웹소설 &gt; 퓨전 판타지")</f>
        <v>판타지 웹소설 &gt; 퓨전 판타지</v>
      </c>
    </row>
    <row r="5162" spans="1:59">
      <c r="A5162" t="s">
        <v>60</v>
      </c>
      <c r="B5162" s="1">
        <v>46130</v>
      </c>
      <c r="C5162">
        <v>2378044065</v>
      </c>
      <c r="D5162">
        <v>2378051765</v>
      </c>
      <c r="E5162" t="str">
        <f>T("저승의 왕위를 계승했다 190화")</f>
        <v>저승의 왕위를 계승했다 190화</v>
      </c>
      <c r="F5162">
        <v>190</v>
      </c>
      <c r="G5162" t="str">
        <f>T("신타비")</f>
        <v>신타비</v>
      </c>
      <c r="J5162" t="str">
        <f>T("매드햇")</f>
        <v>매드햇</v>
      </c>
      <c r="K5162" t="str">
        <f>T("저승의 왕위를 계승했다")</f>
        <v>저승의 왕위를 계승했다</v>
      </c>
      <c r="L5162">
        <v>100</v>
      </c>
      <c r="M5162">
        <v>75</v>
      </c>
      <c r="N5162">
        <v>1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0</v>
      </c>
      <c r="AE5162">
        <v>0</v>
      </c>
      <c r="AF5162">
        <v>0</v>
      </c>
      <c r="AG5162">
        <v>0</v>
      </c>
      <c r="AH5162">
        <v>0</v>
      </c>
      <c r="AI5162">
        <v>75</v>
      </c>
      <c r="AJ5162">
        <v>1</v>
      </c>
      <c r="AK5162">
        <v>0</v>
      </c>
      <c r="AL5162">
        <v>0</v>
      </c>
      <c r="AM5162">
        <v>75</v>
      </c>
      <c r="AN5162">
        <v>0</v>
      </c>
      <c r="AO5162">
        <v>0</v>
      </c>
      <c r="AP5162">
        <v>0</v>
      </c>
      <c r="AQ5162">
        <v>0</v>
      </c>
      <c r="AS5162">
        <v>0</v>
      </c>
      <c r="AT5162">
        <v>0</v>
      </c>
      <c r="AV5162">
        <v>0</v>
      </c>
      <c r="AW5162">
        <v>0</v>
      </c>
      <c r="AY5162">
        <v>0</v>
      </c>
      <c r="AZ5162">
        <v>0</v>
      </c>
      <c r="BA5162">
        <v>52.5</v>
      </c>
      <c r="BE5162" t="str">
        <f>T("9791137014381")</f>
        <v>9791137014381</v>
      </c>
      <c r="BF5162" t="str">
        <f>T("k078821")</f>
        <v>k078821</v>
      </c>
      <c r="BG5162" t="str">
        <f>T("판타지 웹소설 &gt; 퓨전 판타지")</f>
        <v>판타지 웹소설 &gt; 퓨전 판타지</v>
      </c>
    </row>
    <row r="5163" spans="1:59">
      <c r="A5163" t="s">
        <v>60</v>
      </c>
      <c r="B5163" s="1">
        <v>46130</v>
      </c>
      <c r="C5163">
        <v>2378044065</v>
      </c>
      <c r="D5163">
        <v>2378051777</v>
      </c>
      <c r="E5163" t="str">
        <f>T("저승의 왕위를 계승했다 191화")</f>
        <v>저승의 왕위를 계승했다 191화</v>
      </c>
      <c r="F5163">
        <v>191</v>
      </c>
      <c r="G5163" t="str">
        <f>T("신타비")</f>
        <v>신타비</v>
      </c>
      <c r="J5163" t="str">
        <f>T("매드햇")</f>
        <v>매드햇</v>
      </c>
      <c r="K5163" t="str">
        <f>T("저승의 왕위를 계승했다")</f>
        <v>저승의 왕위를 계승했다</v>
      </c>
      <c r="L5163">
        <v>100</v>
      </c>
      <c r="M5163">
        <v>75</v>
      </c>
      <c r="N5163">
        <v>1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0</v>
      </c>
      <c r="AE5163">
        <v>0</v>
      </c>
      <c r="AF5163">
        <v>0</v>
      </c>
      <c r="AG5163">
        <v>0</v>
      </c>
      <c r="AH5163">
        <v>0</v>
      </c>
      <c r="AI5163">
        <v>75</v>
      </c>
      <c r="AJ5163">
        <v>1</v>
      </c>
      <c r="AK5163">
        <v>0</v>
      </c>
      <c r="AL5163">
        <v>0</v>
      </c>
      <c r="AM5163">
        <v>75</v>
      </c>
      <c r="AN5163">
        <v>0</v>
      </c>
      <c r="AO5163">
        <v>0</v>
      </c>
      <c r="AP5163">
        <v>0</v>
      </c>
      <c r="AQ5163">
        <v>0</v>
      </c>
      <c r="AS5163">
        <v>0</v>
      </c>
      <c r="AT5163">
        <v>0</v>
      </c>
      <c r="AV5163">
        <v>0</v>
      </c>
      <c r="AW5163">
        <v>0</v>
      </c>
      <c r="AY5163">
        <v>0</v>
      </c>
      <c r="AZ5163">
        <v>0</v>
      </c>
      <c r="BA5163">
        <v>52.5</v>
      </c>
      <c r="BE5163" t="str">
        <f>T("9791137014381")</f>
        <v>9791137014381</v>
      </c>
      <c r="BF5163" t="str">
        <f>T("k078822")</f>
        <v>k078822</v>
      </c>
      <c r="BG5163" t="str">
        <f>T("판타지 웹소설 &gt; 퓨전 판타지")</f>
        <v>판타지 웹소설 &gt; 퓨전 판타지</v>
      </c>
    </row>
    <row r="5164" spans="1:59">
      <c r="A5164" t="s">
        <v>60</v>
      </c>
      <c r="B5164" s="1">
        <v>46130</v>
      </c>
      <c r="C5164">
        <v>2378044065</v>
      </c>
      <c r="D5164">
        <v>2378051806</v>
      </c>
      <c r="E5164" t="str">
        <f>T("저승의 왕위를 계승했다 192화")</f>
        <v>저승의 왕위를 계승했다 192화</v>
      </c>
      <c r="F5164">
        <v>192</v>
      </c>
      <c r="G5164" t="str">
        <f>T("신타비")</f>
        <v>신타비</v>
      </c>
      <c r="J5164" t="str">
        <f>T("매드햇")</f>
        <v>매드햇</v>
      </c>
      <c r="K5164" t="str">
        <f>T("저승의 왕위를 계승했다")</f>
        <v>저승의 왕위를 계승했다</v>
      </c>
      <c r="L5164">
        <v>100</v>
      </c>
      <c r="M5164">
        <v>75</v>
      </c>
      <c r="N5164">
        <v>1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0</v>
      </c>
      <c r="AE5164">
        <v>0</v>
      </c>
      <c r="AF5164">
        <v>0</v>
      </c>
      <c r="AG5164">
        <v>0</v>
      </c>
      <c r="AH5164">
        <v>0</v>
      </c>
      <c r="AI5164">
        <v>75</v>
      </c>
      <c r="AJ5164">
        <v>1</v>
      </c>
      <c r="AK5164">
        <v>0</v>
      </c>
      <c r="AL5164">
        <v>0</v>
      </c>
      <c r="AM5164">
        <v>75</v>
      </c>
      <c r="AN5164">
        <v>0</v>
      </c>
      <c r="AO5164">
        <v>0</v>
      </c>
      <c r="AP5164">
        <v>0</v>
      </c>
      <c r="AQ5164">
        <v>0</v>
      </c>
      <c r="AS5164">
        <v>0</v>
      </c>
      <c r="AT5164">
        <v>0</v>
      </c>
      <c r="AV5164">
        <v>0</v>
      </c>
      <c r="AW5164">
        <v>0</v>
      </c>
      <c r="AY5164">
        <v>0</v>
      </c>
      <c r="AZ5164">
        <v>0</v>
      </c>
      <c r="BA5164">
        <v>52.5</v>
      </c>
      <c r="BE5164" t="str">
        <f>T("9791137014381")</f>
        <v>9791137014381</v>
      </c>
      <c r="BF5164" t="str">
        <f>T("k080218")</f>
        <v>k080218</v>
      </c>
      <c r="BG5164" t="str">
        <f>T("판타지 웹소설 &gt; 퓨전 판타지")</f>
        <v>판타지 웹소설 &gt; 퓨전 판타지</v>
      </c>
    </row>
    <row r="5165" spans="1:59">
      <c r="A5165" t="s">
        <v>60</v>
      </c>
      <c r="B5165" s="1">
        <v>46130</v>
      </c>
      <c r="C5165">
        <v>2378044065</v>
      </c>
      <c r="D5165">
        <v>2378051810</v>
      </c>
      <c r="E5165" t="str">
        <f>T("저승의 왕위를 계승했다 193화")</f>
        <v>저승의 왕위를 계승했다 193화</v>
      </c>
      <c r="F5165">
        <v>193</v>
      </c>
      <c r="G5165" t="str">
        <f>T("신타비")</f>
        <v>신타비</v>
      </c>
      <c r="J5165" t="str">
        <f>T("매드햇")</f>
        <v>매드햇</v>
      </c>
      <c r="K5165" t="str">
        <f>T("저승의 왕위를 계승했다")</f>
        <v>저승의 왕위를 계승했다</v>
      </c>
      <c r="L5165">
        <v>100</v>
      </c>
      <c r="M5165">
        <v>75</v>
      </c>
      <c r="N5165">
        <v>1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0</v>
      </c>
      <c r="AE5165">
        <v>0</v>
      </c>
      <c r="AF5165">
        <v>0</v>
      </c>
      <c r="AG5165">
        <v>0</v>
      </c>
      <c r="AH5165">
        <v>0</v>
      </c>
      <c r="AI5165">
        <v>75</v>
      </c>
      <c r="AJ5165">
        <v>1</v>
      </c>
      <c r="AK5165">
        <v>0</v>
      </c>
      <c r="AL5165">
        <v>0</v>
      </c>
      <c r="AM5165">
        <v>75</v>
      </c>
      <c r="AN5165">
        <v>0</v>
      </c>
      <c r="AO5165">
        <v>0</v>
      </c>
      <c r="AP5165">
        <v>0</v>
      </c>
      <c r="AQ5165">
        <v>0</v>
      </c>
      <c r="AS5165">
        <v>0</v>
      </c>
      <c r="AT5165">
        <v>0</v>
      </c>
      <c r="AV5165">
        <v>0</v>
      </c>
      <c r="AW5165">
        <v>0</v>
      </c>
      <c r="AY5165">
        <v>0</v>
      </c>
      <c r="AZ5165">
        <v>0</v>
      </c>
      <c r="BA5165">
        <v>52.5</v>
      </c>
      <c r="BE5165" t="str">
        <f>T("9791137014381")</f>
        <v>9791137014381</v>
      </c>
      <c r="BF5165" t="str">
        <f>T("k080219")</f>
        <v>k080219</v>
      </c>
      <c r="BG5165" t="str">
        <f>T("판타지 웹소설 &gt; 퓨전 판타지")</f>
        <v>판타지 웹소설 &gt; 퓨전 판타지</v>
      </c>
    </row>
    <row r="5166" spans="1:59">
      <c r="A5166" t="s">
        <v>60</v>
      </c>
      <c r="B5166" s="1">
        <v>46130</v>
      </c>
      <c r="C5166">
        <v>2378044065</v>
      </c>
      <c r="D5166">
        <v>2378051961</v>
      </c>
      <c r="E5166" t="str">
        <f>T("저승의 왕위를 계승했다 194화")</f>
        <v>저승의 왕위를 계승했다 194화</v>
      </c>
      <c r="F5166">
        <v>194</v>
      </c>
      <c r="G5166" t="str">
        <f>T("신타비")</f>
        <v>신타비</v>
      </c>
      <c r="J5166" t="str">
        <f>T("매드햇")</f>
        <v>매드햇</v>
      </c>
      <c r="K5166" t="str">
        <f>T("저승의 왕위를 계승했다")</f>
        <v>저승의 왕위를 계승했다</v>
      </c>
      <c r="L5166">
        <v>100</v>
      </c>
      <c r="M5166">
        <v>75</v>
      </c>
      <c r="N5166">
        <v>1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0</v>
      </c>
      <c r="AE5166">
        <v>0</v>
      </c>
      <c r="AF5166">
        <v>0</v>
      </c>
      <c r="AG5166">
        <v>0</v>
      </c>
      <c r="AH5166">
        <v>0</v>
      </c>
      <c r="AI5166">
        <v>75</v>
      </c>
      <c r="AJ5166">
        <v>1</v>
      </c>
      <c r="AK5166">
        <v>0</v>
      </c>
      <c r="AL5166">
        <v>0</v>
      </c>
      <c r="AM5166">
        <v>75</v>
      </c>
      <c r="AN5166">
        <v>0</v>
      </c>
      <c r="AO5166">
        <v>0</v>
      </c>
      <c r="AP5166">
        <v>0</v>
      </c>
      <c r="AQ5166">
        <v>0</v>
      </c>
      <c r="AS5166">
        <v>0</v>
      </c>
      <c r="AT5166">
        <v>0</v>
      </c>
      <c r="AV5166">
        <v>0</v>
      </c>
      <c r="AW5166">
        <v>0</v>
      </c>
      <c r="AY5166">
        <v>0</v>
      </c>
      <c r="AZ5166">
        <v>0</v>
      </c>
      <c r="BA5166">
        <v>52.5</v>
      </c>
      <c r="BE5166" t="str">
        <f>T("9791137014381")</f>
        <v>9791137014381</v>
      </c>
      <c r="BF5166" t="str">
        <f>T("k080220")</f>
        <v>k080220</v>
      </c>
      <c r="BG5166" t="str">
        <f>T("판타지 웹소설 &gt; 퓨전 판타지")</f>
        <v>판타지 웹소설 &gt; 퓨전 판타지</v>
      </c>
    </row>
    <row r="5167" spans="1:59">
      <c r="A5167" t="s">
        <v>60</v>
      </c>
      <c r="B5167" s="1">
        <v>46130</v>
      </c>
      <c r="C5167">
        <v>2378044065</v>
      </c>
      <c r="D5167">
        <v>2378051980</v>
      </c>
      <c r="E5167" t="str">
        <f>T("저승의 왕위를 계승했다 195화")</f>
        <v>저승의 왕위를 계승했다 195화</v>
      </c>
      <c r="F5167">
        <v>195</v>
      </c>
      <c r="G5167" t="str">
        <f>T("신타비")</f>
        <v>신타비</v>
      </c>
      <c r="J5167" t="str">
        <f>T("매드햇")</f>
        <v>매드햇</v>
      </c>
      <c r="K5167" t="str">
        <f>T("저승의 왕위를 계승했다")</f>
        <v>저승의 왕위를 계승했다</v>
      </c>
      <c r="L5167">
        <v>100</v>
      </c>
      <c r="M5167">
        <v>75</v>
      </c>
      <c r="N5167">
        <v>1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0</v>
      </c>
      <c r="AE5167">
        <v>0</v>
      </c>
      <c r="AF5167">
        <v>0</v>
      </c>
      <c r="AG5167">
        <v>0</v>
      </c>
      <c r="AH5167">
        <v>0</v>
      </c>
      <c r="AI5167">
        <v>75</v>
      </c>
      <c r="AJ5167">
        <v>1</v>
      </c>
      <c r="AK5167">
        <v>0</v>
      </c>
      <c r="AL5167">
        <v>0</v>
      </c>
      <c r="AM5167">
        <v>75</v>
      </c>
      <c r="AN5167">
        <v>0</v>
      </c>
      <c r="AO5167">
        <v>0</v>
      </c>
      <c r="AP5167">
        <v>0</v>
      </c>
      <c r="AQ5167">
        <v>0</v>
      </c>
      <c r="AS5167">
        <v>0</v>
      </c>
      <c r="AT5167">
        <v>0</v>
      </c>
      <c r="AV5167">
        <v>0</v>
      </c>
      <c r="AW5167">
        <v>0</v>
      </c>
      <c r="AY5167">
        <v>0</v>
      </c>
      <c r="AZ5167">
        <v>0</v>
      </c>
      <c r="BA5167">
        <v>52.5</v>
      </c>
      <c r="BE5167" t="str">
        <f>T("9791137014381")</f>
        <v>9791137014381</v>
      </c>
      <c r="BF5167" t="str">
        <f>T("k085304")</f>
        <v>k085304</v>
      </c>
      <c r="BG5167" t="str">
        <f>T("판타지 웹소설 &gt; 퓨전 판타지")</f>
        <v>판타지 웹소설 &gt; 퓨전 판타지</v>
      </c>
    </row>
    <row r="5168" spans="1:59">
      <c r="A5168" t="s">
        <v>60</v>
      </c>
      <c r="B5168" s="1">
        <v>46130</v>
      </c>
      <c r="C5168">
        <v>2378044065</v>
      </c>
      <c r="D5168">
        <v>2378052009</v>
      </c>
      <c r="E5168" t="str">
        <f>T("저승의 왕위를 계승했다 196화")</f>
        <v>저승의 왕위를 계승했다 196화</v>
      </c>
      <c r="F5168">
        <v>196</v>
      </c>
      <c r="G5168" t="str">
        <f>T("신타비")</f>
        <v>신타비</v>
      </c>
      <c r="J5168" t="str">
        <f>T("매드햇")</f>
        <v>매드햇</v>
      </c>
      <c r="K5168" t="str">
        <f>T("저승의 왕위를 계승했다")</f>
        <v>저승의 왕위를 계승했다</v>
      </c>
      <c r="L5168">
        <v>100</v>
      </c>
      <c r="M5168">
        <v>75</v>
      </c>
      <c r="N5168">
        <v>1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0</v>
      </c>
      <c r="AE5168">
        <v>0</v>
      </c>
      <c r="AF5168">
        <v>0</v>
      </c>
      <c r="AG5168">
        <v>0</v>
      </c>
      <c r="AH5168">
        <v>0</v>
      </c>
      <c r="AI5168">
        <v>75</v>
      </c>
      <c r="AJ5168">
        <v>1</v>
      </c>
      <c r="AK5168">
        <v>0</v>
      </c>
      <c r="AL5168">
        <v>0</v>
      </c>
      <c r="AM5168">
        <v>75</v>
      </c>
      <c r="AN5168">
        <v>0</v>
      </c>
      <c r="AO5168">
        <v>0</v>
      </c>
      <c r="AP5168">
        <v>0</v>
      </c>
      <c r="AQ5168">
        <v>0</v>
      </c>
      <c r="AS5168">
        <v>0</v>
      </c>
      <c r="AT5168">
        <v>0</v>
      </c>
      <c r="AV5168">
        <v>0</v>
      </c>
      <c r="AW5168">
        <v>0</v>
      </c>
      <c r="AY5168">
        <v>0</v>
      </c>
      <c r="AZ5168">
        <v>0</v>
      </c>
      <c r="BA5168">
        <v>52.5</v>
      </c>
      <c r="BE5168" t="str">
        <f>T("9791137014381")</f>
        <v>9791137014381</v>
      </c>
      <c r="BF5168" t="str">
        <f>T("k085305")</f>
        <v>k085305</v>
      </c>
      <c r="BG5168" t="str">
        <f>T("판타지 웹소설 &gt; 퓨전 판타지")</f>
        <v>판타지 웹소설 &gt; 퓨전 판타지</v>
      </c>
    </row>
    <row r="5169" spans="1:59">
      <c r="A5169" t="s">
        <v>60</v>
      </c>
      <c r="B5169" s="1">
        <v>46130</v>
      </c>
      <c r="C5169">
        <v>2378044065</v>
      </c>
      <c r="D5169">
        <v>2378052011</v>
      </c>
      <c r="E5169" t="str">
        <f>T("저승의 왕위를 계승했다 197화")</f>
        <v>저승의 왕위를 계승했다 197화</v>
      </c>
      <c r="F5169">
        <v>197</v>
      </c>
      <c r="G5169" t="str">
        <f>T("신타비")</f>
        <v>신타비</v>
      </c>
      <c r="J5169" t="str">
        <f>T("매드햇")</f>
        <v>매드햇</v>
      </c>
      <c r="K5169" t="str">
        <f>T("저승의 왕위를 계승했다")</f>
        <v>저승의 왕위를 계승했다</v>
      </c>
      <c r="L5169">
        <v>100</v>
      </c>
      <c r="M5169">
        <v>75</v>
      </c>
      <c r="N5169">
        <v>1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0</v>
      </c>
      <c r="AE5169">
        <v>0</v>
      </c>
      <c r="AF5169">
        <v>0</v>
      </c>
      <c r="AG5169">
        <v>0</v>
      </c>
      <c r="AH5169">
        <v>0</v>
      </c>
      <c r="AI5169">
        <v>75</v>
      </c>
      <c r="AJ5169">
        <v>1</v>
      </c>
      <c r="AK5169">
        <v>0</v>
      </c>
      <c r="AL5169">
        <v>0</v>
      </c>
      <c r="AM5169">
        <v>75</v>
      </c>
      <c r="AN5169">
        <v>0</v>
      </c>
      <c r="AO5169">
        <v>0</v>
      </c>
      <c r="AP5169">
        <v>0</v>
      </c>
      <c r="AQ5169">
        <v>0</v>
      </c>
      <c r="AS5169">
        <v>0</v>
      </c>
      <c r="AT5169">
        <v>0</v>
      </c>
      <c r="AV5169">
        <v>0</v>
      </c>
      <c r="AW5169">
        <v>0</v>
      </c>
      <c r="AY5169">
        <v>0</v>
      </c>
      <c r="AZ5169">
        <v>0</v>
      </c>
      <c r="BA5169">
        <v>52.5</v>
      </c>
      <c r="BE5169" t="str">
        <f>T("9791137014381")</f>
        <v>9791137014381</v>
      </c>
      <c r="BF5169" t="str">
        <f>T("k085306")</f>
        <v>k085306</v>
      </c>
      <c r="BG5169" t="str">
        <f>T("판타지 웹소설 &gt; 퓨전 판타지")</f>
        <v>판타지 웹소설 &gt; 퓨전 판타지</v>
      </c>
    </row>
    <row r="5170" spans="1:59">
      <c r="A5170" t="s">
        <v>60</v>
      </c>
      <c r="B5170" s="1">
        <v>46130</v>
      </c>
      <c r="C5170">
        <v>2378044065</v>
      </c>
      <c r="D5170">
        <v>2378052038</v>
      </c>
      <c r="E5170" t="str">
        <f>T("저승의 왕위를 계승했다 198화")</f>
        <v>저승의 왕위를 계승했다 198화</v>
      </c>
      <c r="F5170">
        <v>198</v>
      </c>
      <c r="G5170" t="str">
        <f>T("신타비")</f>
        <v>신타비</v>
      </c>
      <c r="J5170" t="str">
        <f>T("매드햇")</f>
        <v>매드햇</v>
      </c>
      <c r="K5170" t="str">
        <f>T("저승의 왕위를 계승했다")</f>
        <v>저승의 왕위를 계승했다</v>
      </c>
      <c r="L5170">
        <v>100</v>
      </c>
      <c r="M5170">
        <v>75</v>
      </c>
      <c r="N5170">
        <v>1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0</v>
      </c>
      <c r="AE5170">
        <v>0</v>
      </c>
      <c r="AF5170">
        <v>0</v>
      </c>
      <c r="AG5170">
        <v>0</v>
      </c>
      <c r="AH5170">
        <v>0</v>
      </c>
      <c r="AI5170">
        <v>75</v>
      </c>
      <c r="AJ5170">
        <v>1</v>
      </c>
      <c r="AK5170">
        <v>0</v>
      </c>
      <c r="AL5170">
        <v>0</v>
      </c>
      <c r="AM5170">
        <v>75</v>
      </c>
      <c r="AN5170">
        <v>0</v>
      </c>
      <c r="AO5170">
        <v>0</v>
      </c>
      <c r="AP5170">
        <v>0</v>
      </c>
      <c r="AQ5170">
        <v>0</v>
      </c>
      <c r="AS5170">
        <v>0</v>
      </c>
      <c r="AT5170">
        <v>0</v>
      </c>
      <c r="AV5170">
        <v>0</v>
      </c>
      <c r="AW5170">
        <v>0</v>
      </c>
      <c r="AY5170">
        <v>0</v>
      </c>
      <c r="AZ5170">
        <v>0</v>
      </c>
      <c r="BA5170">
        <v>52.5</v>
      </c>
      <c r="BE5170" t="str">
        <f>T("9791137014381")</f>
        <v>9791137014381</v>
      </c>
      <c r="BF5170" t="str">
        <f>T("k098667")</f>
        <v>k098667</v>
      </c>
      <c r="BG5170" t="str">
        <f>T("판타지 웹소설 &gt; 퓨전 판타지")</f>
        <v>판타지 웹소설 &gt; 퓨전 판타지</v>
      </c>
    </row>
    <row r="5171" spans="1:59">
      <c r="A5171" t="s">
        <v>60</v>
      </c>
      <c r="B5171" s="1">
        <v>46130</v>
      </c>
      <c r="C5171">
        <v>2378044065</v>
      </c>
      <c r="D5171">
        <v>2378052338</v>
      </c>
      <c r="E5171" t="str">
        <f>T("저승의 왕위를 계승했다 199화")</f>
        <v>저승의 왕위를 계승했다 199화</v>
      </c>
      <c r="F5171">
        <v>199</v>
      </c>
      <c r="G5171" t="str">
        <f>T("신타비")</f>
        <v>신타비</v>
      </c>
      <c r="J5171" t="str">
        <f>T("매드햇")</f>
        <v>매드햇</v>
      </c>
      <c r="K5171" t="str">
        <f>T("저승의 왕위를 계승했다")</f>
        <v>저승의 왕위를 계승했다</v>
      </c>
      <c r="L5171">
        <v>100</v>
      </c>
      <c r="M5171">
        <v>75</v>
      </c>
      <c r="N5171">
        <v>1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0</v>
      </c>
      <c r="AE5171">
        <v>0</v>
      </c>
      <c r="AF5171">
        <v>0</v>
      </c>
      <c r="AG5171">
        <v>0</v>
      </c>
      <c r="AH5171">
        <v>0</v>
      </c>
      <c r="AI5171">
        <v>75</v>
      </c>
      <c r="AJ5171">
        <v>1</v>
      </c>
      <c r="AK5171">
        <v>0</v>
      </c>
      <c r="AL5171">
        <v>0</v>
      </c>
      <c r="AM5171">
        <v>75</v>
      </c>
      <c r="AN5171">
        <v>0</v>
      </c>
      <c r="AO5171">
        <v>0</v>
      </c>
      <c r="AP5171">
        <v>0</v>
      </c>
      <c r="AQ5171">
        <v>0</v>
      </c>
      <c r="AS5171">
        <v>0</v>
      </c>
      <c r="AT5171">
        <v>0</v>
      </c>
      <c r="AV5171">
        <v>0</v>
      </c>
      <c r="AW5171">
        <v>0</v>
      </c>
      <c r="AY5171">
        <v>0</v>
      </c>
      <c r="AZ5171">
        <v>0</v>
      </c>
      <c r="BA5171">
        <v>52.5</v>
      </c>
      <c r="BE5171" t="str">
        <f>T("9791137014381")</f>
        <v>9791137014381</v>
      </c>
      <c r="BF5171" t="str">
        <f>T("k098668")</f>
        <v>k098668</v>
      </c>
      <c r="BG5171" t="str">
        <f>T("판타지 웹소설 &gt; 퓨전 판타지")</f>
        <v>판타지 웹소설 &gt; 퓨전 판타지</v>
      </c>
    </row>
    <row r="5172" spans="1:59">
      <c r="A5172" t="s">
        <v>60</v>
      </c>
      <c r="B5172" s="1">
        <v>46130</v>
      </c>
      <c r="C5172">
        <v>2378044065</v>
      </c>
      <c r="D5172">
        <v>2378052370</v>
      </c>
      <c r="E5172" t="str">
        <f>T("저승의 왕위를 계승했다 200화")</f>
        <v>저승의 왕위를 계승했다 200화</v>
      </c>
      <c r="F5172">
        <v>200</v>
      </c>
      <c r="G5172" t="str">
        <f>T("신타비")</f>
        <v>신타비</v>
      </c>
      <c r="J5172" t="str">
        <f>T("매드햇")</f>
        <v>매드햇</v>
      </c>
      <c r="K5172" t="str">
        <f>T("저승의 왕위를 계승했다")</f>
        <v>저승의 왕위를 계승했다</v>
      </c>
      <c r="L5172">
        <v>100</v>
      </c>
      <c r="M5172">
        <v>75</v>
      </c>
      <c r="N5172">
        <v>1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0</v>
      </c>
      <c r="AE5172">
        <v>0</v>
      </c>
      <c r="AF5172">
        <v>0</v>
      </c>
      <c r="AG5172">
        <v>0</v>
      </c>
      <c r="AH5172">
        <v>0</v>
      </c>
      <c r="AI5172">
        <v>75</v>
      </c>
      <c r="AJ5172">
        <v>1</v>
      </c>
      <c r="AK5172">
        <v>0</v>
      </c>
      <c r="AL5172">
        <v>0</v>
      </c>
      <c r="AM5172">
        <v>75</v>
      </c>
      <c r="AN5172">
        <v>0</v>
      </c>
      <c r="AO5172">
        <v>0</v>
      </c>
      <c r="AP5172">
        <v>0</v>
      </c>
      <c r="AQ5172">
        <v>0</v>
      </c>
      <c r="AS5172">
        <v>0</v>
      </c>
      <c r="AT5172">
        <v>0</v>
      </c>
      <c r="AV5172">
        <v>0</v>
      </c>
      <c r="AW5172">
        <v>0</v>
      </c>
      <c r="AY5172">
        <v>0</v>
      </c>
      <c r="AZ5172">
        <v>0</v>
      </c>
      <c r="BA5172">
        <v>52.5</v>
      </c>
      <c r="BE5172" t="str">
        <f>T("9791137014381")</f>
        <v>9791137014381</v>
      </c>
      <c r="BF5172" t="str">
        <f>T("k098669")</f>
        <v>k098669</v>
      </c>
      <c r="BG5172" t="str">
        <f>T("판타지 웹소설 &gt; 퓨전 판타지")</f>
        <v>판타지 웹소설 &gt; 퓨전 판타지</v>
      </c>
    </row>
    <row r="5173" spans="1:59">
      <c r="A5173" t="s">
        <v>60</v>
      </c>
      <c r="B5173" s="1">
        <v>46130</v>
      </c>
      <c r="C5173">
        <v>2378044065</v>
      </c>
      <c r="D5173">
        <v>2378052397</v>
      </c>
      <c r="E5173" t="str">
        <f>T("저승의 왕위를 계승했다 201화")</f>
        <v>저승의 왕위를 계승했다 201화</v>
      </c>
      <c r="F5173">
        <v>201</v>
      </c>
      <c r="G5173" t="str">
        <f>T("신타비")</f>
        <v>신타비</v>
      </c>
      <c r="J5173" t="str">
        <f>T("매드햇")</f>
        <v>매드햇</v>
      </c>
      <c r="K5173" t="str">
        <f>T("저승의 왕위를 계승했다")</f>
        <v>저승의 왕위를 계승했다</v>
      </c>
      <c r="L5173">
        <v>100</v>
      </c>
      <c r="M5173">
        <v>75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0</v>
      </c>
      <c r="AE5173">
        <v>0</v>
      </c>
      <c r="AF5173">
        <v>0</v>
      </c>
      <c r="AG5173">
        <v>0</v>
      </c>
      <c r="AH5173">
        <v>0</v>
      </c>
      <c r="AI5173">
        <v>75</v>
      </c>
      <c r="AJ5173">
        <v>1</v>
      </c>
      <c r="AK5173">
        <v>0</v>
      </c>
      <c r="AL5173">
        <v>0</v>
      </c>
      <c r="AM5173">
        <v>75</v>
      </c>
      <c r="AN5173">
        <v>0</v>
      </c>
      <c r="AO5173">
        <v>0</v>
      </c>
      <c r="AP5173">
        <v>0</v>
      </c>
      <c r="AQ5173">
        <v>0</v>
      </c>
      <c r="AS5173">
        <v>0</v>
      </c>
      <c r="AT5173">
        <v>0</v>
      </c>
      <c r="AV5173">
        <v>0</v>
      </c>
      <c r="AW5173">
        <v>0</v>
      </c>
      <c r="AY5173">
        <v>0</v>
      </c>
      <c r="AZ5173">
        <v>0</v>
      </c>
      <c r="BA5173">
        <v>52.5</v>
      </c>
      <c r="BE5173" t="str">
        <f>T("9791137014381")</f>
        <v>9791137014381</v>
      </c>
      <c r="BF5173" t="str">
        <f>T("k102384")</f>
        <v>k102384</v>
      </c>
      <c r="BG5173" t="str">
        <f>T("판타지 웹소설 &gt; 퓨전 판타지")</f>
        <v>판타지 웹소설 &gt; 퓨전 판타지</v>
      </c>
    </row>
    <row r="5174" spans="1:59">
      <c r="A5174" t="s">
        <v>60</v>
      </c>
      <c r="B5174" s="1">
        <v>46130</v>
      </c>
      <c r="C5174">
        <v>2378044065</v>
      </c>
      <c r="D5174">
        <v>2378052415</v>
      </c>
      <c r="E5174" t="str">
        <f>T("저승의 왕위를 계승했다 202화")</f>
        <v>저승의 왕위를 계승했다 202화</v>
      </c>
      <c r="F5174">
        <v>202</v>
      </c>
      <c r="G5174" t="str">
        <f>T("신타비")</f>
        <v>신타비</v>
      </c>
      <c r="J5174" t="str">
        <f>T("매드햇")</f>
        <v>매드햇</v>
      </c>
      <c r="K5174" t="str">
        <f>T("저승의 왕위를 계승했다")</f>
        <v>저승의 왕위를 계승했다</v>
      </c>
      <c r="L5174">
        <v>100</v>
      </c>
      <c r="M5174">
        <v>75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0</v>
      </c>
      <c r="AE5174">
        <v>0</v>
      </c>
      <c r="AF5174">
        <v>0</v>
      </c>
      <c r="AG5174">
        <v>0</v>
      </c>
      <c r="AH5174">
        <v>0</v>
      </c>
      <c r="AI5174">
        <v>75</v>
      </c>
      <c r="AJ5174">
        <v>1</v>
      </c>
      <c r="AK5174">
        <v>0</v>
      </c>
      <c r="AL5174">
        <v>0</v>
      </c>
      <c r="AM5174">
        <v>75</v>
      </c>
      <c r="AN5174">
        <v>0</v>
      </c>
      <c r="AO5174">
        <v>0</v>
      </c>
      <c r="AP5174">
        <v>0</v>
      </c>
      <c r="AQ5174">
        <v>0</v>
      </c>
      <c r="AS5174">
        <v>0</v>
      </c>
      <c r="AT5174">
        <v>0</v>
      </c>
      <c r="AV5174">
        <v>0</v>
      </c>
      <c r="AW5174">
        <v>0</v>
      </c>
      <c r="AY5174">
        <v>0</v>
      </c>
      <c r="AZ5174">
        <v>0</v>
      </c>
      <c r="BA5174">
        <v>52.5</v>
      </c>
      <c r="BE5174" t="str">
        <f>T("9791137014381")</f>
        <v>9791137014381</v>
      </c>
      <c r="BF5174" t="str">
        <f>T("k102385")</f>
        <v>k102385</v>
      </c>
      <c r="BG5174" t="str">
        <f>T("판타지 웹소설 &gt; 퓨전 판타지")</f>
        <v>판타지 웹소설 &gt; 퓨전 판타지</v>
      </c>
    </row>
    <row r="5175" spans="1:59">
      <c r="A5175" t="s">
        <v>60</v>
      </c>
      <c r="B5175" s="1">
        <v>46130</v>
      </c>
      <c r="C5175">
        <v>2378044065</v>
      </c>
      <c r="D5175">
        <v>2378052432</v>
      </c>
      <c r="E5175" t="str">
        <f>T("저승의 왕위를 계승했다 203화")</f>
        <v>저승의 왕위를 계승했다 203화</v>
      </c>
      <c r="F5175">
        <v>203</v>
      </c>
      <c r="G5175" t="str">
        <f>T("신타비")</f>
        <v>신타비</v>
      </c>
      <c r="J5175" t="str">
        <f>T("매드햇")</f>
        <v>매드햇</v>
      </c>
      <c r="K5175" t="str">
        <f>T("저승의 왕위를 계승했다")</f>
        <v>저승의 왕위를 계승했다</v>
      </c>
      <c r="L5175">
        <v>100</v>
      </c>
      <c r="M5175">
        <v>75</v>
      </c>
      <c r="N5175">
        <v>1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0</v>
      </c>
      <c r="AE5175">
        <v>0</v>
      </c>
      <c r="AF5175">
        <v>0</v>
      </c>
      <c r="AG5175">
        <v>0</v>
      </c>
      <c r="AH5175">
        <v>0</v>
      </c>
      <c r="AI5175">
        <v>75</v>
      </c>
      <c r="AJ5175">
        <v>1</v>
      </c>
      <c r="AK5175">
        <v>0</v>
      </c>
      <c r="AL5175">
        <v>0</v>
      </c>
      <c r="AM5175">
        <v>75</v>
      </c>
      <c r="AN5175">
        <v>0</v>
      </c>
      <c r="AO5175">
        <v>0</v>
      </c>
      <c r="AP5175">
        <v>0</v>
      </c>
      <c r="AQ5175">
        <v>0</v>
      </c>
      <c r="AS5175">
        <v>0</v>
      </c>
      <c r="AT5175">
        <v>0</v>
      </c>
      <c r="AV5175">
        <v>0</v>
      </c>
      <c r="AW5175">
        <v>0</v>
      </c>
      <c r="AY5175">
        <v>0</v>
      </c>
      <c r="AZ5175">
        <v>0</v>
      </c>
      <c r="BA5175">
        <v>52.5</v>
      </c>
      <c r="BE5175" t="str">
        <f>T("9791137014381")</f>
        <v>9791137014381</v>
      </c>
      <c r="BF5175" t="str">
        <f>T("k102386")</f>
        <v>k102386</v>
      </c>
      <c r="BG5175" t="str">
        <f>T("판타지 웹소설 &gt; 퓨전 판타지")</f>
        <v>판타지 웹소설 &gt; 퓨전 판타지</v>
      </c>
    </row>
    <row r="5176" spans="1:59">
      <c r="A5176" t="s">
        <v>60</v>
      </c>
      <c r="B5176" s="1">
        <v>46130</v>
      </c>
      <c r="C5176">
        <v>2378044065</v>
      </c>
      <c r="D5176">
        <v>2378052711</v>
      </c>
      <c r="E5176" t="str">
        <f>T("저승의 왕위를 계승했다 204화")</f>
        <v>저승의 왕위를 계승했다 204화</v>
      </c>
      <c r="F5176">
        <v>204</v>
      </c>
      <c r="G5176" t="str">
        <f>T("신타비")</f>
        <v>신타비</v>
      </c>
      <c r="J5176" t="str">
        <f>T("매드햇")</f>
        <v>매드햇</v>
      </c>
      <c r="K5176" t="str">
        <f>T("저승의 왕위를 계승했다")</f>
        <v>저승의 왕위를 계승했다</v>
      </c>
      <c r="L5176">
        <v>100</v>
      </c>
      <c r="M5176">
        <v>75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0</v>
      </c>
      <c r="AE5176">
        <v>0</v>
      </c>
      <c r="AF5176">
        <v>0</v>
      </c>
      <c r="AG5176">
        <v>0</v>
      </c>
      <c r="AH5176">
        <v>0</v>
      </c>
      <c r="AI5176">
        <v>75</v>
      </c>
      <c r="AJ5176">
        <v>1</v>
      </c>
      <c r="AK5176">
        <v>0</v>
      </c>
      <c r="AL5176">
        <v>0</v>
      </c>
      <c r="AM5176">
        <v>75</v>
      </c>
      <c r="AN5176">
        <v>0</v>
      </c>
      <c r="AO5176">
        <v>0</v>
      </c>
      <c r="AP5176">
        <v>0</v>
      </c>
      <c r="AQ5176">
        <v>0</v>
      </c>
      <c r="AS5176">
        <v>0</v>
      </c>
      <c r="AT5176">
        <v>0</v>
      </c>
      <c r="AV5176">
        <v>0</v>
      </c>
      <c r="AW5176">
        <v>0</v>
      </c>
      <c r="AY5176">
        <v>0</v>
      </c>
      <c r="AZ5176">
        <v>0</v>
      </c>
      <c r="BA5176">
        <v>52.5</v>
      </c>
      <c r="BE5176" t="str">
        <f>T("9791137014381")</f>
        <v>9791137014381</v>
      </c>
      <c r="BF5176" t="str">
        <f>T("k102387")</f>
        <v>k102387</v>
      </c>
      <c r="BG5176" t="str">
        <f>T("판타지 웹소설 &gt; 퓨전 판타지")</f>
        <v>판타지 웹소설 &gt; 퓨전 판타지</v>
      </c>
    </row>
    <row r="5177" spans="1:59">
      <c r="A5177" t="s">
        <v>60</v>
      </c>
      <c r="B5177" s="1">
        <v>46130</v>
      </c>
      <c r="C5177">
        <v>2378044065</v>
      </c>
      <c r="D5177">
        <v>2378052718</v>
      </c>
      <c r="E5177" t="str">
        <f>T("저승의 왕위를 계승했다 205화")</f>
        <v>저승의 왕위를 계승했다 205화</v>
      </c>
      <c r="F5177">
        <v>205</v>
      </c>
      <c r="G5177" t="str">
        <f>T("신타비")</f>
        <v>신타비</v>
      </c>
      <c r="J5177" t="str">
        <f>T("매드햇")</f>
        <v>매드햇</v>
      </c>
      <c r="K5177" t="str">
        <f>T("저승의 왕위를 계승했다")</f>
        <v>저승의 왕위를 계승했다</v>
      </c>
      <c r="L5177">
        <v>100</v>
      </c>
      <c r="M5177">
        <v>75</v>
      </c>
      <c r="N5177">
        <v>1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0</v>
      </c>
      <c r="AE5177">
        <v>0</v>
      </c>
      <c r="AF5177">
        <v>0</v>
      </c>
      <c r="AG5177">
        <v>0</v>
      </c>
      <c r="AH5177">
        <v>0</v>
      </c>
      <c r="AI5177">
        <v>75</v>
      </c>
      <c r="AJ5177">
        <v>1</v>
      </c>
      <c r="AK5177">
        <v>0</v>
      </c>
      <c r="AL5177">
        <v>0</v>
      </c>
      <c r="AM5177">
        <v>75</v>
      </c>
      <c r="AN5177">
        <v>0</v>
      </c>
      <c r="AO5177">
        <v>0</v>
      </c>
      <c r="AP5177">
        <v>0</v>
      </c>
      <c r="AQ5177">
        <v>0</v>
      </c>
      <c r="AS5177">
        <v>0</v>
      </c>
      <c r="AT5177">
        <v>0</v>
      </c>
      <c r="AV5177">
        <v>0</v>
      </c>
      <c r="AW5177">
        <v>0</v>
      </c>
      <c r="AY5177">
        <v>0</v>
      </c>
      <c r="AZ5177">
        <v>0</v>
      </c>
      <c r="BA5177">
        <v>52.5</v>
      </c>
      <c r="BE5177" t="str">
        <f>T("9791137014381")</f>
        <v>9791137014381</v>
      </c>
      <c r="BF5177" t="str">
        <f>T("k102388")</f>
        <v>k102388</v>
      </c>
      <c r="BG5177" t="str">
        <f>T("판타지 웹소설 &gt; 퓨전 판타지")</f>
        <v>판타지 웹소설 &gt; 퓨전 판타지</v>
      </c>
    </row>
    <row r="5178" spans="1:59">
      <c r="A5178" t="s">
        <v>60</v>
      </c>
      <c r="B5178" s="1">
        <v>46130</v>
      </c>
      <c r="C5178">
        <v>2378044065</v>
      </c>
      <c r="D5178">
        <v>2378052719</v>
      </c>
      <c r="E5178" t="str">
        <f>T("저승의 왕위를 계승했다 206화")</f>
        <v>저승의 왕위를 계승했다 206화</v>
      </c>
      <c r="F5178">
        <v>206</v>
      </c>
      <c r="G5178" t="str">
        <f>T("신타비")</f>
        <v>신타비</v>
      </c>
      <c r="J5178" t="str">
        <f>T("매드햇")</f>
        <v>매드햇</v>
      </c>
      <c r="K5178" t="str">
        <f>T("저승의 왕위를 계승했다")</f>
        <v>저승의 왕위를 계승했다</v>
      </c>
      <c r="L5178">
        <v>100</v>
      </c>
      <c r="M5178">
        <v>175</v>
      </c>
      <c r="N5178">
        <v>2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0</v>
      </c>
      <c r="AE5178">
        <v>0</v>
      </c>
      <c r="AF5178">
        <v>0</v>
      </c>
      <c r="AG5178">
        <v>0</v>
      </c>
      <c r="AH5178">
        <v>0</v>
      </c>
      <c r="AI5178">
        <v>175</v>
      </c>
      <c r="AJ5178">
        <v>2</v>
      </c>
      <c r="AK5178">
        <v>0</v>
      </c>
      <c r="AL5178">
        <v>0</v>
      </c>
      <c r="AM5178">
        <v>175</v>
      </c>
      <c r="AN5178">
        <v>0</v>
      </c>
      <c r="AO5178">
        <v>0</v>
      </c>
      <c r="AP5178">
        <v>0</v>
      </c>
      <c r="AQ5178">
        <v>0</v>
      </c>
      <c r="AS5178">
        <v>0</v>
      </c>
      <c r="AT5178">
        <v>0</v>
      </c>
      <c r="AV5178">
        <v>0</v>
      </c>
      <c r="AW5178">
        <v>0</v>
      </c>
      <c r="AY5178">
        <v>0</v>
      </c>
      <c r="AZ5178">
        <v>0</v>
      </c>
      <c r="BA5178">
        <v>122.5</v>
      </c>
      <c r="BE5178" t="str">
        <f>T("9791137014381")</f>
        <v>9791137014381</v>
      </c>
      <c r="BF5178" t="str">
        <f>T("k102389")</f>
        <v>k102389</v>
      </c>
      <c r="BG5178" t="str">
        <f>T("판타지 웹소설 &gt; 퓨전 판타지")</f>
        <v>판타지 웹소설 &gt; 퓨전 판타지</v>
      </c>
    </row>
    <row r="5179" spans="1:59">
      <c r="A5179" t="s">
        <v>60</v>
      </c>
      <c r="B5179" s="1">
        <v>46130</v>
      </c>
      <c r="C5179">
        <v>2378044065</v>
      </c>
      <c r="D5179">
        <v>2378052744</v>
      </c>
      <c r="E5179" t="str">
        <f>T("저승의 왕위를 계승했다 207화")</f>
        <v>저승의 왕위를 계승했다 207화</v>
      </c>
      <c r="F5179">
        <v>207</v>
      </c>
      <c r="G5179" t="str">
        <f>T("신타비")</f>
        <v>신타비</v>
      </c>
      <c r="J5179" t="str">
        <f>T("매드햇")</f>
        <v>매드햇</v>
      </c>
      <c r="K5179" t="str">
        <f>T("저승의 왕위를 계승했다")</f>
        <v>저승의 왕위를 계승했다</v>
      </c>
      <c r="L5179">
        <v>100</v>
      </c>
      <c r="M5179">
        <v>75</v>
      </c>
      <c r="N5179">
        <v>1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0</v>
      </c>
      <c r="AE5179">
        <v>0</v>
      </c>
      <c r="AF5179">
        <v>0</v>
      </c>
      <c r="AG5179">
        <v>0</v>
      </c>
      <c r="AH5179">
        <v>0</v>
      </c>
      <c r="AI5179">
        <v>75</v>
      </c>
      <c r="AJ5179">
        <v>1</v>
      </c>
      <c r="AK5179">
        <v>0</v>
      </c>
      <c r="AL5179">
        <v>0</v>
      </c>
      <c r="AM5179">
        <v>75</v>
      </c>
      <c r="AN5179">
        <v>0</v>
      </c>
      <c r="AO5179">
        <v>0</v>
      </c>
      <c r="AP5179">
        <v>0</v>
      </c>
      <c r="AQ5179">
        <v>0</v>
      </c>
      <c r="AS5179">
        <v>0</v>
      </c>
      <c r="AT5179">
        <v>0</v>
      </c>
      <c r="AV5179">
        <v>0</v>
      </c>
      <c r="AW5179">
        <v>0</v>
      </c>
      <c r="AY5179">
        <v>0</v>
      </c>
      <c r="AZ5179">
        <v>0</v>
      </c>
      <c r="BA5179">
        <v>52.5</v>
      </c>
      <c r="BE5179" t="str">
        <f>T("9791137014381")</f>
        <v>9791137014381</v>
      </c>
      <c r="BF5179" t="str">
        <f>T("k107207")</f>
        <v>k107207</v>
      </c>
      <c r="BG5179" t="str">
        <f>T("판타지 웹소설 &gt; 퓨전 판타지")</f>
        <v>판타지 웹소설 &gt; 퓨전 판타지</v>
      </c>
    </row>
    <row r="5180" spans="1:59">
      <c r="A5180" t="s">
        <v>60</v>
      </c>
      <c r="B5180" s="1">
        <v>46130</v>
      </c>
      <c r="C5180">
        <v>2378044065</v>
      </c>
      <c r="D5180">
        <v>2378052956</v>
      </c>
      <c r="E5180" t="str">
        <f>T("저승의 왕위를 계승했다 208화")</f>
        <v>저승의 왕위를 계승했다 208화</v>
      </c>
      <c r="F5180">
        <v>208</v>
      </c>
      <c r="G5180" t="str">
        <f>T("신타비")</f>
        <v>신타비</v>
      </c>
      <c r="J5180" t="str">
        <f>T("매드햇")</f>
        <v>매드햇</v>
      </c>
      <c r="K5180" t="str">
        <f>T("저승의 왕위를 계승했다")</f>
        <v>저승의 왕위를 계승했다</v>
      </c>
      <c r="L5180">
        <v>100</v>
      </c>
      <c r="M5180">
        <v>75</v>
      </c>
      <c r="N5180">
        <v>1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0</v>
      </c>
      <c r="AE5180">
        <v>0</v>
      </c>
      <c r="AF5180">
        <v>0</v>
      </c>
      <c r="AG5180">
        <v>0</v>
      </c>
      <c r="AH5180">
        <v>0</v>
      </c>
      <c r="AI5180">
        <v>75</v>
      </c>
      <c r="AJ5180">
        <v>1</v>
      </c>
      <c r="AK5180">
        <v>0</v>
      </c>
      <c r="AL5180">
        <v>0</v>
      </c>
      <c r="AM5180">
        <v>75</v>
      </c>
      <c r="AN5180">
        <v>0</v>
      </c>
      <c r="AO5180">
        <v>0</v>
      </c>
      <c r="AP5180">
        <v>0</v>
      </c>
      <c r="AQ5180">
        <v>0</v>
      </c>
      <c r="AS5180">
        <v>0</v>
      </c>
      <c r="AT5180">
        <v>0</v>
      </c>
      <c r="AV5180">
        <v>0</v>
      </c>
      <c r="AW5180">
        <v>0</v>
      </c>
      <c r="AY5180">
        <v>0</v>
      </c>
      <c r="AZ5180">
        <v>0</v>
      </c>
      <c r="BA5180">
        <v>52.5</v>
      </c>
      <c r="BE5180" t="str">
        <f>T("9791137014381")</f>
        <v>9791137014381</v>
      </c>
      <c r="BF5180" t="str">
        <f>T("k107208")</f>
        <v>k107208</v>
      </c>
      <c r="BG5180" t="str">
        <f>T("판타지 웹소설 &gt; 퓨전 판타지")</f>
        <v>판타지 웹소설 &gt; 퓨전 판타지</v>
      </c>
    </row>
    <row r="5181" spans="1:59">
      <c r="A5181" t="s">
        <v>60</v>
      </c>
      <c r="B5181" s="1">
        <v>46130</v>
      </c>
      <c r="C5181">
        <v>2378044065</v>
      </c>
      <c r="D5181">
        <v>2378053225</v>
      </c>
      <c r="E5181" t="str">
        <f>T("저승의 왕위를 계승했다 209화")</f>
        <v>저승의 왕위를 계승했다 209화</v>
      </c>
      <c r="F5181">
        <v>209</v>
      </c>
      <c r="G5181" t="str">
        <f>T("신타비")</f>
        <v>신타비</v>
      </c>
      <c r="J5181" t="str">
        <f>T("매드햇")</f>
        <v>매드햇</v>
      </c>
      <c r="K5181" t="str">
        <f>T("저승의 왕위를 계승했다")</f>
        <v>저승의 왕위를 계승했다</v>
      </c>
      <c r="L5181">
        <v>100</v>
      </c>
      <c r="M5181">
        <v>75</v>
      </c>
      <c r="N5181">
        <v>1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0</v>
      </c>
      <c r="AE5181">
        <v>0</v>
      </c>
      <c r="AF5181">
        <v>0</v>
      </c>
      <c r="AG5181">
        <v>0</v>
      </c>
      <c r="AH5181">
        <v>0</v>
      </c>
      <c r="AI5181">
        <v>75</v>
      </c>
      <c r="AJ5181">
        <v>1</v>
      </c>
      <c r="AK5181">
        <v>0</v>
      </c>
      <c r="AL5181">
        <v>0</v>
      </c>
      <c r="AM5181">
        <v>75</v>
      </c>
      <c r="AN5181">
        <v>0</v>
      </c>
      <c r="AO5181">
        <v>0</v>
      </c>
      <c r="AP5181">
        <v>0</v>
      </c>
      <c r="AQ5181">
        <v>0</v>
      </c>
      <c r="AS5181">
        <v>0</v>
      </c>
      <c r="AT5181">
        <v>0</v>
      </c>
      <c r="AV5181">
        <v>0</v>
      </c>
      <c r="AW5181">
        <v>0</v>
      </c>
      <c r="AY5181">
        <v>0</v>
      </c>
      <c r="AZ5181">
        <v>0</v>
      </c>
      <c r="BA5181">
        <v>52.5</v>
      </c>
      <c r="BE5181" t="str">
        <f>T("9791137014381")</f>
        <v>9791137014381</v>
      </c>
      <c r="BF5181" t="str">
        <f>T("k107209")</f>
        <v>k107209</v>
      </c>
      <c r="BG5181" t="str">
        <f>T("판타지 웹소설 &gt; 퓨전 판타지")</f>
        <v>판타지 웹소설 &gt; 퓨전 판타지</v>
      </c>
    </row>
    <row r="5182" spans="1:59">
      <c r="A5182" t="s">
        <v>60</v>
      </c>
      <c r="B5182" s="1">
        <v>46130</v>
      </c>
      <c r="C5182">
        <v>2378044065</v>
      </c>
      <c r="D5182">
        <v>2378053227</v>
      </c>
      <c r="E5182" t="str">
        <f>T("저승의 왕위를 계승했다 211화")</f>
        <v>저승의 왕위를 계승했다 211화</v>
      </c>
      <c r="F5182">
        <v>211</v>
      </c>
      <c r="G5182" t="str">
        <f>T("신타비")</f>
        <v>신타비</v>
      </c>
      <c r="J5182" t="str">
        <f>T("매드햇")</f>
        <v>매드햇</v>
      </c>
      <c r="K5182" t="str">
        <f>T("저승의 왕위를 계승했다")</f>
        <v>저승의 왕위를 계승했다</v>
      </c>
      <c r="L5182">
        <v>100</v>
      </c>
      <c r="M5182">
        <v>75</v>
      </c>
      <c r="N5182">
        <v>1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0</v>
      </c>
      <c r="AE5182">
        <v>0</v>
      </c>
      <c r="AF5182">
        <v>0</v>
      </c>
      <c r="AG5182">
        <v>0</v>
      </c>
      <c r="AH5182">
        <v>0</v>
      </c>
      <c r="AI5182">
        <v>75</v>
      </c>
      <c r="AJ5182">
        <v>1</v>
      </c>
      <c r="AK5182">
        <v>0</v>
      </c>
      <c r="AL5182">
        <v>0</v>
      </c>
      <c r="AM5182">
        <v>75</v>
      </c>
      <c r="AN5182">
        <v>0</v>
      </c>
      <c r="AO5182">
        <v>0</v>
      </c>
      <c r="AP5182">
        <v>0</v>
      </c>
      <c r="AQ5182">
        <v>0</v>
      </c>
      <c r="AS5182">
        <v>0</v>
      </c>
      <c r="AT5182">
        <v>0</v>
      </c>
      <c r="AV5182">
        <v>0</v>
      </c>
      <c r="AW5182">
        <v>0</v>
      </c>
      <c r="AY5182">
        <v>0</v>
      </c>
      <c r="AZ5182">
        <v>0</v>
      </c>
      <c r="BA5182">
        <v>52.5</v>
      </c>
      <c r="BE5182" t="str">
        <f>T("9791137014381")</f>
        <v>9791137014381</v>
      </c>
      <c r="BF5182" t="str">
        <f>T("k107909")</f>
        <v>k107909</v>
      </c>
      <c r="BG5182" t="str">
        <f>T("판타지 웹소설 &gt; 퓨전 판타지")</f>
        <v>판타지 웹소설 &gt; 퓨전 판타지</v>
      </c>
    </row>
    <row r="5183" spans="1:59">
      <c r="A5183" t="s">
        <v>60</v>
      </c>
      <c r="B5183" s="1">
        <v>46130</v>
      </c>
      <c r="C5183">
        <v>2378044065</v>
      </c>
      <c r="D5183">
        <v>2378053232</v>
      </c>
      <c r="E5183" t="str">
        <f>T("저승의 왕위를 계승했다 212화")</f>
        <v>저승의 왕위를 계승했다 212화</v>
      </c>
      <c r="F5183">
        <v>212</v>
      </c>
      <c r="G5183" t="str">
        <f>T("신타비")</f>
        <v>신타비</v>
      </c>
      <c r="J5183" t="str">
        <f>T("매드햇")</f>
        <v>매드햇</v>
      </c>
      <c r="K5183" t="str">
        <f>T("저승의 왕위를 계승했다")</f>
        <v>저승의 왕위를 계승했다</v>
      </c>
      <c r="L5183">
        <v>100</v>
      </c>
      <c r="M5183">
        <v>75</v>
      </c>
      <c r="N5183">
        <v>1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0</v>
      </c>
      <c r="AE5183">
        <v>0</v>
      </c>
      <c r="AF5183">
        <v>0</v>
      </c>
      <c r="AG5183">
        <v>0</v>
      </c>
      <c r="AH5183">
        <v>0</v>
      </c>
      <c r="AI5183">
        <v>75</v>
      </c>
      <c r="AJ5183">
        <v>1</v>
      </c>
      <c r="AK5183">
        <v>0</v>
      </c>
      <c r="AL5183">
        <v>0</v>
      </c>
      <c r="AM5183">
        <v>75</v>
      </c>
      <c r="AN5183">
        <v>0</v>
      </c>
      <c r="AO5183">
        <v>0</v>
      </c>
      <c r="AP5183">
        <v>0</v>
      </c>
      <c r="AQ5183">
        <v>0</v>
      </c>
      <c r="AS5183">
        <v>0</v>
      </c>
      <c r="AT5183">
        <v>0</v>
      </c>
      <c r="AV5183">
        <v>0</v>
      </c>
      <c r="AW5183">
        <v>0</v>
      </c>
      <c r="AY5183">
        <v>0</v>
      </c>
      <c r="AZ5183">
        <v>0</v>
      </c>
      <c r="BA5183">
        <v>52.5</v>
      </c>
      <c r="BE5183" t="str">
        <f>T("9791137014381")</f>
        <v>9791137014381</v>
      </c>
      <c r="BF5183" t="str">
        <f>T("k107910")</f>
        <v>k107910</v>
      </c>
      <c r="BG5183" t="str">
        <f>T("판타지 웹소설 &gt; 퓨전 판타지")</f>
        <v>판타지 웹소설 &gt; 퓨전 판타지</v>
      </c>
    </row>
    <row r="5184" spans="1:59">
      <c r="A5184" t="s">
        <v>60</v>
      </c>
      <c r="B5184" s="1">
        <v>46130</v>
      </c>
      <c r="C5184">
        <v>2378044065</v>
      </c>
      <c r="D5184">
        <v>2378053275</v>
      </c>
      <c r="E5184" t="str">
        <f>T("저승의 왕위를 계승했다 213화")</f>
        <v>저승의 왕위를 계승했다 213화</v>
      </c>
      <c r="F5184">
        <v>213</v>
      </c>
      <c r="G5184" t="str">
        <f>T("신타비")</f>
        <v>신타비</v>
      </c>
      <c r="J5184" t="str">
        <f>T("매드햇")</f>
        <v>매드햇</v>
      </c>
      <c r="K5184" t="str">
        <f>T("저승의 왕위를 계승했다")</f>
        <v>저승의 왕위를 계승했다</v>
      </c>
      <c r="L5184">
        <v>100</v>
      </c>
      <c r="M5184">
        <v>75</v>
      </c>
      <c r="N5184">
        <v>1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0</v>
      </c>
      <c r="AE5184">
        <v>0</v>
      </c>
      <c r="AF5184">
        <v>0</v>
      </c>
      <c r="AG5184">
        <v>0</v>
      </c>
      <c r="AH5184">
        <v>0</v>
      </c>
      <c r="AI5184">
        <v>75</v>
      </c>
      <c r="AJ5184">
        <v>1</v>
      </c>
      <c r="AK5184">
        <v>0</v>
      </c>
      <c r="AL5184">
        <v>0</v>
      </c>
      <c r="AM5184">
        <v>75</v>
      </c>
      <c r="AN5184">
        <v>0</v>
      </c>
      <c r="AO5184">
        <v>0</v>
      </c>
      <c r="AP5184">
        <v>0</v>
      </c>
      <c r="AQ5184">
        <v>0</v>
      </c>
      <c r="AS5184">
        <v>0</v>
      </c>
      <c r="AT5184">
        <v>0</v>
      </c>
      <c r="AV5184">
        <v>0</v>
      </c>
      <c r="AW5184">
        <v>0</v>
      </c>
      <c r="AY5184">
        <v>0</v>
      </c>
      <c r="AZ5184">
        <v>0</v>
      </c>
      <c r="BA5184">
        <v>52.5</v>
      </c>
      <c r="BE5184" t="str">
        <f>T("9791137014381")</f>
        <v>9791137014381</v>
      </c>
      <c r="BF5184" t="str">
        <f>T("k107911")</f>
        <v>k107911</v>
      </c>
      <c r="BG5184" t="str">
        <f>T("판타지 웹소설 &gt; 퓨전 판타지")</f>
        <v>판타지 웹소설 &gt; 퓨전 판타지</v>
      </c>
    </row>
    <row r="5185" spans="1:59">
      <c r="A5185" t="s">
        <v>60</v>
      </c>
      <c r="B5185" s="1">
        <v>46130</v>
      </c>
      <c r="C5185">
        <v>2378044065</v>
      </c>
      <c r="D5185">
        <v>2378053276</v>
      </c>
      <c r="E5185" t="str">
        <f>T("저승의 왕위를 계승했다 214화")</f>
        <v>저승의 왕위를 계승했다 214화</v>
      </c>
      <c r="F5185">
        <v>214</v>
      </c>
      <c r="G5185" t="str">
        <f>T("신타비")</f>
        <v>신타비</v>
      </c>
      <c r="J5185" t="str">
        <f>T("매드햇")</f>
        <v>매드햇</v>
      </c>
      <c r="K5185" t="str">
        <f>T("저승의 왕위를 계승했다")</f>
        <v>저승의 왕위를 계승했다</v>
      </c>
      <c r="L5185">
        <v>100</v>
      </c>
      <c r="M5185">
        <v>75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0</v>
      </c>
      <c r="AE5185">
        <v>0</v>
      </c>
      <c r="AF5185">
        <v>0</v>
      </c>
      <c r="AG5185">
        <v>0</v>
      </c>
      <c r="AH5185">
        <v>0</v>
      </c>
      <c r="AI5185">
        <v>75</v>
      </c>
      <c r="AJ5185">
        <v>1</v>
      </c>
      <c r="AK5185">
        <v>0</v>
      </c>
      <c r="AL5185">
        <v>0</v>
      </c>
      <c r="AM5185">
        <v>75</v>
      </c>
      <c r="AN5185">
        <v>0</v>
      </c>
      <c r="AO5185">
        <v>0</v>
      </c>
      <c r="AP5185">
        <v>0</v>
      </c>
      <c r="AQ5185">
        <v>0</v>
      </c>
      <c r="AS5185">
        <v>0</v>
      </c>
      <c r="AT5185">
        <v>0</v>
      </c>
      <c r="AV5185">
        <v>0</v>
      </c>
      <c r="AW5185">
        <v>0</v>
      </c>
      <c r="AY5185">
        <v>0</v>
      </c>
      <c r="AZ5185">
        <v>0</v>
      </c>
      <c r="BA5185">
        <v>52.5</v>
      </c>
      <c r="BE5185" t="str">
        <f>T("9791137014381")</f>
        <v>9791137014381</v>
      </c>
      <c r="BF5185" t="str">
        <f>T("k107930")</f>
        <v>k107930</v>
      </c>
      <c r="BG5185" t="str">
        <f>T("판타지 웹소설 &gt; 퓨전 판타지")</f>
        <v>판타지 웹소설 &gt; 퓨전 판타지</v>
      </c>
    </row>
    <row r="5186" spans="1:59">
      <c r="A5186" t="s">
        <v>60</v>
      </c>
      <c r="B5186" s="1">
        <v>46130</v>
      </c>
      <c r="C5186">
        <v>2378044065</v>
      </c>
      <c r="D5186">
        <v>2378053277</v>
      </c>
      <c r="E5186" t="str">
        <f>T("저승의 왕위를 계승했다 215화")</f>
        <v>저승의 왕위를 계승했다 215화</v>
      </c>
      <c r="F5186">
        <v>215</v>
      </c>
      <c r="G5186" t="str">
        <f>T("신타비")</f>
        <v>신타비</v>
      </c>
      <c r="J5186" t="str">
        <f>T("매드햇")</f>
        <v>매드햇</v>
      </c>
      <c r="K5186" t="str">
        <f>T("저승의 왕위를 계승했다")</f>
        <v>저승의 왕위를 계승했다</v>
      </c>
      <c r="L5186">
        <v>100</v>
      </c>
      <c r="M5186">
        <v>75</v>
      </c>
      <c r="N5186">
        <v>1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0</v>
      </c>
      <c r="AE5186">
        <v>0</v>
      </c>
      <c r="AF5186">
        <v>0</v>
      </c>
      <c r="AG5186">
        <v>0</v>
      </c>
      <c r="AH5186">
        <v>0</v>
      </c>
      <c r="AI5186">
        <v>75</v>
      </c>
      <c r="AJ5186">
        <v>1</v>
      </c>
      <c r="AK5186">
        <v>0</v>
      </c>
      <c r="AL5186">
        <v>0</v>
      </c>
      <c r="AM5186">
        <v>75</v>
      </c>
      <c r="AN5186">
        <v>0</v>
      </c>
      <c r="AO5186">
        <v>0</v>
      </c>
      <c r="AP5186">
        <v>0</v>
      </c>
      <c r="AQ5186">
        <v>0</v>
      </c>
      <c r="AS5186">
        <v>0</v>
      </c>
      <c r="AT5186">
        <v>0</v>
      </c>
      <c r="AV5186">
        <v>0</v>
      </c>
      <c r="AW5186">
        <v>0</v>
      </c>
      <c r="AY5186">
        <v>0</v>
      </c>
      <c r="AZ5186">
        <v>0</v>
      </c>
      <c r="BA5186">
        <v>52.5</v>
      </c>
      <c r="BE5186" t="str">
        <f>T("9791137014381")</f>
        <v>9791137014381</v>
      </c>
      <c r="BF5186" t="str">
        <f>T("k110547")</f>
        <v>k110547</v>
      </c>
      <c r="BG5186" t="str">
        <f>T("판타지 웹소설 &gt; 퓨전 판타지")</f>
        <v>판타지 웹소설 &gt; 퓨전 판타지</v>
      </c>
    </row>
    <row r="5187" spans="1:59">
      <c r="A5187" t="s">
        <v>60</v>
      </c>
      <c r="B5187" s="1">
        <v>46130</v>
      </c>
      <c r="C5187">
        <v>2378044065</v>
      </c>
      <c r="D5187">
        <v>2378053280</v>
      </c>
      <c r="E5187" t="str">
        <f>T("저승의 왕위를 계승했다 216화")</f>
        <v>저승의 왕위를 계승했다 216화</v>
      </c>
      <c r="F5187">
        <v>216</v>
      </c>
      <c r="G5187" t="str">
        <f>T("신타비")</f>
        <v>신타비</v>
      </c>
      <c r="J5187" t="str">
        <f>T("매드햇")</f>
        <v>매드햇</v>
      </c>
      <c r="K5187" t="str">
        <f>T("저승의 왕위를 계승했다")</f>
        <v>저승의 왕위를 계승했다</v>
      </c>
      <c r="L5187">
        <v>100</v>
      </c>
      <c r="M5187">
        <v>75</v>
      </c>
      <c r="N5187">
        <v>1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0</v>
      </c>
      <c r="AE5187">
        <v>0</v>
      </c>
      <c r="AF5187">
        <v>0</v>
      </c>
      <c r="AG5187">
        <v>0</v>
      </c>
      <c r="AH5187">
        <v>0</v>
      </c>
      <c r="AI5187">
        <v>75</v>
      </c>
      <c r="AJ5187">
        <v>1</v>
      </c>
      <c r="AK5187">
        <v>0</v>
      </c>
      <c r="AL5187">
        <v>0</v>
      </c>
      <c r="AM5187">
        <v>75</v>
      </c>
      <c r="AN5187">
        <v>0</v>
      </c>
      <c r="AO5187">
        <v>0</v>
      </c>
      <c r="AP5187">
        <v>0</v>
      </c>
      <c r="AQ5187">
        <v>0</v>
      </c>
      <c r="AS5187">
        <v>0</v>
      </c>
      <c r="AT5187">
        <v>0</v>
      </c>
      <c r="AV5187">
        <v>0</v>
      </c>
      <c r="AW5187">
        <v>0</v>
      </c>
      <c r="AY5187">
        <v>0</v>
      </c>
      <c r="AZ5187">
        <v>0</v>
      </c>
      <c r="BA5187">
        <v>52.5</v>
      </c>
      <c r="BE5187" t="str">
        <f>T("9791137014381")</f>
        <v>9791137014381</v>
      </c>
      <c r="BF5187" t="str">
        <f>T("k110548")</f>
        <v>k110548</v>
      </c>
      <c r="BG5187" t="str">
        <f>T("판타지 웹소설 &gt; 퓨전 판타지")</f>
        <v>판타지 웹소설 &gt; 퓨전 판타지</v>
      </c>
    </row>
    <row r="5188" spans="1:59">
      <c r="A5188" t="s">
        <v>60</v>
      </c>
      <c r="B5188" s="1">
        <v>46130</v>
      </c>
      <c r="C5188">
        <v>2378044065</v>
      </c>
      <c r="D5188">
        <v>2378053769</v>
      </c>
      <c r="E5188" t="str">
        <f>T("저승의 왕위를 계승했다 217화")</f>
        <v>저승의 왕위를 계승했다 217화</v>
      </c>
      <c r="F5188">
        <v>217</v>
      </c>
      <c r="G5188" t="str">
        <f>T("신타비")</f>
        <v>신타비</v>
      </c>
      <c r="J5188" t="str">
        <f>T("매드햇")</f>
        <v>매드햇</v>
      </c>
      <c r="K5188" t="str">
        <f>T("저승의 왕위를 계승했다")</f>
        <v>저승의 왕위를 계승했다</v>
      </c>
      <c r="L5188">
        <v>100</v>
      </c>
      <c r="M5188">
        <v>75</v>
      </c>
      <c r="N5188">
        <v>1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0</v>
      </c>
      <c r="AE5188">
        <v>0</v>
      </c>
      <c r="AF5188">
        <v>0</v>
      </c>
      <c r="AG5188">
        <v>0</v>
      </c>
      <c r="AH5188">
        <v>0</v>
      </c>
      <c r="AI5188">
        <v>75</v>
      </c>
      <c r="AJ5188">
        <v>1</v>
      </c>
      <c r="AK5188">
        <v>0</v>
      </c>
      <c r="AL5188">
        <v>0</v>
      </c>
      <c r="AM5188">
        <v>75</v>
      </c>
      <c r="AN5188">
        <v>0</v>
      </c>
      <c r="AO5188">
        <v>0</v>
      </c>
      <c r="AP5188">
        <v>0</v>
      </c>
      <c r="AQ5188">
        <v>0</v>
      </c>
      <c r="AS5188">
        <v>0</v>
      </c>
      <c r="AT5188">
        <v>0</v>
      </c>
      <c r="AV5188">
        <v>0</v>
      </c>
      <c r="AW5188">
        <v>0</v>
      </c>
      <c r="AY5188">
        <v>0</v>
      </c>
      <c r="AZ5188">
        <v>0</v>
      </c>
      <c r="BA5188">
        <v>52.5</v>
      </c>
      <c r="BE5188" t="str">
        <f>T("9791137014381")</f>
        <v>9791137014381</v>
      </c>
      <c r="BF5188" t="str">
        <f>T("k110549")</f>
        <v>k110549</v>
      </c>
      <c r="BG5188" t="str">
        <f>T("판타지 웹소설 &gt; 퓨전 판타지")</f>
        <v>판타지 웹소설 &gt; 퓨전 판타지</v>
      </c>
    </row>
    <row r="5189" spans="1:59">
      <c r="A5189" t="s">
        <v>60</v>
      </c>
      <c r="B5189" s="1">
        <v>46130</v>
      </c>
      <c r="C5189">
        <v>2378044065</v>
      </c>
      <c r="D5189">
        <v>2378053795</v>
      </c>
      <c r="E5189" t="str">
        <f>T("저승의 왕위를 계승했다 218화")</f>
        <v>저승의 왕위를 계승했다 218화</v>
      </c>
      <c r="F5189">
        <v>218</v>
      </c>
      <c r="G5189" t="str">
        <f>T("신타비")</f>
        <v>신타비</v>
      </c>
      <c r="J5189" t="str">
        <f>T("매드햇")</f>
        <v>매드햇</v>
      </c>
      <c r="K5189" t="str">
        <f>T("저승의 왕위를 계승했다")</f>
        <v>저승의 왕위를 계승했다</v>
      </c>
      <c r="L5189">
        <v>100</v>
      </c>
      <c r="M5189">
        <v>75</v>
      </c>
      <c r="N5189">
        <v>1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0</v>
      </c>
      <c r="AE5189">
        <v>0</v>
      </c>
      <c r="AF5189">
        <v>0</v>
      </c>
      <c r="AG5189">
        <v>0</v>
      </c>
      <c r="AH5189">
        <v>0</v>
      </c>
      <c r="AI5189">
        <v>75</v>
      </c>
      <c r="AJ5189">
        <v>1</v>
      </c>
      <c r="AK5189">
        <v>0</v>
      </c>
      <c r="AL5189">
        <v>0</v>
      </c>
      <c r="AM5189">
        <v>75</v>
      </c>
      <c r="AN5189">
        <v>0</v>
      </c>
      <c r="AO5189">
        <v>0</v>
      </c>
      <c r="AP5189">
        <v>0</v>
      </c>
      <c r="AQ5189">
        <v>0</v>
      </c>
      <c r="AS5189">
        <v>0</v>
      </c>
      <c r="AT5189">
        <v>0</v>
      </c>
      <c r="AV5189">
        <v>0</v>
      </c>
      <c r="AW5189">
        <v>0</v>
      </c>
      <c r="AY5189">
        <v>0</v>
      </c>
      <c r="AZ5189">
        <v>0</v>
      </c>
      <c r="BA5189">
        <v>52.5</v>
      </c>
      <c r="BE5189" t="str">
        <f>T("9791137014381")</f>
        <v>9791137014381</v>
      </c>
      <c r="BF5189" t="str">
        <f>T("k110550")</f>
        <v>k110550</v>
      </c>
      <c r="BG5189" t="str">
        <f>T("판타지 웹소설 &gt; 퓨전 판타지")</f>
        <v>판타지 웹소설 &gt; 퓨전 판타지</v>
      </c>
    </row>
    <row r="5190" spans="1:59">
      <c r="A5190" t="s">
        <v>60</v>
      </c>
      <c r="B5190" s="1">
        <v>46130</v>
      </c>
      <c r="C5190">
        <v>2378044065</v>
      </c>
      <c r="D5190">
        <v>2378053817</v>
      </c>
      <c r="E5190" t="str">
        <f>T("저승의 왕위를 계승했다 219화")</f>
        <v>저승의 왕위를 계승했다 219화</v>
      </c>
      <c r="F5190">
        <v>219</v>
      </c>
      <c r="G5190" t="str">
        <f>T("신타비")</f>
        <v>신타비</v>
      </c>
      <c r="J5190" t="str">
        <f>T("매드햇")</f>
        <v>매드햇</v>
      </c>
      <c r="K5190" t="str">
        <f>T("저승의 왕위를 계승했다")</f>
        <v>저승의 왕위를 계승했다</v>
      </c>
      <c r="L5190">
        <v>100</v>
      </c>
      <c r="M5190">
        <v>75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0</v>
      </c>
      <c r="AE5190">
        <v>0</v>
      </c>
      <c r="AF5190">
        <v>0</v>
      </c>
      <c r="AG5190">
        <v>0</v>
      </c>
      <c r="AH5190">
        <v>0</v>
      </c>
      <c r="AI5190">
        <v>75</v>
      </c>
      <c r="AJ5190">
        <v>1</v>
      </c>
      <c r="AK5190">
        <v>0</v>
      </c>
      <c r="AL5190">
        <v>0</v>
      </c>
      <c r="AM5190">
        <v>75</v>
      </c>
      <c r="AN5190">
        <v>0</v>
      </c>
      <c r="AO5190">
        <v>0</v>
      </c>
      <c r="AP5190">
        <v>0</v>
      </c>
      <c r="AQ5190">
        <v>0</v>
      </c>
      <c r="AS5190">
        <v>0</v>
      </c>
      <c r="AT5190">
        <v>0</v>
      </c>
      <c r="AV5190">
        <v>0</v>
      </c>
      <c r="AW5190">
        <v>0</v>
      </c>
      <c r="AY5190">
        <v>0</v>
      </c>
      <c r="AZ5190">
        <v>0</v>
      </c>
      <c r="BA5190">
        <v>52.5</v>
      </c>
      <c r="BE5190" t="str">
        <f>T("9791137014381")</f>
        <v>9791137014381</v>
      </c>
      <c r="BF5190" t="str">
        <f>T("k115357")</f>
        <v>k115357</v>
      </c>
      <c r="BG5190" t="str">
        <f>T("판타지 웹소설 &gt; 퓨전 판타지")</f>
        <v>판타지 웹소설 &gt; 퓨전 판타지</v>
      </c>
    </row>
    <row r="5191" spans="1:59">
      <c r="A5191" t="s">
        <v>60</v>
      </c>
      <c r="B5191" s="1">
        <v>46130</v>
      </c>
      <c r="C5191">
        <v>2378044065</v>
      </c>
      <c r="D5191">
        <v>2378053858</v>
      </c>
      <c r="E5191" t="str">
        <f>T("저승의 왕위를 계승했다 220화")</f>
        <v>저승의 왕위를 계승했다 220화</v>
      </c>
      <c r="F5191">
        <v>220</v>
      </c>
      <c r="G5191" t="str">
        <f>T("신타비")</f>
        <v>신타비</v>
      </c>
      <c r="J5191" t="str">
        <f>T("매드햇")</f>
        <v>매드햇</v>
      </c>
      <c r="K5191" t="str">
        <f>T("저승의 왕위를 계승했다")</f>
        <v>저승의 왕위를 계승했다</v>
      </c>
      <c r="L5191">
        <v>100</v>
      </c>
      <c r="M5191">
        <v>75</v>
      </c>
      <c r="N5191">
        <v>1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0</v>
      </c>
      <c r="AE5191">
        <v>0</v>
      </c>
      <c r="AF5191">
        <v>0</v>
      </c>
      <c r="AG5191">
        <v>0</v>
      </c>
      <c r="AH5191">
        <v>0</v>
      </c>
      <c r="AI5191">
        <v>75</v>
      </c>
      <c r="AJ5191">
        <v>1</v>
      </c>
      <c r="AK5191">
        <v>0</v>
      </c>
      <c r="AL5191">
        <v>0</v>
      </c>
      <c r="AM5191">
        <v>75</v>
      </c>
      <c r="AN5191">
        <v>0</v>
      </c>
      <c r="AO5191">
        <v>0</v>
      </c>
      <c r="AP5191">
        <v>0</v>
      </c>
      <c r="AQ5191">
        <v>0</v>
      </c>
      <c r="AS5191">
        <v>0</v>
      </c>
      <c r="AT5191">
        <v>0</v>
      </c>
      <c r="AV5191">
        <v>0</v>
      </c>
      <c r="AW5191">
        <v>0</v>
      </c>
      <c r="AY5191">
        <v>0</v>
      </c>
      <c r="AZ5191">
        <v>0</v>
      </c>
      <c r="BA5191">
        <v>52.5</v>
      </c>
      <c r="BE5191" t="str">
        <f>T("9791137014381")</f>
        <v>9791137014381</v>
      </c>
      <c r="BF5191" t="str">
        <f>T("k115358")</f>
        <v>k115358</v>
      </c>
      <c r="BG5191" t="str">
        <f>T("판타지 웹소설 &gt; 퓨전 판타지")</f>
        <v>판타지 웹소설 &gt; 퓨전 판타지</v>
      </c>
    </row>
    <row r="5192" spans="1:59">
      <c r="A5192" t="s">
        <v>60</v>
      </c>
      <c r="B5192" s="1">
        <v>46130</v>
      </c>
      <c r="C5192">
        <v>2378044065</v>
      </c>
      <c r="D5192">
        <v>2378053870</v>
      </c>
      <c r="E5192" t="str">
        <f>T("저승의 왕위를 계승했다 221화")</f>
        <v>저승의 왕위를 계승했다 221화</v>
      </c>
      <c r="F5192">
        <v>221</v>
      </c>
      <c r="G5192" t="str">
        <f>T("신타비")</f>
        <v>신타비</v>
      </c>
      <c r="J5192" t="str">
        <f>T("매드햇")</f>
        <v>매드햇</v>
      </c>
      <c r="K5192" t="str">
        <f>T("저승의 왕위를 계승했다")</f>
        <v>저승의 왕위를 계승했다</v>
      </c>
      <c r="L5192">
        <v>100</v>
      </c>
      <c r="M5192">
        <v>75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0</v>
      </c>
      <c r="AE5192">
        <v>0</v>
      </c>
      <c r="AF5192">
        <v>0</v>
      </c>
      <c r="AG5192">
        <v>0</v>
      </c>
      <c r="AH5192">
        <v>0</v>
      </c>
      <c r="AI5192">
        <v>75</v>
      </c>
      <c r="AJ5192">
        <v>1</v>
      </c>
      <c r="AK5192">
        <v>0</v>
      </c>
      <c r="AL5192">
        <v>0</v>
      </c>
      <c r="AM5192">
        <v>75</v>
      </c>
      <c r="AN5192">
        <v>0</v>
      </c>
      <c r="AO5192">
        <v>0</v>
      </c>
      <c r="AP5192">
        <v>0</v>
      </c>
      <c r="AQ5192">
        <v>0</v>
      </c>
      <c r="AS5192">
        <v>0</v>
      </c>
      <c r="AT5192">
        <v>0</v>
      </c>
      <c r="AV5192">
        <v>0</v>
      </c>
      <c r="AW5192">
        <v>0</v>
      </c>
      <c r="AY5192">
        <v>0</v>
      </c>
      <c r="AZ5192">
        <v>0</v>
      </c>
      <c r="BA5192">
        <v>52.5</v>
      </c>
      <c r="BE5192" t="str">
        <f>T("9791137014381")</f>
        <v>9791137014381</v>
      </c>
      <c r="BF5192" t="str">
        <f>T("k115359")</f>
        <v>k115359</v>
      </c>
      <c r="BG5192" t="str">
        <f>T("판타지 웹소설 &gt; 퓨전 판타지")</f>
        <v>판타지 웹소설 &gt; 퓨전 판타지</v>
      </c>
    </row>
    <row r="5193" spans="1:59">
      <c r="A5193" t="s">
        <v>60</v>
      </c>
      <c r="B5193" s="1">
        <v>46130</v>
      </c>
      <c r="C5193">
        <v>2378044065</v>
      </c>
      <c r="D5193">
        <v>2378053880</v>
      </c>
      <c r="E5193" t="str">
        <f>T("저승의 왕위를 계승했다 222화")</f>
        <v>저승의 왕위를 계승했다 222화</v>
      </c>
      <c r="F5193">
        <v>222</v>
      </c>
      <c r="G5193" t="str">
        <f>T("신타비")</f>
        <v>신타비</v>
      </c>
      <c r="J5193" t="str">
        <f>T("매드햇")</f>
        <v>매드햇</v>
      </c>
      <c r="K5193" t="str">
        <f>T("저승의 왕위를 계승했다")</f>
        <v>저승의 왕위를 계승했다</v>
      </c>
      <c r="L5193">
        <v>100</v>
      </c>
      <c r="M5193">
        <v>75</v>
      </c>
      <c r="N5193">
        <v>1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0</v>
      </c>
      <c r="AE5193">
        <v>0</v>
      </c>
      <c r="AF5193">
        <v>0</v>
      </c>
      <c r="AG5193">
        <v>0</v>
      </c>
      <c r="AH5193">
        <v>0</v>
      </c>
      <c r="AI5193">
        <v>75</v>
      </c>
      <c r="AJ5193">
        <v>1</v>
      </c>
      <c r="AK5193">
        <v>0</v>
      </c>
      <c r="AL5193">
        <v>0</v>
      </c>
      <c r="AM5193">
        <v>75</v>
      </c>
      <c r="AN5193">
        <v>0</v>
      </c>
      <c r="AO5193">
        <v>0</v>
      </c>
      <c r="AP5193">
        <v>0</v>
      </c>
      <c r="AQ5193">
        <v>0</v>
      </c>
      <c r="AS5193">
        <v>0</v>
      </c>
      <c r="AT5193">
        <v>0</v>
      </c>
      <c r="AV5193">
        <v>0</v>
      </c>
      <c r="AW5193">
        <v>0</v>
      </c>
      <c r="AY5193">
        <v>0</v>
      </c>
      <c r="AZ5193">
        <v>0</v>
      </c>
      <c r="BA5193">
        <v>52.5</v>
      </c>
      <c r="BE5193" t="str">
        <f>T("9791137014381")</f>
        <v>9791137014381</v>
      </c>
      <c r="BF5193" t="str">
        <f>T("k115360")</f>
        <v>k115360</v>
      </c>
      <c r="BG5193" t="str">
        <f>T("판타지 웹소설 &gt; 퓨전 판타지")</f>
        <v>판타지 웹소설 &gt; 퓨전 판타지</v>
      </c>
    </row>
    <row r="5194" spans="1:59">
      <c r="A5194" t="s">
        <v>60</v>
      </c>
      <c r="B5194" s="1">
        <v>46130</v>
      </c>
      <c r="C5194">
        <v>2378044065</v>
      </c>
      <c r="D5194">
        <v>2378053891</v>
      </c>
      <c r="E5194" t="str">
        <f>T("저승의 왕위를 계승했다 223화")</f>
        <v>저승의 왕위를 계승했다 223화</v>
      </c>
      <c r="F5194">
        <v>223</v>
      </c>
      <c r="G5194" t="str">
        <f>T("신타비")</f>
        <v>신타비</v>
      </c>
      <c r="J5194" t="str">
        <f>T("매드햇")</f>
        <v>매드햇</v>
      </c>
      <c r="K5194" t="str">
        <f>T("저승의 왕위를 계승했다")</f>
        <v>저승의 왕위를 계승했다</v>
      </c>
      <c r="L5194">
        <v>100</v>
      </c>
      <c r="M5194">
        <v>75</v>
      </c>
      <c r="N5194">
        <v>1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0</v>
      </c>
      <c r="AE5194">
        <v>0</v>
      </c>
      <c r="AF5194">
        <v>0</v>
      </c>
      <c r="AG5194">
        <v>0</v>
      </c>
      <c r="AH5194">
        <v>0</v>
      </c>
      <c r="AI5194">
        <v>75</v>
      </c>
      <c r="AJ5194">
        <v>1</v>
      </c>
      <c r="AK5194">
        <v>0</v>
      </c>
      <c r="AL5194">
        <v>0</v>
      </c>
      <c r="AM5194">
        <v>75</v>
      </c>
      <c r="AN5194">
        <v>0</v>
      </c>
      <c r="AO5194">
        <v>0</v>
      </c>
      <c r="AP5194">
        <v>0</v>
      </c>
      <c r="AQ5194">
        <v>0</v>
      </c>
      <c r="AS5194">
        <v>0</v>
      </c>
      <c r="AT5194">
        <v>0</v>
      </c>
      <c r="AV5194">
        <v>0</v>
      </c>
      <c r="AW5194">
        <v>0</v>
      </c>
      <c r="AY5194">
        <v>0</v>
      </c>
      <c r="AZ5194">
        <v>0</v>
      </c>
      <c r="BA5194">
        <v>52.5</v>
      </c>
      <c r="BE5194" t="str">
        <f>T("9791137014381")</f>
        <v>9791137014381</v>
      </c>
      <c r="BF5194" t="str">
        <f>T("k117356")</f>
        <v>k117356</v>
      </c>
      <c r="BG5194" t="str">
        <f>T("판타지 웹소설 &gt; 퓨전 판타지")</f>
        <v>판타지 웹소설 &gt; 퓨전 판타지</v>
      </c>
    </row>
    <row r="5195" spans="1:59">
      <c r="A5195" t="s">
        <v>60</v>
      </c>
      <c r="B5195" s="1">
        <v>46130</v>
      </c>
      <c r="C5195">
        <v>2378044065</v>
      </c>
      <c r="D5195">
        <v>2378053899</v>
      </c>
      <c r="E5195" t="str">
        <f>T("저승의 왕위를 계승했다 224화")</f>
        <v>저승의 왕위를 계승했다 224화</v>
      </c>
      <c r="F5195">
        <v>224</v>
      </c>
      <c r="G5195" t="str">
        <f>T("신타비")</f>
        <v>신타비</v>
      </c>
      <c r="J5195" t="str">
        <f>T("매드햇")</f>
        <v>매드햇</v>
      </c>
      <c r="K5195" t="str">
        <f>T("저승의 왕위를 계승했다")</f>
        <v>저승의 왕위를 계승했다</v>
      </c>
      <c r="L5195">
        <v>100</v>
      </c>
      <c r="M5195">
        <v>75</v>
      </c>
      <c r="N5195">
        <v>1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0</v>
      </c>
      <c r="AE5195">
        <v>0</v>
      </c>
      <c r="AF5195">
        <v>0</v>
      </c>
      <c r="AG5195">
        <v>0</v>
      </c>
      <c r="AH5195">
        <v>0</v>
      </c>
      <c r="AI5195">
        <v>75</v>
      </c>
      <c r="AJ5195">
        <v>1</v>
      </c>
      <c r="AK5195">
        <v>0</v>
      </c>
      <c r="AL5195">
        <v>0</v>
      </c>
      <c r="AM5195">
        <v>75</v>
      </c>
      <c r="AN5195">
        <v>0</v>
      </c>
      <c r="AO5195">
        <v>0</v>
      </c>
      <c r="AP5195">
        <v>0</v>
      </c>
      <c r="AQ5195">
        <v>0</v>
      </c>
      <c r="AS5195">
        <v>0</v>
      </c>
      <c r="AT5195">
        <v>0</v>
      </c>
      <c r="AV5195">
        <v>0</v>
      </c>
      <c r="AW5195">
        <v>0</v>
      </c>
      <c r="AY5195">
        <v>0</v>
      </c>
      <c r="AZ5195">
        <v>0</v>
      </c>
      <c r="BA5195">
        <v>52.5</v>
      </c>
      <c r="BE5195" t="str">
        <f>T("9791137014381")</f>
        <v>9791137014381</v>
      </c>
      <c r="BF5195" t="str">
        <f>T("k117357")</f>
        <v>k117357</v>
      </c>
      <c r="BG5195" t="str">
        <f>T("판타지 웹소설 &gt; 퓨전 판타지")</f>
        <v>판타지 웹소설 &gt; 퓨전 판타지</v>
      </c>
    </row>
    <row r="5196" spans="1:59">
      <c r="A5196" t="s">
        <v>60</v>
      </c>
      <c r="B5196" s="1">
        <v>46130</v>
      </c>
      <c r="C5196">
        <v>2378044065</v>
      </c>
      <c r="D5196">
        <v>2378054697</v>
      </c>
      <c r="E5196" t="str">
        <f>T("저승의 왕위를 계승했다 225화")</f>
        <v>저승의 왕위를 계승했다 225화</v>
      </c>
      <c r="F5196">
        <v>225</v>
      </c>
      <c r="G5196" t="str">
        <f>T("신타비")</f>
        <v>신타비</v>
      </c>
      <c r="J5196" t="str">
        <f>T("매드햇")</f>
        <v>매드햇</v>
      </c>
      <c r="K5196" t="str">
        <f>T("저승의 왕위를 계승했다")</f>
        <v>저승의 왕위를 계승했다</v>
      </c>
      <c r="L5196">
        <v>100</v>
      </c>
      <c r="M5196">
        <v>75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0</v>
      </c>
      <c r="AE5196">
        <v>0</v>
      </c>
      <c r="AF5196">
        <v>0</v>
      </c>
      <c r="AG5196">
        <v>0</v>
      </c>
      <c r="AH5196">
        <v>0</v>
      </c>
      <c r="AI5196">
        <v>75</v>
      </c>
      <c r="AJ5196">
        <v>1</v>
      </c>
      <c r="AK5196">
        <v>0</v>
      </c>
      <c r="AL5196">
        <v>0</v>
      </c>
      <c r="AM5196">
        <v>75</v>
      </c>
      <c r="AN5196">
        <v>0</v>
      </c>
      <c r="AO5196">
        <v>0</v>
      </c>
      <c r="AP5196">
        <v>0</v>
      </c>
      <c r="AQ5196">
        <v>0</v>
      </c>
      <c r="AS5196">
        <v>0</v>
      </c>
      <c r="AT5196">
        <v>0</v>
      </c>
      <c r="AV5196">
        <v>0</v>
      </c>
      <c r="AW5196">
        <v>0</v>
      </c>
      <c r="AY5196">
        <v>0</v>
      </c>
      <c r="AZ5196">
        <v>0</v>
      </c>
      <c r="BA5196">
        <v>52.5</v>
      </c>
      <c r="BE5196" t="str">
        <f>T("9791137014381")</f>
        <v>9791137014381</v>
      </c>
      <c r="BF5196" t="str">
        <f>T("k117358")</f>
        <v>k117358</v>
      </c>
      <c r="BG5196" t="str">
        <f>T("판타지 웹소설 &gt; 퓨전 판타지")</f>
        <v>판타지 웹소설 &gt; 퓨전 판타지</v>
      </c>
    </row>
    <row r="5197" spans="1:59">
      <c r="A5197" t="s">
        <v>60</v>
      </c>
      <c r="B5197" s="1">
        <v>46130</v>
      </c>
      <c r="C5197">
        <v>2378044065</v>
      </c>
      <c r="D5197">
        <v>2378054714</v>
      </c>
      <c r="E5197" t="str">
        <f>T("저승의 왕위를 계승했다 226화")</f>
        <v>저승의 왕위를 계승했다 226화</v>
      </c>
      <c r="F5197">
        <v>226</v>
      </c>
      <c r="G5197" t="str">
        <f>T("신타비")</f>
        <v>신타비</v>
      </c>
      <c r="J5197" t="str">
        <f>T("매드햇")</f>
        <v>매드햇</v>
      </c>
      <c r="K5197" t="str">
        <f>T("저승의 왕위를 계승했다")</f>
        <v>저승의 왕위를 계승했다</v>
      </c>
      <c r="L5197">
        <v>100</v>
      </c>
      <c r="M5197">
        <v>75</v>
      </c>
      <c r="N5197">
        <v>1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0</v>
      </c>
      <c r="AE5197">
        <v>0</v>
      </c>
      <c r="AF5197">
        <v>0</v>
      </c>
      <c r="AG5197">
        <v>0</v>
      </c>
      <c r="AH5197">
        <v>0</v>
      </c>
      <c r="AI5197">
        <v>75</v>
      </c>
      <c r="AJ5197">
        <v>1</v>
      </c>
      <c r="AK5197">
        <v>0</v>
      </c>
      <c r="AL5197">
        <v>0</v>
      </c>
      <c r="AM5197">
        <v>75</v>
      </c>
      <c r="AN5197">
        <v>0</v>
      </c>
      <c r="AO5197">
        <v>0</v>
      </c>
      <c r="AP5197">
        <v>0</v>
      </c>
      <c r="AQ5197">
        <v>0</v>
      </c>
      <c r="AS5197">
        <v>0</v>
      </c>
      <c r="AT5197">
        <v>0</v>
      </c>
      <c r="AV5197">
        <v>0</v>
      </c>
      <c r="AW5197">
        <v>0</v>
      </c>
      <c r="AY5197">
        <v>0</v>
      </c>
      <c r="AZ5197">
        <v>0</v>
      </c>
      <c r="BA5197">
        <v>52.5</v>
      </c>
      <c r="BE5197" t="str">
        <f>T("9791137014381")</f>
        <v>9791137014381</v>
      </c>
      <c r="BF5197" t="str">
        <f>T("k117359")</f>
        <v>k117359</v>
      </c>
      <c r="BG5197" t="str">
        <f>T("판타지 웹소설 &gt; 퓨전 판타지")</f>
        <v>판타지 웹소설 &gt; 퓨전 판타지</v>
      </c>
    </row>
    <row r="5198" spans="1:59">
      <c r="A5198" t="s">
        <v>60</v>
      </c>
      <c r="B5198" s="1">
        <v>46130</v>
      </c>
      <c r="C5198">
        <v>2378044065</v>
      </c>
      <c r="D5198">
        <v>2378054731</v>
      </c>
      <c r="E5198" t="str">
        <f>T("저승의 왕위를 계승했다 227화")</f>
        <v>저승의 왕위를 계승했다 227화</v>
      </c>
      <c r="F5198">
        <v>227</v>
      </c>
      <c r="G5198" t="str">
        <f>T("신타비")</f>
        <v>신타비</v>
      </c>
      <c r="J5198" t="str">
        <f>T("매드햇")</f>
        <v>매드햇</v>
      </c>
      <c r="K5198" t="str">
        <f>T("저승의 왕위를 계승했다")</f>
        <v>저승의 왕위를 계승했다</v>
      </c>
      <c r="L5198">
        <v>100</v>
      </c>
      <c r="M5198">
        <v>75</v>
      </c>
      <c r="N5198">
        <v>1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0</v>
      </c>
      <c r="AE5198">
        <v>0</v>
      </c>
      <c r="AF5198">
        <v>0</v>
      </c>
      <c r="AG5198">
        <v>0</v>
      </c>
      <c r="AH5198">
        <v>0</v>
      </c>
      <c r="AI5198">
        <v>75</v>
      </c>
      <c r="AJ5198">
        <v>1</v>
      </c>
      <c r="AK5198">
        <v>0</v>
      </c>
      <c r="AL5198">
        <v>0</v>
      </c>
      <c r="AM5198">
        <v>75</v>
      </c>
      <c r="AN5198">
        <v>0</v>
      </c>
      <c r="AO5198">
        <v>0</v>
      </c>
      <c r="AP5198">
        <v>0</v>
      </c>
      <c r="AQ5198">
        <v>0</v>
      </c>
      <c r="AS5198">
        <v>0</v>
      </c>
      <c r="AT5198">
        <v>0</v>
      </c>
      <c r="AV5198">
        <v>0</v>
      </c>
      <c r="AW5198">
        <v>0</v>
      </c>
      <c r="AY5198">
        <v>0</v>
      </c>
      <c r="AZ5198">
        <v>0</v>
      </c>
      <c r="BA5198">
        <v>52.5</v>
      </c>
      <c r="BE5198" t="str">
        <f>T("9791137014381")</f>
        <v>9791137014381</v>
      </c>
      <c r="BF5198" t="str">
        <f>T("k120760")</f>
        <v>k120760</v>
      </c>
      <c r="BG5198" t="str">
        <f>T("판타지 웹소설 &gt; 퓨전 판타지")</f>
        <v>판타지 웹소설 &gt; 퓨전 판타지</v>
      </c>
    </row>
    <row r="5199" spans="1:59">
      <c r="A5199" t="s">
        <v>60</v>
      </c>
      <c r="B5199" s="1">
        <v>46130</v>
      </c>
      <c r="C5199">
        <v>2378044065</v>
      </c>
      <c r="D5199">
        <v>2378054740</v>
      </c>
      <c r="E5199" t="str">
        <f>T("저승의 왕위를 계승했다 228화")</f>
        <v>저승의 왕위를 계승했다 228화</v>
      </c>
      <c r="F5199">
        <v>228</v>
      </c>
      <c r="G5199" t="str">
        <f>T("신타비")</f>
        <v>신타비</v>
      </c>
      <c r="J5199" t="str">
        <f>T("매드햇")</f>
        <v>매드햇</v>
      </c>
      <c r="K5199" t="str">
        <f>T("저승의 왕위를 계승했다")</f>
        <v>저승의 왕위를 계승했다</v>
      </c>
      <c r="L5199">
        <v>100</v>
      </c>
      <c r="M5199">
        <v>75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0</v>
      </c>
      <c r="AE5199">
        <v>0</v>
      </c>
      <c r="AF5199">
        <v>0</v>
      </c>
      <c r="AG5199">
        <v>0</v>
      </c>
      <c r="AH5199">
        <v>0</v>
      </c>
      <c r="AI5199">
        <v>75</v>
      </c>
      <c r="AJ5199">
        <v>1</v>
      </c>
      <c r="AK5199">
        <v>0</v>
      </c>
      <c r="AL5199">
        <v>0</v>
      </c>
      <c r="AM5199">
        <v>75</v>
      </c>
      <c r="AN5199">
        <v>0</v>
      </c>
      <c r="AO5199">
        <v>0</v>
      </c>
      <c r="AP5199">
        <v>0</v>
      </c>
      <c r="AQ5199">
        <v>0</v>
      </c>
      <c r="AS5199">
        <v>0</v>
      </c>
      <c r="AT5199">
        <v>0</v>
      </c>
      <c r="AV5199">
        <v>0</v>
      </c>
      <c r="AW5199">
        <v>0</v>
      </c>
      <c r="AY5199">
        <v>0</v>
      </c>
      <c r="AZ5199">
        <v>0</v>
      </c>
      <c r="BA5199">
        <v>52.5</v>
      </c>
      <c r="BE5199" t="str">
        <f>T("9791137014381")</f>
        <v>9791137014381</v>
      </c>
      <c r="BF5199" t="str">
        <f>T("k120761")</f>
        <v>k120761</v>
      </c>
      <c r="BG5199" t="str">
        <f>T("판타지 웹소설 &gt; 퓨전 판타지")</f>
        <v>판타지 웹소설 &gt; 퓨전 판타지</v>
      </c>
    </row>
    <row r="5200" spans="1:59">
      <c r="A5200" t="s">
        <v>60</v>
      </c>
      <c r="B5200" s="1">
        <v>46130</v>
      </c>
      <c r="C5200">
        <v>2378044065</v>
      </c>
      <c r="D5200">
        <v>2378054765</v>
      </c>
      <c r="E5200" t="str">
        <f>T("저승의 왕위를 계승했다 229화")</f>
        <v>저승의 왕위를 계승했다 229화</v>
      </c>
      <c r="F5200">
        <v>229</v>
      </c>
      <c r="G5200" t="str">
        <f>T("신타비")</f>
        <v>신타비</v>
      </c>
      <c r="J5200" t="str">
        <f>T("매드햇")</f>
        <v>매드햇</v>
      </c>
      <c r="K5200" t="str">
        <f>T("저승의 왕위를 계승했다")</f>
        <v>저승의 왕위를 계승했다</v>
      </c>
      <c r="L5200">
        <v>100</v>
      </c>
      <c r="M5200">
        <v>75</v>
      </c>
      <c r="N5200">
        <v>1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0</v>
      </c>
      <c r="AE5200">
        <v>0</v>
      </c>
      <c r="AF5200">
        <v>0</v>
      </c>
      <c r="AG5200">
        <v>0</v>
      </c>
      <c r="AH5200">
        <v>0</v>
      </c>
      <c r="AI5200">
        <v>75</v>
      </c>
      <c r="AJ5200">
        <v>1</v>
      </c>
      <c r="AK5200">
        <v>0</v>
      </c>
      <c r="AL5200">
        <v>0</v>
      </c>
      <c r="AM5200">
        <v>75</v>
      </c>
      <c r="AN5200">
        <v>0</v>
      </c>
      <c r="AO5200">
        <v>0</v>
      </c>
      <c r="AP5200">
        <v>0</v>
      </c>
      <c r="AQ5200">
        <v>0</v>
      </c>
      <c r="AS5200">
        <v>0</v>
      </c>
      <c r="AT5200">
        <v>0</v>
      </c>
      <c r="AV5200">
        <v>0</v>
      </c>
      <c r="AW5200">
        <v>0</v>
      </c>
      <c r="AY5200">
        <v>0</v>
      </c>
      <c r="AZ5200">
        <v>0</v>
      </c>
      <c r="BA5200">
        <v>52.5</v>
      </c>
      <c r="BE5200" t="str">
        <f>T("9791137014381")</f>
        <v>9791137014381</v>
      </c>
      <c r="BF5200" t="str">
        <f>T("k120762")</f>
        <v>k120762</v>
      </c>
      <c r="BG5200" t="str">
        <f>T("판타지 웹소설 &gt; 퓨전 판타지")</f>
        <v>판타지 웹소설 &gt; 퓨전 판타지</v>
      </c>
    </row>
    <row r="5201" spans="1:59">
      <c r="A5201" t="s">
        <v>60</v>
      </c>
      <c r="B5201" s="1">
        <v>46130</v>
      </c>
      <c r="C5201">
        <v>2378044065</v>
      </c>
      <c r="D5201">
        <v>2378054770</v>
      </c>
      <c r="E5201" t="str">
        <f>T("저승의 왕위를 계승했다 230화")</f>
        <v>저승의 왕위를 계승했다 230화</v>
      </c>
      <c r="F5201">
        <v>230</v>
      </c>
      <c r="G5201" t="str">
        <f>T("신타비")</f>
        <v>신타비</v>
      </c>
      <c r="J5201" t="str">
        <f>T("매드햇")</f>
        <v>매드햇</v>
      </c>
      <c r="K5201" t="str">
        <f>T("저승의 왕위를 계승했다")</f>
        <v>저승의 왕위를 계승했다</v>
      </c>
      <c r="L5201">
        <v>100</v>
      </c>
      <c r="M5201">
        <v>75</v>
      </c>
      <c r="N5201">
        <v>1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0</v>
      </c>
      <c r="AE5201">
        <v>0</v>
      </c>
      <c r="AF5201">
        <v>0</v>
      </c>
      <c r="AG5201">
        <v>0</v>
      </c>
      <c r="AH5201">
        <v>0</v>
      </c>
      <c r="AI5201">
        <v>75</v>
      </c>
      <c r="AJ5201">
        <v>1</v>
      </c>
      <c r="AK5201">
        <v>0</v>
      </c>
      <c r="AL5201">
        <v>0</v>
      </c>
      <c r="AM5201">
        <v>75</v>
      </c>
      <c r="AN5201">
        <v>0</v>
      </c>
      <c r="AO5201">
        <v>0</v>
      </c>
      <c r="AP5201">
        <v>0</v>
      </c>
      <c r="AQ5201">
        <v>0</v>
      </c>
      <c r="AS5201">
        <v>0</v>
      </c>
      <c r="AT5201">
        <v>0</v>
      </c>
      <c r="AV5201">
        <v>0</v>
      </c>
      <c r="AW5201">
        <v>0</v>
      </c>
      <c r="AY5201">
        <v>0</v>
      </c>
      <c r="AZ5201">
        <v>0</v>
      </c>
      <c r="BA5201">
        <v>52.5</v>
      </c>
      <c r="BE5201" t="str">
        <f>T("9791137014381")</f>
        <v>9791137014381</v>
      </c>
      <c r="BF5201" t="str">
        <f>T("k120763")</f>
        <v>k120763</v>
      </c>
      <c r="BG5201" t="str">
        <f>T("판타지 웹소설 &gt; 퓨전 판타지")</f>
        <v>판타지 웹소설 &gt; 퓨전 판타지</v>
      </c>
    </row>
    <row r="5202" spans="1:59">
      <c r="A5202" t="s">
        <v>60</v>
      </c>
      <c r="B5202" s="1">
        <v>46130</v>
      </c>
      <c r="C5202">
        <v>2378044065</v>
      </c>
      <c r="D5202">
        <v>2378054792</v>
      </c>
      <c r="E5202" t="str">
        <f>T("저승의 왕위를 계승했다 231화")</f>
        <v>저승의 왕위를 계승했다 231화</v>
      </c>
      <c r="F5202">
        <v>231</v>
      </c>
      <c r="G5202" t="str">
        <f>T("신타비")</f>
        <v>신타비</v>
      </c>
      <c r="J5202" t="str">
        <f>T("매드햇")</f>
        <v>매드햇</v>
      </c>
      <c r="K5202" t="str">
        <f>T("저승의 왕위를 계승했다")</f>
        <v>저승의 왕위를 계승했다</v>
      </c>
      <c r="L5202">
        <v>100</v>
      </c>
      <c r="M5202">
        <v>75</v>
      </c>
      <c r="N5202">
        <v>1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0</v>
      </c>
      <c r="AE5202">
        <v>0</v>
      </c>
      <c r="AF5202">
        <v>0</v>
      </c>
      <c r="AG5202">
        <v>0</v>
      </c>
      <c r="AH5202">
        <v>0</v>
      </c>
      <c r="AI5202">
        <v>75</v>
      </c>
      <c r="AJ5202">
        <v>1</v>
      </c>
      <c r="AK5202">
        <v>0</v>
      </c>
      <c r="AL5202">
        <v>0</v>
      </c>
      <c r="AM5202">
        <v>75</v>
      </c>
      <c r="AN5202">
        <v>0</v>
      </c>
      <c r="AO5202">
        <v>0</v>
      </c>
      <c r="AP5202">
        <v>0</v>
      </c>
      <c r="AQ5202">
        <v>0</v>
      </c>
      <c r="AS5202">
        <v>0</v>
      </c>
      <c r="AT5202">
        <v>0</v>
      </c>
      <c r="AV5202">
        <v>0</v>
      </c>
      <c r="AW5202">
        <v>0</v>
      </c>
      <c r="AY5202">
        <v>0</v>
      </c>
      <c r="AZ5202">
        <v>0</v>
      </c>
      <c r="BA5202">
        <v>52.5</v>
      </c>
      <c r="BE5202" t="str">
        <f>T("9791137014381")</f>
        <v>9791137014381</v>
      </c>
      <c r="BF5202" t="str">
        <f>T("k123439")</f>
        <v>k123439</v>
      </c>
      <c r="BG5202" t="str">
        <f>T("판타지 웹소설 &gt; 퓨전 판타지")</f>
        <v>판타지 웹소설 &gt; 퓨전 판타지</v>
      </c>
    </row>
    <row r="5203" spans="1:59">
      <c r="A5203" t="s">
        <v>60</v>
      </c>
      <c r="B5203" s="1">
        <v>46130</v>
      </c>
      <c r="C5203">
        <v>2378044065</v>
      </c>
      <c r="D5203">
        <v>2378054812</v>
      </c>
      <c r="E5203" t="str">
        <f>T("저승의 왕위를 계승했다 232화")</f>
        <v>저승의 왕위를 계승했다 232화</v>
      </c>
      <c r="F5203">
        <v>232</v>
      </c>
      <c r="G5203" t="str">
        <f>T("신타비")</f>
        <v>신타비</v>
      </c>
      <c r="J5203" t="str">
        <f>T("매드햇")</f>
        <v>매드햇</v>
      </c>
      <c r="K5203" t="str">
        <f>T("저승의 왕위를 계승했다")</f>
        <v>저승의 왕위를 계승했다</v>
      </c>
      <c r="L5203">
        <v>100</v>
      </c>
      <c r="M5203">
        <v>75</v>
      </c>
      <c r="N5203">
        <v>1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0</v>
      </c>
      <c r="AE5203">
        <v>0</v>
      </c>
      <c r="AF5203">
        <v>0</v>
      </c>
      <c r="AG5203">
        <v>0</v>
      </c>
      <c r="AH5203">
        <v>0</v>
      </c>
      <c r="AI5203">
        <v>75</v>
      </c>
      <c r="AJ5203">
        <v>1</v>
      </c>
      <c r="AK5203">
        <v>0</v>
      </c>
      <c r="AL5203">
        <v>0</v>
      </c>
      <c r="AM5203">
        <v>75</v>
      </c>
      <c r="AN5203">
        <v>0</v>
      </c>
      <c r="AO5203">
        <v>0</v>
      </c>
      <c r="AP5203">
        <v>0</v>
      </c>
      <c r="AQ5203">
        <v>0</v>
      </c>
      <c r="AS5203">
        <v>0</v>
      </c>
      <c r="AT5203">
        <v>0</v>
      </c>
      <c r="AV5203">
        <v>0</v>
      </c>
      <c r="AW5203">
        <v>0</v>
      </c>
      <c r="AY5203">
        <v>0</v>
      </c>
      <c r="AZ5203">
        <v>0</v>
      </c>
      <c r="BA5203">
        <v>52.5</v>
      </c>
      <c r="BE5203" t="str">
        <f>T("9791137014381")</f>
        <v>9791137014381</v>
      </c>
      <c r="BF5203" t="str">
        <f>T("k123440")</f>
        <v>k123440</v>
      </c>
      <c r="BG5203" t="str">
        <f>T("판타지 웹소설 &gt; 퓨전 판타지")</f>
        <v>판타지 웹소설 &gt; 퓨전 판타지</v>
      </c>
    </row>
    <row r="5204" spans="1:59">
      <c r="A5204" t="s">
        <v>60</v>
      </c>
      <c r="B5204" s="1">
        <v>46130</v>
      </c>
      <c r="C5204">
        <v>2378044065</v>
      </c>
      <c r="D5204">
        <v>2378054826</v>
      </c>
      <c r="E5204" t="str">
        <f>T("저승의 왕위를 계승했다 233화")</f>
        <v>저승의 왕위를 계승했다 233화</v>
      </c>
      <c r="F5204">
        <v>233</v>
      </c>
      <c r="G5204" t="str">
        <f>T("신타비")</f>
        <v>신타비</v>
      </c>
      <c r="J5204" t="str">
        <f>T("매드햇")</f>
        <v>매드햇</v>
      </c>
      <c r="K5204" t="str">
        <f>T("저승의 왕위를 계승했다")</f>
        <v>저승의 왕위를 계승했다</v>
      </c>
      <c r="L5204">
        <v>100</v>
      </c>
      <c r="M5204">
        <v>75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0</v>
      </c>
      <c r="AE5204">
        <v>0</v>
      </c>
      <c r="AF5204">
        <v>0</v>
      </c>
      <c r="AG5204">
        <v>0</v>
      </c>
      <c r="AH5204">
        <v>0</v>
      </c>
      <c r="AI5204">
        <v>75</v>
      </c>
      <c r="AJ5204">
        <v>1</v>
      </c>
      <c r="AK5204">
        <v>0</v>
      </c>
      <c r="AL5204">
        <v>0</v>
      </c>
      <c r="AM5204">
        <v>75</v>
      </c>
      <c r="AN5204">
        <v>0</v>
      </c>
      <c r="AO5204">
        <v>0</v>
      </c>
      <c r="AP5204">
        <v>0</v>
      </c>
      <c r="AQ5204">
        <v>0</v>
      </c>
      <c r="AS5204">
        <v>0</v>
      </c>
      <c r="AT5204">
        <v>0</v>
      </c>
      <c r="AV5204">
        <v>0</v>
      </c>
      <c r="AW5204">
        <v>0</v>
      </c>
      <c r="AY5204">
        <v>0</v>
      </c>
      <c r="AZ5204">
        <v>0</v>
      </c>
      <c r="BA5204">
        <v>52.5</v>
      </c>
      <c r="BE5204" t="str">
        <f>T("9791137014381")</f>
        <v>9791137014381</v>
      </c>
      <c r="BF5204" t="str">
        <f>T("k123441")</f>
        <v>k123441</v>
      </c>
      <c r="BG5204" t="str">
        <f>T("판타지 웹소설 &gt; 퓨전 판타지")</f>
        <v>판타지 웹소설 &gt; 퓨전 판타지</v>
      </c>
    </row>
    <row r="5205" spans="1:59">
      <c r="A5205" t="s">
        <v>60</v>
      </c>
      <c r="B5205" s="1">
        <v>46130</v>
      </c>
      <c r="C5205">
        <v>2378044065</v>
      </c>
      <c r="D5205">
        <v>2378054841</v>
      </c>
      <c r="E5205" t="str">
        <f>T("저승의 왕위를 계승했다 234화")</f>
        <v>저승의 왕위를 계승했다 234화</v>
      </c>
      <c r="F5205">
        <v>234</v>
      </c>
      <c r="G5205" t="str">
        <f>T("신타비")</f>
        <v>신타비</v>
      </c>
      <c r="J5205" t="str">
        <f>T("매드햇")</f>
        <v>매드햇</v>
      </c>
      <c r="K5205" t="str">
        <f>T("저승의 왕위를 계승했다")</f>
        <v>저승의 왕위를 계승했다</v>
      </c>
      <c r="L5205">
        <v>100</v>
      </c>
      <c r="M5205">
        <v>75</v>
      </c>
      <c r="N5205">
        <v>1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0</v>
      </c>
      <c r="AE5205">
        <v>0</v>
      </c>
      <c r="AF5205">
        <v>0</v>
      </c>
      <c r="AG5205">
        <v>0</v>
      </c>
      <c r="AH5205">
        <v>0</v>
      </c>
      <c r="AI5205">
        <v>75</v>
      </c>
      <c r="AJ5205">
        <v>1</v>
      </c>
      <c r="AK5205">
        <v>0</v>
      </c>
      <c r="AL5205">
        <v>0</v>
      </c>
      <c r="AM5205">
        <v>75</v>
      </c>
      <c r="AN5205">
        <v>0</v>
      </c>
      <c r="AO5205">
        <v>0</v>
      </c>
      <c r="AP5205">
        <v>0</v>
      </c>
      <c r="AQ5205">
        <v>0</v>
      </c>
      <c r="AS5205">
        <v>0</v>
      </c>
      <c r="AT5205">
        <v>0</v>
      </c>
      <c r="AV5205">
        <v>0</v>
      </c>
      <c r="AW5205">
        <v>0</v>
      </c>
      <c r="AY5205">
        <v>0</v>
      </c>
      <c r="AZ5205">
        <v>0</v>
      </c>
      <c r="BA5205">
        <v>52.5</v>
      </c>
      <c r="BE5205" t="str">
        <f>T("9791137014381")</f>
        <v>9791137014381</v>
      </c>
      <c r="BF5205" t="str">
        <f>T("k123442")</f>
        <v>k123442</v>
      </c>
      <c r="BG5205" t="str">
        <f>T("판타지 웹소설 &gt; 퓨전 판타지")</f>
        <v>판타지 웹소설 &gt; 퓨전 판타지</v>
      </c>
    </row>
    <row r="5206" spans="1:59">
      <c r="A5206" t="s">
        <v>60</v>
      </c>
      <c r="B5206" s="1">
        <v>46130</v>
      </c>
      <c r="C5206">
        <v>2378044065</v>
      </c>
      <c r="D5206">
        <v>2378054857</v>
      </c>
      <c r="E5206" t="str">
        <f>T("저승의 왕위를 계승했다 236화")</f>
        <v>저승의 왕위를 계승했다 236화</v>
      </c>
      <c r="F5206">
        <v>236</v>
      </c>
      <c r="G5206" t="str">
        <f>T("신타비")</f>
        <v>신타비</v>
      </c>
      <c r="J5206" t="str">
        <f>T("매드햇")</f>
        <v>매드햇</v>
      </c>
      <c r="K5206" t="str">
        <f>T("저승의 왕위를 계승했다")</f>
        <v>저승의 왕위를 계승했다</v>
      </c>
      <c r="L5206">
        <v>100</v>
      </c>
      <c r="M5206">
        <v>75</v>
      </c>
      <c r="N5206">
        <v>1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0</v>
      </c>
      <c r="AE5206">
        <v>0</v>
      </c>
      <c r="AF5206">
        <v>0</v>
      </c>
      <c r="AG5206">
        <v>0</v>
      </c>
      <c r="AH5206">
        <v>0</v>
      </c>
      <c r="AI5206">
        <v>75</v>
      </c>
      <c r="AJ5206">
        <v>1</v>
      </c>
      <c r="AK5206">
        <v>0</v>
      </c>
      <c r="AL5206">
        <v>0</v>
      </c>
      <c r="AM5206">
        <v>75</v>
      </c>
      <c r="AN5206">
        <v>0</v>
      </c>
      <c r="AO5206">
        <v>0</v>
      </c>
      <c r="AP5206">
        <v>0</v>
      </c>
      <c r="AQ5206">
        <v>0</v>
      </c>
      <c r="AS5206">
        <v>0</v>
      </c>
      <c r="AT5206">
        <v>0</v>
      </c>
      <c r="AV5206">
        <v>0</v>
      </c>
      <c r="AW5206">
        <v>0</v>
      </c>
      <c r="AY5206">
        <v>0</v>
      </c>
      <c r="AZ5206">
        <v>0</v>
      </c>
      <c r="BA5206">
        <v>52.5</v>
      </c>
      <c r="BE5206" t="str">
        <f>T("9791137014381")</f>
        <v>9791137014381</v>
      </c>
      <c r="BF5206" t="str">
        <f>T("k124808")</f>
        <v>k124808</v>
      </c>
      <c r="BG5206" t="str">
        <f>T("판타지 웹소설 &gt; 퓨전 판타지")</f>
        <v>판타지 웹소설 &gt; 퓨전 판타지</v>
      </c>
    </row>
    <row r="5207" spans="1:59">
      <c r="A5207" t="s">
        <v>60</v>
      </c>
      <c r="B5207" s="1">
        <v>46130</v>
      </c>
      <c r="C5207">
        <v>2378044065</v>
      </c>
      <c r="D5207">
        <v>2378054872</v>
      </c>
      <c r="E5207" t="str">
        <f>T("저승의 왕위를 계승했다 237화")</f>
        <v>저승의 왕위를 계승했다 237화</v>
      </c>
      <c r="F5207">
        <v>237</v>
      </c>
      <c r="G5207" t="str">
        <f>T("신타비")</f>
        <v>신타비</v>
      </c>
      <c r="J5207" t="str">
        <f>T("매드햇")</f>
        <v>매드햇</v>
      </c>
      <c r="K5207" t="str">
        <f>T("저승의 왕위를 계승했다")</f>
        <v>저승의 왕위를 계승했다</v>
      </c>
      <c r="L5207">
        <v>100</v>
      </c>
      <c r="M5207">
        <v>75</v>
      </c>
      <c r="N5207">
        <v>1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0</v>
      </c>
      <c r="AE5207">
        <v>0</v>
      </c>
      <c r="AF5207">
        <v>0</v>
      </c>
      <c r="AG5207">
        <v>0</v>
      </c>
      <c r="AH5207">
        <v>0</v>
      </c>
      <c r="AI5207">
        <v>75</v>
      </c>
      <c r="AJ5207">
        <v>1</v>
      </c>
      <c r="AK5207">
        <v>0</v>
      </c>
      <c r="AL5207">
        <v>0</v>
      </c>
      <c r="AM5207">
        <v>75</v>
      </c>
      <c r="AN5207">
        <v>0</v>
      </c>
      <c r="AO5207">
        <v>0</v>
      </c>
      <c r="AP5207">
        <v>0</v>
      </c>
      <c r="AQ5207">
        <v>0</v>
      </c>
      <c r="AS5207">
        <v>0</v>
      </c>
      <c r="AT5207">
        <v>0</v>
      </c>
      <c r="AV5207">
        <v>0</v>
      </c>
      <c r="AW5207">
        <v>0</v>
      </c>
      <c r="AY5207">
        <v>0</v>
      </c>
      <c r="AZ5207">
        <v>0</v>
      </c>
      <c r="BA5207">
        <v>52.5</v>
      </c>
      <c r="BE5207" t="str">
        <f>T("9791137014381")</f>
        <v>9791137014381</v>
      </c>
      <c r="BF5207" t="str">
        <f>T("k124809")</f>
        <v>k124809</v>
      </c>
      <c r="BG5207" t="str">
        <f>T("판타지 웹소설 &gt; 퓨전 판타지")</f>
        <v>판타지 웹소설 &gt; 퓨전 판타지</v>
      </c>
    </row>
    <row r="5208" spans="1:59">
      <c r="A5208" t="s">
        <v>60</v>
      </c>
      <c r="B5208" s="1">
        <v>46130</v>
      </c>
      <c r="C5208">
        <v>2378044065</v>
      </c>
      <c r="D5208">
        <v>2378054876</v>
      </c>
      <c r="E5208" t="str">
        <f>T("저승의 왕위를 계승했다 238화")</f>
        <v>저승의 왕위를 계승했다 238화</v>
      </c>
      <c r="F5208">
        <v>238</v>
      </c>
      <c r="G5208" t="str">
        <f>T("신타비")</f>
        <v>신타비</v>
      </c>
      <c r="J5208" t="str">
        <f>T("매드햇")</f>
        <v>매드햇</v>
      </c>
      <c r="K5208" t="str">
        <f>T("저승의 왕위를 계승했다")</f>
        <v>저승의 왕위를 계승했다</v>
      </c>
      <c r="L5208">
        <v>100</v>
      </c>
      <c r="M5208">
        <v>75</v>
      </c>
      <c r="N5208">
        <v>1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0</v>
      </c>
      <c r="AE5208">
        <v>0</v>
      </c>
      <c r="AF5208">
        <v>0</v>
      </c>
      <c r="AG5208">
        <v>0</v>
      </c>
      <c r="AH5208">
        <v>0</v>
      </c>
      <c r="AI5208">
        <v>75</v>
      </c>
      <c r="AJ5208">
        <v>1</v>
      </c>
      <c r="AK5208">
        <v>0</v>
      </c>
      <c r="AL5208">
        <v>0</v>
      </c>
      <c r="AM5208">
        <v>75</v>
      </c>
      <c r="AN5208">
        <v>0</v>
      </c>
      <c r="AO5208">
        <v>0</v>
      </c>
      <c r="AP5208">
        <v>0</v>
      </c>
      <c r="AQ5208">
        <v>0</v>
      </c>
      <c r="AS5208">
        <v>0</v>
      </c>
      <c r="AT5208">
        <v>0</v>
      </c>
      <c r="AV5208">
        <v>0</v>
      </c>
      <c r="AW5208">
        <v>0</v>
      </c>
      <c r="AY5208">
        <v>0</v>
      </c>
      <c r="AZ5208">
        <v>0</v>
      </c>
      <c r="BA5208">
        <v>52.5</v>
      </c>
      <c r="BE5208" t="str">
        <f>T("9791137014381")</f>
        <v>9791137014381</v>
      </c>
      <c r="BF5208" t="str">
        <f>T("k124810")</f>
        <v>k124810</v>
      </c>
      <c r="BG5208" t="str">
        <f>T("판타지 웹소설 &gt; 퓨전 판타지")</f>
        <v>판타지 웹소설 &gt; 퓨전 판타지</v>
      </c>
    </row>
    <row r="5209" spans="1:59">
      <c r="A5209" t="s">
        <v>60</v>
      </c>
      <c r="B5209" s="1">
        <v>46130</v>
      </c>
      <c r="C5209">
        <v>2378044065</v>
      </c>
      <c r="D5209">
        <v>2378054882</v>
      </c>
      <c r="E5209" t="str">
        <f>T("저승의 왕위를 계승했다 239화")</f>
        <v>저승의 왕위를 계승했다 239화</v>
      </c>
      <c r="F5209">
        <v>239</v>
      </c>
      <c r="G5209" t="str">
        <f>T("신타비")</f>
        <v>신타비</v>
      </c>
      <c r="J5209" t="str">
        <f>T("매드햇")</f>
        <v>매드햇</v>
      </c>
      <c r="K5209" t="str">
        <f>T("저승의 왕위를 계승했다")</f>
        <v>저승의 왕위를 계승했다</v>
      </c>
      <c r="L5209">
        <v>100</v>
      </c>
      <c r="M5209">
        <v>75</v>
      </c>
      <c r="N5209">
        <v>1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0</v>
      </c>
      <c r="AE5209">
        <v>0</v>
      </c>
      <c r="AF5209">
        <v>0</v>
      </c>
      <c r="AG5209">
        <v>0</v>
      </c>
      <c r="AH5209">
        <v>0</v>
      </c>
      <c r="AI5209">
        <v>75</v>
      </c>
      <c r="AJ5209">
        <v>1</v>
      </c>
      <c r="AK5209">
        <v>0</v>
      </c>
      <c r="AL5209">
        <v>0</v>
      </c>
      <c r="AM5209">
        <v>75</v>
      </c>
      <c r="AN5209">
        <v>0</v>
      </c>
      <c r="AO5209">
        <v>0</v>
      </c>
      <c r="AP5209">
        <v>0</v>
      </c>
      <c r="AQ5209">
        <v>0</v>
      </c>
      <c r="AS5209">
        <v>0</v>
      </c>
      <c r="AT5209">
        <v>0</v>
      </c>
      <c r="AV5209">
        <v>0</v>
      </c>
      <c r="AW5209">
        <v>0</v>
      </c>
      <c r="AY5209">
        <v>0</v>
      </c>
      <c r="AZ5209">
        <v>0</v>
      </c>
      <c r="BA5209">
        <v>52.5</v>
      </c>
      <c r="BE5209" t="str">
        <f>T("9791137014381")</f>
        <v>9791137014381</v>
      </c>
      <c r="BF5209" t="str">
        <f>T("k125839")</f>
        <v>k125839</v>
      </c>
      <c r="BG5209" t="str">
        <f>T("판타지 웹소설 &gt; 퓨전 판타지")</f>
        <v>판타지 웹소설 &gt; 퓨전 판타지</v>
      </c>
    </row>
    <row r="5210" spans="1:59">
      <c r="A5210" t="s">
        <v>60</v>
      </c>
      <c r="B5210" s="1">
        <v>46130</v>
      </c>
      <c r="C5210">
        <v>2378044065</v>
      </c>
      <c r="D5210">
        <v>2378054891</v>
      </c>
      <c r="E5210" t="str">
        <f>T("저승의 왕위를 계승했다 240화")</f>
        <v>저승의 왕위를 계승했다 240화</v>
      </c>
      <c r="F5210">
        <v>240</v>
      </c>
      <c r="G5210" t="str">
        <f>T("신타비")</f>
        <v>신타비</v>
      </c>
      <c r="J5210" t="str">
        <f>T("매드햇")</f>
        <v>매드햇</v>
      </c>
      <c r="K5210" t="str">
        <f>T("저승의 왕위를 계승했다")</f>
        <v>저승의 왕위를 계승했다</v>
      </c>
      <c r="L5210">
        <v>100</v>
      </c>
      <c r="M5210">
        <v>75</v>
      </c>
      <c r="N5210">
        <v>1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0</v>
      </c>
      <c r="AE5210">
        <v>0</v>
      </c>
      <c r="AF5210">
        <v>0</v>
      </c>
      <c r="AG5210">
        <v>0</v>
      </c>
      <c r="AH5210">
        <v>0</v>
      </c>
      <c r="AI5210">
        <v>75</v>
      </c>
      <c r="AJ5210">
        <v>1</v>
      </c>
      <c r="AK5210">
        <v>0</v>
      </c>
      <c r="AL5210">
        <v>0</v>
      </c>
      <c r="AM5210">
        <v>75</v>
      </c>
      <c r="AN5210">
        <v>0</v>
      </c>
      <c r="AO5210">
        <v>0</v>
      </c>
      <c r="AP5210">
        <v>0</v>
      </c>
      <c r="AQ5210">
        <v>0</v>
      </c>
      <c r="AS5210">
        <v>0</v>
      </c>
      <c r="AT5210">
        <v>0</v>
      </c>
      <c r="AV5210">
        <v>0</v>
      </c>
      <c r="AW5210">
        <v>0</v>
      </c>
      <c r="AY5210">
        <v>0</v>
      </c>
      <c r="AZ5210">
        <v>0</v>
      </c>
      <c r="BA5210">
        <v>52.5</v>
      </c>
      <c r="BE5210" t="str">
        <f>T("9791137014381")</f>
        <v>9791137014381</v>
      </c>
      <c r="BF5210" t="str">
        <f>T("k125840")</f>
        <v>k125840</v>
      </c>
      <c r="BG5210" t="str">
        <f>T("판타지 웹소설 &gt; 퓨전 판타지")</f>
        <v>판타지 웹소설 &gt; 퓨전 판타지</v>
      </c>
    </row>
    <row r="5211" spans="1:59">
      <c r="A5211" t="s">
        <v>60</v>
      </c>
      <c r="B5211" s="1">
        <v>46130</v>
      </c>
      <c r="C5211">
        <v>2378044065</v>
      </c>
      <c r="D5211">
        <v>2378055016</v>
      </c>
      <c r="E5211" t="str">
        <f>T("저승의 왕위를 계승했다 241화")</f>
        <v>저승의 왕위를 계승했다 241화</v>
      </c>
      <c r="F5211">
        <v>241</v>
      </c>
      <c r="G5211" t="str">
        <f>T("신타비")</f>
        <v>신타비</v>
      </c>
      <c r="J5211" t="str">
        <f>T("매드햇")</f>
        <v>매드햇</v>
      </c>
      <c r="K5211" t="str">
        <f>T("저승의 왕위를 계승했다")</f>
        <v>저승의 왕위를 계승했다</v>
      </c>
      <c r="L5211">
        <v>100</v>
      </c>
      <c r="M5211">
        <v>75</v>
      </c>
      <c r="N5211">
        <v>1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0</v>
      </c>
      <c r="AE5211">
        <v>0</v>
      </c>
      <c r="AF5211">
        <v>0</v>
      </c>
      <c r="AG5211">
        <v>0</v>
      </c>
      <c r="AH5211">
        <v>0</v>
      </c>
      <c r="AI5211">
        <v>75</v>
      </c>
      <c r="AJ5211">
        <v>1</v>
      </c>
      <c r="AK5211">
        <v>0</v>
      </c>
      <c r="AL5211">
        <v>0</v>
      </c>
      <c r="AM5211">
        <v>75</v>
      </c>
      <c r="AN5211">
        <v>0</v>
      </c>
      <c r="AO5211">
        <v>0</v>
      </c>
      <c r="AP5211">
        <v>0</v>
      </c>
      <c r="AQ5211">
        <v>0</v>
      </c>
      <c r="AS5211">
        <v>0</v>
      </c>
      <c r="AT5211">
        <v>0</v>
      </c>
      <c r="AV5211">
        <v>0</v>
      </c>
      <c r="AW5211">
        <v>0</v>
      </c>
      <c r="AY5211">
        <v>0</v>
      </c>
      <c r="AZ5211">
        <v>0</v>
      </c>
      <c r="BA5211">
        <v>52.5</v>
      </c>
      <c r="BE5211" t="str">
        <f>T("9791137014381")</f>
        <v>9791137014381</v>
      </c>
      <c r="BF5211" t="str">
        <f>T("k125841")</f>
        <v>k125841</v>
      </c>
      <c r="BG5211" t="str">
        <f>T("판타지 웹소설 &gt; 퓨전 판타지")</f>
        <v>판타지 웹소설 &gt; 퓨전 판타지</v>
      </c>
    </row>
    <row r="5212" spans="1:59">
      <c r="A5212" t="s">
        <v>60</v>
      </c>
      <c r="B5212" s="1">
        <v>46130</v>
      </c>
      <c r="C5212">
        <v>2378044065</v>
      </c>
      <c r="D5212">
        <v>2378055049</v>
      </c>
      <c r="E5212" t="str">
        <f>T("저승의 왕위를 계승했다 243화")</f>
        <v>저승의 왕위를 계승했다 243화</v>
      </c>
      <c r="F5212">
        <v>243</v>
      </c>
      <c r="G5212" t="str">
        <f>T("신타비")</f>
        <v>신타비</v>
      </c>
      <c r="J5212" t="str">
        <f>T("매드햇")</f>
        <v>매드햇</v>
      </c>
      <c r="K5212" t="str">
        <f>T("저승의 왕위를 계승했다")</f>
        <v>저승의 왕위를 계승했다</v>
      </c>
      <c r="L5212">
        <v>100</v>
      </c>
      <c r="M5212">
        <v>75</v>
      </c>
      <c r="N5212">
        <v>1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0</v>
      </c>
      <c r="AE5212">
        <v>0</v>
      </c>
      <c r="AF5212">
        <v>0</v>
      </c>
      <c r="AG5212">
        <v>0</v>
      </c>
      <c r="AH5212">
        <v>0</v>
      </c>
      <c r="AI5212">
        <v>75</v>
      </c>
      <c r="AJ5212">
        <v>1</v>
      </c>
      <c r="AK5212">
        <v>0</v>
      </c>
      <c r="AL5212">
        <v>0</v>
      </c>
      <c r="AM5212">
        <v>75</v>
      </c>
      <c r="AN5212">
        <v>0</v>
      </c>
      <c r="AO5212">
        <v>0</v>
      </c>
      <c r="AP5212">
        <v>0</v>
      </c>
      <c r="AQ5212">
        <v>0</v>
      </c>
      <c r="AS5212">
        <v>0</v>
      </c>
      <c r="AT5212">
        <v>0</v>
      </c>
      <c r="AV5212">
        <v>0</v>
      </c>
      <c r="AW5212">
        <v>0</v>
      </c>
      <c r="AY5212">
        <v>0</v>
      </c>
      <c r="AZ5212">
        <v>0</v>
      </c>
      <c r="BA5212">
        <v>52.5</v>
      </c>
      <c r="BE5212" t="str">
        <f>T("9791137014381")</f>
        <v>9791137014381</v>
      </c>
      <c r="BF5212" t="str">
        <f>T("k129835")</f>
        <v>k129835</v>
      </c>
      <c r="BG5212" t="str">
        <f>T("판타지 웹소설 &gt; 퓨전 판타지")</f>
        <v>판타지 웹소설 &gt; 퓨전 판타지</v>
      </c>
    </row>
    <row r="5213" spans="1:59">
      <c r="A5213" t="s">
        <v>60</v>
      </c>
      <c r="B5213" s="1">
        <v>46130</v>
      </c>
      <c r="C5213">
        <v>2378044065</v>
      </c>
      <c r="D5213">
        <v>2378055059</v>
      </c>
      <c r="E5213" t="str">
        <f>T("저승의 왕위를 계승했다 244화")</f>
        <v>저승의 왕위를 계승했다 244화</v>
      </c>
      <c r="F5213">
        <v>244</v>
      </c>
      <c r="G5213" t="str">
        <f>T("신타비")</f>
        <v>신타비</v>
      </c>
      <c r="J5213" t="str">
        <f>T("매드햇")</f>
        <v>매드햇</v>
      </c>
      <c r="K5213" t="str">
        <f>T("저승의 왕위를 계승했다")</f>
        <v>저승의 왕위를 계승했다</v>
      </c>
      <c r="L5213">
        <v>100</v>
      </c>
      <c r="M5213">
        <v>75</v>
      </c>
      <c r="N5213">
        <v>1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0</v>
      </c>
      <c r="AE5213">
        <v>0</v>
      </c>
      <c r="AF5213">
        <v>0</v>
      </c>
      <c r="AG5213">
        <v>0</v>
      </c>
      <c r="AH5213">
        <v>0</v>
      </c>
      <c r="AI5213">
        <v>75</v>
      </c>
      <c r="AJ5213">
        <v>1</v>
      </c>
      <c r="AK5213">
        <v>0</v>
      </c>
      <c r="AL5213">
        <v>0</v>
      </c>
      <c r="AM5213">
        <v>75</v>
      </c>
      <c r="AN5213">
        <v>0</v>
      </c>
      <c r="AO5213">
        <v>0</v>
      </c>
      <c r="AP5213">
        <v>0</v>
      </c>
      <c r="AQ5213">
        <v>0</v>
      </c>
      <c r="AS5213">
        <v>0</v>
      </c>
      <c r="AT5213">
        <v>0</v>
      </c>
      <c r="AV5213">
        <v>0</v>
      </c>
      <c r="AW5213">
        <v>0</v>
      </c>
      <c r="AY5213">
        <v>0</v>
      </c>
      <c r="AZ5213">
        <v>0</v>
      </c>
      <c r="BA5213">
        <v>52.5</v>
      </c>
      <c r="BE5213" t="str">
        <f>T("9791137014381")</f>
        <v>9791137014381</v>
      </c>
      <c r="BF5213" t="str">
        <f>T("k129836")</f>
        <v>k129836</v>
      </c>
      <c r="BG5213" t="str">
        <f>T("판타지 웹소설 &gt; 퓨전 판타지")</f>
        <v>판타지 웹소설 &gt; 퓨전 판타지</v>
      </c>
    </row>
    <row r="5214" spans="1:59">
      <c r="A5214" t="s">
        <v>60</v>
      </c>
      <c r="B5214" s="1">
        <v>46130</v>
      </c>
      <c r="C5214">
        <v>2378044065</v>
      </c>
      <c r="D5214">
        <v>2378055076</v>
      </c>
      <c r="E5214" t="str">
        <f>T("저승의 왕위를 계승했다 245화")</f>
        <v>저승의 왕위를 계승했다 245화</v>
      </c>
      <c r="F5214">
        <v>245</v>
      </c>
      <c r="G5214" t="str">
        <f>T("신타비")</f>
        <v>신타비</v>
      </c>
      <c r="J5214" t="str">
        <f>T("매드햇")</f>
        <v>매드햇</v>
      </c>
      <c r="K5214" t="str">
        <f>T("저승의 왕위를 계승했다")</f>
        <v>저승의 왕위를 계승했다</v>
      </c>
      <c r="L5214">
        <v>100</v>
      </c>
      <c r="M5214">
        <v>75</v>
      </c>
      <c r="N5214">
        <v>1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0</v>
      </c>
      <c r="AE5214">
        <v>0</v>
      </c>
      <c r="AF5214">
        <v>0</v>
      </c>
      <c r="AG5214">
        <v>0</v>
      </c>
      <c r="AH5214">
        <v>0</v>
      </c>
      <c r="AI5214">
        <v>75</v>
      </c>
      <c r="AJ5214">
        <v>1</v>
      </c>
      <c r="AK5214">
        <v>0</v>
      </c>
      <c r="AL5214">
        <v>0</v>
      </c>
      <c r="AM5214">
        <v>75</v>
      </c>
      <c r="AN5214">
        <v>0</v>
      </c>
      <c r="AO5214">
        <v>0</v>
      </c>
      <c r="AP5214">
        <v>0</v>
      </c>
      <c r="AQ5214">
        <v>0</v>
      </c>
      <c r="AS5214">
        <v>0</v>
      </c>
      <c r="AT5214">
        <v>0</v>
      </c>
      <c r="AV5214">
        <v>0</v>
      </c>
      <c r="AW5214">
        <v>0</v>
      </c>
      <c r="AY5214">
        <v>0</v>
      </c>
      <c r="AZ5214">
        <v>0</v>
      </c>
      <c r="BA5214">
        <v>52.5</v>
      </c>
      <c r="BE5214" t="str">
        <f>T("9791137014381")</f>
        <v>9791137014381</v>
      </c>
      <c r="BF5214" t="str">
        <f>T("k129837")</f>
        <v>k129837</v>
      </c>
      <c r="BG5214" t="str">
        <f>T("판타지 웹소설 &gt; 퓨전 판타지")</f>
        <v>판타지 웹소설 &gt; 퓨전 판타지</v>
      </c>
    </row>
    <row r="5215" spans="1:59">
      <c r="A5215" t="s">
        <v>60</v>
      </c>
      <c r="B5215" s="1">
        <v>46130</v>
      </c>
      <c r="C5215">
        <v>2378044065</v>
      </c>
      <c r="D5215">
        <v>2378055077</v>
      </c>
      <c r="E5215" t="str">
        <f>T("저승의 왕위를 계승했다 246화")</f>
        <v>저승의 왕위를 계승했다 246화</v>
      </c>
      <c r="F5215">
        <v>246</v>
      </c>
      <c r="G5215" t="str">
        <f>T("신타비")</f>
        <v>신타비</v>
      </c>
      <c r="J5215" t="str">
        <f>T("매드햇")</f>
        <v>매드햇</v>
      </c>
      <c r="K5215" t="str">
        <f>T("저승의 왕위를 계승했다")</f>
        <v>저승의 왕위를 계승했다</v>
      </c>
      <c r="L5215">
        <v>100</v>
      </c>
      <c r="M5215">
        <v>75</v>
      </c>
      <c r="N5215">
        <v>1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0</v>
      </c>
      <c r="AE5215">
        <v>0</v>
      </c>
      <c r="AF5215">
        <v>0</v>
      </c>
      <c r="AG5215">
        <v>0</v>
      </c>
      <c r="AH5215">
        <v>0</v>
      </c>
      <c r="AI5215">
        <v>75</v>
      </c>
      <c r="AJ5215">
        <v>1</v>
      </c>
      <c r="AK5215">
        <v>0</v>
      </c>
      <c r="AL5215">
        <v>0</v>
      </c>
      <c r="AM5215">
        <v>75</v>
      </c>
      <c r="AN5215">
        <v>0</v>
      </c>
      <c r="AO5215">
        <v>0</v>
      </c>
      <c r="AP5215">
        <v>0</v>
      </c>
      <c r="AQ5215">
        <v>0</v>
      </c>
      <c r="AS5215">
        <v>0</v>
      </c>
      <c r="AT5215">
        <v>0</v>
      </c>
      <c r="AV5215">
        <v>0</v>
      </c>
      <c r="AW5215">
        <v>0</v>
      </c>
      <c r="AY5215">
        <v>0</v>
      </c>
      <c r="AZ5215">
        <v>0</v>
      </c>
      <c r="BA5215">
        <v>52.5</v>
      </c>
      <c r="BE5215" t="str">
        <f>T("9791137014381")</f>
        <v>9791137014381</v>
      </c>
      <c r="BF5215" t="str">
        <f>T("k129838")</f>
        <v>k129838</v>
      </c>
      <c r="BG5215" t="str">
        <f>T("판타지 웹소설 &gt; 퓨전 판타지")</f>
        <v>판타지 웹소설 &gt; 퓨전 판타지</v>
      </c>
    </row>
    <row r="5216" spans="1:59">
      <c r="A5216" t="s">
        <v>60</v>
      </c>
      <c r="B5216" s="1">
        <v>46130</v>
      </c>
      <c r="C5216">
        <v>2378044065</v>
      </c>
      <c r="D5216">
        <v>2378067956</v>
      </c>
      <c r="E5216" t="str">
        <f>T("저승의 왕위를 계승했다 454화")</f>
        <v>저승의 왕위를 계승했다 454화</v>
      </c>
      <c r="F5216">
        <v>455</v>
      </c>
      <c r="G5216" t="str">
        <f>T("신타비")</f>
        <v>신타비</v>
      </c>
      <c r="J5216" t="str">
        <f>T("매드햇")</f>
        <v>매드햇</v>
      </c>
      <c r="K5216" t="str">
        <f>T("저승의 왕위를 계승했다")</f>
        <v>저승의 왕위를 계승했다</v>
      </c>
      <c r="L5216">
        <v>100</v>
      </c>
      <c r="M5216">
        <v>100</v>
      </c>
      <c r="N5216">
        <v>1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0</v>
      </c>
      <c r="AE5216">
        <v>0</v>
      </c>
      <c r="AF5216">
        <v>0</v>
      </c>
      <c r="AG5216">
        <v>0</v>
      </c>
      <c r="AH5216">
        <v>0</v>
      </c>
      <c r="AI5216">
        <v>100</v>
      </c>
      <c r="AJ5216">
        <v>1</v>
      </c>
      <c r="AK5216">
        <v>0</v>
      </c>
      <c r="AL5216">
        <v>0</v>
      </c>
      <c r="AM5216">
        <v>100</v>
      </c>
      <c r="AN5216">
        <v>0</v>
      </c>
      <c r="AO5216">
        <v>0</v>
      </c>
      <c r="AP5216">
        <v>0</v>
      </c>
      <c r="AQ5216">
        <v>0</v>
      </c>
      <c r="AS5216">
        <v>0</v>
      </c>
      <c r="AT5216">
        <v>0</v>
      </c>
      <c r="AV5216">
        <v>0</v>
      </c>
      <c r="AW5216">
        <v>0</v>
      </c>
      <c r="AY5216">
        <v>0</v>
      </c>
      <c r="AZ5216">
        <v>0</v>
      </c>
      <c r="BA5216">
        <v>70</v>
      </c>
      <c r="BE5216" t="str">
        <f>T("9791137014381")</f>
        <v>9791137014381</v>
      </c>
      <c r="BF5216" t="str">
        <f>T("k345105")</f>
        <v>k345105</v>
      </c>
      <c r="BG5216" t="str">
        <f>T("판타지 웹소설 &gt; 퓨전 판타지")</f>
        <v>판타지 웹소설 &gt; 퓨전 판타지</v>
      </c>
    </row>
    <row r="5217" spans="1:59">
      <c r="A5217" t="s">
        <v>60</v>
      </c>
      <c r="B5217" s="1">
        <v>46130</v>
      </c>
      <c r="C5217">
        <v>2378044065</v>
      </c>
      <c r="D5217">
        <v>2378067966</v>
      </c>
      <c r="E5217" t="str">
        <f>T("저승의 왕위를 계승했다 455화")</f>
        <v>저승의 왕위를 계승했다 455화</v>
      </c>
      <c r="F5217">
        <v>456</v>
      </c>
      <c r="G5217" t="str">
        <f>T("신타비")</f>
        <v>신타비</v>
      </c>
      <c r="J5217" t="str">
        <f>T("매드햇")</f>
        <v>매드햇</v>
      </c>
      <c r="K5217" t="str">
        <f>T("저승의 왕위를 계승했다")</f>
        <v>저승의 왕위를 계승했다</v>
      </c>
      <c r="L5217">
        <v>100</v>
      </c>
      <c r="M5217">
        <v>100</v>
      </c>
      <c r="N5217">
        <v>1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0</v>
      </c>
      <c r="AE5217">
        <v>0</v>
      </c>
      <c r="AF5217">
        <v>0</v>
      </c>
      <c r="AG5217">
        <v>0</v>
      </c>
      <c r="AH5217">
        <v>0</v>
      </c>
      <c r="AI5217">
        <v>100</v>
      </c>
      <c r="AJ5217">
        <v>1</v>
      </c>
      <c r="AK5217">
        <v>0</v>
      </c>
      <c r="AL5217">
        <v>0</v>
      </c>
      <c r="AM5217">
        <v>100</v>
      </c>
      <c r="AN5217">
        <v>0</v>
      </c>
      <c r="AO5217">
        <v>0</v>
      </c>
      <c r="AP5217">
        <v>0</v>
      </c>
      <c r="AQ5217">
        <v>0</v>
      </c>
      <c r="AS5217">
        <v>0</v>
      </c>
      <c r="AT5217">
        <v>0</v>
      </c>
      <c r="AV5217">
        <v>0</v>
      </c>
      <c r="AW5217">
        <v>0</v>
      </c>
      <c r="AY5217">
        <v>0</v>
      </c>
      <c r="AZ5217">
        <v>0</v>
      </c>
      <c r="BA5217">
        <v>70</v>
      </c>
      <c r="BE5217" t="str">
        <f>T("9791137014381")</f>
        <v>9791137014381</v>
      </c>
      <c r="BF5217" t="str">
        <f>T("k345963")</f>
        <v>k345963</v>
      </c>
      <c r="BG5217" t="str">
        <f>T("판타지 웹소설 &gt; 퓨전 판타지")</f>
        <v>판타지 웹소설 &gt; 퓨전 판타지</v>
      </c>
    </row>
    <row r="5218" spans="1:59">
      <c r="A5218" t="s">
        <v>60</v>
      </c>
      <c r="B5218" s="1">
        <v>46130</v>
      </c>
      <c r="C5218">
        <v>2378044065</v>
      </c>
      <c r="D5218">
        <v>2378068186</v>
      </c>
      <c r="E5218" t="str">
        <f>T("저승의 왕위를 계승했다 456화")</f>
        <v>저승의 왕위를 계승했다 456화</v>
      </c>
      <c r="F5218">
        <v>457</v>
      </c>
      <c r="G5218" t="str">
        <f>T("신타비")</f>
        <v>신타비</v>
      </c>
      <c r="J5218" t="str">
        <f>T("매드햇")</f>
        <v>매드햇</v>
      </c>
      <c r="K5218" t="str">
        <f>T("저승의 왕위를 계승했다")</f>
        <v>저승의 왕위를 계승했다</v>
      </c>
      <c r="L5218">
        <v>100</v>
      </c>
      <c r="M5218">
        <v>100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0</v>
      </c>
      <c r="AE5218">
        <v>0</v>
      </c>
      <c r="AF5218">
        <v>0</v>
      </c>
      <c r="AG5218">
        <v>0</v>
      </c>
      <c r="AH5218">
        <v>0</v>
      </c>
      <c r="AI5218">
        <v>100</v>
      </c>
      <c r="AJ5218">
        <v>1</v>
      </c>
      <c r="AK5218">
        <v>0</v>
      </c>
      <c r="AL5218">
        <v>0</v>
      </c>
      <c r="AM5218">
        <v>100</v>
      </c>
      <c r="AN5218">
        <v>0</v>
      </c>
      <c r="AO5218">
        <v>0</v>
      </c>
      <c r="AP5218">
        <v>0</v>
      </c>
      <c r="AQ5218">
        <v>0</v>
      </c>
      <c r="AS5218">
        <v>0</v>
      </c>
      <c r="AT5218">
        <v>0</v>
      </c>
      <c r="AV5218">
        <v>0</v>
      </c>
      <c r="AW5218">
        <v>0</v>
      </c>
      <c r="AY5218">
        <v>0</v>
      </c>
      <c r="AZ5218">
        <v>0</v>
      </c>
      <c r="BA5218">
        <v>70</v>
      </c>
      <c r="BE5218" t="str">
        <f>T("9791137014381")</f>
        <v>9791137014381</v>
      </c>
      <c r="BF5218" t="str">
        <f>T("k345964")</f>
        <v>k345964</v>
      </c>
      <c r="BG5218" t="str">
        <f>T("판타지 웹소설 &gt; 퓨전 판타지")</f>
        <v>판타지 웹소설 &gt; 퓨전 판타지</v>
      </c>
    </row>
    <row r="5219" spans="1:59">
      <c r="A5219" t="s">
        <v>60</v>
      </c>
      <c r="B5219" s="1">
        <v>46130</v>
      </c>
      <c r="C5219">
        <v>2378044065</v>
      </c>
      <c r="D5219">
        <v>2378068203</v>
      </c>
      <c r="E5219" t="str">
        <f>T("저승의 왕위를 계승했다 457화")</f>
        <v>저승의 왕위를 계승했다 457화</v>
      </c>
      <c r="F5219">
        <v>458</v>
      </c>
      <c r="G5219" t="str">
        <f>T("신타비")</f>
        <v>신타비</v>
      </c>
      <c r="J5219" t="str">
        <f>T("매드햇")</f>
        <v>매드햇</v>
      </c>
      <c r="K5219" t="str">
        <f>T("저승의 왕위를 계승했다")</f>
        <v>저승의 왕위를 계승했다</v>
      </c>
      <c r="L5219">
        <v>100</v>
      </c>
      <c r="M5219">
        <v>100</v>
      </c>
      <c r="N5219">
        <v>1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0</v>
      </c>
      <c r="AE5219">
        <v>0</v>
      </c>
      <c r="AF5219">
        <v>0</v>
      </c>
      <c r="AG5219">
        <v>0</v>
      </c>
      <c r="AH5219">
        <v>0</v>
      </c>
      <c r="AI5219">
        <v>100</v>
      </c>
      <c r="AJ5219">
        <v>1</v>
      </c>
      <c r="AK5219">
        <v>0</v>
      </c>
      <c r="AL5219">
        <v>0</v>
      </c>
      <c r="AM5219">
        <v>100</v>
      </c>
      <c r="AN5219">
        <v>0</v>
      </c>
      <c r="AO5219">
        <v>0</v>
      </c>
      <c r="AP5219">
        <v>0</v>
      </c>
      <c r="AQ5219">
        <v>0</v>
      </c>
      <c r="AS5219">
        <v>0</v>
      </c>
      <c r="AT5219">
        <v>0</v>
      </c>
      <c r="AV5219">
        <v>0</v>
      </c>
      <c r="AW5219">
        <v>0</v>
      </c>
      <c r="AY5219">
        <v>0</v>
      </c>
      <c r="AZ5219">
        <v>0</v>
      </c>
      <c r="BA5219">
        <v>70</v>
      </c>
      <c r="BE5219" t="str">
        <f>T("9791137014381")</f>
        <v>9791137014381</v>
      </c>
      <c r="BF5219" t="str">
        <f>T("k345965")</f>
        <v>k345965</v>
      </c>
      <c r="BG5219" t="str">
        <f>T("판타지 웹소설 &gt; 퓨전 판타지")</f>
        <v>판타지 웹소설 &gt; 퓨전 판타지</v>
      </c>
    </row>
    <row r="5220" spans="1:59">
      <c r="A5220" t="s">
        <v>60</v>
      </c>
      <c r="B5220" s="1">
        <v>46130</v>
      </c>
      <c r="C5220">
        <v>2378044065</v>
      </c>
      <c r="D5220">
        <v>2378068242</v>
      </c>
      <c r="E5220" t="str">
        <f>T("저승의 왕위를 계승했다 458화")</f>
        <v>저승의 왕위를 계승했다 458화</v>
      </c>
      <c r="F5220">
        <v>459</v>
      </c>
      <c r="G5220" t="str">
        <f>T("신타비")</f>
        <v>신타비</v>
      </c>
      <c r="J5220" t="str">
        <f>T("매드햇")</f>
        <v>매드햇</v>
      </c>
      <c r="K5220" t="str">
        <f>T("저승의 왕위를 계승했다")</f>
        <v>저승의 왕위를 계승했다</v>
      </c>
      <c r="L5220">
        <v>100</v>
      </c>
      <c r="M5220">
        <v>100</v>
      </c>
      <c r="N5220">
        <v>1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0</v>
      </c>
      <c r="AE5220">
        <v>0</v>
      </c>
      <c r="AF5220">
        <v>0</v>
      </c>
      <c r="AG5220">
        <v>0</v>
      </c>
      <c r="AH5220">
        <v>0</v>
      </c>
      <c r="AI5220">
        <v>100</v>
      </c>
      <c r="AJ5220">
        <v>1</v>
      </c>
      <c r="AK5220">
        <v>0</v>
      </c>
      <c r="AL5220">
        <v>0</v>
      </c>
      <c r="AM5220">
        <v>100</v>
      </c>
      <c r="AN5220">
        <v>0</v>
      </c>
      <c r="AO5220">
        <v>0</v>
      </c>
      <c r="AP5220">
        <v>0</v>
      </c>
      <c r="AQ5220">
        <v>0</v>
      </c>
      <c r="AS5220">
        <v>0</v>
      </c>
      <c r="AT5220">
        <v>0</v>
      </c>
      <c r="AV5220">
        <v>0</v>
      </c>
      <c r="AW5220">
        <v>0</v>
      </c>
      <c r="AY5220">
        <v>0</v>
      </c>
      <c r="AZ5220">
        <v>0</v>
      </c>
      <c r="BA5220">
        <v>70</v>
      </c>
      <c r="BE5220" t="str">
        <f>T("9791137014381")</f>
        <v>9791137014381</v>
      </c>
      <c r="BF5220" t="str">
        <f>T("k345966")</f>
        <v>k345966</v>
      </c>
      <c r="BG5220" t="str">
        <f>T("판타지 웹소설 &gt; 퓨전 판타지")</f>
        <v>판타지 웹소설 &gt; 퓨전 판타지</v>
      </c>
    </row>
    <row r="5221" spans="1:59">
      <c r="A5221" t="s">
        <v>60</v>
      </c>
      <c r="B5221" s="1">
        <v>46130</v>
      </c>
      <c r="C5221">
        <v>2378044065</v>
      </c>
      <c r="D5221">
        <v>2378068257</v>
      </c>
      <c r="E5221" t="str">
        <f>T("저승의 왕위를 계승했다 459화")</f>
        <v>저승의 왕위를 계승했다 459화</v>
      </c>
      <c r="F5221">
        <v>460</v>
      </c>
      <c r="G5221" t="str">
        <f>T("신타비")</f>
        <v>신타비</v>
      </c>
      <c r="J5221" t="str">
        <f>T("매드햇")</f>
        <v>매드햇</v>
      </c>
      <c r="K5221" t="str">
        <f>T("저승의 왕위를 계승했다")</f>
        <v>저승의 왕위를 계승했다</v>
      </c>
      <c r="L5221">
        <v>100</v>
      </c>
      <c r="M5221">
        <v>100</v>
      </c>
      <c r="N5221">
        <v>1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0</v>
      </c>
      <c r="AE5221">
        <v>0</v>
      </c>
      <c r="AF5221">
        <v>0</v>
      </c>
      <c r="AG5221">
        <v>0</v>
      </c>
      <c r="AH5221">
        <v>0</v>
      </c>
      <c r="AI5221">
        <v>100</v>
      </c>
      <c r="AJ5221">
        <v>1</v>
      </c>
      <c r="AK5221">
        <v>0</v>
      </c>
      <c r="AL5221">
        <v>0</v>
      </c>
      <c r="AM5221">
        <v>100</v>
      </c>
      <c r="AN5221">
        <v>0</v>
      </c>
      <c r="AO5221">
        <v>0</v>
      </c>
      <c r="AP5221">
        <v>0</v>
      </c>
      <c r="AQ5221">
        <v>0</v>
      </c>
      <c r="AS5221">
        <v>0</v>
      </c>
      <c r="AT5221">
        <v>0</v>
      </c>
      <c r="AV5221">
        <v>0</v>
      </c>
      <c r="AW5221">
        <v>0</v>
      </c>
      <c r="AY5221">
        <v>0</v>
      </c>
      <c r="AZ5221">
        <v>0</v>
      </c>
      <c r="BA5221">
        <v>70</v>
      </c>
      <c r="BE5221" t="str">
        <f>T("9791137014381")</f>
        <v>9791137014381</v>
      </c>
      <c r="BF5221" t="str">
        <f>T("k364643")</f>
        <v>k364643</v>
      </c>
      <c r="BG5221" t="str">
        <f>T("판타지 웹소설 &gt; 퓨전 판타지")</f>
        <v>판타지 웹소설 &gt; 퓨전 판타지</v>
      </c>
    </row>
    <row r="5222" spans="1:59">
      <c r="A5222" t="s">
        <v>60</v>
      </c>
      <c r="B5222" s="1">
        <v>46130</v>
      </c>
      <c r="C5222">
        <v>2378044065</v>
      </c>
      <c r="D5222">
        <v>2378068273</v>
      </c>
      <c r="E5222" t="str">
        <f>T("저승의 왕위를 계승했다 460화")</f>
        <v>저승의 왕위를 계승했다 460화</v>
      </c>
      <c r="F5222">
        <v>461</v>
      </c>
      <c r="G5222" t="str">
        <f>T("신타비")</f>
        <v>신타비</v>
      </c>
      <c r="J5222" t="str">
        <f>T("매드햇")</f>
        <v>매드햇</v>
      </c>
      <c r="K5222" t="str">
        <f>T("저승의 왕위를 계승했다")</f>
        <v>저승의 왕위를 계승했다</v>
      </c>
      <c r="L5222">
        <v>100</v>
      </c>
      <c r="M5222">
        <v>100</v>
      </c>
      <c r="N5222">
        <v>1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0</v>
      </c>
      <c r="AE5222">
        <v>0</v>
      </c>
      <c r="AF5222">
        <v>0</v>
      </c>
      <c r="AG5222">
        <v>0</v>
      </c>
      <c r="AH5222">
        <v>0</v>
      </c>
      <c r="AI5222">
        <v>100</v>
      </c>
      <c r="AJ5222">
        <v>1</v>
      </c>
      <c r="AK5222">
        <v>0</v>
      </c>
      <c r="AL5222">
        <v>0</v>
      </c>
      <c r="AM5222">
        <v>100</v>
      </c>
      <c r="AN5222">
        <v>0</v>
      </c>
      <c r="AO5222">
        <v>0</v>
      </c>
      <c r="AP5222">
        <v>0</v>
      </c>
      <c r="AQ5222">
        <v>0</v>
      </c>
      <c r="AS5222">
        <v>0</v>
      </c>
      <c r="AT5222">
        <v>0</v>
      </c>
      <c r="AV5222">
        <v>0</v>
      </c>
      <c r="AW5222">
        <v>0</v>
      </c>
      <c r="AY5222">
        <v>0</v>
      </c>
      <c r="AZ5222">
        <v>0</v>
      </c>
      <c r="BA5222">
        <v>70</v>
      </c>
      <c r="BE5222" t="str">
        <f>T("9791137014381")</f>
        <v>9791137014381</v>
      </c>
      <c r="BF5222" t="str">
        <f>T("k364644")</f>
        <v>k364644</v>
      </c>
      <c r="BG5222" t="str">
        <f>T("판타지 웹소설 &gt; 퓨전 판타지")</f>
        <v>판타지 웹소설 &gt; 퓨전 판타지</v>
      </c>
    </row>
    <row r="5223" spans="1:59">
      <c r="A5223" t="s">
        <v>60</v>
      </c>
      <c r="B5223" s="1">
        <v>46130</v>
      </c>
      <c r="C5223">
        <v>2378044065</v>
      </c>
      <c r="D5223">
        <v>2378068285</v>
      </c>
      <c r="E5223" t="str">
        <f>T("저승의 왕위를 계승했다 461화")</f>
        <v>저승의 왕위를 계승했다 461화</v>
      </c>
      <c r="F5223">
        <v>462</v>
      </c>
      <c r="G5223" t="str">
        <f>T("신타비")</f>
        <v>신타비</v>
      </c>
      <c r="J5223" t="str">
        <f>T("매드햇")</f>
        <v>매드햇</v>
      </c>
      <c r="K5223" t="str">
        <f>T("저승의 왕위를 계승했다")</f>
        <v>저승의 왕위를 계승했다</v>
      </c>
      <c r="L5223">
        <v>100</v>
      </c>
      <c r="M5223">
        <v>100</v>
      </c>
      <c r="N5223">
        <v>1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0</v>
      </c>
      <c r="AC5223">
        <v>0</v>
      </c>
      <c r="AD5223">
        <v>0</v>
      </c>
      <c r="AE5223">
        <v>0</v>
      </c>
      <c r="AF5223">
        <v>0</v>
      </c>
      <c r="AG5223">
        <v>0</v>
      </c>
      <c r="AH5223">
        <v>0</v>
      </c>
      <c r="AI5223">
        <v>100</v>
      </c>
      <c r="AJ5223">
        <v>1</v>
      </c>
      <c r="AK5223">
        <v>0</v>
      </c>
      <c r="AL5223">
        <v>0</v>
      </c>
      <c r="AM5223">
        <v>100</v>
      </c>
      <c r="AN5223">
        <v>0</v>
      </c>
      <c r="AO5223">
        <v>0</v>
      </c>
      <c r="AP5223">
        <v>0</v>
      </c>
      <c r="AQ5223">
        <v>0</v>
      </c>
      <c r="AS5223">
        <v>0</v>
      </c>
      <c r="AT5223">
        <v>0</v>
      </c>
      <c r="AV5223">
        <v>0</v>
      </c>
      <c r="AW5223">
        <v>0</v>
      </c>
      <c r="AY5223">
        <v>0</v>
      </c>
      <c r="AZ5223">
        <v>0</v>
      </c>
      <c r="BA5223">
        <v>70</v>
      </c>
      <c r="BE5223" t="str">
        <f>T("9791137014381")</f>
        <v>9791137014381</v>
      </c>
      <c r="BF5223" t="str">
        <f>T("k364645")</f>
        <v>k364645</v>
      </c>
      <c r="BG5223" t="str">
        <f>T("판타지 웹소설 &gt; 퓨전 판타지")</f>
        <v>판타지 웹소설 &gt; 퓨전 판타지</v>
      </c>
    </row>
    <row r="5224" spans="1:59">
      <c r="A5224" t="s">
        <v>60</v>
      </c>
      <c r="B5224" s="1">
        <v>46130</v>
      </c>
      <c r="C5224">
        <v>2378044065</v>
      </c>
      <c r="D5224">
        <v>2378068304</v>
      </c>
      <c r="E5224" t="str">
        <f>T("저승의 왕위를 계승했다 462화")</f>
        <v>저승의 왕위를 계승했다 462화</v>
      </c>
      <c r="F5224">
        <v>463</v>
      </c>
      <c r="G5224" t="str">
        <f>T("신타비")</f>
        <v>신타비</v>
      </c>
      <c r="J5224" t="str">
        <f>T("매드햇")</f>
        <v>매드햇</v>
      </c>
      <c r="K5224" t="str">
        <f>T("저승의 왕위를 계승했다")</f>
        <v>저승의 왕위를 계승했다</v>
      </c>
      <c r="L5224">
        <v>100</v>
      </c>
      <c r="M5224">
        <v>100</v>
      </c>
      <c r="N5224">
        <v>1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0</v>
      </c>
      <c r="AC5224">
        <v>0</v>
      </c>
      <c r="AD5224">
        <v>0</v>
      </c>
      <c r="AE5224">
        <v>0</v>
      </c>
      <c r="AF5224">
        <v>0</v>
      </c>
      <c r="AG5224">
        <v>0</v>
      </c>
      <c r="AH5224">
        <v>0</v>
      </c>
      <c r="AI5224">
        <v>100</v>
      </c>
      <c r="AJ5224">
        <v>1</v>
      </c>
      <c r="AK5224">
        <v>0</v>
      </c>
      <c r="AL5224">
        <v>0</v>
      </c>
      <c r="AM5224">
        <v>100</v>
      </c>
      <c r="AN5224">
        <v>0</v>
      </c>
      <c r="AO5224">
        <v>0</v>
      </c>
      <c r="AP5224">
        <v>0</v>
      </c>
      <c r="AQ5224">
        <v>0</v>
      </c>
      <c r="AS5224">
        <v>0</v>
      </c>
      <c r="AT5224">
        <v>0</v>
      </c>
      <c r="AV5224">
        <v>0</v>
      </c>
      <c r="AW5224">
        <v>0</v>
      </c>
      <c r="AY5224">
        <v>0</v>
      </c>
      <c r="AZ5224">
        <v>0</v>
      </c>
      <c r="BA5224">
        <v>70</v>
      </c>
      <c r="BE5224" t="str">
        <f>T("9791137014381")</f>
        <v>9791137014381</v>
      </c>
      <c r="BF5224" t="str">
        <f>T("k364646")</f>
        <v>k364646</v>
      </c>
      <c r="BG5224" t="str">
        <f>T("판타지 웹소설 &gt; 퓨전 판타지")</f>
        <v>판타지 웹소설 &gt; 퓨전 판타지</v>
      </c>
    </row>
    <row r="5225" spans="1:59">
      <c r="A5225" t="s">
        <v>60</v>
      </c>
      <c r="B5225" s="1">
        <v>46130</v>
      </c>
      <c r="C5225">
        <v>2378044065</v>
      </c>
      <c r="D5225">
        <v>2378068326</v>
      </c>
      <c r="E5225" t="str">
        <f>T("저승의 왕위를 계승했다 463화")</f>
        <v>저승의 왕위를 계승했다 463화</v>
      </c>
      <c r="F5225">
        <v>464</v>
      </c>
      <c r="G5225" t="str">
        <f>T("신타비")</f>
        <v>신타비</v>
      </c>
      <c r="J5225" t="str">
        <f>T("매드햇")</f>
        <v>매드햇</v>
      </c>
      <c r="K5225" t="str">
        <f>T("저승의 왕위를 계승했다")</f>
        <v>저승의 왕위를 계승했다</v>
      </c>
      <c r="L5225">
        <v>100</v>
      </c>
      <c r="M5225">
        <v>100</v>
      </c>
      <c r="N5225">
        <v>1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0</v>
      </c>
      <c r="AC5225">
        <v>0</v>
      </c>
      <c r="AD5225">
        <v>0</v>
      </c>
      <c r="AE5225">
        <v>0</v>
      </c>
      <c r="AF5225">
        <v>0</v>
      </c>
      <c r="AG5225">
        <v>0</v>
      </c>
      <c r="AH5225">
        <v>0</v>
      </c>
      <c r="AI5225">
        <v>100</v>
      </c>
      <c r="AJ5225">
        <v>1</v>
      </c>
      <c r="AK5225">
        <v>0</v>
      </c>
      <c r="AL5225">
        <v>0</v>
      </c>
      <c r="AM5225">
        <v>100</v>
      </c>
      <c r="AN5225">
        <v>0</v>
      </c>
      <c r="AO5225">
        <v>0</v>
      </c>
      <c r="AP5225">
        <v>0</v>
      </c>
      <c r="AQ5225">
        <v>0</v>
      </c>
      <c r="AS5225">
        <v>0</v>
      </c>
      <c r="AT5225">
        <v>0</v>
      </c>
      <c r="AV5225">
        <v>0</v>
      </c>
      <c r="AW5225">
        <v>0</v>
      </c>
      <c r="AY5225">
        <v>0</v>
      </c>
      <c r="AZ5225">
        <v>0</v>
      </c>
      <c r="BA5225">
        <v>70</v>
      </c>
      <c r="BE5225" t="str">
        <f>T("9791137014381")</f>
        <v>9791137014381</v>
      </c>
      <c r="BF5225" t="str">
        <f>T("k372088")</f>
        <v>k372088</v>
      </c>
      <c r="BG5225" t="str">
        <f>T("판타지 웹소설 &gt; 퓨전 판타지")</f>
        <v>판타지 웹소설 &gt; 퓨전 판타지</v>
      </c>
    </row>
    <row r="5226" spans="1:59">
      <c r="A5226" t="s">
        <v>60</v>
      </c>
      <c r="B5226" s="1">
        <v>46130</v>
      </c>
      <c r="C5226">
        <v>2378044065</v>
      </c>
      <c r="D5226">
        <v>2378068345</v>
      </c>
      <c r="E5226" t="str">
        <f>T("저승의 왕위를 계승했다 464화")</f>
        <v>저승의 왕위를 계승했다 464화</v>
      </c>
      <c r="F5226">
        <v>465</v>
      </c>
      <c r="G5226" t="str">
        <f>T("신타비")</f>
        <v>신타비</v>
      </c>
      <c r="J5226" t="str">
        <f>T("매드햇")</f>
        <v>매드햇</v>
      </c>
      <c r="K5226" t="str">
        <f>T("저승의 왕위를 계승했다")</f>
        <v>저승의 왕위를 계승했다</v>
      </c>
      <c r="L5226">
        <v>100</v>
      </c>
      <c r="M5226">
        <v>100</v>
      </c>
      <c r="N5226">
        <v>1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0</v>
      </c>
      <c r="AC5226">
        <v>0</v>
      </c>
      <c r="AD5226">
        <v>0</v>
      </c>
      <c r="AE5226">
        <v>0</v>
      </c>
      <c r="AF5226">
        <v>0</v>
      </c>
      <c r="AG5226">
        <v>0</v>
      </c>
      <c r="AH5226">
        <v>0</v>
      </c>
      <c r="AI5226">
        <v>100</v>
      </c>
      <c r="AJ5226">
        <v>1</v>
      </c>
      <c r="AK5226">
        <v>0</v>
      </c>
      <c r="AL5226">
        <v>0</v>
      </c>
      <c r="AM5226">
        <v>100</v>
      </c>
      <c r="AN5226">
        <v>0</v>
      </c>
      <c r="AO5226">
        <v>0</v>
      </c>
      <c r="AP5226">
        <v>0</v>
      </c>
      <c r="AQ5226">
        <v>0</v>
      </c>
      <c r="AS5226">
        <v>0</v>
      </c>
      <c r="AT5226">
        <v>0</v>
      </c>
      <c r="AV5226">
        <v>0</v>
      </c>
      <c r="AW5226">
        <v>0</v>
      </c>
      <c r="AY5226">
        <v>0</v>
      </c>
      <c r="AZ5226">
        <v>0</v>
      </c>
      <c r="BA5226">
        <v>70</v>
      </c>
      <c r="BE5226" t="str">
        <f>T("9791137014381")</f>
        <v>9791137014381</v>
      </c>
      <c r="BF5226" t="str">
        <f>T("k372089")</f>
        <v>k372089</v>
      </c>
      <c r="BG5226" t="str">
        <f>T("판타지 웹소설 &gt; 퓨전 판타지")</f>
        <v>판타지 웹소설 &gt; 퓨전 판타지</v>
      </c>
    </row>
    <row r="5227" spans="1:59">
      <c r="A5227" t="s">
        <v>60</v>
      </c>
      <c r="B5227" s="1">
        <v>46130</v>
      </c>
      <c r="C5227">
        <v>2378044065</v>
      </c>
      <c r="D5227">
        <v>2378068356</v>
      </c>
      <c r="E5227" t="str">
        <f>T("저승의 왕위를 계승했다 465화")</f>
        <v>저승의 왕위를 계승했다 465화</v>
      </c>
      <c r="F5227">
        <v>466</v>
      </c>
      <c r="G5227" t="str">
        <f>T("신타비")</f>
        <v>신타비</v>
      </c>
      <c r="J5227" t="str">
        <f>T("매드햇")</f>
        <v>매드햇</v>
      </c>
      <c r="K5227" t="str">
        <f>T("저승의 왕위를 계승했다")</f>
        <v>저승의 왕위를 계승했다</v>
      </c>
      <c r="L5227">
        <v>100</v>
      </c>
      <c r="M5227">
        <v>100</v>
      </c>
      <c r="N5227">
        <v>1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0</v>
      </c>
      <c r="AC5227">
        <v>0</v>
      </c>
      <c r="AD5227">
        <v>0</v>
      </c>
      <c r="AE5227">
        <v>0</v>
      </c>
      <c r="AF5227">
        <v>0</v>
      </c>
      <c r="AG5227">
        <v>0</v>
      </c>
      <c r="AH5227">
        <v>0</v>
      </c>
      <c r="AI5227">
        <v>100</v>
      </c>
      <c r="AJ5227">
        <v>1</v>
      </c>
      <c r="AK5227">
        <v>0</v>
      </c>
      <c r="AL5227">
        <v>0</v>
      </c>
      <c r="AM5227">
        <v>100</v>
      </c>
      <c r="AN5227">
        <v>0</v>
      </c>
      <c r="AO5227">
        <v>0</v>
      </c>
      <c r="AP5227">
        <v>0</v>
      </c>
      <c r="AQ5227">
        <v>0</v>
      </c>
      <c r="AS5227">
        <v>0</v>
      </c>
      <c r="AT5227">
        <v>0</v>
      </c>
      <c r="AV5227">
        <v>0</v>
      </c>
      <c r="AW5227">
        <v>0</v>
      </c>
      <c r="AY5227">
        <v>0</v>
      </c>
      <c r="AZ5227">
        <v>0</v>
      </c>
      <c r="BA5227">
        <v>70</v>
      </c>
      <c r="BE5227" t="str">
        <f>T("9791137014381")</f>
        <v>9791137014381</v>
      </c>
      <c r="BF5227" t="str">
        <f>T("k372090")</f>
        <v>k372090</v>
      </c>
      <c r="BG5227" t="str">
        <f>T("판타지 웹소설 &gt; 퓨전 판타지")</f>
        <v>판타지 웹소설 &gt; 퓨전 판타지</v>
      </c>
    </row>
    <row r="5228" spans="1:59">
      <c r="A5228" t="s">
        <v>60</v>
      </c>
      <c r="B5228" s="1">
        <v>46130</v>
      </c>
      <c r="C5228">
        <v>2378044065</v>
      </c>
      <c r="D5228">
        <v>2378068369</v>
      </c>
      <c r="E5228" t="str">
        <f>T("저승의 왕위를 계승했다 466화")</f>
        <v>저승의 왕위를 계승했다 466화</v>
      </c>
      <c r="F5228">
        <v>467</v>
      </c>
      <c r="G5228" t="str">
        <f>T("신타비")</f>
        <v>신타비</v>
      </c>
      <c r="J5228" t="str">
        <f>T("매드햇")</f>
        <v>매드햇</v>
      </c>
      <c r="K5228" t="str">
        <f>T("저승의 왕위를 계승했다")</f>
        <v>저승의 왕위를 계승했다</v>
      </c>
      <c r="L5228">
        <v>100</v>
      </c>
      <c r="M5228">
        <v>100</v>
      </c>
      <c r="N5228">
        <v>1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0</v>
      </c>
      <c r="AE5228">
        <v>0</v>
      </c>
      <c r="AF5228">
        <v>0</v>
      </c>
      <c r="AG5228">
        <v>0</v>
      </c>
      <c r="AH5228">
        <v>0</v>
      </c>
      <c r="AI5228">
        <v>100</v>
      </c>
      <c r="AJ5228">
        <v>1</v>
      </c>
      <c r="AK5228">
        <v>0</v>
      </c>
      <c r="AL5228">
        <v>0</v>
      </c>
      <c r="AM5228">
        <v>100</v>
      </c>
      <c r="AN5228">
        <v>0</v>
      </c>
      <c r="AO5228">
        <v>0</v>
      </c>
      <c r="AP5228">
        <v>0</v>
      </c>
      <c r="AQ5228">
        <v>0</v>
      </c>
      <c r="AS5228">
        <v>0</v>
      </c>
      <c r="AT5228">
        <v>0</v>
      </c>
      <c r="AV5228">
        <v>0</v>
      </c>
      <c r="AW5228">
        <v>0</v>
      </c>
      <c r="AY5228">
        <v>0</v>
      </c>
      <c r="AZ5228">
        <v>0</v>
      </c>
      <c r="BA5228">
        <v>70</v>
      </c>
      <c r="BE5228" t="str">
        <f>T("9791137014381")</f>
        <v>9791137014381</v>
      </c>
      <c r="BF5228" t="str">
        <f>T("k372091")</f>
        <v>k372091</v>
      </c>
      <c r="BG5228" t="str">
        <f>T("판타지 웹소설 &gt; 퓨전 판타지")</f>
        <v>판타지 웹소설 &gt; 퓨전 판타지</v>
      </c>
    </row>
    <row r="5229" spans="1:59">
      <c r="A5229" t="s">
        <v>60</v>
      </c>
      <c r="B5229" s="1">
        <v>46130</v>
      </c>
      <c r="C5229">
        <v>2378044065</v>
      </c>
      <c r="D5229">
        <v>2378068384</v>
      </c>
      <c r="E5229" t="str">
        <f>T("저승의 왕위를 계승했다 467화")</f>
        <v>저승의 왕위를 계승했다 467화</v>
      </c>
      <c r="F5229">
        <v>468</v>
      </c>
      <c r="G5229" t="str">
        <f>T("신타비")</f>
        <v>신타비</v>
      </c>
      <c r="J5229" t="str">
        <f>T("매드햇")</f>
        <v>매드햇</v>
      </c>
      <c r="K5229" t="str">
        <f>T("저승의 왕위를 계승했다")</f>
        <v>저승의 왕위를 계승했다</v>
      </c>
      <c r="L5229">
        <v>100</v>
      </c>
      <c r="M5229">
        <v>100</v>
      </c>
      <c r="N5229">
        <v>1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0</v>
      </c>
      <c r="AE5229">
        <v>0</v>
      </c>
      <c r="AF5229">
        <v>0</v>
      </c>
      <c r="AG5229">
        <v>0</v>
      </c>
      <c r="AH5229">
        <v>0</v>
      </c>
      <c r="AI5229">
        <v>100</v>
      </c>
      <c r="AJ5229">
        <v>1</v>
      </c>
      <c r="AK5229">
        <v>0</v>
      </c>
      <c r="AL5229">
        <v>0</v>
      </c>
      <c r="AM5229">
        <v>100</v>
      </c>
      <c r="AN5229">
        <v>0</v>
      </c>
      <c r="AO5229">
        <v>0</v>
      </c>
      <c r="AP5229">
        <v>0</v>
      </c>
      <c r="AQ5229">
        <v>0</v>
      </c>
      <c r="AS5229">
        <v>0</v>
      </c>
      <c r="AT5229">
        <v>0</v>
      </c>
      <c r="AV5229">
        <v>0</v>
      </c>
      <c r="AW5229">
        <v>0</v>
      </c>
      <c r="AY5229">
        <v>0</v>
      </c>
      <c r="AZ5229">
        <v>0</v>
      </c>
      <c r="BA5229">
        <v>70</v>
      </c>
      <c r="BE5229" t="str">
        <f>T("9791137014381")</f>
        <v>9791137014381</v>
      </c>
      <c r="BF5229" t="str">
        <f>T("k378392")</f>
        <v>k378392</v>
      </c>
      <c r="BG5229" t="str">
        <f>T("판타지 웹소설 &gt; 퓨전 판타지")</f>
        <v>판타지 웹소설 &gt; 퓨전 판타지</v>
      </c>
    </row>
    <row r="5230" spans="1:59">
      <c r="A5230" t="s">
        <v>60</v>
      </c>
      <c r="B5230" s="1">
        <v>46130</v>
      </c>
      <c r="C5230">
        <v>2378044065</v>
      </c>
      <c r="D5230">
        <v>2378068398</v>
      </c>
      <c r="E5230" t="str">
        <f>T("저승의 왕위를 계승했다 468화")</f>
        <v>저승의 왕위를 계승했다 468화</v>
      </c>
      <c r="F5230">
        <v>469</v>
      </c>
      <c r="G5230" t="str">
        <f>T("신타비")</f>
        <v>신타비</v>
      </c>
      <c r="J5230" t="str">
        <f>T("매드햇")</f>
        <v>매드햇</v>
      </c>
      <c r="K5230" t="str">
        <f>T("저승의 왕위를 계승했다")</f>
        <v>저승의 왕위를 계승했다</v>
      </c>
      <c r="L5230">
        <v>100</v>
      </c>
      <c r="M5230">
        <v>100</v>
      </c>
      <c r="N5230">
        <v>1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0</v>
      </c>
      <c r="AE5230">
        <v>0</v>
      </c>
      <c r="AF5230">
        <v>0</v>
      </c>
      <c r="AG5230">
        <v>0</v>
      </c>
      <c r="AH5230">
        <v>0</v>
      </c>
      <c r="AI5230">
        <v>100</v>
      </c>
      <c r="AJ5230">
        <v>1</v>
      </c>
      <c r="AK5230">
        <v>0</v>
      </c>
      <c r="AL5230">
        <v>0</v>
      </c>
      <c r="AM5230">
        <v>100</v>
      </c>
      <c r="AN5230">
        <v>0</v>
      </c>
      <c r="AO5230">
        <v>0</v>
      </c>
      <c r="AP5230">
        <v>0</v>
      </c>
      <c r="AQ5230">
        <v>0</v>
      </c>
      <c r="AS5230">
        <v>0</v>
      </c>
      <c r="AT5230">
        <v>0</v>
      </c>
      <c r="AV5230">
        <v>0</v>
      </c>
      <c r="AW5230">
        <v>0</v>
      </c>
      <c r="AY5230">
        <v>0</v>
      </c>
      <c r="AZ5230">
        <v>0</v>
      </c>
      <c r="BA5230">
        <v>70</v>
      </c>
      <c r="BE5230" t="str">
        <f>T("9791137014381")</f>
        <v>9791137014381</v>
      </c>
      <c r="BF5230" t="str">
        <f>T("k378393")</f>
        <v>k378393</v>
      </c>
      <c r="BG5230" t="str">
        <f>T("판타지 웹소설 &gt; 퓨전 판타지")</f>
        <v>판타지 웹소설 &gt; 퓨전 판타지</v>
      </c>
    </row>
    <row r="5231" spans="1:59">
      <c r="A5231" t="s">
        <v>60</v>
      </c>
      <c r="B5231" s="1">
        <v>46130</v>
      </c>
      <c r="C5231">
        <v>2378044065</v>
      </c>
      <c r="D5231">
        <v>2378068436</v>
      </c>
      <c r="E5231" t="str">
        <f>T("저승의 왕위를 계승했다 469화")</f>
        <v>저승의 왕위를 계승했다 469화</v>
      </c>
      <c r="F5231">
        <v>470</v>
      </c>
      <c r="G5231" t="str">
        <f>T("신타비")</f>
        <v>신타비</v>
      </c>
      <c r="J5231" t="str">
        <f>T("매드햇")</f>
        <v>매드햇</v>
      </c>
      <c r="K5231" t="str">
        <f>T("저승의 왕위를 계승했다")</f>
        <v>저승의 왕위를 계승했다</v>
      </c>
      <c r="L5231">
        <v>100</v>
      </c>
      <c r="M5231">
        <v>100</v>
      </c>
      <c r="N5231">
        <v>1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0</v>
      </c>
      <c r="AE5231">
        <v>0</v>
      </c>
      <c r="AF5231">
        <v>0</v>
      </c>
      <c r="AG5231">
        <v>0</v>
      </c>
      <c r="AH5231">
        <v>0</v>
      </c>
      <c r="AI5231">
        <v>100</v>
      </c>
      <c r="AJ5231">
        <v>1</v>
      </c>
      <c r="AK5231">
        <v>0</v>
      </c>
      <c r="AL5231">
        <v>0</v>
      </c>
      <c r="AM5231">
        <v>100</v>
      </c>
      <c r="AN5231">
        <v>0</v>
      </c>
      <c r="AO5231">
        <v>0</v>
      </c>
      <c r="AP5231">
        <v>0</v>
      </c>
      <c r="AQ5231">
        <v>0</v>
      </c>
      <c r="AS5231">
        <v>0</v>
      </c>
      <c r="AT5231">
        <v>0</v>
      </c>
      <c r="AV5231">
        <v>0</v>
      </c>
      <c r="AW5231">
        <v>0</v>
      </c>
      <c r="AY5231">
        <v>0</v>
      </c>
      <c r="AZ5231">
        <v>0</v>
      </c>
      <c r="BA5231">
        <v>70</v>
      </c>
      <c r="BE5231" t="str">
        <f>T("9791137014381")</f>
        <v>9791137014381</v>
      </c>
      <c r="BF5231" t="str">
        <f>T("k378394")</f>
        <v>k378394</v>
      </c>
      <c r="BG5231" t="str">
        <f>T("판타지 웹소설 &gt; 퓨전 판타지")</f>
        <v>판타지 웹소설 &gt; 퓨전 판타지</v>
      </c>
    </row>
    <row r="5232" spans="1:59">
      <c r="A5232" t="s">
        <v>60</v>
      </c>
      <c r="B5232" s="1">
        <v>46130</v>
      </c>
      <c r="C5232">
        <v>2378044065</v>
      </c>
      <c r="D5232">
        <v>2378068437</v>
      </c>
      <c r="E5232" t="str">
        <f>T("저승의 왕위를 계승했다 470화")</f>
        <v>저승의 왕위를 계승했다 470화</v>
      </c>
      <c r="F5232">
        <v>471</v>
      </c>
      <c r="G5232" t="str">
        <f>T("신타비")</f>
        <v>신타비</v>
      </c>
      <c r="J5232" t="str">
        <f>T("매드햇")</f>
        <v>매드햇</v>
      </c>
      <c r="K5232" t="str">
        <f>T("저승의 왕위를 계승했다")</f>
        <v>저승의 왕위를 계승했다</v>
      </c>
      <c r="L5232">
        <v>100</v>
      </c>
      <c r="M5232">
        <v>100</v>
      </c>
      <c r="N5232">
        <v>1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0</v>
      </c>
      <c r="AE5232">
        <v>0</v>
      </c>
      <c r="AF5232">
        <v>0</v>
      </c>
      <c r="AG5232">
        <v>0</v>
      </c>
      <c r="AH5232">
        <v>0</v>
      </c>
      <c r="AI5232">
        <v>100</v>
      </c>
      <c r="AJ5232">
        <v>1</v>
      </c>
      <c r="AK5232">
        <v>0</v>
      </c>
      <c r="AL5232">
        <v>0</v>
      </c>
      <c r="AM5232">
        <v>100</v>
      </c>
      <c r="AN5232">
        <v>0</v>
      </c>
      <c r="AO5232">
        <v>0</v>
      </c>
      <c r="AP5232">
        <v>0</v>
      </c>
      <c r="AQ5232">
        <v>0</v>
      </c>
      <c r="AS5232">
        <v>0</v>
      </c>
      <c r="AT5232">
        <v>0</v>
      </c>
      <c r="AV5232">
        <v>0</v>
      </c>
      <c r="AW5232">
        <v>0</v>
      </c>
      <c r="AY5232">
        <v>0</v>
      </c>
      <c r="AZ5232">
        <v>0</v>
      </c>
      <c r="BA5232">
        <v>70</v>
      </c>
      <c r="BE5232" t="str">
        <f>T("9791137014381")</f>
        <v>9791137014381</v>
      </c>
      <c r="BF5232" t="str">
        <f>T("k378395")</f>
        <v>k378395</v>
      </c>
      <c r="BG5232" t="str">
        <f>T("판타지 웹소설 &gt; 퓨전 판타지")</f>
        <v>판타지 웹소설 &gt; 퓨전 판타지</v>
      </c>
    </row>
    <row r="5233" spans="1:59">
      <c r="A5233" t="s">
        <v>60</v>
      </c>
      <c r="B5233" s="1">
        <v>46130</v>
      </c>
      <c r="C5233">
        <v>2378044065</v>
      </c>
      <c r="D5233">
        <v>2378068514</v>
      </c>
      <c r="E5233" t="str">
        <f>T("저승의 왕위를 계승했다 471화")</f>
        <v>저승의 왕위를 계승했다 471화</v>
      </c>
      <c r="F5233">
        <v>472</v>
      </c>
      <c r="G5233" t="str">
        <f>T("신타비")</f>
        <v>신타비</v>
      </c>
      <c r="J5233" t="str">
        <f>T("매드햇")</f>
        <v>매드햇</v>
      </c>
      <c r="K5233" t="str">
        <f>T("저승의 왕위를 계승했다")</f>
        <v>저승의 왕위를 계승했다</v>
      </c>
      <c r="L5233">
        <v>100</v>
      </c>
      <c r="M5233">
        <v>100</v>
      </c>
      <c r="N5233">
        <v>1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0</v>
      </c>
      <c r="AE5233">
        <v>0</v>
      </c>
      <c r="AF5233">
        <v>0</v>
      </c>
      <c r="AG5233">
        <v>0</v>
      </c>
      <c r="AH5233">
        <v>0</v>
      </c>
      <c r="AI5233">
        <v>100</v>
      </c>
      <c r="AJ5233">
        <v>1</v>
      </c>
      <c r="AK5233">
        <v>0</v>
      </c>
      <c r="AL5233">
        <v>0</v>
      </c>
      <c r="AM5233">
        <v>100</v>
      </c>
      <c r="AN5233">
        <v>0</v>
      </c>
      <c r="AO5233">
        <v>0</v>
      </c>
      <c r="AP5233">
        <v>0</v>
      </c>
      <c r="AQ5233">
        <v>0</v>
      </c>
      <c r="AS5233">
        <v>0</v>
      </c>
      <c r="AT5233">
        <v>0</v>
      </c>
      <c r="AV5233">
        <v>0</v>
      </c>
      <c r="AW5233">
        <v>0</v>
      </c>
      <c r="AY5233">
        <v>0</v>
      </c>
      <c r="AZ5233">
        <v>0</v>
      </c>
      <c r="BA5233">
        <v>70</v>
      </c>
      <c r="BE5233" t="str">
        <f>T("9791137014381")</f>
        <v>9791137014381</v>
      </c>
      <c r="BF5233" t="str">
        <f>T("k381955")</f>
        <v>k381955</v>
      </c>
      <c r="BG5233" t="str">
        <f>T("판타지 웹소설 &gt; 퓨전 판타지")</f>
        <v>판타지 웹소설 &gt; 퓨전 판타지</v>
      </c>
    </row>
    <row r="5234" spans="1:59">
      <c r="A5234" t="s">
        <v>60</v>
      </c>
      <c r="B5234" s="1">
        <v>46130</v>
      </c>
      <c r="C5234">
        <v>2378044065</v>
      </c>
      <c r="D5234">
        <v>2378068515</v>
      </c>
      <c r="E5234" t="str">
        <f>T("저승의 왕위를 계승했다 472화")</f>
        <v>저승의 왕위를 계승했다 472화</v>
      </c>
      <c r="F5234">
        <v>473</v>
      </c>
      <c r="G5234" t="str">
        <f>T("신타비")</f>
        <v>신타비</v>
      </c>
      <c r="J5234" t="str">
        <f>T("매드햇")</f>
        <v>매드햇</v>
      </c>
      <c r="K5234" t="str">
        <f>T("저승의 왕위를 계승했다")</f>
        <v>저승의 왕위를 계승했다</v>
      </c>
      <c r="L5234">
        <v>100</v>
      </c>
      <c r="M5234">
        <v>100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0</v>
      </c>
      <c r="AE5234">
        <v>0</v>
      </c>
      <c r="AF5234">
        <v>0</v>
      </c>
      <c r="AG5234">
        <v>0</v>
      </c>
      <c r="AH5234">
        <v>0</v>
      </c>
      <c r="AI5234">
        <v>100</v>
      </c>
      <c r="AJ5234">
        <v>1</v>
      </c>
      <c r="AK5234">
        <v>0</v>
      </c>
      <c r="AL5234">
        <v>0</v>
      </c>
      <c r="AM5234">
        <v>100</v>
      </c>
      <c r="AN5234">
        <v>0</v>
      </c>
      <c r="AO5234">
        <v>0</v>
      </c>
      <c r="AP5234">
        <v>0</v>
      </c>
      <c r="AQ5234">
        <v>0</v>
      </c>
      <c r="AS5234">
        <v>0</v>
      </c>
      <c r="AT5234">
        <v>0</v>
      </c>
      <c r="AV5234">
        <v>0</v>
      </c>
      <c r="AW5234">
        <v>0</v>
      </c>
      <c r="AY5234">
        <v>0</v>
      </c>
      <c r="AZ5234">
        <v>0</v>
      </c>
      <c r="BA5234">
        <v>70</v>
      </c>
      <c r="BE5234" t="str">
        <f>T("9791137014381")</f>
        <v>9791137014381</v>
      </c>
      <c r="BF5234" t="str">
        <f>T("k381956")</f>
        <v>k381956</v>
      </c>
      <c r="BG5234" t="str">
        <f>T("판타지 웹소설 &gt; 퓨전 판타지")</f>
        <v>판타지 웹소설 &gt; 퓨전 판타지</v>
      </c>
    </row>
    <row r="5235" spans="1:59">
      <c r="A5235" t="s">
        <v>60</v>
      </c>
      <c r="B5235" s="1">
        <v>46130</v>
      </c>
      <c r="C5235">
        <v>2378044065</v>
      </c>
      <c r="D5235">
        <v>2378068516</v>
      </c>
      <c r="E5235" t="str">
        <f>T("저승의 왕위를 계승했다 473화")</f>
        <v>저승의 왕위를 계승했다 473화</v>
      </c>
      <c r="F5235">
        <v>474</v>
      </c>
      <c r="G5235" t="str">
        <f>T("신타비")</f>
        <v>신타비</v>
      </c>
      <c r="J5235" t="str">
        <f>T("매드햇")</f>
        <v>매드햇</v>
      </c>
      <c r="K5235" t="str">
        <f>T("저승의 왕위를 계승했다")</f>
        <v>저승의 왕위를 계승했다</v>
      </c>
      <c r="L5235">
        <v>100</v>
      </c>
      <c r="M5235">
        <v>100</v>
      </c>
      <c r="N5235">
        <v>1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0</v>
      </c>
      <c r="AE5235">
        <v>0</v>
      </c>
      <c r="AF5235">
        <v>0</v>
      </c>
      <c r="AG5235">
        <v>0</v>
      </c>
      <c r="AH5235">
        <v>0</v>
      </c>
      <c r="AI5235">
        <v>100</v>
      </c>
      <c r="AJ5235">
        <v>1</v>
      </c>
      <c r="AK5235">
        <v>0</v>
      </c>
      <c r="AL5235">
        <v>0</v>
      </c>
      <c r="AM5235">
        <v>100</v>
      </c>
      <c r="AN5235">
        <v>0</v>
      </c>
      <c r="AO5235">
        <v>0</v>
      </c>
      <c r="AP5235">
        <v>0</v>
      </c>
      <c r="AQ5235">
        <v>0</v>
      </c>
      <c r="AS5235">
        <v>0</v>
      </c>
      <c r="AT5235">
        <v>0</v>
      </c>
      <c r="AV5235">
        <v>0</v>
      </c>
      <c r="AW5235">
        <v>0</v>
      </c>
      <c r="AY5235">
        <v>0</v>
      </c>
      <c r="AZ5235">
        <v>0</v>
      </c>
      <c r="BA5235">
        <v>70</v>
      </c>
      <c r="BE5235" t="str">
        <f>T("9791137014381")</f>
        <v>9791137014381</v>
      </c>
      <c r="BF5235" t="str">
        <f>T("k381957")</f>
        <v>k381957</v>
      </c>
      <c r="BG5235" t="str">
        <f>T("판타지 웹소설 &gt; 퓨전 판타지")</f>
        <v>판타지 웹소설 &gt; 퓨전 판타지</v>
      </c>
    </row>
    <row r="5236" spans="1:59">
      <c r="A5236" t="s">
        <v>60</v>
      </c>
      <c r="B5236" s="1">
        <v>46130</v>
      </c>
      <c r="C5236">
        <v>2378044065</v>
      </c>
      <c r="D5236">
        <v>2378068517</v>
      </c>
      <c r="E5236" t="str">
        <f>T("저승의 왕위를 계승했다 474화")</f>
        <v>저승의 왕위를 계승했다 474화</v>
      </c>
      <c r="F5236">
        <v>475</v>
      </c>
      <c r="G5236" t="str">
        <f>T("신타비")</f>
        <v>신타비</v>
      </c>
      <c r="J5236" t="str">
        <f>T("매드햇")</f>
        <v>매드햇</v>
      </c>
      <c r="K5236" t="str">
        <f>T("저승의 왕위를 계승했다")</f>
        <v>저승의 왕위를 계승했다</v>
      </c>
      <c r="L5236">
        <v>100</v>
      </c>
      <c r="M5236">
        <v>100</v>
      </c>
      <c r="N5236">
        <v>1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0</v>
      </c>
      <c r="AE5236">
        <v>0</v>
      </c>
      <c r="AF5236">
        <v>0</v>
      </c>
      <c r="AG5236">
        <v>0</v>
      </c>
      <c r="AH5236">
        <v>0</v>
      </c>
      <c r="AI5236">
        <v>100</v>
      </c>
      <c r="AJ5236">
        <v>1</v>
      </c>
      <c r="AK5236">
        <v>0</v>
      </c>
      <c r="AL5236">
        <v>0</v>
      </c>
      <c r="AM5236">
        <v>100</v>
      </c>
      <c r="AN5236">
        <v>0</v>
      </c>
      <c r="AO5236">
        <v>0</v>
      </c>
      <c r="AP5236">
        <v>0</v>
      </c>
      <c r="AQ5236">
        <v>0</v>
      </c>
      <c r="AS5236">
        <v>0</v>
      </c>
      <c r="AT5236">
        <v>0</v>
      </c>
      <c r="AV5236">
        <v>0</v>
      </c>
      <c r="AW5236">
        <v>0</v>
      </c>
      <c r="AY5236">
        <v>0</v>
      </c>
      <c r="AZ5236">
        <v>0</v>
      </c>
      <c r="BA5236">
        <v>70</v>
      </c>
      <c r="BE5236" t="str">
        <f>T("9791137014381")</f>
        <v>9791137014381</v>
      </c>
      <c r="BF5236" t="str">
        <f>T("k381958")</f>
        <v>k381958</v>
      </c>
      <c r="BG5236" t="str">
        <f>T("판타지 웹소설 &gt; 퓨전 판타지")</f>
        <v>판타지 웹소설 &gt; 퓨전 판타지</v>
      </c>
    </row>
    <row r="5237" spans="1:59">
      <c r="A5237" t="s">
        <v>60</v>
      </c>
      <c r="B5237" s="1">
        <v>46130</v>
      </c>
      <c r="C5237">
        <v>2378044065</v>
      </c>
      <c r="D5237">
        <v>2378068537</v>
      </c>
      <c r="E5237" t="str">
        <f>T("저승의 왕위를 계승했다 475화")</f>
        <v>저승의 왕위를 계승했다 475화</v>
      </c>
      <c r="F5237">
        <v>476</v>
      </c>
      <c r="G5237" t="str">
        <f>T("신타비")</f>
        <v>신타비</v>
      </c>
      <c r="J5237" t="str">
        <f>T("매드햇")</f>
        <v>매드햇</v>
      </c>
      <c r="K5237" t="str">
        <f>T("저승의 왕위를 계승했다")</f>
        <v>저승의 왕위를 계승했다</v>
      </c>
      <c r="L5237">
        <v>100</v>
      </c>
      <c r="M5237">
        <v>100</v>
      </c>
      <c r="N5237">
        <v>1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0</v>
      </c>
      <c r="AE5237">
        <v>0</v>
      </c>
      <c r="AF5237">
        <v>0</v>
      </c>
      <c r="AG5237">
        <v>0</v>
      </c>
      <c r="AH5237">
        <v>0</v>
      </c>
      <c r="AI5237">
        <v>100</v>
      </c>
      <c r="AJ5237">
        <v>1</v>
      </c>
      <c r="AK5237">
        <v>0</v>
      </c>
      <c r="AL5237">
        <v>0</v>
      </c>
      <c r="AM5237">
        <v>100</v>
      </c>
      <c r="AN5237">
        <v>0</v>
      </c>
      <c r="AO5237">
        <v>0</v>
      </c>
      <c r="AP5237">
        <v>0</v>
      </c>
      <c r="AQ5237">
        <v>0</v>
      </c>
      <c r="AS5237">
        <v>0</v>
      </c>
      <c r="AT5237">
        <v>0</v>
      </c>
      <c r="AV5237">
        <v>0</v>
      </c>
      <c r="AW5237">
        <v>0</v>
      </c>
      <c r="AY5237">
        <v>0</v>
      </c>
      <c r="AZ5237">
        <v>0</v>
      </c>
      <c r="BA5237">
        <v>70</v>
      </c>
      <c r="BE5237" t="str">
        <f>T("9791137014381")</f>
        <v>9791137014381</v>
      </c>
      <c r="BF5237" t="str">
        <f>T("k383811")</f>
        <v>k383811</v>
      </c>
      <c r="BG5237" t="str">
        <f>T("판타지 웹소설 &gt; 퓨전 판타지")</f>
        <v>판타지 웹소설 &gt; 퓨전 판타지</v>
      </c>
    </row>
    <row r="5238" spans="1:59">
      <c r="A5238" t="s">
        <v>60</v>
      </c>
      <c r="B5238" s="1">
        <v>46130</v>
      </c>
      <c r="C5238">
        <v>2378044065</v>
      </c>
      <c r="D5238">
        <v>2378068538</v>
      </c>
      <c r="E5238" t="str">
        <f>T("저승의 왕위를 계승했다 476화")</f>
        <v>저승의 왕위를 계승했다 476화</v>
      </c>
      <c r="F5238">
        <v>477</v>
      </c>
      <c r="G5238" t="str">
        <f>T("신타비")</f>
        <v>신타비</v>
      </c>
      <c r="J5238" t="str">
        <f>T("매드햇")</f>
        <v>매드햇</v>
      </c>
      <c r="K5238" t="str">
        <f>T("저승의 왕위를 계승했다")</f>
        <v>저승의 왕위를 계승했다</v>
      </c>
      <c r="L5238">
        <v>100</v>
      </c>
      <c r="M5238">
        <v>100</v>
      </c>
      <c r="N5238">
        <v>1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0</v>
      </c>
      <c r="AE5238">
        <v>0</v>
      </c>
      <c r="AF5238">
        <v>0</v>
      </c>
      <c r="AG5238">
        <v>0</v>
      </c>
      <c r="AH5238">
        <v>0</v>
      </c>
      <c r="AI5238">
        <v>100</v>
      </c>
      <c r="AJ5238">
        <v>1</v>
      </c>
      <c r="AK5238">
        <v>0</v>
      </c>
      <c r="AL5238">
        <v>0</v>
      </c>
      <c r="AM5238">
        <v>100</v>
      </c>
      <c r="AN5238">
        <v>0</v>
      </c>
      <c r="AO5238">
        <v>0</v>
      </c>
      <c r="AP5238">
        <v>0</v>
      </c>
      <c r="AQ5238">
        <v>0</v>
      </c>
      <c r="AS5238">
        <v>0</v>
      </c>
      <c r="AT5238">
        <v>0</v>
      </c>
      <c r="AV5238">
        <v>0</v>
      </c>
      <c r="AW5238">
        <v>0</v>
      </c>
      <c r="AY5238">
        <v>0</v>
      </c>
      <c r="AZ5238">
        <v>0</v>
      </c>
      <c r="BA5238">
        <v>70</v>
      </c>
      <c r="BE5238" t="str">
        <f>T("9791137014381")</f>
        <v>9791137014381</v>
      </c>
      <c r="BF5238" t="str">
        <f>T("k383812")</f>
        <v>k383812</v>
      </c>
      <c r="BG5238" t="str">
        <f>T("판타지 웹소설 &gt; 퓨전 판타지")</f>
        <v>판타지 웹소설 &gt; 퓨전 판타지</v>
      </c>
    </row>
    <row r="5239" spans="1:59">
      <c r="A5239" t="s">
        <v>60</v>
      </c>
      <c r="B5239" s="1">
        <v>46130</v>
      </c>
      <c r="C5239">
        <v>2378044065</v>
      </c>
      <c r="D5239">
        <v>2378068746</v>
      </c>
      <c r="E5239" t="str">
        <f>T("저승의 왕위를 계승했다 477화")</f>
        <v>저승의 왕위를 계승했다 477화</v>
      </c>
      <c r="F5239">
        <v>478</v>
      </c>
      <c r="G5239" t="str">
        <f>T("신타비")</f>
        <v>신타비</v>
      </c>
      <c r="J5239" t="str">
        <f>T("매드햇")</f>
        <v>매드햇</v>
      </c>
      <c r="K5239" t="str">
        <f>T("저승의 왕위를 계승했다")</f>
        <v>저승의 왕위를 계승했다</v>
      </c>
      <c r="L5239">
        <v>100</v>
      </c>
      <c r="M5239">
        <v>100</v>
      </c>
      <c r="N5239">
        <v>1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0</v>
      </c>
      <c r="AE5239">
        <v>0</v>
      </c>
      <c r="AF5239">
        <v>0</v>
      </c>
      <c r="AG5239">
        <v>0</v>
      </c>
      <c r="AH5239">
        <v>0</v>
      </c>
      <c r="AI5239">
        <v>100</v>
      </c>
      <c r="AJ5239">
        <v>1</v>
      </c>
      <c r="AK5239">
        <v>0</v>
      </c>
      <c r="AL5239">
        <v>0</v>
      </c>
      <c r="AM5239">
        <v>100</v>
      </c>
      <c r="AN5239">
        <v>0</v>
      </c>
      <c r="AO5239">
        <v>0</v>
      </c>
      <c r="AP5239">
        <v>0</v>
      </c>
      <c r="AQ5239">
        <v>0</v>
      </c>
      <c r="AS5239">
        <v>0</v>
      </c>
      <c r="AT5239">
        <v>0</v>
      </c>
      <c r="AV5239">
        <v>0</v>
      </c>
      <c r="AW5239">
        <v>0</v>
      </c>
      <c r="AY5239">
        <v>0</v>
      </c>
      <c r="AZ5239">
        <v>0</v>
      </c>
      <c r="BA5239">
        <v>70</v>
      </c>
      <c r="BE5239" t="str">
        <f>T("9791137014381")</f>
        <v>9791137014381</v>
      </c>
      <c r="BF5239" t="str">
        <f>T("k383813")</f>
        <v>k383813</v>
      </c>
      <c r="BG5239" t="str">
        <f>T("판타지 웹소설 &gt; 퓨전 판타지")</f>
        <v>판타지 웹소설 &gt; 퓨전 판타지</v>
      </c>
    </row>
    <row r="5240" spans="1:59">
      <c r="A5240" t="s">
        <v>60</v>
      </c>
      <c r="B5240" s="1">
        <v>46130</v>
      </c>
      <c r="C5240">
        <v>2378044065</v>
      </c>
      <c r="D5240">
        <v>2378068747</v>
      </c>
      <c r="E5240" t="str">
        <f>T("저승의 왕위를 계승했다 478화")</f>
        <v>저승의 왕위를 계승했다 478화</v>
      </c>
      <c r="F5240">
        <v>479</v>
      </c>
      <c r="G5240" t="str">
        <f>T("신타비")</f>
        <v>신타비</v>
      </c>
      <c r="J5240" t="str">
        <f>T("매드햇")</f>
        <v>매드햇</v>
      </c>
      <c r="K5240" t="str">
        <f>T("저승의 왕위를 계승했다")</f>
        <v>저승의 왕위를 계승했다</v>
      </c>
      <c r="L5240">
        <v>100</v>
      </c>
      <c r="M5240">
        <v>100</v>
      </c>
      <c r="N5240">
        <v>1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0</v>
      </c>
      <c r="AE5240">
        <v>0</v>
      </c>
      <c r="AF5240">
        <v>0</v>
      </c>
      <c r="AG5240">
        <v>0</v>
      </c>
      <c r="AH5240">
        <v>0</v>
      </c>
      <c r="AI5240">
        <v>100</v>
      </c>
      <c r="AJ5240">
        <v>1</v>
      </c>
      <c r="AK5240">
        <v>0</v>
      </c>
      <c r="AL5240">
        <v>0</v>
      </c>
      <c r="AM5240">
        <v>100</v>
      </c>
      <c r="AN5240">
        <v>0</v>
      </c>
      <c r="AO5240">
        <v>0</v>
      </c>
      <c r="AP5240">
        <v>0</v>
      </c>
      <c r="AQ5240">
        <v>0</v>
      </c>
      <c r="AS5240">
        <v>0</v>
      </c>
      <c r="AT5240">
        <v>0</v>
      </c>
      <c r="AV5240">
        <v>0</v>
      </c>
      <c r="AW5240">
        <v>0</v>
      </c>
      <c r="AY5240">
        <v>0</v>
      </c>
      <c r="AZ5240">
        <v>0</v>
      </c>
      <c r="BA5240">
        <v>70</v>
      </c>
      <c r="BE5240" t="str">
        <f>T("9791137014381")</f>
        <v>9791137014381</v>
      </c>
      <c r="BF5240" t="str">
        <f>T("k383814")</f>
        <v>k383814</v>
      </c>
      <c r="BG5240" t="str">
        <f>T("판타지 웹소설 &gt; 퓨전 판타지")</f>
        <v>판타지 웹소설 &gt; 퓨전 판타지</v>
      </c>
    </row>
    <row r="5241" spans="1:59">
      <c r="A5241" t="s">
        <v>60</v>
      </c>
      <c r="B5241" s="1">
        <v>46130</v>
      </c>
      <c r="C5241">
        <v>2378044065</v>
      </c>
      <c r="D5241">
        <v>2378068768</v>
      </c>
      <c r="E5241" t="str">
        <f>T("저승의 왕위를 계승했다 479화")</f>
        <v>저승의 왕위를 계승했다 479화</v>
      </c>
      <c r="F5241">
        <v>480</v>
      </c>
      <c r="G5241" t="str">
        <f>T("신타비")</f>
        <v>신타비</v>
      </c>
      <c r="J5241" t="str">
        <f>T("매드햇")</f>
        <v>매드햇</v>
      </c>
      <c r="K5241" t="str">
        <f>T("저승의 왕위를 계승했다")</f>
        <v>저승의 왕위를 계승했다</v>
      </c>
      <c r="L5241">
        <v>100</v>
      </c>
      <c r="M5241">
        <v>100</v>
      </c>
      <c r="N5241">
        <v>1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0</v>
      </c>
      <c r="AE5241">
        <v>0</v>
      </c>
      <c r="AF5241">
        <v>0</v>
      </c>
      <c r="AG5241">
        <v>0</v>
      </c>
      <c r="AH5241">
        <v>0</v>
      </c>
      <c r="AI5241">
        <v>100</v>
      </c>
      <c r="AJ5241">
        <v>1</v>
      </c>
      <c r="AK5241">
        <v>0</v>
      </c>
      <c r="AL5241">
        <v>0</v>
      </c>
      <c r="AM5241">
        <v>100</v>
      </c>
      <c r="AN5241">
        <v>0</v>
      </c>
      <c r="AO5241">
        <v>0</v>
      </c>
      <c r="AP5241">
        <v>0</v>
      </c>
      <c r="AQ5241">
        <v>0</v>
      </c>
      <c r="AS5241">
        <v>0</v>
      </c>
      <c r="AT5241">
        <v>0</v>
      </c>
      <c r="AV5241">
        <v>0</v>
      </c>
      <c r="AW5241">
        <v>0</v>
      </c>
      <c r="AY5241">
        <v>0</v>
      </c>
      <c r="AZ5241">
        <v>0</v>
      </c>
      <c r="BA5241">
        <v>70</v>
      </c>
      <c r="BE5241" t="str">
        <f>T("9791137014381")</f>
        <v>9791137014381</v>
      </c>
      <c r="BF5241" t="str">
        <f>T("k387772")</f>
        <v>k387772</v>
      </c>
      <c r="BG5241" t="str">
        <f>T("판타지 웹소설 &gt; 퓨전 판타지")</f>
        <v>판타지 웹소설 &gt; 퓨전 판타지</v>
      </c>
    </row>
    <row r="5242" spans="1:59">
      <c r="A5242" t="s">
        <v>60</v>
      </c>
      <c r="B5242" s="1">
        <v>46130</v>
      </c>
      <c r="C5242">
        <v>2378044065</v>
      </c>
      <c r="D5242">
        <v>2378068769</v>
      </c>
      <c r="E5242" t="str">
        <f>T("저승의 왕위를 계승했다 480화")</f>
        <v>저승의 왕위를 계승했다 480화</v>
      </c>
      <c r="F5242">
        <v>481</v>
      </c>
      <c r="G5242" t="str">
        <f>T("신타비")</f>
        <v>신타비</v>
      </c>
      <c r="J5242" t="str">
        <f>T("매드햇")</f>
        <v>매드햇</v>
      </c>
      <c r="K5242" t="str">
        <f>T("저승의 왕위를 계승했다")</f>
        <v>저승의 왕위를 계승했다</v>
      </c>
      <c r="L5242">
        <v>100</v>
      </c>
      <c r="M5242">
        <v>100</v>
      </c>
      <c r="N5242">
        <v>1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0</v>
      </c>
      <c r="AE5242">
        <v>0</v>
      </c>
      <c r="AF5242">
        <v>0</v>
      </c>
      <c r="AG5242">
        <v>0</v>
      </c>
      <c r="AH5242">
        <v>0</v>
      </c>
      <c r="AI5242">
        <v>100</v>
      </c>
      <c r="AJ5242">
        <v>1</v>
      </c>
      <c r="AK5242">
        <v>0</v>
      </c>
      <c r="AL5242">
        <v>0</v>
      </c>
      <c r="AM5242">
        <v>100</v>
      </c>
      <c r="AN5242">
        <v>0</v>
      </c>
      <c r="AO5242">
        <v>0</v>
      </c>
      <c r="AP5242">
        <v>0</v>
      </c>
      <c r="AQ5242">
        <v>0</v>
      </c>
      <c r="AS5242">
        <v>0</v>
      </c>
      <c r="AT5242">
        <v>0</v>
      </c>
      <c r="AV5242">
        <v>0</v>
      </c>
      <c r="AW5242">
        <v>0</v>
      </c>
      <c r="AY5242">
        <v>0</v>
      </c>
      <c r="AZ5242">
        <v>0</v>
      </c>
      <c r="BA5242">
        <v>70</v>
      </c>
      <c r="BE5242" t="str">
        <f>T("9791137014381")</f>
        <v>9791137014381</v>
      </c>
      <c r="BF5242" t="str">
        <f>T("k387773")</f>
        <v>k387773</v>
      </c>
      <c r="BG5242" t="str">
        <f>T("판타지 웹소설 &gt; 퓨전 판타지")</f>
        <v>판타지 웹소설 &gt; 퓨전 판타지</v>
      </c>
    </row>
    <row r="5243" spans="1:59">
      <c r="A5243" t="s">
        <v>60</v>
      </c>
      <c r="B5243" s="1">
        <v>46130</v>
      </c>
      <c r="C5243">
        <v>2378044065</v>
      </c>
      <c r="D5243">
        <v>2378068806</v>
      </c>
      <c r="E5243" t="str">
        <f>T("저승의 왕위를 계승했다 481화")</f>
        <v>저승의 왕위를 계승했다 481화</v>
      </c>
      <c r="F5243">
        <v>482</v>
      </c>
      <c r="G5243" t="str">
        <f>T("신타비")</f>
        <v>신타비</v>
      </c>
      <c r="J5243" t="str">
        <f>T("매드햇")</f>
        <v>매드햇</v>
      </c>
      <c r="K5243" t="str">
        <f>T("저승의 왕위를 계승했다")</f>
        <v>저승의 왕위를 계승했다</v>
      </c>
      <c r="L5243">
        <v>100</v>
      </c>
      <c r="M5243">
        <v>200</v>
      </c>
      <c r="N5243">
        <v>2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0</v>
      </c>
      <c r="AC5243">
        <v>0</v>
      </c>
      <c r="AD5243">
        <v>0</v>
      </c>
      <c r="AE5243">
        <v>0</v>
      </c>
      <c r="AF5243">
        <v>0</v>
      </c>
      <c r="AG5243">
        <v>0</v>
      </c>
      <c r="AH5243">
        <v>0</v>
      </c>
      <c r="AI5243">
        <v>200</v>
      </c>
      <c r="AJ5243">
        <v>2</v>
      </c>
      <c r="AK5243">
        <v>0</v>
      </c>
      <c r="AL5243">
        <v>0</v>
      </c>
      <c r="AM5243">
        <v>200</v>
      </c>
      <c r="AN5243">
        <v>0</v>
      </c>
      <c r="AO5243">
        <v>0</v>
      </c>
      <c r="AP5243">
        <v>0</v>
      </c>
      <c r="AQ5243">
        <v>0</v>
      </c>
      <c r="AS5243">
        <v>0</v>
      </c>
      <c r="AT5243">
        <v>0</v>
      </c>
      <c r="AV5243">
        <v>0</v>
      </c>
      <c r="AW5243">
        <v>0</v>
      </c>
      <c r="AY5243">
        <v>0</v>
      </c>
      <c r="AZ5243">
        <v>0</v>
      </c>
      <c r="BA5243">
        <v>140</v>
      </c>
      <c r="BE5243" t="str">
        <f>T("9791137014381")</f>
        <v>9791137014381</v>
      </c>
      <c r="BF5243" t="str">
        <f>T("k387774")</f>
        <v>k387774</v>
      </c>
      <c r="BG5243" t="str">
        <f>T("판타지 웹소설 &gt; 퓨전 판타지")</f>
        <v>판타지 웹소설 &gt; 퓨전 판타지</v>
      </c>
    </row>
    <row r="5244" spans="1:59">
      <c r="A5244" t="s">
        <v>60</v>
      </c>
      <c r="B5244" s="1">
        <v>46130</v>
      </c>
      <c r="C5244">
        <v>2378044065</v>
      </c>
      <c r="D5244">
        <v>2378068807</v>
      </c>
      <c r="E5244" t="str">
        <f>T("저승의 왕위를 계승했다 482화")</f>
        <v>저승의 왕위를 계승했다 482화</v>
      </c>
      <c r="F5244">
        <v>483</v>
      </c>
      <c r="G5244" t="str">
        <f>T("신타비")</f>
        <v>신타비</v>
      </c>
      <c r="J5244" t="str">
        <f>T("매드햇")</f>
        <v>매드햇</v>
      </c>
      <c r="K5244" t="str">
        <f>T("저승의 왕위를 계승했다")</f>
        <v>저승의 왕위를 계승했다</v>
      </c>
      <c r="L5244">
        <v>100</v>
      </c>
      <c r="M5244">
        <v>200</v>
      </c>
      <c r="N5244">
        <v>2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0</v>
      </c>
      <c r="AC5244">
        <v>0</v>
      </c>
      <c r="AD5244">
        <v>0</v>
      </c>
      <c r="AE5244">
        <v>0</v>
      </c>
      <c r="AF5244">
        <v>0</v>
      </c>
      <c r="AG5244">
        <v>0</v>
      </c>
      <c r="AH5244">
        <v>0</v>
      </c>
      <c r="AI5244">
        <v>200</v>
      </c>
      <c r="AJ5244">
        <v>2</v>
      </c>
      <c r="AK5244">
        <v>0</v>
      </c>
      <c r="AL5244">
        <v>0</v>
      </c>
      <c r="AM5244">
        <v>200</v>
      </c>
      <c r="AN5244">
        <v>0</v>
      </c>
      <c r="AO5244">
        <v>0</v>
      </c>
      <c r="AP5244">
        <v>0</v>
      </c>
      <c r="AQ5244">
        <v>0</v>
      </c>
      <c r="AS5244">
        <v>0</v>
      </c>
      <c r="AT5244">
        <v>0</v>
      </c>
      <c r="AV5244">
        <v>0</v>
      </c>
      <c r="AW5244">
        <v>0</v>
      </c>
      <c r="AY5244">
        <v>0</v>
      </c>
      <c r="AZ5244">
        <v>0</v>
      </c>
      <c r="BA5244">
        <v>140</v>
      </c>
      <c r="BE5244" t="str">
        <f>T("9791137014381")</f>
        <v>9791137014381</v>
      </c>
      <c r="BF5244" t="str">
        <f>T("k387775")</f>
        <v>k387775</v>
      </c>
      <c r="BG5244" t="str">
        <f>T("판타지 웹소설 &gt; 퓨전 판타지")</f>
        <v>판타지 웹소설 &gt; 퓨전 판타지</v>
      </c>
    </row>
    <row r="5245" spans="1:59">
      <c r="A5245" t="s">
        <v>60</v>
      </c>
      <c r="B5245" s="1">
        <v>46130</v>
      </c>
      <c r="C5245">
        <v>2378044065</v>
      </c>
      <c r="D5245">
        <v>2378068819</v>
      </c>
      <c r="E5245" t="str">
        <f>T("저승의 왕위를 계승했다 483화")</f>
        <v>저승의 왕위를 계승했다 483화</v>
      </c>
      <c r="F5245">
        <v>484</v>
      </c>
      <c r="G5245" t="str">
        <f>T("신타비")</f>
        <v>신타비</v>
      </c>
      <c r="J5245" t="str">
        <f>T("매드햇")</f>
        <v>매드햇</v>
      </c>
      <c r="K5245" t="str">
        <f>T("저승의 왕위를 계승했다")</f>
        <v>저승의 왕위를 계승했다</v>
      </c>
      <c r="L5245">
        <v>100</v>
      </c>
      <c r="M5245">
        <v>200</v>
      </c>
      <c r="N5245">
        <v>2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0</v>
      </c>
      <c r="AC5245">
        <v>0</v>
      </c>
      <c r="AD5245">
        <v>0</v>
      </c>
      <c r="AE5245">
        <v>0</v>
      </c>
      <c r="AF5245">
        <v>0</v>
      </c>
      <c r="AG5245">
        <v>0</v>
      </c>
      <c r="AH5245">
        <v>0</v>
      </c>
      <c r="AI5245">
        <v>200</v>
      </c>
      <c r="AJ5245">
        <v>2</v>
      </c>
      <c r="AK5245">
        <v>0</v>
      </c>
      <c r="AL5245">
        <v>0</v>
      </c>
      <c r="AM5245">
        <v>200</v>
      </c>
      <c r="AN5245">
        <v>0</v>
      </c>
      <c r="AO5245">
        <v>0</v>
      </c>
      <c r="AP5245">
        <v>0</v>
      </c>
      <c r="AQ5245">
        <v>0</v>
      </c>
      <c r="AS5245">
        <v>0</v>
      </c>
      <c r="AT5245">
        <v>0</v>
      </c>
      <c r="AV5245">
        <v>0</v>
      </c>
      <c r="AW5245">
        <v>0</v>
      </c>
      <c r="AY5245">
        <v>0</v>
      </c>
      <c r="AZ5245">
        <v>0</v>
      </c>
      <c r="BA5245">
        <v>140</v>
      </c>
      <c r="BE5245" t="str">
        <f>T("9791137014381")</f>
        <v>9791137014381</v>
      </c>
      <c r="BF5245" t="str">
        <f>T("k392999")</f>
        <v>k392999</v>
      </c>
      <c r="BG5245" t="str">
        <f>T("판타지 웹소설 &gt; 퓨전 판타지")</f>
        <v>판타지 웹소설 &gt; 퓨전 판타지</v>
      </c>
    </row>
    <row r="5246" spans="1:59">
      <c r="A5246" t="s">
        <v>60</v>
      </c>
      <c r="B5246" s="1">
        <v>46130</v>
      </c>
      <c r="C5246">
        <v>2378044065</v>
      </c>
      <c r="D5246">
        <v>2378068820</v>
      </c>
      <c r="E5246" t="str">
        <f>T("저승의 왕위를 계승했다 484화")</f>
        <v>저승의 왕위를 계승했다 484화</v>
      </c>
      <c r="F5246">
        <v>485</v>
      </c>
      <c r="G5246" t="str">
        <f>T("신타비")</f>
        <v>신타비</v>
      </c>
      <c r="J5246" t="str">
        <f>T("매드햇")</f>
        <v>매드햇</v>
      </c>
      <c r="K5246" t="str">
        <f>T("저승의 왕위를 계승했다")</f>
        <v>저승의 왕위를 계승했다</v>
      </c>
      <c r="L5246">
        <v>100</v>
      </c>
      <c r="M5246">
        <v>200</v>
      </c>
      <c r="N5246">
        <v>2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0</v>
      </c>
      <c r="AC5246">
        <v>0</v>
      </c>
      <c r="AD5246">
        <v>0</v>
      </c>
      <c r="AE5246">
        <v>0</v>
      </c>
      <c r="AF5246">
        <v>0</v>
      </c>
      <c r="AG5246">
        <v>0</v>
      </c>
      <c r="AH5246">
        <v>0</v>
      </c>
      <c r="AI5246">
        <v>200</v>
      </c>
      <c r="AJ5246">
        <v>2</v>
      </c>
      <c r="AK5246">
        <v>0</v>
      </c>
      <c r="AL5246">
        <v>0</v>
      </c>
      <c r="AM5246">
        <v>200</v>
      </c>
      <c r="AN5246">
        <v>0</v>
      </c>
      <c r="AO5246">
        <v>0</v>
      </c>
      <c r="AP5246">
        <v>0</v>
      </c>
      <c r="AQ5246">
        <v>0</v>
      </c>
      <c r="AS5246">
        <v>0</v>
      </c>
      <c r="AT5246">
        <v>0</v>
      </c>
      <c r="AV5246">
        <v>0</v>
      </c>
      <c r="AW5246">
        <v>0</v>
      </c>
      <c r="AY5246">
        <v>0</v>
      </c>
      <c r="AZ5246">
        <v>0</v>
      </c>
      <c r="BA5246">
        <v>140</v>
      </c>
      <c r="BE5246" t="str">
        <f>T("9791137014381")</f>
        <v>9791137014381</v>
      </c>
      <c r="BF5246" t="str">
        <f>T("k393000")</f>
        <v>k393000</v>
      </c>
      <c r="BG5246" t="str">
        <f>T("판타지 웹소설 &gt; 퓨전 판타지")</f>
        <v>판타지 웹소설 &gt; 퓨전 판타지</v>
      </c>
    </row>
    <row r="5247" spans="1:59">
      <c r="A5247" t="s">
        <v>60</v>
      </c>
      <c r="B5247" s="1">
        <v>46130</v>
      </c>
      <c r="C5247">
        <v>2378044065</v>
      </c>
      <c r="D5247">
        <v>2378068829</v>
      </c>
      <c r="E5247" t="str">
        <f>T("저승의 왕위를 계승했다 485화")</f>
        <v>저승의 왕위를 계승했다 485화</v>
      </c>
      <c r="F5247">
        <v>486</v>
      </c>
      <c r="G5247" t="str">
        <f>T("신타비")</f>
        <v>신타비</v>
      </c>
      <c r="J5247" t="str">
        <f>T("매드햇")</f>
        <v>매드햇</v>
      </c>
      <c r="K5247" t="str">
        <f>T("저승의 왕위를 계승했다")</f>
        <v>저승의 왕위를 계승했다</v>
      </c>
      <c r="L5247">
        <v>100</v>
      </c>
      <c r="M5247">
        <v>200</v>
      </c>
      <c r="N5247">
        <v>2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0</v>
      </c>
      <c r="AC5247">
        <v>0</v>
      </c>
      <c r="AD5247">
        <v>0</v>
      </c>
      <c r="AE5247">
        <v>0</v>
      </c>
      <c r="AF5247">
        <v>0</v>
      </c>
      <c r="AG5247">
        <v>0</v>
      </c>
      <c r="AH5247">
        <v>0</v>
      </c>
      <c r="AI5247">
        <v>200</v>
      </c>
      <c r="AJ5247">
        <v>2</v>
      </c>
      <c r="AK5247">
        <v>0</v>
      </c>
      <c r="AL5247">
        <v>0</v>
      </c>
      <c r="AM5247">
        <v>200</v>
      </c>
      <c r="AN5247">
        <v>0</v>
      </c>
      <c r="AO5247">
        <v>0</v>
      </c>
      <c r="AP5247">
        <v>0</v>
      </c>
      <c r="AQ5247">
        <v>0</v>
      </c>
      <c r="AS5247">
        <v>0</v>
      </c>
      <c r="AT5247">
        <v>0</v>
      </c>
      <c r="AV5247">
        <v>0</v>
      </c>
      <c r="AW5247">
        <v>0</v>
      </c>
      <c r="AY5247">
        <v>0</v>
      </c>
      <c r="AZ5247">
        <v>0</v>
      </c>
      <c r="BA5247">
        <v>140</v>
      </c>
      <c r="BE5247" t="str">
        <f>T("9791137014381")</f>
        <v>9791137014381</v>
      </c>
      <c r="BF5247" t="str">
        <f>T("k393001")</f>
        <v>k393001</v>
      </c>
      <c r="BG5247" t="str">
        <f>T("판타지 웹소설 &gt; 퓨전 판타지")</f>
        <v>판타지 웹소설 &gt; 퓨전 판타지</v>
      </c>
    </row>
    <row r="5248" spans="1:59">
      <c r="A5248" t="s">
        <v>60</v>
      </c>
      <c r="B5248" s="1">
        <v>46130</v>
      </c>
      <c r="C5248">
        <v>2378044065</v>
      </c>
      <c r="D5248">
        <v>2378068830</v>
      </c>
      <c r="E5248" t="str">
        <f>T("저승의 왕위를 계승했다 486화")</f>
        <v>저승의 왕위를 계승했다 486화</v>
      </c>
      <c r="F5248">
        <v>487</v>
      </c>
      <c r="G5248" t="str">
        <f>T("신타비")</f>
        <v>신타비</v>
      </c>
      <c r="J5248" t="str">
        <f>T("매드햇")</f>
        <v>매드햇</v>
      </c>
      <c r="K5248" t="str">
        <f>T("저승의 왕위를 계승했다")</f>
        <v>저승의 왕위를 계승했다</v>
      </c>
      <c r="L5248">
        <v>100</v>
      </c>
      <c r="M5248">
        <v>200</v>
      </c>
      <c r="N5248">
        <v>2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0</v>
      </c>
      <c r="AE5248">
        <v>0</v>
      </c>
      <c r="AF5248">
        <v>0</v>
      </c>
      <c r="AG5248">
        <v>0</v>
      </c>
      <c r="AH5248">
        <v>0</v>
      </c>
      <c r="AI5248">
        <v>200</v>
      </c>
      <c r="AJ5248">
        <v>2</v>
      </c>
      <c r="AK5248">
        <v>0</v>
      </c>
      <c r="AL5248">
        <v>0</v>
      </c>
      <c r="AM5248">
        <v>200</v>
      </c>
      <c r="AN5248">
        <v>0</v>
      </c>
      <c r="AO5248">
        <v>0</v>
      </c>
      <c r="AP5248">
        <v>0</v>
      </c>
      <c r="AQ5248">
        <v>0</v>
      </c>
      <c r="AS5248">
        <v>0</v>
      </c>
      <c r="AT5248">
        <v>0</v>
      </c>
      <c r="AV5248">
        <v>0</v>
      </c>
      <c r="AW5248">
        <v>0</v>
      </c>
      <c r="AY5248">
        <v>0</v>
      </c>
      <c r="AZ5248">
        <v>0</v>
      </c>
      <c r="BA5248">
        <v>140</v>
      </c>
      <c r="BE5248" t="str">
        <f>T("9791137014381")</f>
        <v>9791137014381</v>
      </c>
      <c r="BF5248" t="str">
        <f>T("k393002")</f>
        <v>k393002</v>
      </c>
      <c r="BG5248" t="str">
        <f>T("판타지 웹소설 &gt; 퓨전 판타지")</f>
        <v>판타지 웹소설 &gt; 퓨전 판타지</v>
      </c>
    </row>
    <row r="5249" spans="1:59">
      <c r="A5249" t="s">
        <v>60</v>
      </c>
      <c r="B5249" s="1">
        <v>46130</v>
      </c>
      <c r="C5249">
        <v>2378044065</v>
      </c>
      <c r="D5249">
        <v>2378068965</v>
      </c>
      <c r="E5249" t="str">
        <f>T("저승의 왕위를 계승했다 487화")</f>
        <v>저승의 왕위를 계승했다 487화</v>
      </c>
      <c r="F5249">
        <v>488</v>
      </c>
      <c r="G5249" t="str">
        <f>T("신타비")</f>
        <v>신타비</v>
      </c>
      <c r="J5249" t="str">
        <f>T("매드햇")</f>
        <v>매드햇</v>
      </c>
      <c r="K5249" t="str">
        <f>T("저승의 왕위를 계승했다")</f>
        <v>저승의 왕위를 계승했다</v>
      </c>
      <c r="L5249">
        <v>100</v>
      </c>
      <c r="M5249">
        <v>200</v>
      </c>
      <c r="N5249">
        <v>2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0</v>
      </c>
      <c r="AE5249">
        <v>0</v>
      </c>
      <c r="AF5249">
        <v>0</v>
      </c>
      <c r="AG5249">
        <v>0</v>
      </c>
      <c r="AH5249">
        <v>0</v>
      </c>
      <c r="AI5249">
        <v>200</v>
      </c>
      <c r="AJ5249">
        <v>2</v>
      </c>
      <c r="AK5249">
        <v>0</v>
      </c>
      <c r="AL5249">
        <v>0</v>
      </c>
      <c r="AM5249">
        <v>200</v>
      </c>
      <c r="AN5249">
        <v>0</v>
      </c>
      <c r="AO5249">
        <v>0</v>
      </c>
      <c r="AP5249">
        <v>0</v>
      </c>
      <c r="AQ5249">
        <v>0</v>
      </c>
      <c r="AS5249">
        <v>0</v>
      </c>
      <c r="AT5249">
        <v>0</v>
      </c>
      <c r="AV5249">
        <v>0</v>
      </c>
      <c r="AW5249">
        <v>0</v>
      </c>
      <c r="AY5249">
        <v>0</v>
      </c>
      <c r="AZ5249">
        <v>0</v>
      </c>
      <c r="BA5249">
        <v>140</v>
      </c>
      <c r="BE5249" t="str">
        <f>T("9791137014381")</f>
        <v>9791137014381</v>
      </c>
      <c r="BF5249" t="str">
        <f>T("k393003")</f>
        <v>k393003</v>
      </c>
      <c r="BG5249" t="str">
        <f>T("판타지 웹소설 &gt; 퓨전 판타지")</f>
        <v>판타지 웹소설 &gt; 퓨전 판타지</v>
      </c>
    </row>
    <row r="5250" spans="1:59">
      <c r="A5250" t="s">
        <v>60</v>
      </c>
      <c r="B5250" s="1">
        <v>46130</v>
      </c>
      <c r="C5250">
        <v>2378044065</v>
      </c>
      <c r="D5250">
        <v>2378068966</v>
      </c>
      <c r="E5250" t="str">
        <f>T("저승의 왕위를 계승했다 488화")</f>
        <v>저승의 왕위를 계승했다 488화</v>
      </c>
      <c r="F5250">
        <v>489</v>
      </c>
      <c r="G5250" t="str">
        <f>T("신타비")</f>
        <v>신타비</v>
      </c>
      <c r="J5250" t="str">
        <f>T("매드햇")</f>
        <v>매드햇</v>
      </c>
      <c r="K5250" t="str">
        <f>T("저승의 왕위를 계승했다")</f>
        <v>저승의 왕위를 계승했다</v>
      </c>
      <c r="L5250">
        <v>100</v>
      </c>
      <c r="M5250">
        <v>200</v>
      </c>
      <c r="N5250">
        <v>2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0</v>
      </c>
      <c r="AE5250">
        <v>0</v>
      </c>
      <c r="AF5250">
        <v>0</v>
      </c>
      <c r="AG5250">
        <v>0</v>
      </c>
      <c r="AH5250">
        <v>0</v>
      </c>
      <c r="AI5250">
        <v>200</v>
      </c>
      <c r="AJ5250">
        <v>2</v>
      </c>
      <c r="AK5250">
        <v>0</v>
      </c>
      <c r="AL5250">
        <v>0</v>
      </c>
      <c r="AM5250">
        <v>200</v>
      </c>
      <c r="AN5250">
        <v>0</v>
      </c>
      <c r="AO5250">
        <v>0</v>
      </c>
      <c r="AP5250">
        <v>0</v>
      </c>
      <c r="AQ5250">
        <v>0</v>
      </c>
      <c r="AS5250">
        <v>0</v>
      </c>
      <c r="AT5250">
        <v>0</v>
      </c>
      <c r="AV5250">
        <v>0</v>
      </c>
      <c r="AW5250">
        <v>0</v>
      </c>
      <c r="AY5250">
        <v>0</v>
      </c>
      <c r="AZ5250">
        <v>0</v>
      </c>
      <c r="BA5250">
        <v>140</v>
      </c>
      <c r="BE5250" t="str">
        <f>T("9791137014381")</f>
        <v>9791137014381</v>
      </c>
      <c r="BF5250" t="str">
        <f>T("k393004")</f>
        <v>k393004</v>
      </c>
      <c r="BG5250" t="str">
        <f>T("판타지 웹소설 &gt; 퓨전 판타지")</f>
        <v>판타지 웹소설 &gt; 퓨전 판타지</v>
      </c>
    </row>
    <row r="5251" spans="1:59">
      <c r="A5251" t="s">
        <v>60</v>
      </c>
      <c r="B5251" s="1">
        <v>46130</v>
      </c>
      <c r="C5251">
        <v>2378044065</v>
      </c>
      <c r="D5251">
        <v>2378068978</v>
      </c>
      <c r="E5251" t="str">
        <f>T("저승의 왕위를 계승했다 489화")</f>
        <v>저승의 왕위를 계승했다 489화</v>
      </c>
      <c r="F5251">
        <v>490</v>
      </c>
      <c r="G5251" t="str">
        <f>T("신타비")</f>
        <v>신타비</v>
      </c>
      <c r="J5251" t="str">
        <f>T("매드햇")</f>
        <v>매드햇</v>
      </c>
      <c r="K5251" t="str">
        <f>T("저승의 왕위를 계승했다")</f>
        <v>저승의 왕위를 계승했다</v>
      </c>
      <c r="L5251">
        <v>100</v>
      </c>
      <c r="M5251">
        <v>200</v>
      </c>
      <c r="N5251">
        <v>2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0</v>
      </c>
      <c r="AE5251">
        <v>0</v>
      </c>
      <c r="AF5251">
        <v>0</v>
      </c>
      <c r="AG5251">
        <v>0</v>
      </c>
      <c r="AH5251">
        <v>0</v>
      </c>
      <c r="AI5251">
        <v>200</v>
      </c>
      <c r="AJ5251">
        <v>2</v>
      </c>
      <c r="AK5251">
        <v>0</v>
      </c>
      <c r="AL5251">
        <v>0</v>
      </c>
      <c r="AM5251">
        <v>200</v>
      </c>
      <c r="AN5251">
        <v>0</v>
      </c>
      <c r="AO5251">
        <v>0</v>
      </c>
      <c r="AP5251">
        <v>0</v>
      </c>
      <c r="AQ5251">
        <v>0</v>
      </c>
      <c r="AS5251">
        <v>0</v>
      </c>
      <c r="AT5251">
        <v>0</v>
      </c>
      <c r="AV5251">
        <v>0</v>
      </c>
      <c r="AW5251">
        <v>0</v>
      </c>
      <c r="AY5251">
        <v>0</v>
      </c>
      <c r="AZ5251">
        <v>0</v>
      </c>
      <c r="BA5251">
        <v>140</v>
      </c>
      <c r="BE5251" t="str">
        <f>T("9791137014381")</f>
        <v>9791137014381</v>
      </c>
      <c r="BF5251" t="str">
        <f>T("k393005")</f>
        <v>k393005</v>
      </c>
      <c r="BG5251" t="str">
        <f>T("판타지 웹소설 &gt; 퓨전 판타지")</f>
        <v>판타지 웹소설 &gt; 퓨전 판타지</v>
      </c>
    </row>
    <row r="5252" spans="1:59">
      <c r="A5252" t="s">
        <v>60</v>
      </c>
      <c r="B5252" s="1">
        <v>46130</v>
      </c>
      <c r="C5252">
        <v>2378044065</v>
      </c>
      <c r="D5252">
        <v>2378068979</v>
      </c>
      <c r="E5252" t="str">
        <f>T("저승의 왕위를 계승했다 490화")</f>
        <v>저승의 왕위를 계승했다 490화</v>
      </c>
      <c r="F5252">
        <v>491</v>
      </c>
      <c r="G5252" t="str">
        <f>T("신타비")</f>
        <v>신타비</v>
      </c>
      <c r="J5252" t="str">
        <f>T("매드햇")</f>
        <v>매드햇</v>
      </c>
      <c r="K5252" t="str">
        <f>T("저승의 왕위를 계승했다")</f>
        <v>저승의 왕위를 계승했다</v>
      </c>
      <c r="L5252">
        <v>100</v>
      </c>
      <c r="M5252">
        <v>200</v>
      </c>
      <c r="N5252">
        <v>2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0</v>
      </c>
      <c r="AE5252">
        <v>0</v>
      </c>
      <c r="AF5252">
        <v>0</v>
      </c>
      <c r="AG5252">
        <v>0</v>
      </c>
      <c r="AH5252">
        <v>0</v>
      </c>
      <c r="AI5252">
        <v>200</v>
      </c>
      <c r="AJ5252">
        <v>2</v>
      </c>
      <c r="AK5252">
        <v>0</v>
      </c>
      <c r="AL5252">
        <v>0</v>
      </c>
      <c r="AM5252">
        <v>200</v>
      </c>
      <c r="AN5252">
        <v>0</v>
      </c>
      <c r="AO5252">
        <v>0</v>
      </c>
      <c r="AP5252">
        <v>0</v>
      </c>
      <c r="AQ5252">
        <v>0</v>
      </c>
      <c r="AS5252">
        <v>0</v>
      </c>
      <c r="AT5252">
        <v>0</v>
      </c>
      <c r="AV5252">
        <v>0</v>
      </c>
      <c r="AW5252">
        <v>0</v>
      </c>
      <c r="AY5252">
        <v>0</v>
      </c>
      <c r="AZ5252">
        <v>0</v>
      </c>
      <c r="BA5252">
        <v>140</v>
      </c>
      <c r="BE5252" t="str">
        <f>T("9791137014381")</f>
        <v>9791137014381</v>
      </c>
      <c r="BF5252" t="str">
        <f>T("k393006")</f>
        <v>k393006</v>
      </c>
      <c r="BG5252" t="str">
        <f>T("판타지 웹소설 &gt; 퓨전 판타지")</f>
        <v>판타지 웹소설 &gt; 퓨전 판타지</v>
      </c>
    </row>
    <row r="5253" spans="1:59">
      <c r="A5253" t="s">
        <v>60</v>
      </c>
      <c r="B5253" s="1">
        <v>46130</v>
      </c>
      <c r="C5253">
        <v>2378044065</v>
      </c>
      <c r="D5253">
        <v>2378068980</v>
      </c>
      <c r="E5253" t="str">
        <f>T("저승의 왕위를 계승했다 491화")</f>
        <v>저승의 왕위를 계승했다 491화</v>
      </c>
      <c r="F5253">
        <v>492</v>
      </c>
      <c r="G5253" t="str">
        <f>T("신타비")</f>
        <v>신타비</v>
      </c>
      <c r="J5253" t="str">
        <f>T("매드햇")</f>
        <v>매드햇</v>
      </c>
      <c r="K5253" t="str">
        <f>T("저승의 왕위를 계승했다")</f>
        <v>저승의 왕위를 계승했다</v>
      </c>
      <c r="L5253">
        <v>100</v>
      </c>
      <c r="M5253">
        <v>200</v>
      </c>
      <c r="N5253">
        <v>2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0</v>
      </c>
      <c r="AE5253">
        <v>0</v>
      </c>
      <c r="AF5253">
        <v>0</v>
      </c>
      <c r="AG5253">
        <v>0</v>
      </c>
      <c r="AH5253">
        <v>0</v>
      </c>
      <c r="AI5253">
        <v>200</v>
      </c>
      <c r="AJ5253">
        <v>2</v>
      </c>
      <c r="AK5253">
        <v>0</v>
      </c>
      <c r="AL5253">
        <v>0</v>
      </c>
      <c r="AM5253">
        <v>200</v>
      </c>
      <c r="AN5253">
        <v>0</v>
      </c>
      <c r="AO5253">
        <v>0</v>
      </c>
      <c r="AP5253">
        <v>0</v>
      </c>
      <c r="AQ5253">
        <v>0</v>
      </c>
      <c r="AS5253">
        <v>0</v>
      </c>
      <c r="AT5253">
        <v>0</v>
      </c>
      <c r="AV5253">
        <v>0</v>
      </c>
      <c r="AW5253">
        <v>0</v>
      </c>
      <c r="AY5253">
        <v>0</v>
      </c>
      <c r="AZ5253">
        <v>0</v>
      </c>
      <c r="BA5253">
        <v>140</v>
      </c>
      <c r="BE5253" t="str">
        <f>T("9791137014381")</f>
        <v>9791137014381</v>
      </c>
      <c r="BF5253" t="str">
        <f>T("k399070")</f>
        <v>k399070</v>
      </c>
      <c r="BG5253" t="str">
        <f>T("판타지 웹소설 &gt; 퓨전 판타지")</f>
        <v>판타지 웹소설 &gt; 퓨전 판타지</v>
      </c>
    </row>
    <row r="5254" spans="1:59">
      <c r="A5254" t="s">
        <v>60</v>
      </c>
      <c r="B5254" s="1">
        <v>46130</v>
      </c>
      <c r="C5254">
        <v>2378044065</v>
      </c>
      <c r="D5254">
        <v>2378068981</v>
      </c>
      <c r="E5254" t="str">
        <f>T("저승의 왕위를 계승했다 492화")</f>
        <v>저승의 왕위를 계승했다 492화</v>
      </c>
      <c r="F5254">
        <v>493</v>
      </c>
      <c r="G5254" t="str">
        <f>T("신타비")</f>
        <v>신타비</v>
      </c>
      <c r="J5254" t="str">
        <f>T("매드햇")</f>
        <v>매드햇</v>
      </c>
      <c r="K5254" t="str">
        <f>T("저승의 왕위를 계승했다")</f>
        <v>저승의 왕위를 계승했다</v>
      </c>
      <c r="L5254">
        <v>100</v>
      </c>
      <c r="M5254">
        <v>200</v>
      </c>
      <c r="N5254">
        <v>2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0</v>
      </c>
      <c r="AE5254">
        <v>0</v>
      </c>
      <c r="AF5254">
        <v>0</v>
      </c>
      <c r="AG5254">
        <v>0</v>
      </c>
      <c r="AH5254">
        <v>0</v>
      </c>
      <c r="AI5254">
        <v>200</v>
      </c>
      <c r="AJ5254">
        <v>2</v>
      </c>
      <c r="AK5254">
        <v>0</v>
      </c>
      <c r="AL5254">
        <v>0</v>
      </c>
      <c r="AM5254">
        <v>200</v>
      </c>
      <c r="AN5254">
        <v>0</v>
      </c>
      <c r="AO5254">
        <v>0</v>
      </c>
      <c r="AP5254">
        <v>0</v>
      </c>
      <c r="AQ5254">
        <v>0</v>
      </c>
      <c r="AS5254">
        <v>0</v>
      </c>
      <c r="AT5254">
        <v>0</v>
      </c>
      <c r="AV5254">
        <v>0</v>
      </c>
      <c r="AW5254">
        <v>0</v>
      </c>
      <c r="AY5254">
        <v>0</v>
      </c>
      <c r="AZ5254">
        <v>0</v>
      </c>
      <c r="BA5254">
        <v>140</v>
      </c>
      <c r="BE5254" t="str">
        <f>T("9791137014381")</f>
        <v>9791137014381</v>
      </c>
      <c r="BF5254" t="str">
        <f>T("k399071")</f>
        <v>k399071</v>
      </c>
      <c r="BG5254" t="str">
        <f>T("판타지 웹소설 &gt; 퓨전 판타지")</f>
        <v>판타지 웹소설 &gt; 퓨전 판타지</v>
      </c>
    </row>
    <row r="5255" spans="1:59">
      <c r="A5255" t="s">
        <v>60</v>
      </c>
      <c r="B5255" s="1">
        <v>46130</v>
      </c>
      <c r="C5255">
        <v>2378044065</v>
      </c>
      <c r="D5255">
        <v>2378069024</v>
      </c>
      <c r="E5255" t="str">
        <f>T("저승의 왕위를 계승했다 493화")</f>
        <v>저승의 왕위를 계승했다 493화</v>
      </c>
      <c r="F5255">
        <v>494</v>
      </c>
      <c r="G5255" t="str">
        <f>T("신타비")</f>
        <v>신타비</v>
      </c>
      <c r="J5255" t="str">
        <f>T("매드햇")</f>
        <v>매드햇</v>
      </c>
      <c r="K5255" t="str">
        <f>T("저승의 왕위를 계승했다")</f>
        <v>저승의 왕위를 계승했다</v>
      </c>
      <c r="L5255">
        <v>100</v>
      </c>
      <c r="M5255">
        <v>100</v>
      </c>
      <c r="N5255">
        <v>1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0</v>
      </c>
      <c r="AE5255">
        <v>0</v>
      </c>
      <c r="AF5255">
        <v>0</v>
      </c>
      <c r="AG5255">
        <v>0</v>
      </c>
      <c r="AH5255">
        <v>0</v>
      </c>
      <c r="AI5255">
        <v>100</v>
      </c>
      <c r="AJ5255">
        <v>1</v>
      </c>
      <c r="AK5255">
        <v>0</v>
      </c>
      <c r="AL5255">
        <v>0</v>
      </c>
      <c r="AM5255">
        <v>100</v>
      </c>
      <c r="AN5255">
        <v>0</v>
      </c>
      <c r="AO5255">
        <v>0</v>
      </c>
      <c r="AP5255">
        <v>0</v>
      </c>
      <c r="AQ5255">
        <v>0</v>
      </c>
      <c r="AS5255">
        <v>0</v>
      </c>
      <c r="AT5255">
        <v>0</v>
      </c>
      <c r="AV5255">
        <v>0</v>
      </c>
      <c r="AW5255">
        <v>0</v>
      </c>
      <c r="AY5255">
        <v>0</v>
      </c>
      <c r="AZ5255">
        <v>0</v>
      </c>
      <c r="BA5255">
        <v>70</v>
      </c>
      <c r="BE5255" t="str">
        <f>T("9791137014381")</f>
        <v>9791137014381</v>
      </c>
      <c r="BF5255" t="str">
        <f>T("k399072")</f>
        <v>k399072</v>
      </c>
      <c r="BG5255" t="str">
        <f>T("판타지 웹소설 &gt; 퓨전 판타지")</f>
        <v>판타지 웹소설 &gt; 퓨전 판타지</v>
      </c>
    </row>
    <row r="5256" spans="1:59">
      <c r="A5256" t="s">
        <v>60</v>
      </c>
      <c r="B5256" s="1">
        <v>46130</v>
      </c>
      <c r="C5256">
        <v>2378044065</v>
      </c>
      <c r="D5256">
        <v>2378069025</v>
      </c>
      <c r="E5256" t="str">
        <f>T("저승의 왕위를 계승했다 494화")</f>
        <v>저승의 왕위를 계승했다 494화</v>
      </c>
      <c r="F5256">
        <v>495</v>
      </c>
      <c r="G5256" t="str">
        <f>T("신타비")</f>
        <v>신타비</v>
      </c>
      <c r="J5256" t="str">
        <f>T("매드햇")</f>
        <v>매드햇</v>
      </c>
      <c r="K5256" t="str">
        <f>T("저승의 왕위를 계승했다")</f>
        <v>저승의 왕위를 계승했다</v>
      </c>
      <c r="L5256">
        <v>100</v>
      </c>
      <c r="M5256">
        <v>200</v>
      </c>
      <c r="N5256">
        <v>2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0</v>
      </c>
      <c r="AE5256">
        <v>0</v>
      </c>
      <c r="AF5256">
        <v>0</v>
      </c>
      <c r="AG5256">
        <v>0</v>
      </c>
      <c r="AH5256">
        <v>0</v>
      </c>
      <c r="AI5256">
        <v>200</v>
      </c>
      <c r="AJ5256">
        <v>2</v>
      </c>
      <c r="AK5256">
        <v>0</v>
      </c>
      <c r="AL5256">
        <v>0</v>
      </c>
      <c r="AM5256">
        <v>200</v>
      </c>
      <c r="AN5256">
        <v>0</v>
      </c>
      <c r="AO5256">
        <v>0</v>
      </c>
      <c r="AP5256">
        <v>0</v>
      </c>
      <c r="AQ5256">
        <v>0</v>
      </c>
      <c r="AS5256">
        <v>0</v>
      </c>
      <c r="AT5256">
        <v>0</v>
      </c>
      <c r="AV5256">
        <v>0</v>
      </c>
      <c r="AW5256">
        <v>0</v>
      </c>
      <c r="AY5256">
        <v>0</v>
      </c>
      <c r="AZ5256">
        <v>0</v>
      </c>
      <c r="BA5256">
        <v>140</v>
      </c>
      <c r="BE5256" t="str">
        <f>T("9791137014381")</f>
        <v>9791137014381</v>
      </c>
      <c r="BF5256" t="str">
        <f>T("k399073")</f>
        <v>k399073</v>
      </c>
      <c r="BG5256" t="str">
        <f>T("판타지 웹소설 &gt; 퓨전 판타지")</f>
        <v>판타지 웹소설 &gt; 퓨전 판타지</v>
      </c>
    </row>
    <row r="5257" spans="1:59">
      <c r="A5257" t="s">
        <v>60</v>
      </c>
      <c r="B5257" s="1">
        <v>46130</v>
      </c>
      <c r="C5257">
        <v>2378044065</v>
      </c>
      <c r="D5257">
        <v>2378069045</v>
      </c>
      <c r="E5257" t="str">
        <f>T("저승의 왕위를 계승했다 495화")</f>
        <v>저승의 왕위를 계승했다 495화</v>
      </c>
      <c r="F5257">
        <v>496</v>
      </c>
      <c r="G5257" t="str">
        <f>T("신타비")</f>
        <v>신타비</v>
      </c>
      <c r="J5257" t="str">
        <f>T("매드햇")</f>
        <v>매드햇</v>
      </c>
      <c r="K5257" t="str">
        <f>T("저승의 왕위를 계승했다")</f>
        <v>저승의 왕위를 계승했다</v>
      </c>
      <c r="L5257">
        <v>100</v>
      </c>
      <c r="M5257">
        <v>200</v>
      </c>
      <c r="N5257">
        <v>2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0</v>
      </c>
      <c r="AE5257">
        <v>0</v>
      </c>
      <c r="AF5257">
        <v>0</v>
      </c>
      <c r="AG5257">
        <v>0</v>
      </c>
      <c r="AH5257">
        <v>0</v>
      </c>
      <c r="AI5257">
        <v>200</v>
      </c>
      <c r="AJ5257">
        <v>2</v>
      </c>
      <c r="AK5257">
        <v>0</v>
      </c>
      <c r="AL5257">
        <v>0</v>
      </c>
      <c r="AM5257">
        <v>200</v>
      </c>
      <c r="AN5257">
        <v>0</v>
      </c>
      <c r="AO5257">
        <v>0</v>
      </c>
      <c r="AP5257">
        <v>0</v>
      </c>
      <c r="AQ5257">
        <v>0</v>
      </c>
      <c r="AS5257">
        <v>0</v>
      </c>
      <c r="AT5257">
        <v>0</v>
      </c>
      <c r="AV5257">
        <v>0</v>
      </c>
      <c r="AW5257">
        <v>0</v>
      </c>
      <c r="AY5257">
        <v>0</v>
      </c>
      <c r="AZ5257">
        <v>0</v>
      </c>
      <c r="BA5257">
        <v>140</v>
      </c>
      <c r="BE5257" t="str">
        <f>T("9791137014381")</f>
        <v>9791137014381</v>
      </c>
      <c r="BF5257" t="str">
        <f>T("k399946")</f>
        <v>k399946</v>
      </c>
      <c r="BG5257" t="str">
        <f>T("판타지 웹소설 &gt; 퓨전 판타지")</f>
        <v>판타지 웹소설 &gt; 퓨전 판타지</v>
      </c>
    </row>
    <row r="5258" spans="1:59">
      <c r="A5258" t="s">
        <v>60</v>
      </c>
      <c r="B5258" s="1">
        <v>46130</v>
      </c>
      <c r="C5258">
        <v>2378044065</v>
      </c>
      <c r="D5258">
        <v>2378069046</v>
      </c>
      <c r="E5258" t="str">
        <f>T("저승의 왕위를 계승했다 496화")</f>
        <v>저승의 왕위를 계승했다 496화</v>
      </c>
      <c r="F5258">
        <v>497</v>
      </c>
      <c r="G5258" t="str">
        <f>T("신타비")</f>
        <v>신타비</v>
      </c>
      <c r="J5258" t="str">
        <f>T("매드햇")</f>
        <v>매드햇</v>
      </c>
      <c r="K5258" t="str">
        <f>T("저승의 왕위를 계승했다")</f>
        <v>저승의 왕위를 계승했다</v>
      </c>
      <c r="L5258">
        <v>100</v>
      </c>
      <c r="M5258">
        <v>200</v>
      </c>
      <c r="N5258">
        <v>2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0</v>
      </c>
      <c r="AE5258">
        <v>0</v>
      </c>
      <c r="AF5258">
        <v>0</v>
      </c>
      <c r="AG5258">
        <v>0</v>
      </c>
      <c r="AH5258">
        <v>0</v>
      </c>
      <c r="AI5258">
        <v>200</v>
      </c>
      <c r="AJ5258">
        <v>2</v>
      </c>
      <c r="AK5258">
        <v>0</v>
      </c>
      <c r="AL5258">
        <v>0</v>
      </c>
      <c r="AM5258">
        <v>200</v>
      </c>
      <c r="AN5258">
        <v>0</v>
      </c>
      <c r="AO5258">
        <v>0</v>
      </c>
      <c r="AP5258">
        <v>0</v>
      </c>
      <c r="AQ5258">
        <v>0</v>
      </c>
      <c r="AS5258">
        <v>0</v>
      </c>
      <c r="AT5258">
        <v>0</v>
      </c>
      <c r="AV5258">
        <v>0</v>
      </c>
      <c r="AW5258">
        <v>0</v>
      </c>
      <c r="AY5258">
        <v>0</v>
      </c>
      <c r="AZ5258">
        <v>0</v>
      </c>
      <c r="BA5258">
        <v>140</v>
      </c>
      <c r="BE5258" t="str">
        <f>T("9791137014381")</f>
        <v>9791137014381</v>
      </c>
      <c r="BF5258" t="str">
        <f>T("k399947")</f>
        <v>k399947</v>
      </c>
      <c r="BG5258" t="str">
        <f>T("판타지 웹소설 &gt; 퓨전 판타지")</f>
        <v>판타지 웹소설 &gt; 퓨전 판타지</v>
      </c>
    </row>
    <row r="5259" spans="1:59">
      <c r="A5259" t="s">
        <v>60</v>
      </c>
      <c r="B5259" s="1">
        <v>46130</v>
      </c>
      <c r="C5259">
        <v>2378044065</v>
      </c>
      <c r="D5259">
        <v>2378069080</v>
      </c>
      <c r="E5259" t="str">
        <f>T("저승의 왕위를 계승했다 497화")</f>
        <v>저승의 왕위를 계승했다 497화</v>
      </c>
      <c r="F5259">
        <v>498</v>
      </c>
      <c r="G5259" t="str">
        <f>T("신타비")</f>
        <v>신타비</v>
      </c>
      <c r="J5259" t="str">
        <f>T("매드햇")</f>
        <v>매드햇</v>
      </c>
      <c r="K5259" t="str">
        <f>T("저승의 왕위를 계승했다")</f>
        <v>저승의 왕위를 계승했다</v>
      </c>
      <c r="L5259">
        <v>100</v>
      </c>
      <c r="M5259">
        <v>200</v>
      </c>
      <c r="N5259">
        <v>2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0</v>
      </c>
      <c r="AE5259">
        <v>0</v>
      </c>
      <c r="AF5259">
        <v>0</v>
      </c>
      <c r="AG5259">
        <v>0</v>
      </c>
      <c r="AH5259">
        <v>0</v>
      </c>
      <c r="AI5259">
        <v>200</v>
      </c>
      <c r="AJ5259">
        <v>2</v>
      </c>
      <c r="AK5259">
        <v>0</v>
      </c>
      <c r="AL5259">
        <v>0</v>
      </c>
      <c r="AM5259">
        <v>200</v>
      </c>
      <c r="AN5259">
        <v>0</v>
      </c>
      <c r="AO5259">
        <v>0</v>
      </c>
      <c r="AP5259">
        <v>0</v>
      </c>
      <c r="AQ5259">
        <v>0</v>
      </c>
      <c r="AS5259">
        <v>0</v>
      </c>
      <c r="AT5259">
        <v>0</v>
      </c>
      <c r="AV5259">
        <v>0</v>
      </c>
      <c r="AW5259">
        <v>0</v>
      </c>
      <c r="AY5259">
        <v>0</v>
      </c>
      <c r="AZ5259">
        <v>0</v>
      </c>
      <c r="BA5259">
        <v>140</v>
      </c>
      <c r="BE5259" t="str">
        <f>T("9791137014381")</f>
        <v>9791137014381</v>
      </c>
      <c r="BF5259" t="str">
        <f>T("k399948")</f>
        <v>k399948</v>
      </c>
      <c r="BG5259" t="str">
        <f>T("판타지 웹소설 &gt; 퓨전 판타지")</f>
        <v>판타지 웹소설 &gt; 퓨전 판타지</v>
      </c>
    </row>
    <row r="5260" spans="1:59">
      <c r="A5260" t="s">
        <v>60</v>
      </c>
      <c r="B5260" s="1">
        <v>46130</v>
      </c>
      <c r="C5260">
        <v>2378044065</v>
      </c>
      <c r="D5260">
        <v>2378069081</v>
      </c>
      <c r="E5260" t="str">
        <f>T("저승의 왕위를 계승했다 498화")</f>
        <v>저승의 왕위를 계승했다 498화</v>
      </c>
      <c r="F5260">
        <v>499</v>
      </c>
      <c r="G5260" t="str">
        <f>T("신타비")</f>
        <v>신타비</v>
      </c>
      <c r="J5260" t="str">
        <f>T("매드햇")</f>
        <v>매드햇</v>
      </c>
      <c r="K5260" t="str">
        <f>T("저승의 왕위를 계승했다")</f>
        <v>저승의 왕위를 계승했다</v>
      </c>
      <c r="L5260">
        <v>100</v>
      </c>
      <c r="M5260">
        <v>200</v>
      </c>
      <c r="N5260">
        <v>2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0</v>
      </c>
      <c r="AE5260">
        <v>0</v>
      </c>
      <c r="AF5260">
        <v>0</v>
      </c>
      <c r="AG5260">
        <v>0</v>
      </c>
      <c r="AH5260">
        <v>0</v>
      </c>
      <c r="AI5260">
        <v>200</v>
      </c>
      <c r="AJ5260">
        <v>2</v>
      </c>
      <c r="AK5260">
        <v>0</v>
      </c>
      <c r="AL5260">
        <v>0</v>
      </c>
      <c r="AM5260">
        <v>200</v>
      </c>
      <c r="AN5260">
        <v>0</v>
      </c>
      <c r="AO5260">
        <v>0</v>
      </c>
      <c r="AP5260">
        <v>0</v>
      </c>
      <c r="AQ5260">
        <v>0</v>
      </c>
      <c r="AS5260">
        <v>0</v>
      </c>
      <c r="AT5260">
        <v>0</v>
      </c>
      <c r="AV5260">
        <v>0</v>
      </c>
      <c r="AW5260">
        <v>0</v>
      </c>
      <c r="AY5260">
        <v>0</v>
      </c>
      <c r="AZ5260">
        <v>0</v>
      </c>
      <c r="BA5260">
        <v>140</v>
      </c>
      <c r="BE5260" t="str">
        <f>T("9791137014381")</f>
        <v>9791137014381</v>
      </c>
      <c r="BF5260" t="str">
        <f>T("k399949")</f>
        <v>k399949</v>
      </c>
      <c r="BG5260" t="str">
        <f>T("판타지 웹소설 &gt; 퓨전 판타지")</f>
        <v>판타지 웹소설 &gt; 퓨전 판타지</v>
      </c>
    </row>
    <row r="5261" spans="1:59">
      <c r="A5261" t="s">
        <v>60</v>
      </c>
      <c r="B5261" s="1">
        <v>46130</v>
      </c>
      <c r="C5261">
        <v>2378044065</v>
      </c>
      <c r="D5261">
        <v>2378069310</v>
      </c>
      <c r="E5261" t="str">
        <f>T("저승의 왕위를 계승했다 499화")</f>
        <v>저승의 왕위를 계승했다 499화</v>
      </c>
      <c r="F5261">
        <v>500</v>
      </c>
      <c r="G5261" t="str">
        <f>T("신타비")</f>
        <v>신타비</v>
      </c>
      <c r="J5261" t="str">
        <f>T("매드햇")</f>
        <v>매드햇</v>
      </c>
      <c r="K5261" t="str">
        <f>T("저승의 왕위를 계승했다")</f>
        <v>저승의 왕위를 계승했다</v>
      </c>
      <c r="L5261">
        <v>100</v>
      </c>
      <c r="M5261">
        <v>200</v>
      </c>
      <c r="N5261">
        <v>2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0</v>
      </c>
      <c r="AE5261">
        <v>0</v>
      </c>
      <c r="AF5261">
        <v>0</v>
      </c>
      <c r="AG5261">
        <v>0</v>
      </c>
      <c r="AH5261">
        <v>0</v>
      </c>
      <c r="AI5261">
        <v>200</v>
      </c>
      <c r="AJ5261">
        <v>2</v>
      </c>
      <c r="AK5261">
        <v>0</v>
      </c>
      <c r="AL5261">
        <v>0</v>
      </c>
      <c r="AM5261">
        <v>200</v>
      </c>
      <c r="AN5261">
        <v>0</v>
      </c>
      <c r="AO5261">
        <v>0</v>
      </c>
      <c r="AP5261">
        <v>0</v>
      </c>
      <c r="AQ5261">
        <v>0</v>
      </c>
      <c r="AS5261">
        <v>0</v>
      </c>
      <c r="AT5261">
        <v>0</v>
      </c>
      <c r="AV5261">
        <v>0</v>
      </c>
      <c r="AW5261">
        <v>0</v>
      </c>
      <c r="AY5261">
        <v>0</v>
      </c>
      <c r="AZ5261">
        <v>0</v>
      </c>
      <c r="BA5261">
        <v>140</v>
      </c>
      <c r="BE5261" t="str">
        <f>T("9791137014381")</f>
        <v>9791137014381</v>
      </c>
      <c r="BF5261" t="str">
        <f>T("k402261")</f>
        <v>k402261</v>
      </c>
      <c r="BG5261" t="str">
        <f>T("판타지 웹소설 &gt; 퓨전 판타지")</f>
        <v>판타지 웹소설 &gt; 퓨전 판타지</v>
      </c>
    </row>
    <row r="5262" spans="1:59">
      <c r="A5262" t="s">
        <v>60</v>
      </c>
      <c r="B5262" s="1">
        <v>46130</v>
      </c>
      <c r="C5262">
        <v>2378044065</v>
      </c>
      <c r="D5262">
        <v>2378069311</v>
      </c>
      <c r="E5262" t="str">
        <f>T("저승의 왕위를 계승했다 500화")</f>
        <v>저승의 왕위를 계승했다 500화</v>
      </c>
      <c r="F5262">
        <v>501</v>
      </c>
      <c r="G5262" t="str">
        <f>T("신타비")</f>
        <v>신타비</v>
      </c>
      <c r="J5262" t="str">
        <f>T("매드햇")</f>
        <v>매드햇</v>
      </c>
      <c r="K5262" t="str">
        <f>T("저승의 왕위를 계승했다")</f>
        <v>저승의 왕위를 계승했다</v>
      </c>
      <c r="L5262">
        <v>100</v>
      </c>
      <c r="M5262">
        <v>200</v>
      </c>
      <c r="N5262">
        <v>2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0</v>
      </c>
      <c r="AE5262">
        <v>0</v>
      </c>
      <c r="AF5262">
        <v>0</v>
      </c>
      <c r="AG5262">
        <v>0</v>
      </c>
      <c r="AH5262">
        <v>0</v>
      </c>
      <c r="AI5262">
        <v>200</v>
      </c>
      <c r="AJ5262">
        <v>2</v>
      </c>
      <c r="AK5262">
        <v>0</v>
      </c>
      <c r="AL5262">
        <v>0</v>
      </c>
      <c r="AM5262">
        <v>200</v>
      </c>
      <c r="AN5262">
        <v>0</v>
      </c>
      <c r="AO5262">
        <v>0</v>
      </c>
      <c r="AP5262">
        <v>0</v>
      </c>
      <c r="AQ5262">
        <v>0</v>
      </c>
      <c r="AS5262">
        <v>0</v>
      </c>
      <c r="AT5262">
        <v>0</v>
      </c>
      <c r="AV5262">
        <v>0</v>
      </c>
      <c r="AW5262">
        <v>0</v>
      </c>
      <c r="AY5262">
        <v>0</v>
      </c>
      <c r="AZ5262">
        <v>0</v>
      </c>
      <c r="BA5262">
        <v>140</v>
      </c>
      <c r="BE5262" t="str">
        <f>T("9791137014381")</f>
        <v>9791137014381</v>
      </c>
      <c r="BF5262" t="str">
        <f>T("k402262")</f>
        <v>k402262</v>
      </c>
      <c r="BG5262" t="str">
        <f>T("판타지 웹소설 &gt; 퓨전 판타지")</f>
        <v>판타지 웹소설 &gt; 퓨전 판타지</v>
      </c>
    </row>
    <row r="5263" spans="1:59">
      <c r="A5263" t="s">
        <v>60</v>
      </c>
      <c r="B5263" s="1">
        <v>46130</v>
      </c>
      <c r="C5263">
        <v>2378044065</v>
      </c>
      <c r="D5263">
        <v>2378069448</v>
      </c>
      <c r="E5263" t="str">
        <f>T("저승의 왕위를 계승했다 501화")</f>
        <v>저승의 왕위를 계승했다 501화</v>
      </c>
      <c r="F5263">
        <v>502</v>
      </c>
      <c r="G5263" t="str">
        <f>T("신타비")</f>
        <v>신타비</v>
      </c>
      <c r="J5263" t="str">
        <f>T("매드햇")</f>
        <v>매드햇</v>
      </c>
      <c r="K5263" t="str">
        <f>T("저승의 왕위를 계승했다")</f>
        <v>저승의 왕위를 계승했다</v>
      </c>
      <c r="L5263">
        <v>100</v>
      </c>
      <c r="M5263">
        <v>200</v>
      </c>
      <c r="N5263">
        <v>2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0</v>
      </c>
      <c r="AE5263">
        <v>0</v>
      </c>
      <c r="AF5263">
        <v>0</v>
      </c>
      <c r="AG5263">
        <v>0</v>
      </c>
      <c r="AH5263">
        <v>0</v>
      </c>
      <c r="AI5263">
        <v>200</v>
      </c>
      <c r="AJ5263">
        <v>2</v>
      </c>
      <c r="AK5263">
        <v>0</v>
      </c>
      <c r="AL5263">
        <v>0</v>
      </c>
      <c r="AM5263">
        <v>200</v>
      </c>
      <c r="AN5263">
        <v>0</v>
      </c>
      <c r="AO5263">
        <v>0</v>
      </c>
      <c r="AP5263">
        <v>0</v>
      </c>
      <c r="AQ5263">
        <v>0</v>
      </c>
      <c r="AS5263">
        <v>0</v>
      </c>
      <c r="AT5263">
        <v>0</v>
      </c>
      <c r="AV5263">
        <v>0</v>
      </c>
      <c r="AW5263">
        <v>0</v>
      </c>
      <c r="AY5263">
        <v>0</v>
      </c>
      <c r="AZ5263">
        <v>0</v>
      </c>
      <c r="BA5263">
        <v>140</v>
      </c>
      <c r="BE5263" t="str">
        <f>T("9791137014381")</f>
        <v>9791137014381</v>
      </c>
      <c r="BF5263" t="str">
        <f>T("k407427")</f>
        <v>k407427</v>
      </c>
      <c r="BG5263" t="str">
        <f>T("판타지 웹소설 &gt; 퓨전 판타지")</f>
        <v>판타지 웹소설 &gt; 퓨전 판타지</v>
      </c>
    </row>
    <row r="5264" spans="1:59">
      <c r="A5264" t="s">
        <v>60</v>
      </c>
      <c r="B5264" s="1">
        <v>46130</v>
      </c>
      <c r="C5264">
        <v>2378044065</v>
      </c>
      <c r="D5264">
        <v>2378069449</v>
      </c>
      <c r="E5264" t="str">
        <f>T("저승의 왕위를 계승했다 502화")</f>
        <v>저승의 왕위를 계승했다 502화</v>
      </c>
      <c r="F5264">
        <v>503</v>
      </c>
      <c r="G5264" t="str">
        <f>T("신타비")</f>
        <v>신타비</v>
      </c>
      <c r="J5264" t="str">
        <f>T("매드햇")</f>
        <v>매드햇</v>
      </c>
      <c r="K5264" t="str">
        <f>T("저승의 왕위를 계승했다")</f>
        <v>저승의 왕위를 계승했다</v>
      </c>
      <c r="L5264">
        <v>100</v>
      </c>
      <c r="M5264">
        <v>100</v>
      </c>
      <c r="N5264">
        <v>1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0</v>
      </c>
      <c r="AE5264">
        <v>0</v>
      </c>
      <c r="AF5264">
        <v>0</v>
      </c>
      <c r="AG5264">
        <v>0</v>
      </c>
      <c r="AH5264">
        <v>0</v>
      </c>
      <c r="AI5264">
        <v>100</v>
      </c>
      <c r="AJ5264">
        <v>1</v>
      </c>
      <c r="AK5264">
        <v>0</v>
      </c>
      <c r="AL5264">
        <v>0</v>
      </c>
      <c r="AM5264">
        <v>100</v>
      </c>
      <c r="AN5264">
        <v>0</v>
      </c>
      <c r="AO5264">
        <v>0</v>
      </c>
      <c r="AP5264">
        <v>0</v>
      </c>
      <c r="AQ5264">
        <v>0</v>
      </c>
      <c r="AS5264">
        <v>0</v>
      </c>
      <c r="AT5264">
        <v>0</v>
      </c>
      <c r="AV5264">
        <v>0</v>
      </c>
      <c r="AW5264">
        <v>0</v>
      </c>
      <c r="AY5264">
        <v>0</v>
      </c>
      <c r="AZ5264">
        <v>0</v>
      </c>
      <c r="BA5264">
        <v>70</v>
      </c>
      <c r="BE5264" t="str">
        <f>T("9791137014381")</f>
        <v>9791137014381</v>
      </c>
      <c r="BF5264" t="str">
        <f>T("k407428")</f>
        <v>k407428</v>
      </c>
      <c r="BG5264" t="str">
        <f>T("판타지 웹소설 &gt; 퓨전 판타지")</f>
        <v>판타지 웹소설 &gt; 퓨전 판타지</v>
      </c>
    </row>
    <row r="5265" spans="1:59">
      <c r="A5265" t="s">
        <v>60</v>
      </c>
      <c r="B5265" s="1">
        <v>46130</v>
      </c>
      <c r="C5265">
        <v>2378044065</v>
      </c>
      <c r="D5265">
        <v>2378069458</v>
      </c>
      <c r="E5265" t="str">
        <f>T("저승의 왕위를 계승했다 503화")</f>
        <v>저승의 왕위를 계승했다 503화</v>
      </c>
      <c r="F5265">
        <v>504</v>
      </c>
      <c r="G5265" t="str">
        <f>T("신타비")</f>
        <v>신타비</v>
      </c>
      <c r="J5265" t="str">
        <f>T("매드햇")</f>
        <v>매드햇</v>
      </c>
      <c r="K5265" t="str">
        <f>T("저승의 왕위를 계승했다")</f>
        <v>저승의 왕위를 계승했다</v>
      </c>
      <c r="L5265">
        <v>100</v>
      </c>
      <c r="M5265">
        <v>100</v>
      </c>
      <c r="N5265">
        <v>1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0</v>
      </c>
      <c r="AE5265">
        <v>0</v>
      </c>
      <c r="AF5265">
        <v>0</v>
      </c>
      <c r="AG5265">
        <v>0</v>
      </c>
      <c r="AH5265">
        <v>0</v>
      </c>
      <c r="AI5265">
        <v>100</v>
      </c>
      <c r="AJ5265">
        <v>1</v>
      </c>
      <c r="AK5265">
        <v>0</v>
      </c>
      <c r="AL5265">
        <v>0</v>
      </c>
      <c r="AM5265">
        <v>100</v>
      </c>
      <c r="AN5265">
        <v>0</v>
      </c>
      <c r="AO5265">
        <v>0</v>
      </c>
      <c r="AP5265">
        <v>0</v>
      </c>
      <c r="AQ5265">
        <v>0</v>
      </c>
      <c r="AS5265">
        <v>0</v>
      </c>
      <c r="AT5265">
        <v>0</v>
      </c>
      <c r="AV5265">
        <v>0</v>
      </c>
      <c r="AW5265">
        <v>0</v>
      </c>
      <c r="AY5265">
        <v>0</v>
      </c>
      <c r="AZ5265">
        <v>0</v>
      </c>
      <c r="BA5265">
        <v>70</v>
      </c>
      <c r="BE5265" t="str">
        <f>T("9791137014381")</f>
        <v>9791137014381</v>
      </c>
      <c r="BF5265" t="str">
        <f>T("k407467")</f>
        <v>k407467</v>
      </c>
      <c r="BG5265" t="str">
        <f>T("판타지 웹소설 &gt; 퓨전 판타지")</f>
        <v>판타지 웹소설 &gt; 퓨전 판타지</v>
      </c>
    </row>
    <row r="5266" spans="1:59">
      <c r="A5266" t="s">
        <v>60</v>
      </c>
      <c r="B5266" s="1">
        <v>46130</v>
      </c>
      <c r="C5266">
        <v>2378044065</v>
      </c>
      <c r="D5266">
        <v>2378069459</v>
      </c>
      <c r="E5266" t="str">
        <f>T("저승의 왕위를 계승했다 504화")</f>
        <v>저승의 왕위를 계승했다 504화</v>
      </c>
      <c r="F5266">
        <v>505</v>
      </c>
      <c r="G5266" t="str">
        <f>T("신타비")</f>
        <v>신타비</v>
      </c>
      <c r="J5266" t="str">
        <f>T("매드햇")</f>
        <v>매드햇</v>
      </c>
      <c r="K5266" t="str">
        <f>T("저승의 왕위를 계승했다")</f>
        <v>저승의 왕위를 계승했다</v>
      </c>
      <c r="L5266">
        <v>100</v>
      </c>
      <c r="M5266">
        <v>100</v>
      </c>
      <c r="N5266">
        <v>1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0</v>
      </c>
      <c r="AE5266">
        <v>0</v>
      </c>
      <c r="AF5266">
        <v>0</v>
      </c>
      <c r="AG5266">
        <v>0</v>
      </c>
      <c r="AH5266">
        <v>0</v>
      </c>
      <c r="AI5266">
        <v>100</v>
      </c>
      <c r="AJ5266">
        <v>1</v>
      </c>
      <c r="AK5266">
        <v>0</v>
      </c>
      <c r="AL5266">
        <v>0</v>
      </c>
      <c r="AM5266">
        <v>100</v>
      </c>
      <c r="AN5266">
        <v>0</v>
      </c>
      <c r="AO5266">
        <v>0</v>
      </c>
      <c r="AP5266">
        <v>0</v>
      </c>
      <c r="AQ5266">
        <v>0</v>
      </c>
      <c r="AS5266">
        <v>0</v>
      </c>
      <c r="AT5266">
        <v>0</v>
      </c>
      <c r="AV5266">
        <v>0</v>
      </c>
      <c r="AW5266">
        <v>0</v>
      </c>
      <c r="AY5266">
        <v>0</v>
      </c>
      <c r="AZ5266">
        <v>0</v>
      </c>
      <c r="BA5266">
        <v>70</v>
      </c>
      <c r="BE5266" t="str">
        <f>T("9791137014381")</f>
        <v>9791137014381</v>
      </c>
      <c r="BF5266" t="str">
        <f>T("k407468")</f>
        <v>k407468</v>
      </c>
      <c r="BG5266" t="str">
        <f>T("판타지 웹소설 &gt; 퓨전 판타지")</f>
        <v>판타지 웹소설 &gt; 퓨전 판타지</v>
      </c>
    </row>
    <row r="5267" spans="1:59">
      <c r="A5267" t="s">
        <v>60</v>
      </c>
      <c r="B5267" s="1">
        <v>46130</v>
      </c>
      <c r="C5267">
        <v>2378044065</v>
      </c>
      <c r="D5267">
        <v>2378069603</v>
      </c>
      <c r="E5267" t="str">
        <f>T("저승의 왕위를 계승했다 505화")</f>
        <v>저승의 왕위를 계승했다 505화</v>
      </c>
      <c r="F5267">
        <v>506</v>
      </c>
      <c r="G5267" t="str">
        <f>T("신타비")</f>
        <v>신타비</v>
      </c>
      <c r="J5267" t="str">
        <f>T("매드햇")</f>
        <v>매드햇</v>
      </c>
      <c r="K5267" t="str">
        <f>T("저승의 왕위를 계승했다")</f>
        <v>저승의 왕위를 계승했다</v>
      </c>
      <c r="L5267">
        <v>100</v>
      </c>
      <c r="M5267">
        <v>100</v>
      </c>
      <c r="N5267">
        <v>1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0</v>
      </c>
      <c r="AE5267">
        <v>0</v>
      </c>
      <c r="AF5267">
        <v>0</v>
      </c>
      <c r="AG5267">
        <v>0</v>
      </c>
      <c r="AH5267">
        <v>0</v>
      </c>
      <c r="AI5267">
        <v>100</v>
      </c>
      <c r="AJ5267">
        <v>1</v>
      </c>
      <c r="AK5267">
        <v>0</v>
      </c>
      <c r="AL5267">
        <v>0</v>
      </c>
      <c r="AM5267">
        <v>100</v>
      </c>
      <c r="AN5267">
        <v>0</v>
      </c>
      <c r="AO5267">
        <v>0</v>
      </c>
      <c r="AP5267">
        <v>0</v>
      </c>
      <c r="AQ5267">
        <v>0</v>
      </c>
      <c r="AS5267">
        <v>0</v>
      </c>
      <c r="AT5267">
        <v>0</v>
      </c>
      <c r="AV5267">
        <v>0</v>
      </c>
      <c r="AW5267">
        <v>0</v>
      </c>
      <c r="AY5267">
        <v>0</v>
      </c>
      <c r="AZ5267">
        <v>0</v>
      </c>
      <c r="BA5267">
        <v>70</v>
      </c>
      <c r="BE5267" t="str">
        <f>T("9791137014381")</f>
        <v>9791137014381</v>
      </c>
      <c r="BF5267" t="str">
        <f>T("k410841")</f>
        <v>k410841</v>
      </c>
      <c r="BG5267" t="str">
        <f>T("판타지 웹소설 &gt; 퓨전 판타지")</f>
        <v>판타지 웹소설 &gt; 퓨전 판타지</v>
      </c>
    </row>
    <row r="5268" spans="1:59">
      <c r="A5268" t="s">
        <v>60</v>
      </c>
      <c r="B5268" s="1">
        <v>46130</v>
      </c>
      <c r="C5268">
        <v>2378044065</v>
      </c>
      <c r="D5268">
        <v>2378069604</v>
      </c>
      <c r="E5268" t="str">
        <f>T("저승의 왕위를 계승했다 506화")</f>
        <v>저승의 왕위를 계승했다 506화</v>
      </c>
      <c r="F5268">
        <v>507</v>
      </c>
      <c r="G5268" t="str">
        <f>T("신타비")</f>
        <v>신타비</v>
      </c>
      <c r="J5268" t="str">
        <f>T("매드햇")</f>
        <v>매드햇</v>
      </c>
      <c r="K5268" t="str">
        <f>T("저승의 왕위를 계승했다")</f>
        <v>저승의 왕위를 계승했다</v>
      </c>
      <c r="L5268">
        <v>100</v>
      </c>
      <c r="M5268">
        <v>100</v>
      </c>
      <c r="N5268">
        <v>1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0</v>
      </c>
      <c r="AE5268">
        <v>0</v>
      </c>
      <c r="AF5268">
        <v>0</v>
      </c>
      <c r="AG5268">
        <v>0</v>
      </c>
      <c r="AH5268">
        <v>0</v>
      </c>
      <c r="AI5268">
        <v>100</v>
      </c>
      <c r="AJ5268">
        <v>1</v>
      </c>
      <c r="AK5268">
        <v>0</v>
      </c>
      <c r="AL5268">
        <v>0</v>
      </c>
      <c r="AM5268">
        <v>100</v>
      </c>
      <c r="AN5268">
        <v>0</v>
      </c>
      <c r="AO5268">
        <v>0</v>
      </c>
      <c r="AP5268">
        <v>0</v>
      </c>
      <c r="AQ5268">
        <v>0</v>
      </c>
      <c r="AS5268">
        <v>0</v>
      </c>
      <c r="AT5268">
        <v>0</v>
      </c>
      <c r="AV5268">
        <v>0</v>
      </c>
      <c r="AW5268">
        <v>0</v>
      </c>
      <c r="AY5268">
        <v>0</v>
      </c>
      <c r="AZ5268">
        <v>0</v>
      </c>
      <c r="BA5268">
        <v>70</v>
      </c>
      <c r="BE5268" t="str">
        <f>T("9791137014381")</f>
        <v>9791137014381</v>
      </c>
      <c r="BF5268" t="str">
        <f>T("k410842")</f>
        <v>k410842</v>
      </c>
      <c r="BG5268" t="str">
        <f>T("판타지 웹소설 &gt; 퓨전 판타지")</f>
        <v>판타지 웹소설 &gt; 퓨전 판타지</v>
      </c>
    </row>
    <row r="5269" spans="1:59">
      <c r="A5269" t="s">
        <v>60</v>
      </c>
      <c r="B5269" s="1">
        <v>46130</v>
      </c>
      <c r="C5269">
        <v>2378044065</v>
      </c>
      <c r="D5269">
        <v>2378069610</v>
      </c>
      <c r="E5269" t="str">
        <f>T("저승의 왕위를 계승했다 507화")</f>
        <v>저승의 왕위를 계승했다 507화</v>
      </c>
      <c r="F5269">
        <v>508</v>
      </c>
      <c r="G5269" t="str">
        <f>T("신타비")</f>
        <v>신타비</v>
      </c>
      <c r="J5269" t="str">
        <f>T("매드햇")</f>
        <v>매드햇</v>
      </c>
      <c r="K5269" t="str">
        <f>T("저승의 왕위를 계승했다")</f>
        <v>저승의 왕위를 계승했다</v>
      </c>
      <c r="L5269">
        <v>100</v>
      </c>
      <c r="M5269">
        <v>100</v>
      </c>
      <c r="N5269">
        <v>1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0</v>
      </c>
      <c r="AE5269">
        <v>0</v>
      </c>
      <c r="AF5269">
        <v>0</v>
      </c>
      <c r="AG5269">
        <v>0</v>
      </c>
      <c r="AH5269">
        <v>0</v>
      </c>
      <c r="AI5269">
        <v>100</v>
      </c>
      <c r="AJ5269">
        <v>1</v>
      </c>
      <c r="AK5269">
        <v>0</v>
      </c>
      <c r="AL5269">
        <v>0</v>
      </c>
      <c r="AM5269">
        <v>100</v>
      </c>
      <c r="AN5269">
        <v>0</v>
      </c>
      <c r="AO5269">
        <v>0</v>
      </c>
      <c r="AP5269">
        <v>0</v>
      </c>
      <c r="AQ5269">
        <v>0</v>
      </c>
      <c r="AS5269">
        <v>0</v>
      </c>
      <c r="AT5269">
        <v>0</v>
      </c>
      <c r="AV5269">
        <v>0</v>
      </c>
      <c r="AW5269">
        <v>0</v>
      </c>
      <c r="AY5269">
        <v>0</v>
      </c>
      <c r="AZ5269">
        <v>0</v>
      </c>
      <c r="BA5269">
        <v>70</v>
      </c>
      <c r="BE5269" t="str">
        <f>T("9791137014381")</f>
        <v>9791137014381</v>
      </c>
      <c r="BF5269" t="str">
        <f>T("k410843")</f>
        <v>k410843</v>
      </c>
      <c r="BG5269" t="str">
        <f>T("판타지 웹소설 &gt; 퓨전 판타지")</f>
        <v>판타지 웹소설 &gt; 퓨전 판타지</v>
      </c>
    </row>
    <row r="5270" spans="1:59">
      <c r="A5270" t="s">
        <v>60</v>
      </c>
      <c r="B5270" s="1">
        <v>46130</v>
      </c>
      <c r="C5270">
        <v>2378044065</v>
      </c>
      <c r="D5270">
        <v>2378069611</v>
      </c>
      <c r="E5270" t="str">
        <f>T("저승의 왕위를 계승했다 508화")</f>
        <v>저승의 왕위를 계승했다 508화</v>
      </c>
      <c r="F5270">
        <v>509</v>
      </c>
      <c r="G5270" t="str">
        <f>T("신타비")</f>
        <v>신타비</v>
      </c>
      <c r="J5270" t="str">
        <f>T("매드햇")</f>
        <v>매드햇</v>
      </c>
      <c r="K5270" t="str">
        <f>T("저승의 왕위를 계승했다")</f>
        <v>저승의 왕위를 계승했다</v>
      </c>
      <c r="L5270">
        <v>100</v>
      </c>
      <c r="M5270">
        <v>100</v>
      </c>
      <c r="N5270">
        <v>1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0</v>
      </c>
      <c r="AE5270">
        <v>0</v>
      </c>
      <c r="AF5270">
        <v>0</v>
      </c>
      <c r="AG5270">
        <v>0</v>
      </c>
      <c r="AH5270">
        <v>0</v>
      </c>
      <c r="AI5270">
        <v>100</v>
      </c>
      <c r="AJ5270">
        <v>1</v>
      </c>
      <c r="AK5270">
        <v>0</v>
      </c>
      <c r="AL5270">
        <v>0</v>
      </c>
      <c r="AM5270">
        <v>100</v>
      </c>
      <c r="AN5270">
        <v>0</v>
      </c>
      <c r="AO5270">
        <v>0</v>
      </c>
      <c r="AP5270">
        <v>0</v>
      </c>
      <c r="AQ5270">
        <v>0</v>
      </c>
      <c r="AS5270">
        <v>0</v>
      </c>
      <c r="AT5270">
        <v>0</v>
      </c>
      <c r="AV5270">
        <v>0</v>
      </c>
      <c r="AW5270">
        <v>0</v>
      </c>
      <c r="AY5270">
        <v>0</v>
      </c>
      <c r="AZ5270">
        <v>0</v>
      </c>
      <c r="BA5270">
        <v>70</v>
      </c>
      <c r="BE5270" t="str">
        <f>T("9791137014381")</f>
        <v>9791137014381</v>
      </c>
      <c r="BF5270" t="str">
        <f>T("k410844")</f>
        <v>k410844</v>
      </c>
      <c r="BG5270" t="str">
        <f>T("판타지 웹소설 &gt; 퓨전 판타지")</f>
        <v>판타지 웹소설 &gt; 퓨전 판타지</v>
      </c>
    </row>
    <row r="5271" spans="1:59">
      <c r="A5271" t="s">
        <v>60</v>
      </c>
      <c r="B5271" s="1">
        <v>46130</v>
      </c>
      <c r="C5271">
        <v>2378044065</v>
      </c>
      <c r="D5271">
        <v>2378069641</v>
      </c>
      <c r="E5271" t="str">
        <f>T("저승의 왕위를 계승했다 509화")</f>
        <v>저승의 왕위를 계승했다 509화</v>
      </c>
      <c r="F5271">
        <v>510</v>
      </c>
      <c r="G5271" t="str">
        <f>T("신타비")</f>
        <v>신타비</v>
      </c>
      <c r="J5271" t="str">
        <f>T("매드햇")</f>
        <v>매드햇</v>
      </c>
      <c r="K5271" t="str">
        <f>T("저승의 왕위를 계승했다")</f>
        <v>저승의 왕위를 계승했다</v>
      </c>
      <c r="L5271">
        <v>100</v>
      </c>
      <c r="M5271">
        <v>100</v>
      </c>
      <c r="N5271">
        <v>1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0</v>
      </c>
      <c r="AE5271">
        <v>0</v>
      </c>
      <c r="AF5271">
        <v>0</v>
      </c>
      <c r="AG5271">
        <v>0</v>
      </c>
      <c r="AH5271">
        <v>0</v>
      </c>
      <c r="AI5271">
        <v>100</v>
      </c>
      <c r="AJ5271">
        <v>1</v>
      </c>
      <c r="AK5271">
        <v>0</v>
      </c>
      <c r="AL5271">
        <v>0</v>
      </c>
      <c r="AM5271">
        <v>100</v>
      </c>
      <c r="AN5271">
        <v>0</v>
      </c>
      <c r="AO5271">
        <v>0</v>
      </c>
      <c r="AP5271">
        <v>0</v>
      </c>
      <c r="AQ5271">
        <v>0</v>
      </c>
      <c r="AS5271">
        <v>0</v>
      </c>
      <c r="AT5271">
        <v>0</v>
      </c>
      <c r="AV5271">
        <v>0</v>
      </c>
      <c r="AW5271">
        <v>0</v>
      </c>
      <c r="AY5271">
        <v>0</v>
      </c>
      <c r="AZ5271">
        <v>0</v>
      </c>
      <c r="BA5271">
        <v>70</v>
      </c>
      <c r="BE5271" t="str">
        <f>T("9791137014381")</f>
        <v>9791137014381</v>
      </c>
      <c r="BF5271" t="str">
        <f>T("k410845")</f>
        <v>k410845</v>
      </c>
      <c r="BG5271" t="str">
        <f>T("판타지 웹소설 &gt; 퓨전 판타지")</f>
        <v>판타지 웹소설 &gt; 퓨전 판타지</v>
      </c>
    </row>
    <row r="5272" spans="1:59">
      <c r="A5272" t="s">
        <v>60</v>
      </c>
      <c r="B5272" s="1">
        <v>46130</v>
      </c>
      <c r="C5272">
        <v>2378044065</v>
      </c>
      <c r="D5272">
        <v>2378069642</v>
      </c>
      <c r="E5272" t="str">
        <f>T("저승의 왕위를 계승했다 510화")</f>
        <v>저승의 왕위를 계승했다 510화</v>
      </c>
      <c r="F5272">
        <v>511</v>
      </c>
      <c r="G5272" t="str">
        <f>T("신타비")</f>
        <v>신타비</v>
      </c>
      <c r="J5272" t="str">
        <f>T("매드햇")</f>
        <v>매드햇</v>
      </c>
      <c r="K5272" t="str">
        <f>T("저승의 왕위를 계승했다")</f>
        <v>저승의 왕위를 계승했다</v>
      </c>
      <c r="L5272">
        <v>100</v>
      </c>
      <c r="M5272">
        <v>100</v>
      </c>
      <c r="N5272">
        <v>1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0</v>
      </c>
      <c r="AE5272">
        <v>0</v>
      </c>
      <c r="AF5272">
        <v>0</v>
      </c>
      <c r="AG5272">
        <v>0</v>
      </c>
      <c r="AH5272">
        <v>0</v>
      </c>
      <c r="AI5272">
        <v>100</v>
      </c>
      <c r="AJ5272">
        <v>1</v>
      </c>
      <c r="AK5272">
        <v>0</v>
      </c>
      <c r="AL5272">
        <v>0</v>
      </c>
      <c r="AM5272">
        <v>100</v>
      </c>
      <c r="AN5272">
        <v>0</v>
      </c>
      <c r="AO5272">
        <v>0</v>
      </c>
      <c r="AP5272">
        <v>0</v>
      </c>
      <c r="AQ5272">
        <v>0</v>
      </c>
      <c r="AS5272">
        <v>0</v>
      </c>
      <c r="AT5272">
        <v>0</v>
      </c>
      <c r="AV5272">
        <v>0</v>
      </c>
      <c r="AW5272">
        <v>0</v>
      </c>
      <c r="AY5272">
        <v>0</v>
      </c>
      <c r="AZ5272">
        <v>0</v>
      </c>
      <c r="BA5272">
        <v>70</v>
      </c>
      <c r="BE5272" t="str">
        <f>T("9791137014381")</f>
        <v>9791137014381</v>
      </c>
      <c r="BF5272" t="str">
        <f>T("k410846")</f>
        <v>k410846</v>
      </c>
      <c r="BG5272" t="str">
        <f>T("판타지 웹소설 &gt; 퓨전 판타지")</f>
        <v>판타지 웹소설 &gt; 퓨전 판타지</v>
      </c>
    </row>
    <row r="5273" spans="1:59">
      <c r="A5273" t="s">
        <v>60</v>
      </c>
      <c r="B5273" s="1">
        <v>46130</v>
      </c>
      <c r="C5273">
        <v>2378044065</v>
      </c>
      <c r="D5273">
        <v>2378069666</v>
      </c>
      <c r="E5273" t="str">
        <f>T("저승의 왕위를 계승했다 511화")</f>
        <v>저승의 왕위를 계승했다 511화</v>
      </c>
      <c r="F5273">
        <v>512</v>
      </c>
      <c r="G5273" t="str">
        <f>T("신타비")</f>
        <v>신타비</v>
      </c>
      <c r="J5273" t="str">
        <f>T("매드햇")</f>
        <v>매드햇</v>
      </c>
      <c r="K5273" t="str">
        <f>T("저승의 왕위를 계승했다")</f>
        <v>저승의 왕위를 계승했다</v>
      </c>
      <c r="L5273">
        <v>100</v>
      </c>
      <c r="M5273">
        <v>100</v>
      </c>
      <c r="N5273">
        <v>1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0</v>
      </c>
      <c r="AE5273">
        <v>0</v>
      </c>
      <c r="AF5273">
        <v>0</v>
      </c>
      <c r="AG5273">
        <v>0</v>
      </c>
      <c r="AH5273">
        <v>0</v>
      </c>
      <c r="AI5273">
        <v>100</v>
      </c>
      <c r="AJ5273">
        <v>1</v>
      </c>
      <c r="AK5273">
        <v>0</v>
      </c>
      <c r="AL5273">
        <v>0</v>
      </c>
      <c r="AM5273">
        <v>100</v>
      </c>
      <c r="AN5273">
        <v>0</v>
      </c>
      <c r="AO5273">
        <v>0</v>
      </c>
      <c r="AP5273">
        <v>0</v>
      </c>
      <c r="AQ5273">
        <v>0</v>
      </c>
      <c r="AS5273">
        <v>0</v>
      </c>
      <c r="AT5273">
        <v>0</v>
      </c>
      <c r="AV5273">
        <v>0</v>
      </c>
      <c r="AW5273">
        <v>0</v>
      </c>
      <c r="AY5273">
        <v>0</v>
      </c>
      <c r="AZ5273">
        <v>0</v>
      </c>
      <c r="BA5273">
        <v>70</v>
      </c>
      <c r="BE5273" t="str">
        <f>T("9791137014381")</f>
        <v>9791137014381</v>
      </c>
      <c r="BF5273" t="str">
        <f>T("k416013")</f>
        <v>k416013</v>
      </c>
      <c r="BG5273" t="str">
        <f>T("판타지 웹소설 &gt; 퓨전 판타지")</f>
        <v>판타지 웹소설 &gt; 퓨전 판타지</v>
      </c>
    </row>
    <row r="5274" spans="1:59">
      <c r="A5274" t="s">
        <v>60</v>
      </c>
      <c r="B5274" s="1">
        <v>46130</v>
      </c>
      <c r="C5274">
        <v>2378044065</v>
      </c>
      <c r="D5274">
        <v>2378069667</v>
      </c>
      <c r="E5274" t="str">
        <f>T("저승의 왕위를 계승했다 512화")</f>
        <v>저승의 왕위를 계승했다 512화</v>
      </c>
      <c r="F5274">
        <v>513</v>
      </c>
      <c r="G5274" t="str">
        <f>T("신타비")</f>
        <v>신타비</v>
      </c>
      <c r="J5274" t="str">
        <f>T("매드햇")</f>
        <v>매드햇</v>
      </c>
      <c r="K5274" t="str">
        <f>T("저승의 왕위를 계승했다")</f>
        <v>저승의 왕위를 계승했다</v>
      </c>
      <c r="L5274">
        <v>100</v>
      </c>
      <c r="M5274">
        <v>100</v>
      </c>
      <c r="N5274">
        <v>1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0</v>
      </c>
      <c r="AE5274">
        <v>0</v>
      </c>
      <c r="AF5274">
        <v>0</v>
      </c>
      <c r="AG5274">
        <v>0</v>
      </c>
      <c r="AH5274">
        <v>0</v>
      </c>
      <c r="AI5274">
        <v>100</v>
      </c>
      <c r="AJ5274">
        <v>1</v>
      </c>
      <c r="AK5274">
        <v>0</v>
      </c>
      <c r="AL5274">
        <v>0</v>
      </c>
      <c r="AM5274">
        <v>100</v>
      </c>
      <c r="AN5274">
        <v>0</v>
      </c>
      <c r="AO5274">
        <v>0</v>
      </c>
      <c r="AP5274">
        <v>0</v>
      </c>
      <c r="AQ5274">
        <v>0</v>
      </c>
      <c r="AS5274">
        <v>0</v>
      </c>
      <c r="AT5274">
        <v>0</v>
      </c>
      <c r="AV5274">
        <v>0</v>
      </c>
      <c r="AW5274">
        <v>0</v>
      </c>
      <c r="AY5274">
        <v>0</v>
      </c>
      <c r="AZ5274">
        <v>0</v>
      </c>
      <c r="BA5274">
        <v>70</v>
      </c>
      <c r="BE5274" t="str">
        <f>T("9791137014381")</f>
        <v>9791137014381</v>
      </c>
      <c r="BF5274" t="str">
        <f>T("k416014")</f>
        <v>k416014</v>
      </c>
      <c r="BG5274" t="str">
        <f>T("판타지 웹소설 &gt; 퓨전 판타지")</f>
        <v>판타지 웹소설 &gt; 퓨전 판타지</v>
      </c>
    </row>
    <row r="5275" spans="1:59">
      <c r="A5275" t="s">
        <v>60</v>
      </c>
      <c r="B5275" s="1">
        <v>46130</v>
      </c>
      <c r="C5275">
        <v>2378044065</v>
      </c>
      <c r="D5275">
        <v>2378070122</v>
      </c>
      <c r="E5275" t="str">
        <f>T("저승의 왕위를 계승했다 513화")</f>
        <v>저승의 왕위를 계승했다 513화</v>
      </c>
      <c r="F5275">
        <v>514</v>
      </c>
      <c r="G5275" t="str">
        <f>T("신타비")</f>
        <v>신타비</v>
      </c>
      <c r="J5275" t="str">
        <f>T("매드햇")</f>
        <v>매드햇</v>
      </c>
      <c r="K5275" t="str">
        <f>T("저승의 왕위를 계승했다")</f>
        <v>저승의 왕위를 계승했다</v>
      </c>
      <c r="L5275">
        <v>100</v>
      </c>
      <c r="M5275">
        <v>100</v>
      </c>
      <c r="N5275">
        <v>1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0</v>
      </c>
      <c r="AC5275">
        <v>0</v>
      </c>
      <c r="AD5275">
        <v>0</v>
      </c>
      <c r="AE5275">
        <v>0</v>
      </c>
      <c r="AF5275">
        <v>0</v>
      </c>
      <c r="AG5275">
        <v>0</v>
      </c>
      <c r="AH5275">
        <v>0</v>
      </c>
      <c r="AI5275">
        <v>100</v>
      </c>
      <c r="AJ5275">
        <v>1</v>
      </c>
      <c r="AK5275">
        <v>0</v>
      </c>
      <c r="AL5275">
        <v>0</v>
      </c>
      <c r="AM5275">
        <v>100</v>
      </c>
      <c r="AN5275">
        <v>0</v>
      </c>
      <c r="AO5275">
        <v>0</v>
      </c>
      <c r="AP5275">
        <v>0</v>
      </c>
      <c r="AQ5275">
        <v>0</v>
      </c>
      <c r="AS5275">
        <v>0</v>
      </c>
      <c r="AT5275">
        <v>0</v>
      </c>
      <c r="AV5275">
        <v>0</v>
      </c>
      <c r="AW5275">
        <v>0</v>
      </c>
      <c r="AY5275">
        <v>0</v>
      </c>
      <c r="AZ5275">
        <v>0</v>
      </c>
      <c r="BA5275">
        <v>70</v>
      </c>
      <c r="BE5275" t="str">
        <f>T("9791137014381")</f>
        <v>9791137014381</v>
      </c>
      <c r="BF5275" t="str">
        <f>T("k418904")</f>
        <v>k418904</v>
      </c>
      <c r="BG5275" t="str">
        <f>T("판타지 웹소설 &gt; 퓨전 판타지")</f>
        <v>판타지 웹소설 &gt; 퓨전 판타지</v>
      </c>
    </row>
    <row r="5276" spans="1:59">
      <c r="A5276" t="s">
        <v>60</v>
      </c>
      <c r="B5276" s="1">
        <v>46130</v>
      </c>
      <c r="C5276">
        <v>2378044065</v>
      </c>
      <c r="D5276">
        <v>2378070123</v>
      </c>
      <c r="E5276" t="str">
        <f>T("저승의 왕위를 계승했다 514화")</f>
        <v>저승의 왕위를 계승했다 514화</v>
      </c>
      <c r="F5276">
        <v>515</v>
      </c>
      <c r="G5276" t="str">
        <f>T("신타비")</f>
        <v>신타비</v>
      </c>
      <c r="J5276" t="str">
        <f>T("매드햇")</f>
        <v>매드햇</v>
      </c>
      <c r="K5276" t="str">
        <f>T("저승의 왕위를 계승했다")</f>
        <v>저승의 왕위를 계승했다</v>
      </c>
      <c r="L5276">
        <v>100</v>
      </c>
      <c r="M5276">
        <v>100</v>
      </c>
      <c r="N5276">
        <v>1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0</v>
      </c>
      <c r="AC5276">
        <v>0</v>
      </c>
      <c r="AD5276">
        <v>0</v>
      </c>
      <c r="AE5276">
        <v>0</v>
      </c>
      <c r="AF5276">
        <v>0</v>
      </c>
      <c r="AG5276">
        <v>0</v>
      </c>
      <c r="AH5276">
        <v>0</v>
      </c>
      <c r="AI5276">
        <v>100</v>
      </c>
      <c r="AJ5276">
        <v>1</v>
      </c>
      <c r="AK5276">
        <v>0</v>
      </c>
      <c r="AL5276">
        <v>0</v>
      </c>
      <c r="AM5276">
        <v>100</v>
      </c>
      <c r="AN5276">
        <v>0</v>
      </c>
      <c r="AO5276">
        <v>0</v>
      </c>
      <c r="AP5276">
        <v>0</v>
      </c>
      <c r="AQ5276">
        <v>0</v>
      </c>
      <c r="AS5276">
        <v>0</v>
      </c>
      <c r="AT5276">
        <v>0</v>
      </c>
      <c r="AV5276">
        <v>0</v>
      </c>
      <c r="AW5276">
        <v>0</v>
      </c>
      <c r="AY5276">
        <v>0</v>
      </c>
      <c r="AZ5276">
        <v>0</v>
      </c>
      <c r="BA5276">
        <v>70</v>
      </c>
      <c r="BE5276" t="str">
        <f>T("9791137014381")</f>
        <v>9791137014381</v>
      </c>
      <c r="BF5276" t="str">
        <f>T("k418905")</f>
        <v>k418905</v>
      </c>
      <c r="BG5276" t="str">
        <f>T("판타지 웹소설 &gt; 퓨전 판타지")</f>
        <v>판타지 웹소설 &gt; 퓨전 판타지</v>
      </c>
    </row>
    <row r="5277" spans="1:59">
      <c r="A5277" t="s">
        <v>60</v>
      </c>
      <c r="B5277" s="1">
        <v>46130</v>
      </c>
      <c r="C5277">
        <v>2378044065</v>
      </c>
      <c r="D5277">
        <v>2378070131</v>
      </c>
      <c r="E5277" t="str">
        <f>T("저승의 왕위를 계승했다 515화")</f>
        <v>저승의 왕위를 계승했다 515화</v>
      </c>
      <c r="F5277">
        <v>516</v>
      </c>
      <c r="G5277" t="str">
        <f>T("신타비")</f>
        <v>신타비</v>
      </c>
      <c r="J5277" t="str">
        <f>T("매드햇")</f>
        <v>매드햇</v>
      </c>
      <c r="K5277" t="str">
        <f>T("저승의 왕위를 계승했다")</f>
        <v>저승의 왕위를 계승했다</v>
      </c>
      <c r="L5277">
        <v>100</v>
      </c>
      <c r="M5277">
        <v>100</v>
      </c>
      <c r="N5277">
        <v>1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0</v>
      </c>
      <c r="AC5277">
        <v>0</v>
      </c>
      <c r="AD5277">
        <v>0</v>
      </c>
      <c r="AE5277">
        <v>0</v>
      </c>
      <c r="AF5277">
        <v>0</v>
      </c>
      <c r="AG5277">
        <v>0</v>
      </c>
      <c r="AH5277">
        <v>0</v>
      </c>
      <c r="AI5277">
        <v>100</v>
      </c>
      <c r="AJ5277">
        <v>1</v>
      </c>
      <c r="AK5277">
        <v>0</v>
      </c>
      <c r="AL5277">
        <v>0</v>
      </c>
      <c r="AM5277">
        <v>100</v>
      </c>
      <c r="AN5277">
        <v>0</v>
      </c>
      <c r="AO5277">
        <v>0</v>
      </c>
      <c r="AP5277">
        <v>0</v>
      </c>
      <c r="AQ5277">
        <v>0</v>
      </c>
      <c r="AS5277">
        <v>0</v>
      </c>
      <c r="AT5277">
        <v>0</v>
      </c>
      <c r="AV5277">
        <v>0</v>
      </c>
      <c r="AW5277">
        <v>0</v>
      </c>
      <c r="AY5277">
        <v>0</v>
      </c>
      <c r="AZ5277">
        <v>0</v>
      </c>
      <c r="BA5277">
        <v>70</v>
      </c>
      <c r="BE5277" t="str">
        <f>T("9791137014381")</f>
        <v>9791137014381</v>
      </c>
      <c r="BF5277" t="str">
        <f>T("k418906")</f>
        <v>k418906</v>
      </c>
      <c r="BG5277" t="str">
        <f>T("판타지 웹소설 &gt; 퓨전 판타지")</f>
        <v>판타지 웹소설 &gt; 퓨전 판타지</v>
      </c>
    </row>
    <row r="5278" spans="1:59">
      <c r="A5278" t="s">
        <v>60</v>
      </c>
      <c r="B5278" s="1">
        <v>46130</v>
      </c>
      <c r="C5278">
        <v>2378044065</v>
      </c>
      <c r="D5278">
        <v>2378070132</v>
      </c>
      <c r="E5278" t="str">
        <f>T("저승의 왕위를 계승했다 516화")</f>
        <v>저승의 왕위를 계승했다 516화</v>
      </c>
      <c r="F5278">
        <v>517</v>
      </c>
      <c r="G5278" t="str">
        <f>T("신타비")</f>
        <v>신타비</v>
      </c>
      <c r="J5278" t="str">
        <f>T("매드햇")</f>
        <v>매드햇</v>
      </c>
      <c r="K5278" t="str">
        <f>T("저승의 왕위를 계승했다")</f>
        <v>저승의 왕위를 계승했다</v>
      </c>
      <c r="L5278">
        <v>100</v>
      </c>
      <c r="M5278">
        <v>100</v>
      </c>
      <c r="N5278">
        <v>1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0</v>
      </c>
      <c r="AC5278">
        <v>0</v>
      </c>
      <c r="AD5278">
        <v>0</v>
      </c>
      <c r="AE5278">
        <v>0</v>
      </c>
      <c r="AF5278">
        <v>0</v>
      </c>
      <c r="AG5278">
        <v>0</v>
      </c>
      <c r="AH5278">
        <v>0</v>
      </c>
      <c r="AI5278">
        <v>100</v>
      </c>
      <c r="AJ5278">
        <v>1</v>
      </c>
      <c r="AK5278">
        <v>0</v>
      </c>
      <c r="AL5278">
        <v>0</v>
      </c>
      <c r="AM5278">
        <v>100</v>
      </c>
      <c r="AN5278">
        <v>0</v>
      </c>
      <c r="AO5278">
        <v>0</v>
      </c>
      <c r="AP5278">
        <v>0</v>
      </c>
      <c r="AQ5278">
        <v>0</v>
      </c>
      <c r="AS5278">
        <v>0</v>
      </c>
      <c r="AT5278">
        <v>0</v>
      </c>
      <c r="AV5278">
        <v>0</v>
      </c>
      <c r="AW5278">
        <v>0</v>
      </c>
      <c r="AY5278">
        <v>0</v>
      </c>
      <c r="AZ5278">
        <v>0</v>
      </c>
      <c r="BA5278">
        <v>70</v>
      </c>
      <c r="BE5278" t="str">
        <f>T("9791137014381")</f>
        <v>9791137014381</v>
      </c>
      <c r="BF5278" t="str">
        <f>T("k418907")</f>
        <v>k418907</v>
      </c>
      <c r="BG5278" t="str">
        <f>T("판타지 웹소설 &gt; 퓨전 판타지")</f>
        <v>판타지 웹소설 &gt; 퓨전 판타지</v>
      </c>
    </row>
    <row r="5279" spans="1:59">
      <c r="A5279" t="s">
        <v>60</v>
      </c>
      <c r="B5279" s="1">
        <v>46130</v>
      </c>
      <c r="C5279">
        <v>2378044065</v>
      </c>
      <c r="D5279">
        <v>2378070166</v>
      </c>
      <c r="E5279" t="str">
        <f>T("저승의 왕위를 계승했다 517화")</f>
        <v>저승의 왕위를 계승했다 517화</v>
      </c>
      <c r="F5279">
        <v>518</v>
      </c>
      <c r="G5279" t="str">
        <f>T("신타비")</f>
        <v>신타비</v>
      </c>
      <c r="J5279" t="str">
        <f>T("매드햇")</f>
        <v>매드햇</v>
      </c>
      <c r="K5279" t="str">
        <f>T("저승의 왕위를 계승했다")</f>
        <v>저승의 왕위를 계승했다</v>
      </c>
      <c r="L5279">
        <v>100</v>
      </c>
      <c r="M5279">
        <v>100</v>
      </c>
      <c r="N5279">
        <v>1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0</v>
      </c>
      <c r="AC5279">
        <v>0</v>
      </c>
      <c r="AD5279">
        <v>0</v>
      </c>
      <c r="AE5279">
        <v>0</v>
      </c>
      <c r="AF5279">
        <v>0</v>
      </c>
      <c r="AG5279">
        <v>0</v>
      </c>
      <c r="AH5279">
        <v>0</v>
      </c>
      <c r="AI5279">
        <v>100</v>
      </c>
      <c r="AJ5279">
        <v>1</v>
      </c>
      <c r="AK5279">
        <v>0</v>
      </c>
      <c r="AL5279">
        <v>0</v>
      </c>
      <c r="AM5279">
        <v>100</v>
      </c>
      <c r="AN5279">
        <v>0</v>
      </c>
      <c r="AO5279">
        <v>0</v>
      </c>
      <c r="AP5279">
        <v>0</v>
      </c>
      <c r="AQ5279">
        <v>0</v>
      </c>
      <c r="AS5279">
        <v>0</v>
      </c>
      <c r="AT5279">
        <v>0</v>
      </c>
      <c r="AV5279">
        <v>0</v>
      </c>
      <c r="AW5279">
        <v>0</v>
      </c>
      <c r="AY5279">
        <v>0</v>
      </c>
      <c r="AZ5279">
        <v>0</v>
      </c>
      <c r="BA5279">
        <v>70</v>
      </c>
      <c r="BE5279" t="str">
        <f>T("9791137014381")</f>
        <v>9791137014381</v>
      </c>
      <c r="BF5279" t="str">
        <f>T("k418908")</f>
        <v>k418908</v>
      </c>
      <c r="BG5279" t="str">
        <f>T("판타지 웹소설 &gt; 퓨전 판타지")</f>
        <v>판타지 웹소설 &gt; 퓨전 판타지</v>
      </c>
    </row>
    <row r="5280" spans="1:59">
      <c r="A5280" t="s">
        <v>60</v>
      </c>
      <c r="B5280" s="1">
        <v>46130</v>
      </c>
      <c r="C5280">
        <v>2378044065</v>
      </c>
      <c r="D5280">
        <v>2378070167</v>
      </c>
      <c r="E5280" t="str">
        <f>T("저승의 왕위를 계승했다 518화")</f>
        <v>저승의 왕위를 계승했다 518화</v>
      </c>
      <c r="F5280">
        <v>519</v>
      </c>
      <c r="G5280" t="str">
        <f>T("신타비")</f>
        <v>신타비</v>
      </c>
      <c r="J5280" t="str">
        <f>T("매드햇")</f>
        <v>매드햇</v>
      </c>
      <c r="K5280" t="str">
        <f>T("저승의 왕위를 계승했다")</f>
        <v>저승의 왕위를 계승했다</v>
      </c>
      <c r="L5280">
        <v>100</v>
      </c>
      <c r="M5280">
        <v>100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0</v>
      </c>
      <c r="AC5280">
        <v>0</v>
      </c>
      <c r="AD5280">
        <v>0</v>
      </c>
      <c r="AE5280">
        <v>0</v>
      </c>
      <c r="AF5280">
        <v>0</v>
      </c>
      <c r="AG5280">
        <v>0</v>
      </c>
      <c r="AH5280">
        <v>0</v>
      </c>
      <c r="AI5280">
        <v>100</v>
      </c>
      <c r="AJ5280">
        <v>1</v>
      </c>
      <c r="AK5280">
        <v>0</v>
      </c>
      <c r="AL5280">
        <v>0</v>
      </c>
      <c r="AM5280">
        <v>100</v>
      </c>
      <c r="AN5280">
        <v>0</v>
      </c>
      <c r="AO5280">
        <v>0</v>
      </c>
      <c r="AP5280">
        <v>0</v>
      </c>
      <c r="AQ5280">
        <v>0</v>
      </c>
      <c r="AS5280">
        <v>0</v>
      </c>
      <c r="AT5280">
        <v>0</v>
      </c>
      <c r="AV5280">
        <v>0</v>
      </c>
      <c r="AW5280">
        <v>0</v>
      </c>
      <c r="AY5280">
        <v>0</v>
      </c>
      <c r="AZ5280">
        <v>0</v>
      </c>
      <c r="BA5280">
        <v>70</v>
      </c>
      <c r="BE5280" t="str">
        <f>T("9791137014381")</f>
        <v>9791137014381</v>
      </c>
      <c r="BF5280" t="str">
        <f>T("k418909")</f>
        <v>k418909</v>
      </c>
      <c r="BG5280" t="str">
        <f>T("판타지 웹소설 &gt; 퓨전 판타지")</f>
        <v>판타지 웹소설 &gt; 퓨전 판타지</v>
      </c>
    </row>
    <row r="5281" spans="1:59">
      <c r="A5281" t="s">
        <v>60</v>
      </c>
      <c r="B5281" s="1">
        <v>46130</v>
      </c>
      <c r="C5281">
        <v>2378044065</v>
      </c>
      <c r="D5281">
        <v>2378070177</v>
      </c>
      <c r="E5281" t="str">
        <f>T("저승의 왕위를 계승했다 519화")</f>
        <v>저승의 왕위를 계승했다 519화</v>
      </c>
      <c r="F5281">
        <v>520</v>
      </c>
      <c r="G5281" t="str">
        <f>T("신타비")</f>
        <v>신타비</v>
      </c>
      <c r="J5281" t="str">
        <f>T("매드햇")</f>
        <v>매드햇</v>
      </c>
      <c r="K5281" t="str">
        <f>T("저승의 왕위를 계승했다")</f>
        <v>저승의 왕위를 계승했다</v>
      </c>
      <c r="L5281">
        <v>100</v>
      </c>
      <c r="M5281">
        <v>100</v>
      </c>
      <c r="N5281">
        <v>1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0</v>
      </c>
      <c r="AC5281">
        <v>0</v>
      </c>
      <c r="AD5281">
        <v>0</v>
      </c>
      <c r="AE5281">
        <v>0</v>
      </c>
      <c r="AF5281">
        <v>0</v>
      </c>
      <c r="AG5281">
        <v>0</v>
      </c>
      <c r="AH5281">
        <v>0</v>
      </c>
      <c r="AI5281">
        <v>100</v>
      </c>
      <c r="AJ5281">
        <v>1</v>
      </c>
      <c r="AK5281">
        <v>0</v>
      </c>
      <c r="AL5281">
        <v>0</v>
      </c>
      <c r="AM5281">
        <v>100</v>
      </c>
      <c r="AN5281">
        <v>0</v>
      </c>
      <c r="AO5281">
        <v>0</v>
      </c>
      <c r="AP5281">
        <v>0</v>
      </c>
      <c r="AQ5281">
        <v>0</v>
      </c>
      <c r="AS5281">
        <v>0</v>
      </c>
      <c r="AT5281">
        <v>0</v>
      </c>
      <c r="AV5281">
        <v>0</v>
      </c>
      <c r="AW5281">
        <v>0</v>
      </c>
      <c r="AY5281">
        <v>0</v>
      </c>
      <c r="AZ5281">
        <v>0</v>
      </c>
      <c r="BA5281">
        <v>70</v>
      </c>
      <c r="BE5281" t="str">
        <f>T("9791137014381")</f>
        <v>9791137014381</v>
      </c>
      <c r="BF5281" t="str">
        <f>T("k422123")</f>
        <v>k422123</v>
      </c>
      <c r="BG5281" t="str">
        <f>T("판타지 웹소설 &gt; 퓨전 판타지")</f>
        <v>판타지 웹소설 &gt; 퓨전 판타지</v>
      </c>
    </row>
    <row r="5282" spans="1:59">
      <c r="A5282" t="s">
        <v>60</v>
      </c>
      <c r="B5282" s="1">
        <v>46130</v>
      </c>
      <c r="C5282">
        <v>2378044065</v>
      </c>
      <c r="D5282">
        <v>2378070178</v>
      </c>
      <c r="E5282" t="str">
        <f>T("저승의 왕위를 계승했다 520화")</f>
        <v>저승의 왕위를 계승했다 520화</v>
      </c>
      <c r="F5282">
        <v>521</v>
      </c>
      <c r="G5282" t="str">
        <f>T("신타비")</f>
        <v>신타비</v>
      </c>
      <c r="J5282" t="str">
        <f>T("매드햇")</f>
        <v>매드햇</v>
      </c>
      <c r="K5282" t="str">
        <f>T("저승의 왕위를 계승했다")</f>
        <v>저승의 왕위를 계승했다</v>
      </c>
      <c r="L5282">
        <v>100</v>
      </c>
      <c r="M5282">
        <v>100</v>
      </c>
      <c r="N5282">
        <v>1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0</v>
      </c>
      <c r="AC5282">
        <v>0</v>
      </c>
      <c r="AD5282">
        <v>0</v>
      </c>
      <c r="AE5282">
        <v>0</v>
      </c>
      <c r="AF5282">
        <v>0</v>
      </c>
      <c r="AG5282">
        <v>0</v>
      </c>
      <c r="AH5282">
        <v>0</v>
      </c>
      <c r="AI5282">
        <v>100</v>
      </c>
      <c r="AJ5282">
        <v>1</v>
      </c>
      <c r="AK5282">
        <v>0</v>
      </c>
      <c r="AL5282">
        <v>0</v>
      </c>
      <c r="AM5282">
        <v>100</v>
      </c>
      <c r="AN5282">
        <v>0</v>
      </c>
      <c r="AO5282">
        <v>0</v>
      </c>
      <c r="AP5282">
        <v>0</v>
      </c>
      <c r="AQ5282">
        <v>0</v>
      </c>
      <c r="AS5282">
        <v>0</v>
      </c>
      <c r="AT5282">
        <v>0</v>
      </c>
      <c r="AV5282">
        <v>0</v>
      </c>
      <c r="AW5282">
        <v>0</v>
      </c>
      <c r="AY5282">
        <v>0</v>
      </c>
      <c r="AZ5282">
        <v>0</v>
      </c>
      <c r="BA5282">
        <v>70</v>
      </c>
      <c r="BE5282" t="str">
        <f>T("9791137014381")</f>
        <v>9791137014381</v>
      </c>
      <c r="BF5282" t="str">
        <f>T("k422124")</f>
        <v>k422124</v>
      </c>
      <c r="BG5282" t="str">
        <f>T("판타지 웹소설 &gt; 퓨전 판타지")</f>
        <v>판타지 웹소설 &gt; 퓨전 판타지</v>
      </c>
    </row>
    <row r="5283" spans="1:59">
      <c r="A5283" t="s">
        <v>60</v>
      </c>
      <c r="B5283" s="1">
        <v>46130</v>
      </c>
      <c r="C5283">
        <v>2378044065</v>
      </c>
      <c r="D5283">
        <v>2378070229</v>
      </c>
      <c r="E5283" t="str">
        <f>T("저승의 왕위를 계승했다 521화")</f>
        <v>저승의 왕위를 계승했다 521화</v>
      </c>
      <c r="F5283">
        <v>522</v>
      </c>
      <c r="G5283" t="str">
        <f>T("신타비")</f>
        <v>신타비</v>
      </c>
      <c r="J5283" t="str">
        <f>T("매드햇")</f>
        <v>매드햇</v>
      </c>
      <c r="K5283" t="str">
        <f>T("저승의 왕위를 계승했다")</f>
        <v>저승의 왕위를 계승했다</v>
      </c>
      <c r="L5283">
        <v>100</v>
      </c>
      <c r="M5283">
        <v>100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0</v>
      </c>
      <c r="AC5283">
        <v>0</v>
      </c>
      <c r="AD5283">
        <v>0</v>
      </c>
      <c r="AE5283">
        <v>0</v>
      </c>
      <c r="AF5283">
        <v>0</v>
      </c>
      <c r="AG5283">
        <v>0</v>
      </c>
      <c r="AH5283">
        <v>0</v>
      </c>
      <c r="AI5283">
        <v>100</v>
      </c>
      <c r="AJ5283">
        <v>1</v>
      </c>
      <c r="AK5283">
        <v>0</v>
      </c>
      <c r="AL5283">
        <v>0</v>
      </c>
      <c r="AM5283">
        <v>100</v>
      </c>
      <c r="AN5283">
        <v>0</v>
      </c>
      <c r="AO5283">
        <v>0</v>
      </c>
      <c r="AP5283">
        <v>0</v>
      </c>
      <c r="AQ5283">
        <v>0</v>
      </c>
      <c r="AS5283">
        <v>0</v>
      </c>
      <c r="AT5283">
        <v>0</v>
      </c>
      <c r="AV5283">
        <v>0</v>
      </c>
      <c r="AW5283">
        <v>0</v>
      </c>
      <c r="AY5283">
        <v>0</v>
      </c>
      <c r="AZ5283">
        <v>0</v>
      </c>
      <c r="BA5283">
        <v>70</v>
      </c>
      <c r="BE5283" t="str">
        <f>T("9791137014381")</f>
        <v>9791137014381</v>
      </c>
      <c r="BF5283" t="str">
        <f>T("k422125")</f>
        <v>k422125</v>
      </c>
      <c r="BG5283" t="str">
        <f>T("판타지 웹소설 &gt; 퓨전 판타지")</f>
        <v>판타지 웹소설 &gt; 퓨전 판타지</v>
      </c>
    </row>
    <row r="5284" spans="1:59">
      <c r="A5284" t="s">
        <v>60</v>
      </c>
      <c r="B5284" s="1">
        <v>46130</v>
      </c>
      <c r="C5284">
        <v>2378044065</v>
      </c>
      <c r="D5284">
        <v>2378070230</v>
      </c>
      <c r="E5284" t="str">
        <f>T("저승의 왕위를 계승했다 522화")</f>
        <v>저승의 왕위를 계승했다 522화</v>
      </c>
      <c r="F5284">
        <v>523</v>
      </c>
      <c r="G5284" t="str">
        <f>T("신타비")</f>
        <v>신타비</v>
      </c>
      <c r="J5284" t="str">
        <f>T("매드햇")</f>
        <v>매드햇</v>
      </c>
      <c r="K5284" t="str">
        <f>T("저승의 왕위를 계승했다")</f>
        <v>저승의 왕위를 계승했다</v>
      </c>
      <c r="L5284">
        <v>100</v>
      </c>
      <c r="M5284">
        <v>100</v>
      </c>
      <c r="N5284">
        <v>1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0</v>
      </c>
      <c r="AC5284">
        <v>0</v>
      </c>
      <c r="AD5284">
        <v>0</v>
      </c>
      <c r="AE5284">
        <v>0</v>
      </c>
      <c r="AF5284">
        <v>0</v>
      </c>
      <c r="AG5284">
        <v>0</v>
      </c>
      <c r="AH5284">
        <v>0</v>
      </c>
      <c r="AI5284">
        <v>100</v>
      </c>
      <c r="AJ5284">
        <v>1</v>
      </c>
      <c r="AK5284">
        <v>0</v>
      </c>
      <c r="AL5284">
        <v>0</v>
      </c>
      <c r="AM5284">
        <v>100</v>
      </c>
      <c r="AN5284">
        <v>0</v>
      </c>
      <c r="AO5284">
        <v>0</v>
      </c>
      <c r="AP5284">
        <v>0</v>
      </c>
      <c r="AQ5284">
        <v>0</v>
      </c>
      <c r="AS5284">
        <v>0</v>
      </c>
      <c r="AT5284">
        <v>0</v>
      </c>
      <c r="AV5284">
        <v>0</v>
      </c>
      <c r="AW5284">
        <v>0</v>
      </c>
      <c r="AY5284">
        <v>0</v>
      </c>
      <c r="AZ5284">
        <v>0</v>
      </c>
      <c r="BA5284">
        <v>70</v>
      </c>
      <c r="BE5284" t="str">
        <f>T("9791137014381")</f>
        <v>9791137014381</v>
      </c>
      <c r="BF5284" t="str">
        <f>T("k422126")</f>
        <v>k422126</v>
      </c>
      <c r="BG5284" t="str">
        <f>T("판타지 웹소설 &gt; 퓨전 판타지")</f>
        <v>판타지 웹소설 &gt; 퓨전 판타지</v>
      </c>
    </row>
    <row r="5285" spans="1:59">
      <c r="A5285" t="s">
        <v>60</v>
      </c>
      <c r="B5285" s="1">
        <v>46130</v>
      </c>
      <c r="C5285">
        <v>2378044065</v>
      </c>
      <c r="D5285">
        <v>2378070234</v>
      </c>
      <c r="E5285" t="str">
        <f>T("저승의 왕위를 계승했다 523화")</f>
        <v>저승의 왕위를 계승했다 523화</v>
      </c>
      <c r="F5285">
        <v>524</v>
      </c>
      <c r="G5285" t="str">
        <f>T("신타비")</f>
        <v>신타비</v>
      </c>
      <c r="J5285" t="str">
        <f>T("매드햇")</f>
        <v>매드햇</v>
      </c>
      <c r="K5285" t="str">
        <f>T("저승의 왕위를 계승했다")</f>
        <v>저승의 왕위를 계승했다</v>
      </c>
      <c r="L5285">
        <v>100</v>
      </c>
      <c r="M5285">
        <v>100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0</v>
      </c>
      <c r="AC5285">
        <v>0</v>
      </c>
      <c r="AD5285">
        <v>0</v>
      </c>
      <c r="AE5285">
        <v>0</v>
      </c>
      <c r="AF5285">
        <v>0</v>
      </c>
      <c r="AG5285">
        <v>0</v>
      </c>
      <c r="AH5285">
        <v>0</v>
      </c>
      <c r="AI5285">
        <v>100</v>
      </c>
      <c r="AJ5285">
        <v>1</v>
      </c>
      <c r="AK5285">
        <v>0</v>
      </c>
      <c r="AL5285">
        <v>0</v>
      </c>
      <c r="AM5285">
        <v>100</v>
      </c>
      <c r="AN5285">
        <v>0</v>
      </c>
      <c r="AO5285">
        <v>0</v>
      </c>
      <c r="AP5285">
        <v>0</v>
      </c>
      <c r="AQ5285">
        <v>0</v>
      </c>
      <c r="AS5285">
        <v>0</v>
      </c>
      <c r="AT5285">
        <v>0</v>
      </c>
      <c r="AV5285">
        <v>0</v>
      </c>
      <c r="AW5285">
        <v>0</v>
      </c>
      <c r="AY5285">
        <v>0</v>
      </c>
      <c r="AZ5285">
        <v>0</v>
      </c>
      <c r="BA5285">
        <v>70</v>
      </c>
      <c r="BE5285" t="str">
        <f>T("9791137014381")</f>
        <v>9791137014381</v>
      </c>
      <c r="BF5285" t="str">
        <f>T("k427071")</f>
        <v>k427071</v>
      </c>
      <c r="BG5285" t="str">
        <f>T("판타지 웹소설 &gt; 퓨전 판타지")</f>
        <v>판타지 웹소설 &gt; 퓨전 판타지</v>
      </c>
    </row>
    <row r="5286" spans="1:59">
      <c r="A5286" t="s">
        <v>60</v>
      </c>
      <c r="B5286" s="1">
        <v>46130</v>
      </c>
      <c r="C5286">
        <v>2378044065</v>
      </c>
      <c r="D5286">
        <v>2378070235</v>
      </c>
      <c r="E5286" t="str">
        <f>T("저승의 왕위를 계승했다 524화")</f>
        <v>저승의 왕위를 계승했다 524화</v>
      </c>
      <c r="F5286">
        <v>525</v>
      </c>
      <c r="G5286" t="str">
        <f>T("신타비")</f>
        <v>신타비</v>
      </c>
      <c r="J5286" t="str">
        <f>T("매드햇")</f>
        <v>매드햇</v>
      </c>
      <c r="K5286" t="str">
        <f>T("저승의 왕위를 계승했다")</f>
        <v>저승의 왕위를 계승했다</v>
      </c>
      <c r="L5286">
        <v>100</v>
      </c>
      <c r="M5286">
        <v>100</v>
      </c>
      <c r="N5286">
        <v>1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0</v>
      </c>
      <c r="AC5286">
        <v>0</v>
      </c>
      <c r="AD5286">
        <v>0</v>
      </c>
      <c r="AE5286">
        <v>0</v>
      </c>
      <c r="AF5286">
        <v>0</v>
      </c>
      <c r="AG5286">
        <v>0</v>
      </c>
      <c r="AH5286">
        <v>0</v>
      </c>
      <c r="AI5286">
        <v>100</v>
      </c>
      <c r="AJ5286">
        <v>1</v>
      </c>
      <c r="AK5286">
        <v>0</v>
      </c>
      <c r="AL5286">
        <v>0</v>
      </c>
      <c r="AM5286">
        <v>100</v>
      </c>
      <c r="AN5286">
        <v>0</v>
      </c>
      <c r="AO5286">
        <v>0</v>
      </c>
      <c r="AP5286">
        <v>0</v>
      </c>
      <c r="AQ5286">
        <v>0</v>
      </c>
      <c r="AS5286">
        <v>0</v>
      </c>
      <c r="AT5286">
        <v>0</v>
      </c>
      <c r="AV5286">
        <v>0</v>
      </c>
      <c r="AW5286">
        <v>0</v>
      </c>
      <c r="AY5286">
        <v>0</v>
      </c>
      <c r="AZ5286">
        <v>0</v>
      </c>
      <c r="BA5286">
        <v>70</v>
      </c>
      <c r="BE5286" t="str">
        <f>T("9791137014381")</f>
        <v>9791137014381</v>
      </c>
      <c r="BF5286" t="str">
        <f>T("k427072")</f>
        <v>k427072</v>
      </c>
      <c r="BG5286" t="str">
        <f>T("판타지 웹소설 &gt; 퓨전 판타지")</f>
        <v>판타지 웹소설 &gt; 퓨전 판타지</v>
      </c>
    </row>
    <row r="5287" spans="1:59">
      <c r="A5287" t="s">
        <v>60</v>
      </c>
      <c r="B5287" s="1">
        <v>46130</v>
      </c>
      <c r="C5287">
        <v>2378044065</v>
      </c>
      <c r="D5287">
        <v>2378070280</v>
      </c>
      <c r="E5287" t="str">
        <f>T("저승의 왕위를 계승했다 525화")</f>
        <v>저승의 왕위를 계승했다 525화</v>
      </c>
      <c r="F5287">
        <v>526</v>
      </c>
      <c r="G5287" t="str">
        <f>T("신타비")</f>
        <v>신타비</v>
      </c>
      <c r="J5287" t="str">
        <f>T("매드햇")</f>
        <v>매드햇</v>
      </c>
      <c r="K5287" t="str">
        <f>T("저승의 왕위를 계승했다")</f>
        <v>저승의 왕위를 계승했다</v>
      </c>
      <c r="L5287">
        <v>100</v>
      </c>
      <c r="M5287">
        <v>100</v>
      </c>
      <c r="N5287">
        <v>1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0</v>
      </c>
      <c r="AC5287">
        <v>0</v>
      </c>
      <c r="AD5287">
        <v>0</v>
      </c>
      <c r="AE5287">
        <v>0</v>
      </c>
      <c r="AF5287">
        <v>0</v>
      </c>
      <c r="AG5287">
        <v>0</v>
      </c>
      <c r="AH5287">
        <v>0</v>
      </c>
      <c r="AI5287">
        <v>100</v>
      </c>
      <c r="AJ5287">
        <v>1</v>
      </c>
      <c r="AK5287">
        <v>0</v>
      </c>
      <c r="AL5287">
        <v>0</v>
      </c>
      <c r="AM5287">
        <v>100</v>
      </c>
      <c r="AN5287">
        <v>0</v>
      </c>
      <c r="AO5287">
        <v>0</v>
      </c>
      <c r="AP5287">
        <v>0</v>
      </c>
      <c r="AQ5287">
        <v>0</v>
      </c>
      <c r="AS5287">
        <v>0</v>
      </c>
      <c r="AT5287">
        <v>0</v>
      </c>
      <c r="AV5287">
        <v>0</v>
      </c>
      <c r="AW5287">
        <v>0</v>
      </c>
      <c r="AY5287">
        <v>0</v>
      </c>
      <c r="AZ5287">
        <v>0</v>
      </c>
      <c r="BA5287">
        <v>70</v>
      </c>
      <c r="BE5287" t="str">
        <f>T("9791137014381")</f>
        <v>9791137014381</v>
      </c>
      <c r="BF5287" t="str">
        <f>T("k427073")</f>
        <v>k427073</v>
      </c>
      <c r="BG5287" t="str">
        <f>T("판타지 웹소설 &gt; 퓨전 판타지")</f>
        <v>판타지 웹소설 &gt; 퓨전 판타지</v>
      </c>
    </row>
    <row r="5288" spans="1:59">
      <c r="A5288" t="s">
        <v>60</v>
      </c>
      <c r="B5288" s="1">
        <v>46130</v>
      </c>
      <c r="C5288">
        <v>2378044065</v>
      </c>
      <c r="D5288">
        <v>2378070281</v>
      </c>
      <c r="E5288" t="str">
        <f>T("저승의 왕위를 계승했다 526화")</f>
        <v>저승의 왕위를 계승했다 526화</v>
      </c>
      <c r="F5288">
        <v>527</v>
      </c>
      <c r="G5288" t="str">
        <f>T("신타비")</f>
        <v>신타비</v>
      </c>
      <c r="J5288" t="str">
        <f>T("매드햇")</f>
        <v>매드햇</v>
      </c>
      <c r="K5288" t="str">
        <f>T("저승의 왕위를 계승했다")</f>
        <v>저승의 왕위를 계승했다</v>
      </c>
      <c r="L5288">
        <v>100</v>
      </c>
      <c r="M5288">
        <v>100</v>
      </c>
      <c r="N5288">
        <v>1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0</v>
      </c>
      <c r="AC5288">
        <v>0</v>
      </c>
      <c r="AD5288">
        <v>0</v>
      </c>
      <c r="AE5288">
        <v>0</v>
      </c>
      <c r="AF5288">
        <v>0</v>
      </c>
      <c r="AG5288">
        <v>0</v>
      </c>
      <c r="AH5288">
        <v>0</v>
      </c>
      <c r="AI5288">
        <v>100</v>
      </c>
      <c r="AJ5288">
        <v>1</v>
      </c>
      <c r="AK5288">
        <v>0</v>
      </c>
      <c r="AL5288">
        <v>0</v>
      </c>
      <c r="AM5288">
        <v>100</v>
      </c>
      <c r="AN5288">
        <v>0</v>
      </c>
      <c r="AO5288">
        <v>0</v>
      </c>
      <c r="AP5288">
        <v>0</v>
      </c>
      <c r="AQ5288">
        <v>0</v>
      </c>
      <c r="AS5288">
        <v>0</v>
      </c>
      <c r="AT5288">
        <v>0</v>
      </c>
      <c r="AV5288">
        <v>0</v>
      </c>
      <c r="AW5288">
        <v>0</v>
      </c>
      <c r="AY5288">
        <v>0</v>
      </c>
      <c r="AZ5288">
        <v>0</v>
      </c>
      <c r="BA5288">
        <v>70</v>
      </c>
      <c r="BE5288" t="str">
        <f>T("9791137014381")</f>
        <v>9791137014381</v>
      </c>
      <c r="BF5288" t="str">
        <f>T("k427074")</f>
        <v>k427074</v>
      </c>
      <c r="BG5288" t="str">
        <f>T("판타지 웹소설 &gt; 퓨전 판타지")</f>
        <v>판타지 웹소설 &gt; 퓨전 판타지</v>
      </c>
    </row>
    <row r="5289" spans="1:59">
      <c r="A5289" t="s">
        <v>60</v>
      </c>
      <c r="B5289" s="1">
        <v>46130</v>
      </c>
      <c r="C5289">
        <v>2378044065</v>
      </c>
      <c r="D5289">
        <v>2378070282</v>
      </c>
      <c r="E5289" t="str">
        <f>T("저승의 왕위를 계승했다 527화")</f>
        <v>저승의 왕위를 계승했다 527화</v>
      </c>
      <c r="F5289">
        <v>528</v>
      </c>
      <c r="G5289" t="str">
        <f>T("신타비")</f>
        <v>신타비</v>
      </c>
      <c r="J5289" t="str">
        <f>T("매드햇")</f>
        <v>매드햇</v>
      </c>
      <c r="K5289" t="str">
        <f>T("저승의 왕위를 계승했다")</f>
        <v>저승의 왕위를 계승했다</v>
      </c>
      <c r="L5289">
        <v>100</v>
      </c>
      <c r="M5289">
        <v>100</v>
      </c>
      <c r="N5289">
        <v>1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0</v>
      </c>
      <c r="AC5289">
        <v>0</v>
      </c>
      <c r="AD5289">
        <v>0</v>
      </c>
      <c r="AE5289">
        <v>0</v>
      </c>
      <c r="AF5289">
        <v>0</v>
      </c>
      <c r="AG5289">
        <v>0</v>
      </c>
      <c r="AH5289">
        <v>0</v>
      </c>
      <c r="AI5289">
        <v>100</v>
      </c>
      <c r="AJ5289">
        <v>1</v>
      </c>
      <c r="AK5289">
        <v>0</v>
      </c>
      <c r="AL5289">
        <v>0</v>
      </c>
      <c r="AM5289">
        <v>100</v>
      </c>
      <c r="AN5289">
        <v>0</v>
      </c>
      <c r="AO5289">
        <v>0</v>
      </c>
      <c r="AP5289">
        <v>0</v>
      </c>
      <c r="AQ5289">
        <v>0</v>
      </c>
      <c r="AS5289">
        <v>0</v>
      </c>
      <c r="AT5289">
        <v>0</v>
      </c>
      <c r="AV5289">
        <v>0</v>
      </c>
      <c r="AW5289">
        <v>0</v>
      </c>
      <c r="AY5289">
        <v>0</v>
      </c>
      <c r="AZ5289">
        <v>0</v>
      </c>
      <c r="BA5289">
        <v>70</v>
      </c>
      <c r="BE5289" t="str">
        <f>T("9791137014381")</f>
        <v>9791137014381</v>
      </c>
      <c r="BF5289" t="str">
        <f>T("k429545")</f>
        <v>k429545</v>
      </c>
      <c r="BG5289" t="str">
        <f>T("판타지 웹소설 &gt; 퓨전 판타지")</f>
        <v>판타지 웹소설 &gt; 퓨전 판타지</v>
      </c>
    </row>
    <row r="5290" spans="1:59">
      <c r="A5290" t="s">
        <v>60</v>
      </c>
      <c r="B5290" s="1">
        <v>46130</v>
      </c>
      <c r="C5290">
        <v>2378044065</v>
      </c>
      <c r="D5290">
        <v>2378070296</v>
      </c>
      <c r="E5290" t="str">
        <f>T("저승의 왕위를 계승했다 528화")</f>
        <v>저승의 왕위를 계승했다 528화</v>
      </c>
      <c r="F5290">
        <v>529</v>
      </c>
      <c r="G5290" t="str">
        <f>T("신타비")</f>
        <v>신타비</v>
      </c>
      <c r="J5290" t="str">
        <f>T("매드햇")</f>
        <v>매드햇</v>
      </c>
      <c r="K5290" t="str">
        <f>T("저승의 왕위를 계승했다")</f>
        <v>저승의 왕위를 계승했다</v>
      </c>
      <c r="L5290">
        <v>100</v>
      </c>
      <c r="M5290">
        <v>100</v>
      </c>
      <c r="N5290">
        <v>1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0</v>
      </c>
      <c r="AC5290">
        <v>0</v>
      </c>
      <c r="AD5290">
        <v>0</v>
      </c>
      <c r="AE5290">
        <v>0</v>
      </c>
      <c r="AF5290">
        <v>0</v>
      </c>
      <c r="AG5290">
        <v>0</v>
      </c>
      <c r="AH5290">
        <v>0</v>
      </c>
      <c r="AI5290">
        <v>100</v>
      </c>
      <c r="AJ5290">
        <v>1</v>
      </c>
      <c r="AK5290">
        <v>0</v>
      </c>
      <c r="AL5290">
        <v>0</v>
      </c>
      <c r="AM5290">
        <v>100</v>
      </c>
      <c r="AN5290">
        <v>0</v>
      </c>
      <c r="AO5290">
        <v>0</v>
      </c>
      <c r="AP5290">
        <v>0</v>
      </c>
      <c r="AQ5290">
        <v>0</v>
      </c>
      <c r="AS5290">
        <v>0</v>
      </c>
      <c r="AT5290">
        <v>0</v>
      </c>
      <c r="AV5290">
        <v>0</v>
      </c>
      <c r="AW5290">
        <v>0</v>
      </c>
      <c r="AY5290">
        <v>0</v>
      </c>
      <c r="AZ5290">
        <v>0</v>
      </c>
      <c r="BA5290">
        <v>70</v>
      </c>
      <c r="BE5290" t="str">
        <f>T("9791137014381")</f>
        <v>9791137014381</v>
      </c>
      <c r="BF5290" t="str">
        <f>T("k429546")</f>
        <v>k429546</v>
      </c>
      <c r="BG5290" t="str">
        <f>T("판타지 웹소설 &gt; 퓨전 판타지")</f>
        <v>판타지 웹소설 &gt; 퓨전 판타지</v>
      </c>
    </row>
    <row r="5291" spans="1:59">
      <c r="A5291" t="s">
        <v>60</v>
      </c>
      <c r="B5291" s="1">
        <v>46130</v>
      </c>
      <c r="C5291">
        <v>2378044065</v>
      </c>
      <c r="D5291">
        <v>2378070297</v>
      </c>
      <c r="E5291" t="str">
        <f>T("저승의 왕위를 계승했다 529화")</f>
        <v>저승의 왕위를 계승했다 529화</v>
      </c>
      <c r="F5291">
        <v>530</v>
      </c>
      <c r="G5291" t="str">
        <f>T("신타비")</f>
        <v>신타비</v>
      </c>
      <c r="J5291" t="str">
        <f>T("매드햇")</f>
        <v>매드햇</v>
      </c>
      <c r="K5291" t="str">
        <f>T("저승의 왕위를 계승했다")</f>
        <v>저승의 왕위를 계승했다</v>
      </c>
      <c r="L5291">
        <v>100</v>
      </c>
      <c r="M5291">
        <v>100</v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0</v>
      </c>
      <c r="AC5291">
        <v>0</v>
      </c>
      <c r="AD5291">
        <v>0</v>
      </c>
      <c r="AE5291">
        <v>0</v>
      </c>
      <c r="AF5291">
        <v>0</v>
      </c>
      <c r="AG5291">
        <v>0</v>
      </c>
      <c r="AH5291">
        <v>0</v>
      </c>
      <c r="AI5291">
        <v>100</v>
      </c>
      <c r="AJ5291">
        <v>1</v>
      </c>
      <c r="AK5291">
        <v>0</v>
      </c>
      <c r="AL5291">
        <v>0</v>
      </c>
      <c r="AM5291">
        <v>100</v>
      </c>
      <c r="AN5291">
        <v>0</v>
      </c>
      <c r="AO5291">
        <v>0</v>
      </c>
      <c r="AP5291">
        <v>0</v>
      </c>
      <c r="AQ5291">
        <v>0</v>
      </c>
      <c r="AS5291">
        <v>0</v>
      </c>
      <c r="AT5291">
        <v>0</v>
      </c>
      <c r="AV5291">
        <v>0</v>
      </c>
      <c r="AW5291">
        <v>0</v>
      </c>
      <c r="AY5291">
        <v>0</v>
      </c>
      <c r="AZ5291">
        <v>0</v>
      </c>
      <c r="BA5291">
        <v>70</v>
      </c>
      <c r="BE5291" t="str">
        <f>T("9791137014381")</f>
        <v>9791137014381</v>
      </c>
      <c r="BF5291" t="str">
        <f>T("k429547")</f>
        <v>k429547</v>
      </c>
      <c r="BG5291" t="str">
        <f>T("판타지 웹소설 &gt; 퓨전 판타지")</f>
        <v>판타지 웹소설 &gt; 퓨전 판타지</v>
      </c>
    </row>
    <row r="5292" spans="1:59">
      <c r="A5292" t="s">
        <v>60</v>
      </c>
      <c r="B5292" s="1">
        <v>46130</v>
      </c>
      <c r="C5292">
        <v>2378044065</v>
      </c>
      <c r="D5292">
        <v>2378070317</v>
      </c>
      <c r="E5292" t="str">
        <f>T("저승의 왕위를 계승했다 530화")</f>
        <v>저승의 왕위를 계승했다 530화</v>
      </c>
      <c r="F5292">
        <v>531</v>
      </c>
      <c r="G5292" t="str">
        <f>T("신타비")</f>
        <v>신타비</v>
      </c>
      <c r="J5292" t="str">
        <f>T("매드햇")</f>
        <v>매드햇</v>
      </c>
      <c r="K5292" t="str">
        <f>T("저승의 왕위를 계승했다")</f>
        <v>저승의 왕위를 계승했다</v>
      </c>
      <c r="L5292">
        <v>100</v>
      </c>
      <c r="M5292">
        <v>100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0</v>
      </c>
      <c r="AC5292">
        <v>0</v>
      </c>
      <c r="AD5292">
        <v>0</v>
      </c>
      <c r="AE5292">
        <v>0</v>
      </c>
      <c r="AF5292">
        <v>0</v>
      </c>
      <c r="AG5292">
        <v>0</v>
      </c>
      <c r="AH5292">
        <v>0</v>
      </c>
      <c r="AI5292">
        <v>100</v>
      </c>
      <c r="AJ5292">
        <v>1</v>
      </c>
      <c r="AK5292">
        <v>0</v>
      </c>
      <c r="AL5292">
        <v>0</v>
      </c>
      <c r="AM5292">
        <v>100</v>
      </c>
      <c r="AN5292">
        <v>0</v>
      </c>
      <c r="AO5292">
        <v>0</v>
      </c>
      <c r="AP5292">
        <v>0</v>
      </c>
      <c r="AQ5292">
        <v>0</v>
      </c>
      <c r="AS5292">
        <v>0</v>
      </c>
      <c r="AT5292">
        <v>0</v>
      </c>
      <c r="AV5292">
        <v>0</v>
      </c>
      <c r="AW5292">
        <v>0</v>
      </c>
      <c r="AY5292">
        <v>0</v>
      </c>
      <c r="AZ5292">
        <v>0</v>
      </c>
      <c r="BA5292">
        <v>70</v>
      </c>
      <c r="BE5292" t="str">
        <f>T("9791137014381")</f>
        <v>9791137014381</v>
      </c>
      <c r="BF5292" t="str">
        <f>T("k429548")</f>
        <v>k429548</v>
      </c>
      <c r="BG5292" t="str">
        <f>T("판타지 웹소설 &gt; 퓨전 판타지")</f>
        <v>판타지 웹소설 &gt; 퓨전 판타지</v>
      </c>
    </row>
    <row r="5293" spans="1:59">
      <c r="A5293" t="s">
        <v>60</v>
      </c>
      <c r="B5293" s="1">
        <v>46130</v>
      </c>
      <c r="C5293">
        <v>2378044065</v>
      </c>
      <c r="D5293">
        <v>2378070318</v>
      </c>
      <c r="E5293" t="str">
        <f>T("저승의 왕위를 계승했다 531화")</f>
        <v>저승의 왕위를 계승했다 531화</v>
      </c>
      <c r="F5293">
        <v>532</v>
      </c>
      <c r="G5293" t="str">
        <f>T("신타비")</f>
        <v>신타비</v>
      </c>
      <c r="J5293" t="str">
        <f>T("매드햇")</f>
        <v>매드햇</v>
      </c>
      <c r="K5293" t="str">
        <f>T("저승의 왕위를 계승했다")</f>
        <v>저승의 왕위를 계승했다</v>
      </c>
      <c r="L5293">
        <v>100</v>
      </c>
      <c r="M5293">
        <v>100</v>
      </c>
      <c r="N5293">
        <v>1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0</v>
      </c>
      <c r="AC5293">
        <v>0</v>
      </c>
      <c r="AD5293">
        <v>0</v>
      </c>
      <c r="AE5293">
        <v>0</v>
      </c>
      <c r="AF5293">
        <v>0</v>
      </c>
      <c r="AG5293">
        <v>0</v>
      </c>
      <c r="AH5293">
        <v>0</v>
      </c>
      <c r="AI5293">
        <v>100</v>
      </c>
      <c r="AJ5293">
        <v>1</v>
      </c>
      <c r="AK5293">
        <v>0</v>
      </c>
      <c r="AL5293">
        <v>0</v>
      </c>
      <c r="AM5293">
        <v>100</v>
      </c>
      <c r="AN5293">
        <v>0</v>
      </c>
      <c r="AO5293">
        <v>0</v>
      </c>
      <c r="AP5293">
        <v>0</v>
      </c>
      <c r="AQ5293">
        <v>0</v>
      </c>
      <c r="AS5293">
        <v>0</v>
      </c>
      <c r="AT5293">
        <v>0</v>
      </c>
      <c r="AV5293">
        <v>0</v>
      </c>
      <c r="AW5293">
        <v>0</v>
      </c>
      <c r="AY5293">
        <v>0</v>
      </c>
      <c r="AZ5293">
        <v>0</v>
      </c>
      <c r="BA5293">
        <v>70</v>
      </c>
      <c r="BE5293" t="str">
        <f>T("9791137014381")</f>
        <v>9791137014381</v>
      </c>
      <c r="BF5293" t="str">
        <f>T("k434412")</f>
        <v>k434412</v>
      </c>
      <c r="BG5293" t="str">
        <f>T("판타지 웹소설 &gt; 퓨전 판타지")</f>
        <v>판타지 웹소설 &gt; 퓨전 판타지</v>
      </c>
    </row>
    <row r="5294" spans="1:59">
      <c r="A5294" t="s">
        <v>60</v>
      </c>
      <c r="B5294" s="1">
        <v>46130</v>
      </c>
      <c r="C5294">
        <v>2378044065</v>
      </c>
      <c r="D5294">
        <v>2378070352</v>
      </c>
      <c r="E5294" t="str">
        <f>T("저승의 왕위를 계승했다 532화")</f>
        <v>저승의 왕위를 계승했다 532화</v>
      </c>
      <c r="F5294">
        <v>533</v>
      </c>
      <c r="G5294" t="str">
        <f>T("신타비")</f>
        <v>신타비</v>
      </c>
      <c r="J5294" t="str">
        <f>T("매드햇")</f>
        <v>매드햇</v>
      </c>
      <c r="K5294" t="str">
        <f>T("저승의 왕위를 계승했다")</f>
        <v>저승의 왕위를 계승했다</v>
      </c>
      <c r="L5294">
        <v>100</v>
      </c>
      <c r="M5294">
        <v>100</v>
      </c>
      <c r="N5294">
        <v>1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0</v>
      </c>
      <c r="AC5294">
        <v>0</v>
      </c>
      <c r="AD5294">
        <v>0</v>
      </c>
      <c r="AE5294">
        <v>0</v>
      </c>
      <c r="AF5294">
        <v>0</v>
      </c>
      <c r="AG5294">
        <v>0</v>
      </c>
      <c r="AH5294">
        <v>0</v>
      </c>
      <c r="AI5294">
        <v>100</v>
      </c>
      <c r="AJ5294">
        <v>1</v>
      </c>
      <c r="AK5294">
        <v>0</v>
      </c>
      <c r="AL5294">
        <v>0</v>
      </c>
      <c r="AM5294">
        <v>100</v>
      </c>
      <c r="AN5294">
        <v>0</v>
      </c>
      <c r="AO5294">
        <v>0</v>
      </c>
      <c r="AP5294">
        <v>0</v>
      </c>
      <c r="AQ5294">
        <v>0</v>
      </c>
      <c r="AS5294">
        <v>0</v>
      </c>
      <c r="AT5294">
        <v>0</v>
      </c>
      <c r="AV5294">
        <v>0</v>
      </c>
      <c r="AW5294">
        <v>0</v>
      </c>
      <c r="AY5294">
        <v>0</v>
      </c>
      <c r="AZ5294">
        <v>0</v>
      </c>
      <c r="BA5294">
        <v>70</v>
      </c>
      <c r="BE5294" t="str">
        <f>T("9791137014381")</f>
        <v>9791137014381</v>
      </c>
      <c r="BF5294" t="str">
        <f>T("k434413")</f>
        <v>k434413</v>
      </c>
      <c r="BG5294" t="str">
        <f>T("판타지 웹소설 &gt; 퓨전 판타지")</f>
        <v>판타지 웹소설 &gt; 퓨전 판타지</v>
      </c>
    </row>
    <row r="5295" spans="1:59">
      <c r="A5295" t="s">
        <v>60</v>
      </c>
      <c r="B5295" s="1">
        <v>46130</v>
      </c>
      <c r="C5295">
        <v>2378044065</v>
      </c>
      <c r="D5295">
        <v>2378070845</v>
      </c>
      <c r="E5295" t="str">
        <f>T("저승의 왕위를 계승했다 533화")</f>
        <v>저승의 왕위를 계승했다 533화</v>
      </c>
      <c r="F5295">
        <v>534</v>
      </c>
      <c r="G5295" t="str">
        <f>T("신타비")</f>
        <v>신타비</v>
      </c>
      <c r="J5295" t="str">
        <f>T("매드햇")</f>
        <v>매드햇</v>
      </c>
      <c r="K5295" t="str">
        <f>T("저승의 왕위를 계승했다")</f>
        <v>저승의 왕위를 계승했다</v>
      </c>
      <c r="L5295">
        <v>100</v>
      </c>
      <c r="M5295">
        <v>100</v>
      </c>
      <c r="N5295">
        <v>1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0</v>
      </c>
      <c r="AC5295">
        <v>0</v>
      </c>
      <c r="AD5295">
        <v>0</v>
      </c>
      <c r="AE5295">
        <v>0</v>
      </c>
      <c r="AF5295">
        <v>0</v>
      </c>
      <c r="AG5295">
        <v>0</v>
      </c>
      <c r="AH5295">
        <v>0</v>
      </c>
      <c r="AI5295">
        <v>100</v>
      </c>
      <c r="AJ5295">
        <v>1</v>
      </c>
      <c r="AK5295">
        <v>0</v>
      </c>
      <c r="AL5295">
        <v>0</v>
      </c>
      <c r="AM5295">
        <v>100</v>
      </c>
      <c r="AN5295">
        <v>0</v>
      </c>
      <c r="AO5295">
        <v>0</v>
      </c>
      <c r="AP5295">
        <v>0</v>
      </c>
      <c r="AQ5295">
        <v>0</v>
      </c>
      <c r="AS5295">
        <v>0</v>
      </c>
      <c r="AT5295">
        <v>0</v>
      </c>
      <c r="AV5295">
        <v>0</v>
      </c>
      <c r="AW5295">
        <v>0</v>
      </c>
      <c r="AY5295">
        <v>0</v>
      </c>
      <c r="AZ5295">
        <v>0</v>
      </c>
      <c r="BA5295">
        <v>70</v>
      </c>
      <c r="BE5295" t="str">
        <f>T("9791137014381")</f>
        <v>9791137014381</v>
      </c>
      <c r="BF5295" t="str">
        <f>T("k434414")</f>
        <v>k434414</v>
      </c>
      <c r="BG5295" t="str">
        <f>T("판타지 웹소설 &gt; 퓨전 판타지")</f>
        <v>판타지 웹소설 &gt; 퓨전 판타지</v>
      </c>
    </row>
    <row r="5296" spans="1:59">
      <c r="A5296" t="s">
        <v>60</v>
      </c>
      <c r="B5296" s="1">
        <v>46130</v>
      </c>
      <c r="C5296">
        <v>2378044065</v>
      </c>
      <c r="D5296">
        <v>2378070864</v>
      </c>
      <c r="E5296" t="str">
        <f>T("저승의 왕위를 계승했다 534화")</f>
        <v>저승의 왕위를 계승했다 534화</v>
      </c>
      <c r="F5296">
        <v>535</v>
      </c>
      <c r="G5296" t="str">
        <f>T("신타비")</f>
        <v>신타비</v>
      </c>
      <c r="J5296" t="str">
        <f>T("매드햇")</f>
        <v>매드햇</v>
      </c>
      <c r="K5296" t="str">
        <f>T("저승의 왕위를 계승했다")</f>
        <v>저승의 왕위를 계승했다</v>
      </c>
      <c r="L5296">
        <v>100</v>
      </c>
      <c r="M5296">
        <v>100</v>
      </c>
      <c r="N5296">
        <v>1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0</v>
      </c>
      <c r="AC5296">
        <v>0</v>
      </c>
      <c r="AD5296">
        <v>0</v>
      </c>
      <c r="AE5296">
        <v>0</v>
      </c>
      <c r="AF5296">
        <v>0</v>
      </c>
      <c r="AG5296">
        <v>0</v>
      </c>
      <c r="AH5296">
        <v>0</v>
      </c>
      <c r="AI5296">
        <v>100</v>
      </c>
      <c r="AJ5296">
        <v>1</v>
      </c>
      <c r="AK5296">
        <v>0</v>
      </c>
      <c r="AL5296">
        <v>0</v>
      </c>
      <c r="AM5296">
        <v>100</v>
      </c>
      <c r="AN5296">
        <v>0</v>
      </c>
      <c r="AO5296">
        <v>0</v>
      </c>
      <c r="AP5296">
        <v>0</v>
      </c>
      <c r="AQ5296">
        <v>0</v>
      </c>
      <c r="AS5296">
        <v>0</v>
      </c>
      <c r="AT5296">
        <v>0</v>
      </c>
      <c r="AV5296">
        <v>0</v>
      </c>
      <c r="AW5296">
        <v>0</v>
      </c>
      <c r="AY5296">
        <v>0</v>
      </c>
      <c r="AZ5296">
        <v>0</v>
      </c>
      <c r="BA5296">
        <v>70</v>
      </c>
      <c r="BE5296" t="str">
        <f>T("9791137014381")</f>
        <v>9791137014381</v>
      </c>
      <c r="BF5296" t="str">
        <f>T("k434415")</f>
        <v>k434415</v>
      </c>
      <c r="BG5296" t="str">
        <f>T("판타지 웹소설 &gt; 퓨전 판타지")</f>
        <v>판타지 웹소설 &gt; 퓨전 판타지</v>
      </c>
    </row>
    <row r="5297" spans="1:59">
      <c r="A5297" t="s">
        <v>60</v>
      </c>
      <c r="B5297" s="1">
        <v>46130</v>
      </c>
      <c r="C5297">
        <v>2378044065</v>
      </c>
      <c r="D5297">
        <v>2378070872</v>
      </c>
      <c r="E5297" t="str">
        <f>T("저승의 왕위를 계승했다 535화")</f>
        <v>저승의 왕위를 계승했다 535화</v>
      </c>
      <c r="F5297">
        <v>536</v>
      </c>
      <c r="G5297" t="str">
        <f>T("신타비")</f>
        <v>신타비</v>
      </c>
      <c r="J5297" t="str">
        <f>T("매드햇")</f>
        <v>매드햇</v>
      </c>
      <c r="K5297" t="str">
        <f>T("저승의 왕위를 계승했다")</f>
        <v>저승의 왕위를 계승했다</v>
      </c>
      <c r="L5297">
        <v>100</v>
      </c>
      <c r="M5297">
        <v>100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0</v>
      </c>
      <c r="AC5297">
        <v>0</v>
      </c>
      <c r="AD5297">
        <v>0</v>
      </c>
      <c r="AE5297">
        <v>0</v>
      </c>
      <c r="AF5297">
        <v>0</v>
      </c>
      <c r="AG5297">
        <v>0</v>
      </c>
      <c r="AH5297">
        <v>0</v>
      </c>
      <c r="AI5297">
        <v>100</v>
      </c>
      <c r="AJ5297">
        <v>1</v>
      </c>
      <c r="AK5297">
        <v>0</v>
      </c>
      <c r="AL5297">
        <v>0</v>
      </c>
      <c r="AM5297">
        <v>100</v>
      </c>
      <c r="AN5297">
        <v>0</v>
      </c>
      <c r="AO5297">
        <v>0</v>
      </c>
      <c r="AP5297">
        <v>0</v>
      </c>
      <c r="AQ5297">
        <v>0</v>
      </c>
      <c r="AS5297">
        <v>0</v>
      </c>
      <c r="AT5297">
        <v>0</v>
      </c>
      <c r="AV5297">
        <v>0</v>
      </c>
      <c r="AW5297">
        <v>0</v>
      </c>
      <c r="AY5297">
        <v>0</v>
      </c>
      <c r="AZ5297">
        <v>0</v>
      </c>
      <c r="BA5297">
        <v>70</v>
      </c>
      <c r="BE5297" t="str">
        <f>T("9791137014381")</f>
        <v>9791137014381</v>
      </c>
      <c r="BF5297" t="str">
        <f>T("k440269")</f>
        <v>k440269</v>
      </c>
      <c r="BG5297" t="str">
        <f>T("판타지 웹소설 &gt; 퓨전 판타지")</f>
        <v>판타지 웹소설 &gt; 퓨전 판타지</v>
      </c>
    </row>
    <row r="5298" spans="1:59">
      <c r="A5298" t="s">
        <v>60</v>
      </c>
      <c r="B5298" s="1">
        <v>46130</v>
      </c>
      <c r="C5298">
        <v>2378044065</v>
      </c>
      <c r="D5298">
        <v>2378070874</v>
      </c>
      <c r="E5298" t="str">
        <f>T("저승의 왕위를 계승했다 536화")</f>
        <v>저승의 왕위를 계승했다 536화</v>
      </c>
      <c r="F5298">
        <v>537</v>
      </c>
      <c r="G5298" t="str">
        <f>T("신타비")</f>
        <v>신타비</v>
      </c>
      <c r="J5298" t="str">
        <f>T("매드햇")</f>
        <v>매드햇</v>
      </c>
      <c r="K5298" t="str">
        <f>T("저승의 왕위를 계승했다")</f>
        <v>저승의 왕위를 계승했다</v>
      </c>
      <c r="L5298">
        <v>100</v>
      </c>
      <c r="M5298">
        <v>100</v>
      </c>
      <c r="N5298">
        <v>1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0</v>
      </c>
      <c r="AC5298">
        <v>0</v>
      </c>
      <c r="AD5298">
        <v>0</v>
      </c>
      <c r="AE5298">
        <v>0</v>
      </c>
      <c r="AF5298">
        <v>0</v>
      </c>
      <c r="AG5298">
        <v>0</v>
      </c>
      <c r="AH5298">
        <v>0</v>
      </c>
      <c r="AI5298">
        <v>100</v>
      </c>
      <c r="AJ5298">
        <v>1</v>
      </c>
      <c r="AK5298">
        <v>0</v>
      </c>
      <c r="AL5298">
        <v>0</v>
      </c>
      <c r="AM5298">
        <v>100</v>
      </c>
      <c r="AN5298">
        <v>0</v>
      </c>
      <c r="AO5298">
        <v>0</v>
      </c>
      <c r="AP5298">
        <v>0</v>
      </c>
      <c r="AQ5298">
        <v>0</v>
      </c>
      <c r="AS5298">
        <v>0</v>
      </c>
      <c r="AT5298">
        <v>0</v>
      </c>
      <c r="AV5298">
        <v>0</v>
      </c>
      <c r="AW5298">
        <v>0</v>
      </c>
      <c r="AY5298">
        <v>0</v>
      </c>
      <c r="AZ5298">
        <v>0</v>
      </c>
      <c r="BA5298">
        <v>70</v>
      </c>
      <c r="BE5298" t="str">
        <f>T("9791137014381")</f>
        <v>9791137014381</v>
      </c>
      <c r="BF5298" t="str">
        <f>T("k440270")</f>
        <v>k440270</v>
      </c>
      <c r="BG5298" t="str">
        <f>T("판타지 웹소설 &gt; 퓨전 판타지")</f>
        <v>판타지 웹소설 &gt; 퓨전 판타지</v>
      </c>
    </row>
    <row r="5299" spans="1:59">
      <c r="A5299" t="s">
        <v>60</v>
      </c>
      <c r="B5299" s="1">
        <v>46130</v>
      </c>
      <c r="C5299">
        <v>2378044065</v>
      </c>
      <c r="D5299">
        <v>2378070897</v>
      </c>
      <c r="E5299" t="str">
        <f>T("저승의 왕위를 계승했다 537화")</f>
        <v>저승의 왕위를 계승했다 537화</v>
      </c>
      <c r="F5299">
        <v>538</v>
      </c>
      <c r="G5299" t="str">
        <f>T("신타비")</f>
        <v>신타비</v>
      </c>
      <c r="J5299" t="str">
        <f>T("매드햇")</f>
        <v>매드햇</v>
      </c>
      <c r="K5299" t="str">
        <f>T("저승의 왕위를 계승했다")</f>
        <v>저승의 왕위를 계승했다</v>
      </c>
      <c r="L5299">
        <v>100</v>
      </c>
      <c r="M5299">
        <v>100</v>
      </c>
      <c r="N5299">
        <v>1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0</v>
      </c>
      <c r="AC5299">
        <v>0</v>
      </c>
      <c r="AD5299">
        <v>0</v>
      </c>
      <c r="AE5299">
        <v>0</v>
      </c>
      <c r="AF5299">
        <v>0</v>
      </c>
      <c r="AG5299">
        <v>0</v>
      </c>
      <c r="AH5299">
        <v>0</v>
      </c>
      <c r="AI5299">
        <v>100</v>
      </c>
      <c r="AJ5299">
        <v>1</v>
      </c>
      <c r="AK5299">
        <v>0</v>
      </c>
      <c r="AL5299">
        <v>0</v>
      </c>
      <c r="AM5299">
        <v>100</v>
      </c>
      <c r="AN5299">
        <v>0</v>
      </c>
      <c r="AO5299">
        <v>0</v>
      </c>
      <c r="AP5299">
        <v>0</v>
      </c>
      <c r="AQ5299">
        <v>0</v>
      </c>
      <c r="AS5299">
        <v>0</v>
      </c>
      <c r="AT5299">
        <v>0</v>
      </c>
      <c r="AV5299">
        <v>0</v>
      </c>
      <c r="AW5299">
        <v>0</v>
      </c>
      <c r="AY5299">
        <v>0</v>
      </c>
      <c r="AZ5299">
        <v>0</v>
      </c>
      <c r="BA5299">
        <v>70</v>
      </c>
      <c r="BE5299" t="str">
        <f>T("9791137014381")</f>
        <v>9791137014381</v>
      </c>
      <c r="BF5299" t="str">
        <f>T("k440271")</f>
        <v>k440271</v>
      </c>
      <c r="BG5299" t="str">
        <f>T("판타지 웹소설 &gt; 퓨전 판타지")</f>
        <v>판타지 웹소설 &gt; 퓨전 판타지</v>
      </c>
    </row>
    <row r="5300" spans="1:59">
      <c r="A5300" t="s">
        <v>60</v>
      </c>
      <c r="B5300" s="1">
        <v>46130</v>
      </c>
      <c r="C5300">
        <v>2378044065</v>
      </c>
      <c r="D5300">
        <v>2378070898</v>
      </c>
      <c r="E5300" t="str">
        <f>T("저승의 왕위를 계승했다 538화")</f>
        <v>저승의 왕위를 계승했다 538화</v>
      </c>
      <c r="F5300">
        <v>539</v>
      </c>
      <c r="G5300" t="str">
        <f>T("신타비")</f>
        <v>신타비</v>
      </c>
      <c r="J5300" t="str">
        <f>T("매드햇")</f>
        <v>매드햇</v>
      </c>
      <c r="K5300" t="str">
        <f>T("저승의 왕위를 계승했다")</f>
        <v>저승의 왕위를 계승했다</v>
      </c>
      <c r="L5300">
        <v>100</v>
      </c>
      <c r="M5300">
        <v>100</v>
      </c>
      <c r="N5300">
        <v>1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0</v>
      </c>
      <c r="AC5300">
        <v>0</v>
      </c>
      <c r="AD5300">
        <v>0</v>
      </c>
      <c r="AE5300">
        <v>0</v>
      </c>
      <c r="AF5300">
        <v>0</v>
      </c>
      <c r="AG5300">
        <v>0</v>
      </c>
      <c r="AH5300">
        <v>0</v>
      </c>
      <c r="AI5300">
        <v>100</v>
      </c>
      <c r="AJ5300">
        <v>1</v>
      </c>
      <c r="AK5300">
        <v>0</v>
      </c>
      <c r="AL5300">
        <v>0</v>
      </c>
      <c r="AM5300">
        <v>100</v>
      </c>
      <c r="AN5300">
        <v>0</v>
      </c>
      <c r="AO5300">
        <v>0</v>
      </c>
      <c r="AP5300">
        <v>0</v>
      </c>
      <c r="AQ5300">
        <v>0</v>
      </c>
      <c r="AS5300">
        <v>0</v>
      </c>
      <c r="AT5300">
        <v>0</v>
      </c>
      <c r="AV5300">
        <v>0</v>
      </c>
      <c r="AW5300">
        <v>0</v>
      </c>
      <c r="AY5300">
        <v>0</v>
      </c>
      <c r="AZ5300">
        <v>0</v>
      </c>
      <c r="BA5300">
        <v>70</v>
      </c>
      <c r="BE5300" t="str">
        <f>T("9791137014381")</f>
        <v>9791137014381</v>
      </c>
      <c r="BF5300" t="str">
        <f>T("k440272")</f>
        <v>k440272</v>
      </c>
      <c r="BG5300" t="str">
        <f>T("판타지 웹소설 &gt; 퓨전 판타지")</f>
        <v>판타지 웹소설 &gt; 퓨전 판타지</v>
      </c>
    </row>
    <row r="5301" spans="1:59">
      <c r="A5301" t="s">
        <v>60</v>
      </c>
      <c r="B5301" s="1">
        <v>46130</v>
      </c>
      <c r="C5301">
        <v>2378044065</v>
      </c>
      <c r="D5301">
        <v>2378070917</v>
      </c>
      <c r="E5301" t="str">
        <f>T("저승의 왕위를 계승했다 539화")</f>
        <v>저승의 왕위를 계승했다 539화</v>
      </c>
      <c r="F5301">
        <v>540</v>
      </c>
      <c r="G5301" t="str">
        <f>T("신타비")</f>
        <v>신타비</v>
      </c>
      <c r="J5301" t="str">
        <f>T("매드햇")</f>
        <v>매드햇</v>
      </c>
      <c r="K5301" t="str">
        <f>T("저승의 왕위를 계승했다")</f>
        <v>저승의 왕위를 계승했다</v>
      </c>
      <c r="L5301">
        <v>100</v>
      </c>
      <c r="M5301">
        <v>100</v>
      </c>
      <c r="N5301">
        <v>1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0</v>
      </c>
      <c r="AC5301">
        <v>0</v>
      </c>
      <c r="AD5301">
        <v>0</v>
      </c>
      <c r="AE5301">
        <v>0</v>
      </c>
      <c r="AF5301">
        <v>0</v>
      </c>
      <c r="AG5301">
        <v>0</v>
      </c>
      <c r="AH5301">
        <v>0</v>
      </c>
      <c r="AI5301">
        <v>100</v>
      </c>
      <c r="AJ5301">
        <v>1</v>
      </c>
      <c r="AK5301">
        <v>0</v>
      </c>
      <c r="AL5301">
        <v>0</v>
      </c>
      <c r="AM5301">
        <v>100</v>
      </c>
      <c r="AN5301">
        <v>0</v>
      </c>
      <c r="AO5301">
        <v>0</v>
      </c>
      <c r="AP5301">
        <v>0</v>
      </c>
      <c r="AQ5301">
        <v>0</v>
      </c>
      <c r="AS5301">
        <v>0</v>
      </c>
      <c r="AT5301">
        <v>0</v>
      </c>
      <c r="AV5301">
        <v>0</v>
      </c>
      <c r="AW5301">
        <v>0</v>
      </c>
      <c r="AY5301">
        <v>0</v>
      </c>
      <c r="AZ5301">
        <v>0</v>
      </c>
      <c r="BA5301">
        <v>70</v>
      </c>
      <c r="BE5301" t="str">
        <f>T("9791137014381")</f>
        <v>9791137014381</v>
      </c>
      <c r="BF5301" t="str">
        <f>T("k441804")</f>
        <v>k441804</v>
      </c>
      <c r="BG5301" t="str">
        <f>T("판타지 웹소설 &gt; 퓨전 판타지")</f>
        <v>판타지 웹소설 &gt; 퓨전 판타지</v>
      </c>
    </row>
    <row r="5302" spans="1:59">
      <c r="A5302" t="s">
        <v>60</v>
      </c>
      <c r="B5302" s="1">
        <v>46130</v>
      </c>
      <c r="C5302">
        <v>2378044065</v>
      </c>
      <c r="D5302">
        <v>2378070940</v>
      </c>
      <c r="E5302" t="str">
        <f>T("저승의 왕위를 계승했다 540화")</f>
        <v>저승의 왕위를 계승했다 540화</v>
      </c>
      <c r="F5302">
        <v>541</v>
      </c>
      <c r="G5302" t="str">
        <f>T("신타비")</f>
        <v>신타비</v>
      </c>
      <c r="J5302" t="str">
        <f>T("매드햇")</f>
        <v>매드햇</v>
      </c>
      <c r="K5302" t="str">
        <f>T("저승의 왕위를 계승했다")</f>
        <v>저승의 왕위를 계승했다</v>
      </c>
      <c r="L5302">
        <v>100</v>
      </c>
      <c r="M5302">
        <v>100</v>
      </c>
      <c r="N5302">
        <v>1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0</v>
      </c>
      <c r="AC5302">
        <v>0</v>
      </c>
      <c r="AD5302">
        <v>0</v>
      </c>
      <c r="AE5302">
        <v>0</v>
      </c>
      <c r="AF5302">
        <v>0</v>
      </c>
      <c r="AG5302">
        <v>0</v>
      </c>
      <c r="AH5302">
        <v>0</v>
      </c>
      <c r="AI5302">
        <v>100</v>
      </c>
      <c r="AJ5302">
        <v>1</v>
      </c>
      <c r="AK5302">
        <v>0</v>
      </c>
      <c r="AL5302">
        <v>0</v>
      </c>
      <c r="AM5302">
        <v>100</v>
      </c>
      <c r="AN5302">
        <v>0</v>
      </c>
      <c r="AO5302">
        <v>0</v>
      </c>
      <c r="AP5302">
        <v>0</v>
      </c>
      <c r="AQ5302">
        <v>0</v>
      </c>
      <c r="AS5302">
        <v>0</v>
      </c>
      <c r="AT5302">
        <v>0</v>
      </c>
      <c r="AV5302">
        <v>0</v>
      </c>
      <c r="AW5302">
        <v>0</v>
      </c>
      <c r="AY5302">
        <v>0</v>
      </c>
      <c r="AZ5302">
        <v>0</v>
      </c>
      <c r="BA5302">
        <v>70</v>
      </c>
      <c r="BE5302" t="str">
        <f>T("9791137014381")</f>
        <v>9791137014381</v>
      </c>
      <c r="BF5302" t="str">
        <f>T("k441805")</f>
        <v>k441805</v>
      </c>
      <c r="BG5302" t="str">
        <f>T("판타지 웹소설 &gt; 퓨전 판타지")</f>
        <v>판타지 웹소설 &gt; 퓨전 판타지</v>
      </c>
    </row>
    <row r="5303" spans="1:59">
      <c r="A5303" t="s">
        <v>60</v>
      </c>
      <c r="B5303" s="1">
        <v>46130</v>
      </c>
      <c r="C5303">
        <v>2378044065</v>
      </c>
      <c r="D5303">
        <v>2378070942</v>
      </c>
      <c r="E5303" t="str">
        <f>T("저승의 왕위를 계승했다 541화")</f>
        <v>저승의 왕위를 계승했다 541화</v>
      </c>
      <c r="F5303">
        <v>542</v>
      </c>
      <c r="G5303" t="str">
        <f>T("신타비")</f>
        <v>신타비</v>
      </c>
      <c r="J5303" t="str">
        <f>T("매드햇")</f>
        <v>매드햇</v>
      </c>
      <c r="K5303" t="str">
        <f>T("저승의 왕위를 계승했다")</f>
        <v>저승의 왕위를 계승했다</v>
      </c>
      <c r="L5303">
        <v>100</v>
      </c>
      <c r="M5303">
        <v>100</v>
      </c>
      <c r="N5303">
        <v>1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0</v>
      </c>
      <c r="AC5303">
        <v>0</v>
      </c>
      <c r="AD5303">
        <v>0</v>
      </c>
      <c r="AE5303">
        <v>0</v>
      </c>
      <c r="AF5303">
        <v>0</v>
      </c>
      <c r="AG5303">
        <v>0</v>
      </c>
      <c r="AH5303">
        <v>0</v>
      </c>
      <c r="AI5303">
        <v>100</v>
      </c>
      <c r="AJ5303">
        <v>1</v>
      </c>
      <c r="AK5303">
        <v>0</v>
      </c>
      <c r="AL5303">
        <v>0</v>
      </c>
      <c r="AM5303">
        <v>100</v>
      </c>
      <c r="AN5303">
        <v>0</v>
      </c>
      <c r="AO5303">
        <v>0</v>
      </c>
      <c r="AP5303">
        <v>0</v>
      </c>
      <c r="AQ5303">
        <v>0</v>
      </c>
      <c r="AS5303">
        <v>0</v>
      </c>
      <c r="AT5303">
        <v>0</v>
      </c>
      <c r="AV5303">
        <v>0</v>
      </c>
      <c r="AW5303">
        <v>0</v>
      </c>
      <c r="AY5303">
        <v>0</v>
      </c>
      <c r="AZ5303">
        <v>0</v>
      </c>
      <c r="BA5303">
        <v>70</v>
      </c>
      <c r="BE5303" t="str">
        <f>T("9791137014381")</f>
        <v>9791137014381</v>
      </c>
      <c r="BF5303" t="str">
        <f>T("k441806")</f>
        <v>k441806</v>
      </c>
      <c r="BG5303" t="str">
        <f>T("판타지 웹소설 &gt; 퓨전 판타지")</f>
        <v>판타지 웹소설 &gt; 퓨전 판타지</v>
      </c>
    </row>
    <row r="5304" spans="1:59">
      <c r="A5304" t="s">
        <v>60</v>
      </c>
      <c r="B5304" s="1">
        <v>46130</v>
      </c>
      <c r="C5304">
        <v>2378044065</v>
      </c>
      <c r="D5304">
        <v>2378070946</v>
      </c>
      <c r="E5304" t="str">
        <f>T("저승의 왕위를 계승했다 542화")</f>
        <v>저승의 왕위를 계승했다 542화</v>
      </c>
      <c r="F5304">
        <v>543</v>
      </c>
      <c r="G5304" t="str">
        <f>T("신타비")</f>
        <v>신타비</v>
      </c>
      <c r="J5304" t="str">
        <f>T("매드햇")</f>
        <v>매드햇</v>
      </c>
      <c r="K5304" t="str">
        <f>T("저승의 왕위를 계승했다")</f>
        <v>저승의 왕위를 계승했다</v>
      </c>
      <c r="L5304">
        <v>100</v>
      </c>
      <c r="M5304">
        <v>170</v>
      </c>
      <c r="N5304">
        <v>2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0</v>
      </c>
      <c r="AC5304">
        <v>0</v>
      </c>
      <c r="AD5304">
        <v>0</v>
      </c>
      <c r="AE5304">
        <v>0</v>
      </c>
      <c r="AF5304">
        <v>0</v>
      </c>
      <c r="AG5304">
        <v>0</v>
      </c>
      <c r="AH5304">
        <v>0</v>
      </c>
      <c r="AI5304">
        <v>170</v>
      </c>
      <c r="AJ5304">
        <v>2</v>
      </c>
      <c r="AK5304">
        <v>0</v>
      </c>
      <c r="AL5304">
        <v>0</v>
      </c>
      <c r="AM5304">
        <v>170</v>
      </c>
      <c r="AN5304">
        <v>0</v>
      </c>
      <c r="AO5304">
        <v>0</v>
      </c>
      <c r="AP5304">
        <v>0</v>
      </c>
      <c r="AQ5304">
        <v>0</v>
      </c>
      <c r="AS5304">
        <v>0</v>
      </c>
      <c r="AT5304">
        <v>0</v>
      </c>
      <c r="AV5304">
        <v>0</v>
      </c>
      <c r="AW5304">
        <v>0</v>
      </c>
      <c r="AY5304">
        <v>0</v>
      </c>
      <c r="AZ5304">
        <v>0</v>
      </c>
      <c r="BA5304">
        <v>119</v>
      </c>
      <c r="BE5304" t="str">
        <f>T("9791137014381")</f>
        <v>9791137014381</v>
      </c>
      <c r="BF5304" t="str">
        <f>T("k441807")</f>
        <v>k441807</v>
      </c>
      <c r="BG5304" t="str">
        <f>T("판타지 웹소설 &gt; 퓨전 판타지")</f>
        <v>판타지 웹소설 &gt; 퓨전 판타지</v>
      </c>
    </row>
    <row r="5305" spans="1:59">
      <c r="A5305" t="s">
        <v>60</v>
      </c>
      <c r="B5305" s="1">
        <v>46130</v>
      </c>
      <c r="C5305">
        <v>2378044065</v>
      </c>
      <c r="D5305">
        <v>2378070947</v>
      </c>
      <c r="E5305" t="str">
        <f>T("저승의 왕위를 계승했다 543화")</f>
        <v>저승의 왕위를 계승했다 543화</v>
      </c>
      <c r="F5305">
        <v>544</v>
      </c>
      <c r="G5305" t="str">
        <f>T("신타비")</f>
        <v>신타비</v>
      </c>
      <c r="J5305" t="str">
        <f>T("매드햇")</f>
        <v>매드햇</v>
      </c>
      <c r="K5305" t="str">
        <f>T("저승의 왕위를 계승했다")</f>
        <v>저승의 왕위를 계승했다</v>
      </c>
      <c r="L5305">
        <v>100</v>
      </c>
      <c r="M5305">
        <v>170</v>
      </c>
      <c r="N5305">
        <v>2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0</v>
      </c>
      <c r="AC5305">
        <v>0</v>
      </c>
      <c r="AD5305">
        <v>0</v>
      </c>
      <c r="AE5305">
        <v>0</v>
      </c>
      <c r="AF5305">
        <v>0</v>
      </c>
      <c r="AG5305">
        <v>0</v>
      </c>
      <c r="AH5305">
        <v>0</v>
      </c>
      <c r="AI5305">
        <v>170</v>
      </c>
      <c r="AJ5305">
        <v>2</v>
      </c>
      <c r="AK5305">
        <v>0</v>
      </c>
      <c r="AL5305">
        <v>0</v>
      </c>
      <c r="AM5305">
        <v>170</v>
      </c>
      <c r="AN5305">
        <v>0</v>
      </c>
      <c r="AO5305">
        <v>0</v>
      </c>
      <c r="AP5305">
        <v>0</v>
      </c>
      <c r="AQ5305">
        <v>0</v>
      </c>
      <c r="AS5305">
        <v>0</v>
      </c>
      <c r="AT5305">
        <v>0</v>
      </c>
      <c r="AV5305">
        <v>0</v>
      </c>
      <c r="AW5305">
        <v>0</v>
      </c>
      <c r="AY5305">
        <v>0</v>
      </c>
      <c r="AZ5305">
        <v>0</v>
      </c>
      <c r="BA5305">
        <v>119</v>
      </c>
      <c r="BE5305" t="str">
        <f>T("9791137014381")</f>
        <v>9791137014381</v>
      </c>
      <c r="BF5305" t="str">
        <f>T("k445877")</f>
        <v>k445877</v>
      </c>
      <c r="BG5305" t="str">
        <f>T("판타지 웹소설 &gt; 퓨전 판타지")</f>
        <v>판타지 웹소설 &gt; 퓨전 판타지</v>
      </c>
    </row>
    <row r="5306" spans="1:59">
      <c r="A5306" t="s">
        <v>60</v>
      </c>
      <c r="B5306" s="1">
        <v>46130</v>
      </c>
      <c r="C5306">
        <v>2378044065</v>
      </c>
      <c r="D5306">
        <v>2378071415</v>
      </c>
      <c r="E5306" t="str">
        <f>T("저승의 왕위를 계승했다 544화")</f>
        <v>저승의 왕위를 계승했다 544화</v>
      </c>
      <c r="F5306">
        <v>545</v>
      </c>
      <c r="G5306" t="str">
        <f>T("신타비")</f>
        <v>신타비</v>
      </c>
      <c r="J5306" t="str">
        <f>T("매드햇")</f>
        <v>매드햇</v>
      </c>
      <c r="K5306" t="str">
        <f>T("저승의 왕위를 계승했다")</f>
        <v>저승의 왕위를 계승했다</v>
      </c>
      <c r="L5306">
        <v>100</v>
      </c>
      <c r="M5306">
        <v>170</v>
      </c>
      <c r="N5306">
        <v>2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0</v>
      </c>
      <c r="AC5306">
        <v>0</v>
      </c>
      <c r="AD5306">
        <v>0</v>
      </c>
      <c r="AE5306">
        <v>0</v>
      </c>
      <c r="AF5306">
        <v>0</v>
      </c>
      <c r="AG5306">
        <v>0</v>
      </c>
      <c r="AH5306">
        <v>0</v>
      </c>
      <c r="AI5306">
        <v>170</v>
      </c>
      <c r="AJ5306">
        <v>2</v>
      </c>
      <c r="AK5306">
        <v>0</v>
      </c>
      <c r="AL5306">
        <v>0</v>
      </c>
      <c r="AM5306">
        <v>170</v>
      </c>
      <c r="AN5306">
        <v>0</v>
      </c>
      <c r="AO5306">
        <v>0</v>
      </c>
      <c r="AP5306">
        <v>0</v>
      </c>
      <c r="AQ5306">
        <v>0</v>
      </c>
      <c r="AS5306">
        <v>0</v>
      </c>
      <c r="AT5306">
        <v>0</v>
      </c>
      <c r="AV5306">
        <v>0</v>
      </c>
      <c r="AW5306">
        <v>0</v>
      </c>
      <c r="AY5306">
        <v>0</v>
      </c>
      <c r="AZ5306">
        <v>0</v>
      </c>
      <c r="BA5306">
        <v>119</v>
      </c>
      <c r="BE5306" t="str">
        <f>T("9791137014381")</f>
        <v>9791137014381</v>
      </c>
      <c r="BF5306" t="str">
        <f>T("k445878")</f>
        <v>k445878</v>
      </c>
      <c r="BG5306" t="str">
        <f>T("판타지 웹소설 &gt; 퓨전 판타지")</f>
        <v>판타지 웹소설 &gt; 퓨전 판타지</v>
      </c>
    </row>
    <row r="5307" spans="1:59">
      <c r="A5307" t="s">
        <v>60</v>
      </c>
      <c r="B5307" s="1">
        <v>46130</v>
      </c>
      <c r="C5307">
        <v>2378044065</v>
      </c>
      <c r="D5307">
        <v>2378071416</v>
      </c>
      <c r="E5307" t="str">
        <f>T("저승의 왕위를 계승했다 545화")</f>
        <v>저승의 왕위를 계승했다 545화</v>
      </c>
      <c r="F5307">
        <v>546</v>
      </c>
      <c r="G5307" t="str">
        <f>T("신타비")</f>
        <v>신타비</v>
      </c>
      <c r="J5307" t="str">
        <f>T("매드햇")</f>
        <v>매드햇</v>
      </c>
      <c r="K5307" t="str">
        <f>T("저승의 왕위를 계승했다")</f>
        <v>저승의 왕위를 계승했다</v>
      </c>
      <c r="L5307">
        <v>100</v>
      </c>
      <c r="M5307">
        <v>170</v>
      </c>
      <c r="N5307">
        <v>2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0</v>
      </c>
      <c r="AC5307">
        <v>0</v>
      </c>
      <c r="AD5307">
        <v>0</v>
      </c>
      <c r="AE5307">
        <v>0</v>
      </c>
      <c r="AF5307">
        <v>0</v>
      </c>
      <c r="AG5307">
        <v>0</v>
      </c>
      <c r="AH5307">
        <v>0</v>
      </c>
      <c r="AI5307">
        <v>170</v>
      </c>
      <c r="AJ5307">
        <v>2</v>
      </c>
      <c r="AK5307">
        <v>0</v>
      </c>
      <c r="AL5307">
        <v>0</v>
      </c>
      <c r="AM5307">
        <v>170</v>
      </c>
      <c r="AN5307">
        <v>0</v>
      </c>
      <c r="AO5307">
        <v>0</v>
      </c>
      <c r="AP5307">
        <v>0</v>
      </c>
      <c r="AQ5307">
        <v>0</v>
      </c>
      <c r="AS5307">
        <v>0</v>
      </c>
      <c r="AT5307">
        <v>0</v>
      </c>
      <c r="AV5307">
        <v>0</v>
      </c>
      <c r="AW5307">
        <v>0</v>
      </c>
      <c r="AY5307">
        <v>0</v>
      </c>
      <c r="AZ5307">
        <v>0</v>
      </c>
      <c r="BA5307">
        <v>119</v>
      </c>
      <c r="BE5307" t="str">
        <f>T("9791137014381")</f>
        <v>9791137014381</v>
      </c>
      <c r="BF5307" t="str">
        <f>T("k445879")</f>
        <v>k445879</v>
      </c>
      <c r="BG5307" t="str">
        <f>T("판타지 웹소설 &gt; 퓨전 판타지")</f>
        <v>판타지 웹소설 &gt; 퓨전 판타지</v>
      </c>
    </row>
    <row r="5308" spans="1:59">
      <c r="A5308" t="s">
        <v>60</v>
      </c>
      <c r="B5308" s="1">
        <v>46130</v>
      </c>
      <c r="C5308">
        <v>2378044065</v>
      </c>
      <c r="D5308">
        <v>2378071441</v>
      </c>
      <c r="E5308" t="str">
        <f>T("저승의 왕위를 계승했다 546화")</f>
        <v>저승의 왕위를 계승했다 546화</v>
      </c>
      <c r="F5308">
        <v>547</v>
      </c>
      <c r="G5308" t="str">
        <f>T("신타비")</f>
        <v>신타비</v>
      </c>
      <c r="J5308" t="str">
        <f>T("매드햇")</f>
        <v>매드햇</v>
      </c>
      <c r="K5308" t="str">
        <f>T("저승의 왕위를 계승했다")</f>
        <v>저승의 왕위를 계승했다</v>
      </c>
      <c r="L5308">
        <v>100</v>
      </c>
      <c r="M5308">
        <v>170</v>
      </c>
      <c r="N5308">
        <v>2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0</v>
      </c>
      <c r="AC5308">
        <v>0</v>
      </c>
      <c r="AD5308">
        <v>0</v>
      </c>
      <c r="AE5308">
        <v>0</v>
      </c>
      <c r="AF5308">
        <v>0</v>
      </c>
      <c r="AG5308">
        <v>0</v>
      </c>
      <c r="AH5308">
        <v>0</v>
      </c>
      <c r="AI5308">
        <v>170</v>
      </c>
      <c r="AJ5308">
        <v>2</v>
      </c>
      <c r="AK5308">
        <v>0</v>
      </c>
      <c r="AL5308">
        <v>0</v>
      </c>
      <c r="AM5308">
        <v>170</v>
      </c>
      <c r="AN5308">
        <v>0</v>
      </c>
      <c r="AO5308">
        <v>0</v>
      </c>
      <c r="AP5308">
        <v>0</v>
      </c>
      <c r="AQ5308">
        <v>0</v>
      </c>
      <c r="AS5308">
        <v>0</v>
      </c>
      <c r="AT5308">
        <v>0</v>
      </c>
      <c r="AV5308">
        <v>0</v>
      </c>
      <c r="AW5308">
        <v>0</v>
      </c>
      <c r="AY5308">
        <v>0</v>
      </c>
      <c r="AZ5308">
        <v>0</v>
      </c>
      <c r="BA5308">
        <v>119</v>
      </c>
      <c r="BE5308" t="str">
        <f>T("9791137014381")</f>
        <v>9791137014381</v>
      </c>
      <c r="BF5308" t="str">
        <f>T("k445880")</f>
        <v>k445880</v>
      </c>
      <c r="BG5308" t="str">
        <f>T("판타지 웹소설 &gt; 퓨전 판타지")</f>
        <v>판타지 웹소설 &gt; 퓨전 판타지</v>
      </c>
    </row>
    <row r="5309" spans="1:59">
      <c r="A5309" t="s">
        <v>60</v>
      </c>
      <c r="B5309" s="1">
        <v>46130</v>
      </c>
      <c r="C5309">
        <v>2378044065</v>
      </c>
      <c r="D5309">
        <v>2378071442</v>
      </c>
      <c r="E5309" t="str">
        <f>T("저승의 왕위를 계승했다 547화")</f>
        <v>저승의 왕위를 계승했다 547화</v>
      </c>
      <c r="F5309">
        <v>548</v>
      </c>
      <c r="G5309" t="str">
        <f>T("신타비")</f>
        <v>신타비</v>
      </c>
      <c r="J5309" t="str">
        <f>T("매드햇")</f>
        <v>매드햇</v>
      </c>
      <c r="K5309" t="str">
        <f>T("저승의 왕위를 계승했다")</f>
        <v>저승의 왕위를 계승했다</v>
      </c>
      <c r="L5309">
        <v>100</v>
      </c>
      <c r="M5309">
        <v>270</v>
      </c>
      <c r="N5309">
        <v>3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0</v>
      </c>
      <c r="AC5309">
        <v>0</v>
      </c>
      <c r="AD5309">
        <v>0</v>
      </c>
      <c r="AE5309">
        <v>0</v>
      </c>
      <c r="AF5309">
        <v>0</v>
      </c>
      <c r="AG5309">
        <v>0</v>
      </c>
      <c r="AH5309">
        <v>0</v>
      </c>
      <c r="AI5309">
        <v>270</v>
      </c>
      <c r="AJ5309">
        <v>3</v>
      </c>
      <c r="AK5309">
        <v>0</v>
      </c>
      <c r="AL5309">
        <v>0</v>
      </c>
      <c r="AM5309">
        <v>270</v>
      </c>
      <c r="AN5309">
        <v>0</v>
      </c>
      <c r="AO5309">
        <v>0</v>
      </c>
      <c r="AP5309">
        <v>0</v>
      </c>
      <c r="AQ5309">
        <v>0</v>
      </c>
      <c r="AS5309">
        <v>0</v>
      </c>
      <c r="AT5309">
        <v>0</v>
      </c>
      <c r="AV5309">
        <v>0</v>
      </c>
      <c r="AW5309">
        <v>0</v>
      </c>
      <c r="AY5309">
        <v>0</v>
      </c>
      <c r="AZ5309">
        <v>0</v>
      </c>
      <c r="BA5309">
        <v>189</v>
      </c>
      <c r="BE5309" t="str">
        <f>T("9791137014381")</f>
        <v>9791137014381</v>
      </c>
      <c r="BF5309" t="str">
        <f>T("k447777")</f>
        <v>k447777</v>
      </c>
      <c r="BG5309" t="str">
        <f>T("판타지 웹소설 &gt; 퓨전 판타지")</f>
        <v>판타지 웹소설 &gt; 퓨전 판타지</v>
      </c>
    </row>
    <row r="5310" spans="1:59">
      <c r="A5310" t="s">
        <v>60</v>
      </c>
      <c r="B5310" s="1">
        <v>46130</v>
      </c>
      <c r="C5310">
        <v>2378044065</v>
      </c>
      <c r="D5310">
        <v>2378071444</v>
      </c>
      <c r="E5310" t="str">
        <f>T("저승의 왕위를 계승했다 548화")</f>
        <v>저승의 왕위를 계승했다 548화</v>
      </c>
      <c r="F5310">
        <v>549</v>
      </c>
      <c r="G5310" t="str">
        <f>T("신타비")</f>
        <v>신타비</v>
      </c>
      <c r="J5310" t="str">
        <f>T("매드햇")</f>
        <v>매드햇</v>
      </c>
      <c r="K5310" t="str">
        <f>T("저승의 왕위를 계승했다")</f>
        <v>저승의 왕위를 계승했다</v>
      </c>
      <c r="L5310">
        <v>100</v>
      </c>
      <c r="M5310">
        <v>170</v>
      </c>
      <c r="N5310">
        <v>2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0</v>
      </c>
      <c r="AC5310">
        <v>0</v>
      </c>
      <c r="AD5310">
        <v>0</v>
      </c>
      <c r="AE5310">
        <v>0</v>
      </c>
      <c r="AF5310">
        <v>0</v>
      </c>
      <c r="AG5310">
        <v>0</v>
      </c>
      <c r="AH5310">
        <v>0</v>
      </c>
      <c r="AI5310">
        <v>170</v>
      </c>
      <c r="AJ5310">
        <v>2</v>
      </c>
      <c r="AK5310">
        <v>0</v>
      </c>
      <c r="AL5310">
        <v>0</v>
      </c>
      <c r="AM5310">
        <v>170</v>
      </c>
      <c r="AN5310">
        <v>0</v>
      </c>
      <c r="AO5310">
        <v>0</v>
      </c>
      <c r="AP5310">
        <v>0</v>
      </c>
      <c r="AQ5310">
        <v>0</v>
      </c>
      <c r="AS5310">
        <v>0</v>
      </c>
      <c r="AT5310">
        <v>0</v>
      </c>
      <c r="AV5310">
        <v>0</v>
      </c>
      <c r="AW5310">
        <v>0</v>
      </c>
      <c r="AY5310">
        <v>0</v>
      </c>
      <c r="AZ5310">
        <v>0</v>
      </c>
      <c r="BA5310">
        <v>119</v>
      </c>
      <c r="BE5310" t="str">
        <f>T("9791137014381")</f>
        <v>9791137014381</v>
      </c>
      <c r="BF5310" t="str">
        <f>T("k447778")</f>
        <v>k447778</v>
      </c>
      <c r="BG5310" t="str">
        <f>T("판타지 웹소설 &gt; 퓨전 판타지")</f>
        <v>판타지 웹소설 &gt; 퓨전 판타지</v>
      </c>
    </row>
    <row r="5311" spans="1:59">
      <c r="A5311" t="s">
        <v>60</v>
      </c>
      <c r="B5311" s="1">
        <v>46130</v>
      </c>
      <c r="C5311">
        <v>2378044065</v>
      </c>
      <c r="D5311">
        <v>2378071450</v>
      </c>
      <c r="E5311" t="str">
        <f>T("저승의 왕위를 계승했다 549화")</f>
        <v>저승의 왕위를 계승했다 549화</v>
      </c>
      <c r="F5311">
        <v>550</v>
      </c>
      <c r="G5311" t="str">
        <f>T("신타비")</f>
        <v>신타비</v>
      </c>
      <c r="J5311" t="str">
        <f>T("매드햇")</f>
        <v>매드햇</v>
      </c>
      <c r="K5311" t="str">
        <f>T("저승의 왕위를 계승했다")</f>
        <v>저승의 왕위를 계승했다</v>
      </c>
      <c r="L5311">
        <v>100</v>
      </c>
      <c r="M5311">
        <v>170</v>
      </c>
      <c r="N5311">
        <v>2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0</v>
      </c>
      <c r="AC5311">
        <v>0</v>
      </c>
      <c r="AD5311">
        <v>0</v>
      </c>
      <c r="AE5311">
        <v>0</v>
      </c>
      <c r="AF5311">
        <v>0</v>
      </c>
      <c r="AG5311">
        <v>0</v>
      </c>
      <c r="AH5311">
        <v>0</v>
      </c>
      <c r="AI5311">
        <v>170</v>
      </c>
      <c r="AJ5311">
        <v>2</v>
      </c>
      <c r="AK5311">
        <v>0</v>
      </c>
      <c r="AL5311">
        <v>0</v>
      </c>
      <c r="AM5311">
        <v>170</v>
      </c>
      <c r="AN5311">
        <v>0</v>
      </c>
      <c r="AO5311">
        <v>0</v>
      </c>
      <c r="AP5311">
        <v>0</v>
      </c>
      <c r="AQ5311">
        <v>0</v>
      </c>
      <c r="AS5311">
        <v>0</v>
      </c>
      <c r="AT5311">
        <v>0</v>
      </c>
      <c r="AV5311">
        <v>0</v>
      </c>
      <c r="AW5311">
        <v>0</v>
      </c>
      <c r="AY5311">
        <v>0</v>
      </c>
      <c r="AZ5311">
        <v>0</v>
      </c>
      <c r="BA5311">
        <v>119</v>
      </c>
      <c r="BE5311" t="str">
        <f>T("9791137014381")</f>
        <v>9791137014381</v>
      </c>
      <c r="BF5311" t="str">
        <f>T("k447779")</f>
        <v>k447779</v>
      </c>
      <c r="BG5311" t="str">
        <f>T("판타지 웹소설 &gt; 퓨전 판타지")</f>
        <v>판타지 웹소설 &gt; 퓨전 판타지</v>
      </c>
    </row>
    <row r="5312" spans="1:59">
      <c r="A5312" t="s">
        <v>60</v>
      </c>
      <c r="B5312" s="1">
        <v>46130</v>
      </c>
      <c r="C5312">
        <v>2378044065</v>
      </c>
      <c r="D5312">
        <v>2378071505</v>
      </c>
      <c r="E5312" t="str">
        <f>T("저승의 왕위를 계승했다 550화")</f>
        <v>저승의 왕위를 계승했다 550화</v>
      </c>
      <c r="F5312">
        <v>551</v>
      </c>
      <c r="G5312" t="str">
        <f>T("신타비")</f>
        <v>신타비</v>
      </c>
      <c r="J5312" t="str">
        <f>T("매드햇")</f>
        <v>매드햇</v>
      </c>
      <c r="K5312" t="str">
        <f>T("저승의 왕위를 계승했다")</f>
        <v>저승의 왕위를 계승했다</v>
      </c>
      <c r="L5312">
        <v>100</v>
      </c>
      <c r="M5312">
        <v>170</v>
      </c>
      <c r="N5312">
        <v>2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0</v>
      </c>
      <c r="AC5312">
        <v>0</v>
      </c>
      <c r="AD5312">
        <v>0</v>
      </c>
      <c r="AE5312">
        <v>0</v>
      </c>
      <c r="AF5312">
        <v>0</v>
      </c>
      <c r="AG5312">
        <v>0</v>
      </c>
      <c r="AH5312">
        <v>0</v>
      </c>
      <c r="AI5312">
        <v>170</v>
      </c>
      <c r="AJ5312">
        <v>2</v>
      </c>
      <c r="AK5312">
        <v>0</v>
      </c>
      <c r="AL5312">
        <v>0</v>
      </c>
      <c r="AM5312">
        <v>170</v>
      </c>
      <c r="AN5312">
        <v>0</v>
      </c>
      <c r="AO5312">
        <v>0</v>
      </c>
      <c r="AP5312">
        <v>0</v>
      </c>
      <c r="AQ5312">
        <v>0</v>
      </c>
      <c r="AS5312">
        <v>0</v>
      </c>
      <c r="AT5312">
        <v>0</v>
      </c>
      <c r="AV5312">
        <v>0</v>
      </c>
      <c r="AW5312">
        <v>0</v>
      </c>
      <c r="AY5312">
        <v>0</v>
      </c>
      <c r="AZ5312">
        <v>0</v>
      </c>
      <c r="BA5312">
        <v>119</v>
      </c>
      <c r="BE5312" t="str">
        <f>T("9791137014381")</f>
        <v>9791137014381</v>
      </c>
      <c r="BF5312" t="str">
        <f>T("k447780")</f>
        <v>k447780</v>
      </c>
      <c r="BG5312" t="str">
        <f>T("판타지 웹소설 &gt; 퓨전 판타지")</f>
        <v>판타지 웹소설 &gt; 퓨전 판타지</v>
      </c>
    </row>
    <row r="5313" spans="1:59">
      <c r="A5313" t="s">
        <v>60</v>
      </c>
      <c r="B5313" s="1">
        <v>46130</v>
      </c>
      <c r="C5313">
        <v>2378044065</v>
      </c>
      <c r="D5313">
        <v>2378071520</v>
      </c>
      <c r="E5313" t="str">
        <f>T("저승의 왕위를 계승했다 551화")</f>
        <v>저승의 왕위를 계승했다 551화</v>
      </c>
      <c r="F5313">
        <v>552</v>
      </c>
      <c r="G5313" t="str">
        <f>T("신타비")</f>
        <v>신타비</v>
      </c>
      <c r="J5313" t="str">
        <f>T("매드햇")</f>
        <v>매드햇</v>
      </c>
      <c r="K5313" t="str">
        <f>T("저승의 왕위를 계승했다")</f>
        <v>저승의 왕위를 계승했다</v>
      </c>
      <c r="L5313">
        <v>100</v>
      </c>
      <c r="M5313">
        <v>170</v>
      </c>
      <c r="N5313">
        <v>2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0</v>
      </c>
      <c r="AC5313">
        <v>0</v>
      </c>
      <c r="AD5313">
        <v>0</v>
      </c>
      <c r="AE5313">
        <v>0</v>
      </c>
      <c r="AF5313">
        <v>0</v>
      </c>
      <c r="AG5313">
        <v>0</v>
      </c>
      <c r="AH5313">
        <v>0</v>
      </c>
      <c r="AI5313">
        <v>170</v>
      </c>
      <c r="AJ5313">
        <v>2</v>
      </c>
      <c r="AK5313">
        <v>0</v>
      </c>
      <c r="AL5313">
        <v>0</v>
      </c>
      <c r="AM5313">
        <v>170</v>
      </c>
      <c r="AN5313">
        <v>0</v>
      </c>
      <c r="AO5313">
        <v>0</v>
      </c>
      <c r="AP5313">
        <v>0</v>
      </c>
      <c r="AQ5313">
        <v>0</v>
      </c>
      <c r="AS5313">
        <v>0</v>
      </c>
      <c r="AT5313">
        <v>0</v>
      </c>
      <c r="AV5313">
        <v>0</v>
      </c>
      <c r="AW5313">
        <v>0</v>
      </c>
      <c r="AY5313">
        <v>0</v>
      </c>
      <c r="AZ5313">
        <v>0</v>
      </c>
      <c r="BA5313">
        <v>119</v>
      </c>
      <c r="BE5313" t="str">
        <f>T("9791137014381")</f>
        <v>9791137014381</v>
      </c>
      <c r="BF5313" t="str">
        <f>T("k448208")</f>
        <v>k448208</v>
      </c>
      <c r="BG5313" t="str">
        <f>T("판타지 웹소설 &gt; 퓨전 판타지")</f>
        <v>판타지 웹소설 &gt; 퓨전 판타지</v>
      </c>
    </row>
    <row r="5314" spans="1:59">
      <c r="A5314" t="s">
        <v>60</v>
      </c>
      <c r="B5314" s="1">
        <v>46130</v>
      </c>
      <c r="C5314">
        <v>2378044065</v>
      </c>
      <c r="D5314">
        <v>2378072172</v>
      </c>
      <c r="E5314" t="str">
        <f>T("저승의 왕위를 계승했다 552화")</f>
        <v>저승의 왕위를 계승했다 552화</v>
      </c>
      <c r="F5314">
        <v>553</v>
      </c>
      <c r="G5314" t="str">
        <f>T("신타비")</f>
        <v>신타비</v>
      </c>
      <c r="J5314" t="str">
        <f>T("매드햇")</f>
        <v>매드햇</v>
      </c>
      <c r="K5314" t="str">
        <f>T("저승의 왕위를 계승했다")</f>
        <v>저승의 왕위를 계승했다</v>
      </c>
      <c r="L5314">
        <v>100</v>
      </c>
      <c r="M5314">
        <v>170</v>
      </c>
      <c r="N5314">
        <v>2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0</v>
      </c>
      <c r="AC5314">
        <v>0</v>
      </c>
      <c r="AD5314">
        <v>0</v>
      </c>
      <c r="AE5314">
        <v>0</v>
      </c>
      <c r="AF5314">
        <v>0</v>
      </c>
      <c r="AG5314">
        <v>0</v>
      </c>
      <c r="AH5314">
        <v>0</v>
      </c>
      <c r="AI5314">
        <v>170</v>
      </c>
      <c r="AJ5314">
        <v>2</v>
      </c>
      <c r="AK5314">
        <v>0</v>
      </c>
      <c r="AL5314">
        <v>0</v>
      </c>
      <c r="AM5314">
        <v>170</v>
      </c>
      <c r="AN5314">
        <v>0</v>
      </c>
      <c r="AO5314">
        <v>0</v>
      </c>
      <c r="AP5314">
        <v>0</v>
      </c>
      <c r="AQ5314">
        <v>0</v>
      </c>
      <c r="AS5314">
        <v>0</v>
      </c>
      <c r="AT5314">
        <v>0</v>
      </c>
      <c r="AV5314">
        <v>0</v>
      </c>
      <c r="AW5314">
        <v>0</v>
      </c>
      <c r="AY5314">
        <v>0</v>
      </c>
      <c r="AZ5314">
        <v>0</v>
      </c>
      <c r="BA5314">
        <v>119</v>
      </c>
      <c r="BE5314" t="str">
        <f>T("9791137014381")</f>
        <v>9791137014381</v>
      </c>
      <c r="BF5314" t="str">
        <f>T("k448209")</f>
        <v>k448209</v>
      </c>
      <c r="BG5314" t="str">
        <f>T("판타지 웹소설 &gt; 퓨전 판타지")</f>
        <v>판타지 웹소설 &gt; 퓨전 판타지</v>
      </c>
    </row>
    <row r="5315" spans="1:59">
      <c r="A5315" t="s">
        <v>60</v>
      </c>
      <c r="B5315" s="1">
        <v>46130</v>
      </c>
      <c r="C5315">
        <v>2378044065</v>
      </c>
      <c r="D5315">
        <v>2378072203</v>
      </c>
      <c r="E5315" t="str">
        <f>T("저승의 왕위를 계승했다 553화")</f>
        <v>저승의 왕위를 계승했다 553화</v>
      </c>
      <c r="F5315">
        <v>554</v>
      </c>
      <c r="G5315" t="str">
        <f>T("신타비")</f>
        <v>신타비</v>
      </c>
      <c r="J5315" t="str">
        <f>T("매드햇")</f>
        <v>매드햇</v>
      </c>
      <c r="K5315" t="str">
        <f>T("저승의 왕위를 계승했다")</f>
        <v>저승의 왕위를 계승했다</v>
      </c>
      <c r="L5315">
        <v>100</v>
      </c>
      <c r="M5315">
        <v>170</v>
      </c>
      <c r="N5315">
        <v>2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0</v>
      </c>
      <c r="AC5315">
        <v>0</v>
      </c>
      <c r="AD5315">
        <v>0</v>
      </c>
      <c r="AE5315">
        <v>0</v>
      </c>
      <c r="AF5315">
        <v>0</v>
      </c>
      <c r="AG5315">
        <v>0</v>
      </c>
      <c r="AH5315">
        <v>0</v>
      </c>
      <c r="AI5315">
        <v>170</v>
      </c>
      <c r="AJ5315">
        <v>2</v>
      </c>
      <c r="AK5315">
        <v>0</v>
      </c>
      <c r="AL5315">
        <v>0</v>
      </c>
      <c r="AM5315">
        <v>170</v>
      </c>
      <c r="AN5315">
        <v>0</v>
      </c>
      <c r="AO5315">
        <v>0</v>
      </c>
      <c r="AP5315">
        <v>0</v>
      </c>
      <c r="AQ5315">
        <v>0</v>
      </c>
      <c r="AS5315">
        <v>0</v>
      </c>
      <c r="AT5315">
        <v>0</v>
      </c>
      <c r="AV5315">
        <v>0</v>
      </c>
      <c r="AW5315">
        <v>0</v>
      </c>
      <c r="AY5315">
        <v>0</v>
      </c>
      <c r="AZ5315">
        <v>0</v>
      </c>
      <c r="BA5315">
        <v>119</v>
      </c>
      <c r="BE5315" t="str">
        <f>T("9791137014381")</f>
        <v>9791137014381</v>
      </c>
      <c r="BF5315" t="str">
        <f>T("k448210")</f>
        <v>k448210</v>
      </c>
      <c r="BG5315" t="str">
        <f>T("판타지 웹소설 &gt; 퓨전 판타지")</f>
        <v>판타지 웹소설 &gt; 퓨전 판타지</v>
      </c>
    </row>
    <row r="5316" spans="1:59">
      <c r="A5316" t="s">
        <v>60</v>
      </c>
      <c r="B5316" s="1">
        <v>46130</v>
      </c>
      <c r="C5316">
        <v>2378044065</v>
      </c>
      <c r="D5316">
        <v>2378072206</v>
      </c>
      <c r="E5316" t="str">
        <f>T("저승의 왕위를 계승했다 554화")</f>
        <v>저승의 왕위를 계승했다 554화</v>
      </c>
      <c r="F5316">
        <v>555</v>
      </c>
      <c r="G5316" t="str">
        <f>T("신타비")</f>
        <v>신타비</v>
      </c>
      <c r="J5316" t="str">
        <f>T("매드햇")</f>
        <v>매드햇</v>
      </c>
      <c r="K5316" t="str">
        <f>T("저승의 왕위를 계승했다")</f>
        <v>저승의 왕위를 계승했다</v>
      </c>
      <c r="L5316">
        <v>100</v>
      </c>
      <c r="M5316">
        <v>170</v>
      </c>
      <c r="N5316">
        <v>2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0</v>
      </c>
      <c r="AC5316">
        <v>0</v>
      </c>
      <c r="AD5316">
        <v>0</v>
      </c>
      <c r="AE5316">
        <v>0</v>
      </c>
      <c r="AF5316">
        <v>0</v>
      </c>
      <c r="AG5316">
        <v>0</v>
      </c>
      <c r="AH5316">
        <v>0</v>
      </c>
      <c r="AI5316">
        <v>170</v>
      </c>
      <c r="AJ5316">
        <v>2</v>
      </c>
      <c r="AK5316">
        <v>0</v>
      </c>
      <c r="AL5316">
        <v>0</v>
      </c>
      <c r="AM5316">
        <v>170</v>
      </c>
      <c r="AN5316">
        <v>0</v>
      </c>
      <c r="AO5316">
        <v>0</v>
      </c>
      <c r="AP5316">
        <v>0</v>
      </c>
      <c r="AQ5316">
        <v>0</v>
      </c>
      <c r="AS5316">
        <v>0</v>
      </c>
      <c r="AT5316">
        <v>0</v>
      </c>
      <c r="AV5316">
        <v>0</v>
      </c>
      <c r="AW5316">
        <v>0</v>
      </c>
      <c r="AY5316">
        <v>0</v>
      </c>
      <c r="AZ5316">
        <v>0</v>
      </c>
      <c r="BA5316">
        <v>119</v>
      </c>
      <c r="BE5316" t="str">
        <f>T("9791137014381")</f>
        <v>9791137014381</v>
      </c>
      <c r="BF5316" t="str">
        <f>T("k448211")</f>
        <v>k448211</v>
      </c>
      <c r="BG5316" t="str">
        <f>T("판타지 웹소설 &gt; 퓨전 판타지")</f>
        <v>판타지 웹소설 &gt; 퓨전 판타지</v>
      </c>
    </row>
    <row r="5317" spans="1:59">
      <c r="A5317" t="s">
        <v>60</v>
      </c>
      <c r="B5317" s="1">
        <v>46130</v>
      </c>
      <c r="C5317">
        <v>2378044065</v>
      </c>
      <c r="D5317">
        <v>2378072215</v>
      </c>
      <c r="E5317" t="str">
        <f>T("저승의 왕위를 계승했다 555화")</f>
        <v>저승의 왕위를 계승했다 555화</v>
      </c>
      <c r="F5317">
        <v>556</v>
      </c>
      <c r="G5317" t="str">
        <f>T("신타비")</f>
        <v>신타비</v>
      </c>
      <c r="J5317" t="str">
        <f>T("매드햇")</f>
        <v>매드햇</v>
      </c>
      <c r="K5317" t="str">
        <f>T("저승의 왕위를 계승했다")</f>
        <v>저승의 왕위를 계승했다</v>
      </c>
      <c r="L5317">
        <v>100</v>
      </c>
      <c r="M5317">
        <v>170</v>
      </c>
      <c r="N5317">
        <v>2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0</v>
      </c>
      <c r="AC5317">
        <v>0</v>
      </c>
      <c r="AD5317">
        <v>0</v>
      </c>
      <c r="AE5317">
        <v>0</v>
      </c>
      <c r="AF5317">
        <v>0</v>
      </c>
      <c r="AG5317">
        <v>0</v>
      </c>
      <c r="AH5317">
        <v>0</v>
      </c>
      <c r="AI5317">
        <v>170</v>
      </c>
      <c r="AJ5317">
        <v>2</v>
      </c>
      <c r="AK5317">
        <v>0</v>
      </c>
      <c r="AL5317">
        <v>0</v>
      </c>
      <c r="AM5317">
        <v>170</v>
      </c>
      <c r="AN5317">
        <v>0</v>
      </c>
      <c r="AO5317">
        <v>0</v>
      </c>
      <c r="AP5317">
        <v>0</v>
      </c>
      <c r="AQ5317">
        <v>0</v>
      </c>
      <c r="AS5317">
        <v>0</v>
      </c>
      <c r="AT5317">
        <v>0</v>
      </c>
      <c r="AV5317">
        <v>0</v>
      </c>
      <c r="AW5317">
        <v>0</v>
      </c>
      <c r="AY5317">
        <v>0</v>
      </c>
      <c r="AZ5317">
        <v>0</v>
      </c>
      <c r="BA5317">
        <v>119</v>
      </c>
      <c r="BE5317" t="str">
        <f>T("9791137014381")</f>
        <v>9791137014381</v>
      </c>
      <c r="BF5317" t="str">
        <f>T("B000275")</f>
        <v>B000275</v>
      </c>
      <c r="BG5317" t="str">
        <f>T("판타지 웹소설 &gt; 퓨전 판타지")</f>
        <v>판타지 웹소설 &gt; 퓨전 판타지</v>
      </c>
    </row>
    <row r="5318" spans="1:59">
      <c r="A5318" t="s">
        <v>60</v>
      </c>
      <c r="B5318" s="1">
        <v>46130</v>
      </c>
      <c r="C5318">
        <v>2378044065</v>
      </c>
      <c r="D5318">
        <v>2378072237</v>
      </c>
      <c r="E5318" t="str">
        <f>T("저승의 왕위를 계승했다 556화")</f>
        <v>저승의 왕위를 계승했다 556화</v>
      </c>
      <c r="F5318">
        <v>557</v>
      </c>
      <c r="G5318" t="str">
        <f>T("신타비")</f>
        <v>신타비</v>
      </c>
      <c r="J5318" t="str">
        <f>T("매드햇")</f>
        <v>매드햇</v>
      </c>
      <c r="K5318" t="str">
        <f>T("저승의 왕위를 계승했다")</f>
        <v>저승의 왕위를 계승했다</v>
      </c>
      <c r="L5318">
        <v>100</v>
      </c>
      <c r="M5318">
        <v>170</v>
      </c>
      <c r="N5318">
        <v>2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0</v>
      </c>
      <c r="AC5318">
        <v>0</v>
      </c>
      <c r="AD5318">
        <v>0</v>
      </c>
      <c r="AE5318">
        <v>0</v>
      </c>
      <c r="AF5318">
        <v>0</v>
      </c>
      <c r="AG5318">
        <v>0</v>
      </c>
      <c r="AH5318">
        <v>0</v>
      </c>
      <c r="AI5318">
        <v>170</v>
      </c>
      <c r="AJ5318">
        <v>2</v>
      </c>
      <c r="AK5318">
        <v>0</v>
      </c>
      <c r="AL5318">
        <v>0</v>
      </c>
      <c r="AM5318">
        <v>170</v>
      </c>
      <c r="AN5318">
        <v>0</v>
      </c>
      <c r="AO5318">
        <v>0</v>
      </c>
      <c r="AP5318">
        <v>0</v>
      </c>
      <c r="AQ5318">
        <v>0</v>
      </c>
      <c r="AS5318">
        <v>0</v>
      </c>
      <c r="AT5318">
        <v>0</v>
      </c>
      <c r="AV5318">
        <v>0</v>
      </c>
      <c r="AW5318">
        <v>0</v>
      </c>
      <c r="AY5318">
        <v>0</v>
      </c>
      <c r="AZ5318">
        <v>0</v>
      </c>
      <c r="BA5318">
        <v>119</v>
      </c>
      <c r="BE5318" t="str">
        <f>T("9791137014381")</f>
        <v>9791137014381</v>
      </c>
      <c r="BF5318" t="str">
        <f>T("B000276")</f>
        <v>B000276</v>
      </c>
      <c r="BG5318" t="str">
        <f>T("판타지 웹소설 &gt; 퓨전 판타지")</f>
        <v>판타지 웹소설 &gt; 퓨전 판타지</v>
      </c>
    </row>
    <row r="5319" spans="1:59">
      <c r="A5319" t="s">
        <v>60</v>
      </c>
      <c r="B5319" s="1">
        <v>46130</v>
      </c>
      <c r="C5319">
        <v>2378044065</v>
      </c>
      <c r="D5319">
        <v>2378072247</v>
      </c>
      <c r="E5319" t="str">
        <f>T("저승의 왕위를 계승했다 557화")</f>
        <v>저승의 왕위를 계승했다 557화</v>
      </c>
      <c r="F5319">
        <v>558</v>
      </c>
      <c r="G5319" t="str">
        <f>T("신타비")</f>
        <v>신타비</v>
      </c>
      <c r="J5319" t="str">
        <f>T("매드햇")</f>
        <v>매드햇</v>
      </c>
      <c r="K5319" t="str">
        <f>T("저승의 왕위를 계승했다")</f>
        <v>저승의 왕위를 계승했다</v>
      </c>
      <c r="L5319">
        <v>100</v>
      </c>
      <c r="M5319">
        <v>170</v>
      </c>
      <c r="N5319">
        <v>2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0</v>
      </c>
      <c r="AE5319">
        <v>0</v>
      </c>
      <c r="AF5319">
        <v>0</v>
      </c>
      <c r="AG5319">
        <v>0</v>
      </c>
      <c r="AH5319">
        <v>0</v>
      </c>
      <c r="AI5319">
        <v>170</v>
      </c>
      <c r="AJ5319">
        <v>2</v>
      </c>
      <c r="AK5319">
        <v>0</v>
      </c>
      <c r="AL5319">
        <v>0</v>
      </c>
      <c r="AM5319">
        <v>170</v>
      </c>
      <c r="AN5319">
        <v>0</v>
      </c>
      <c r="AO5319">
        <v>0</v>
      </c>
      <c r="AP5319">
        <v>0</v>
      </c>
      <c r="AQ5319">
        <v>0</v>
      </c>
      <c r="AS5319">
        <v>0</v>
      </c>
      <c r="AT5319">
        <v>0</v>
      </c>
      <c r="AV5319">
        <v>0</v>
      </c>
      <c r="AW5319">
        <v>0</v>
      </c>
      <c r="AY5319">
        <v>0</v>
      </c>
      <c r="AZ5319">
        <v>0</v>
      </c>
      <c r="BA5319">
        <v>119</v>
      </c>
      <c r="BE5319" t="str">
        <f>T("9791137014381")</f>
        <v>9791137014381</v>
      </c>
      <c r="BF5319" t="str">
        <f>T("B000277")</f>
        <v>B000277</v>
      </c>
      <c r="BG5319" t="str">
        <f>T("판타지 웹소설 &gt; 퓨전 판타지")</f>
        <v>판타지 웹소설 &gt; 퓨전 판타지</v>
      </c>
    </row>
    <row r="5320" spans="1:59">
      <c r="A5320" t="s">
        <v>60</v>
      </c>
      <c r="B5320" s="1">
        <v>46130</v>
      </c>
      <c r="C5320">
        <v>2378044065</v>
      </c>
      <c r="D5320">
        <v>2378072256</v>
      </c>
      <c r="E5320" t="str">
        <f>T("저승의 왕위를 계승했다 558화")</f>
        <v>저승의 왕위를 계승했다 558화</v>
      </c>
      <c r="F5320">
        <v>559</v>
      </c>
      <c r="G5320" t="str">
        <f>T("신타비")</f>
        <v>신타비</v>
      </c>
      <c r="J5320" t="str">
        <f>T("매드햇")</f>
        <v>매드햇</v>
      </c>
      <c r="K5320" t="str">
        <f>T("저승의 왕위를 계승했다")</f>
        <v>저승의 왕위를 계승했다</v>
      </c>
      <c r="L5320">
        <v>100</v>
      </c>
      <c r="M5320">
        <v>170</v>
      </c>
      <c r="N5320">
        <v>2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0</v>
      </c>
      <c r="AE5320">
        <v>0</v>
      </c>
      <c r="AF5320">
        <v>0</v>
      </c>
      <c r="AG5320">
        <v>0</v>
      </c>
      <c r="AH5320">
        <v>0</v>
      </c>
      <c r="AI5320">
        <v>170</v>
      </c>
      <c r="AJ5320">
        <v>2</v>
      </c>
      <c r="AK5320">
        <v>0</v>
      </c>
      <c r="AL5320">
        <v>0</v>
      </c>
      <c r="AM5320">
        <v>170</v>
      </c>
      <c r="AN5320">
        <v>0</v>
      </c>
      <c r="AO5320">
        <v>0</v>
      </c>
      <c r="AP5320">
        <v>0</v>
      </c>
      <c r="AQ5320">
        <v>0</v>
      </c>
      <c r="AS5320">
        <v>0</v>
      </c>
      <c r="AT5320">
        <v>0</v>
      </c>
      <c r="AV5320">
        <v>0</v>
      </c>
      <c r="AW5320">
        <v>0</v>
      </c>
      <c r="AY5320">
        <v>0</v>
      </c>
      <c r="AZ5320">
        <v>0</v>
      </c>
      <c r="BA5320">
        <v>119</v>
      </c>
      <c r="BE5320" t="str">
        <f>T("9791137014381")</f>
        <v>9791137014381</v>
      </c>
      <c r="BF5320" t="str">
        <f>T("B000278")</f>
        <v>B000278</v>
      </c>
      <c r="BG5320" t="str">
        <f>T("판타지 웹소설 &gt; 퓨전 판타지")</f>
        <v>판타지 웹소설 &gt; 퓨전 판타지</v>
      </c>
    </row>
    <row r="5321" spans="1:59">
      <c r="A5321" t="s">
        <v>60</v>
      </c>
      <c r="B5321" s="1">
        <v>46130</v>
      </c>
      <c r="C5321">
        <v>2378044065</v>
      </c>
      <c r="D5321">
        <v>2378072259</v>
      </c>
      <c r="E5321" t="str">
        <f>T("저승의 왕위를 계승했다 559화")</f>
        <v>저승의 왕위를 계승했다 559화</v>
      </c>
      <c r="F5321">
        <v>560</v>
      </c>
      <c r="G5321" t="str">
        <f>T("신타비")</f>
        <v>신타비</v>
      </c>
      <c r="J5321" t="str">
        <f>T("매드햇")</f>
        <v>매드햇</v>
      </c>
      <c r="K5321" t="str">
        <f>T("저승의 왕위를 계승했다")</f>
        <v>저승의 왕위를 계승했다</v>
      </c>
      <c r="L5321">
        <v>100</v>
      </c>
      <c r="M5321">
        <v>170</v>
      </c>
      <c r="N5321">
        <v>2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0</v>
      </c>
      <c r="AE5321">
        <v>0</v>
      </c>
      <c r="AF5321">
        <v>0</v>
      </c>
      <c r="AG5321">
        <v>0</v>
      </c>
      <c r="AH5321">
        <v>0</v>
      </c>
      <c r="AI5321">
        <v>170</v>
      </c>
      <c r="AJ5321">
        <v>2</v>
      </c>
      <c r="AK5321">
        <v>0</v>
      </c>
      <c r="AL5321">
        <v>0</v>
      </c>
      <c r="AM5321">
        <v>170</v>
      </c>
      <c r="AN5321">
        <v>0</v>
      </c>
      <c r="AO5321">
        <v>0</v>
      </c>
      <c r="AP5321">
        <v>0</v>
      </c>
      <c r="AQ5321">
        <v>0</v>
      </c>
      <c r="AS5321">
        <v>0</v>
      </c>
      <c r="AT5321">
        <v>0</v>
      </c>
      <c r="AV5321">
        <v>0</v>
      </c>
      <c r="AW5321">
        <v>0</v>
      </c>
      <c r="AY5321">
        <v>0</v>
      </c>
      <c r="AZ5321">
        <v>0</v>
      </c>
      <c r="BA5321">
        <v>119</v>
      </c>
      <c r="BE5321" t="str">
        <f>T("9791137014381")</f>
        <v>9791137014381</v>
      </c>
      <c r="BF5321" t="str">
        <f>T("B004421")</f>
        <v>B004421</v>
      </c>
      <c r="BG5321" t="str">
        <f>T("판타지 웹소설 &gt; 퓨전 판타지")</f>
        <v>판타지 웹소설 &gt; 퓨전 판타지</v>
      </c>
    </row>
    <row r="5322" spans="1:59">
      <c r="A5322" t="s">
        <v>60</v>
      </c>
      <c r="B5322" s="1">
        <v>46130</v>
      </c>
      <c r="C5322">
        <v>2378044065</v>
      </c>
      <c r="D5322">
        <v>2378072272</v>
      </c>
      <c r="E5322" t="str">
        <f>T("저승의 왕위를 계승했다 560화")</f>
        <v>저승의 왕위를 계승했다 560화</v>
      </c>
      <c r="F5322">
        <v>561</v>
      </c>
      <c r="G5322" t="str">
        <f>T("신타비")</f>
        <v>신타비</v>
      </c>
      <c r="J5322" t="str">
        <f>T("매드햇")</f>
        <v>매드햇</v>
      </c>
      <c r="K5322" t="str">
        <f>T("저승의 왕위를 계승했다")</f>
        <v>저승의 왕위를 계승했다</v>
      </c>
      <c r="L5322">
        <v>100</v>
      </c>
      <c r="M5322">
        <v>170</v>
      </c>
      <c r="N5322">
        <v>2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0</v>
      </c>
      <c r="AE5322">
        <v>0</v>
      </c>
      <c r="AF5322">
        <v>0</v>
      </c>
      <c r="AG5322">
        <v>0</v>
      </c>
      <c r="AH5322">
        <v>0</v>
      </c>
      <c r="AI5322">
        <v>170</v>
      </c>
      <c r="AJ5322">
        <v>2</v>
      </c>
      <c r="AK5322">
        <v>0</v>
      </c>
      <c r="AL5322">
        <v>0</v>
      </c>
      <c r="AM5322">
        <v>170</v>
      </c>
      <c r="AN5322">
        <v>0</v>
      </c>
      <c r="AO5322">
        <v>0</v>
      </c>
      <c r="AP5322">
        <v>0</v>
      </c>
      <c r="AQ5322">
        <v>0</v>
      </c>
      <c r="AS5322">
        <v>0</v>
      </c>
      <c r="AT5322">
        <v>0</v>
      </c>
      <c r="AV5322">
        <v>0</v>
      </c>
      <c r="AW5322">
        <v>0</v>
      </c>
      <c r="AY5322">
        <v>0</v>
      </c>
      <c r="AZ5322">
        <v>0</v>
      </c>
      <c r="BA5322">
        <v>119</v>
      </c>
      <c r="BE5322" t="str">
        <f>T("9791137014381")</f>
        <v>9791137014381</v>
      </c>
      <c r="BF5322" t="str">
        <f>T("B004422")</f>
        <v>B004422</v>
      </c>
      <c r="BG5322" t="str">
        <f>T("판타지 웹소설 &gt; 퓨전 판타지")</f>
        <v>판타지 웹소설 &gt; 퓨전 판타지</v>
      </c>
    </row>
    <row r="5323" spans="1:59">
      <c r="A5323" t="s">
        <v>60</v>
      </c>
      <c r="B5323" s="1">
        <v>46130</v>
      </c>
      <c r="C5323">
        <v>2378044065</v>
      </c>
      <c r="D5323">
        <v>2378072299</v>
      </c>
      <c r="E5323" t="str">
        <f>T("저승의 왕위를 계승했다 561화")</f>
        <v>저승의 왕위를 계승했다 561화</v>
      </c>
      <c r="F5323">
        <v>562</v>
      </c>
      <c r="G5323" t="str">
        <f>T("신타비")</f>
        <v>신타비</v>
      </c>
      <c r="J5323" t="str">
        <f>T("매드햇")</f>
        <v>매드햇</v>
      </c>
      <c r="K5323" t="str">
        <f>T("저승의 왕위를 계승했다")</f>
        <v>저승의 왕위를 계승했다</v>
      </c>
      <c r="L5323">
        <v>100</v>
      </c>
      <c r="M5323">
        <v>170</v>
      </c>
      <c r="N5323">
        <v>2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0</v>
      </c>
      <c r="AE5323">
        <v>0</v>
      </c>
      <c r="AF5323">
        <v>0</v>
      </c>
      <c r="AG5323">
        <v>0</v>
      </c>
      <c r="AH5323">
        <v>0</v>
      </c>
      <c r="AI5323">
        <v>170</v>
      </c>
      <c r="AJ5323">
        <v>2</v>
      </c>
      <c r="AK5323">
        <v>0</v>
      </c>
      <c r="AL5323">
        <v>0</v>
      </c>
      <c r="AM5323">
        <v>170</v>
      </c>
      <c r="AN5323">
        <v>0</v>
      </c>
      <c r="AO5323">
        <v>0</v>
      </c>
      <c r="AP5323">
        <v>0</v>
      </c>
      <c r="AQ5323">
        <v>0</v>
      </c>
      <c r="AS5323">
        <v>0</v>
      </c>
      <c r="AT5323">
        <v>0</v>
      </c>
      <c r="AV5323">
        <v>0</v>
      </c>
      <c r="AW5323">
        <v>0</v>
      </c>
      <c r="AY5323">
        <v>0</v>
      </c>
      <c r="AZ5323">
        <v>0</v>
      </c>
      <c r="BA5323">
        <v>119</v>
      </c>
      <c r="BE5323" t="str">
        <f>T("9791137014381")</f>
        <v>9791137014381</v>
      </c>
      <c r="BF5323" t="str">
        <f>T("B004423")</f>
        <v>B004423</v>
      </c>
      <c r="BG5323" t="str">
        <f>T("판타지 웹소설 &gt; 퓨전 판타지")</f>
        <v>판타지 웹소설 &gt; 퓨전 판타지</v>
      </c>
    </row>
    <row r="5324" spans="1:59">
      <c r="A5324" t="s">
        <v>60</v>
      </c>
      <c r="B5324" s="1">
        <v>46130</v>
      </c>
      <c r="C5324">
        <v>2378044065</v>
      </c>
      <c r="D5324">
        <v>2378072304</v>
      </c>
      <c r="E5324" t="str">
        <f>T("저승의 왕위를 계승했다 562화")</f>
        <v>저승의 왕위를 계승했다 562화</v>
      </c>
      <c r="F5324">
        <v>563</v>
      </c>
      <c r="G5324" t="str">
        <f>T("신타비")</f>
        <v>신타비</v>
      </c>
      <c r="J5324" t="str">
        <f>T("매드햇")</f>
        <v>매드햇</v>
      </c>
      <c r="K5324" t="str">
        <f>T("저승의 왕위를 계승했다")</f>
        <v>저승의 왕위를 계승했다</v>
      </c>
      <c r="L5324">
        <v>100</v>
      </c>
      <c r="M5324">
        <v>170</v>
      </c>
      <c r="N5324">
        <v>2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0</v>
      </c>
      <c r="AE5324">
        <v>0</v>
      </c>
      <c r="AF5324">
        <v>0</v>
      </c>
      <c r="AG5324">
        <v>0</v>
      </c>
      <c r="AH5324">
        <v>0</v>
      </c>
      <c r="AI5324">
        <v>170</v>
      </c>
      <c r="AJ5324">
        <v>2</v>
      </c>
      <c r="AK5324">
        <v>0</v>
      </c>
      <c r="AL5324">
        <v>0</v>
      </c>
      <c r="AM5324">
        <v>170</v>
      </c>
      <c r="AN5324">
        <v>0</v>
      </c>
      <c r="AO5324">
        <v>0</v>
      </c>
      <c r="AP5324">
        <v>0</v>
      </c>
      <c r="AQ5324">
        <v>0</v>
      </c>
      <c r="AS5324">
        <v>0</v>
      </c>
      <c r="AT5324">
        <v>0</v>
      </c>
      <c r="AV5324">
        <v>0</v>
      </c>
      <c r="AW5324">
        <v>0</v>
      </c>
      <c r="AY5324">
        <v>0</v>
      </c>
      <c r="AZ5324">
        <v>0</v>
      </c>
      <c r="BA5324">
        <v>119</v>
      </c>
      <c r="BE5324" t="str">
        <f>T("9791137014381")</f>
        <v>9791137014381</v>
      </c>
      <c r="BF5324" t="str">
        <f>T("B004424")</f>
        <v>B004424</v>
      </c>
      <c r="BG5324" t="str">
        <f>T("판타지 웹소설 &gt; 퓨전 판타지")</f>
        <v>판타지 웹소설 &gt; 퓨전 판타지</v>
      </c>
    </row>
    <row r="5325" spans="1:59">
      <c r="A5325" t="s">
        <v>60</v>
      </c>
      <c r="B5325" s="1">
        <v>46130</v>
      </c>
      <c r="C5325">
        <v>2378044065</v>
      </c>
      <c r="D5325">
        <v>2378072310</v>
      </c>
      <c r="E5325" t="str">
        <f>T("저승의 왕위를 계승했다 563화")</f>
        <v>저승의 왕위를 계승했다 563화</v>
      </c>
      <c r="F5325">
        <v>564</v>
      </c>
      <c r="G5325" t="str">
        <f>T("신타비")</f>
        <v>신타비</v>
      </c>
      <c r="J5325" t="str">
        <f>T("매드햇")</f>
        <v>매드햇</v>
      </c>
      <c r="K5325" t="str">
        <f>T("저승의 왕위를 계승했다")</f>
        <v>저승의 왕위를 계승했다</v>
      </c>
      <c r="L5325">
        <v>100</v>
      </c>
      <c r="M5325">
        <v>170</v>
      </c>
      <c r="N5325">
        <v>2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0</v>
      </c>
      <c r="AE5325">
        <v>0</v>
      </c>
      <c r="AF5325">
        <v>0</v>
      </c>
      <c r="AG5325">
        <v>0</v>
      </c>
      <c r="AH5325">
        <v>0</v>
      </c>
      <c r="AI5325">
        <v>170</v>
      </c>
      <c r="AJ5325">
        <v>2</v>
      </c>
      <c r="AK5325">
        <v>0</v>
      </c>
      <c r="AL5325">
        <v>0</v>
      </c>
      <c r="AM5325">
        <v>170</v>
      </c>
      <c r="AN5325">
        <v>0</v>
      </c>
      <c r="AO5325">
        <v>0</v>
      </c>
      <c r="AP5325">
        <v>0</v>
      </c>
      <c r="AQ5325">
        <v>0</v>
      </c>
      <c r="AS5325">
        <v>0</v>
      </c>
      <c r="AT5325">
        <v>0</v>
      </c>
      <c r="AV5325">
        <v>0</v>
      </c>
      <c r="AW5325">
        <v>0</v>
      </c>
      <c r="AY5325">
        <v>0</v>
      </c>
      <c r="AZ5325">
        <v>0</v>
      </c>
      <c r="BA5325">
        <v>119</v>
      </c>
      <c r="BE5325" t="str">
        <f>T("9791137014381")</f>
        <v>9791137014381</v>
      </c>
      <c r="BF5325" t="str">
        <f>T("B004617")</f>
        <v>B004617</v>
      </c>
      <c r="BG5325" t="str">
        <f>T("판타지 웹소설 &gt; 퓨전 판타지")</f>
        <v>판타지 웹소설 &gt; 퓨전 판타지</v>
      </c>
    </row>
    <row r="5326" spans="1:59">
      <c r="A5326" t="s">
        <v>60</v>
      </c>
      <c r="B5326" s="1">
        <v>46130</v>
      </c>
      <c r="C5326">
        <v>2378044065</v>
      </c>
      <c r="D5326">
        <v>2378072315</v>
      </c>
      <c r="E5326" t="str">
        <f>T("저승의 왕위를 계승했다 564화")</f>
        <v>저승의 왕위를 계승했다 564화</v>
      </c>
      <c r="F5326">
        <v>565</v>
      </c>
      <c r="G5326" t="str">
        <f>T("신타비")</f>
        <v>신타비</v>
      </c>
      <c r="J5326" t="str">
        <f>T("매드햇")</f>
        <v>매드햇</v>
      </c>
      <c r="K5326" t="str">
        <f>T("저승의 왕위를 계승했다")</f>
        <v>저승의 왕위를 계승했다</v>
      </c>
      <c r="L5326">
        <v>100</v>
      </c>
      <c r="M5326">
        <v>170</v>
      </c>
      <c r="N5326">
        <v>2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0</v>
      </c>
      <c r="AE5326">
        <v>0</v>
      </c>
      <c r="AF5326">
        <v>0</v>
      </c>
      <c r="AG5326">
        <v>0</v>
      </c>
      <c r="AH5326">
        <v>0</v>
      </c>
      <c r="AI5326">
        <v>170</v>
      </c>
      <c r="AJ5326">
        <v>2</v>
      </c>
      <c r="AK5326">
        <v>0</v>
      </c>
      <c r="AL5326">
        <v>0</v>
      </c>
      <c r="AM5326">
        <v>170</v>
      </c>
      <c r="AN5326">
        <v>0</v>
      </c>
      <c r="AO5326">
        <v>0</v>
      </c>
      <c r="AP5326">
        <v>0</v>
      </c>
      <c r="AQ5326">
        <v>0</v>
      </c>
      <c r="AS5326">
        <v>0</v>
      </c>
      <c r="AT5326">
        <v>0</v>
      </c>
      <c r="AV5326">
        <v>0</v>
      </c>
      <c r="AW5326">
        <v>0</v>
      </c>
      <c r="AY5326">
        <v>0</v>
      </c>
      <c r="AZ5326">
        <v>0</v>
      </c>
      <c r="BA5326">
        <v>119</v>
      </c>
      <c r="BE5326" t="str">
        <f>T("9791137014381")</f>
        <v>9791137014381</v>
      </c>
      <c r="BF5326" t="str">
        <f>T("B004618")</f>
        <v>B004618</v>
      </c>
      <c r="BG5326" t="str">
        <f>T("판타지 웹소설 &gt; 퓨전 판타지")</f>
        <v>판타지 웹소설 &gt; 퓨전 판타지</v>
      </c>
    </row>
    <row r="5327" spans="1:59">
      <c r="A5327" t="s">
        <v>60</v>
      </c>
      <c r="B5327" s="1">
        <v>46130</v>
      </c>
      <c r="C5327">
        <v>2378044065</v>
      </c>
      <c r="D5327">
        <v>2378073148</v>
      </c>
      <c r="E5327" t="str">
        <f>T("저승의 왕위를 계승했다 565화")</f>
        <v>저승의 왕위를 계승했다 565화</v>
      </c>
      <c r="F5327">
        <v>566</v>
      </c>
      <c r="G5327" t="str">
        <f>T("신타비")</f>
        <v>신타비</v>
      </c>
      <c r="J5327" t="str">
        <f>T("매드햇")</f>
        <v>매드햇</v>
      </c>
      <c r="K5327" t="str">
        <f>T("저승의 왕위를 계승했다")</f>
        <v>저승의 왕위를 계승했다</v>
      </c>
      <c r="L5327">
        <v>100</v>
      </c>
      <c r="M5327">
        <v>170</v>
      </c>
      <c r="N5327">
        <v>2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0</v>
      </c>
      <c r="AE5327">
        <v>0</v>
      </c>
      <c r="AF5327">
        <v>0</v>
      </c>
      <c r="AG5327">
        <v>0</v>
      </c>
      <c r="AH5327">
        <v>0</v>
      </c>
      <c r="AI5327">
        <v>170</v>
      </c>
      <c r="AJ5327">
        <v>2</v>
      </c>
      <c r="AK5327">
        <v>0</v>
      </c>
      <c r="AL5327">
        <v>0</v>
      </c>
      <c r="AM5327">
        <v>170</v>
      </c>
      <c r="AN5327">
        <v>0</v>
      </c>
      <c r="AO5327">
        <v>0</v>
      </c>
      <c r="AP5327">
        <v>0</v>
      </c>
      <c r="AQ5327">
        <v>0</v>
      </c>
      <c r="AS5327">
        <v>0</v>
      </c>
      <c r="AT5327">
        <v>0</v>
      </c>
      <c r="AV5327">
        <v>0</v>
      </c>
      <c r="AW5327">
        <v>0</v>
      </c>
      <c r="AY5327">
        <v>0</v>
      </c>
      <c r="AZ5327">
        <v>0</v>
      </c>
      <c r="BA5327">
        <v>119</v>
      </c>
      <c r="BE5327" t="str">
        <f>T("9791137014381")</f>
        <v>9791137014381</v>
      </c>
      <c r="BF5327" t="str">
        <f>T("B004619")</f>
        <v>B004619</v>
      </c>
      <c r="BG5327" t="str">
        <f>T("판타지 웹소설 &gt; 퓨전 판타지")</f>
        <v>판타지 웹소설 &gt; 퓨전 판타지</v>
      </c>
    </row>
    <row r="5328" spans="1:59">
      <c r="A5328" t="s">
        <v>60</v>
      </c>
      <c r="B5328" s="1">
        <v>46130</v>
      </c>
      <c r="C5328">
        <v>2378044065</v>
      </c>
      <c r="D5328">
        <v>2378073161</v>
      </c>
      <c r="E5328" t="str">
        <f>T("저승의 왕위를 계승했다 566화")</f>
        <v>저승의 왕위를 계승했다 566화</v>
      </c>
      <c r="F5328">
        <v>567</v>
      </c>
      <c r="G5328" t="str">
        <f>T("신타비")</f>
        <v>신타비</v>
      </c>
      <c r="J5328" t="str">
        <f>T("매드햇")</f>
        <v>매드햇</v>
      </c>
      <c r="K5328" t="str">
        <f>T("저승의 왕위를 계승했다")</f>
        <v>저승의 왕위를 계승했다</v>
      </c>
      <c r="L5328">
        <v>100</v>
      </c>
      <c r="M5328">
        <v>170</v>
      </c>
      <c r="N5328">
        <v>2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0</v>
      </c>
      <c r="AE5328">
        <v>0</v>
      </c>
      <c r="AF5328">
        <v>0</v>
      </c>
      <c r="AG5328">
        <v>0</v>
      </c>
      <c r="AH5328">
        <v>0</v>
      </c>
      <c r="AI5328">
        <v>170</v>
      </c>
      <c r="AJ5328">
        <v>2</v>
      </c>
      <c r="AK5328">
        <v>0</v>
      </c>
      <c r="AL5328">
        <v>0</v>
      </c>
      <c r="AM5328">
        <v>170</v>
      </c>
      <c r="AN5328">
        <v>0</v>
      </c>
      <c r="AO5328">
        <v>0</v>
      </c>
      <c r="AP5328">
        <v>0</v>
      </c>
      <c r="AQ5328">
        <v>0</v>
      </c>
      <c r="AS5328">
        <v>0</v>
      </c>
      <c r="AT5328">
        <v>0</v>
      </c>
      <c r="AV5328">
        <v>0</v>
      </c>
      <c r="AW5328">
        <v>0</v>
      </c>
      <c r="AY5328">
        <v>0</v>
      </c>
      <c r="AZ5328">
        <v>0</v>
      </c>
      <c r="BA5328">
        <v>119</v>
      </c>
      <c r="BE5328" t="str">
        <f>T("9791137014381")</f>
        <v>9791137014381</v>
      </c>
      <c r="BF5328" t="str">
        <f>T("B004620")</f>
        <v>B004620</v>
      </c>
      <c r="BG5328" t="str">
        <f>T("판타지 웹소설 &gt; 퓨전 판타지")</f>
        <v>판타지 웹소설 &gt; 퓨전 판타지</v>
      </c>
    </row>
    <row r="5329" spans="1:59">
      <c r="A5329" t="s">
        <v>60</v>
      </c>
      <c r="B5329" s="1">
        <v>46130</v>
      </c>
      <c r="C5329">
        <v>2378044065</v>
      </c>
      <c r="D5329">
        <v>2378073166</v>
      </c>
      <c r="E5329" t="str">
        <f>T("저승의 왕위를 계승했다 567화")</f>
        <v>저승의 왕위를 계승했다 567화</v>
      </c>
      <c r="F5329">
        <v>568</v>
      </c>
      <c r="G5329" t="str">
        <f>T("신타비")</f>
        <v>신타비</v>
      </c>
      <c r="J5329" t="str">
        <f>T("매드햇")</f>
        <v>매드햇</v>
      </c>
      <c r="K5329" t="str">
        <f>T("저승의 왕위를 계승했다")</f>
        <v>저승의 왕위를 계승했다</v>
      </c>
      <c r="L5329">
        <v>100</v>
      </c>
      <c r="M5329">
        <v>170</v>
      </c>
      <c r="N5329">
        <v>2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0</v>
      </c>
      <c r="AE5329">
        <v>0</v>
      </c>
      <c r="AF5329">
        <v>0</v>
      </c>
      <c r="AG5329">
        <v>0</v>
      </c>
      <c r="AH5329">
        <v>0</v>
      </c>
      <c r="AI5329">
        <v>170</v>
      </c>
      <c r="AJ5329">
        <v>2</v>
      </c>
      <c r="AK5329">
        <v>0</v>
      </c>
      <c r="AL5329">
        <v>0</v>
      </c>
      <c r="AM5329">
        <v>170</v>
      </c>
      <c r="AN5329">
        <v>0</v>
      </c>
      <c r="AO5329">
        <v>0</v>
      </c>
      <c r="AP5329">
        <v>0</v>
      </c>
      <c r="AQ5329">
        <v>0</v>
      </c>
      <c r="AS5329">
        <v>0</v>
      </c>
      <c r="AT5329">
        <v>0</v>
      </c>
      <c r="AV5329">
        <v>0</v>
      </c>
      <c r="AW5329">
        <v>0</v>
      </c>
      <c r="AY5329">
        <v>0</v>
      </c>
      <c r="AZ5329">
        <v>0</v>
      </c>
      <c r="BA5329">
        <v>119</v>
      </c>
      <c r="BE5329" t="str">
        <f>T("9791137014381")</f>
        <v>9791137014381</v>
      </c>
      <c r="BF5329" t="str">
        <f>T("B010169")</f>
        <v>B010169</v>
      </c>
      <c r="BG5329" t="str">
        <f>T("판타지 웹소설 &gt; 퓨전 판타지")</f>
        <v>판타지 웹소설 &gt; 퓨전 판타지</v>
      </c>
    </row>
    <row r="5330" spans="1:59">
      <c r="A5330" t="s">
        <v>60</v>
      </c>
      <c r="B5330" s="1">
        <v>46130</v>
      </c>
      <c r="C5330">
        <v>2378044065</v>
      </c>
      <c r="D5330">
        <v>2378073175</v>
      </c>
      <c r="E5330" t="str">
        <f>T("저승의 왕위를 계승했다 568화")</f>
        <v>저승의 왕위를 계승했다 568화</v>
      </c>
      <c r="F5330">
        <v>569</v>
      </c>
      <c r="G5330" t="str">
        <f>T("신타비")</f>
        <v>신타비</v>
      </c>
      <c r="J5330" t="str">
        <f>T("매드햇")</f>
        <v>매드햇</v>
      </c>
      <c r="K5330" t="str">
        <f>T("저승의 왕위를 계승했다")</f>
        <v>저승의 왕위를 계승했다</v>
      </c>
      <c r="L5330">
        <v>100</v>
      </c>
      <c r="M5330">
        <v>170</v>
      </c>
      <c r="N5330">
        <v>2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0</v>
      </c>
      <c r="AE5330">
        <v>0</v>
      </c>
      <c r="AF5330">
        <v>0</v>
      </c>
      <c r="AG5330">
        <v>0</v>
      </c>
      <c r="AH5330">
        <v>0</v>
      </c>
      <c r="AI5330">
        <v>170</v>
      </c>
      <c r="AJ5330">
        <v>2</v>
      </c>
      <c r="AK5330">
        <v>0</v>
      </c>
      <c r="AL5330">
        <v>0</v>
      </c>
      <c r="AM5330">
        <v>170</v>
      </c>
      <c r="AN5330">
        <v>0</v>
      </c>
      <c r="AO5330">
        <v>0</v>
      </c>
      <c r="AP5330">
        <v>0</v>
      </c>
      <c r="AQ5330">
        <v>0</v>
      </c>
      <c r="AS5330">
        <v>0</v>
      </c>
      <c r="AT5330">
        <v>0</v>
      </c>
      <c r="AV5330">
        <v>0</v>
      </c>
      <c r="AW5330">
        <v>0</v>
      </c>
      <c r="AY5330">
        <v>0</v>
      </c>
      <c r="AZ5330">
        <v>0</v>
      </c>
      <c r="BA5330">
        <v>119</v>
      </c>
      <c r="BE5330" t="str">
        <f>T("9791137014381")</f>
        <v>9791137014381</v>
      </c>
      <c r="BF5330" t="str">
        <f>T("B010170")</f>
        <v>B010170</v>
      </c>
      <c r="BG5330" t="str">
        <f>T("판타지 웹소설 &gt; 퓨전 판타지")</f>
        <v>판타지 웹소설 &gt; 퓨전 판타지</v>
      </c>
    </row>
    <row r="5331" spans="1:59">
      <c r="A5331" t="s">
        <v>60</v>
      </c>
      <c r="B5331" s="1">
        <v>46130</v>
      </c>
      <c r="C5331">
        <v>2378044065</v>
      </c>
      <c r="D5331">
        <v>2378073182</v>
      </c>
      <c r="E5331" t="str">
        <f>T("저승의 왕위를 계승했다 569화")</f>
        <v>저승의 왕위를 계승했다 569화</v>
      </c>
      <c r="F5331">
        <v>570</v>
      </c>
      <c r="G5331" t="str">
        <f>T("신타비")</f>
        <v>신타비</v>
      </c>
      <c r="J5331" t="str">
        <f>T("매드햇")</f>
        <v>매드햇</v>
      </c>
      <c r="K5331" t="str">
        <f>T("저승의 왕위를 계승했다")</f>
        <v>저승의 왕위를 계승했다</v>
      </c>
      <c r="L5331">
        <v>100</v>
      </c>
      <c r="M5331">
        <v>170</v>
      </c>
      <c r="N5331">
        <v>2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0</v>
      </c>
      <c r="AE5331">
        <v>0</v>
      </c>
      <c r="AF5331">
        <v>0</v>
      </c>
      <c r="AG5331">
        <v>0</v>
      </c>
      <c r="AH5331">
        <v>0</v>
      </c>
      <c r="AI5331">
        <v>170</v>
      </c>
      <c r="AJ5331">
        <v>2</v>
      </c>
      <c r="AK5331">
        <v>0</v>
      </c>
      <c r="AL5331">
        <v>0</v>
      </c>
      <c r="AM5331">
        <v>170</v>
      </c>
      <c r="AN5331">
        <v>0</v>
      </c>
      <c r="AO5331">
        <v>0</v>
      </c>
      <c r="AP5331">
        <v>0</v>
      </c>
      <c r="AQ5331">
        <v>0</v>
      </c>
      <c r="AS5331">
        <v>0</v>
      </c>
      <c r="AT5331">
        <v>0</v>
      </c>
      <c r="AV5331">
        <v>0</v>
      </c>
      <c r="AW5331">
        <v>0</v>
      </c>
      <c r="AY5331">
        <v>0</v>
      </c>
      <c r="AZ5331">
        <v>0</v>
      </c>
      <c r="BA5331">
        <v>119</v>
      </c>
      <c r="BE5331" t="str">
        <f>T("9791137014381")</f>
        <v>9791137014381</v>
      </c>
      <c r="BF5331" t="str">
        <f>T("B010171")</f>
        <v>B010171</v>
      </c>
      <c r="BG5331" t="str">
        <f>T("판타지 웹소설 &gt; 퓨전 판타지")</f>
        <v>판타지 웹소설 &gt; 퓨전 판타지</v>
      </c>
    </row>
    <row r="5332" spans="1:59">
      <c r="A5332" t="s">
        <v>60</v>
      </c>
      <c r="B5332" s="1">
        <v>46130</v>
      </c>
      <c r="C5332">
        <v>2378044065</v>
      </c>
      <c r="D5332">
        <v>2378073199</v>
      </c>
      <c r="E5332" t="str">
        <f>T("저승의 왕위를 계승했다 570화")</f>
        <v>저승의 왕위를 계승했다 570화</v>
      </c>
      <c r="F5332">
        <v>571</v>
      </c>
      <c r="G5332" t="str">
        <f>T("신타비")</f>
        <v>신타비</v>
      </c>
      <c r="J5332" t="str">
        <f>T("매드햇")</f>
        <v>매드햇</v>
      </c>
      <c r="K5332" t="str">
        <f>T("저승의 왕위를 계승했다")</f>
        <v>저승의 왕위를 계승했다</v>
      </c>
      <c r="L5332">
        <v>100</v>
      </c>
      <c r="M5332">
        <v>170</v>
      </c>
      <c r="N5332">
        <v>2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0</v>
      </c>
      <c r="AE5332">
        <v>0</v>
      </c>
      <c r="AF5332">
        <v>0</v>
      </c>
      <c r="AG5332">
        <v>0</v>
      </c>
      <c r="AH5332">
        <v>0</v>
      </c>
      <c r="AI5332">
        <v>170</v>
      </c>
      <c r="AJ5332">
        <v>2</v>
      </c>
      <c r="AK5332">
        <v>0</v>
      </c>
      <c r="AL5332">
        <v>0</v>
      </c>
      <c r="AM5332">
        <v>170</v>
      </c>
      <c r="AN5332">
        <v>0</v>
      </c>
      <c r="AO5332">
        <v>0</v>
      </c>
      <c r="AP5332">
        <v>0</v>
      </c>
      <c r="AQ5332">
        <v>0</v>
      </c>
      <c r="AS5332">
        <v>0</v>
      </c>
      <c r="AT5332">
        <v>0</v>
      </c>
      <c r="AV5332">
        <v>0</v>
      </c>
      <c r="AW5332">
        <v>0</v>
      </c>
      <c r="AY5332">
        <v>0</v>
      </c>
      <c r="AZ5332">
        <v>0</v>
      </c>
      <c r="BA5332">
        <v>119</v>
      </c>
      <c r="BE5332" t="str">
        <f>T("9791137014381")</f>
        <v>9791137014381</v>
      </c>
      <c r="BF5332" t="str">
        <f>T("B010172")</f>
        <v>B010172</v>
      </c>
      <c r="BG5332" t="str">
        <f>T("판타지 웹소설 &gt; 퓨전 판타지")</f>
        <v>판타지 웹소설 &gt; 퓨전 판타지</v>
      </c>
    </row>
    <row r="5333" spans="1:59">
      <c r="A5333" t="s">
        <v>60</v>
      </c>
      <c r="B5333" s="1">
        <v>46130</v>
      </c>
      <c r="C5333">
        <v>2378044065</v>
      </c>
      <c r="D5333">
        <v>2378073203</v>
      </c>
      <c r="E5333" t="str">
        <f>T("저승의 왕위를 계승했다 571화")</f>
        <v>저승의 왕위를 계승했다 571화</v>
      </c>
      <c r="F5333">
        <v>572</v>
      </c>
      <c r="G5333" t="str">
        <f>T("신타비")</f>
        <v>신타비</v>
      </c>
      <c r="J5333" t="str">
        <f>T("매드햇")</f>
        <v>매드햇</v>
      </c>
      <c r="K5333" t="str">
        <f>T("저승의 왕위를 계승했다")</f>
        <v>저승의 왕위를 계승했다</v>
      </c>
      <c r="L5333">
        <v>100</v>
      </c>
      <c r="M5333">
        <v>170</v>
      </c>
      <c r="N5333">
        <v>2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0</v>
      </c>
      <c r="AE5333">
        <v>0</v>
      </c>
      <c r="AF5333">
        <v>0</v>
      </c>
      <c r="AG5333">
        <v>0</v>
      </c>
      <c r="AH5333">
        <v>0</v>
      </c>
      <c r="AI5333">
        <v>170</v>
      </c>
      <c r="AJ5333">
        <v>2</v>
      </c>
      <c r="AK5333">
        <v>0</v>
      </c>
      <c r="AL5333">
        <v>0</v>
      </c>
      <c r="AM5333">
        <v>170</v>
      </c>
      <c r="AN5333">
        <v>0</v>
      </c>
      <c r="AO5333">
        <v>0</v>
      </c>
      <c r="AP5333">
        <v>0</v>
      </c>
      <c r="AQ5333">
        <v>0</v>
      </c>
      <c r="AS5333">
        <v>0</v>
      </c>
      <c r="AT5333">
        <v>0</v>
      </c>
      <c r="AV5333">
        <v>0</v>
      </c>
      <c r="AW5333">
        <v>0</v>
      </c>
      <c r="AY5333">
        <v>0</v>
      </c>
      <c r="AZ5333">
        <v>0</v>
      </c>
      <c r="BA5333">
        <v>119</v>
      </c>
      <c r="BE5333" t="str">
        <f>T("9791137014381")</f>
        <v>9791137014381</v>
      </c>
      <c r="BF5333" t="str">
        <f>T("B012112")</f>
        <v>B012112</v>
      </c>
      <c r="BG5333" t="str">
        <f>T("판타지 웹소설 &gt; 퓨전 판타지")</f>
        <v>판타지 웹소설 &gt; 퓨전 판타지</v>
      </c>
    </row>
    <row r="5334" spans="1:59">
      <c r="A5334" t="s">
        <v>60</v>
      </c>
      <c r="B5334" s="1">
        <v>46130</v>
      </c>
      <c r="C5334">
        <v>2378044065</v>
      </c>
      <c r="D5334">
        <v>2378073206</v>
      </c>
      <c r="E5334" t="str">
        <f>T("저승의 왕위를 계승했다 572화")</f>
        <v>저승의 왕위를 계승했다 572화</v>
      </c>
      <c r="F5334">
        <v>573</v>
      </c>
      <c r="G5334" t="str">
        <f>T("신타비")</f>
        <v>신타비</v>
      </c>
      <c r="J5334" t="str">
        <f>T("매드햇")</f>
        <v>매드햇</v>
      </c>
      <c r="K5334" t="str">
        <f>T("저승의 왕위를 계승했다")</f>
        <v>저승의 왕위를 계승했다</v>
      </c>
      <c r="L5334">
        <v>100</v>
      </c>
      <c r="M5334">
        <v>170</v>
      </c>
      <c r="N5334">
        <v>2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0</v>
      </c>
      <c r="AE5334">
        <v>0</v>
      </c>
      <c r="AF5334">
        <v>0</v>
      </c>
      <c r="AG5334">
        <v>0</v>
      </c>
      <c r="AH5334">
        <v>0</v>
      </c>
      <c r="AI5334">
        <v>170</v>
      </c>
      <c r="AJ5334">
        <v>2</v>
      </c>
      <c r="AK5334">
        <v>0</v>
      </c>
      <c r="AL5334">
        <v>0</v>
      </c>
      <c r="AM5334">
        <v>170</v>
      </c>
      <c r="AN5334">
        <v>0</v>
      </c>
      <c r="AO5334">
        <v>0</v>
      </c>
      <c r="AP5334">
        <v>0</v>
      </c>
      <c r="AQ5334">
        <v>0</v>
      </c>
      <c r="AS5334">
        <v>0</v>
      </c>
      <c r="AT5334">
        <v>0</v>
      </c>
      <c r="AV5334">
        <v>0</v>
      </c>
      <c r="AW5334">
        <v>0</v>
      </c>
      <c r="AY5334">
        <v>0</v>
      </c>
      <c r="AZ5334">
        <v>0</v>
      </c>
      <c r="BA5334">
        <v>119</v>
      </c>
      <c r="BE5334" t="str">
        <f>T("9791137014381")</f>
        <v>9791137014381</v>
      </c>
      <c r="BF5334" t="str">
        <f>T("B012113")</f>
        <v>B012113</v>
      </c>
      <c r="BG5334" t="str">
        <f>T("판타지 웹소설 &gt; 퓨전 판타지")</f>
        <v>판타지 웹소설 &gt; 퓨전 판타지</v>
      </c>
    </row>
    <row r="5335" spans="1:59">
      <c r="A5335" t="s">
        <v>60</v>
      </c>
      <c r="B5335" s="1">
        <v>46130</v>
      </c>
      <c r="C5335">
        <v>2378044065</v>
      </c>
      <c r="D5335">
        <v>2378073211</v>
      </c>
      <c r="E5335" t="str">
        <f>T("저승의 왕위를 계승했다 573화")</f>
        <v>저승의 왕위를 계승했다 573화</v>
      </c>
      <c r="F5335">
        <v>574</v>
      </c>
      <c r="G5335" t="str">
        <f>T("신타비")</f>
        <v>신타비</v>
      </c>
      <c r="J5335" t="str">
        <f>T("매드햇")</f>
        <v>매드햇</v>
      </c>
      <c r="K5335" t="str">
        <f>T("저승의 왕위를 계승했다")</f>
        <v>저승의 왕위를 계승했다</v>
      </c>
      <c r="L5335">
        <v>100</v>
      </c>
      <c r="M5335">
        <v>170</v>
      </c>
      <c r="N5335">
        <v>2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0</v>
      </c>
      <c r="AE5335">
        <v>0</v>
      </c>
      <c r="AF5335">
        <v>0</v>
      </c>
      <c r="AG5335">
        <v>0</v>
      </c>
      <c r="AH5335">
        <v>0</v>
      </c>
      <c r="AI5335">
        <v>170</v>
      </c>
      <c r="AJ5335">
        <v>2</v>
      </c>
      <c r="AK5335">
        <v>0</v>
      </c>
      <c r="AL5335">
        <v>0</v>
      </c>
      <c r="AM5335">
        <v>170</v>
      </c>
      <c r="AN5335">
        <v>0</v>
      </c>
      <c r="AO5335">
        <v>0</v>
      </c>
      <c r="AP5335">
        <v>0</v>
      </c>
      <c r="AQ5335">
        <v>0</v>
      </c>
      <c r="AS5335">
        <v>0</v>
      </c>
      <c r="AT5335">
        <v>0</v>
      </c>
      <c r="AV5335">
        <v>0</v>
      </c>
      <c r="AW5335">
        <v>0</v>
      </c>
      <c r="AY5335">
        <v>0</v>
      </c>
      <c r="AZ5335">
        <v>0</v>
      </c>
      <c r="BA5335">
        <v>119</v>
      </c>
      <c r="BE5335" t="str">
        <f>T("9791137014381")</f>
        <v>9791137014381</v>
      </c>
      <c r="BF5335" t="str">
        <f>T("B012114")</f>
        <v>B012114</v>
      </c>
      <c r="BG5335" t="str">
        <f>T("판타지 웹소설 &gt; 퓨전 판타지")</f>
        <v>판타지 웹소설 &gt; 퓨전 판타지</v>
      </c>
    </row>
    <row r="5336" spans="1:59">
      <c r="A5336" t="s">
        <v>60</v>
      </c>
      <c r="B5336" s="1">
        <v>46130</v>
      </c>
      <c r="C5336">
        <v>2378044065</v>
      </c>
      <c r="D5336">
        <v>2378073215</v>
      </c>
      <c r="E5336" t="str">
        <f>T("저승의 왕위를 계승했다 574화")</f>
        <v>저승의 왕위를 계승했다 574화</v>
      </c>
      <c r="F5336">
        <v>575</v>
      </c>
      <c r="G5336" t="str">
        <f>T("신타비")</f>
        <v>신타비</v>
      </c>
      <c r="J5336" t="str">
        <f>T("매드햇")</f>
        <v>매드햇</v>
      </c>
      <c r="K5336" t="str">
        <f>T("저승의 왕위를 계승했다")</f>
        <v>저승의 왕위를 계승했다</v>
      </c>
      <c r="L5336">
        <v>100</v>
      </c>
      <c r="M5336">
        <v>170</v>
      </c>
      <c r="N5336">
        <v>2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0</v>
      </c>
      <c r="AE5336">
        <v>0</v>
      </c>
      <c r="AF5336">
        <v>0</v>
      </c>
      <c r="AG5336">
        <v>0</v>
      </c>
      <c r="AH5336">
        <v>0</v>
      </c>
      <c r="AI5336">
        <v>170</v>
      </c>
      <c r="AJ5336">
        <v>2</v>
      </c>
      <c r="AK5336">
        <v>0</v>
      </c>
      <c r="AL5336">
        <v>0</v>
      </c>
      <c r="AM5336">
        <v>170</v>
      </c>
      <c r="AN5336">
        <v>0</v>
      </c>
      <c r="AO5336">
        <v>0</v>
      </c>
      <c r="AP5336">
        <v>0</v>
      </c>
      <c r="AQ5336">
        <v>0</v>
      </c>
      <c r="AS5336">
        <v>0</v>
      </c>
      <c r="AT5336">
        <v>0</v>
      </c>
      <c r="AV5336">
        <v>0</v>
      </c>
      <c r="AW5336">
        <v>0</v>
      </c>
      <c r="AY5336">
        <v>0</v>
      </c>
      <c r="AZ5336">
        <v>0</v>
      </c>
      <c r="BA5336">
        <v>119</v>
      </c>
      <c r="BE5336" t="str">
        <f>T("9791137014381")</f>
        <v>9791137014381</v>
      </c>
      <c r="BF5336" t="str">
        <f>T("B012115")</f>
        <v>B012115</v>
      </c>
      <c r="BG5336" t="str">
        <f>T("판타지 웹소설 &gt; 퓨전 판타지")</f>
        <v>판타지 웹소설 &gt; 퓨전 판타지</v>
      </c>
    </row>
    <row r="5337" spans="1:59">
      <c r="A5337" t="s">
        <v>60</v>
      </c>
      <c r="B5337" s="1">
        <v>46130</v>
      </c>
      <c r="C5337">
        <v>2378044065</v>
      </c>
      <c r="D5337">
        <v>2378073249</v>
      </c>
      <c r="E5337" t="str">
        <f>T("저승의 왕위를 계승했다 575화")</f>
        <v>저승의 왕위를 계승했다 575화</v>
      </c>
      <c r="F5337">
        <v>576</v>
      </c>
      <c r="G5337" t="str">
        <f>T("신타비")</f>
        <v>신타비</v>
      </c>
      <c r="J5337" t="str">
        <f>T("매드햇")</f>
        <v>매드햇</v>
      </c>
      <c r="K5337" t="str">
        <f>T("저승의 왕위를 계승했다")</f>
        <v>저승의 왕위를 계승했다</v>
      </c>
      <c r="L5337">
        <v>100</v>
      </c>
      <c r="M5337">
        <v>170</v>
      </c>
      <c r="N5337">
        <v>2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0</v>
      </c>
      <c r="AE5337">
        <v>0</v>
      </c>
      <c r="AF5337">
        <v>0</v>
      </c>
      <c r="AG5337">
        <v>0</v>
      </c>
      <c r="AH5337">
        <v>0</v>
      </c>
      <c r="AI5337">
        <v>170</v>
      </c>
      <c r="AJ5337">
        <v>2</v>
      </c>
      <c r="AK5337">
        <v>0</v>
      </c>
      <c r="AL5337">
        <v>0</v>
      </c>
      <c r="AM5337">
        <v>170</v>
      </c>
      <c r="AN5337">
        <v>0</v>
      </c>
      <c r="AO5337">
        <v>0</v>
      </c>
      <c r="AP5337">
        <v>0</v>
      </c>
      <c r="AQ5337">
        <v>0</v>
      </c>
      <c r="AS5337">
        <v>0</v>
      </c>
      <c r="AT5337">
        <v>0</v>
      </c>
      <c r="AV5337">
        <v>0</v>
      </c>
      <c r="AW5337">
        <v>0</v>
      </c>
      <c r="AY5337">
        <v>0</v>
      </c>
      <c r="AZ5337">
        <v>0</v>
      </c>
      <c r="BA5337">
        <v>119</v>
      </c>
      <c r="BE5337" t="str">
        <f>T("9791137014381")</f>
        <v>9791137014381</v>
      </c>
      <c r="BF5337" t="str">
        <f>T("B016510")</f>
        <v>B016510</v>
      </c>
      <c r="BG5337" t="str">
        <f>T("판타지 웹소설 &gt; 퓨전 판타지")</f>
        <v>판타지 웹소설 &gt; 퓨전 판타지</v>
      </c>
    </row>
    <row r="5338" spans="1:59">
      <c r="A5338" t="s">
        <v>60</v>
      </c>
      <c r="B5338" s="1">
        <v>46130</v>
      </c>
      <c r="C5338">
        <v>2378044065</v>
      </c>
      <c r="D5338">
        <v>2378073250</v>
      </c>
      <c r="E5338" t="str">
        <f>T("저승의 왕위를 계승했다 576화")</f>
        <v>저승의 왕위를 계승했다 576화</v>
      </c>
      <c r="F5338">
        <v>577</v>
      </c>
      <c r="G5338" t="str">
        <f>T("신타비")</f>
        <v>신타비</v>
      </c>
      <c r="J5338" t="str">
        <f>T("매드햇")</f>
        <v>매드햇</v>
      </c>
      <c r="K5338" t="str">
        <f>T("저승의 왕위를 계승했다")</f>
        <v>저승의 왕위를 계승했다</v>
      </c>
      <c r="L5338">
        <v>100</v>
      </c>
      <c r="M5338">
        <v>170</v>
      </c>
      <c r="N5338">
        <v>2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0</v>
      </c>
      <c r="AE5338">
        <v>0</v>
      </c>
      <c r="AF5338">
        <v>0</v>
      </c>
      <c r="AG5338">
        <v>0</v>
      </c>
      <c r="AH5338">
        <v>0</v>
      </c>
      <c r="AI5338">
        <v>170</v>
      </c>
      <c r="AJ5338">
        <v>2</v>
      </c>
      <c r="AK5338">
        <v>0</v>
      </c>
      <c r="AL5338">
        <v>0</v>
      </c>
      <c r="AM5338">
        <v>170</v>
      </c>
      <c r="AN5338">
        <v>0</v>
      </c>
      <c r="AO5338">
        <v>0</v>
      </c>
      <c r="AP5338">
        <v>0</v>
      </c>
      <c r="AQ5338">
        <v>0</v>
      </c>
      <c r="AS5338">
        <v>0</v>
      </c>
      <c r="AT5338">
        <v>0</v>
      </c>
      <c r="AV5338">
        <v>0</v>
      </c>
      <c r="AW5338">
        <v>0</v>
      </c>
      <c r="AY5338">
        <v>0</v>
      </c>
      <c r="AZ5338">
        <v>0</v>
      </c>
      <c r="BA5338">
        <v>119</v>
      </c>
      <c r="BE5338" t="str">
        <f>T("9791137014381")</f>
        <v>9791137014381</v>
      </c>
      <c r="BF5338" t="str">
        <f>T("B016511")</f>
        <v>B016511</v>
      </c>
      <c r="BG5338" t="str">
        <f>T("판타지 웹소설 &gt; 퓨전 판타지")</f>
        <v>판타지 웹소설 &gt; 퓨전 판타지</v>
      </c>
    </row>
    <row r="5339" spans="1:59">
      <c r="A5339" t="s">
        <v>60</v>
      </c>
      <c r="B5339" s="1">
        <v>46130</v>
      </c>
      <c r="C5339">
        <v>2378044065</v>
      </c>
      <c r="D5339">
        <v>2378073252</v>
      </c>
      <c r="E5339" t="str">
        <f>T("저승의 왕위를 계승했다 577화")</f>
        <v>저승의 왕위를 계승했다 577화</v>
      </c>
      <c r="F5339">
        <v>578</v>
      </c>
      <c r="G5339" t="str">
        <f>T("신타비")</f>
        <v>신타비</v>
      </c>
      <c r="J5339" t="str">
        <f>T("매드햇")</f>
        <v>매드햇</v>
      </c>
      <c r="K5339" t="str">
        <f>T("저승의 왕위를 계승했다")</f>
        <v>저승의 왕위를 계승했다</v>
      </c>
      <c r="L5339">
        <v>100</v>
      </c>
      <c r="M5339">
        <v>170</v>
      </c>
      <c r="N5339">
        <v>2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0</v>
      </c>
      <c r="AE5339">
        <v>0</v>
      </c>
      <c r="AF5339">
        <v>0</v>
      </c>
      <c r="AG5339">
        <v>0</v>
      </c>
      <c r="AH5339">
        <v>0</v>
      </c>
      <c r="AI5339">
        <v>170</v>
      </c>
      <c r="AJ5339">
        <v>2</v>
      </c>
      <c r="AK5339">
        <v>0</v>
      </c>
      <c r="AL5339">
        <v>0</v>
      </c>
      <c r="AM5339">
        <v>170</v>
      </c>
      <c r="AN5339">
        <v>0</v>
      </c>
      <c r="AO5339">
        <v>0</v>
      </c>
      <c r="AP5339">
        <v>0</v>
      </c>
      <c r="AQ5339">
        <v>0</v>
      </c>
      <c r="AS5339">
        <v>0</v>
      </c>
      <c r="AT5339">
        <v>0</v>
      </c>
      <c r="AV5339">
        <v>0</v>
      </c>
      <c r="AW5339">
        <v>0</v>
      </c>
      <c r="AY5339">
        <v>0</v>
      </c>
      <c r="AZ5339">
        <v>0</v>
      </c>
      <c r="BA5339">
        <v>119</v>
      </c>
      <c r="BE5339" t="str">
        <f>T("9791137014381")</f>
        <v>9791137014381</v>
      </c>
      <c r="BF5339" t="str">
        <f>T("B016512")</f>
        <v>B016512</v>
      </c>
      <c r="BG5339" t="str">
        <f>T("판타지 웹소설 &gt; 퓨전 판타지")</f>
        <v>판타지 웹소설 &gt; 퓨전 판타지</v>
      </c>
    </row>
    <row r="5340" spans="1:59">
      <c r="A5340" t="s">
        <v>60</v>
      </c>
      <c r="B5340" s="1">
        <v>46130</v>
      </c>
      <c r="C5340">
        <v>2378044065</v>
      </c>
      <c r="D5340">
        <v>2378073253</v>
      </c>
      <c r="E5340" t="str">
        <f>T("저승의 왕위를 계승했다 578화")</f>
        <v>저승의 왕위를 계승했다 578화</v>
      </c>
      <c r="F5340">
        <v>579</v>
      </c>
      <c r="G5340" t="str">
        <f>T("신타비")</f>
        <v>신타비</v>
      </c>
      <c r="J5340" t="str">
        <f>T("매드햇")</f>
        <v>매드햇</v>
      </c>
      <c r="K5340" t="str">
        <f>T("저승의 왕위를 계승했다")</f>
        <v>저승의 왕위를 계승했다</v>
      </c>
      <c r="L5340">
        <v>100</v>
      </c>
      <c r="M5340">
        <v>170</v>
      </c>
      <c r="N5340">
        <v>2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0</v>
      </c>
      <c r="AE5340">
        <v>0</v>
      </c>
      <c r="AF5340">
        <v>0</v>
      </c>
      <c r="AG5340">
        <v>0</v>
      </c>
      <c r="AH5340">
        <v>0</v>
      </c>
      <c r="AI5340">
        <v>170</v>
      </c>
      <c r="AJ5340">
        <v>2</v>
      </c>
      <c r="AK5340">
        <v>0</v>
      </c>
      <c r="AL5340">
        <v>0</v>
      </c>
      <c r="AM5340">
        <v>170</v>
      </c>
      <c r="AN5340">
        <v>0</v>
      </c>
      <c r="AO5340">
        <v>0</v>
      </c>
      <c r="AP5340">
        <v>0</v>
      </c>
      <c r="AQ5340">
        <v>0</v>
      </c>
      <c r="AS5340">
        <v>0</v>
      </c>
      <c r="AT5340">
        <v>0</v>
      </c>
      <c r="AV5340">
        <v>0</v>
      </c>
      <c r="AW5340">
        <v>0</v>
      </c>
      <c r="AY5340">
        <v>0</v>
      </c>
      <c r="AZ5340">
        <v>0</v>
      </c>
      <c r="BA5340">
        <v>119</v>
      </c>
      <c r="BE5340" t="str">
        <f>T("9791137014381")</f>
        <v>9791137014381</v>
      </c>
      <c r="BF5340" t="str">
        <f>T("B016513")</f>
        <v>B016513</v>
      </c>
      <c r="BG5340" t="str">
        <f>T("판타지 웹소설 &gt; 퓨전 판타지")</f>
        <v>판타지 웹소설 &gt; 퓨전 판타지</v>
      </c>
    </row>
    <row r="5341" spans="1:59">
      <c r="A5341" t="s">
        <v>60</v>
      </c>
      <c r="B5341" s="1">
        <v>46130</v>
      </c>
      <c r="C5341">
        <v>2378044065</v>
      </c>
      <c r="D5341">
        <v>2378073289</v>
      </c>
      <c r="E5341" t="str">
        <f>T("저승의 왕위를 계승했다 579화")</f>
        <v>저승의 왕위를 계승했다 579화</v>
      </c>
      <c r="F5341">
        <v>580</v>
      </c>
      <c r="G5341" t="str">
        <f>T("신타비")</f>
        <v>신타비</v>
      </c>
      <c r="J5341" t="str">
        <f>T("매드햇")</f>
        <v>매드햇</v>
      </c>
      <c r="K5341" t="str">
        <f>T("저승의 왕위를 계승했다")</f>
        <v>저승의 왕위를 계승했다</v>
      </c>
      <c r="L5341">
        <v>100</v>
      </c>
      <c r="M5341">
        <v>170</v>
      </c>
      <c r="N5341">
        <v>2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0</v>
      </c>
      <c r="AE5341">
        <v>0</v>
      </c>
      <c r="AF5341">
        <v>0</v>
      </c>
      <c r="AG5341">
        <v>0</v>
      </c>
      <c r="AH5341">
        <v>0</v>
      </c>
      <c r="AI5341">
        <v>170</v>
      </c>
      <c r="AJ5341">
        <v>2</v>
      </c>
      <c r="AK5341">
        <v>0</v>
      </c>
      <c r="AL5341">
        <v>0</v>
      </c>
      <c r="AM5341">
        <v>170</v>
      </c>
      <c r="AN5341">
        <v>0</v>
      </c>
      <c r="AO5341">
        <v>0</v>
      </c>
      <c r="AP5341">
        <v>0</v>
      </c>
      <c r="AQ5341">
        <v>0</v>
      </c>
      <c r="AS5341">
        <v>0</v>
      </c>
      <c r="AT5341">
        <v>0</v>
      </c>
      <c r="AV5341">
        <v>0</v>
      </c>
      <c r="AW5341">
        <v>0</v>
      </c>
      <c r="AY5341">
        <v>0</v>
      </c>
      <c r="AZ5341">
        <v>0</v>
      </c>
      <c r="BA5341">
        <v>119</v>
      </c>
      <c r="BE5341" t="str">
        <f>T("9791137014381")</f>
        <v>9791137014381</v>
      </c>
      <c r="BF5341" t="str">
        <f>T("B019378")</f>
        <v>B019378</v>
      </c>
      <c r="BG5341" t="str">
        <f>T("판타지 웹소설 &gt; 퓨전 판타지")</f>
        <v>판타지 웹소설 &gt; 퓨전 판타지</v>
      </c>
    </row>
    <row r="5342" spans="1:59">
      <c r="A5342" t="s">
        <v>60</v>
      </c>
      <c r="B5342" s="1">
        <v>46130</v>
      </c>
      <c r="C5342">
        <v>2378044065</v>
      </c>
      <c r="D5342">
        <v>2378073290</v>
      </c>
      <c r="E5342" t="str">
        <f>T("저승의 왕위를 계승했다 580화")</f>
        <v>저승의 왕위를 계승했다 580화</v>
      </c>
      <c r="F5342">
        <v>581</v>
      </c>
      <c r="G5342" t="str">
        <f>T("신타비")</f>
        <v>신타비</v>
      </c>
      <c r="J5342" t="str">
        <f>T("매드햇")</f>
        <v>매드햇</v>
      </c>
      <c r="K5342" t="str">
        <f>T("저승의 왕위를 계승했다")</f>
        <v>저승의 왕위를 계승했다</v>
      </c>
      <c r="L5342">
        <v>100</v>
      </c>
      <c r="M5342">
        <v>170</v>
      </c>
      <c r="N5342">
        <v>2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0</v>
      </c>
      <c r="AE5342">
        <v>0</v>
      </c>
      <c r="AF5342">
        <v>0</v>
      </c>
      <c r="AG5342">
        <v>0</v>
      </c>
      <c r="AH5342">
        <v>0</v>
      </c>
      <c r="AI5342">
        <v>170</v>
      </c>
      <c r="AJ5342">
        <v>2</v>
      </c>
      <c r="AK5342">
        <v>0</v>
      </c>
      <c r="AL5342">
        <v>0</v>
      </c>
      <c r="AM5342">
        <v>170</v>
      </c>
      <c r="AN5342">
        <v>0</v>
      </c>
      <c r="AO5342">
        <v>0</v>
      </c>
      <c r="AP5342">
        <v>0</v>
      </c>
      <c r="AQ5342">
        <v>0</v>
      </c>
      <c r="AS5342">
        <v>0</v>
      </c>
      <c r="AT5342">
        <v>0</v>
      </c>
      <c r="AV5342">
        <v>0</v>
      </c>
      <c r="AW5342">
        <v>0</v>
      </c>
      <c r="AY5342">
        <v>0</v>
      </c>
      <c r="AZ5342">
        <v>0</v>
      </c>
      <c r="BA5342">
        <v>119</v>
      </c>
      <c r="BE5342" t="str">
        <f>T("9791137014381")</f>
        <v>9791137014381</v>
      </c>
      <c r="BF5342" t="str">
        <f>T("B019379")</f>
        <v>B019379</v>
      </c>
      <c r="BG5342" t="str">
        <f>T("판타지 웹소설 &gt; 퓨전 판타지")</f>
        <v>판타지 웹소설 &gt; 퓨전 판타지</v>
      </c>
    </row>
    <row r="5343" spans="1:59">
      <c r="A5343" t="s">
        <v>60</v>
      </c>
      <c r="B5343" s="1">
        <v>46130</v>
      </c>
      <c r="C5343">
        <v>2378044065</v>
      </c>
      <c r="D5343">
        <v>2378073291</v>
      </c>
      <c r="E5343" t="str">
        <f>T("저승의 왕위를 계승했다 581화")</f>
        <v>저승의 왕위를 계승했다 581화</v>
      </c>
      <c r="F5343">
        <v>582</v>
      </c>
      <c r="G5343" t="str">
        <f>T("신타비")</f>
        <v>신타비</v>
      </c>
      <c r="J5343" t="str">
        <f>T("매드햇")</f>
        <v>매드햇</v>
      </c>
      <c r="K5343" t="str">
        <f>T("저승의 왕위를 계승했다")</f>
        <v>저승의 왕위를 계승했다</v>
      </c>
      <c r="L5343">
        <v>100</v>
      </c>
      <c r="M5343">
        <v>170</v>
      </c>
      <c r="N5343">
        <v>2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0</v>
      </c>
      <c r="AE5343">
        <v>0</v>
      </c>
      <c r="AF5343">
        <v>0</v>
      </c>
      <c r="AG5343">
        <v>0</v>
      </c>
      <c r="AH5343">
        <v>0</v>
      </c>
      <c r="AI5343">
        <v>170</v>
      </c>
      <c r="AJ5343">
        <v>2</v>
      </c>
      <c r="AK5343">
        <v>0</v>
      </c>
      <c r="AL5343">
        <v>0</v>
      </c>
      <c r="AM5343">
        <v>170</v>
      </c>
      <c r="AN5343">
        <v>0</v>
      </c>
      <c r="AO5343">
        <v>0</v>
      </c>
      <c r="AP5343">
        <v>0</v>
      </c>
      <c r="AQ5343">
        <v>0</v>
      </c>
      <c r="AS5343">
        <v>0</v>
      </c>
      <c r="AT5343">
        <v>0</v>
      </c>
      <c r="AV5343">
        <v>0</v>
      </c>
      <c r="AW5343">
        <v>0</v>
      </c>
      <c r="AY5343">
        <v>0</v>
      </c>
      <c r="AZ5343">
        <v>0</v>
      </c>
      <c r="BA5343">
        <v>119</v>
      </c>
      <c r="BE5343" t="str">
        <f>T("9791137014381")</f>
        <v>9791137014381</v>
      </c>
      <c r="BF5343" t="str">
        <f>T("B019380")</f>
        <v>B019380</v>
      </c>
      <c r="BG5343" t="str">
        <f>T("판타지 웹소설 &gt; 퓨전 판타지")</f>
        <v>판타지 웹소설 &gt; 퓨전 판타지</v>
      </c>
    </row>
    <row r="5344" spans="1:59">
      <c r="A5344" t="s">
        <v>60</v>
      </c>
      <c r="B5344" s="1">
        <v>46130</v>
      </c>
      <c r="C5344">
        <v>2378044065</v>
      </c>
      <c r="D5344">
        <v>2378073471</v>
      </c>
      <c r="E5344" t="str">
        <f>T("저승의 왕위를 계승했다 582화")</f>
        <v>저승의 왕위를 계승했다 582화</v>
      </c>
      <c r="F5344">
        <v>583</v>
      </c>
      <c r="G5344" t="str">
        <f>T("신타비")</f>
        <v>신타비</v>
      </c>
      <c r="J5344" t="str">
        <f>T("매드햇")</f>
        <v>매드햇</v>
      </c>
      <c r="K5344" t="str">
        <f>T("저승의 왕위를 계승했다")</f>
        <v>저승의 왕위를 계승했다</v>
      </c>
      <c r="L5344">
        <v>100</v>
      </c>
      <c r="M5344">
        <v>170</v>
      </c>
      <c r="N5344">
        <v>2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0</v>
      </c>
      <c r="AE5344">
        <v>0</v>
      </c>
      <c r="AF5344">
        <v>0</v>
      </c>
      <c r="AG5344">
        <v>0</v>
      </c>
      <c r="AH5344">
        <v>0</v>
      </c>
      <c r="AI5344">
        <v>170</v>
      </c>
      <c r="AJ5344">
        <v>2</v>
      </c>
      <c r="AK5344">
        <v>0</v>
      </c>
      <c r="AL5344">
        <v>0</v>
      </c>
      <c r="AM5344">
        <v>170</v>
      </c>
      <c r="AN5344">
        <v>0</v>
      </c>
      <c r="AO5344">
        <v>0</v>
      </c>
      <c r="AP5344">
        <v>0</v>
      </c>
      <c r="AQ5344">
        <v>0</v>
      </c>
      <c r="AS5344">
        <v>0</v>
      </c>
      <c r="AT5344">
        <v>0</v>
      </c>
      <c r="AV5344">
        <v>0</v>
      </c>
      <c r="AW5344">
        <v>0</v>
      </c>
      <c r="AY5344">
        <v>0</v>
      </c>
      <c r="AZ5344">
        <v>0</v>
      </c>
      <c r="BA5344">
        <v>119</v>
      </c>
      <c r="BE5344" t="str">
        <f>T("9791137014381")</f>
        <v>9791137014381</v>
      </c>
      <c r="BF5344" t="str">
        <f>T("B019381")</f>
        <v>B019381</v>
      </c>
      <c r="BG5344" t="str">
        <f>T("판타지 웹소설 &gt; 퓨전 판타지")</f>
        <v>판타지 웹소설 &gt; 퓨전 판타지</v>
      </c>
    </row>
    <row r="5345" spans="1:59">
      <c r="A5345" t="s">
        <v>60</v>
      </c>
      <c r="B5345" s="1">
        <v>46130</v>
      </c>
      <c r="C5345">
        <v>2378044065</v>
      </c>
      <c r="D5345">
        <v>2378073472</v>
      </c>
      <c r="E5345" t="str">
        <f>T("저승의 왕위를 계승했다 583화")</f>
        <v>저승의 왕위를 계승했다 583화</v>
      </c>
      <c r="F5345">
        <v>584</v>
      </c>
      <c r="G5345" t="str">
        <f>T("신타비")</f>
        <v>신타비</v>
      </c>
      <c r="J5345" t="str">
        <f>T("매드햇")</f>
        <v>매드햇</v>
      </c>
      <c r="K5345" t="str">
        <f>T("저승의 왕위를 계승했다")</f>
        <v>저승의 왕위를 계승했다</v>
      </c>
      <c r="L5345">
        <v>100</v>
      </c>
      <c r="M5345">
        <v>170</v>
      </c>
      <c r="N5345">
        <v>2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0</v>
      </c>
      <c r="AE5345">
        <v>0</v>
      </c>
      <c r="AF5345">
        <v>0</v>
      </c>
      <c r="AG5345">
        <v>0</v>
      </c>
      <c r="AH5345">
        <v>0</v>
      </c>
      <c r="AI5345">
        <v>170</v>
      </c>
      <c r="AJ5345">
        <v>2</v>
      </c>
      <c r="AK5345">
        <v>0</v>
      </c>
      <c r="AL5345">
        <v>0</v>
      </c>
      <c r="AM5345">
        <v>170</v>
      </c>
      <c r="AN5345">
        <v>0</v>
      </c>
      <c r="AO5345">
        <v>0</v>
      </c>
      <c r="AP5345">
        <v>0</v>
      </c>
      <c r="AQ5345">
        <v>0</v>
      </c>
      <c r="AS5345">
        <v>0</v>
      </c>
      <c r="AT5345">
        <v>0</v>
      </c>
      <c r="AV5345">
        <v>0</v>
      </c>
      <c r="AW5345">
        <v>0</v>
      </c>
      <c r="AY5345">
        <v>0</v>
      </c>
      <c r="AZ5345">
        <v>0</v>
      </c>
      <c r="BA5345">
        <v>119</v>
      </c>
      <c r="BE5345" t="str">
        <f>T("9791137014381")</f>
        <v>9791137014381</v>
      </c>
      <c r="BF5345" t="str">
        <f>T("B025604")</f>
        <v>B025604</v>
      </c>
      <c r="BG5345" t="str">
        <f>T("판타지 웹소설 &gt; 퓨전 판타지")</f>
        <v>판타지 웹소설 &gt; 퓨전 판타지</v>
      </c>
    </row>
    <row r="5346" spans="1:59">
      <c r="A5346" t="s">
        <v>60</v>
      </c>
      <c r="B5346" s="1">
        <v>46130</v>
      </c>
      <c r="C5346">
        <v>2378044065</v>
      </c>
      <c r="D5346">
        <v>2378073473</v>
      </c>
      <c r="E5346" t="str">
        <f>T("저승의 왕위를 계승했다 584화")</f>
        <v>저승의 왕위를 계승했다 584화</v>
      </c>
      <c r="F5346">
        <v>585</v>
      </c>
      <c r="G5346" t="str">
        <f>T("신타비")</f>
        <v>신타비</v>
      </c>
      <c r="J5346" t="str">
        <f>T("매드햇")</f>
        <v>매드햇</v>
      </c>
      <c r="K5346" t="str">
        <f>T("저승의 왕위를 계승했다")</f>
        <v>저승의 왕위를 계승했다</v>
      </c>
      <c r="L5346">
        <v>100</v>
      </c>
      <c r="M5346">
        <v>170</v>
      </c>
      <c r="N5346">
        <v>2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0</v>
      </c>
      <c r="AE5346">
        <v>0</v>
      </c>
      <c r="AF5346">
        <v>0</v>
      </c>
      <c r="AG5346">
        <v>0</v>
      </c>
      <c r="AH5346">
        <v>0</v>
      </c>
      <c r="AI5346">
        <v>170</v>
      </c>
      <c r="AJ5346">
        <v>2</v>
      </c>
      <c r="AK5346">
        <v>0</v>
      </c>
      <c r="AL5346">
        <v>0</v>
      </c>
      <c r="AM5346">
        <v>170</v>
      </c>
      <c r="AN5346">
        <v>0</v>
      </c>
      <c r="AO5346">
        <v>0</v>
      </c>
      <c r="AP5346">
        <v>0</v>
      </c>
      <c r="AQ5346">
        <v>0</v>
      </c>
      <c r="AS5346">
        <v>0</v>
      </c>
      <c r="AT5346">
        <v>0</v>
      </c>
      <c r="AV5346">
        <v>0</v>
      </c>
      <c r="AW5346">
        <v>0</v>
      </c>
      <c r="AY5346">
        <v>0</v>
      </c>
      <c r="AZ5346">
        <v>0</v>
      </c>
      <c r="BA5346">
        <v>119</v>
      </c>
      <c r="BE5346" t="str">
        <f>T("9791137014381")</f>
        <v>9791137014381</v>
      </c>
      <c r="BF5346" t="str">
        <f>T("B025605")</f>
        <v>B025605</v>
      </c>
      <c r="BG5346" t="str">
        <f>T("판타지 웹소설 &gt; 퓨전 판타지")</f>
        <v>판타지 웹소설 &gt; 퓨전 판타지</v>
      </c>
    </row>
    <row r="5347" spans="1:59">
      <c r="A5347" t="s">
        <v>60</v>
      </c>
      <c r="B5347" s="1">
        <v>46130</v>
      </c>
      <c r="C5347">
        <v>2378044065</v>
      </c>
      <c r="D5347">
        <v>2378073519</v>
      </c>
      <c r="E5347" t="str">
        <f>T("저승의 왕위를 계승했다 585화")</f>
        <v>저승의 왕위를 계승했다 585화</v>
      </c>
      <c r="F5347">
        <v>586</v>
      </c>
      <c r="G5347" t="str">
        <f>T("신타비")</f>
        <v>신타비</v>
      </c>
      <c r="J5347" t="str">
        <f>T("매드햇")</f>
        <v>매드햇</v>
      </c>
      <c r="K5347" t="str">
        <f>T("저승의 왕위를 계승했다")</f>
        <v>저승의 왕위를 계승했다</v>
      </c>
      <c r="L5347">
        <v>100</v>
      </c>
      <c r="M5347">
        <v>170</v>
      </c>
      <c r="N5347">
        <v>2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0</v>
      </c>
      <c r="AE5347">
        <v>0</v>
      </c>
      <c r="AF5347">
        <v>0</v>
      </c>
      <c r="AG5347">
        <v>0</v>
      </c>
      <c r="AH5347">
        <v>0</v>
      </c>
      <c r="AI5347">
        <v>170</v>
      </c>
      <c r="AJ5347">
        <v>2</v>
      </c>
      <c r="AK5347">
        <v>0</v>
      </c>
      <c r="AL5347">
        <v>0</v>
      </c>
      <c r="AM5347">
        <v>170</v>
      </c>
      <c r="AN5347">
        <v>0</v>
      </c>
      <c r="AO5347">
        <v>0</v>
      </c>
      <c r="AP5347">
        <v>0</v>
      </c>
      <c r="AQ5347">
        <v>0</v>
      </c>
      <c r="AS5347">
        <v>0</v>
      </c>
      <c r="AT5347">
        <v>0</v>
      </c>
      <c r="AV5347">
        <v>0</v>
      </c>
      <c r="AW5347">
        <v>0</v>
      </c>
      <c r="AY5347">
        <v>0</v>
      </c>
      <c r="AZ5347">
        <v>0</v>
      </c>
      <c r="BA5347">
        <v>119</v>
      </c>
      <c r="BE5347" t="str">
        <f>T("9791137014381")</f>
        <v>9791137014381</v>
      </c>
      <c r="BF5347" t="str">
        <f>T("B025606")</f>
        <v>B025606</v>
      </c>
      <c r="BG5347" t="str">
        <f>T("판타지 웹소설 &gt; 퓨전 판타지")</f>
        <v>판타지 웹소설 &gt; 퓨전 판타지</v>
      </c>
    </row>
    <row r="5348" spans="1:59">
      <c r="A5348" t="s">
        <v>60</v>
      </c>
      <c r="B5348" s="1">
        <v>46130</v>
      </c>
      <c r="C5348">
        <v>2378044065</v>
      </c>
      <c r="D5348">
        <v>2378073520</v>
      </c>
      <c r="E5348" t="str">
        <f>T("저승의 왕위를 계승했다 586화")</f>
        <v>저승의 왕위를 계승했다 586화</v>
      </c>
      <c r="F5348">
        <v>587</v>
      </c>
      <c r="G5348" t="str">
        <f>T("신타비")</f>
        <v>신타비</v>
      </c>
      <c r="J5348" t="str">
        <f>T("매드햇")</f>
        <v>매드햇</v>
      </c>
      <c r="K5348" t="str">
        <f>T("저승의 왕위를 계승했다")</f>
        <v>저승의 왕위를 계승했다</v>
      </c>
      <c r="L5348">
        <v>100</v>
      </c>
      <c r="M5348">
        <v>170</v>
      </c>
      <c r="N5348">
        <v>2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0</v>
      </c>
      <c r="AE5348">
        <v>0</v>
      </c>
      <c r="AF5348">
        <v>0</v>
      </c>
      <c r="AG5348">
        <v>0</v>
      </c>
      <c r="AH5348">
        <v>0</v>
      </c>
      <c r="AI5348">
        <v>170</v>
      </c>
      <c r="AJ5348">
        <v>2</v>
      </c>
      <c r="AK5348">
        <v>0</v>
      </c>
      <c r="AL5348">
        <v>0</v>
      </c>
      <c r="AM5348">
        <v>170</v>
      </c>
      <c r="AN5348">
        <v>0</v>
      </c>
      <c r="AO5348">
        <v>0</v>
      </c>
      <c r="AP5348">
        <v>0</v>
      </c>
      <c r="AQ5348">
        <v>0</v>
      </c>
      <c r="AS5348">
        <v>0</v>
      </c>
      <c r="AT5348">
        <v>0</v>
      </c>
      <c r="AV5348">
        <v>0</v>
      </c>
      <c r="AW5348">
        <v>0</v>
      </c>
      <c r="AY5348">
        <v>0</v>
      </c>
      <c r="AZ5348">
        <v>0</v>
      </c>
      <c r="BA5348">
        <v>119</v>
      </c>
      <c r="BE5348" t="str">
        <f>T("9791137014381")</f>
        <v>9791137014381</v>
      </c>
      <c r="BF5348" t="str">
        <f>T("B025607")</f>
        <v>B025607</v>
      </c>
      <c r="BG5348" t="str">
        <f>T("판타지 웹소설 &gt; 퓨전 판타지")</f>
        <v>판타지 웹소설 &gt; 퓨전 판타지</v>
      </c>
    </row>
    <row r="5349" spans="1:59">
      <c r="A5349" t="s">
        <v>60</v>
      </c>
      <c r="B5349" s="1">
        <v>46130</v>
      </c>
      <c r="C5349">
        <v>2378044065</v>
      </c>
      <c r="D5349">
        <v>2378073521</v>
      </c>
      <c r="E5349" t="str">
        <f>T("저승의 왕위를 계승했다 587화")</f>
        <v>저승의 왕위를 계승했다 587화</v>
      </c>
      <c r="F5349">
        <v>588</v>
      </c>
      <c r="G5349" t="str">
        <f>T("신타비")</f>
        <v>신타비</v>
      </c>
      <c r="J5349" t="str">
        <f>T("매드햇")</f>
        <v>매드햇</v>
      </c>
      <c r="K5349" t="str">
        <f>T("저승의 왕위를 계승했다")</f>
        <v>저승의 왕위를 계승했다</v>
      </c>
      <c r="L5349">
        <v>100</v>
      </c>
      <c r="M5349">
        <v>170</v>
      </c>
      <c r="N5349">
        <v>2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0</v>
      </c>
      <c r="AE5349">
        <v>0</v>
      </c>
      <c r="AF5349">
        <v>0</v>
      </c>
      <c r="AG5349">
        <v>0</v>
      </c>
      <c r="AH5349">
        <v>0</v>
      </c>
      <c r="AI5349">
        <v>170</v>
      </c>
      <c r="AJ5349">
        <v>2</v>
      </c>
      <c r="AK5349">
        <v>0</v>
      </c>
      <c r="AL5349">
        <v>0</v>
      </c>
      <c r="AM5349">
        <v>170</v>
      </c>
      <c r="AN5349">
        <v>0</v>
      </c>
      <c r="AO5349">
        <v>0</v>
      </c>
      <c r="AP5349">
        <v>0</v>
      </c>
      <c r="AQ5349">
        <v>0</v>
      </c>
      <c r="AS5349">
        <v>0</v>
      </c>
      <c r="AT5349">
        <v>0</v>
      </c>
      <c r="AV5349">
        <v>0</v>
      </c>
      <c r="AW5349">
        <v>0</v>
      </c>
      <c r="AY5349">
        <v>0</v>
      </c>
      <c r="AZ5349">
        <v>0</v>
      </c>
      <c r="BA5349">
        <v>119</v>
      </c>
      <c r="BE5349" t="str">
        <f>T("9791137014381")</f>
        <v>9791137014381</v>
      </c>
      <c r="BF5349" t="str">
        <f>T("B030863")</f>
        <v>B030863</v>
      </c>
      <c r="BG5349" t="str">
        <f>T("판타지 웹소설 &gt; 퓨전 판타지")</f>
        <v>판타지 웹소설 &gt; 퓨전 판타지</v>
      </c>
    </row>
    <row r="5350" spans="1:59">
      <c r="A5350" t="s">
        <v>60</v>
      </c>
      <c r="B5350" s="1">
        <v>46130</v>
      </c>
      <c r="C5350">
        <v>2378044065</v>
      </c>
      <c r="D5350">
        <v>2378073522</v>
      </c>
      <c r="E5350" t="str">
        <f>T("저승의 왕위를 계승했다 588화")</f>
        <v>저승의 왕위를 계승했다 588화</v>
      </c>
      <c r="F5350">
        <v>589</v>
      </c>
      <c r="G5350" t="str">
        <f>T("신타비")</f>
        <v>신타비</v>
      </c>
      <c r="J5350" t="str">
        <f>T("매드햇")</f>
        <v>매드햇</v>
      </c>
      <c r="K5350" t="str">
        <f>T("저승의 왕위를 계승했다")</f>
        <v>저승의 왕위를 계승했다</v>
      </c>
      <c r="L5350">
        <v>100</v>
      </c>
      <c r="M5350">
        <v>170</v>
      </c>
      <c r="N5350">
        <v>2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0</v>
      </c>
      <c r="AE5350">
        <v>0</v>
      </c>
      <c r="AF5350">
        <v>0</v>
      </c>
      <c r="AG5350">
        <v>0</v>
      </c>
      <c r="AH5350">
        <v>0</v>
      </c>
      <c r="AI5350">
        <v>170</v>
      </c>
      <c r="AJ5350">
        <v>2</v>
      </c>
      <c r="AK5350">
        <v>0</v>
      </c>
      <c r="AL5350">
        <v>0</v>
      </c>
      <c r="AM5350">
        <v>170</v>
      </c>
      <c r="AN5350">
        <v>0</v>
      </c>
      <c r="AO5350">
        <v>0</v>
      </c>
      <c r="AP5350">
        <v>0</v>
      </c>
      <c r="AQ5350">
        <v>0</v>
      </c>
      <c r="AS5350">
        <v>0</v>
      </c>
      <c r="AT5350">
        <v>0</v>
      </c>
      <c r="AV5350">
        <v>0</v>
      </c>
      <c r="AW5350">
        <v>0</v>
      </c>
      <c r="AY5350">
        <v>0</v>
      </c>
      <c r="AZ5350">
        <v>0</v>
      </c>
      <c r="BA5350">
        <v>119</v>
      </c>
      <c r="BE5350" t="str">
        <f>T("9791137014381")</f>
        <v>9791137014381</v>
      </c>
      <c r="BF5350" t="str">
        <f>T("B030864")</f>
        <v>B030864</v>
      </c>
      <c r="BG5350" t="str">
        <f>T("판타지 웹소설 &gt; 퓨전 판타지")</f>
        <v>판타지 웹소설 &gt; 퓨전 판타지</v>
      </c>
    </row>
    <row r="5351" spans="1:59">
      <c r="A5351" t="s">
        <v>60</v>
      </c>
      <c r="B5351" s="1">
        <v>46130</v>
      </c>
      <c r="C5351">
        <v>2378044065</v>
      </c>
      <c r="D5351">
        <v>2378073551</v>
      </c>
      <c r="E5351" t="str">
        <f>T("저승의 왕위를 계승했다 589화")</f>
        <v>저승의 왕위를 계승했다 589화</v>
      </c>
      <c r="F5351">
        <v>590</v>
      </c>
      <c r="G5351" t="str">
        <f>T("신타비")</f>
        <v>신타비</v>
      </c>
      <c r="J5351" t="str">
        <f>T("매드햇")</f>
        <v>매드햇</v>
      </c>
      <c r="K5351" t="str">
        <f>T("저승의 왕위를 계승했다")</f>
        <v>저승의 왕위를 계승했다</v>
      </c>
      <c r="L5351">
        <v>100</v>
      </c>
      <c r="M5351">
        <v>170</v>
      </c>
      <c r="N5351">
        <v>2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0</v>
      </c>
      <c r="AE5351">
        <v>0</v>
      </c>
      <c r="AF5351">
        <v>0</v>
      </c>
      <c r="AG5351">
        <v>0</v>
      </c>
      <c r="AH5351">
        <v>0</v>
      </c>
      <c r="AI5351">
        <v>170</v>
      </c>
      <c r="AJ5351">
        <v>2</v>
      </c>
      <c r="AK5351">
        <v>0</v>
      </c>
      <c r="AL5351">
        <v>0</v>
      </c>
      <c r="AM5351">
        <v>170</v>
      </c>
      <c r="AN5351">
        <v>0</v>
      </c>
      <c r="AO5351">
        <v>0</v>
      </c>
      <c r="AP5351">
        <v>0</v>
      </c>
      <c r="AQ5351">
        <v>0</v>
      </c>
      <c r="AS5351">
        <v>0</v>
      </c>
      <c r="AT5351">
        <v>0</v>
      </c>
      <c r="AV5351">
        <v>0</v>
      </c>
      <c r="AW5351">
        <v>0</v>
      </c>
      <c r="AY5351">
        <v>0</v>
      </c>
      <c r="AZ5351">
        <v>0</v>
      </c>
      <c r="BA5351">
        <v>119</v>
      </c>
      <c r="BE5351" t="str">
        <f>T("9791137014381")</f>
        <v>9791137014381</v>
      </c>
      <c r="BF5351" t="str">
        <f>T("B030865")</f>
        <v>B030865</v>
      </c>
      <c r="BG5351" t="str">
        <f>T("판타지 웹소설 &gt; 퓨전 판타지")</f>
        <v>판타지 웹소설 &gt; 퓨전 판타지</v>
      </c>
    </row>
    <row r="5352" spans="1:59">
      <c r="A5352" t="s">
        <v>60</v>
      </c>
      <c r="B5352" s="1">
        <v>46130</v>
      </c>
      <c r="C5352">
        <v>2378044065</v>
      </c>
      <c r="D5352">
        <v>2378073552</v>
      </c>
      <c r="E5352" t="str">
        <f>T("저승의 왕위를 계승했다 590화")</f>
        <v>저승의 왕위를 계승했다 590화</v>
      </c>
      <c r="F5352">
        <v>591</v>
      </c>
      <c r="G5352" t="str">
        <f>T("신타비")</f>
        <v>신타비</v>
      </c>
      <c r="J5352" t="str">
        <f>T("매드햇")</f>
        <v>매드햇</v>
      </c>
      <c r="K5352" t="str">
        <f>T("저승의 왕위를 계승했다")</f>
        <v>저승의 왕위를 계승했다</v>
      </c>
      <c r="L5352">
        <v>100</v>
      </c>
      <c r="M5352">
        <v>170</v>
      </c>
      <c r="N5352">
        <v>2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0</v>
      </c>
      <c r="AE5352">
        <v>0</v>
      </c>
      <c r="AF5352">
        <v>0</v>
      </c>
      <c r="AG5352">
        <v>0</v>
      </c>
      <c r="AH5352">
        <v>0</v>
      </c>
      <c r="AI5352">
        <v>170</v>
      </c>
      <c r="AJ5352">
        <v>2</v>
      </c>
      <c r="AK5352">
        <v>0</v>
      </c>
      <c r="AL5352">
        <v>0</v>
      </c>
      <c r="AM5352">
        <v>170</v>
      </c>
      <c r="AN5352">
        <v>0</v>
      </c>
      <c r="AO5352">
        <v>0</v>
      </c>
      <c r="AP5352">
        <v>0</v>
      </c>
      <c r="AQ5352">
        <v>0</v>
      </c>
      <c r="AS5352">
        <v>0</v>
      </c>
      <c r="AT5352">
        <v>0</v>
      </c>
      <c r="AV5352">
        <v>0</v>
      </c>
      <c r="AW5352">
        <v>0</v>
      </c>
      <c r="AY5352">
        <v>0</v>
      </c>
      <c r="AZ5352">
        <v>0</v>
      </c>
      <c r="BA5352">
        <v>119</v>
      </c>
      <c r="BE5352" t="str">
        <f>T("9791137014381")</f>
        <v>9791137014381</v>
      </c>
      <c r="BF5352" t="str">
        <f>T("B030866")</f>
        <v>B030866</v>
      </c>
      <c r="BG5352" t="str">
        <f>T("판타지 웹소설 &gt; 퓨전 판타지")</f>
        <v>판타지 웹소설 &gt; 퓨전 판타지</v>
      </c>
    </row>
    <row r="5353" spans="1:59">
      <c r="A5353" t="s">
        <v>60</v>
      </c>
      <c r="B5353" s="1">
        <v>46130</v>
      </c>
      <c r="C5353">
        <v>2378044065</v>
      </c>
      <c r="D5353">
        <v>2378073567</v>
      </c>
      <c r="E5353" t="str">
        <f>T("저승의 왕위를 계승했다 591화")</f>
        <v>저승의 왕위를 계승했다 591화</v>
      </c>
      <c r="F5353">
        <v>592</v>
      </c>
      <c r="G5353" t="str">
        <f>T("신타비")</f>
        <v>신타비</v>
      </c>
      <c r="J5353" t="str">
        <f>T("매드햇")</f>
        <v>매드햇</v>
      </c>
      <c r="K5353" t="str">
        <f>T("저승의 왕위를 계승했다")</f>
        <v>저승의 왕위를 계승했다</v>
      </c>
      <c r="L5353">
        <v>100</v>
      </c>
      <c r="M5353">
        <v>170</v>
      </c>
      <c r="N5353">
        <v>2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0</v>
      </c>
      <c r="AE5353">
        <v>0</v>
      </c>
      <c r="AF5353">
        <v>0</v>
      </c>
      <c r="AG5353">
        <v>0</v>
      </c>
      <c r="AH5353">
        <v>0</v>
      </c>
      <c r="AI5353">
        <v>170</v>
      </c>
      <c r="AJ5353">
        <v>2</v>
      </c>
      <c r="AK5353">
        <v>0</v>
      </c>
      <c r="AL5353">
        <v>0</v>
      </c>
      <c r="AM5353">
        <v>170</v>
      </c>
      <c r="AN5353">
        <v>0</v>
      </c>
      <c r="AO5353">
        <v>0</v>
      </c>
      <c r="AP5353">
        <v>0</v>
      </c>
      <c r="AQ5353">
        <v>0</v>
      </c>
      <c r="AS5353">
        <v>0</v>
      </c>
      <c r="AT5353">
        <v>0</v>
      </c>
      <c r="AV5353">
        <v>0</v>
      </c>
      <c r="AW5353">
        <v>0</v>
      </c>
      <c r="AY5353">
        <v>0</v>
      </c>
      <c r="AZ5353">
        <v>0</v>
      </c>
      <c r="BA5353">
        <v>119</v>
      </c>
      <c r="BE5353" t="str">
        <f>T("9791137014381")</f>
        <v>9791137014381</v>
      </c>
      <c r="BF5353" t="str">
        <f>T("B032620")</f>
        <v>B032620</v>
      </c>
      <c r="BG5353" t="str">
        <f>T("판타지 웹소설 &gt; 퓨전 판타지")</f>
        <v>판타지 웹소설 &gt; 퓨전 판타지</v>
      </c>
    </row>
    <row r="5354" spans="1:59">
      <c r="A5354" t="s">
        <v>60</v>
      </c>
      <c r="B5354" s="1">
        <v>46130</v>
      </c>
      <c r="C5354">
        <v>2378044065</v>
      </c>
      <c r="D5354">
        <v>2378073568</v>
      </c>
      <c r="E5354" t="str">
        <f>T("저승의 왕위를 계승했다 592화")</f>
        <v>저승의 왕위를 계승했다 592화</v>
      </c>
      <c r="F5354">
        <v>593</v>
      </c>
      <c r="G5354" t="str">
        <f>T("신타비")</f>
        <v>신타비</v>
      </c>
      <c r="J5354" t="str">
        <f>T("매드햇")</f>
        <v>매드햇</v>
      </c>
      <c r="K5354" t="str">
        <f>T("저승의 왕위를 계승했다")</f>
        <v>저승의 왕위를 계승했다</v>
      </c>
      <c r="L5354">
        <v>100</v>
      </c>
      <c r="M5354">
        <v>170</v>
      </c>
      <c r="N5354">
        <v>2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0</v>
      </c>
      <c r="AE5354">
        <v>0</v>
      </c>
      <c r="AF5354">
        <v>0</v>
      </c>
      <c r="AG5354">
        <v>0</v>
      </c>
      <c r="AH5354">
        <v>0</v>
      </c>
      <c r="AI5354">
        <v>170</v>
      </c>
      <c r="AJ5354">
        <v>2</v>
      </c>
      <c r="AK5354">
        <v>0</v>
      </c>
      <c r="AL5354">
        <v>0</v>
      </c>
      <c r="AM5354">
        <v>170</v>
      </c>
      <c r="AN5354">
        <v>0</v>
      </c>
      <c r="AO5354">
        <v>0</v>
      </c>
      <c r="AP5354">
        <v>0</v>
      </c>
      <c r="AQ5354">
        <v>0</v>
      </c>
      <c r="AS5354">
        <v>0</v>
      </c>
      <c r="AT5354">
        <v>0</v>
      </c>
      <c r="AV5354">
        <v>0</v>
      </c>
      <c r="AW5354">
        <v>0</v>
      </c>
      <c r="AY5354">
        <v>0</v>
      </c>
      <c r="AZ5354">
        <v>0</v>
      </c>
      <c r="BA5354">
        <v>119</v>
      </c>
      <c r="BE5354" t="str">
        <f>T("9791137014381")</f>
        <v>9791137014381</v>
      </c>
      <c r="BF5354" t="str">
        <f>T("B032621")</f>
        <v>B032621</v>
      </c>
      <c r="BG5354" t="str">
        <f>T("판타지 웹소설 &gt; 퓨전 판타지")</f>
        <v>판타지 웹소설 &gt; 퓨전 판타지</v>
      </c>
    </row>
    <row r="5355" spans="1:59">
      <c r="A5355" t="s">
        <v>60</v>
      </c>
      <c r="B5355" s="1">
        <v>46130</v>
      </c>
      <c r="C5355">
        <v>2378044065</v>
      </c>
      <c r="D5355">
        <v>2378073605</v>
      </c>
      <c r="E5355" t="str">
        <f>T("저승의 왕위를 계승했다 593화")</f>
        <v>저승의 왕위를 계승했다 593화</v>
      </c>
      <c r="F5355">
        <v>594</v>
      </c>
      <c r="G5355" t="str">
        <f>T("신타비")</f>
        <v>신타비</v>
      </c>
      <c r="J5355" t="str">
        <f>T("매드햇")</f>
        <v>매드햇</v>
      </c>
      <c r="K5355" t="str">
        <f>T("저승의 왕위를 계승했다")</f>
        <v>저승의 왕위를 계승했다</v>
      </c>
      <c r="L5355">
        <v>100</v>
      </c>
      <c r="M5355">
        <v>170</v>
      </c>
      <c r="N5355">
        <v>2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0</v>
      </c>
      <c r="AE5355">
        <v>0</v>
      </c>
      <c r="AF5355">
        <v>0</v>
      </c>
      <c r="AG5355">
        <v>0</v>
      </c>
      <c r="AH5355">
        <v>0</v>
      </c>
      <c r="AI5355">
        <v>170</v>
      </c>
      <c r="AJ5355">
        <v>2</v>
      </c>
      <c r="AK5355">
        <v>0</v>
      </c>
      <c r="AL5355">
        <v>0</v>
      </c>
      <c r="AM5355">
        <v>170</v>
      </c>
      <c r="AN5355">
        <v>0</v>
      </c>
      <c r="AO5355">
        <v>0</v>
      </c>
      <c r="AP5355">
        <v>0</v>
      </c>
      <c r="AQ5355">
        <v>0</v>
      </c>
      <c r="AS5355">
        <v>0</v>
      </c>
      <c r="AT5355">
        <v>0</v>
      </c>
      <c r="AV5355">
        <v>0</v>
      </c>
      <c r="AW5355">
        <v>0</v>
      </c>
      <c r="AY5355">
        <v>0</v>
      </c>
      <c r="AZ5355">
        <v>0</v>
      </c>
      <c r="BA5355">
        <v>119</v>
      </c>
      <c r="BE5355" t="str">
        <f>T("9791137014381")</f>
        <v>9791137014381</v>
      </c>
      <c r="BF5355" t="str">
        <f>T("B032622")</f>
        <v>B032622</v>
      </c>
      <c r="BG5355" t="str">
        <f>T("판타지 웹소설 &gt; 퓨전 판타지")</f>
        <v>판타지 웹소설 &gt; 퓨전 판타지</v>
      </c>
    </row>
    <row r="5356" spans="1:59">
      <c r="A5356" t="s">
        <v>60</v>
      </c>
      <c r="B5356" s="1">
        <v>46130</v>
      </c>
      <c r="C5356">
        <v>2378044065</v>
      </c>
      <c r="D5356">
        <v>2378073606</v>
      </c>
      <c r="E5356" t="str">
        <f>T("저승의 왕위를 계승했다 594화")</f>
        <v>저승의 왕위를 계승했다 594화</v>
      </c>
      <c r="F5356">
        <v>595</v>
      </c>
      <c r="G5356" t="str">
        <f>T("신타비")</f>
        <v>신타비</v>
      </c>
      <c r="J5356" t="str">
        <f>T("매드햇")</f>
        <v>매드햇</v>
      </c>
      <c r="K5356" t="str">
        <f>T("저승의 왕위를 계승했다")</f>
        <v>저승의 왕위를 계승했다</v>
      </c>
      <c r="L5356">
        <v>100</v>
      </c>
      <c r="M5356">
        <v>170</v>
      </c>
      <c r="N5356">
        <v>2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0</v>
      </c>
      <c r="AE5356">
        <v>0</v>
      </c>
      <c r="AF5356">
        <v>0</v>
      </c>
      <c r="AG5356">
        <v>0</v>
      </c>
      <c r="AH5356">
        <v>0</v>
      </c>
      <c r="AI5356">
        <v>170</v>
      </c>
      <c r="AJ5356">
        <v>2</v>
      </c>
      <c r="AK5356">
        <v>0</v>
      </c>
      <c r="AL5356">
        <v>0</v>
      </c>
      <c r="AM5356">
        <v>170</v>
      </c>
      <c r="AN5356">
        <v>0</v>
      </c>
      <c r="AO5356">
        <v>0</v>
      </c>
      <c r="AP5356">
        <v>0</v>
      </c>
      <c r="AQ5356">
        <v>0</v>
      </c>
      <c r="AS5356">
        <v>0</v>
      </c>
      <c r="AT5356">
        <v>0</v>
      </c>
      <c r="AV5356">
        <v>0</v>
      </c>
      <c r="AW5356">
        <v>0</v>
      </c>
      <c r="AY5356">
        <v>0</v>
      </c>
      <c r="AZ5356">
        <v>0</v>
      </c>
      <c r="BA5356">
        <v>119</v>
      </c>
      <c r="BE5356" t="str">
        <f>T("9791137014381")</f>
        <v>9791137014381</v>
      </c>
      <c r="BF5356" t="str">
        <f>T("B032623")</f>
        <v>B032623</v>
      </c>
      <c r="BG5356" t="str">
        <f>T("판타지 웹소설 &gt; 퓨전 판타지")</f>
        <v>판타지 웹소설 &gt; 퓨전 판타지</v>
      </c>
    </row>
    <row r="5357" spans="1:59">
      <c r="A5357" t="s">
        <v>60</v>
      </c>
      <c r="B5357" s="1">
        <v>46130</v>
      </c>
      <c r="C5357">
        <v>2378044065</v>
      </c>
      <c r="D5357">
        <v>2378073607</v>
      </c>
      <c r="E5357" t="str">
        <f>T("저승의 왕위를 계승했다 595화")</f>
        <v>저승의 왕위를 계승했다 595화</v>
      </c>
      <c r="F5357">
        <v>596</v>
      </c>
      <c r="G5357" t="str">
        <f>T("신타비")</f>
        <v>신타비</v>
      </c>
      <c r="J5357" t="str">
        <f>T("매드햇")</f>
        <v>매드햇</v>
      </c>
      <c r="K5357" t="str">
        <f>T("저승의 왕위를 계승했다")</f>
        <v>저승의 왕위를 계승했다</v>
      </c>
      <c r="L5357">
        <v>100</v>
      </c>
      <c r="M5357">
        <v>170</v>
      </c>
      <c r="N5357">
        <v>2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0</v>
      </c>
      <c r="AE5357">
        <v>0</v>
      </c>
      <c r="AF5357">
        <v>0</v>
      </c>
      <c r="AG5357">
        <v>0</v>
      </c>
      <c r="AH5357">
        <v>0</v>
      </c>
      <c r="AI5357">
        <v>170</v>
      </c>
      <c r="AJ5357">
        <v>2</v>
      </c>
      <c r="AK5357">
        <v>0</v>
      </c>
      <c r="AL5357">
        <v>0</v>
      </c>
      <c r="AM5357">
        <v>170</v>
      </c>
      <c r="AN5357">
        <v>0</v>
      </c>
      <c r="AO5357">
        <v>0</v>
      </c>
      <c r="AP5357">
        <v>0</v>
      </c>
      <c r="AQ5357">
        <v>0</v>
      </c>
      <c r="AS5357">
        <v>0</v>
      </c>
      <c r="AT5357">
        <v>0</v>
      </c>
      <c r="AV5357">
        <v>0</v>
      </c>
      <c r="AW5357">
        <v>0</v>
      </c>
      <c r="AY5357">
        <v>0</v>
      </c>
      <c r="AZ5357">
        <v>0</v>
      </c>
      <c r="BA5357">
        <v>119</v>
      </c>
      <c r="BE5357" t="str">
        <f>T("9791137014381")</f>
        <v>9791137014381</v>
      </c>
      <c r="BF5357" t="str">
        <f>T("B036011")</f>
        <v>B036011</v>
      </c>
      <c r="BG5357" t="str">
        <f>T("판타지 웹소설 &gt; 퓨전 판타지")</f>
        <v>판타지 웹소설 &gt; 퓨전 판타지</v>
      </c>
    </row>
    <row r="5358" spans="1:59">
      <c r="A5358" t="s">
        <v>60</v>
      </c>
      <c r="B5358" s="1">
        <v>46130</v>
      </c>
      <c r="C5358">
        <v>2378044065</v>
      </c>
      <c r="D5358">
        <v>2378073608</v>
      </c>
      <c r="E5358" t="str">
        <f>T("저승의 왕위를 계승했다 596화")</f>
        <v>저승의 왕위를 계승했다 596화</v>
      </c>
      <c r="F5358">
        <v>597</v>
      </c>
      <c r="G5358" t="str">
        <f>T("신타비")</f>
        <v>신타비</v>
      </c>
      <c r="J5358" t="str">
        <f>T("매드햇")</f>
        <v>매드햇</v>
      </c>
      <c r="K5358" t="str">
        <f>T("저승의 왕위를 계승했다")</f>
        <v>저승의 왕위를 계승했다</v>
      </c>
      <c r="L5358">
        <v>100</v>
      </c>
      <c r="M5358">
        <v>170</v>
      </c>
      <c r="N5358">
        <v>2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0</v>
      </c>
      <c r="AE5358">
        <v>0</v>
      </c>
      <c r="AF5358">
        <v>0</v>
      </c>
      <c r="AG5358">
        <v>0</v>
      </c>
      <c r="AH5358">
        <v>0</v>
      </c>
      <c r="AI5358">
        <v>170</v>
      </c>
      <c r="AJ5358">
        <v>2</v>
      </c>
      <c r="AK5358">
        <v>0</v>
      </c>
      <c r="AL5358">
        <v>0</v>
      </c>
      <c r="AM5358">
        <v>170</v>
      </c>
      <c r="AN5358">
        <v>0</v>
      </c>
      <c r="AO5358">
        <v>0</v>
      </c>
      <c r="AP5358">
        <v>0</v>
      </c>
      <c r="AQ5358">
        <v>0</v>
      </c>
      <c r="AS5358">
        <v>0</v>
      </c>
      <c r="AT5358">
        <v>0</v>
      </c>
      <c r="AV5358">
        <v>0</v>
      </c>
      <c r="AW5358">
        <v>0</v>
      </c>
      <c r="AY5358">
        <v>0</v>
      </c>
      <c r="AZ5358">
        <v>0</v>
      </c>
      <c r="BA5358">
        <v>119</v>
      </c>
      <c r="BE5358" t="str">
        <f>T("9791137014381")</f>
        <v>9791137014381</v>
      </c>
      <c r="BF5358" t="str">
        <f>T("B036012")</f>
        <v>B036012</v>
      </c>
      <c r="BG5358" t="str">
        <f>T("판타지 웹소설 &gt; 퓨전 판타지")</f>
        <v>판타지 웹소설 &gt; 퓨전 판타지</v>
      </c>
    </row>
    <row r="5359" spans="1:59">
      <c r="A5359" t="s">
        <v>60</v>
      </c>
      <c r="B5359" s="1">
        <v>46130</v>
      </c>
      <c r="C5359">
        <v>2378044065</v>
      </c>
      <c r="D5359">
        <v>2378073629</v>
      </c>
      <c r="E5359" t="str">
        <f>T("저승의 왕위를 계승했다 597화")</f>
        <v>저승의 왕위를 계승했다 597화</v>
      </c>
      <c r="F5359">
        <v>598</v>
      </c>
      <c r="G5359" t="str">
        <f>T("신타비")</f>
        <v>신타비</v>
      </c>
      <c r="J5359" t="str">
        <f>T("매드햇")</f>
        <v>매드햇</v>
      </c>
      <c r="K5359" t="str">
        <f>T("저승의 왕위를 계승했다")</f>
        <v>저승의 왕위를 계승했다</v>
      </c>
      <c r="L5359">
        <v>100</v>
      </c>
      <c r="M5359">
        <v>170</v>
      </c>
      <c r="N5359">
        <v>2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0</v>
      </c>
      <c r="AE5359">
        <v>0</v>
      </c>
      <c r="AF5359">
        <v>0</v>
      </c>
      <c r="AG5359">
        <v>0</v>
      </c>
      <c r="AH5359">
        <v>0</v>
      </c>
      <c r="AI5359">
        <v>170</v>
      </c>
      <c r="AJ5359">
        <v>2</v>
      </c>
      <c r="AK5359">
        <v>0</v>
      </c>
      <c r="AL5359">
        <v>0</v>
      </c>
      <c r="AM5359">
        <v>170</v>
      </c>
      <c r="AN5359">
        <v>0</v>
      </c>
      <c r="AO5359">
        <v>0</v>
      </c>
      <c r="AP5359">
        <v>0</v>
      </c>
      <c r="AQ5359">
        <v>0</v>
      </c>
      <c r="AS5359">
        <v>0</v>
      </c>
      <c r="AT5359">
        <v>0</v>
      </c>
      <c r="AV5359">
        <v>0</v>
      </c>
      <c r="AW5359">
        <v>0</v>
      </c>
      <c r="AY5359">
        <v>0</v>
      </c>
      <c r="AZ5359">
        <v>0</v>
      </c>
      <c r="BA5359">
        <v>119</v>
      </c>
      <c r="BE5359" t="str">
        <f>T("9791137014381")</f>
        <v>9791137014381</v>
      </c>
      <c r="BF5359" t="str">
        <f>T("B036013")</f>
        <v>B036013</v>
      </c>
      <c r="BG5359" t="str">
        <f>T("판타지 웹소설 &gt; 퓨전 판타지")</f>
        <v>판타지 웹소설 &gt; 퓨전 판타지</v>
      </c>
    </row>
    <row r="5360" spans="1:59">
      <c r="A5360" t="s">
        <v>60</v>
      </c>
      <c r="B5360" s="1">
        <v>46130</v>
      </c>
      <c r="C5360">
        <v>2378044065</v>
      </c>
      <c r="D5360">
        <v>2378073630</v>
      </c>
      <c r="E5360" t="str">
        <f>T("저승의 왕위를 계승했다 598화")</f>
        <v>저승의 왕위를 계승했다 598화</v>
      </c>
      <c r="F5360">
        <v>599</v>
      </c>
      <c r="G5360" t="str">
        <f>T("신타비")</f>
        <v>신타비</v>
      </c>
      <c r="J5360" t="str">
        <f>T("매드햇")</f>
        <v>매드햇</v>
      </c>
      <c r="K5360" t="str">
        <f>T("저승의 왕위를 계승했다")</f>
        <v>저승의 왕위를 계승했다</v>
      </c>
      <c r="L5360">
        <v>100</v>
      </c>
      <c r="M5360">
        <v>170</v>
      </c>
      <c r="N5360">
        <v>2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0</v>
      </c>
      <c r="AE5360">
        <v>0</v>
      </c>
      <c r="AF5360">
        <v>0</v>
      </c>
      <c r="AG5360">
        <v>0</v>
      </c>
      <c r="AH5360">
        <v>0</v>
      </c>
      <c r="AI5360">
        <v>170</v>
      </c>
      <c r="AJ5360">
        <v>2</v>
      </c>
      <c r="AK5360">
        <v>0</v>
      </c>
      <c r="AL5360">
        <v>0</v>
      </c>
      <c r="AM5360">
        <v>170</v>
      </c>
      <c r="AN5360">
        <v>0</v>
      </c>
      <c r="AO5360">
        <v>0</v>
      </c>
      <c r="AP5360">
        <v>0</v>
      </c>
      <c r="AQ5360">
        <v>0</v>
      </c>
      <c r="AS5360">
        <v>0</v>
      </c>
      <c r="AT5360">
        <v>0</v>
      </c>
      <c r="AV5360">
        <v>0</v>
      </c>
      <c r="AW5360">
        <v>0</v>
      </c>
      <c r="AY5360">
        <v>0</v>
      </c>
      <c r="AZ5360">
        <v>0</v>
      </c>
      <c r="BA5360">
        <v>119</v>
      </c>
      <c r="BE5360" t="str">
        <f>T("9791137014381")</f>
        <v>9791137014381</v>
      </c>
      <c r="BF5360" t="str">
        <f>T("B036014")</f>
        <v>B036014</v>
      </c>
      <c r="BG5360" t="str">
        <f>T("판타지 웹소설 &gt; 퓨전 판타지")</f>
        <v>판타지 웹소설 &gt; 퓨전 판타지</v>
      </c>
    </row>
    <row r="5361" spans="1:59">
      <c r="A5361" t="s">
        <v>60</v>
      </c>
      <c r="B5361" s="1">
        <v>46130</v>
      </c>
      <c r="C5361">
        <v>2378044065</v>
      </c>
      <c r="D5361">
        <v>2378073631</v>
      </c>
      <c r="E5361" t="str">
        <f>T("저승의 왕위를 계승했다 599화")</f>
        <v>저승의 왕위를 계승했다 599화</v>
      </c>
      <c r="F5361">
        <v>600</v>
      </c>
      <c r="G5361" t="str">
        <f>T("신타비")</f>
        <v>신타비</v>
      </c>
      <c r="J5361" t="str">
        <f>T("매드햇")</f>
        <v>매드햇</v>
      </c>
      <c r="K5361" t="str">
        <f>T("저승의 왕위를 계승했다")</f>
        <v>저승의 왕위를 계승했다</v>
      </c>
      <c r="L5361">
        <v>100</v>
      </c>
      <c r="M5361">
        <v>170</v>
      </c>
      <c r="N5361">
        <v>2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0</v>
      </c>
      <c r="AC5361">
        <v>0</v>
      </c>
      <c r="AD5361">
        <v>0</v>
      </c>
      <c r="AE5361">
        <v>0</v>
      </c>
      <c r="AF5361">
        <v>0</v>
      </c>
      <c r="AG5361">
        <v>0</v>
      </c>
      <c r="AH5361">
        <v>0</v>
      </c>
      <c r="AI5361">
        <v>170</v>
      </c>
      <c r="AJ5361">
        <v>2</v>
      </c>
      <c r="AK5361">
        <v>0</v>
      </c>
      <c r="AL5361">
        <v>0</v>
      </c>
      <c r="AM5361">
        <v>170</v>
      </c>
      <c r="AN5361">
        <v>0</v>
      </c>
      <c r="AO5361">
        <v>0</v>
      </c>
      <c r="AP5361">
        <v>0</v>
      </c>
      <c r="AQ5361">
        <v>0</v>
      </c>
      <c r="AS5361">
        <v>0</v>
      </c>
      <c r="AT5361">
        <v>0</v>
      </c>
      <c r="AV5361">
        <v>0</v>
      </c>
      <c r="AW5361">
        <v>0</v>
      </c>
      <c r="AY5361">
        <v>0</v>
      </c>
      <c r="AZ5361">
        <v>0</v>
      </c>
      <c r="BA5361">
        <v>119</v>
      </c>
      <c r="BE5361" t="str">
        <f>T("9791137014381")</f>
        <v>9791137014381</v>
      </c>
      <c r="BF5361" t="str">
        <f>T("B036706")</f>
        <v>B036706</v>
      </c>
      <c r="BG5361" t="str">
        <f>T("판타지 웹소설 &gt; 퓨전 판타지")</f>
        <v>판타지 웹소설 &gt; 퓨전 판타지</v>
      </c>
    </row>
    <row r="5362" spans="1:59">
      <c r="A5362" t="s">
        <v>60</v>
      </c>
      <c r="B5362" s="1">
        <v>46130</v>
      </c>
      <c r="C5362">
        <v>2378044065</v>
      </c>
      <c r="D5362">
        <v>2378073632</v>
      </c>
      <c r="E5362" t="str">
        <f>T("저승의 왕위를 계승했다 600화")</f>
        <v>저승의 왕위를 계승했다 600화</v>
      </c>
      <c r="F5362">
        <v>601</v>
      </c>
      <c r="G5362" t="str">
        <f>T("신타비")</f>
        <v>신타비</v>
      </c>
      <c r="J5362" t="str">
        <f>T("매드햇")</f>
        <v>매드햇</v>
      </c>
      <c r="K5362" t="str">
        <f>T("저승의 왕위를 계승했다")</f>
        <v>저승의 왕위를 계승했다</v>
      </c>
      <c r="L5362">
        <v>100</v>
      </c>
      <c r="M5362">
        <v>170</v>
      </c>
      <c r="N5362">
        <v>2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0</v>
      </c>
      <c r="AC5362">
        <v>0</v>
      </c>
      <c r="AD5362">
        <v>0</v>
      </c>
      <c r="AE5362">
        <v>0</v>
      </c>
      <c r="AF5362">
        <v>0</v>
      </c>
      <c r="AG5362">
        <v>0</v>
      </c>
      <c r="AH5362">
        <v>0</v>
      </c>
      <c r="AI5362">
        <v>170</v>
      </c>
      <c r="AJ5362">
        <v>2</v>
      </c>
      <c r="AK5362">
        <v>0</v>
      </c>
      <c r="AL5362">
        <v>0</v>
      </c>
      <c r="AM5362">
        <v>170</v>
      </c>
      <c r="AN5362">
        <v>0</v>
      </c>
      <c r="AO5362">
        <v>0</v>
      </c>
      <c r="AP5362">
        <v>0</v>
      </c>
      <c r="AQ5362">
        <v>0</v>
      </c>
      <c r="AS5362">
        <v>0</v>
      </c>
      <c r="AT5362">
        <v>0</v>
      </c>
      <c r="AV5362">
        <v>0</v>
      </c>
      <c r="AW5362">
        <v>0</v>
      </c>
      <c r="AY5362">
        <v>0</v>
      </c>
      <c r="AZ5362">
        <v>0</v>
      </c>
      <c r="BA5362">
        <v>119</v>
      </c>
      <c r="BE5362" t="str">
        <f>T("9791137014381")</f>
        <v>9791137014381</v>
      </c>
      <c r="BF5362" t="str">
        <f>T("B036707")</f>
        <v>B036707</v>
      </c>
      <c r="BG5362" t="str">
        <f>T("판타지 웹소설 &gt; 퓨전 판타지")</f>
        <v>판타지 웹소설 &gt; 퓨전 판타지</v>
      </c>
    </row>
    <row r="5363" spans="1:59">
      <c r="A5363" t="s">
        <v>60</v>
      </c>
      <c r="B5363" s="1">
        <v>46130</v>
      </c>
      <c r="C5363">
        <v>2378044065</v>
      </c>
      <c r="D5363">
        <v>2378075026</v>
      </c>
      <c r="E5363" t="str">
        <f>T("저승의 왕위를 계승했다 601화")</f>
        <v>저승의 왕위를 계승했다 601화</v>
      </c>
      <c r="F5363">
        <v>602</v>
      </c>
      <c r="G5363" t="str">
        <f>T("신타비")</f>
        <v>신타비</v>
      </c>
      <c r="J5363" t="str">
        <f>T("매드햇")</f>
        <v>매드햇</v>
      </c>
      <c r="K5363" t="str">
        <f>T("저승의 왕위를 계승했다")</f>
        <v>저승의 왕위를 계승했다</v>
      </c>
      <c r="L5363">
        <v>100</v>
      </c>
      <c r="M5363">
        <v>170</v>
      </c>
      <c r="N5363">
        <v>2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0</v>
      </c>
      <c r="AC5363">
        <v>0</v>
      </c>
      <c r="AD5363">
        <v>0</v>
      </c>
      <c r="AE5363">
        <v>0</v>
      </c>
      <c r="AF5363">
        <v>0</v>
      </c>
      <c r="AG5363">
        <v>0</v>
      </c>
      <c r="AH5363">
        <v>0</v>
      </c>
      <c r="AI5363">
        <v>170</v>
      </c>
      <c r="AJ5363">
        <v>2</v>
      </c>
      <c r="AK5363">
        <v>0</v>
      </c>
      <c r="AL5363">
        <v>0</v>
      </c>
      <c r="AM5363">
        <v>170</v>
      </c>
      <c r="AN5363">
        <v>0</v>
      </c>
      <c r="AO5363">
        <v>0</v>
      </c>
      <c r="AP5363">
        <v>0</v>
      </c>
      <c r="AQ5363">
        <v>0</v>
      </c>
      <c r="AS5363">
        <v>0</v>
      </c>
      <c r="AT5363">
        <v>0</v>
      </c>
      <c r="AV5363">
        <v>0</v>
      </c>
      <c r="AW5363">
        <v>0</v>
      </c>
      <c r="AY5363">
        <v>0</v>
      </c>
      <c r="AZ5363">
        <v>0</v>
      </c>
      <c r="BA5363">
        <v>119</v>
      </c>
      <c r="BE5363" t="str">
        <f>T("9791137014381")</f>
        <v>9791137014381</v>
      </c>
      <c r="BF5363" t="str">
        <f>T("B036708")</f>
        <v>B036708</v>
      </c>
      <c r="BG5363" t="str">
        <f>T("판타지 웹소설 &gt; 퓨전 판타지")</f>
        <v>판타지 웹소설 &gt; 퓨전 판타지</v>
      </c>
    </row>
    <row r="5364" spans="1:59">
      <c r="A5364" t="s">
        <v>60</v>
      </c>
      <c r="B5364" s="1">
        <v>46130</v>
      </c>
      <c r="C5364">
        <v>2378044065</v>
      </c>
      <c r="D5364">
        <v>2378075027</v>
      </c>
      <c r="E5364" t="str">
        <f>T("저승의 왕위를 계승했다 602화")</f>
        <v>저승의 왕위를 계승했다 602화</v>
      </c>
      <c r="F5364">
        <v>603</v>
      </c>
      <c r="G5364" t="str">
        <f>T("신타비")</f>
        <v>신타비</v>
      </c>
      <c r="J5364" t="str">
        <f>T("매드햇")</f>
        <v>매드햇</v>
      </c>
      <c r="K5364" t="str">
        <f>T("저승의 왕위를 계승했다")</f>
        <v>저승의 왕위를 계승했다</v>
      </c>
      <c r="L5364">
        <v>100</v>
      </c>
      <c r="M5364">
        <v>170</v>
      </c>
      <c r="N5364">
        <v>2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0</v>
      </c>
      <c r="AC5364">
        <v>0</v>
      </c>
      <c r="AD5364">
        <v>0</v>
      </c>
      <c r="AE5364">
        <v>0</v>
      </c>
      <c r="AF5364">
        <v>0</v>
      </c>
      <c r="AG5364">
        <v>0</v>
      </c>
      <c r="AH5364">
        <v>0</v>
      </c>
      <c r="AI5364">
        <v>170</v>
      </c>
      <c r="AJ5364">
        <v>2</v>
      </c>
      <c r="AK5364">
        <v>0</v>
      </c>
      <c r="AL5364">
        <v>0</v>
      </c>
      <c r="AM5364">
        <v>170</v>
      </c>
      <c r="AN5364">
        <v>0</v>
      </c>
      <c r="AO5364">
        <v>0</v>
      </c>
      <c r="AP5364">
        <v>0</v>
      </c>
      <c r="AQ5364">
        <v>0</v>
      </c>
      <c r="AS5364">
        <v>0</v>
      </c>
      <c r="AT5364">
        <v>0</v>
      </c>
      <c r="AV5364">
        <v>0</v>
      </c>
      <c r="AW5364">
        <v>0</v>
      </c>
      <c r="AY5364">
        <v>0</v>
      </c>
      <c r="AZ5364">
        <v>0</v>
      </c>
      <c r="BA5364">
        <v>119</v>
      </c>
      <c r="BE5364" t="str">
        <f>T("9791137014381")</f>
        <v>9791137014381</v>
      </c>
      <c r="BF5364" t="str">
        <f>T("B036709")</f>
        <v>B036709</v>
      </c>
      <c r="BG5364" t="str">
        <f>T("판타지 웹소설 &gt; 퓨전 판타지")</f>
        <v>판타지 웹소설 &gt; 퓨전 판타지</v>
      </c>
    </row>
    <row r="5365" spans="1:59">
      <c r="A5365" t="s">
        <v>60</v>
      </c>
      <c r="B5365" s="1">
        <v>46130</v>
      </c>
      <c r="C5365">
        <v>2378044065</v>
      </c>
      <c r="D5365">
        <v>2378075028</v>
      </c>
      <c r="E5365" t="str">
        <f>T("저승의 왕위를 계승했다 603화")</f>
        <v>저승의 왕위를 계승했다 603화</v>
      </c>
      <c r="F5365">
        <v>604</v>
      </c>
      <c r="G5365" t="str">
        <f>T("신타비")</f>
        <v>신타비</v>
      </c>
      <c r="J5365" t="str">
        <f>T("매드햇")</f>
        <v>매드햇</v>
      </c>
      <c r="K5365" t="str">
        <f>T("저승의 왕위를 계승했다")</f>
        <v>저승의 왕위를 계승했다</v>
      </c>
      <c r="L5365">
        <v>100</v>
      </c>
      <c r="M5365">
        <v>170</v>
      </c>
      <c r="N5365">
        <v>2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0</v>
      </c>
      <c r="AC5365">
        <v>0</v>
      </c>
      <c r="AD5365">
        <v>0</v>
      </c>
      <c r="AE5365">
        <v>0</v>
      </c>
      <c r="AF5365">
        <v>0</v>
      </c>
      <c r="AG5365">
        <v>0</v>
      </c>
      <c r="AH5365">
        <v>0</v>
      </c>
      <c r="AI5365">
        <v>170</v>
      </c>
      <c r="AJ5365">
        <v>2</v>
      </c>
      <c r="AK5365">
        <v>0</v>
      </c>
      <c r="AL5365">
        <v>0</v>
      </c>
      <c r="AM5365">
        <v>170</v>
      </c>
      <c r="AN5365">
        <v>0</v>
      </c>
      <c r="AO5365">
        <v>0</v>
      </c>
      <c r="AP5365">
        <v>0</v>
      </c>
      <c r="AQ5365">
        <v>0</v>
      </c>
      <c r="AS5365">
        <v>0</v>
      </c>
      <c r="AT5365">
        <v>0</v>
      </c>
      <c r="AV5365">
        <v>0</v>
      </c>
      <c r="AW5365">
        <v>0</v>
      </c>
      <c r="AY5365">
        <v>0</v>
      </c>
      <c r="AZ5365">
        <v>0</v>
      </c>
      <c r="BA5365">
        <v>119</v>
      </c>
      <c r="BE5365" t="str">
        <f>T("9791137014381")</f>
        <v>9791137014381</v>
      </c>
      <c r="BF5365" t="str">
        <f>T("D000048")</f>
        <v>D000048</v>
      </c>
      <c r="BG5365" t="str">
        <f>T("판타지 웹소설 &gt; 퓨전 판타지")</f>
        <v>판타지 웹소설 &gt; 퓨전 판타지</v>
      </c>
    </row>
    <row r="5366" spans="1:59">
      <c r="A5366" t="s">
        <v>60</v>
      </c>
      <c r="B5366" s="1">
        <v>46130</v>
      </c>
      <c r="C5366">
        <v>2378044065</v>
      </c>
      <c r="D5366">
        <v>2378075029</v>
      </c>
      <c r="E5366" t="str">
        <f>T("저승의 왕위를 계승했다 604화")</f>
        <v>저승의 왕위를 계승했다 604화</v>
      </c>
      <c r="F5366">
        <v>605</v>
      </c>
      <c r="G5366" t="str">
        <f>T("신타비")</f>
        <v>신타비</v>
      </c>
      <c r="J5366" t="str">
        <f>T("매드햇")</f>
        <v>매드햇</v>
      </c>
      <c r="K5366" t="str">
        <f>T("저승의 왕위를 계승했다")</f>
        <v>저승의 왕위를 계승했다</v>
      </c>
      <c r="L5366">
        <v>100</v>
      </c>
      <c r="M5366">
        <v>170</v>
      </c>
      <c r="N5366">
        <v>2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0</v>
      </c>
      <c r="AC5366">
        <v>0</v>
      </c>
      <c r="AD5366">
        <v>0</v>
      </c>
      <c r="AE5366">
        <v>0</v>
      </c>
      <c r="AF5366">
        <v>0</v>
      </c>
      <c r="AG5366">
        <v>0</v>
      </c>
      <c r="AH5366">
        <v>0</v>
      </c>
      <c r="AI5366">
        <v>170</v>
      </c>
      <c r="AJ5366">
        <v>2</v>
      </c>
      <c r="AK5366">
        <v>0</v>
      </c>
      <c r="AL5366">
        <v>0</v>
      </c>
      <c r="AM5366">
        <v>170</v>
      </c>
      <c r="AN5366">
        <v>0</v>
      </c>
      <c r="AO5366">
        <v>0</v>
      </c>
      <c r="AP5366">
        <v>0</v>
      </c>
      <c r="AQ5366">
        <v>0</v>
      </c>
      <c r="AS5366">
        <v>0</v>
      </c>
      <c r="AT5366">
        <v>0</v>
      </c>
      <c r="AV5366">
        <v>0</v>
      </c>
      <c r="AW5366">
        <v>0</v>
      </c>
      <c r="AY5366">
        <v>0</v>
      </c>
      <c r="AZ5366">
        <v>0</v>
      </c>
      <c r="BA5366">
        <v>119</v>
      </c>
      <c r="BE5366" t="str">
        <f>T("9791137014381")</f>
        <v>9791137014381</v>
      </c>
      <c r="BF5366" t="str">
        <f>T("D000049")</f>
        <v>D000049</v>
      </c>
      <c r="BG5366" t="str">
        <f>T("판타지 웹소설 &gt; 퓨전 판타지")</f>
        <v>판타지 웹소설 &gt; 퓨전 판타지</v>
      </c>
    </row>
    <row r="5367" spans="1:59">
      <c r="A5367" t="s">
        <v>60</v>
      </c>
      <c r="B5367" s="1">
        <v>46130</v>
      </c>
      <c r="C5367">
        <v>2378044065</v>
      </c>
      <c r="D5367">
        <v>2378075047</v>
      </c>
      <c r="E5367" t="str">
        <f>T("저승의 왕위를 계승했다 605화")</f>
        <v>저승의 왕위를 계승했다 605화</v>
      </c>
      <c r="F5367">
        <v>606</v>
      </c>
      <c r="G5367" t="str">
        <f>T("신타비")</f>
        <v>신타비</v>
      </c>
      <c r="J5367" t="str">
        <f>T("매드햇")</f>
        <v>매드햇</v>
      </c>
      <c r="K5367" t="str">
        <f>T("저승의 왕위를 계승했다")</f>
        <v>저승의 왕위를 계승했다</v>
      </c>
      <c r="L5367">
        <v>100</v>
      </c>
      <c r="M5367">
        <v>170</v>
      </c>
      <c r="N5367">
        <v>2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0</v>
      </c>
      <c r="AC5367">
        <v>0</v>
      </c>
      <c r="AD5367">
        <v>0</v>
      </c>
      <c r="AE5367">
        <v>0</v>
      </c>
      <c r="AF5367">
        <v>0</v>
      </c>
      <c r="AG5367">
        <v>0</v>
      </c>
      <c r="AH5367">
        <v>0</v>
      </c>
      <c r="AI5367">
        <v>170</v>
      </c>
      <c r="AJ5367">
        <v>2</v>
      </c>
      <c r="AK5367">
        <v>0</v>
      </c>
      <c r="AL5367">
        <v>0</v>
      </c>
      <c r="AM5367">
        <v>170</v>
      </c>
      <c r="AN5367">
        <v>0</v>
      </c>
      <c r="AO5367">
        <v>0</v>
      </c>
      <c r="AP5367">
        <v>0</v>
      </c>
      <c r="AQ5367">
        <v>0</v>
      </c>
      <c r="AS5367">
        <v>0</v>
      </c>
      <c r="AT5367">
        <v>0</v>
      </c>
      <c r="AV5367">
        <v>0</v>
      </c>
      <c r="AW5367">
        <v>0</v>
      </c>
      <c r="AY5367">
        <v>0</v>
      </c>
      <c r="AZ5367">
        <v>0</v>
      </c>
      <c r="BA5367">
        <v>119</v>
      </c>
      <c r="BE5367" t="str">
        <f>T("9791137014381")</f>
        <v>9791137014381</v>
      </c>
      <c r="BF5367" t="str">
        <f>T("D000050")</f>
        <v>D000050</v>
      </c>
      <c r="BG5367" t="str">
        <f>T("판타지 웹소설 &gt; 퓨전 판타지")</f>
        <v>판타지 웹소설 &gt; 퓨전 판타지</v>
      </c>
    </row>
    <row r="5368" spans="1:59">
      <c r="A5368" t="s">
        <v>60</v>
      </c>
      <c r="B5368" s="1">
        <v>46130</v>
      </c>
      <c r="C5368">
        <v>2378044065</v>
      </c>
      <c r="D5368">
        <v>2378075048</v>
      </c>
      <c r="E5368" t="str">
        <f>T("저승의 왕위를 계승했다 606화")</f>
        <v>저승의 왕위를 계승했다 606화</v>
      </c>
      <c r="F5368">
        <v>607</v>
      </c>
      <c r="G5368" t="str">
        <f>T("신타비")</f>
        <v>신타비</v>
      </c>
      <c r="J5368" t="str">
        <f>T("매드햇")</f>
        <v>매드햇</v>
      </c>
      <c r="K5368" t="str">
        <f>T("저승의 왕위를 계승했다")</f>
        <v>저승의 왕위를 계승했다</v>
      </c>
      <c r="L5368">
        <v>100</v>
      </c>
      <c r="M5368">
        <v>170</v>
      </c>
      <c r="N5368">
        <v>2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0</v>
      </c>
      <c r="AC5368">
        <v>0</v>
      </c>
      <c r="AD5368">
        <v>0</v>
      </c>
      <c r="AE5368">
        <v>0</v>
      </c>
      <c r="AF5368">
        <v>0</v>
      </c>
      <c r="AG5368">
        <v>0</v>
      </c>
      <c r="AH5368">
        <v>0</v>
      </c>
      <c r="AI5368">
        <v>170</v>
      </c>
      <c r="AJ5368">
        <v>2</v>
      </c>
      <c r="AK5368">
        <v>0</v>
      </c>
      <c r="AL5368">
        <v>0</v>
      </c>
      <c r="AM5368">
        <v>170</v>
      </c>
      <c r="AN5368">
        <v>0</v>
      </c>
      <c r="AO5368">
        <v>0</v>
      </c>
      <c r="AP5368">
        <v>0</v>
      </c>
      <c r="AQ5368">
        <v>0</v>
      </c>
      <c r="AS5368">
        <v>0</v>
      </c>
      <c r="AT5368">
        <v>0</v>
      </c>
      <c r="AV5368">
        <v>0</v>
      </c>
      <c r="AW5368">
        <v>0</v>
      </c>
      <c r="AY5368">
        <v>0</v>
      </c>
      <c r="AZ5368">
        <v>0</v>
      </c>
      <c r="BA5368">
        <v>119</v>
      </c>
      <c r="BE5368" t="str">
        <f>T("9791137014381")</f>
        <v>9791137014381</v>
      </c>
      <c r="BF5368" t="str">
        <f>T("D000051")</f>
        <v>D000051</v>
      </c>
      <c r="BG5368" t="str">
        <f>T("판타지 웹소설 &gt; 퓨전 판타지")</f>
        <v>판타지 웹소설 &gt; 퓨전 판타지</v>
      </c>
    </row>
    <row r="5369" spans="1:59">
      <c r="A5369" t="s">
        <v>60</v>
      </c>
      <c r="B5369" s="1">
        <v>46130</v>
      </c>
      <c r="C5369">
        <v>2378044065</v>
      </c>
      <c r="D5369">
        <v>2378075049</v>
      </c>
      <c r="E5369" t="str">
        <f>T("저승의 왕위를 계승했다 607화")</f>
        <v>저승의 왕위를 계승했다 607화</v>
      </c>
      <c r="F5369">
        <v>609</v>
      </c>
      <c r="G5369" t="str">
        <f>T("신타비")</f>
        <v>신타비</v>
      </c>
      <c r="J5369" t="str">
        <f>T("매드햇")</f>
        <v>매드햇</v>
      </c>
      <c r="K5369" t="str">
        <f>T("저승의 왕위를 계승했다")</f>
        <v>저승의 왕위를 계승했다</v>
      </c>
      <c r="L5369">
        <v>100</v>
      </c>
      <c r="M5369">
        <v>170</v>
      </c>
      <c r="N5369">
        <v>2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0</v>
      </c>
      <c r="AC5369">
        <v>0</v>
      </c>
      <c r="AD5369">
        <v>0</v>
      </c>
      <c r="AE5369">
        <v>0</v>
      </c>
      <c r="AF5369">
        <v>0</v>
      </c>
      <c r="AG5369">
        <v>0</v>
      </c>
      <c r="AH5369">
        <v>0</v>
      </c>
      <c r="AI5369">
        <v>170</v>
      </c>
      <c r="AJ5369">
        <v>2</v>
      </c>
      <c r="AK5369">
        <v>0</v>
      </c>
      <c r="AL5369">
        <v>0</v>
      </c>
      <c r="AM5369">
        <v>170</v>
      </c>
      <c r="AN5369">
        <v>0</v>
      </c>
      <c r="AO5369">
        <v>0</v>
      </c>
      <c r="AP5369">
        <v>0</v>
      </c>
      <c r="AQ5369">
        <v>0</v>
      </c>
      <c r="AS5369">
        <v>0</v>
      </c>
      <c r="AT5369">
        <v>0</v>
      </c>
      <c r="AV5369">
        <v>0</v>
      </c>
      <c r="AW5369">
        <v>0</v>
      </c>
      <c r="AY5369">
        <v>0</v>
      </c>
      <c r="AZ5369">
        <v>0</v>
      </c>
      <c r="BA5369">
        <v>119</v>
      </c>
      <c r="BE5369" t="str">
        <f>T("9791137014381")</f>
        <v>9791137014381</v>
      </c>
      <c r="BF5369" t="str">
        <f>T("D003368")</f>
        <v>D003368</v>
      </c>
      <c r="BG5369" t="str">
        <f>T("판타지 웹소설 &gt; 퓨전 판타지")</f>
        <v>판타지 웹소설 &gt; 퓨전 판타지</v>
      </c>
    </row>
    <row r="5370" spans="1:59">
      <c r="A5370" t="s">
        <v>60</v>
      </c>
      <c r="B5370" s="1">
        <v>46130</v>
      </c>
      <c r="C5370">
        <v>2378044065</v>
      </c>
      <c r="D5370">
        <v>2378075050</v>
      </c>
      <c r="E5370" t="str">
        <f>T("저승의 왕위를 계승했다 608화")</f>
        <v>저승의 왕위를 계승했다 608화</v>
      </c>
      <c r="F5370">
        <v>610</v>
      </c>
      <c r="G5370" t="str">
        <f>T("신타비")</f>
        <v>신타비</v>
      </c>
      <c r="J5370" t="str">
        <f>T("매드햇")</f>
        <v>매드햇</v>
      </c>
      <c r="K5370" t="str">
        <f>T("저승의 왕위를 계승했다")</f>
        <v>저승의 왕위를 계승했다</v>
      </c>
      <c r="L5370">
        <v>100</v>
      </c>
      <c r="M5370">
        <v>170</v>
      </c>
      <c r="N5370">
        <v>2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0</v>
      </c>
      <c r="AC5370">
        <v>0</v>
      </c>
      <c r="AD5370">
        <v>0</v>
      </c>
      <c r="AE5370">
        <v>0</v>
      </c>
      <c r="AF5370">
        <v>0</v>
      </c>
      <c r="AG5370">
        <v>0</v>
      </c>
      <c r="AH5370">
        <v>0</v>
      </c>
      <c r="AI5370">
        <v>170</v>
      </c>
      <c r="AJ5370">
        <v>2</v>
      </c>
      <c r="AK5370">
        <v>0</v>
      </c>
      <c r="AL5370">
        <v>0</v>
      </c>
      <c r="AM5370">
        <v>170</v>
      </c>
      <c r="AN5370">
        <v>0</v>
      </c>
      <c r="AO5370">
        <v>0</v>
      </c>
      <c r="AP5370">
        <v>0</v>
      </c>
      <c r="AQ5370">
        <v>0</v>
      </c>
      <c r="AS5370">
        <v>0</v>
      </c>
      <c r="AT5370">
        <v>0</v>
      </c>
      <c r="AV5370">
        <v>0</v>
      </c>
      <c r="AW5370">
        <v>0</v>
      </c>
      <c r="AY5370">
        <v>0</v>
      </c>
      <c r="AZ5370">
        <v>0</v>
      </c>
      <c r="BA5370">
        <v>119</v>
      </c>
      <c r="BE5370" t="str">
        <f>T("9791137014381")</f>
        <v>9791137014381</v>
      </c>
      <c r="BF5370" t="str">
        <f>T("D003369")</f>
        <v>D003369</v>
      </c>
      <c r="BG5370" t="str">
        <f>T("판타지 웹소설 &gt; 퓨전 판타지")</f>
        <v>판타지 웹소설 &gt; 퓨전 판타지</v>
      </c>
    </row>
    <row r="5371" spans="1:59">
      <c r="A5371" t="s">
        <v>60</v>
      </c>
      <c r="B5371" s="1">
        <v>46130</v>
      </c>
      <c r="C5371">
        <v>2378044065</v>
      </c>
      <c r="D5371">
        <v>2378075076</v>
      </c>
      <c r="E5371" t="str">
        <f>T("저승의 왕위를 계승했다 캐릭터 프로필")</f>
        <v>저승의 왕위를 계승했다 캐릭터 프로필</v>
      </c>
      <c r="F5371">
        <v>608</v>
      </c>
      <c r="G5371" t="str">
        <f>T("신타비")</f>
        <v>신타비</v>
      </c>
      <c r="J5371" t="str">
        <f>T("매드햇")</f>
        <v>매드햇</v>
      </c>
      <c r="K5371" t="str">
        <f>T("저승의 왕위를 계승했다")</f>
        <v>저승의 왕위를 계승했다</v>
      </c>
      <c r="L5371">
        <v>0</v>
      </c>
      <c r="M5371">
        <v>0</v>
      </c>
      <c r="N5371">
        <v>0</v>
      </c>
      <c r="O5371">
        <v>2</v>
      </c>
      <c r="P5371">
        <v>0</v>
      </c>
      <c r="Q5371">
        <v>0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0</v>
      </c>
      <c r="AC5371">
        <v>0</v>
      </c>
      <c r="AD5371">
        <v>0</v>
      </c>
      <c r="AE5371">
        <v>0</v>
      </c>
      <c r="AF5371">
        <v>0</v>
      </c>
      <c r="AG5371">
        <v>0</v>
      </c>
      <c r="AH5371">
        <v>0</v>
      </c>
      <c r="AI5371">
        <v>0</v>
      </c>
      <c r="AJ5371">
        <v>2</v>
      </c>
      <c r="AK5371">
        <v>0</v>
      </c>
      <c r="AL5371">
        <v>0</v>
      </c>
      <c r="AM5371">
        <v>0</v>
      </c>
      <c r="AN5371">
        <v>0</v>
      </c>
      <c r="AO5371">
        <v>0</v>
      </c>
      <c r="AP5371">
        <v>0</v>
      </c>
      <c r="AQ5371">
        <v>0</v>
      </c>
      <c r="AS5371">
        <v>0</v>
      </c>
      <c r="AT5371">
        <v>0</v>
      </c>
      <c r="AV5371">
        <v>0</v>
      </c>
      <c r="AW5371">
        <v>0</v>
      </c>
      <c r="AY5371">
        <v>0</v>
      </c>
      <c r="AZ5371">
        <v>0</v>
      </c>
      <c r="BA5371">
        <v>0</v>
      </c>
      <c r="BE5371" t="str">
        <f>T("9791137014381")</f>
        <v>9791137014381</v>
      </c>
      <c r="BG5371" t="str">
        <f>T("판타지 웹소설 &gt; 퓨전 판타지")</f>
        <v>판타지 웹소설 &gt; 퓨전 판타지</v>
      </c>
    </row>
    <row r="5372" spans="1:59">
      <c r="A5372" t="s">
        <v>60</v>
      </c>
      <c r="B5372" s="1">
        <v>46130</v>
      </c>
      <c r="C5372">
        <v>2378044065</v>
      </c>
      <c r="D5372">
        <v>2378075200</v>
      </c>
      <c r="E5372" t="str">
        <f>T("저승의 왕위를 계승했다 609화")</f>
        <v>저승의 왕위를 계승했다 609화</v>
      </c>
      <c r="F5372">
        <v>611</v>
      </c>
      <c r="G5372" t="str">
        <f>T("신타비")</f>
        <v>신타비</v>
      </c>
      <c r="J5372" t="str">
        <f>T("매드햇")</f>
        <v>매드햇</v>
      </c>
      <c r="K5372" t="str">
        <f>T("저승의 왕위를 계승했다")</f>
        <v>저승의 왕위를 계승했다</v>
      </c>
      <c r="L5372">
        <v>100</v>
      </c>
      <c r="M5372">
        <v>170</v>
      </c>
      <c r="N5372">
        <v>2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0</v>
      </c>
      <c r="AC5372">
        <v>0</v>
      </c>
      <c r="AD5372">
        <v>0</v>
      </c>
      <c r="AE5372">
        <v>0</v>
      </c>
      <c r="AF5372">
        <v>0</v>
      </c>
      <c r="AG5372">
        <v>0</v>
      </c>
      <c r="AH5372">
        <v>0</v>
      </c>
      <c r="AI5372">
        <v>170</v>
      </c>
      <c r="AJ5372">
        <v>2</v>
      </c>
      <c r="AK5372">
        <v>0</v>
      </c>
      <c r="AL5372">
        <v>0</v>
      </c>
      <c r="AM5372">
        <v>170</v>
      </c>
      <c r="AN5372">
        <v>0</v>
      </c>
      <c r="AO5372">
        <v>0</v>
      </c>
      <c r="AP5372">
        <v>0</v>
      </c>
      <c r="AQ5372">
        <v>0</v>
      </c>
      <c r="AS5372">
        <v>0</v>
      </c>
      <c r="AT5372">
        <v>0</v>
      </c>
      <c r="AV5372">
        <v>0</v>
      </c>
      <c r="AW5372">
        <v>0</v>
      </c>
      <c r="AY5372">
        <v>0</v>
      </c>
      <c r="AZ5372">
        <v>0</v>
      </c>
      <c r="BA5372">
        <v>119</v>
      </c>
      <c r="BE5372" t="str">
        <f>T("9791137014381")</f>
        <v>9791137014381</v>
      </c>
      <c r="BF5372" t="str">
        <f>T("D003370")</f>
        <v>D003370</v>
      </c>
      <c r="BG5372" t="str">
        <f>T("판타지 웹소설 &gt; 퓨전 판타지")</f>
        <v>판타지 웹소설 &gt; 퓨전 판타지</v>
      </c>
    </row>
    <row r="5373" spans="1:59">
      <c r="A5373" t="s">
        <v>60</v>
      </c>
      <c r="B5373" s="1">
        <v>46130</v>
      </c>
      <c r="C5373">
        <v>2378044065</v>
      </c>
      <c r="D5373">
        <v>2378075201</v>
      </c>
      <c r="E5373" t="str">
        <f>T("저승의 왕위를 계승했다 610화")</f>
        <v>저승의 왕위를 계승했다 610화</v>
      </c>
      <c r="F5373">
        <v>612</v>
      </c>
      <c r="G5373" t="str">
        <f>T("신타비")</f>
        <v>신타비</v>
      </c>
      <c r="J5373" t="str">
        <f>T("매드햇")</f>
        <v>매드햇</v>
      </c>
      <c r="K5373" t="str">
        <f>T("저승의 왕위를 계승했다")</f>
        <v>저승의 왕위를 계승했다</v>
      </c>
      <c r="L5373">
        <v>100</v>
      </c>
      <c r="M5373">
        <v>170</v>
      </c>
      <c r="N5373">
        <v>2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0</v>
      </c>
      <c r="AC5373">
        <v>0</v>
      </c>
      <c r="AD5373">
        <v>0</v>
      </c>
      <c r="AE5373">
        <v>0</v>
      </c>
      <c r="AF5373">
        <v>0</v>
      </c>
      <c r="AG5373">
        <v>0</v>
      </c>
      <c r="AH5373">
        <v>0</v>
      </c>
      <c r="AI5373">
        <v>170</v>
      </c>
      <c r="AJ5373">
        <v>2</v>
      </c>
      <c r="AK5373">
        <v>0</v>
      </c>
      <c r="AL5373">
        <v>0</v>
      </c>
      <c r="AM5373">
        <v>170</v>
      </c>
      <c r="AN5373">
        <v>0</v>
      </c>
      <c r="AO5373">
        <v>0</v>
      </c>
      <c r="AP5373">
        <v>0</v>
      </c>
      <c r="AQ5373">
        <v>0</v>
      </c>
      <c r="AS5373">
        <v>0</v>
      </c>
      <c r="AT5373">
        <v>0</v>
      </c>
      <c r="AV5373">
        <v>0</v>
      </c>
      <c r="AW5373">
        <v>0</v>
      </c>
      <c r="AY5373">
        <v>0</v>
      </c>
      <c r="AZ5373">
        <v>0</v>
      </c>
      <c r="BA5373">
        <v>119</v>
      </c>
      <c r="BE5373" t="str">
        <f>T("9791137014381")</f>
        <v>9791137014381</v>
      </c>
      <c r="BF5373" t="str">
        <f>T("D003371")</f>
        <v>D003371</v>
      </c>
      <c r="BG5373" t="str">
        <f>T("판타지 웹소설 &gt; 퓨전 판타지")</f>
        <v>판타지 웹소설 &gt; 퓨전 판타지</v>
      </c>
    </row>
    <row r="5374" spans="1:59">
      <c r="A5374" t="s">
        <v>60</v>
      </c>
      <c r="B5374" s="1">
        <v>46130</v>
      </c>
      <c r="C5374">
        <v>2378044065</v>
      </c>
      <c r="D5374">
        <v>2378075202</v>
      </c>
      <c r="E5374" t="str">
        <f>T("저승의 왕위를 계승했다 611화")</f>
        <v>저승의 왕위를 계승했다 611화</v>
      </c>
      <c r="F5374">
        <v>613</v>
      </c>
      <c r="G5374" t="str">
        <f>T("신타비")</f>
        <v>신타비</v>
      </c>
      <c r="J5374" t="str">
        <f>T("매드햇")</f>
        <v>매드햇</v>
      </c>
      <c r="K5374" t="str">
        <f>T("저승의 왕위를 계승했다")</f>
        <v>저승의 왕위를 계승했다</v>
      </c>
      <c r="L5374">
        <v>100</v>
      </c>
      <c r="M5374">
        <v>170</v>
      </c>
      <c r="N5374">
        <v>2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0</v>
      </c>
      <c r="AC5374">
        <v>0</v>
      </c>
      <c r="AD5374">
        <v>0</v>
      </c>
      <c r="AE5374">
        <v>0</v>
      </c>
      <c r="AF5374">
        <v>0</v>
      </c>
      <c r="AG5374">
        <v>0</v>
      </c>
      <c r="AH5374">
        <v>0</v>
      </c>
      <c r="AI5374">
        <v>170</v>
      </c>
      <c r="AJ5374">
        <v>2</v>
      </c>
      <c r="AK5374">
        <v>0</v>
      </c>
      <c r="AL5374">
        <v>0</v>
      </c>
      <c r="AM5374">
        <v>170</v>
      </c>
      <c r="AN5374">
        <v>0</v>
      </c>
      <c r="AO5374">
        <v>0</v>
      </c>
      <c r="AP5374">
        <v>0</v>
      </c>
      <c r="AQ5374">
        <v>0</v>
      </c>
      <c r="AS5374">
        <v>0</v>
      </c>
      <c r="AT5374">
        <v>0</v>
      </c>
      <c r="AV5374">
        <v>0</v>
      </c>
      <c r="AW5374">
        <v>0</v>
      </c>
      <c r="AY5374">
        <v>0</v>
      </c>
      <c r="AZ5374">
        <v>0</v>
      </c>
      <c r="BA5374">
        <v>119</v>
      </c>
      <c r="BE5374" t="str">
        <f>T("9791137014381")</f>
        <v>9791137014381</v>
      </c>
      <c r="BF5374" t="str">
        <f>T("D005408")</f>
        <v>D005408</v>
      </c>
      <c r="BG5374" t="str">
        <f>T("판타지 웹소설 &gt; 퓨전 판타지")</f>
        <v>판타지 웹소설 &gt; 퓨전 판타지</v>
      </c>
    </row>
    <row r="5375" spans="1:59">
      <c r="A5375" t="s">
        <v>60</v>
      </c>
      <c r="B5375" s="1">
        <v>46130</v>
      </c>
      <c r="C5375">
        <v>2378044065</v>
      </c>
      <c r="D5375">
        <v>2378075203</v>
      </c>
      <c r="E5375" t="str">
        <f>T("저승의 왕위를 계승했다 612화")</f>
        <v>저승의 왕위를 계승했다 612화</v>
      </c>
      <c r="F5375">
        <v>614</v>
      </c>
      <c r="G5375" t="str">
        <f>T("신타비")</f>
        <v>신타비</v>
      </c>
      <c r="J5375" t="str">
        <f>T("매드햇")</f>
        <v>매드햇</v>
      </c>
      <c r="K5375" t="str">
        <f>T("저승의 왕위를 계승했다")</f>
        <v>저승의 왕위를 계승했다</v>
      </c>
      <c r="L5375">
        <v>100</v>
      </c>
      <c r="M5375">
        <v>170</v>
      </c>
      <c r="N5375">
        <v>2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0</v>
      </c>
      <c r="AC5375">
        <v>0</v>
      </c>
      <c r="AD5375">
        <v>0</v>
      </c>
      <c r="AE5375">
        <v>0</v>
      </c>
      <c r="AF5375">
        <v>0</v>
      </c>
      <c r="AG5375">
        <v>0</v>
      </c>
      <c r="AH5375">
        <v>0</v>
      </c>
      <c r="AI5375">
        <v>170</v>
      </c>
      <c r="AJ5375">
        <v>2</v>
      </c>
      <c r="AK5375">
        <v>0</v>
      </c>
      <c r="AL5375">
        <v>0</v>
      </c>
      <c r="AM5375">
        <v>170</v>
      </c>
      <c r="AN5375">
        <v>0</v>
      </c>
      <c r="AO5375">
        <v>0</v>
      </c>
      <c r="AP5375">
        <v>0</v>
      </c>
      <c r="AQ5375">
        <v>0</v>
      </c>
      <c r="AS5375">
        <v>0</v>
      </c>
      <c r="AT5375">
        <v>0</v>
      </c>
      <c r="AV5375">
        <v>0</v>
      </c>
      <c r="AW5375">
        <v>0</v>
      </c>
      <c r="AY5375">
        <v>0</v>
      </c>
      <c r="AZ5375">
        <v>0</v>
      </c>
      <c r="BA5375">
        <v>119</v>
      </c>
      <c r="BE5375" t="str">
        <f>T("9791137014381")</f>
        <v>9791137014381</v>
      </c>
      <c r="BF5375" t="str">
        <f>T("D005409")</f>
        <v>D005409</v>
      </c>
      <c r="BG5375" t="str">
        <f>T("판타지 웹소설 &gt; 퓨전 판타지")</f>
        <v>판타지 웹소설 &gt; 퓨전 판타지</v>
      </c>
    </row>
    <row r="5376" spans="1:59">
      <c r="A5376" t="s">
        <v>60</v>
      </c>
      <c r="B5376" s="1">
        <v>46130</v>
      </c>
      <c r="C5376">
        <v>2378044065</v>
      </c>
      <c r="D5376">
        <v>2378075380</v>
      </c>
      <c r="E5376" t="str">
        <f>T("저승의 왕위를 계승했다 613화")</f>
        <v>저승의 왕위를 계승했다 613화</v>
      </c>
      <c r="F5376">
        <v>615</v>
      </c>
      <c r="G5376" t="str">
        <f>T("신타비")</f>
        <v>신타비</v>
      </c>
      <c r="J5376" t="str">
        <f>T("매드햇")</f>
        <v>매드햇</v>
      </c>
      <c r="K5376" t="str">
        <f>T("저승의 왕위를 계승했다")</f>
        <v>저승의 왕위를 계승했다</v>
      </c>
      <c r="L5376">
        <v>100</v>
      </c>
      <c r="M5376">
        <v>170</v>
      </c>
      <c r="N5376">
        <v>2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0</v>
      </c>
      <c r="AC5376">
        <v>0</v>
      </c>
      <c r="AD5376">
        <v>0</v>
      </c>
      <c r="AE5376">
        <v>0</v>
      </c>
      <c r="AF5376">
        <v>0</v>
      </c>
      <c r="AG5376">
        <v>0</v>
      </c>
      <c r="AH5376">
        <v>0</v>
      </c>
      <c r="AI5376">
        <v>170</v>
      </c>
      <c r="AJ5376">
        <v>2</v>
      </c>
      <c r="AK5376">
        <v>0</v>
      </c>
      <c r="AL5376">
        <v>0</v>
      </c>
      <c r="AM5376">
        <v>170</v>
      </c>
      <c r="AN5376">
        <v>0</v>
      </c>
      <c r="AO5376">
        <v>0</v>
      </c>
      <c r="AP5376">
        <v>0</v>
      </c>
      <c r="AQ5376">
        <v>0</v>
      </c>
      <c r="AS5376">
        <v>0</v>
      </c>
      <c r="AT5376">
        <v>0</v>
      </c>
      <c r="AV5376">
        <v>0</v>
      </c>
      <c r="AW5376">
        <v>0</v>
      </c>
      <c r="AY5376">
        <v>0</v>
      </c>
      <c r="AZ5376">
        <v>0</v>
      </c>
      <c r="BA5376">
        <v>119</v>
      </c>
      <c r="BE5376" t="str">
        <f>T("9791137014381")</f>
        <v>9791137014381</v>
      </c>
      <c r="BF5376" t="str">
        <f>T("D005410")</f>
        <v>D005410</v>
      </c>
      <c r="BG5376" t="str">
        <f>T("판타지 웹소설 &gt; 퓨전 판타지")</f>
        <v>판타지 웹소설 &gt; 퓨전 판타지</v>
      </c>
    </row>
    <row r="5377" spans="1:59">
      <c r="A5377" t="s">
        <v>60</v>
      </c>
      <c r="B5377" s="1">
        <v>46130</v>
      </c>
      <c r="C5377">
        <v>2378044065</v>
      </c>
      <c r="D5377">
        <v>2378075381</v>
      </c>
      <c r="E5377" t="str">
        <f>T("저승의 왕위를 계승했다 614화")</f>
        <v>저승의 왕위를 계승했다 614화</v>
      </c>
      <c r="F5377">
        <v>616</v>
      </c>
      <c r="G5377" t="str">
        <f>T("신타비")</f>
        <v>신타비</v>
      </c>
      <c r="J5377" t="str">
        <f>T("매드햇")</f>
        <v>매드햇</v>
      </c>
      <c r="K5377" t="str">
        <f>T("저승의 왕위를 계승했다")</f>
        <v>저승의 왕위를 계승했다</v>
      </c>
      <c r="L5377">
        <v>100</v>
      </c>
      <c r="M5377">
        <v>170</v>
      </c>
      <c r="N5377">
        <v>2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0</v>
      </c>
      <c r="AC5377">
        <v>0</v>
      </c>
      <c r="AD5377">
        <v>0</v>
      </c>
      <c r="AE5377">
        <v>0</v>
      </c>
      <c r="AF5377">
        <v>0</v>
      </c>
      <c r="AG5377">
        <v>0</v>
      </c>
      <c r="AH5377">
        <v>0</v>
      </c>
      <c r="AI5377">
        <v>170</v>
      </c>
      <c r="AJ5377">
        <v>2</v>
      </c>
      <c r="AK5377">
        <v>0</v>
      </c>
      <c r="AL5377">
        <v>0</v>
      </c>
      <c r="AM5377">
        <v>170</v>
      </c>
      <c r="AN5377">
        <v>0</v>
      </c>
      <c r="AO5377">
        <v>0</v>
      </c>
      <c r="AP5377">
        <v>0</v>
      </c>
      <c r="AQ5377">
        <v>0</v>
      </c>
      <c r="AS5377">
        <v>0</v>
      </c>
      <c r="AT5377">
        <v>0</v>
      </c>
      <c r="AV5377">
        <v>0</v>
      </c>
      <c r="AW5377">
        <v>0</v>
      </c>
      <c r="AY5377">
        <v>0</v>
      </c>
      <c r="AZ5377">
        <v>0</v>
      </c>
      <c r="BA5377">
        <v>119</v>
      </c>
      <c r="BE5377" t="str">
        <f>T("9791137014381")</f>
        <v>9791137014381</v>
      </c>
      <c r="BF5377" t="str">
        <f>T("D005411")</f>
        <v>D005411</v>
      </c>
      <c r="BG5377" t="str">
        <f>T("판타지 웹소설 &gt; 퓨전 판타지")</f>
        <v>판타지 웹소설 &gt; 퓨전 판타지</v>
      </c>
    </row>
    <row r="5378" spans="1:59">
      <c r="A5378" t="s">
        <v>60</v>
      </c>
      <c r="B5378" s="1">
        <v>46130</v>
      </c>
      <c r="C5378">
        <v>2378044065</v>
      </c>
      <c r="D5378">
        <v>2378075382</v>
      </c>
      <c r="E5378" t="str">
        <f>T("저승의 왕위를 계승했다 615화")</f>
        <v>저승의 왕위를 계승했다 615화</v>
      </c>
      <c r="F5378">
        <v>617</v>
      </c>
      <c r="G5378" t="str">
        <f>T("신타비")</f>
        <v>신타비</v>
      </c>
      <c r="J5378" t="str">
        <f>T("매드햇")</f>
        <v>매드햇</v>
      </c>
      <c r="K5378" t="str">
        <f>T("저승의 왕위를 계승했다")</f>
        <v>저승의 왕위를 계승했다</v>
      </c>
      <c r="L5378">
        <v>100</v>
      </c>
      <c r="M5378">
        <v>170</v>
      </c>
      <c r="N5378">
        <v>2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0</v>
      </c>
      <c r="AC5378">
        <v>0</v>
      </c>
      <c r="AD5378">
        <v>0</v>
      </c>
      <c r="AE5378">
        <v>0</v>
      </c>
      <c r="AF5378">
        <v>0</v>
      </c>
      <c r="AG5378">
        <v>0</v>
      </c>
      <c r="AH5378">
        <v>0</v>
      </c>
      <c r="AI5378">
        <v>170</v>
      </c>
      <c r="AJ5378">
        <v>2</v>
      </c>
      <c r="AK5378">
        <v>0</v>
      </c>
      <c r="AL5378">
        <v>0</v>
      </c>
      <c r="AM5378">
        <v>170</v>
      </c>
      <c r="AN5378">
        <v>0</v>
      </c>
      <c r="AO5378">
        <v>0</v>
      </c>
      <c r="AP5378">
        <v>0</v>
      </c>
      <c r="AQ5378">
        <v>0</v>
      </c>
      <c r="AS5378">
        <v>0</v>
      </c>
      <c r="AT5378">
        <v>0</v>
      </c>
      <c r="AV5378">
        <v>0</v>
      </c>
      <c r="AW5378">
        <v>0</v>
      </c>
      <c r="AY5378">
        <v>0</v>
      </c>
      <c r="AZ5378">
        <v>0</v>
      </c>
      <c r="BA5378">
        <v>119</v>
      </c>
      <c r="BE5378" t="str">
        <f>T("9791137014381")</f>
        <v>9791137014381</v>
      </c>
      <c r="BF5378" t="str">
        <f>T("D005412")</f>
        <v>D005412</v>
      </c>
      <c r="BG5378" t="str">
        <f>T("판타지 웹소설 &gt; 퓨전 판타지")</f>
        <v>판타지 웹소설 &gt; 퓨전 판타지</v>
      </c>
    </row>
    <row r="5379" spans="1:59">
      <c r="A5379" t="s">
        <v>60</v>
      </c>
      <c r="B5379" s="1">
        <v>46130</v>
      </c>
      <c r="C5379">
        <v>2378044065</v>
      </c>
      <c r="D5379">
        <v>2378075383</v>
      </c>
      <c r="E5379" t="str">
        <f>T("저승의 왕위를 계승했다 616화")</f>
        <v>저승의 왕위를 계승했다 616화</v>
      </c>
      <c r="F5379">
        <v>618</v>
      </c>
      <c r="G5379" t="str">
        <f>T("신타비")</f>
        <v>신타비</v>
      </c>
      <c r="J5379" t="str">
        <f>T("매드햇")</f>
        <v>매드햇</v>
      </c>
      <c r="K5379" t="str">
        <f>T("저승의 왕위를 계승했다")</f>
        <v>저승의 왕위를 계승했다</v>
      </c>
      <c r="L5379">
        <v>100</v>
      </c>
      <c r="M5379">
        <v>170</v>
      </c>
      <c r="N5379">
        <v>2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0</v>
      </c>
      <c r="AC5379">
        <v>0</v>
      </c>
      <c r="AD5379">
        <v>0</v>
      </c>
      <c r="AE5379">
        <v>0</v>
      </c>
      <c r="AF5379">
        <v>0</v>
      </c>
      <c r="AG5379">
        <v>0</v>
      </c>
      <c r="AH5379">
        <v>0</v>
      </c>
      <c r="AI5379">
        <v>170</v>
      </c>
      <c r="AJ5379">
        <v>2</v>
      </c>
      <c r="AK5379">
        <v>0</v>
      </c>
      <c r="AL5379">
        <v>0</v>
      </c>
      <c r="AM5379">
        <v>170</v>
      </c>
      <c r="AN5379">
        <v>0</v>
      </c>
      <c r="AO5379">
        <v>0</v>
      </c>
      <c r="AP5379">
        <v>0</v>
      </c>
      <c r="AQ5379">
        <v>0</v>
      </c>
      <c r="AS5379">
        <v>0</v>
      </c>
      <c r="AT5379">
        <v>0</v>
      </c>
      <c r="AV5379">
        <v>0</v>
      </c>
      <c r="AW5379">
        <v>0</v>
      </c>
      <c r="AY5379">
        <v>0</v>
      </c>
      <c r="AZ5379">
        <v>0</v>
      </c>
      <c r="BA5379">
        <v>119</v>
      </c>
      <c r="BE5379" t="str">
        <f>T("9791137014381")</f>
        <v>9791137014381</v>
      </c>
      <c r="BF5379" t="str">
        <f>T("D005413")</f>
        <v>D005413</v>
      </c>
      <c r="BG5379" t="str">
        <f>T("판타지 웹소설 &gt; 퓨전 판타지")</f>
        <v>판타지 웹소설 &gt; 퓨전 판타지</v>
      </c>
    </row>
    <row r="5380" spans="1:59">
      <c r="A5380" t="s">
        <v>60</v>
      </c>
      <c r="B5380" s="1">
        <v>46130</v>
      </c>
      <c r="C5380">
        <v>2378044065</v>
      </c>
      <c r="D5380">
        <v>2378075400</v>
      </c>
      <c r="E5380" t="str">
        <f>T("저승의 왕위를 계승했다 617화")</f>
        <v>저승의 왕위를 계승했다 617화</v>
      </c>
      <c r="F5380">
        <v>619</v>
      </c>
      <c r="G5380" t="str">
        <f>T("신타비")</f>
        <v>신타비</v>
      </c>
      <c r="J5380" t="str">
        <f>T("매드햇")</f>
        <v>매드햇</v>
      </c>
      <c r="K5380" t="str">
        <f>T("저승의 왕위를 계승했다")</f>
        <v>저승의 왕위를 계승했다</v>
      </c>
      <c r="L5380">
        <v>100</v>
      </c>
      <c r="M5380">
        <v>170</v>
      </c>
      <c r="N5380">
        <v>2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0</v>
      </c>
      <c r="AC5380">
        <v>0</v>
      </c>
      <c r="AD5380">
        <v>0</v>
      </c>
      <c r="AE5380">
        <v>0</v>
      </c>
      <c r="AF5380">
        <v>0</v>
      </c>
      <c r="AG5380">
        <v>0</v>
      </c>
      <c r="AH5380">
        <v>0</v>
      </c>
      <c r="AI5380">
        <v>170</v>
      </c>
      <c r="AJ5380">
        <v>2</v>
      </c>
      <c r="AK5380">
        <v>0</v>
      </c>
      <c r="AL5380">
        <v>0</v>
      </c>
      <c r="AM5380">
        <v>170</v>
      </c>
      <c r="AN5380">
        <v>0</v>
      </c>
      <c r="AO5380">
        <v>0</v>
      </c>
      <c r="AP5380">
        <v>0</v>
      </c>
      <c r="AQ5380">
        <v>0</v>
      </c>
      <c r="AS5380">
        <v>0</v>
      </c>
      <c r="AT5380">
        <v>0</v>
      </c>
      <c r="AV5380">
        <v>0</v>
      </c>
      <c r="AW5380">
        <v>0</v>
      </c>
      <c r="AY5380">
        <v>0</v>
      </c>
      <c r="AZ5380">
        <v>0</v>
      </c>
      <c r="BA5380">
        <v>119</v>
      </c>
      <c r="BE5380" t="str">
        <f>T("9791137014381")</f>
        <v>9791137014381</v>
      </c>
      <c r="BF5380" t="str">
        <f>T("D009970")</f>
        <v>D009970</v>
      </c>
      <c r="BG5380" t="str">
        <f>T("판타지 웹소설 &gt; 퓨전 판타지")</f>
        <v>판타지 웹소설 &gt; 퓨전 판타지</v>
      </c>
    </row>
    <row r="5381" spans="1:59">
      <c r="A5381" t="s">
        <v>60</v>
      </c>
      <c r="B5381" s="1">
        <v>46130</v>
      </c>
      <c r="C5381">
        <v>2378044065</v>
      </c>
      <c r="D5381">
        <v>2378075402</v>
      </c>
      <c r="E5381" t="str">
        <f>T("저승의 왕위를 계승했다 618화")</f>
        <v>저승의 왕위를 계승했다 618화</v>
      </c>
      <c r="F5381">
        <v>620</v>
      </c>
      <c r="G5381" t="str">
        <f>T("신타비")</f>
        <v>신타비</v>
      </c>
      <c r="J5381" t="str">
        <f>T("매드햇")</f>
        <v>매드햇</v>
      </c>
      <c r="K5381" t="str">
        <f>T("저승의 왕위를 계승했다")</f>
        <v>저승의 왕위를 계승했다</v>
      </c>
      <c r="L5381">
        <v>100</v>
      </c>
      <c r="M5381">
        <v>170</v>
      </c>
      <c r="N5381">
        <v>2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0</v>
      </c>
      <c r="AC5381">
        <v>0</v>
      </c>
      <c r="AD5381">
        <v>0</v>
      </c>
      <c r="AE5381">
        <v>0</v>
      </c>
      <c r="AF5381">
        <v>0</v>
      </c>
      <c r="AG5381">
        <v>0</v>
      </c>
      <c r="AH5381">
        <v>0</v>
      </c>
      <c r="AI5381">
        <v>170</v>
      </c>
      <c r="AJ5381">
        <v>2</v>
      </c>
      <c r="AK5381">
        <v>0</v>
      </c>
      <c r="AL5381">
        <v>0</v>
      </c>
      <c r="AM5381">
        <v>170</v>
      </c>
      <c r="AN5381">
        <v>0</v>
      </c>
      <c r="AO5381">
        <v>0</v>
      </c>
      <c r="AP5381">
        <v>0</v>
      </c>
      <c r="AQ5381">
        <v>0</v>
      </c>
      <c r="AS5381">
        <v>0</v>
      </c>
      <c r="AT5381">
        <v>0</v>
      </c>
      <c r="AV5381">
        <v>0</v>
      </c>
      <c r="AW5381">
        <v>0</v>
      </c>
      <c r="AY5381">
        <v>0</v>
      </c>
      <c r="AZ5381">
        <v>0</v>
      </c>
      <c r="BA5381">
        <v>119</v>
      </c>
      <c r="BE5381" t="str">
        <f>T("9791137014381")</f>
        <v>9791137014381</v>
      </c>
      <c r="BF5381" t="str">
        <f>T("D009971")</f>
        <v>D009971</v>
      </c>
      <c r="BG5381" t="str">
        <f>T("판타지 웹소설 &gt; 퓨전 판타지")</f>
        <v>판타지 웹소설 &gt; 퓨전 판타지</v>
      </c>
    </row>
    <row r="5382" spans="1:59">
      <c r="A5382" t="s">
        <v>60</v>
      </c>
      <c r="B5382" s="1">
        <v>46130</v>
      </c>
      <c r="C5382">
        <v>2378044065</v>
      </c>
      <c r="D5382">
        <v>2378075403</v>
      </c>
      <c r="E5382" t="str">
        <f>T("저승의 왕위를 계승했다 619화")</f>
        <v>저승의 왕위를 계승했다 619화</v>
      </c>
      <c r="F5382">
        <v>621</v>
      </c>
      <c r="G5382" t="str">
        <f>T("신타비")</f>
        <v>신타비</v>
      </c>
      <c r="J5382" t="str">
        <f>T("매드햇")</f>
        <v>매드햇</v>
      </c>
      <c r="K5382" t="str">
        <f>T("저승의 왕위를 계승했다")</f>
        <v>저승의 왕위를 계승했다</v>
      </c>
      <c r="L5382">
        <v>100</v>
      </c>
      <c r="M5382">
        <v>170</v>
      </c>
      <c r="N5382">
        <v>2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0</v>
      </c>
      <c r="AC5382">
        <v>0</v>
      </c>
      <c r="AD5382">
        <v>0</v>
      </c>
      <c r="AE5382">
        <v>0</v>
      </c>
      <c r="AF5382">
        <v>0</v>
      </c>
      <c r="AG5382">
        <v>0</v>
      </c>
      <c r="AH5382">
        <v>0</v>
      </c>
      <c r="AI5382">
        <v>170</v>
      </c>
      <c r="AJ5382">
        <v>2</v>
      </c>
      <c r="AK5382">
        <v>0</v>
      </c>
      <c r="AL5382">
        <v>0</v>
      </c>
      <c r="AM5382">
        <v>170</v>
      </c>
      <c r="AN5382">
        <v>0</v>
      </c>
      <c r="AO5382">
        <v>0</v>
      </c>
      <c r="AP5382">
        <v>0</v>
      </c>
      <c r="AQ5382">
        <v>0</v>
      </c>
      <c r="AS5382">
        <v>0</v>
      </c>
      <c r="AT5382">
        <v>0</v>
      </c>
      <c r="AV5382">
        <v>0</v>
      </c>
      <c r="AW5382">
        <v>0</v>
      </c>
      <c r="AY5382">
        <v>0</v>
      </c>
      <c r="AZ5382">
        <v>0</v>
      </c>
      <c r="BA5382">
        <v>119</v>
      </c>
      <c r="BE5382" t="str">
        <f>T("9791137014381")</f>
        <v>9791137014381</v>
      </c>
      <c r="BF5382" t="str">
        <f>T("D009972")</f>
        <v>D009972</v>
      </c>
      <c r="BG5382" t="str">
        <f>T("판타지 웹소설 &gt; 퓨전 판타지")</f>
        <v>판타지 웹소설 &gt; 퓨전 판타지</v>
      </c>
    </row>
    <row r="5383" spans="1:59">
      <c r="A5383" t="s">
        <v>60</v>
      </c>
      <c r="B5383" s="1">
        <v>46130</v>
      </c>
      <c r="C5383">
        <v>2378044065</v>
      </c>
      <c r="D5383">
        <v>2378075404</v>
      </c>
      <c r="E5383" t="str">
        <f>T("저승의 왕위를 계승했다 620화")</f>
        <v>저승의 왕위를 계승했다 620화</v>
      </c>
      <c r="F5383">
        <v>622</v>
      </c>
      <c r="G5383" t="str">
        <f>T("신타비")</f>
        <v>신타비</v>
      </c>
      <c r="J5383" t="str">
        <f>T("매드햇")</f>
        <v>매드햇</v>
      </c>
      <c r="K5383" t="str">
        <f>T("저승의 왕위를 계승했다")</f>
        <v>저승의 왕위를 계승했다</v>
      </c>
      <c r="L5383">
        <v>100</v>
      </c>
      <c r="M5383">
        <v>170</v>
      </c>
      <c r="N5383">
        <v>2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0</v>
      </c>
      <c r="AC5383">
        <v>0</v>
      </c>
      <c r="AD5383">
        <v>0</v>
      </c>
      <c r="AE5383">
        <v>0</v>
      </c>
      <c r="AF5383">
        <v>0</v>
      </c>
      <c r="AG5383">
        <v>0</v>
      </c>
      <c r="AH5383">
        <v>0</v>
      </c>
      <c r="AI5383">
        <v>170</v>
      </c>
      <c r="AJ5383">
        <v>2</v>
      </c>
      <c r="AK5383">
        <v>0</v>
      </c>
      <c r="AL5383">
        <v>0</v>
      </c>
      <c r="AM5383">
        <v>170</v>
      </c>
      <c r="AN5383">
        <v>0</v>
      </c>
      <c r="AO5383">
        <v>0</v>
      </c>
      <c r="AP5383">
        <v>0</v>
      </c>
      <c r="AQ5383">
        <v>0</v>
      </c>
      <c r="AS5383">
        <v>0</v>
      </c>
      <c r="AT5383">
        <v>0</v>
      </c>
      <c r="AV5383">
        <v>0</v>
      </c>
      <c r="AW5383">
        <v>0</v>
      </c>
      <c r="AY5383">
        <v>0</v>
      </c>
      <c r="AZ5383">
        <v>0</v>
      </c>
      <c r="BA5383">
        <v>119</v>
      </c>
      <c r="BE5383" t="str">
        <f>T("9791137014381")</f>
        <v>9791137014381</v>
      </c>
      <c r="BF5383" t="str">
        <f>T("D009973")</f>
        <v>D009973</v>
      </c>
      <c r="BG5383" t="str">
        <f>T("판타지 웹소설 &gt; 퓨전 판타지")</f>
        <v>판타지 웹소설 &gt; 퓨전 판타지</v>
      </c>
    </row>
    <row r="5384" spans="1:59">
      <c r="A5384" t="s">
        <v>60</v>
      </c>
      <c r="B5384" s="1">
        <v>46130</v>
      </c>
      <c r="C5384">
        <v>2378044065</v>
      </c>
      <c r="D5384">
        <v>2378075452</v>
      </c>
      <c r="E5384" t="str">
        <f>T("저승의 왕위를 계승했다 621화")</f>
        <v>저승의 왕위를 계승했다 621화</v>
      </c>
      <c r="F5384">
        <v>623</v>
      </c>
      <c r="G5384" t="str">
        <f>T("신타비")</f>
        <v>신타비</v>
      </c>
      <c r="J5384" t="str">
        <f>T("매드햇")</f>
        <v>매드햇</v>
      </c>
      <c r="K5384" t="str">
        <f>T("저승의 왕위를 계승했다")</f>
        <v>저승의 왕위를 계승했다</v>
      </c>
      <c r="L5384">
        <v>100</v>
      </c>
      <c r="M5384">
        <v>170</v>
      </c>
      <c r="N5384">
        <v>2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0</v>
      </c>
      <c r="AC5384">
        <v>0</v>
      </c>
      <c r="AD5384">
        <v>0</v>
      </c>
      <c r="AE5384">
        <v>0</v>
      </c>
      <c r="AF5384">
        <v>0</v>
      </c>
      <c r="AG5384">
        <v>0</v>
      </c>
      <c r="AH5384">
        <v>0</v>
      </c>
      <c r="AI5384">
        <v>170</v>
      </c>
      <c r="AJ5384">
        <v>2</v>
      </c>
      <c r="AK5384">
        <v>0</v>
      </c>
      <c r="AL5384">
        <v>0</v>
      </c>
      <c r="AM5384">
        <v>170</v>
      </c>
      <c r="AN5384">
        <v>0</v>
      </c>
      <c r="AO5384">
        <v>0</v>
      </c>
      <c r="AP5384">
        <v>0</v>
      </c>
      <c r="AQ5384">
        <v>0</v>
      </c>
      <c r="AS5384">
        <v>0</v>
      </c>
      <c r="AT5384">
        <v>0</v>
      </c>
      <c r="AV5384">
        <v>0</v>
      </c>
      <c r="AW5384">
        <v>0</v>
      </c>
      <c r="AY5384">
        <v>0</v>
      </c>
      <c r="AZ5384">
        <v>0</v>
      </c>
      <c r="BA5384">
        <v>119</v>
      </c>
      <c r="BE5384" t="str">
        <f>T("9791137014381")</f>
        <v>9791137014381</v>
      </c>
      <c r="BF5384" t="str">
        <f>T("D012846")</f>
        <v>D012846</v>
      </c>
      <c r="BG5384" t="str">
        <f>T("판타지 웹소설 &gt; 퓨전 판타지")</f>
        <v>판타지 웹소설 &gt; 퓨전 판타지</v>
      </c>
    </row>
    <row r="5385" spans="1:59">
      <c r="A5385" t="s">
        <v>60</v>
      </c>
      <c r="B5385" s="1">
        <v>46130</v>
      </c>
      <c r="C5385">
        <v>2378044065</v>
      </c>
      <c r="D5385">
        <v>2378075453</v>
      </c>
      <c r="E5385" t="str">
        <f>T("저승의 왕위를 계승했다 622화")</f>
        <v>저승의 왕위를 계승했다 622화</v>
      </c>
      <c r="F5385">
        <v>624</v>
      </c>
      <c r="G5385" t="str">
        <f>T("신타비")</f>
        <v>신타비</v>
      </c>
      <c r="J5385" t="str">
        <f>T("매드햇")</f>
        <v>매드햇</v>
      </c>
      <c r="K5385" t="str">
        <f>T("저승의 왕위를 계승했다")</f>
        <v>저승의 왕위를 계승했다</v>
      </c>
      <c r="L5385">
        <v>100</v>
      </c>
      <c r="M5385">
        <v>170</v>
      </c>
      <c r="N5385">
        <v>2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0</v>
      </c>
      <c r="AC5385">
        <v>0</v>
      </c>
      <c r="AD5385">
        <v>0</v>
      </c>
      <c r="AE5385">
        <v>0</v>
      </c>
      <c r="AF5385">
        <v>0</v>
      </c>
      <c r="AG5385">
        <v>0</v>
      </c>
      <c r="AH5385">
        <v>0</v>
      </c>
      <c r="AI5385">
        <v>170</v>
      </c>
      <c r="AJ5385">
        <v>2</v>
      </c>
      <c r="AK5385">
        <v>0</v>
      </c>
      <c r="AL5385">
        <v>0</v>
      </c>
      <c r="AM5385">
        <v>170</v>
      </c>
      <c r="AN5385">
        <v>0</v>
      </c>
      <c r="AO5385">
        <v>0</v>
      </c>
      <c r="AP5385">
        <v>0</v>
      </c>
      <c r="AQ5385">
        <v>0</v>
      </c>
      <c r="AS5385">
        <v>0</v>
      </c>
      <c r="AT5385">
        <v>0</v>
      </c>
      <c r="AV5385">
        <v>0</v>
      </c>
      <c r="AW5385">
        <v>0</v>
      </c>
      <c r="AY5385">
        <v>0</v>
      </c>
      <c r="AZ5385">
        <v>0</v>
      </c>
      <c r="BA5385">
        <v>119</v>
      </c>
      <c r="BE5385" t="str">
        <f>T("9791137014381")</f>
        <v>9791137014381</v>
      </c>
      <c r="BF5385" t="str">
        <f>T("D012847")</f>
        <v>D012847</v>
      </c>
      <c r="BG5385" t="str">
        <f>T("판타지 웹소설 &gt; 퓨전 판타지")</f>
        <v>판타지 웹소설 &gt; 퓨전 판타지</v>
      </c>
    </row>
    <row r="5386" spans="1:59">
      <c r="A5386" t="s">
        <v>60</v>
      </c>
      <c r="B5386" s="1">
        <v>46130</v>
      </c>
      <c r="C5386">
        <v>2378044065</v>
      </c>
      <c r="D5386">
        <v>2378075454</v>
      </c>
      <c r="E5386" t="str">
        <f>T("저승의 왕위를 계승했다 623화")</f>
        <v>저승의 왕위를 계승했다 623화</v>
      </c>
      <c r="F5386">
        <v>625</v>
      </c>
      <c r="G5386" t="str">
        <f>T("신타비")</f>
        <v>신타비</v>
      </c>
      <c r="J5386" t="str">
        <f>T("매드햇")</f>
        <v>매드햇</v>
      </c>
      <c r="K5386" t="str">
        <f>T("저승의 왕위를 계승했다")</f>
        <v>저승의 왕위를 계승했다</v>
      </c>
      <c r="L5386">
        <v>100</v>
      </c>
      <c r="M5386">
        <v>170</v>
      </c>
      <c r="N5386">
        <v>2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0</v>
      </c>
      <c r="AC5386">
        <v>0</v>
      </c>
      <c r="AD5386">
        <v>0</v>
      </c>
      <c r="AE5386">
        <v>0</v>
      </c>
      <c r="AF5386">
        <v>0</v>
      </c>
      <c r="AG5386">
        <v>0</v>
      </c>
      <c r="AH5386">
        <v>0</v>
      </c>
      <c r="AI5386">
        <v>170</v>
      </c>
      <c r="AJ5386">
        <v>2</v>
      </c>
      <c r="AK5386">
        <v>0</v>
      </c>
      <c r="AL5386">
        <v>0</v>
      </c>
      <c r="AM5386">
        <v>170</v>
      </c>
      <c r="AN5386">
        <v>0</v>
      </c>
      <c r="AO5386">
        <v>0</v>
      </c>
      <c r="AP5386">
        <v>0</v>
      </c>
      <c r="AQ5386">
        <v>0</v>
      </c>
      <c r="AS5386">
        <v>0</v>
      </c>
      <c r="AT5386">
        <v>0</v>
      </c>
      <c r="AV5386">
        <v>0</v>
      </c>
      <c r="AW5386">
        <v>0</v>
      </c>
      <c r="AY5386">
        <v>0</v>
      </c>
      <c r="AZ5386">
        <v>0</v>
      </c>
      <c r="BA5386">
        <v>119</v>
      </c>
      <c r="BE5386" t="str">
        <f>T("9791137014381")</f>
        <v>9791137014381</v>
      </c>
      <c r="BF5386" t="str">
        <f>T("D012848")</f>
        <v>D012848</v>
      </c>
      <c r="BG5386" t="str">
        <f>T("판타지 웹소설 &gt; 퓨전 판타지")</f>
        <v>판타지 웹소설 &gt; 퓨전 판타지</v>
      </c>
    </row>
    <row r="5387" spans="1:59">
      <c r="A5387" t="s">
        <v>60</v>
      </c>
      <c r="B5387" s="1">
        <v>46130</v>
      </c>
      <c r="C5387">
        <v>2378044065</v>
      </c>
      <c r="D5387">
        <v>2378075455</v>
      </c>
      <c r="E5387" t="str">
        <f>T("저승의 왕위를 계승했다 624화")</f>
        <v>저승의 왕위를 계승했다 624화</v>
      </c>
      <c r="F5387">
        <v>626</v>
      </c>
      <c r="G5387" t="str">
        <f>T("신타비")</f>
        <v>신타비</v>
      </c>
      <c r="J5387" t="str">
        <f>T("매드햇")</f>
        <v>매드햇</v>
      </c>
      <c r="K5387" t="str">
        <f>T("저승의 왕위를 계승했다")</f>
        <v>저승의 왕위를 계승했다</v>
      </c>
      <c r="L5387">
        <v>100</v>
      </c>
      <c r="M5387">
        <v>170</v>
      </c>
      <c r="N5387">
        <v>2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0</v>
      </c>
      <c r="AC5387">
        <v>0</v>
      </c>
      <c r="AD5387">
        <v>0</v>
      </c>
      <c r="AE5387">
        <v>0</v>
      </c>
      <c r="AF5387">
        <v>0</v>
      </c>
      <c r="AG5387">
        <v>0</v>
      </c>
      <c r="AH5387">
        <v>0</v>
      </c>
      <c r="AI5387">
        <v>170</v>
      </c>
      <c r="AJ5387">
        <v>2</v>
      </c>
      <c r="AK5387">
        <v>0</v>
      </c>
      <c r="AL5387">
        <v>0</v>
      </c>
      <c r="AM5387">
        <v>170</v>
      </c>
      <c r="AN5387">
        <v>0</v>
      </c>
      <c r="AO5387">
        <v>0</v>
      </c>
      <c r="AP5387">
        <v>0</v>
      </c>
      <c r="AQ5387">
        <v>0</v>
      </c>
      <c r="AS5387">
        <v>0</v>
      </c>
      <c r="AT5387">
        <v>0</v>
      </c>
      <c r="AV5387">
        <v>0</v>
      </c>
      <c r="AW5387">
        <v>0</v>
      </c>
      <c r="AY5387">
        <v>0</v>
      </c>
      <c r="AZ5387">
        <v>0</v>
      </c>
      <c r="BA5387">
        <v>119</v>
      </c>
      <c r="BE5387" t="str">
        <f>T("9791137014381")</f>
        <v>9791137014381</v>
      </c>
      <c r="BF5387" t="str">
        <f>T("D012849")</f>
        <v>D012849</v>
      </c>
      <c r="BG5387" t="str">
        <f>T("판타지 웹소설 &gt; 퓨전 판타지")</f>
        <v>판타지 웹소설 &gt; 퓨전 판타지</v>
      </c>
    </row>
    <row r="5388" spans="1:59">
      <c r="A5388" t="s">
        <v>60</v>
      </c>
      <c r="B5388" s="1">
        <v>46130</v>
      </c>
      <c r="C5388">
        <v>2378044065</v>
      </c>
      <c r="D5388">
        <v>2378075475</v>
      </c>
      <c r="E5388" t="str">
        <f>T("저승의 왕위를 계승했다 625화")</f>
        <v>저승의 왕위를 계승했다 625화</v>
      </c>
      <c r="F5388">
        <v>627</v>
      </c>
      <c r="G5388" t="str">
        <f>T("신타비")</f>
        <v>신타비</v>
      </c>
      <c r="J5388" t="str">
        <f>T("매드햇")</f>
        <v>매드햇</v>
      </c>
      <c r="K5388" t="str">
        <f>T("저승의 왕위를 계승했다")</f>
        <v>저승의 왕위를 계승했다</v>
      </c>
      <c r="L5388">
        <v>100</v>
      </c>
      <c r="M5388">
        <v>170</v>
      </c>
      <c r="N5388">
        <v>2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0</v>
      </c>
      <c r="AC5388">
        <v>0</v>
      </c>
      <c r="AD5388">
        <v>0</v>
      </c>
      <c r="AE5388">
        <v>0</v>
      </c>
      <c r="AF5388">
        <v>0</v>
      </c>
      <c r="AG5388">
        <v>0</v>
      </c>
      <c r="AH5388">
        <v>0</v>
      </c>
      <c r="AI5388">
        <v>170</v>
      </c>
      <c r="AJ5388">
        <v>2</v>
      </c>
      <c r="AK5388">
        <v>0</v>
      </c>
      <c r="AL5388">
        <v>0</v>
      </c>
      <c r="AM5388">
        <v>170</v>
      </c>
      <c r="AN5388">
        <v>0</v>
      </c>
      <c r="AO5388">
        <v>0</v>
      </c>
      <c r="AP5388">
        <v>0</v>
      </c>
      <c r="AQ5388">
        <v>0</v>
      </c>
      <c r="AS5388">
        <v>0</v>
      </c>
      <c r="AT5388">
        <v>0</v>
      </c>
      <c r="AV5388">
        <v>0</v>
      </c>
      <c r="AW5388">
        <v>0</v>
      </c>
      <c r="AY5388">
        <v>0</v>
      </c>
      <c r="AZ5388">
        <v>0</v>
      </c>
      <c r="BA5388">
        <v>119</v>
      </c>
      <c r="BE5388" t="str">
        <f>T("9791137014381")</f>
        <v>9791137014381</v>
      </c>
      <c r="BF5388" t="str">
        <f>T("D012850")</f>
        <v>D012850</v>
      </c>
      <c r="BG5388" t="str">
        <f>T("판타지 웹소설 &gt; 퓨전 판타지")</f>
        <v>판타지 웹소설 &gt; 퓨전 판타지</v>
      </c>
    </row>
    <row r="5389" spans="1:59">
      <c r="A5389" t="s">
        <v>60</v>
      </c>
      <c r="B5389" s="1">
        <v>46130</v>
      </c>
      <c r="C5389">
        <v>2378044065</v>
      </c>
      <c r="D5389">
        <v>2378075476</v>
      </c>
      <c r="E5389" t="str">
        <f>T("저승의 왕위를 계승했다 626화")</f>
        <v>저승의 왕위를 계승했다 626화</v>
      </c>
      <c r="F5389">
        <v>628</v>
      </c>
      <c r="G5389" t="str">
        <f>T("신타비")</f>
        <v>신타비</v>
      </c>
      <c r="J5389" t="str">
        <f>T("매드햇")</f>
        <v>매드햇</v>
      </c>
      <c r="K5389" t="str">
        <f>T("저승의 왕위를 계승했다")</f>
        <v>저승의 왕위를 계승했다</v>
      </c>
      <c r="L5389">
        <v>100</v>
      </c>
      <c r="M5389">
        <v>170</v>
      </c>
      <c r="N5389">
        <v>2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0</v>
      </c>
      <c r="AC5389">
        <v>0</v>
      </c>
      <c r="AD5389">
        <v>0</v>
      </c>
      <c r="AE5389">
        <v>0</v>
      </c>
      <c r="AF5389">
        <v>0</v>
      </c>
      <c r="AG5389">
        <v>0</v>
      </c>
      <c r="AH5389">
        <v>0</v>
      </c>
      <c r="AI5389">
        <v>170</v>
      </c>
      <c r="AJ5389">
        <v>2</v>
      </c>
      <c r="AK5389">
        <v>0</v>
      </c>
      <c r="AL5389">
        <v>0</v>
      </c>
      <c r="AM5389">
        <v>170</v>
      </c>
      <c r="AN5389">
        <v>0</v>
      </c>
      <c r="AO5389">
        <v>0</v>
      </c>
      <c r="AP5389">
        <v>0</v>
      </c>
      <c r="AQ5389">
        <v>0</v>
      </c>
      <c r="AS5389">
        <v>0</v>
      </c>
      <c r="AT5389">
        <v>0</v>
      </c>
      <c r="AV5389">
        <v>0</v>
      </c>
      <c r="AW5389">
        <v>0</v>
      </c>
      <c r="AY5389">
        <v>0</v>
      </c>
      <c r="AZ5389">
        <v>0</v>
      </c>
      <c r="BA5389">
        <v>119</v>
      </c>
      <c r="BE5389" t="str">
        <f>T("9791137014381")</f>
        <v>9791137014381</v>
      </c>
      <c r="BF5389" t="str">
        <f>T("D012851")</f>
        <v>D012851</v>
      </c>
      <c r="BG5389" t="str">
        <f>T("판타지 웹소설 &gt; 퓨전 판타지")</f>
        <v>판타지 웹소설 &gt; 퓨전 판타지</v>
      </c>
    </row>
    <row r="5390" spans="1:59">
      <c r="A5390" t="s">
        <v>60</v>
      </c>
      <c r="B5390" s="1">
        <v>46130</v>
      </c>
      <c r="C5390">
        <v>2378044065</v>
      </c>
      <c r="D5390">
        <v>2378075477</v>
      </c>
      <c r="E5390" t="str">
        <f>T("저승의 왕위를 계승했다 627화")</f>
        <v>저승의 왕위를 계승했다 627화</v>
      </c>
      <c r="F5390">
        <v>629</v>
      </c>
      <c r="G5390" t="str">
        <f>T("신타비")</f>
        <v>신타비</v>
      </c>
      <c r="J5390" t="str">
        <f>T("매드햇")</f>
        <v>매드햇</v>
      </c>
      <c r="K5390" t="str">
        <f>T("저승의 왕위를 계승했다")</f>
        <v>저승의 왕위를 계승했다</v>
      </c>
      <c r="L5390">
        <v>100</v>
      </c>
      <c r="M5390">
        <v>170</v>
      </c>
      <c r="N5390">
        <v>2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0</v>
      </c>
      <c r="AC5390">
        <v>0</v>
      </c>
      <c r="AD5390">
        <v>0</v>
      </c>
      <c r="AE5390">
        <v>0</v>
      </c>
      <c r="AF5390">
        <v>0</v>
      </c>
      <c r="AG5390">
        <v>0</v>
      </c>
      <c r="AH5390">
        <v>0</v>
      </c>
      <c r="AI5390">
        <v>170</v>
      </c>
      <c r="AJ5390">
        <v>2</v>
      </c>
      <c r="AK5390">
        <v>0</v>
      </c>
      <c r="AL5390">
        <v>0</v>
      </c>
      <c r="AM5390">
        <v>170</v>
      </c>
      <c r="AN5390">
        <v>0</v>
      </c>
      <c r="AO5390">
        <v>0</v>
      </c>
      <c r="AP5390">
        <v>0</v>
      </c>
      <c r="AQ5390">
        <v>0</v>
      </c>
      <c r="AS5390">
        <v>0</v>
      </c>
      <c r="AT5390">
        <v>0</v>
      </c>
      <c r="AV5390">
        <v>0</v>
      </c>
      <c r="AW5390">
        <v>0</v>
      </c>
      <c r="AY5390">
        <v>0</v>
      </c>
      <c r="AZ5390">
        <v>0</v>
      </c>
      <c r="BA5390">
        <v>119</v>
      </c>
      <c r="BE5390" t="str">
        <f>T("9791137014381")</f>
        <v>9791137014381</v>
      </c>
      <c r="BF5390" t="str">
        <f>T("D012852")</f>
        <v>D012852</v>
      </c>
      <c r="BG5390" t="str">
        <f>T("판타지 웹소설 &gt; 퓨전 판타지")</f>
        <v>판타지 웹소설 &gt; 퓨전 판타지</v>
      </c>
    </row>
    <row r="5391" spans="1:59">
      <c r="A5391" t="s">
        <v>60</v>
      </c>
      <c r="B5391" s="1">
        <v>46130</v>
      </c>
      <c r="C5391">
        <v>2378044065</v>
      </c>
      <c r="D5391">
        <v>2378075478</v>
      </c>
      <c r="E5391" t="str">
        <f>T("저승의 왕위를 계승했다 628화")</f>
        <v>저승의 왕위를 계승했다 628화</v>
      </c>
      <c r="F5391">
        <v>630</v>
      </c>
      <c r="G5391" t="str">
        <f>T("신타비")</f>
        <v>신타비</v>
      </c>
      <c r="J5391" t="str">
        <f>T("매드햇")</f>
        <v>매드햇</v>
      </c>
      <c r="K5391" t="str">
        <f>T("저승의 왕위를 계승했다")</f>
        <v>저승의 왕위를 계승했다</v>
      </c>
      <c r="L5391">
        <v>100</v>
      </c>
      <c r="M5391">
        <v>170</v>
      </c>
      <c r="N5391">
        <v>2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0</v>
      </c>
      <c r="AC5391">
        <v>0</v>
      </c>
      <c r="AD5391">
        <v>0</v>
      </c>
      <c r="AE5391">
        <v>0</v>
      </c>
      <c r="AF5391">
        <v>0</v>
      </c>
      <c r="AG5391">
        <v>0</v>
      </c>
      <c r="AH5391">
        <v>0</v>
      </c>
      <c r="AI5391">
        <v>170</v>
      </c>
      <c r="AJ5391">
        <v>2</v>
      </c>
      <c r="AK5391">
        <v>0</v>
      </c>
      <c r="AL5391">
        <v>0</v>
      </c>
      <c r="AM5391">
        <v>170</v>
      </c>
      <c r="AN5391">
        <v>0</v>
      </c>
      <c r="AO5391">
        <v>0</v>
      </c>
      <c r="AP5391">
        <v>0</v>
      </c>
      <c r="AQ5391">
        <v>0</v>
      </c>
      <c r="AS5391">
        <v>0</v>
      </c>
      <c r="AT5391">
        <v>0</v>
      </c>
      <c r="AV5391">
        <v>0</v>
      </c>
      <c r="AW5391">
        <v>0</v>
      </c>
      <c r="AY5391">
        <v>0</v>
      </c>
      <c r="AZ5391">
        <v>0</v>
      </c>
      <c r="BA5391">
        <v>119</v>
      </c>
      <c r="BE5391" t="str">
        <f>T("9791137014381")</f>
        <v>9791137014381</v>
      </c>
      <c r="BF5391" t="str">
        <f>T("D012853")</f>
        <v>D012853</v>
      </c>
      <c r="BG5391" t="str">
        <f>T("판타지 웹소설 &gt; 퓨전 판타지")</f>
        <v>판타지 웹소설 &gt; 퓨전 판타지</v>
      </c>
    </row>
    <row r="5392" spans="1:59">
      <c r="A5392" t="s">
        <v>60</v>
      </c>
      <c r="B5392" s="1">
        <v>46130</v>
      </c>
      <c r="C5392">
        <v>2378044065</v>
      </c>
      <c r="D5392">
        <v>2378075508</v>
      </c>
      <c r="E5392" t="str">
        <f>T("저승의 왕위를 계승했다 629화")</f>
        <v>저승의 왕위를 계승했다 629화</v>
      </c>
      <c r="F5392">
        <v>631</v>
      </c>
      <c r="G5392" t="str">
        <f>T("신타비")</f>
        <v>신타비</v>
      </c>
      <c r="J5392" t="str">
        <f>T("매드햇")</f>
        <v>매드햇</v>
      </c>
      <c r="K5392" t="str">
        <f>T("저승의 왕위를 계승했다")</f>
        <v>저승의 왕위를 계승했다</v>
      </c>
      <c r="L5392">
        <v>100</v>
      </c>
      <c r="M5392">
        <v>170</v>
      </c>
      <c r="N5392">
        <v>2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0</v>
      </c>
      <c r="AC5392">
        <v>0</v>
      </c>
      <c r="AD5392">
        <v>0</v>
      </c>
      <c r="AE5392">
        <v>0</v>
      </c>
      <c r="AF5392">
        <v>0</v>
      </c>
      <c r="AG5392">
        <v>0</v>
      </c>
      <c r="AH5392">
        <v>0</v>
      </c>
      <c r="AI5392">
        <v>170</v>
      </c>
      <c r="AJ5392">
        <v>2</v>
      </c>
      <c r="AK5392">
        <v>0</v>
      </c>
      <c r="AL5392">
        <v>0</v>
      </c>
      <c r="AM5392">
        <v>170</v>
      </c>
      <c r="AN5392">
        <v>0</v>
      </c>
      <c r="AO5392">
        <v>0</v>
      </c>
      <c r="AP5392">
        <v>0</v>
      </c>
      <c r="AQ5392">
        <v>0</v>
      </c>
      <c r="AS5392">
        <v>0</v>
      </c>
      <c r="AT5392">
        <v>0</v>
      </c>
      <c r="AV5392">
        <v>0</v>
      </c>
      <c r="AW5392">
        <v>0</v>
      </c>
      <c r="AY5392">
        <v>0</v>
      </c>
      <c r="AZ5392">
        <v>0</v>
      </c>
      <c r="BA5392">
        <v>119</v>
      </c>
      <c r="BE5392" t="str">
        <f>T("9791137014381")</f>
        <v>9791137014381</v>
      </c>
      <c r="BF5392" t="str">
        <f>T("D012854")</f>
        <v>D012854</v>
      </c>
      <c r="BG5392" t="str">
        <f>T("판타지 웹소설 &gt; 퓨전 판타지")</f>
        <v>판타지 웹소설 &gt; 퓨전 판타지</v>
      </c>
    </row>
    <row r="5393" spans="1:59">
      <c r="A5393" t="s">
        <v>60</v>
      </c>
      <c r="B5393" s="1">
        <v>46130</v>
      </c>
      <c r="C5393">
        <v>2378044065</v>
      </c>
      <c r="D5393">
        <v>2378075509</v>
      </c>
      <c r="E5393" t="str">
        <f>T("저승의 왕위를 계승했다 630화")</f>
        <v>저승의 왕위를 계승했다 630화</v>
      </c>
      <c r="F5393">
        <v>632</v>
      </c>
      <c r="G5393" t="str">
        <f>T("신타비")</f>
        <v>신타비</v>
      </c>
      <c r="J5393" t="str">
        <f>T("매드햇")</f>
        <v>매드햇</v>
      </c>
      <c r="K5393" t="str">
        <f>T("저승의 왕위를 계승했다")</f>
        <v>저승의 왕위를 계승했다</v>
      </c>
      <c r="L5393">
        <v>100</v>
      </c>
      <c r="M5393">
        <v>170</v>
      </c>
      <c r="N5393">
        <v>2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0</v>
      </c>
      <c r="AC5393">
        <v>0</v>
      </c>
      <c r="AD5393">
        <v>0</v>
      </c>
      <c r="AE5393">
        <v>0</v>
      </c>
      <c r="AF5393">
        <v>0</v>
      </c>
      <c r="AG5393">
        <v>0</v>
      </c>
      <c r="AH5393">
        <v>0</v>
      </c>
      <c r="AI5393">
        <v>170</v>
      </c>
      <c r="AJ5393">
        <v>2</v>
      </c>
      <c r="AK5393">
        <v>0</v>
      </c>
      <c r="AL5393">
        <v>0</v>
      </c>
      <c r="AM5393">
        <v>170</v>
      </c>
      <c r="AN5393">
        <v>0</v>
      </c>
      <c r="AO5393">
        <v>0</v>
      </c>
      <c r="AP5393">
        <v>0</v>
      </c>
      <c r="AQ5393">
        <v>0</v>
      </c>
      <c r="AS5393">
        <v>0</v>
      </c>
      <c r="AT5393">
        <v>0</v>
      </c>
      <c r="AV5393">
        <v>0</v>
      </c>
      <c r="AW5393">
        <v>0</v>
      </c>
      <c r="AY5393">
        <v>0</v>
      </c>
      <c r="AZ5393">
        <v>0</v>
      </c>
      <c r="BA5393">
        <v>119</v>
      </c>
      <c r="BE5393" t="str">
        <f>T("9791137014381")</f>
        <v>9791137014381</v>
      </c>
      <c r="BF5393" t="str">
        <f>T("D012855")</f>
        <v>D012855</v>
      </c>
      <c r="BG5393" t="str">
        <f>T("판타지 웹소설 &gt; 퓨전 판타지")</f>
        <v>판타지 웹소설 &gt; 퓨전 판타지</v>
      </c>
    </row>
    <row r="5394" spans="1:59">
      <c r="A5394" t="s">
        <v>60</v>
      </c>
      <c r="B5394" s="1">
        <v>46130</v>
      </c>
      <c r="C5394">
        <v>2378044065</v>
      </c>
      <c r="D5394">
        <v>2378075510</v>
      </c>
      <c r="E5394" t="str">
        <f>T("저승의 왕위를 계승했다 631화")</f>
        <v>저승의 왕위를 계승했다 631화</v>
      </c>
      <c r="F5394">
        <v>633</v>
      </c>
      <c r="G5394" t="str">
        <f>T("신타비")</f>
        <v>신타비</v>
      </c>
      <c r="J5394" t="str">
        <f>T("매드햇")</f>
        <v>매드햇</v>
      </c>
      <c r="K5394" t="str">
        <f>T("저승의 왕위를 계승했다")</f>
        <v>저승의 왕위를 계승했다</v>
      </c>
      <c r="L5394">
        <v>100</v>
      </c>
      <c r="M5394">
        <v>170</v>
      </c>
      <c r="N5394">
        <v>2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0</v>
      </c>
      <c r="AC5394">
        <v>0</v>
      </c>
      <c r="AD5394">
        <v>0</v>
      </c>
      <c r="AE5394">
        <v>0</v>
      </c>
      <c r="AF5394">
        <v>0</v>
      </c>
      <c r="AG5394">
        <v>0</v>
      </c>
      <c r="AH5394">
        <v>0</v>
      </c>
      <c r="AI5394">
        <v>170</v>
      </c>
      <c r="AJ5394">
        <v>2</v>
      </c>
      <c r="AK5394">
        <v>0</v>
      </c>
      <c r="AL5394">
        <v>0</v>
      </c>
      <c r="AM5394">
        <v>170</v>
      </c>
      <c r="AN5394">
        <v>0</v>
      </c>
      <c r="AO5394">
        <v>0</v>
      </c>
      <c r="AP5394">
        <v>0</v>
      </c>
      <c r="AQ5394">
        <v>0</v>
      </c>
      <c r="AS5394">
        <v>0</v>
      </c>
      <c r="AT5394">
        <v>0</v>
      </c>
      <c r="AV5394">
        <v>0</v>
      </c>
      <c r="AW5394">
        <v>0</v>
      </c>
      <c r="AY5394">
        <v>0</v>
      </c>
      <c r="AZ5394">
        <v>0</v>
      </c>
      <c r="BA5394">
        <v>119</v>
      </c>
      <c r="BE5394" t="str">
        <f>T("9791137014381")</f>
        <v>9791137014381</v>
      </c>
      <c r="BF5394" t="str">
        <f>T("D021852")</f>
        <v>D021852</v>
      </c>
      <c r="BG5394" t="str">
        <f>T("판타지 웹소설 &gt; 퓨전 판타지")</f>
        <v>판타지 웹소설 &gt; 퓨전 판타지</v>
      </c>
    </row>
    <row r="5395" spans="1:59">
      <c r="A5395" t="s">
        <v>60</v>
      </c>
      <c r="B5395" s="1">
        <v>46130</v>
      </c>
      <c r="C5395">
        <v>2378044065</v>
      </c>
      <c r="D5395">
        <v>2378075511</v>
      </c>
      <c r="E5395" t="str">
        <f>T("저승의 왕위를 계승했다 632화")</f>
        <v>저승의 왕위를 계승했다 632화</v>
      </c>
      <c r="F5395">
        <v>634</v>
      </c>
      <c r="G5395" t="str">
        <f>T("신타비")</f>
        <v>신타비</v>
      </c>
      <c r="J5395" t="str">
        <f>T("매드햇")</f>
        <v>매드햇</v>
      </c>
      <c r="K5395" t="str">
        <f>T("저승의 왕위를 계승했다")</f>
        <v>저승의 왕위를 계승했다</v>
      </c>
      <c r="L5395">
        <v>100</v>
      </c>
      <c r="M5395">
        <v>170</v>
      </c>
      <c r="N5395">
        <v>2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0</v>
      </c>
      <c r="AC5395">
        <v>0</v>
      </c>
      <c r="AD5395">
        <v>0</v>
      </c>
      <c r="AE5395">
        <v>0</v>
      </c>
      <c r="AF5395">
        <v>0</v>
      </c>
      <c r="AG5395">
        <v>0</v>
      </c>
      <c r="AH5395">
        <v>0</v>
      </c>
      <c r="AI5395">
        <v>170</v>
      </c>
      <c r="AJ5395">
        <v>2</v>
      </c>
      <c r="AK5395">
        <v>0</v>
      </c>
      <c r="AL5395">
        <v>0</v>
      </c>
      <c r="AM5395">
        <v>170</v>
      </c>
      <c r="AN5395">
        <v>0</v>
      </c>
      <c r="AO5395">
        <v>0</v>
      </c>
      <c r="AP5395">
        <v>0</v>
      </c>
      <c r="AQ5395">
        <v>0</v>
      </c>
      <c r="AS5395">
        <v>0</v>
      </c>
      <c r="AT5395">
        <v>0</v>
      </c>
      <c r="AV5395">
        <v>0</v>
      </c>
      <c r="AW5395">
        <v>0</v>
      </c>
      <c r="AY5395">
        <v>0</v>
      </c>
      <c r="AZ5395">
        <v>0</v>
      </c>
      <c r="BA5395">
        <v>119</v>
      </c>
      <c r="BE5395" t="str">
        <f>T("9791137014381")</f>
        <v>9791137014381</v>
      </c>
      <c r="BF5395" t="str">
        <f>T("D021853")</f>
        <v>D021853</v>
      </c>
      <c r="BG5395" t="str">
        <f>T("판타지 웹소설 &gt; 퓨전 판타지")</f>
        <v>판타지 웹소설 &gt; 퓨전 판타지</v>
      </c>
    </row>
    <row r="5396" spans="1:59">
      <c r="A5396" t="s">
        <v>60</v>
      </c>
      <c r="B5396" s="1">
        <v>46130</v>
      </c>
      <c r="C5396">
        <v>2378044065</v>
      </c>
      <c r="D5396">
        <v>2378075525</v>
      </c>
      <c r="E5396" t="str">
        <f>T("저승의 왕위를 계승했다 633화")</f>
        <v>저승의 왕위를 계승했다 633화</v>
      </c>
      <c r="F5396">
        <v>635</v>
      </c>
      <c r="G5396" t="str">
        <f>T("신타비")</f>
        <v>신타비</v>
      </c>
      <c r="J5396" t="str">
        <f>T("매드햇")</f>
        <v>매드햇</v>
      </c>
      <c r="K5396" t="str">
        <f>T("저승의 왕위를 계승했다")</f>
        <v>저승의 왕위를 계승했다</v>
      </c>
      <c r="L5396">
        <v>100</v>
      </c>
      <c r="M5396">
        <v>170</v>
      </c>
      <c r="N5396">
        <v>2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0</v>
      </c>
      <c r="AC5396">
        <v>0</v>
      </c>
      <c r="AD5396">
        <v>0</v>
      </c>
      <c r="AE5396">
        <v>0</v>
      </c>
      <c r="AF5396">
        <v>0</v>
      </c>
      <c r="AG5396">
        <v>0</v>
      </c>
      <c r="AH5396">
        <v>0</v>
      </c>
      <c r="AI5396">
        <v>170</v>
      </c>
      <c r="AJ5396">
        <v>2</v>
      </c>
      <c r="AK5396">
        <v>0</v>
      </c>
      <c r="AL5396">
        <v>0</v>
      </c>
      <c r="AM5396">
        <v>170</v>
      </c>
      <c r="AN5396">
        <v>0</v>
      </c>
      <c r="AO5396">
        <v>0</v>
      </c>
      <c r="AP5396">
        <v>0</v>
      </c>
      <c r="AQ5396">
        <v>0</v>
      </c>
      <c r="AS5396">
        <v>0</v>
      </c>
      <c r="AT5396">
        <v>0</v>
      </c>
      <c r="AV5396">
        <v>0</v>
      </c>
      <c r="AW5396">
        <v>0</v>
      </c>
      <c r="AY5396">
        <v>0</v>
      </c>
      <c r="AZ5396">
        <v>0</v>
      </c>
      <c r="BA5396">
        <v>119</v>
      </c>
      <c r="BE5396" t="str">
        <f>T("9791137014381")</f>
        <v>9791137014381</v>
      </c>
      <c r="BF5396" t="str">
        <f>T("D021854")</f>
        <v>D021854</v>
      </c>
      <c r="BG5396" t="str">
        <f>T("판타지 웹소설 &gt; 퓨전 판타지")</f>
        <v>판타지 웹소설 &gt; 퓨전 판타지</v>
      </c>
    </row>
    <row r="5397" spans="1:59">
      <c r="A5397" t="s">
        <v>60</v>
      </c>
      <c r="B5397" s="1">
        <v>46130</v>
      </c>
      <c r="C5397">
        <v>2378044065</v>
      </c>
      <c r="D5397">
        <v>2378075526</v>
      </c>
      <c r="E5397" t="str">
        <f>T("저승의 왕위를 계승했다 634화")</f>
        <v>저승의 왕위를 계승했다 634화</v>
      </c>
      <c r="F5397">
        <v>636</v>
      </c>
      <c r="G5397" t="str">
        <f>T("신타비")</f>
        <v>신타비</v>
      </c>
      <c r="J5397" t="str">
        <f>T("매드햇")</f>
        <v>매드햇</v>
      </c>
      <c r="K5397" t="str">
        <f>T("저승의 왕위를 계승했다")</f>
        <v>저승의 왕위를 계승했다</v>
      </c>
      <c r="L5397">
        <v>100</v>
      </c>
      <c r="M5397">
        <v>170</v>
      </c>
      <c r="N5397">
        <v>2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0</v>
      </c>
      <c r="AC5397">
        <v>0</v>
      </c>
      <c r="AD5397">
        <v>0</v>
      </c>
      <c r="AE5397">
        <v>0</v>
      </c>
      <c r="AF5397">
        <v>0</v>
      </c>
      <c r="AG5397">
        <v>0</v>
      </c>
      <c r="AH5397">
        <v>0</v>
      </c>
      <c r="AI5397">
        <v>170</v>
      </c>
      <c r="AJ5397">
        <v>2</v>
      </c>
      <c r="AK5397">
        <v>0</v>
      </c>
      <c r="AL5397">
        <v>0</v>
      </c>
      <c r="AM5397">
        <v>170</v>
      </c>
      <c r="AN5397">
        <v>0</v>
      </c>
      <c r="AO5397">
        <v>0</v>
      </c>
      <c r="AP5397">
        <v>0</v>
      </c>
      <c r="AQ5397">
        <v>0</v>
      </c>
      <c r="AS5397">
        <v>0</v>
      </c>
      <c r="AT5397">
        <v>0</v>
      </c>
      <c r="AV5397">
        <v>0</v>
      </c>
      <c r="AW5397">
        <v>0</v>
      </c>
      <c r="AY5397">
        <v>0</v>
      </c>
      <c r="AZ5397">
        <v>0</v>
      </c>
      <c r="BA5397">
        <v>119</v>
      </c>
      <c r="BE5397" t="str">
        <f>T("9791137014381")</f>
        <v>9791137014381</v>
      </c>
      <c r="BF5397" t="str">
        <f>T("D021855")</f>
        <v>D021855</v>
      </c>
      <c r="BG5397" t="str">
        <f>T("판타지 웹소설 &gt; 퓨전 판타지")</f>
        <v>판타지 웹소설 &gt; 퓨전 판타지</v>
      </c>
    </row>
    <row r="5398" spans="1:59">
      <c r="A5398" t="s">
        <v>60</v>
      </c>
      <c r="B5398" s="1">
        <v>46130</v>
      </c>
      <c r="C5398">
        <v>2378044065</v>
      </c>
      <c r="D5398">
        <v>2378075527</v>
      </c>
      <c r="E5398" t="str">
        <f>T("저승의 왕위를 계승했다 635화")</f>
        <v>저승의 왕위를 계승했다 635화</v>
      </c>
      <c r="F5398">
        <v>637</v>
      </c>
      <c r="G5398" t="str">
        <f>T("신타비")</f>
        <v>신타비</v>
      </c>
      <c r="J5398" t="str">
        <f>T("매드햇")</f>
        <v>매드햇</v>
      </c>
      <c r="K5398" t="str">
        <f>T("저승의 왕위를 계승했다")</f>
        <v>저승의 왕위를 계승했다</v>
      </c>
      <c r="L5398">
        <v>100</v>
      </c>
      <c r="M5398">
        <v>170</v>
      </c>
      <c r="N5398">
        <v>2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0</v>
      </c>
      <c r="AC5398">
        <v>0</v>
      </c>
      <c r="AD5398">
        <v>0</v>
      </c>
      <c r="AE5398">
        <v>0</v>
      </c>
      <c r="AF5398">
        <v>0</v>
      </c>
      <c r="AG5398">
        <v>0</v>
      </c>
      <c r="AH5398">
        <v>0</v>
      </c>
      <c r="AI5398">
        <v>170</v>
      </c>
      <c r="AJ5398">
        <v>2</v>
      </c>
      <c r="AK5398">
        <v>0</v>
      </c>
      <c r="AL5398">
        <v>0</v>
      </c>
      <c r="AM5398">
        <v>170</v>
      </c>
      <c r="AN5398">
        <v>0</v>
      </c>
      <c r="AO5398">
        <v>0</v>
      </c>
      <c r="AP5398">
        <v>0</v>
      </c>
      <c r="AQ5398">
        <v>0</v>
      </c>
      <c r="AS5398">
        <v>0</v>
      </c>
      <c r="AT5398">
        <v>0</v>
      </c>
      <c r="AV5398">
        <v>0</v>
      </c>
      <c r="AW5398">
        <v>0</v>
      </c>
      <c r="AY5398">
        <v>0</v>
      </c>
      <c r="AZ5398">
        <v>0</v>
      </c>
      <c r="BA5398">
        <v>119</v>
      </c>
      <c r="BE5398" t="str">
        <f>T("9791137014381")</f>
        <v>9791137014381</v>
      </c>
      <c r="BF5398" t="str">
        <f>T("D021856")</f>
        <v>D021856</v>
      </c>
      <c r="BG5398" t="str">
        <f>T("판타지 웹소설 &gt; 퓨전 판타지")</f>
        <v>판타지 웹소설 &gt; 퓨전 판타지</v>
      </c>
    </row>
    <row r="5399" spans="1:59">
      <c r="A5399" t="s">
        <v>60</v>
      </c>
      <c r="B5399" s="1">
        <v>46130</v>
      </c>
      <c r="C5399">
        <v>2378044065</v>
      </c>
      <c r="D5399">
        <v>2378075528</v>
      </c>
      <c r="E5399" t="str">
        <f>T("저승의 왕위를 계승했다 636화")</f>
        <v>저승의 왕위를 계승했다 636화</v>
      </c>
      <c r="F5399">
        <v>638</v>
      </c>
      <c r="G5399" t="str">
        <f>T("신타비")</f>
        <v>신타비</v>
      </c>
      <c r="J5399" t="str">
        <f>T("매드햇")</f>
        <v>매드햇</v>
      </c>
      <c r="K5399" t="str">
        <f>T("저승의 왕위를 계승했다")</f>
        <v>저승의 왕위를 계승했다</v>
      </c>
      <c r="L5399">
        <v>100</v>
      </c>
      <c r="M5399">
        <v>170</v>
      </c>
      <c r="N5399">
        <v>2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0</v>
      </c>
      <c r="AC5399">
        <v>0</v>
      </c>
      <c r="AD5399">
        <v>0</v>
      </c>
      <c r="AE5399">
        <v>0</v>
      </c>
      <c r="AF5399">
        <v>0</v>
      </c>
      <c r="AG5399">
        <v>0</v>
      </c>
      <c r="AH5399">
        <v>0</v>
      </c>
      <c r="AI5399">
        <v>170</v>
      </c>
      <c r="AJ5399">
        <v>2</v>
      </c>
      <c r="AK5399">
        <v>0</v>
      </c>
      <c r="AL5399">
        <v>0</v>
      </c>
      <c r="AM5399">
        <v>170</v>
      </c>
      <c r="AN5399">
        <v>0</v>
      </c>
      <c r="AO5399">
        <v>0</v>
      </c>
      <c r="AP5399">
        <v>0</v>
      </c>
      <c r="AQ5399">
        <v>0</v>
      </c>
      <c r="AS5399">
        <v>0</v>
      </c>
      <c r="AT5399">
        <v>0</v>
      </c>
      <c r="AV5399">
        <v>0</v>
      </c>
      <c r="AW5399">
        <v>0</v>
      </c>
      <c r="AY5399">
        <v>0</v>
      </c>
      <c r="AZ5399">
        <v>0</v>
      </c>
      <c r="BA5399">
        <v>119</v>
      </c>
      <c r="BE5399" t="str">
        <f>T("9791137014381")</f>
        <v>9791137014381</v>
      </c>
      <c r="BF5399" t="str">
        <f>T("D021857")</f>
        <v>D021857</v>
      </c>
      <c r="BG5399" t="str">
        <f>T("판타지 웹소설 &gt; 퓨전 판타지")</f>
        <v>판타지 웹소설 &gt; 퓨전 판타지</v>
      </c>
    </row>
    <row r="5400" spans="1:59">
      <c r="A5400" t="s">
        <v>60</v>
      </c>
      <c r="B5400" s="1">
        <v>46130</v>
      </c>
      <c r="C5400">
        <v>2378044065</v>
      </c>
      <c r="D5400">
        <v>2378075564</v>
      </c>
      <c r="E5400" t="str">
        <f>T("저승의 왕위를 계승했다 637화")</f>
        <v>저승의 왕위를 계승했다 637화</v>
      </c>
      <c r="F5400">
        <v>639</v>
      </c>
      <c r="G5400" t="str">
        <f>T("신타비")</f>
        <v>신타비</v>
      </c>
      <c r="J5400" t="str">
        <f>T("매드햇")</f>
        <v>매드햇</v>
      </c>
      <c r="K5400" t="str">
        <f>T("저승의 왕위를 계승했다")</f>
        <v>저승의 왕위를 계승했다</v>
      </c>
      <c r="L5400">
        <v>100</v>
      </c>
      <c r="M5400">
        <v>170</v>
      </c>
      <c r="N5400">
        <v>2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0</v>
      </c>
      <c r="AC5400">
        <v>0</v>
      </c>
      <c r="AD5400">
        <v>0</v>
      </c>
      <c r="AE5400">
        <v>0</v>
      </c>
      <c r="AF5400">
        <v>0</v>
      </c>
      <c r="AG5400">
        <v>0</v>
      </c>
      <c r="AH5400">
        <v>0</v>
      </c>
      <c r="AI5400">
        <v>170</v>
      </c>
      <c r="AJ5400">
        <v>2</v>
      </c>
      <c r="AK5400">
        <v>0</v>
      </c>
      <c r="AL5400">
        <v>0</v>
      </c>
      <c r="AM5400">
        <v>170</v>
      </c>
      <c r="AN5400">
        <v>0</v>
      </c>
      <c r="AO5400">
        <v>0</v>
      </c>
      <c r="AP5400">
        <v>0</v>
      </c>
      <c r="AQ5400">
        <v>0</v>
      </c>
      <c r="AS5400">
        <v>0</v>
      </c>
      <c r="AT5400">
        <v>0</v>
      </c>
      <c r="AV5400">
        <v>0</v>
      </c>
      <c r="AW5400">
        <v>0</v>
      </c>
      <c r="AY5400">
        <v>0</v>
      </c>
      <c r="AZ5400">
        <v>0</v>
      </c>
      <c r="BA5400">
        <v>119</v>
      </c>
      <c r="BE5400" t="str">
        <f>T("9791137014381")</f>
        <v>9791137014381</v>
      </c>
      <c r="BF5400" t="str">
        <f>T("D028027")</f>
        <v>D028027</v>
      </c>
      <c r="BG5400" t="str">
        <f>T("판타지 웹소설 &gt; 퓨전 판타지")</f>
        <v>판타지 웹소설 &gt; 퓨전 판타지</v>
      </c>
    </row>
    <row r="5401" spans="1:59">
      <c r="A5401" t="s">
        <v>60</v>
      </c>
      <c r="B5401" s="1">
        <v>46130</v>
      </c>
      <c r="C5401">
        <v>2378044065</v>
      </c>
      <c r="D5401">
        <v>2378075565</v>
      </c>
      <c r="E5401" t="str">
        <f>T("저승의 왕위를 계승했다 638화")</f>
        <v>저승의 왕위를 계승했다 638화</v>
      </c>
      <c r="F5401">
        <v>640</v>
      </c>
      <c r="G5401" t="str">
        <f>T("신타비")</f>
        <v>신타비</v>
      </c>
      <c r="J5401" t="str">
        <f>T("매드햇")</f>
        <v>매드햇</v>
      </c>
      <c r="K5401" t="str">
        <f>T("저승의 왕위를 계승했다")</f>
        <v>저승의 왕위를 계승했다</v>
      </c>
      <c r="L5401">
        <v>100</v>
      </c>
      <c r="M5401">
        <v>170</v>
      </c>
      <c r="N5401">
        <v>2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0</v>
      </c>
      <c r="AC5401">
        <v>0</v>
      </c>
      <c r="AD5401">
        <v>0</v>
      </c>
      <c r="AE5401">
        <v>0</v>
      </c>
      <c r="AF5401">
        <v>0</v>
      </c>
      <c r="AG5401">
        <v>0</v>
      </c>
      <c r="AH5401">
        <v>0</v>
      </c>
      <c r="AI5401">
        <v>170</v>
      </c>
      <c r="AJ5401">
        <v>2</v>
      </c>
      <c r="AK5401">
        <v>0</v>
      </c>
      <c r="AL5401">
        <v>0</v>
      </c>
      <c r="AM5401">
        <v>170</v>
      </c>
      <c r="AN5401">
        <v>0</v>
      </c>
      <c r="AO5401">
        <v>0</v>
      </c>
      <c r="AP5401">
        <v>0</v>
      </c>
      <c r="AQ5401">
        <v>0</v>
      </c>
      <c r="AS5401">
        <v>0</v>
      </c>
      <c r="AT5401">
        <v>0</v>
      </c>
      <c r="AV5401">
        <v>0</v>
      </c>
      <c r="AW5401">
        <v>0</v>
      </c>
      <c r="AY5401">
        <v>0</v>
      </c>
      <c r="AZ5401">
        <v>0</v>
      </c>
      <c r="BA5401">
        <v>119</v>
      </c>
      <c r="BE5401" t="str">
        <f>T("9791137014381")</f>
        <v>9791137014381</v>
      </c>
      <c r="BF5401" t="str">
        <f>T("D028028")</f>
        <v>D028028</v>
      </c>
      <c r="BG5401" t="str">
        <f>T("판타지 웹소설 &gt; 퓨전 판타지")</f>
        <v>판타지 웹소설 &gt; 퓨전 판타지</v>
      </c>
    </row>
    <row r="5402" spans="1:59">
      <c r="A5402" t="s">
        <v>60</v>
      </c>
      <c r="B5402" s="1">
        <v>46130</v>
      </c>
      <c r="C5402">
        <v>2378044065</v>
      </c>
      <c r="D5402">
        <v>2378075566</v>
      </c>
      <c r="E5402" t="str">
        <f>T("저승의 왕위를 계승했다 639화")</f>
        <v>저승의 왕위를 계승했다 639화</v>
      </c>
      <c r="F5402">
        <v>641</v>
      </c>
      <c r="G5402" t="str">
        <f>T("신타비")</f>
        <v>신타비</v>
      </c>
      <c r="J5402" t="str">
        <f>T("매드햇")</f>
        <v>매드햇</v>
      </c>
      <c r="K5402" t="str">
        <f>T("저승의 왕위를 계승했다")</f>
        <v>저승의 왕위를 계승했다</v>
      </c>
      <c r="L5402">
        <v>100</v>
      </c>
      <c r="M5402">
        <v>170</v>
      </c>
      <c r="N5402">
        <v>2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0</v>
      </c>
      <c r="AC5402">
        <v>0</v>
      </c>
      <c r="AD5402">
        <v>0</v>
      </c>
      <c r="AE5402">
        <v>0</v>
      </c>
      <c r="AF5402">
        <v>0</v>
      </c>
      <c r="AG5402">
        <v>0</v>
      </c>
      <c r="AH5402">
        <v>0</v>
      </c>
      <c r="AI5402">
        <v>170</v>
      </c>
      <c r="AJ5402">
        <v>2</v>
      </c>
      <c r="AK5402">
        <v>0</v>
      </c>
      <c r="AL5402">
        <v>0</v>
      </c>
      <c r="AM5402">
        <v>170</v>
      </c>
      <c r="AN5402">
        <v>0</v>
      </c>
      <c r="AO5402">
        <v>0</v>
      </c>
      <c r="AP5402">
        <v>0</v>
      </c>
      <c r="AQ5402">
        <v>0</v>
      </c>
      <c r="AS5402">
        <v>0</v>
      </c>
      <c r="AT5402">
        <v>0</v>
      </c>
      <c r="AV5402">
        <v>0</v>
      </c>
      <c r="AW5402">
        <v>0</v>
      </c>
      <c r="AY5402">
        <v>0</v>
      </c>
      <c r="AZ5402">
        <v>0</v>
      </c>
      <c r="BA5402">
        <v>119</v>
      </c>
      <c r="BE5402" t="str">
        <f>T("9791137014381")</f>
        <v>9791137014381</v>
      </c>
      <c r="BF5402" t="str">
        <f>T("D028029")</f>
        <v>D028029</v>
      </c>
      <c r="BG5402" t="str">
        <f>T("판타지 웹소설 &gt; 퓨전 판타지")</f>
        <v>판타지 웹소설 &gt; 퓨전 판타지</v>
      </c>
    </row>
    <row r="5403" spans="1:59">
      <c r="A5403" t="s">
        <v>60</v>
      </c>
      <c r="B5403" s="1">
        <v>46130</v>
      </c>
      <c r="C5403">
        <v>2378044065</v>
      </c>
      <c r="D5403">
        <v>2378075567</v>
      </c>
      <c r="E5403" t="str">
        <f>T("저승의 왕위를 계승했다 640화")</f>
        <v>저승의 왕위를 계승했다 640화</v>
      </c>
      <c r="F5403">
        <v>642</v>
      </c>
      <c r="G5403" t="str">
        <f>T("신타비")</f>
        <v>신타비</v>
      </c>
      <c r="J5403" t="str">
        <f>T("매드햇")</f>
        <v>매드햇</v>
      </c>
      <c r="K5403" t="str">
        <f>T("저승의 왕위를 계승했다")</f>
        <v>저승의 왕위를 계승했다</v>
      </c>
      <c r="L5403">
        <v>100</v>
      </c>
      <c r="M5403">
        <v>170</v>
      </c>
      <c r="N5403">
        <v>2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0</v>
      </c>
      <c r="AC5403">
        <v>0</v>
      </c>
      <c r="AD5403">
        <v>0</v>
      </c>
      <c r="AE5403">
        <v>0</v>
      </c>
      <c r="AF5403">
        <v>0</v>
      </c>
      <c r="AG5403">
        <v>0</v>
      </c>
      <c r="AH5403">
        <v>0</v>
      </c>
      <c r="AI5403">
        <v>170</v>
      </c>
      <c r="AJ5403">
        <v>2</v>
      </c>
      <c r="AK5403">
        <v>0</v>
      </c>
      <c r="AL5403">
        <v>0</v>
      </c>
      <c r="AM5403">
        <v>170</v>
      </c>
      <c r="AN5403">
        <v>0</v>
      </c>
      <c r="AO5403">
        <v>0</v>
      </c>
      <c r="AP5403">
        <v>0</v>
      </c>
      <c r="AQ5403">
        <v>0</v>
      </c>
      <c r="AS5403">
        <v>0</v>
      </c>
      <c r="AT5403">
        <v>0</v>
      </c>
      <c r="AV5403">
        <v>0</v>
      </c>
      <c r="AW5403">
        <v>0</v>
      </c>
      <c r="AY5403">
        <v>0</v>
      </c>
      <c r="AZ5403">
        <v>0</v>
      </c>
      <c r="BA5403">
        <v>119</v>
      </c>
      <c r="BE5403" t="str">
        <f>T("9791137014381")</f>
        <v>9791137014381</v>
      </c>
      <c r="BF5403" t="str">
        <f>T("D028030")</f>
        <v>D028030</v>
      </c>
      <c r="BG5403" t="str">
        <f>T("판타지 웹소설 &gt; 퓨전 판타지")</f>
        <v>판타지 웹소설 &gt; 퓨전 판타지</v>
      </c>
    </row>
    <row r="5404" spans="1:59">
      <c r="A5404" t="s">
        <v>60</v>
      </c>
      <c r="B5404" s="1">
        <v>46130</v>
      </c>
      <c r="C5404">
        <v>2378044065</v>
      </c>
      <c r="D5404">
        <v>2378075590</v>
      </c>
      <c r="E5404" t="str">
        <f>T("저승의 왕위를 계승했다 641화")</f>
        <v>저승의 왕위를 계승했다 641화</v>
      </c>
      <c r="F5404">
        <v>643</v>
      </c>
      <c r="G5404" t="str">
        <f>T("신타비")</f>
        <v>신타비</v>
      </c>
      <c r="J5404" t="str">
        <f>T("매드햇")</f>
        <v>매드햇</v>
      </c>
      <c r="K5404" t="str">
        <f>T("저승의 왕위를 계승했다")</f>
        <v>저승의 왕위를 계승했다</v>
      </c>
      <c r="L5404">
        <v>100</v>
      </c>
      <c r="M5404">
        <v>170</v>
      </c>
      <c r="N5404">
        <v>2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0</v>
      </c>
      <c r="AC5404">
        <v>0</v>
      </c>
      <c r="AD5404">
        <v>0</v>
      </c>
      <c r="AE5404">
        <v>0</v>
      </c>
      <c r="AF5404">
        <v>0</v>
      </c>
      <c r="AG5404">
        <v>0</v>
      </c>
      <c r="AH5404">
        <v>0</v>
      </c>
      <c r="AI5404">
        <v>170</v>
      </c>
      <c r="AJ5404">
        <v>2</v>
      </c>
      <c r="AK5404">
        <v>0</v>
      </c>
      <c r="AL5404">
        <v>0</v>
      </c>
      <c r="AM5404">
        <v>170</v>
      </c>
      <c r="AN5404">
        <v>0</v>
      </c>
      <c r="AO5404">
        <v>0</v>
      </c>
      <c r="AP5404">
        <v>0</v>
      </c>
      <c r="AQ5404">
        <v>0</v>
      </c>
      <c r="AS5404">
        <v>0</v>
      </c>
      <c r="AT5404">
        <v>0</v>
      </c>
      <c r="AV5404">
        <v>0</v>
      </c>
      <c r="AW5404">
        <v>0</v>
      </c>
      <c r="AY5404">
        <v>0</v>
      </c>
      <c r="AZ5404">
        <v>0</v>
      </c>
      <c r="BA5404">
        <v>119</v>
      </c>
      <c r="BE5404" t="str">
        <f>T("9791137014381")</f>
        <v>9791137014381</v>
      </c>
      <c r="BF5404" t="str">
        <f>T("D028031")</f>
        <v>D028031</v>
      </c>
      <c r="BG5404" t="str">
        <f>T("판타지 웹소설 &gt; 퓨전 판타지")</f>
        <v>판타지 웹소설 &gt; 퓨전 판타지</v>
      </c>
    </row>
    <row r="5405" spans="1:59">
      <c r="A5405" t="s">
        <v>60</v>
      </c>
      <c r="B5405" s="1">
        <v>46130</v>
      </c>
      <c r="C5405">
        <v>2378044065</v>
      </c>
      <c r="D5405">
        <v>2378075591</v>
      </c>
      <c r="E5405" t="str">
        <f>T("저승의 왕위를 계승했다 642화")</f>
        <v>저승의 왕위를 계승했다 642화</v>
      </c>
      <c r="F5405">
        <v>644</v>
      </c>
      <c r="G5405" t="str">
        <f>T("신타비")</f>
        <v>신타비</v>
      </c>
      <c r="J5405" t="str">
        <f>T("매드햇")</f>
        <v>매드햇</v>
      </c>
      <c r="K5405" t="str">
        <f>T("저승의 왕위를 계승했다")</f>
        <v>저승의 왕위를 계승했다</v>
      </c>
      <c r="L5405">
        <v>100</v>
      </c>
      <c r="M5405">
        <v>170</v>
      </c>
      <c r="N5405">
        <v>2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0</v>
      </c>
      <c r="AC5405">
        <v>0</v>
      </c>
      <c r="AD5405">
        <v>0</v>
      </c>
      <c r="AE5405">
        <v>0</v>
      </c>
      <c r="AF5405">
        <v>0</v>
      </c>
      <c r="AG5405">
        <v>0</v>
      </c>
      <c r="AH5405">
        <v>0</v>
      </c>
      <c r="AI5405">
        <v>170</v>
      </c>
      <c r="AJ5405">
        <v>2</v>
      </c>
      <c r="AK5405">
        <v>0</v>
      </c>
      <c r="AL5405">
        <v>0</v>
      </c>
      <c r="AM5405">
        <v>170</v>
      </c>
      <c r="AN5405">
        <v>0</v>
      </c>
      <c r="AO5405">
        <v>0</v>
      </c>
      <c r="AP5405">
        <v>0</v>
      </c>
      <c r="AQ5405">
        <v>0</v>
      </c>
      <c r="AS5405">
        <v>0</v>
      </c>
      <c r="AT5405">
        <v>0</v>
      </c>
      <c r="AV5405">
        <v>0</v>
      </c>
      <c r="AW5405">
        <v>0</v>
      </c>
      <c r="AY5405">
        <v>0</v>
      </c>
      <c r="AZ5405">
        <v>0</v>
      </c>
      <c r="BA5405">
        <v>119</v>
      </c>
      <c r="BE5405" t="str">
        <f>T("9791137014381")</f>
        <v>9791137014381</v>
      </c>
      <c r="BF5405" t="str">
        <f>T("D028032")</f>
        <v>D028032</v>
      </c>
      <c r="BG5405" t="str">
        <f>T("판타지 웹소설 &gt; 퓨전 판타지")</f>
        <v>판타지 웹소설 &gt; 퓨전 판타지</v>
      </c>
    </row>
    <row r="5406" spans="1:59">
      <c r="A5406" t="s">
        <v>60</v>
      </c>
      <c r="B5406" s="1">
        <v>46130</v>
      </c>
      <c r="C5406">
        <v>2378044065</v>
      </c>
      <c r="D5406">
        <v>2378075592</v>
      </c>
      <c r="E5406" t="str">
        <f>T("저승의 왕위를 계승했다 643화")</f>
        <v>저승의 왕위를 계승했다 643화</v>
      </c>
      <c r="F5406">
        <v>645</v>
      </c>
      <c r="G5406" t="str">
        <f>T("신타비")</f>
        <v>신타비</v>
      </c>
      <c r="J5406" t="str">
        <f>T("매드햇")</f>
        <v>매드햇</v>
      </c>
      <c r="K5406" t="str">
        <f>T("저승의 왕위를 계승했다")</f>
        <v>저승의 왕위를 계승했다</v>
      </c>
      <c r="L5406">
        <v>100</v>
      </c>
      <c r="M5406">
        <v>170</v>
      </c>
      <c r="N5406">
        <v>2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0</v>
      </c>
      <c r="AC5406">
        <v>0</v>
      </c>
      <c r="AD5406">
        <v>0</v>
      </c>
      <c r="AE5406">
        <v>0</v>
      </c>
      <c r="AF5406">
        <v>0</v>
      </c>
      <c r="AG5406">
        <v>0</v>
      </c>
      <c r="AH5406">
        <v>0</v>
      </c>
      <c r="AI5406">
        <v>170</v>
      </c>
      <c r="AJ5406">
        <v>2</v>
      </c>
      <c r="AK5406">
        <v>0</v>
      </c>
      <c r="AL5406">
        <v>0</v>
      </c>
      <c r="AM5406">
        <v>170</v>
      </c>
      <c r="AN5406">
        <v>0</v>
      </c>
      <c r="AO5406">
        <v>0</v>
      </c>
      <c r="AP5406">
        <v>0</v>
      </c>
      <c r="AQ5406">
        <v>0</v>
      </c>
      <c r="AS5406">
        <v>0</v>
      </c>
      <c r="AT5406">
        <v>0</v>
      </c>
      <c r="AV5406">
        <v>0</v>
      </c>
      <c r="AW5406">
        <v>0</v>
      </c>
      <c r="AY5406">
        <v>0</v>
      </c>
      <c r="AZ5406">
        <v>0</v>
      </c>
      <c r="BA5406">
        <v>119</v>
      </c>
      <c r="BE5406" t="str">
        <f>T("9791137014381")</f>
        <v>9791137014381</v>
      </c>
      <c r="BF5406" t="str">
        <f>T("D035743")</f>
        <v>D035743</v>
      </c>
      <c r="BG5406" t="str">
        <f>T("판타지 웹소설 &gt; 퓨전 판타지")</f>
        <v>판타지 웹소설 &gt; 퓨전 판타지</v>
      </c>
    </row>
    <row r="5407" spans="1:59">
      <c r="A5407" t="s">
        <v>60</v>
      </c>
      <c r="B5407" s="1">
        <v>46130</v>
      </c>
      <c r="C5407">
        <v>2378044065</v>
      </c>
      <c r="D5407">
        <v>2378075593</v>
      </c>
      <c r="E5407" t="str">
        <f>T("저승의 왕위를 계승했다 644화")</f>
        <v>저승의 왕위를 계승했다 644화</v>
      </c>
      <c r="F5407">
        <v>646</v>
      </c>
      <c r="G5407" t="str">
        <f>T("신타비")</f>
        <v>신타비</v>
      </c>
      <c r="J5407" t="str">
        <f>T("매드햇")</f>
        <v>매드햇</v>
      </c>
      <c r="K5407" t="str">
        <f>T("저승의 왕위를 계승했다")</f>
        <v>저승의 왕위를 계승했다</v>
      </c>
      <c r="L5407">
        <v>100</v>
      </c>
      <c r="M5407">
        <v>170</v>
      </c>
      <c r="N5407">
        <v>2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0</v>
      </c>
      <c r="AC5407">
        <v>0</v>
      </c>
      <c r="AD5407">
        <v>0</v>
      </c>
      <c r="AE5407">
        <v>0</v>
      </c>
      <c r="AF5407">
        <v>0</v>
      </c>
      <c r="AG5407">
        <v>0</v>
      </c>
      <c r="AH5407">
        <v>0</v>
      </c>
      <c r="AI5407">
        <v>170</v>
      </c>
      <c r="AJ5407">
        <v>2</v>
      </c>
      <c r="AK5407">
        <v>0</v>
      </c>
      <c r="AL5407">
        <v>0</v>
      </c>
      <c r="AM5407">
        <v>170</v>
      </c>
      <c r="AN5407">
        <v>0</v>
      </c>
      <c r="AO5407">
        <v>0</v>
      </c>
      <c r="AP5407">
        <v>0</v>
      </c>
      <c r="AQ5407">
        <v>0</v>
      </c>
      <c r="AS5407">
        <v>0</v>
      </c>
      <c r="AT5407">
        <v>0</v>
      </c>
      <c r="AV5407">
        <v>0</v>
      </c>
      <c r="AW5407">
        <v>0</v>
      </c>
      <c r="AY5407">
        <v>0</v>
      </c>
      <c r="AZ5407">
        <v>0</v>
      </c>
      <c r="BA5407">
        <v>119</v>
      </c>
      <c r="BE5407" t="str">
        <f>T("9791137014381")</f>
        <v>9791137014381</v>
      </c>
      <c r="BF5407" t="str">
        <f>T("D035744")</f>
        <v>D035744</v>
      </c>
      <c r="BG5407" t="str">
        <f>T("판타지 웹소설 &gt; 퓨전 판타지")</f>
        <v>판타지 웹소설 &gt; 퓨전 판타지</v>
      </c>
    </row>
    <row r="5408" spans="1:59">
      <c r="A5408" t="s">
        <v>60</v>
      </c>
      <c r="B5408" s="1">
        <v>46130</v>
      </c>
      <c r="C5408">
        <v>2378044065</v>
      </c>
      <c r="D5408">
        <v>2378075615</v>
      </c>
      <c r="E5408" t="str">
        <f>T("저승의 왕위를 계승했다 645화")</f>
        <v>저승의 왕위를 계승했다 645화</v>
      </c>
      <c r="F5408">
        <v>647</v>
      </c>
      <c r="G5408" t="str">
        <f>T("신타비")</f>
        <v>신타비</v>
      </c>
      <c r="J5408" t="str">
        <f>T("매드햇")</f>
        <v>매드햇</v>
      </c>
      <c r="K5408" t="str">
        <f>T("저승의 왕위를 계승했다")</f>
        <v>저승의 왕위를 계승했다</v>
      </c>
      <c r="L5408">
        <v>100</v>
      </c>
      <c r="M5408">
        <v>170</v>
      </c>
      <c r="N5408">
        <v>2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0</v>
      </c>
      <c r="AC5408">
        <v>0</v>
      </c>
      <c r="AD5408">
        <v>0</v>
      </c>
      <c r="AE5408">
        <v>0</v>
      </c>
      <c r="AF5408">
        <v>0</v>
      </c>
      <c r="AG5408">
        <v>0</v>
      </c>
      <c r="AH5408">
        <v>0</v>
      </c>
      <c r="AI5408">
        <v>170</v>
      </c>
      <c r="AJ5408">
        <v>2</v>
      </c>
      <c r="AK5408">
        <v>0</v>
      </c>
      <c r="AL5408">
        <v>0</v>
      </c>
      <c r="AM5408">
        <v>170</v>
      </c>
      <c r="AN5408">
        <v>0</v>
      </c>
      <c r="AO5408">
        <v>0</v>
      </c>
      <c r="AP5408">
        <v>0</v>
      </c>
      <c r="AQ5408">
        <v>0</v>
      </c>
      <c r="AS5408">
        <v>0</v>
      </c>
      <c r="AT5408">
        <v>0</v>
      </c>
      <c r="AV5408">
        <v>0</v>
      </c>
      <c r="AW5408">
        <v>0</v>
      </c>
      <c r="AY5408">
        <v>0</v>
      </c>
      <c r="AZ5408">
        <v>0</v>
      </c>
      <c r="BA5408">
        <v>119</v>
      </c>
      <c r="BE5408" t="str">
        <f>T("9791137014381")</f>
        <v>9791137014381</v>
      </c>
      <c r="BF5408" t="str">
        <f>T("D035745")</f>
        <v>D035745</v>
      </c>
      <c r="BG5408" t="str">
        <f>T("판타지 웹소설 &gt; 퓨전 판타지")</f>
        <v>판타지 웹소설 &gt; 퓨전 판타지</v>
      </c>
    </row>
    <row r="5409" spans="1:59">
      <c r="A5409" t="s">
        <v>60</v>
      </c>
      <c r="B5409" s="1">
        <v>46130</v>
      </c>
      <c r="C5409">
        <v>2378044065</v>
      </c>
      <c r="D5409">
        <v>2378075616</v>
      </c>
      <c r="E5409" t="str">
        <f>T("저승의 왕위를 계승했다 646화")</f>
        <v>저승의 왕위를 계승했다 646화</v>
      </c>
      <c r="F5409">
        <v>648</v>
      </c>
      <c r="G5409" t="str">
        <f>T("신타비")</f>
        <v>신타비</v>
      </c>
      <c r="J5409" t="str">
        <f>T("매드햇")</f>
        <v>매드햇</v>
      </c>
      <c r="K5409" t="str">
        <f>T("저승의 왕위를 계승했다")</f>
        <v>저승의 왕위를 계승했다</v>
      </c>
      <c r="L5409">
        <v>100</v>
      </c>
      <c r="M5409">
        <v>170</v>
      </c>
      <c r="N5409">
        <v>2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0</v>
      </c>
      <c r="AC5409">
        <v>0</v>
      </c>
      <c r="AD5409">
        <v>0</v>
      </c>
      <c r="AE5409">
        <v>0</v>
      </c>
      <c r="AF5409">
        <v>0</v>
      </c>
      <c r="AG5409">
        <v>0</v>
      </c>
      <c r="AH5409">
        <v>0</v>
      </c>
      <c r="AI5409">
        <v>170</v>
      </c>
      <c r="AJ5409">
        <v>2</v>
      </c>
      <c r="AK5409">
        <v>0</v>
      </c>
      <c r="AL5409">
        <v>0</v>
      </c>
      <c r="AM5409">
        <v>170</v>
      </c>
      <c r="AN5409">
        <v>0</v>
      </c>
      <c r="AO5409">
        <v>0</v>
      </c>
      <c r="AP5409">
        <v>0</v>
      </c>
      <c r="AQ5409">
        <v>0</v>
      </c>
      <c r="AS5409">
        <v>0</v>
      </c>
      <c r="AT5409">
        <v>0</v>
      </c>
      <c r="AV5409">
        <v>0</v>
      </c>
      <c r="AW5409">
        <v>0</v>
      </c>
      <c r="AY5409">
        <v>0</v>
      </c>
      <c r="AZ5409">
        <v>0</v>
      </c>
      <c r="BA5409">
        <v>119</v>
      </c>
      <c r="BE5409" t="str">
        <f>T("9791137014381")</f>
        <v>9791137014381</v>
      </c>
      <c r="BF5409" t="str">
        <f>T("D035746")</f>
        <v>D035746</v>
      </c>
      <c r="BG5409" t="str">
        <f>T("판타지 웹소설 &gt; 퓨전 판타지")</f>
        <v>판타지 웹소설 &gt; 퓨전 판타지</v>
      </c>
    </row>
    <row r="5410" spans="1:59">
      <c r="A5410" t="s">
        <v>60</v>
      </c>
      <c r="B5410" s="1">
        <v>46130</v>
      </c>
      <c r="C5410">
        <v>2378044065</v>
      </c>
      <c r="D5410">
        <v>2378075617</v>
      </c>
      <c r="E5410" t="str">
        <f>T("저승의 왕위를 계승했다 647화")</f>
        <v>저승의 왕위를 계승했다 647화</v>
      </c>
      <c r="F5410">
        <v>649</v>
      </c>
      <c r="G5410" t="str">
        <f>T("신타비")</f>
        <v>신타비</v>
      </c>
      <c r="J5410" t="str">
        <f>T("매드햇")</f>
        <v>매드햇</v>
      </c>
      <c r="K5410" t="str">
        <f>T("저승의 왕위를 계승했다")</f>
        <v>저승의 왕위를 계승했다</v>
      </c>
      <c r="L5410">
        <v>100</v>
      </c>
      <c r="M5410">
        <v>170</v>
      </c>
      <c r="N5410">
        <v>2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0</v>
      </c>
      <c r="AC5410">
        <v>0</v>
      </c>
      <c r="AD5410">
        <v>0</v>
      </c>
      <c r="AE5410">
        <v>0</v>
      </c>
      <c r="AF5410">
        <v>0</v>
      </c>
      <c r="AG5410">
        <v>0</v>
      </c>
      <c r="AH5410">
        <v>0</v>
      </c>
      <c r="AI5410">
        <v>170</v>
      </c>
      <c r="AJ5410">
        <v>2</v>
      </c>
      <c r="AK5410">
        <v>0</v>
      </c>
      <c r="AL5410">
        <v>0</v>
      </c>
      <c r="AM5410">
        <v>170</v>
      </c>
      <c r="AN5410">
        <v>0</v>
      </c>
      <c r="AO5410">
        <v>0</v>
      </c>
      <c r="AP5410">
        <v>0</v>
      </c>
      <c r="AQ5410">
        <v>0</v>
      </c>
      <c r="AS5410">
        <v>0</v>
      </c>
      <c r="AT5410">
        <v>0</v>
      </c>
      <c r="AV5410">
        <v>0</v>
      </c>
      <c r="AW5410">
        <v>0</v>
      </c>
      <c r="AY5410">
        <v>0</v>
      </c>
      <c r="AZ5410">
        <v>0</v>
      </c>
      <c r="BA5410">
        <v>119</v>
      </c>
      <c r="BE5410" t="str">
        <f>T("9791137014381")</f>
        <v>9791137014381</v>
      </c>
      <c r="BF5410" t="str">
        <f>T("D035747")</f>
        <v>D035747</v>
      </c>
      <c r="BG5410" t="str">
        <f>T("판타지 웹소설 &gt; 퓨전 판타지")</f>
        <v>판타지 웹소설 &gt; 퓨전 판타지</v>
      </c>
    </row>
    <row r="5411" spans="1:59">
      <c r="A5411" t="s">
        <v>60</v>
      </c>
      <c r="B5411" s="1">
        <v>46130</v>
      </c>
      <c r="C5411">
        <v>2378044065</v>
      </c>
      <c r="D5411">
        <v>2378075632</v>
      </c>
      <c r="E5411" t="str">
        <f>T("저승의 왕위를 계승했다 648화")</f>
        <v>저승의 왕위를 계승했다 648화</v>
      </c>
      <c r="F5411">
        <v>650</v>
      </c>
      <c r="G5411" t="str">
        <f>T("신타비")</f>
        <v>신타비</v>
      </c>
      <c r="J5411" t="str">
        <f>T("매드햇")</f>
        <v>매드햇</v>
      </c>
      <c r="K5411" t="str">
        <f>T("저승의 왕위를 계승했다")</f>
        <v>저승의 왕위를 계승했다</v>
      </c>
      <c r="L5411">
        <v>100</v>
      </c>
      <c r="M5411">
        <v>170</v>
      </c>
      <c r="N5411">
        <v>2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0</v>
      </c>
      <c r="AC5411">
        <v>0</v>
      </c>
      <c r="AD5411">
        <v>0</v>
      </c>
      <c r="AE5411">
        <v>0</v>
      </c>
      <c r="AF5411">
        <v>0</v>
      </c>
      <c r="AG5411">
        <v>0</v>
      </c>
      <c r="AH5411">
        <v>0</v>
      </c>
      <c r="AI5411">
        <v>170</v>
      </c>
      <c r="AJ5411">
        <v>2</v>
      </c>
      <c r="AK5411">
        <v>0</v>
      </c>
      <c r="AL5411">
        <v>0</v>
      </c>
      <c r="AM5411">
        <v>170</v>
      </c>
      <c r="AN5411">
        <v>0</v>
      </c>
      <c r="AO5411">
        <v>0</v>
      </c>
      <c r="AP5411">
        <v>0</v>
      </c>
      <c r="AQ5411">
        <v>0</v>
      </c>
      <c r="AS5411">
        <v>0</v>
      </c>
      <c r="AT5411">
        <v>0</v>
      </c>
      <c r="AV5411">
        <v>0</v>
      </c>
      <c r="AW5411">
        <v>0</v>
      </c>
      <c r="AY5411">
        <v>0</v>
      </c>
      <c r="AZ5411">
        <v>0</v>
      </c>
      <c r="BA5411">
        <v>119</v>
      </c>
      <c r="BE5411" t="str">
        <f>T("9791137014381")</f>
        <v>9791137014381</v>
      </c>
      <c r="BF5411" t="str">
        <f>T("D035748")</f>
        <v>D035748</v>
      </c>
      <c r="BG5411" t="str">
        <f>T("판타지 웹소설 &gt; 퓨전 판타지")</f>
        <v>판타지 웹소설 &gt; 퓨전 판타지</v>
      </c>
    </row>
    <row r="5412" spans="1:59">
      <c r="A5412" t="s">
        <v>60</v>
      </c>
      <c r="B5412" s="1">
        <v>46130</v>
      </c>
      <c r="C5412">
        <v>2378044065</v>
      </c>
      <c r="D5412">
        <v>2378075654</v>
      </c>
      <c r="E5412" t="str">
        <f>T("저승의 왕위를 계승했다 649화")</f>
        <v>저승의 왕위를 계승했다 649화</v>
      </c>
      <c r="F5412">
        <v>651</v>
      </c>
      <c r="G5412" t="str">
        <f>T("신타비")</f>
        <v>신타비</v>
      </c>
      <c r="J5412" t="str">
        <f>T("매드햇")</f>
        <v>매드햇</v>
      </c>
      <c r="K5412" t="str">
        <f>T("저승의 왕위를 계승했다")</f>
        <v>저승의 왕위를 계승했다</v>
      </c>
      <c r="L5412">
        <v>100</v>
      </c>
      <c r="M5412">
        <v>170</v>
      </c>
      <c r="N5412">
        <v>2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0</v>
      </c>
      <c r="AC5412">
        <v>0</v>
      </c>
      <c r="AD5412">
        <v>0</v>
      </c>
      <c r="AE5412">
        <v>0</v>
      </c>
      <c r="AF5412">
        <v>0</v>
      </c>
      <c r="AG5412">
        <v>0</v>
      </c>
      <c r="AH5412">
        <v>0</v>
      </c>
      <c r="AI5412">
        <v>170</v>
      </c>
      <c r="AJ5412">
        <v>2</v>
      </c>
      <c r="AK5412">
        <v>0</v>
      </c>
      <c r="AL5412">
        <v>0</v>
      </c>
      <c r="AM5412">
        <v>170</v>
      </c>
      <c r="AN5412">
        <v>0</v>
      </c>
      <c r="AO5412">
        <v>0</v>
      </c>
      <c r="AP5412">
        <v>0</v>
      </c>
      <c r="AQ5412">
        <v>0</v>
      </c>
      <c r="AS5412">
        <v>0</v>
      </c>
      <c r="AT5412">
        <v>0</v>
      </c>
      <c r="AV5412">
        <v>0</v>
      </c>
      <c r="AW5412">
        <v>0</v>
      </c>
      <c r="AY5412">
        <v>0</v>
      </c>
      <c r="AZ5412">
        <v>0</v>
      </c>
      <c r="BA5412">
        <v>119</v>
      </c>
      <c r="BE5412" t="str">
        <f>T("9791137014381")</f>
        <v>9791137014381</v>
      </c>
      <c r="BF5412" t="str">
        <f>T("D035749")</f>
        <v>D035749</v>
      </c>
      <c r="BG5412" t="str">
        <f>T("판타지 웹소설 &gt; 퓨전 판타지")</f>
        <v>판타지 웹소설 &gt; 퓨전 판타지</v>
      </c>
    </row>
    <row r="5413" spans="1:59">
      <c r="A5413" t="s">
        <v>60</v>
      </c>
      <c r="B5413" s="1">
        <v>46130</v>
      </c>
      <c r="C5413">
        <v>2378044065</v>
      </c>
      <c r="D5413">
        <v>2378075655</v>
      </c>
      <c r="E5413" t="str">
        <f>T("저승의 왕위를 계승했다 650화")</f>
        <v>저승의 왕위를 계승했다 650화</v>
      </c>
      <c r="F5413">
        <v>652</v>
      </c>
      <c r="G5413" t="str">
        <f>T("신타비")</f>
        <v>신타비</v>
      </c>
      <c r="J5413" t="str">
        <f>T("매드햇")</f>
        <v>매드햇</v>
      </c>
      <c r="K5413" t="str">
        <f>T("저승의 왕위를 계승했다")</f>
        <v>저승의 왕위를 계승했다</v>
      </c>
      <c r="L5413">
        <v>100</v>
      </c>
      <c r="M5413">
        <v>170</v>
      </c>
      <c r="N5413">
        <v>2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0</v>
      </c>
      <c r="AC5413">
        <v>0</v>
      </c>
      <c r="AD5413">
        <v>0</v>
      </c>
      <c r="AE5413">
        <v>0</v>
      </c>
      <c r="AF5413">
        <v>0</v>
      </c>
      <c r="AG5413">
        <v>0</v>
      </c>
      <c r="AH5413">
        <v>0</v>
      </c>
      <c r="AI5413">
        <v>170</v>
      </c>
      <c r="AJ5413">
        <v>2</v>
      </c>
      <c r="AK5413">
        <v>0</v>
      </c>
      <c r="AL5413">
        <v>0</v>
      </c>
      <c r="AM5413">
        <v>170</v>
      </c>
      <c r="AN5413">
        <v>0</v>
      </c>
      <c r="AO5413">
        <v>0</v>
      </c>
      <c r="AP5413">
        <v>0</v>
      </c>
      <c r="AQ5413">
        <v>0</v>
      </c>
      <c r="AS5413">
        <v>0</v>
      </c>
      <c r="AT5413">
        <v>0</v>
      </c>
      <c r="AV5413">
        <v>0</v>
      </c>
      <c r="AW5413">
        <v>0</v>
      </c>
      <c r="AY5413">
        <v>0</v>
      </c>
      <c r="AZ5413">
        <v>0</v>
      </c>
      <c r="BA5413">
        <v>119</v>
      </c>
      <c r="BE5413" t="str">
        <f>T("9791137014381")</f>
        <v>9791137014381</v>
      </c>
      <c r="BF5413" t="str">
        <f>T("D035750")</f>
        <v>D035750</v>
      </c>
      <c r="BG5413" t="str">
        <f>T("판타지 웹소설 &gt; 퓨전 판타지")</f>
        <v>판타지 웹소설 &gt; 퓨전 판타지</v>
      </c>
    </row>
    <row r="5414" spans="1:59">
      <c r="A5414" t="s">
        <v>60</v>
      </c>
      <c r="B5414" s="1">
        <v>46130</v>
      </c>
      <c r="C5414">
        <v>2378044065</v>
      </c>
      <c r="D5414">
        <v>2378075656</v>
      </c>
      <c r="E5414" t="str">
        <f>T("저승의 왕위를 계승했다 651화")</f>
        <v>저승의 왕위를 계승했다 651화</v>
      </c>
      <c r="F5414">
        <v>653</v>
      </c>
      <c r="G5414" t="str">
        <f>T("신타비")</f>
        <v>신타비</v>
      </c>
      <c r="J5414" t="str">
        <f>T("매드햇")</f>
        <v>매드햇</v>
      </c>
      <c r="K5414" t="str">
        <f>T("저승의 왕위를 계승했다")</f>
        <v>저승의 왕위를 계승했다</v>
      </c>
      <c r="L5414">
        <v>100</v>
      </c>
      <c r="M5414">
        <v>170</v>
      </c>
      <c r="N5414">
        <v>2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0</v>
      </c>
      <c r="AC5414">
        <v>0</v>
      </c>
      <c r="AD5414">
        <v>0</v>
      </c>
      <c r="AE5414">
        <v>0</v>
      </c>
      <c r="AF5414">
        <v>0</v>
      </c>
      <c r="AG5414">
        <v>0</v>
      </c>
      <c r="AH5414">
        <v>0</v>
      </c>
      <c r="AI5414">
        <v>170</v>
      </c>
      <c r="AJ5414">
        <v>2</v>
      </c>
      <c r="AK5414">
        <v>0</v>
      </c>
      <c r="AL5414">
        <v>0</v>
      </c>
      <c r="AM5414">
        <v>170</v>
      </c>
      <c r="AN5414">
        <v>0</v>
      </c>
      <c r="AO5414">
        <v>0</v>
      </c>
      <c r="AP5414">
        <v>0</v>
      </c>
      <c r="AQ5414">
        <v>0</v>
      </c>
      <c r="AS5414">
        <v>0</v>
      </c>
      <c r="AT5414">
        <v>0</v>
      </c>
      <c r="AV5414">
        <v>0</v>
      </c>
      <c r="AW5414">
        <v>0</v>
      </c>
      <c r="AY5414">
        <v>0</v>
      </c>
      <c r="AZ5414">
        <v>0</v>
      </c>
      <c r="BA5414">
        <v>119</v>
      </c>
      <c r="BE5414" t="str">
        <f>T("9791137014381")</f>
        <v>9791137014381</v>
      </c>
      <c r="BF5414" t="str">
        <f>T("D061661")</f>
        <v>D061661</v>
      </c>
      <c r="BG5414" t="str">
        <f>T("판타지 웹소설 &gt; 퓨전 판타지")</f>
        <v>판타지 웹소설 &gt; 퓨전 판타지</v>
      </c>
    </row>
    <row r="5415" spans="1:59">
      <c r="A5415" t="s">
        <v>60</v>
      </c>
      <c r="B5415" s="1">
        <v>46130</v>
      </c>
      <c r="C5415">
        <v>2378044065</v>
      </c>
      <c r="D5415">
        <v>2378076745</v>
      </c>
      <c r="E5415" t="str">
        <f>T("저승의 왕위를 계승했다 652화")</f>
        <v>저승의 왕위를 계승했다 652화</v>
      </c>
      <c r="F5415">
        <v>654</v>
      </c>
      <c r="G5415" t="str">
        <f>T("신타비")</f>
        <v>신타비</v>
      </c>
      <c r="J5415" t="str">
        <f>T("매드햇")</f>
        <v>매드햇</v>
      </c>
      <c r="K5415" t="str">
        <f>T("저승의 왕위를 계승했다")</f>
        <v>저승의 왕위를 계승했다</v>
      </c>
      <c r="L5415">
        <v>100</v>
      </c>
      <c r="M5415">
        <v>170</v>
      </c>
      <c r="N5415">
        <v>2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0</v>
      </c>
      <c r="AC5415">
        <v>0</v>
      </c>
      <c r="AD5415">
        <v>0</v>
      </c>
      <c r="AE5415">
        <v>0</v>
      </c>
      <c r="AF5415">
        <v>0</v>
      </c>
      <c r="AG5415">
        <v>0</v>
      </c>
      <c r="AH5415">
        <v>0</v>
      </c>
      <c r="AI5415">
        <v>170</v>
      </c>
      <c r="AJ5415">
        <v>2</v>
      </c>
      <c r="AK5415">
        <v>0</v>
      </c>
      <c r="AL5415">
        <v>0</v>
      </c>
      <c r="AM5415">
        <v>170</v>
      </c>
      <c r="AN5415">
        <v>0</v>
      </c>
      <c r="AO5415">
        <v>0</v>
      </c>
      <c r="AP5415">
        <v>0</v>
      </c>
      <c r="AQ5415">
        <v>0</v>
      </c>
      <c r="AS5415">
        <v>0</v>
      </c>
      <c r="AT5415">
        <v>0</v>
      </c>
      <c r="AV5415">
        <v>0</v>
      </c>
      <c r="AW5415">
        <v>0</v>
      </c>
      <c r="AY5415">
        <v>0</v>
      </c>
      <c r="AZ5415">
        <v>0</v>
      </c>
      <c r="BA5415">
        <v>119</v>
      </c>
      <c r="BE5415" t="str">
        <f>T("9791137014381")</f>
        <v>9791137014381</v>
      </c>
      <c r="BF5415" t="str">
        <f>T("D061662")</f>
        <v>D061662</v>
      </c>
      <c r="BG5415" t="str">
        <f>T("판타지 웹소설 &gt; 퓨전 판타지")</f>
        <v>판타지 웹소설 &gt; 퓨전 판타지</v>
      </c>
    </row>
    <row r="5416" spans="1:59">
      <c r="A5416" t="s">
        <v>60</v>
      </c>
      <c r="B5416" s="1">
        <v>46130</v>
      </c>
      <c r="C5416">
        <v>2378044065</v>
      </c>
      <c r="D5416">
        <v>2378077027</v>
      </c>
      <c r="E5416" t="str">
        <f>T("저승의 왕위를 계승했다 653화")</f>
        <v>저승의 왕위를 계승했다 653화</v>
      </c>
      <c r="F5416">
        <v>655</v>
      </c>
      <c r="G5416" t="str">
        <f>T("신타비")</f>
        <v>신타비</v>
      </c>
      <c r="J5416" t="str">
        <f>T("매드햇")</f>
        <v>매드햇</v>
      </c>
      <c r="K5416" t="str">
        <f>T("저승의 왕위를 계승했다")</f>
        <v>저승의 왕위를 계승했다</v>
      </c>
      <c r="L5416">
        <v>100</v>
      </c>
      <c r="M5416">
        <v>170</v>
      </c>
      <c r="N5416">
        <v>2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0</v>
      </c>
      <c r="AC5416">
        <v>0</v>
      </c>
      <c r="AD5416">
        <v>0</v>
      </c>
      <c r="AE5416">
        <v>0</v>
      </c>
      <c r="AF5416">
        <v>0</v>
      </c>
      <c r="AG5416">
        <v>0</v>
      </c>
      <c r="AH5416">
        <v>0</v>
      </c>
      <c r="AI5416">
        <v>170</v>
      </c>
      <c r="AJ5416">
        <v>2</v>
      </c>
      <c r="AK5416">
        <v>0</v>
      </c>
      <c r="AL5416">
        <v>0</v>
      </c>
      <c r="AM5416">
        <v>170</v>
      </c>
      <c r="AN5416">
        <v>0</v>
      </c>
      <c r="AO5416">
        <v>0</v>
      </c>
      <c r="AP5416">
        <v>0</v>
      </c>
      <c r="AQ5416">
        <v>0</v>
      </c>
      <c r="AS5416">
        <v>0</v>
      </c>
      <c r="AT5416">
        <v>0</v>
      </c>
      <c r="AV5416">
        <v>0</v>
      </c>
      <c r="AW5416">
        <v>0</v>
      </c>
      <c r="AY5416">
        <v>0</v>
      </c>
      <c r="AZ5416">
        <v>0</v>
      </c>
      <c r="BA5416">
        <v>119</v>
      </c>
      <c r="BE5416" t="str">
        <f>T("9791137014381")</f>
        <v>9791137014381</v>
      </c>
      <c r="BG5416" t="str">
        <f>T("판타지 웹소설 &gt; 퓨전 판타지")</f>
        <v>판타지 웹소설 &gt; 퓨전 판타지</v>
      </c>
    </row>
    <row r="5417" spans="1:59">
      <c r="A5417" t="s">
        <v>60</v>
      </c>
      <c r="B5417" s="1">
        <v>46130</v>
      </c>
      <c r="C5417">
        <v>2378044065</v>
      </c>
      <c r="D5417">
        <v>2378077029</v>
      </c>
      <c r="E5417" t="str">
        <f>T("저승의 왕위를 계승했다 654화")</f>
        <v>저승의 왕위를 계승했다 654화</v>
      </c>
      <c r="F5417">
        <v>656</v>
      </c>
      <c r="G5417" t="str">
        <f>T("신타비")</f>
        <v>신타비</v>
      </c>
      <c r="J5417" t="str">
        <f>T("매드햇")</f>
        <v>매드햇</v>
      </c>
      <c r="K5417" t="str">
        <f>T("저승의 왕위를 계승했다")</f>
        <v>저승의 왕위를 계승했다</v>
      </c>
      <c r="L5417">
        <v>100</v>
      </c>
      <c r="M5417">
        <v>170</v>
      </c>
      <c r="N5417">
        <v>2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0</v>
      </c>
      <c r="AC5417">
        <v>0</v>
      </c>
      <c r="AD5417">
        <v>0</v>
      </c>
      <c r="AE5417">
        <v>0</v>
      </c>
      <c r="AF5417">
        <v>0</v>
      </c>
      <c r="AG5417">
        <v>0</v>
      </c>
      <c r="AH5417">
        <v>0</v>
      </c>
      <c r="AI5417">
        <v>170</v>
      </c>
      <c r="AJ5417">
        <v>2</v>
      </c>
      <c r="AK5417">
        <v>0</v>
      </c>
      <c r="AL5417">
        <v>0</v>
      </c>
      <c r="AM5417">
        <v>170</v>
      </c>
      <c r="AN5417">
        <v>0</v>
      </c>
      <c r="AO5417">
        <v>0</v>
      </c>
      <c r="AP5417">
        <v>0</v>
      </c>
      <c r="AQ5417">
        <v>0</v>
      </c>
      <c r="AS5417">
        <v>0</v>
      </c>
      <c r="AT5417">
        <v>0</v>
      </c>
      <c r="AV5417">
        <v>0</v>
      </c>
      <c r="AW5417">
        <v>0</v>
      </c>
      <c r="AY5417">
        <v>0</v>
      </c>
      <c r="AZ5417">
        <v>0</v>
      </c>
      <c r="BA5417">
        <v>119</v>
      </c>
      <c r="BE5417" t="str">
        <f>T("9791137014381")</f>
        <v>9791137014381</v>
      </c>
      <c r="BF5417" t="str">
        <f>T("D061664")</f>
        <v>D061664</v>
      </c>
      <c r="BG5417" t="str">
        <f>T("판타지 웹소설 &gt; 퓨전 판타지")</f>
        <v>판타지 웹소설 &gt; 퓨전 판타지</v>
      </c>
    </row>
    <row r="5418" spans="1:59">
      <c r="A5418" t="s">
        <v>60</v>
      </c>
      <c r="B5418" s="1">
        <v>46130</v>
      </c>
      <c r="C5418">
        <v>2378044065</v>
      </c>
      <c r="D5418">
        <v>2378077030</v>
      </c>
      <c r="E5418" t="str">
        <f>T("저승의 왕위를 계승했다 655화")</f>
        <v>저승의 왕위를 계승했다 655화</v>
      </c>
      <c r="F5418">
        <v>657</v>
      </c>
      <c r="G5418" t="str">
        <f>T("신타비")</f>
        <v>신타비</v>
      </c>
      <c r="J5418" t="str">
        <f>T("매드햇")</f>
        <v>매드햇</v>
      </c>
      <c r="K5418" t="str">
        <f>T("저승의 왕위를 계승했다")</f>
        <v>저승의 왕위를 계승했다</v>
      </c>
      <c r="L5418">
        <v>100</v>
      </c>
      <c r="M5418">
        <v>170</v>
      </c>
      <c r="N5418">
        <v>2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0</v>
      </c>
      <c r="AC5418">
        <v>0</v>
      </c>
      <c r="AD5418">
        <v>0</v>
      </c>
      <c r="AE5418">
        <v>0</v>
      </c>
      <c r="AF5418">
        <v>0</v>
      </c>
      <c r="AG5418">
        <v>0</v>
      </c>
      <c r="AH5418">
        <v>0</v>
      </c>
      <c r="AI5418">
        <v>170</v>
      </c>
      <c r="AJ5418">
        <v>2</v>
      </c>
      <c r="AK5418">
        <v>0</v>
      </c>
      <c r="AL5418">
        <v>0</v>
      </c>
      <c r="AM5418">
        <v>170</v>
      </c>
      <c r="AN5418">
        <v>0</v>
      </c>
      <c r="AO5418">
        <v>0</v>
      </c>
      <c r="AP5418">
        <v>0</v>
      </c>
      <c r="AQ5418">
        <v>0</v>
      </c>
      <c r="AS5418">
        <v>0</v>
      </c>
      <c r="AT5418">
        <v>0</v>
      </c>
      <c r="AV5418">
        <v>0</v>
      </c>
      <c r="AW5418">
        <v>0</v>
      </c>
      <c r="AY5418">
        <v>0</v>
      </c>
      <c r="AZ5418">
        <v>0</v>
      </c>
      <c r="BA5418">
        <v>119</v>
      </c>
      <c r="BE5418" t="str">
        <f>T("9791137014381")</f>
        <v>9791137014381</v>
      </c>
      <c r="BF5418" t="str">
        <f>T("D061665")</f>
        <v>D061665</v>
      </c>
      <c r="BG5418" t="str">
        <f>T("판타지 웹소설 &gt; 퓨전 판타지")</f>
        <v>판타지 웹소설 &gt; 퓨전 판타지</v>
      </c>
    </row>
    <row r="5419" spans="1:59">
      <c r="A5419" t="s">
        <v>60</v>
      </c>
      <c r="B5419" s="1">
        <v>46130</v>
      </c>
      <c r="C5419">
        <v>2378044065</v>
      </c>
      <c r="D5419">
        <v>2378077058</v>
      </c>
      <c r="E5419" t="str">
        <f>T("저승의 왕위를 계승했다 656화")</f>
        <v>저승의 왕위를 계승했다 656화</v>
      </c>
      <c r="F5419">
        <v>658</v>
      </c>
      <c r="G5419" t="str">
        <f>T("신타비")</f>
        <v>신타비</v>
      </c>
      <c r="J5419" t="str">
        <f>T("매드햇")</f>
        <v>매드햇</v>
      </c>
      <c r="K5419" t="str">
        <f>T("저승의 왕위를 계승했다")</f>
        <v>저승의 왕위를 계승했다</v>
      </c>
      <c r="L5419">
        <v>100</v>
      </c>
      <c r="M5419">
        <v>170</v>
      </c>
      <c r="N5419">
        <v>2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0</v>
      </c>
      <c r="AC5419">
        <v>0</v>
      </c>
      <c r="AD5419">
        <v>0</v>
      </c>
      <c r="AE5419">
        <v>0</v>
      </c>
      <c r="AF5419">
        <v>0</v>
      </c>
      <c r="AG5419">
        <v>0</v>
      </c>
      <c r="AH5419">
        <v>0</v>
      </c>
      <c r="AI5419">
        <v>170</v>
      </c>
      <c r="AJ5419">
        <v>2</v>
      </c>
      <c r="AK5419">
        <v>0</v>
      </c>
      <c r="AL5419">
        <v>0</v>
      </c>
      <c r="AM5419">
        <v>170</v>
      </c>
      <c r="AN5419">
        <v>0</v>
      </c>
      <c r="AO5419">
        <v>0</v>
      </c>
      <c r="AP5419">
        <v>0</v>
      </c>
      <c r="AQ5419">
        <v>0</v>
      </c>
      <c r="AS5419">
        <v>0</v>
      </c>
      <c r="AT5419">
        <v>0</v>
      </c>
      <c r="AV5419">
        <v>0</v>
      </c>
      <c r="AW5419">
        <v>0</v>
      </c>
      <c r="AY5419">
        <v>0</v>
      </c>
      <c r="AZ5419">
        <v>0</v>
      </c>
      <c r="BA5419">
        <v>119</v>
      </c>
      <c r="BE5419" t="str">
        <f>T("9791137014381")</f>
        <v>9791137014381</v>
      </c>
      <c r="BF5419" t="str">
        <f>T("D061666")</f>
        <v>D061666</v>
      </c>
      <c r="BG5419" t="str">
        <f>T("판타지 웹소설 &gt; 퓨전 판타지")</f>
        <v>판타지 웹소설 &gt; 퓨전 판타지</v>
      </c>
    </row>
    <row r="5420" spans="1:59">
      <c r="A5420" t="s">
        <v>60</v>
      </c>
      <c r="B5420" s="1">
        <v>46130</v>
      </c>
      <c r="C5420">
        <v>2378044065</v>
      </c>
      <c r="D5420">
        <v>2378077064</v>
      </c>
      <c r="E5420" t="str">
        <f>T("저승의 왕위를 계승했다 657화")</f>
        <v>저승의 왕위를 계승했다 657화</v>
      </c>
      <c r="F5420">
        <v>659</v>
      </c>
      <c r="G5420" t="str">
        <f>T("신타비")</f>
        <v>신타비</v>
      </c>
      <c r="J5420" t="str">
        <f>T("매드햇")</f>
        <v>매드햇</v>
      </c>
      <c r="K5420" t="str">
        <f>T("저승의 왕위를 계승했다")</f>
        <v>저승의 왕위를 계승했다</v>
      </c>
      <c r="L5420">
        <v>100</v>
      </c>
      <c r="M5420">
        <v>170</v>
      </c>
      <c r="N5420">
        <v>2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0</v>
      </c>
      <c r="AC5420">
        <v>0</v>
      </c>
      <c r="AD5420">
        <v>0</v>
      </c>
      <c r="AE5420">
        <v>0</v>
      </c>
      <c r="AF5420">
        <v>0</v>
      </c>
      <c r="AG5420">
        <v>0</v>
      </c>
      <c r="AH5420">
        <v>0</v>
      </c>
      <c r="AI5420">
        <v>170</v>
      </c>
      <c r="AJ5420">
        <v>2</v>
      </c>
      <c r="AK5420">
        <v>0</v>
      </c>
      <c r="AL5420">
        <v>0</v>
      </c>
      <c r="AM5420">
        <v>170</v>
      </c>
      <c r="AN5420">
        <v>0</v>
      </c>
      <c r="AO5420">
        <v>0</v>
      </c>
      <c r="AP5420">
        <v>0</v>
      </c>
      <c r="AQ5420">
        <v>0</v>
      </c>
      <c r="AS5420">
        <v>0</v>
      </c>
      <c r="AT5420">
        <v>0</v>
      </c>
      <c r="AV5420">
        <v>0</v>
      </c>
      <c r="AW5420">
        <v>0</v>
      </c>
      <c r="AY5420">
        <v>0</v>
      </c>
      <c r="AZ5420">
        <v>0</v>
      </c>
      <c r="BA5420">
        <v>119</v>
      </c>
      <c r="BE5420" t="str">
        <f>T("9791137014381")</f>
        <v>9791137014381</v>
      </c>
      <c r="BF5420" t="str">
        <f>T("D061667")</f>
        <v>D061667</v>
      </c>
      <c r="BG5420" t="str">
        <f>T("판타지 웹소설 &gt; 퓨전 판타지")</f>
        <v>판타지 웹소설 &gt; 퓨전 판타지</v>
      </c>
    </row>
    <row r="5421" spans="1:59">
      <c r="A5421" t="s">
        <v>60</v>
      </c>
      <c r="B5421" s="1">
        <v>46130</v>
      </c>
      <c r="C5421">
        <v>2378044065</v>
      </c>
      <c r="D5421">
        <v>2378077065</v>
      </c>
      <c r="E5421" t="str">
        <f>T("저승의 왕위를 계승했다 658화")</f>
        <v>저승의 왕위를 계승했다 658화</v>
      </c>
      <c r="F5421">
        <v>660</v>
      </c>
      <c r="G5421" t="str">
        <f>T("신타비")</f>
        <v>신타비</v>
      </c>
      <c r="J5421" t="str">
        <f>T("매드햇")</f>
        <v>매드햇</v>
      </c>
      <c r="K5421" t="str">
        <f>T("저승의 왕위를 계승했다")</f>
        <v>저승의 왕위를 계승했다</v>
      </c>
      <c r="L5421">
        <v>100</v>
      </c>
      <c r="M5421">
        <v>170</v>
      </c>
      <c r="N5421">
        <v>2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0</v>
      </c>
      <c r="AC5421">
        <v>0</v>
      </c>
      <c r="AD5421">
        <v>0</v>
      </c>
      <c r="AE5421">
        <v>0</v>
      </c>
      <c r="AF5421">
        <v>0</v>
      </c>
      <c r="AG5421">
        <v>0</v>
      </c>
      <c r="AH5421">
        <v>0</v>
      </c>
      <c r="AI5421">
        <v>170</v>
      </c>
      <c r="AJ5421">
        <v>2</v>
      </c>
      <c r="AK5421">
        <v>0</v>
      </c>
      <c r="AL5421">
        <v>0</v>
      </c>
      <c r="AM5421">
        <v>170</v>
      </c>
      <c r="AN5421">
        <v>0</v>
      </c>
      <c r="AO5421">
        <v>0</v>
      </c>
      <c r="AP5421">
        <v>0</v>
      </c>
      <c r="AQ5421">
        <v>0</v>
      </c>
      <c r="AS5421">
        <v>0</v>
      </c>
      <c r="AT5421">
        <v>0</v>
      </c>
      <c r="AV5421">
        <v>0</v>
      </c>
      <c r="AW5421">
        <v>0</v>
      </c>
      <c r="AY5421">
        <v>0</v>
      </c>
      <c r="AZ5421">
        <v>0</v>
      </c>
      <c r="BA5421">
        <v>119</v>
      </c>
      <c r="BE5421" t="str">
        <f>T("9791137014381")</f>
        <v>9791137014381</v>
      </c>
      <c r="BF5421" t="str">
        <f>T("D061668")</f>
        <v>D061668</v>
      </c>
      <c r="BG5421" t="str">
        <f>T("판타지 웹소설 &gt; 퓨전 판타지")</f>
        <v>판타지 웹소설 &gt; 퓨전 판타지</v>
      </c>
    </row>
    <row r="5422" spans="1:59">
      <c r="A5422" t="s">
        <v>60</v>
      </c>
      <c r="B5422" s="1">
        <v>46130</v>
      </c>
      <c r="C5422">
        <v>2378044065</v>
      </c>
      <c r="D5422">
        <v>2378077070</v>
      </c>
      <c r="E5422" t="str">
        <f>T("저승의 왕위를 계승했다 659화")</f>
        <v>저승의 왕위를 계승했다 659화</v>
      </c>
      <c r="F5422">
        <v>661</v>
      </c>
      <c r="G5422" t="str">
        <f>T("신타비")</f>
        <v>신타비</v>
      </c>
      <c r="J5422" t="str">
        <f>T("매드햇")</f>
        <v>매드햇</v>
      </c>
      <c r="K5422" t="str">
        <f>T("저승의 왕위를 계승했다")</f>
        <v>저승의 왕위를 계승했다</v>
      </c>
      <c r="L5422">
        <v>100</v>
      </c>
      <c r="M5422">
        <v>170</v>
      </c>
      <c r="N5422">
        <v>2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0</v>
      </c>
      <c r="AC5422">
        <v>0</v>
      </c>
      <c r="AD5422">
        <v>0</v>
      </c>
      <c r="AE5422">
        <v>0</v>
      </c>
      <c r="AF5422">
        <v>0</v>
      </c>
      <c r="AG5422">
        <v>0</v>
      </c>
      <c r="AH5422">
        <v>0</v>
      </c>
      <c r="AI5422">
        <v>170</v>
      </c>
      <c r="AJ5422">
        <v>2</v>
      </c>
      <c r="AK5422">
        <v>0</v>
      </c>
      <c r="AL5422">
        <v>0</v>
      </c>
      <c r="AM5422">
        <v>170</v>
      </c>
      <c r="AN5422">
        <v>0</v>
      </c>
      <c r="AO5422">
        <v>0</v>
      </c>
      <c r="AP5422">
        <v>0</v>
      </c>
      <c r="AQ5422">
        <v>0</v>
      </c>
      <c r="AS5422">
        <v>0</v>
      </c>
      <c r="AT5422">
        <v>0</v>
      </c>
      <c r="AV5422">
        <v>0</v>
      </c>
      <c r="AW5422">
        <v>0</v>
      </c>
      <c r="AY5422">
        <v>0</v>
      </c>
      <c r="AZ5422">
        <v>0</v>
      </c>
      <c r="BA5422">
        <v>119</v>
      </c>
      <c r="BE5422" t="str">
        <f>T("9791137014381")</f>
        <v>9791137014381</v>
      </c>
      <c r="BF5422" t="str">
        <f>T("D061669")</f>
        <v>D061669</v>
      </c>
      <c r="BG5422" t="str">
        <f>T("판타지 웹소설 &gt; 퓨전 판타지")</f>
        <v>판타지 웹소설 &gt; 퓨전 판타지</v>
      </c>
    </row>
    <row r="5423" spans="1:59">
      <c r="A5423" t="s">
        <v>60</v>
      </c>
      <c r="B5423" s="1">
        <v>46130</v>
      </c>
      <c r="C5423">
        <v>2378044065</v>
      </c>
      <c r="D5423">
        <v>2378077071</v>
      </c>
      <c r="E5423" t="str">
        <f>T("저승의 왕위를 계승했다 660화")</f>
        <v>저승의 왕위를 계승했다 660화</v>
      </c>
      <c r="F5423">
        <v>662</v>
      </c>
      <c r="G5423" t="str">
        <f>T("신타비")</f>
        <v>신타비</v>
      </c>
      <c r="J5423" t="str">
        <f>T("매드햇")</f>
        <v>매드햇</v>
      </c>
      <c r="K5423" t="str">
        <f>T("저승의 왕위를 계승했다")</f>
        <v>저승의 왕위를 계승했다</v>
      </c>
      <c r="L5423">
        <v>100</v>
      </c>
      <c r="M5423">
        <v>170</v>
      </c>
      <c r="N5423">
        <v>2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0</v>
      </c>
      <c r="AC5423">
        <v>0</v>
      </c>
      <c r="AD5423">
        <v>0</v>
      </c>
      <c r="AE5423">
        <v>0</v>
      </c>
      <c r="AF5423">
        <v>0</v>
      </c>
      <c r="AG5423">
        <v>0</v>
      </c>
      <c r="AH5423">
        <v>0</v>
      </c>
      <c r="AI5423">
        <v>170</v>
      </c>
      <c r="AJ5423">
        <v>2</v>
      </c>
      <c r="AK5423">
        <v>0</v>
      </c>
      <c r="AL5423">
        <v>0</v>
      </c>
      <c r="AM5423">
        <v>170</v>
      </c>
      <c r="AN5423">
        <v>0</v>
      </c>
      <c r="AO5423">
        <v>0</v>
      </c>
      <c r="AP5423">
        <v>0</v>
      </c>
      <c r="AQ5423">
        <v>0</v>
      </c>
      <c r="AS5423">
        <v>0</v>
      </c>
      <c r="AT5423">
        <v>0</v>
      </c>
      <c r="AV5423">
        <v>0</v>
      </c>
      <c r="AW5423">
        <v>0</v>
      </c>
      <c r="AY5423">
        <v>0</v>
      </c>
      <c r="AZ5423">
        <v>0</v>
      </c>
      <c r="BA5423">
        <v>119</v>
      </c>
      <c r="BE5423" t="str">
        <f>T("9791137014381")</f>
        <v>9791137014381</v>
      </c>
      <c r="BF5423" t="str">
        <f>T("D061670")</f>
        <v>D061670</v>
      </c>
      <c r="BG5423" t="str">
        <f>T("판타지 웹소설 &gt; 퓨전 판타지")</f>
        <v>판타지 웹소설 &gt; 퓨전 판타지</v>
      </c>
    </row>
    <row r="5424" spans="1:59">
      <c r="A5424" t="s">
        <v>60</v>
      </c>
      <c r="B5424" s="1">
        <v>46130</v>
      </c>
      <c r="C5424">
        <v>2378044065</v>
      </c>
      <c r="D5424">
        <v>2378077081</v>
      </c>
      <c r="E5424" t="str">
        <f>T("저승의 왕위를 계승했다 661화")</f>
        <v>저승의 왕위를 계승했다 661화</v>
      </c>
      <c r="F5424">
        <v>663</v>
      </c>
      <c r="G5424" t="str">
        <f>T("신타비")</f>
        <v>신타비</v>
      </c>
      <c r="J5424" t="str">
        <f>T("매드햇")</f>
        <v>매드햇</v>
      </c>
      <c r="K5424" t="str">
        <f>T("저승의 왕위를 계승했다")</f>
        <v>저승의 왕위를 계승했다</v>
      </c>
      <c r="L5424">
        <v>100</v>
      </c>
      <c r="M5424">
        <v>170</v>
      </c>
      <c r="N5424">
        <v>2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0</v>
      </c>
      <c r="AC5424">
        <v>0</v>
      </c>
      <c r="AD5424">
        <v>0</v>
      </c>
      <c r="AE5424">
        <v>0</v>
      </c>
      <c r="AF5424">
        <v>0</v>
      </c>
      <c r="AG5424">
        <v>0</v>
      </c>
      <c r="AH5424">
        <v>0</v>
      </c>
      <c r="AI5424">
        <v>170</v>
      </c>
      <c r="AJ5424">
        <v>2</v>
      </c>
      <c r="AK5424">
        <v>0</v>
      </c>
      <c r="AL5424">
        <v>0</v>
      </c>
      <c r="AM5424">
        <v>170</v>
      </c>
      <c r="AN5424">
        <v>0</v>
      </c>
      <c r="AO5424">
        <v>0</v>
      </c>
      <c r="AP5424">
        <v>0</v>
      </c>
      <c r="AQ5424">
        <v>0</v>
      </c>
      <c r="AS5424">
        <v>0</v>
      </c>
      <c r="AT5424">
        <v>0</v>
      </c>
      <c r="AV5424">
        <v>0</v>
      </c>
      <c r="AW5424">
        <v>0</v>
      </c>
      <c r="AY5424">
        <v>0</v>
      </c>
      <c r="AZ5424">
        <v>0</v>
      </c>
      <c r="BA5424">
        <v>119</v>
      </c>
      <c r="BE5424" t="str">
        <f>T("9791137014381")</f>
        <v>9791137014381</v>
      </c>
      <c r="BF5424" t="str">
        <f>T("D061671")</f>
        <v>D061671</v>
      </c>
      <c r="BG5424" t="str">
        <f>T("판타지 웹소설 &gt; 퓨전 판타지")</f>
        <v>판타지 웹소설 &gt; 퓨전 판타지</v>
      </c>
    </row>
    <row r="5425" spans="1:59">
      <c r="A5425" t="s">
        <v>60</v>
      </c>
      <c r="B5425" s="1">
        <v>46130</v>
      </c>
      <c r="C5425">
        <v>2378044065</v>
      </c>
      <c r="D5425">
        <v>2378077082</v>
      </c>
      <c r="E5425" t="str">
        <f>T("저승의 왕위를 계승했다 662화")</f>
        <v>저승의 왕위를 계승했다 662화</v>
      </c>
      <c r="F5425">
        <v>664</v>
      </c>
      <c r="G5425" t="str">
        <f>T("신타비")</f>
        <v>신타비</v>
      </c>
      <c r="J5425" t="str">
        <f>T("매드햇")</f>
        <v>매드햇</v>
      </c>
      <c r="K5425" t="str">
        <f>T("저승의 왕위를 계승했다")</f>
        <v>저승의 왕위를 계승했다</v>
      </c>
      <c r="L5425">
        <v>100</v>
      </c>
      <c r="M5425">
        <v>170</v>
      </c>
      <c r="N5425">
        <v>2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0</v>
      </c>
      <c r="AC5425">
        <v>0</v>
      </c>
      <c r="AD5425">
        <v>0</v>
      </c>
      <c r="AE5425">
        <v>0</v>
      </c>
      <c r="AF5425">
        <v>0</v>
      </c>
      <c r="AG5425">
        <v>0</v>
      </c>
      <c r="AH5425">
        <v>0</v>
      </c>
      <c r="AI5425">
        <v>170</v>
      </c>
      <c r="AJ5425">
        <v>2</v>
      </c>
      <c r="AK5425">
        <v>0</v>
      </c>
      <c r="AL5425">
        <v>0</v>
      </c>
      <c r="AM5425">
        <v>170</v>
      </c>
      <c r="AN5425">
        <v>0</v>
      </c>
      <c r="AO5425">
        <v>0</v>
      </c>
      <c r="AP5425">
        <v>0</v>
      </c>
      <c r="AQ5425">
        <v>0</v>
      </c>
      <c r="AS5425">
        <v>0</v>
      </c>
      <c r="AT5425">
        <v>0</v>
      </c>
      <c r="AV5425">
        <v>0</v>
      </c>
      <c r="AW5425">
        <v>0</v>
      </c>
      <c r="AY5425">
        <v>0</v>
      </c>
      <c r="AZ5425">
        <v>0</v>
      </c>
      <c r="BA5425">
        <v>119</v>
      </c>
      <c r="BE5425" t="str">
        <f>T("9791137014381")</f>
        <v>9791137014381</v>
      </c>
      <c r="BF5425" t="str">
        <f>T("D061672")</f>
        <v>D061672</v>
      </c>
      <c r="BG5425" t="str">
        <f>T("판타지 웹소설 &gt; 퓨전 판타지")</f>
        <v>판타지 웹소설 &gt; 퓨전 판타지</v>
      </c>
    </row>
    <row r="5426" spans="1:59">
      <c r="A5426" t="s">
        <v>60</v>
      </c>
      <c r="B5426" s="1">
        <v>46130</v>
      </c>
      <c r="C5426">
        <v>2378044065</v>
      </c>
      <c r="D5426">
        <v>2378077092</v>
      </c>
      <c r="E5426" t="str">
        <f>T("저승의 왕위를 계승했다 663화")</f>
        <v>저승의 왕위를 계승했다 663화</v>
      </c>
      <c r="F5426">
        <v>665</v>
      </c>
      <c r="G5426" t="str">
        <f>T("신타비")</f>
        <v>신타비</v>
      </c>
      <c r="J5426" t="str">
        <f>T("매드햇")</f>
        <v>매드햇</v>
      </c>
      <c r="K5426" t="str">
        <f>T("저승의 왕위를 계승했다")</f>
        <v>저승의 왕위를 계승했다</v>
      </c>
      <c r="L5426">
        <v>100</v>
      </c>
      <c r="M5426">
        <v>170</v>
      </c>
      <c r="N5426">
        <v>2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0</v>
      </c>
      <c r="AC5426">
        <v>0</v>
      </c>
      <c r="AD5426">
        <v>0</v>
      </c>
      <c r="AE5426">
        <v>0</v>
      </c>
      <c r="AF5426">
        <v>0</v>
      </c>
      <c r="AG5426">
        <v>0</v>
      </c>
      <c r="AH5426">
        <v>0</v>
      </c>
      <c r="AI5426">
        <v>170</v>
      </c>
      <c r="AJ5426">
        <v>2</v>
      </c>
      <c r="AK5426">
        <v>0</v>
      </c>
      <c r="AL5426">
        <v>0</v>
      </c>
      <c r="AM5426">
        <v>170</v>
      </c>
      <c r="AN5426">
        <v>0</v>
      </c>
      <c r="AO5426">
        <v>0</v>
      </c>
      <c r="AP5426">
        <v>0</v>
      </c>
      <c r="AQ5426">
        <v>0</v>
      </c>
      <c r="AS5426">
        <v>0</v>
      </c>
      <c r="AT5426">
        <v>0</v>
      </c>
      <c r="AV5426">
        <v>0</v>
      </c>
      <c r="AW5426">
        <v>0</v>
      </c>
      <c r="AY5426">
        <v>0</v>
      </c>
      <c r="AZ5426">
        <v>0</v>
      </c>
      <c r="BA5426">
        <v>119</v>
      </c>
      <c r="BE5426" t="str">
        <f>T("9791137014381")</f>
        <v>9791137014381</v>
      </c>
      <c r="BF5426" t="str">
        <f>T("D061673")</f>
        <v>D061673</v>
      </c>
      <c r="BG5426" t="str">
        <f>T("판타지 웹소설 &gt; 퓨전 판타지")</f>
        <v>판타지 웹소설 &gt; 퓨전 판타지</v>
      </c>
    </row>
    <row r="5427" spans="1:59">
      <c r="A5427" t="s">
        <v>60</v>
      </c>
      <c r="B5427" s="1">
        <v>46130</v>
      </c>
      <c r="C5427">
        <v>2378044065</v>
      </c>
      <c r="D5427">
        <v>2378077093</v>
      </c>
      <c r="E5427" t="str">
        <f>T("저승의 왕위를 계승했다 664화")</f>
        <v>저승의 왕위를 계승했다 664화</v>
      </c>
      <c r="F5427">
        <v>666</v>
      </c>
      <c r="G5427" t="str">
        <f>T("신타비")</f>
        <v>신타비</v>
      </c>
      <c r="J5427" t="str">
        <f>T("매드햇")</f>
        <v>매드햇</v>
      </c>
      <c r="K5427" t="str">
        <f>T("저승의 왕위를 계승했다")</f>
        <v>저승의 왕위를 계승했다</v>
      </c>
      <c r="L5427">
        <v>100</v>
      </c>
      <c r="M5427">
        <v>170</v>
      </c>
      <c r="N5427">
        <v>2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0</v>
      </c>
      <c r="AC5427">
        <v>0</v>
      </c>
      <c r="AD5427">
        <v>0</v>
      </c>
      <c r="AE5427">
        <v>0</v>
      </c>
      <c r="AF5427">
        <v>0</v>
      </c>
      <c r="AG5427">
        <v>0</v>
      </c>
      <c r="AH5427">
        <v>0</v>
      </c>
      <c r="AI5427">
        <v>170</v>
      </c>
      <c r="AJ5427">
        <v>2</v>
      </c>
      <c r="AK5427">
        <v>0</v>
      </c>
      <c r="AL5427">
        <v>0</v>
      </c>
      <c r="AM5427">
        <v>170</v>
      </c>
      <c r="AN5427">
        <v>0</v>
      </c>
      <c r="AO5427">
        <v>0</v>
      </c>
      <c r="AP5427">
        <v>0</v>
      </c>
      <c r="AQ5427">
        <v>0</v>
      </c>
      <c r="AS5427">
        <v>0</v>
      </c>
      <c r="AT5427">
        <v>0</v>
      </c>
      <c r="AV5427">
        <v>0</v>
      </c>
      <c r="AW5427">
        <v>0</v>
      </c>
      <c r="AY5427">
        <v>0</v>
      </c>
      <c r="AZ5427">
        <v>0</v>
      </c>
      <c r="BA5427">
        <v>119</v>
      </c>
      <c r="BE5427" t="str">
        <f>T("9791137014381")</f>
        <v>9791137014381</v>
      </c>
      <c r="BF5427" t="str">
        <f>T("D061674")</f>
        <v>D061674</v>
      </c>
      <c r="BG5427" t="str">
        <f>T("판타지 웹소설 &gt; 퓨전 판타지")</f>
        <v>판타지 웹소설 &gt; 퓨전 판타지</v>
      </c>
    </row>
    <row r="5428" spans="1:59">
      <c r="A5428" t="s">
        <v>60</v>
      </c>
      <c r="B5428" s="1">
        <v>46130</v>
      </c>
      <c r="C5428">
        <v>2378044065</v>
      </c>
      <c r="D5428">
        <v>2378077425</v>
      </c>
      <c r="E5428" t="str">
        <f>T("저승의 왕위를 계승했다 665화")</f>
        <v>저승의 왕위를 계승했다 665화</v>
      </c>
      <c r="F5428">
        <v>667</v>
      </c>
      <c r="G5428" t="str">
        <f>T("신타비")</f>
        <v>신타비</v>
      </c>
      <c r="J5428" t="str">
        <f>T("매드햇")</f>
        <v>매드햇</v>
      </c>
      <c r="K5428" t="str">
        <f>T("저승의 왕위를 계승했다")</f>
        <v>저승의 왕위를 계승했다</v>
      </c>
      <c r="L5428">
        <v>100</v>
      </c>
      <c r="M5428">
        <v>170</v>
      </c>
      <c r="N5428">
        <v>2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0</v>
      </c>
      <c r="AC5428">
        <v>0</v>
      </c>
      <c r="AD5428">
        <v>0</v>
      </c>
      <c r="AE5428">
        <v>0</v>
      </c>
      <c r="AF5428">
        <v>0</v>
      </c>
      <c r="AG5428">
        <v>0</v>
      </c>
      <c r="AH5428">
        <v>0</v>
      </c>
      <c r="AI5428">
        <v>170</v>
      </c>
      <c r="AJ5428">
        <v>2</v>
      </c>
      <c r="AK5428">
        <v>0</v>
      </c>
      <c r="AL5428">
        <v>0</v>
      </c>
      <c r="AM5428">
        <v>170</v>
      </c>
      <c r="AN5428">
        <v>0</v>
      </c>
      <c r="AO5428">
        <v>0</v>
      </c>
      <c r="AP5428">
        <v>0</v>
      </c>
      <c r="AQ5428">
        <v>0</v>
      </c>
      <c r="AS5428">
        <v>0</v>
      </c>
      <c r="AT5428">
        <v>0</v>
      </c>
      <c r="AV5428">
        <v>0</v>
      </c>
      <c r="AW5428">
        <v>0</v>
      </c>
      <c r="AY5428">
        <v>0</v>
      </c>
      <c r="AZ5428">
        <v>0</v>
      </c>
      <c r="BA5428">
        <v>119</v>
      </c>
      <c r="BE5428" t="str">
        <f>T("9791137014381")</f>
        <v>9791137014381</v>
      </c>
      <c r="BF5428" t="str">
        <f>T("D061675")</f>
        <v>D061675</v>
      </c>
      <c r="BG5428" t="str">
        <f>T("판타지 웹소설 &gt; 퓨전 판타지")</f>
        <v>판타지 웹소설 &gt; 퓨전 판타지</v>
      </c>
    </row>
    <row r="5429" spans="1:59">
      <c r="A5429" t="s">
        <v>60</v>
      </c>
      <c r="B5429" s="1">
        <v>46130</v>
      </c>
      <c r="C5429">
        <v>2378044065</v>
      </c>
      <c r="D5429">
        <v>2378077426</v>
      </c>
      <c r="E5429" t="str">
        <f>T("저승의 왕위를 계승했다 666화")</f>
        <v>저승의 왕위를 계승했다 666화</v>
      </c>
      <c r="F5429">
        <v>668</v>
      </c>
      <c r="G5429" t="str">
        <f>T("신타비")</f>
        <v>신타비</v>
      </c>
      <c r="J5429" t="str">
        <f>T("매드햇")</f>
        <v>매드햇</v>
      </c>
      <c r="K5429" t="str">
        <f>T("저승의 왕위를 계승했다")</f>
        <v>저승의 왕위를 계승했다</v>
      </c>
      <c r="L5429">
        <v>100</v>
      </c>
      <c r="M5429">
        <v>170</v>
      </c>
      <c r="N5429">
        <v>2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0</v>
      </c>
      <c r="AC5429">
        <v>0</v>
      </c>
      <c r="AD5429">
        <v>0</v>
      </c>
      <c r="AE5429">
        <v>0</v>
      </c>
      <c r="AF5429">
        <v>0</v>
      </c>
      <c r="AG5429">
        <v>0</v>
      </c>
      <c r="AH5429">
        <v>0</v>
      </c>
      <c r="AI5429">
        <v>170</v>
      </c>
      <c r="AJ5429">
        <v>2</v>
      </c>
      <c r="AK5429">
        <v>0</v>
      </c>
      <c r="AL5429">
        <v>0</v>
      </c>
      <c r="AM5429">
        <v>170</v>
      </c>
      <c r="AN5429">
        <v>0</v>
      </c>
      <c r="AO5429">
        <v>0</v>
      </c>
      <c r="AP5429">
        <v>0</v>
      </c>
      <c r="AQ5429">
        <v>0</v>
      </c>
      <c r="AS5429">
        <v>0</v>
      </c>
      <c r="AT5429">
        <v>0</v>
      </c>
      <c r="AV5429">
        <v>0</v>
      </c>
      <c r="AW5429">
        <v>0</v>
      </c>
      <c r="AY5429">
        <v>0</v>
      </c>
      <c r="AZ5429">
        <v>0</v>
      </c>
      <c r="BA5429">
        <v>119</v>
      </c>
      <c r="BE5429" t="str">
        <f>T("9791137014381")</f>
        <v>9791137014381</v>
      </c>
      <c r="BF5429" t="str">
        <f>T("D061676")</f>
        <v>D061676</v>
      </c>
      <c r="BG5429" t="str">
        <f>T("판타지 웹소설 &gt; 퓨전 판타지")</f>
        <v>판타지 웹소설 &gt; 퓨전 판타지</v>
      </c>
    </row>
    <row r="5430" spans="1:59">
      <c r="A5430" t="s">
        <v>60</v>
      </c>
      <c r="B5430" s="1">
        <v>46130</v>
      </c>
      <c r="C5430">
        <v>2378044065</v>
      </c>
      <c r="D5430">
        <v>2378077431</v>
      </c>
      <c r="E5430" t="str">
        <f>T("저승의 왕위를 계승했다 667화")</f>
        <v>저승의 왕위를 계승했다 667화</v>
      </c>
      <c r="F5430">
        <v>669</v>
      </c>
      <c r="G5430" t="str">
        <f>T("신타비")</f>
        <v>신타비</v>
      </c>
      <c r="J5430" t="str">
        <f>T("매드햇")</f>
        <v>매드햇</v>
      </c>
      <c r="K5430" t="str">
        <f>T("저승의 왕위를 계승했다")</f>
        <v>저승의 왕위를 계승했다</v>
      </c>
      <c r="L5430">
        <v>100</v>
      </c>
      <c r="M5430">
        <v>170</v>
      </c>
      <c r="N5430">
        <v>2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0</v>
      </c>
      <c r="AC5430">
        <v>0</v>
      </c>
      <c r="AD5430">
        <v>0</v>
      </c>
      <c r="AE5430">
        <v>0</v>
      </c>
      <c r="AF5430">
        <v>0</v>
      </c>
      <c r="AG5430">
        <v>0</v>
      </c>
      <c r="AH5430">
        <v>0</v>
      </c>
      <c r="AI5430">
        <v>170</v>
      </c>
      <c r="AJ5430">
        <v>2</v>
      </c>
      <c r="AK5430">
        <v>0</v>
      </c>
      <c r="AL5430">
        <v>0</v>
      </c>
      <c r="AM5430">
        <v>170</v>
      </c>
      <c r="AN5430">
        <v>0</v>
      </c>
      <c r="AO5430">
        <v>0</v>
      </c>
      <c r="AP5430">
        <v>0</v>
      </c>
      <c r="AQ5430">
        <v>0</v>
      </c>
      <c r="AS5430">
        <v>0</v>
      </c>
      <c r="AT5430">
        <v>0</v>
      </c>
      <c r="AV5430">
        <v>0</v>
      </c>
      <c r="AW5430">
        <v>0</v>
      </c>
      <c r="AY5430">
        <v>0</v>
      </c>
      <c r="AZ5430">
        <v>0</v>
      </c>
      <c r="BA5430">
        <v>119</v>
      </c>
      <c r="BE5430" t="str">
        <f>T("9791137014381")</f>
        <v>9791137014381</v>
      </c>
      <c r="BF5430" t="str">
        <f>T("D061677")</f>
        <v>D061677</v>
      </c>
      <c r="BG5430" t="str">
        <f>T("판타지 웹소설 &gt; 퓨전 판타지")</f>
        <v>판타지 웹소설 &gt; 퓨전 판타지</v>
      </c>
    </row>
    <row r="5431" spans="1:59">
      <c r="A5431" t="s">
        <v>60</v>
      </c>
      <c r="B5431" s="1">
        <v>46130</v>
      </c>
      <c r="C5431">
        <v>2378044065</v>
      </c>
      <c r="D5431">
        <v>2378077432</v>
      </c>
      <c r="E5431" t="str">
        <f>T("저승의 왕위를 계승했다 668화")</f>
        <v>저승의 왕위를 계승했다 668화</v>
      </c>
      <c r="F5431">
        <v>670</v>
      </c>
      <c r="G5431" t="str">
        <f>T("신타비")</f>
        <v>신타비</v>
      </c>
      <c r="J5431" t="str">
        <f>T("매드햇")</f>
        <v>매드햇</v>
      </c>
      <c r="K5431" t="str">
        <f>T("저승의 왕위를 계승했다")</f>
        <v>저승의 왕위를 계승했다</v>
      </c>
      <c r="L5431">
        <v>100</v>
      </c>
      <c r="M5431">
        <v>170</v>
      </c>
      <c r="N5431">
        <v>2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0</v>
      </c>
      <c r="AC5431">
        <v>0</v>
      </c>
      <c r="AD5431">
        <v>0</v>
      </c>
      <c r="AE5431">
        <v>0</v>
      </c>
      <c r="AF5431">
        <v>0</v>
      </c>
      <c r="AG5431">
        <v>0</v>
      </c>
      <c r="AH5431">
        <v>0</v>
      </c>
      <c r="AI5431">
        <v>170</v>
      </c>
      <c r="AJ5431">
        <v>2</v>
      </c>
      <c r="AK5431">
        <v>0</v>
      </c>
      <c r="AL5431">
        <v>0</v>
      </c>
      <c r="AM5431">
        <v>170</v>
      </c>
      <c r="AN5431">
        <v>0</v>
      </c>
      <c r="AO5431">
        <v>0</v>
      </c>
      <c r="AP5431">
        <v>0</v>
      </c>
      <c r="AQ5431">
        <v>0</v>
      </c>
      <c r="AS5431">
        <v>0</v>
      </c>
      <c r="AT5431">
        <v>0</v>
      </c>
      <c r="AV5431">
        <v>0</v>
      </c>
      <c r="AW5431">
        <v>0</v>
      </c>
      <c r="AY5431">
        <v>0</v>
      </c>
      <c r="AZ5431">
        <v>0</v>
      </c>
      <c r="BA5431">
        <v>119</v>
      </c>
      <c r="BE5431" t="str">
        <f>T("9791137014381")</f>
        <v>9791137014381</v>
      </c>
      <c r="BF5431" t="str">
        <f>T("D061678")</f>
        <v>D061678</v>
      </c>
      <c r="BG5431" t="str">
        <f>T("판타지 웹소설 &gt; 퓨전 판타지")</f>
        <v>판타지 웹소설 &gt; 퓨전 판타지</v>
      </c>
    </row>
    <row r="5432" spans="1:59">
      <c r="A5432" t="s">
        <v>60</v>
      </c>
      <c r="B5432" s="1">
        <v>46130</v>
      </c>
      <c r="C5432">
        <v>2378044065</v>
      </c>
      <c r="D5432">
        <v>2378077479</v>
      </c>
      <c r="E5432" t="str">
        <f>T("저승의 왕위를 계승했다 669화")</f>
        <v>저승의 왕위를 계승했다 669화</v>
      </c>
      <c r="F5432">
        <v>671</v>
      </c>
      <c r="G5432" t="str">
        <f>T("신타비")</f>
        <v>신타비</v>
      </c>
      <c r="J5432" t="str">
        <f>T("매드햇")</f>
        <v>매드햇</v>
      </c>
      <c r="K5432" t="str">
        <f>T("저승의 왕위를 계승했다")</f>
        <v>저승의 왕위를 계승했다</v>
      </c>
      <c r="L5432">
        <v>100</v>
      </c>
      <c r="M5432">
        <v>170</v>
      </c>
      <c r="N5432">
        <v>2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0</v>
      </c>
      <c r="AC5432">
        <v>0</v>
      </c>
      <c r="AD5432">
        <v>0</v>
      </c>
      <c r="AE5432">
        <v>0</v>
      </c>
      <c r="AF5432">
        <v>0</v>
      </c>
      <c r="AG5432">
        <v>0</v>
      </c>
      <c r="AH5432">
        <v>0</v>
      </c>
      <c r="AI5432">
        <v>170</v>
      </c>
      <c r="AJ5432">
        <v>2</v>
      </c>
      <c r="AK5432">
        <v>0</v>
      </c>
      <c r="AL5432">
        <v>0</v>
      </c>
      <c r="AM5432">
        <v>170</v>
      </c>
      <c r="AN5432">
        <v>0</v>
      </c>
      <c r="AO5432">
        <v>0</v>
      </c>
      <c r="AP5432">
        <v>0</v>
      </c>
      <c r="AQ5432">
        <v>0</v>
      </c>
      <c r="AS5432">
        <v>0</v>
      </c>
      <c r="AT5432">
        <v>0</v>
      </c>
      <c r="AV5432">
        <v>0</v>
      </c>
      <c r="AW5432">
        <v>0</v>
      </c>
      <c r="AY5432">
        <v>0</v>
      </c>
      <c r="AZ5432">
        <v>0</v>
      </c>
      <c r="BA5432">
        <v>119</v>
      </c>
      <c r="BE5432" t="str">
        <f>T("9791137014381")</f>
        <v>9791137014381</v>
      </c>
      <c r="BF5432" t="str">
        <f>T("D061679")</f>
        <v>D061679</v>
      </c>
      <c r="BG5432" t="str">
        <f>T("판타지 웹소설 &gt; 퓨전 판타지")</f>
        <v>판타지 웹소설 &gt; 퓨전 판타지</v>
      </c>
    </row>
    <row r="5433" spans="1:59">
      <c r="A5433" t="s">
        <v>60</v>
      </c>
      <c r="B5433" s="1">
        <v>46130</v>
      </c>
      <c r="C5433">
        <v>2378044065</v>
      </c>
      <c r="D5433">
        <v>2378077480</v>
      </c>
      <c r="E5433" t="str">
        <f>T("저승의 왕위를 계승했다 670화")</f>
        <v>저승의 왕위를 계승했다 670화</v>
      </c>
      <c r="F5433">
        <v>672</v>
      </c>
      <c r="G5433" t="str">
        <f>T("신타비")</f>
        <v>신타비</v>
      </c>
      <c r="J5433" t="str">
        <f>T("매드햇")</f>
        <v>매드햇</v>
      </c>
      <c r="K5433" t="str">
        <f>T("저승의 왕위를 계승했다")</f>
        <v>저승의 왕위를 계승했다</v>
      </c>
      <c r="L5433">
        <v>100</v>
      </c>
      <c r="M5433">
        <v>170</v>
      </c>
      <c r="N5433">
        <v>2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>
        <v>0</v>
      </c>
      <c r="V5433">
        <v>0</v>
      </c>
      <c r="W5433">
        <v>0</v>
      </c>
      <c r="X5433">
        <v>0</v>
      </c>
      <c r="Y5433">
        <v>0</v>
      </c>
      <c r="Z5433">
        <v>0</v>
      </c>
      <c r="AA5433">
        <v>0</v>
      </c>
      <c r="AB5433">
        <v>0</v>
      </c>
      <c r="AC5433">
        <v>0</v>
      </c>
      <c r="AD5433">
        <v>0</v>
      </c>
      <c r="AE5433">
        <v>0</v>
      </c>
      <c r="AF5433">
        <v>0</v>
      </c>
      <c r="AG5433">
        <v>0</v>
      </c>
      <c r="AH5433">
        <v>0</v>
      </c>
      <c r="AI5433">
        <v>170</v>
      </c>
      <c r="AJ5433">
        <v>2</v>
      </c>
      <c r="AK5433">
        <v>0</v>
      </c>
      <c r="AL5433">
        <v>0</v>
      </c>
      <c r="AM5433">
        <v>170</v>
      </c>
      <c r="AN5433">
        <v>0</v>
      </c>
      <c r="AO5433">
        <v>0</v>
      </c>
      <c r="AP5433">
        <v>0</v>
      </c>
      <c r="AQ5433">
        <v>0</v>
      </c>
      <c r="AS5433">
        <v>0</v>
      </c>
      <c r="AT5433">
        <v>0</v>
      </c>
      <c r="AV5433">
        <v>0</v>
      </c>
      <c r="AW5433">
        <v>0</v>
      </c>
      <c r="AY5433">
        <v>0</v>
      </c>
      <c r="AZ5433">
        <v>0</v>
      </c>
      <c r="BA5433">
        <v>119</v>
      </c>
      <c r="BE5433" t="str">
        <f>T("9791137014381")</f>
        <v>9791137014381</v>
      </c>
      <c r="BF5433" t="str">
        <f>T("D061680")</f>
        <v>D061680</v>
      </c>
      <c r="BG5433" t="str">
        <f>T("판타지 웹소설 &gt; 퓨전 판타지")</f>
        <v>판타지 웹소설 &gt; 퓨전 판타지</v>
      </c>
    </row>
    <row r="5434" spans="1:59">
      <c r="A5434" t="s">
        <v>60</v>
      </c>
      <c r="B5434" s="1">
        <v>46130</v>
      </c>
      <c r="C5434">
        <v>2378044065</v>
      </c>
      <c r="D5434">
        <v>2378077481</v>
      </c>
      <c r="E5434" t="str">
        <f>T("저승의 왕위를 계승했다 671화")</f>
        <v>저승의 왕위를 계승했다 671화</v>
      </c>
      <c r="F5434">
        <v>673</v>
      </c>
      <c r="G5434" t="str">
        <f>T("신타비")</f>
        <v>신타비</v>
      </c>
      <c r="J5434" t="str">
        <f>T("매드햇")</f>
        <v>매드햇</v>
      </c>
      <c r="K5434" t="str">
        <f>T("저승의 왕위를 계승했다")</f>
        <v>저승의 왕위를 계승했다</v>
      </c>
      <c r="L5434">
        <v>100</v>
      </c>
      <c r="M5434">
        <v>170</v>
      </c>
      <c r="N5434">
        <v>2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>
        <v>0</v>
      </c>
      <c r="V5434">
        <v>0</v>
      </c>
      <c r="W5434">
        <v>0</v>
      </c>
      <c r="X5434">
        <v>0</v>
      </c>
      <c r="Y5434">
        <v>0</v>
      </c>
      <c r="Z5434">
        <v>0</v>
      </c>
      <c r="AA5434">
        <v>0</v>
      </c>
      <c r="AB5434">
        <v>0</v>
      </c>
      <c r="AC5434">
        <v>0</v>
      </c>
      <c r="AD5434">
        <v>0</v>
      </c>
      <c r="AE5434">
        <v>0</v>
      </c>
      <c r="AF5434">
        <v>0</v>
      </c>
      <c r="AG5434">
        <v>0</v>
      </c>
      <c r="AH5434">
        <v>0</v>
      </c>
      <c r="AI5434">
        <v>170</v>
      </c>
      <c r="AJ5434">
        <v>2</v>
      </c>
      <c r="AK5434">
        <v>0</v>
      </c>
      <c r="AL5434">
        <v>0</v>
      </c>
      <c r="AM5434">
        <v>170</v>
      </c>
      <c r="AN5434">
        <v>0</v>
      </c>
      <c r="AO5434">
        <v>0</v>
      </c>
      <c r="AP5434">
        <v>0</v>
      </c>
      <c r="AQ5434">
        <v>0</v>
      </c>
      <c r="AS5434">
        <v>0</v>
      </c>
      <c r="AT5434">
        <v>0</v>
      </c>
      <c r="AV5434">
        <v>0</v>
      </c>
      <c r="AW5434">
        <v>0</v>
      </c>
      <c r="AY5434">
        <v>0</v>
      </c>
      <c r="AZ5434">
        <v>0</v>
      </c>
      <c r="BA5434">
        <v>119</v>
      </c>
      <c r="BE5434" t="str">
        <f>T("9791137014381")</f>
        <v>9791137014381</v>
      </c>
      <c r="BF5434" t="str">
        <f>T("D088741")</f>
        <v>D088741</v>
      </c>
      <c r="BG5434" t="str">
        <f>T("판타지 웹소설 &gt; 퓨전 판타지")</f>
        <v>판타지 웹소설 &gt; 퓨전 판타지</v>
      </c>
    </row>
    <row r="5435" spans="1:59">
      <c r="A5435" t="s">
        <v>60</v>
      </c>
      <c r="B5435" s="1">
        <v>46130</v>
      </c>
      <c r="C5435">
        <v>2378044065</v>
      </c>
      <c r="D5435">
        <v>2378077482</v>
      </c>
      <c r="E5435" t="str">
        <f>T("저승의 왕위를 계승했다 672화")</f>
        <v>저승의 왕위를 계승했다 672화</v>
      </c>
      <c r="F5435">
        <v>674</v>
      </c>
      <c r="G5435" t="str">
        <f>T("신타비")</f>
        <v>신타비</v>
      </c>
      <c r="J5435" t="str">
        <f>T("매드햇")</f>
        <v>매드햇</v>
      </c>
      <c r="K5435" t="str">
        <f>T("저승의 왕위를 계승했다")</f>
        <v>저승의 왕위를 계승했다</v>
      </c>
      <c r="L5435">
        <v>100</v>
      </c>
      <c r="M5435">
        <v>170</v>
      </c>
      <c r="N5435">
        <v>2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>
        <v>0</v>
      </c>
      <c r="V5435">
        <v>0</v>
      </c>
      <c r="W5435">
        <v>0</v>
      </c>
      <c r="X5435">
        <v>0</v>
      </c>
      <c r="Y5435">
        <v>0</v>
      </c>
      <c r="Z5435">
        <v>0</v>
      </c>
      <c r="AA5435">
        <v>0</v>
      </c>
      <c r="AB5435">
        <v>0</v>
      </c>
      <c r="AC5435">
        <v>0</v>
      </c>
      <c r="AD5435">
        <v>0</v>
      </c>
      <c r="AE5435">
        <v>0</v>
      </c>
      <c r="AF5435">
        <v>0</v>
      </c>
      <c r="AG5435">
        <v>0</v>
      </c>
      <c r="AH5435">
        <v>0</v>
      </c>
      <c r="AI5435">
        <v>170</v>
      </c>
      <c r="AJ5435">
        <v>2</v>
      </c>
      <c r="AK5435">
        <v>0</v>
      </c>
      <c r="AL5435">
        <v>0</v>
      </c>
      <c r="AM5435">
        <v>170</v>
      </c>
      <c r="AN5435">
        <v>0</v>
      </c>
      <c r="AO5435">
        <v>0</v>
      </c>
      <c r="AP5435">
        <v>0</v>
      </c>
      <c r="AQ5435">
        <v>0</v>
      </c>
      <c r="AS5435">
        <v>0</v>
      </c>
      <c r="AT5435">
        <v>0</v>
      </c>
      <c r="AV5435">
        <v>0</v>
      </c>
      <c r="AW5435">
        <v>0</v>
      </c>
      <c r="AY5435">
        <v>0</v>
      </c>
      <c r="AZ5435">
        <v>0</v>
      </c>
      <c r="BA5435">
        <v>119</v>
      </c>
      <c r="BE5435" t="str">
        <f>T("9791137014381")</f>
        <v>9791137014381</v>
      </c>
      <c r="BF5435" t="str">
        <f>T("D088742")</f>
        <v>D088742</v>
      </c>
      <c r="BG5435" t="str">
        <f>T("판타지 웹소설 &gt; 퓨전 판타지")</f>
        <v>판타지 웹소설 &gt; 퓨전 판타지</v>
      </c>
    </row>
    <row r="5436" spans="1:59">
      <c r="A5436" t="s">
        <v>60</v>
      </c>
      <c r="B5436" s="1">
        <v>46130</v>
      </c>
      <c r="C5436">
        <v>2378044065</v>
      </c>
      <c r="D5436">
        <v>2378077645</v>
      </c>
      <c r="E5436" t="str">
        <f>T("저승의 왕위를 계승했다 673화")</f>
        <v>저승의 왕위를 계승했다 673화</v>
      </c>
      <c r="F5436">
        <v>675</v>
      </c>
      <c r="G5436" t="str">
        <f>T("신타비")</f>
        <v>신타비</v>
      </c>
      <c r="J5436" t="str">
        <f>T("매드햇")</f>
        <v>매드햇</v>
      </c>
      <c r="K5436" t="str">
        <f>T("저승의 왕위를 계승했다")</f>
        <v>저승의 왕위를 계승했다</v>
      </c>
      <c r="L5436">
        <v>100</v>
      </c>
      <c r="M5436">
        <v>170</v>
      </c>
      <c r="N5436">
        <v>2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>
        <v>0</v>
      </c>
      <c r="V5436">
        <v>0</v>
      </c>
      <c r="W5436">
        <v>0</v>
      </c>
      <c r="X5436">
        <v>0</v>
      </c>
      <c r="Y5436">
        <v>0</v>
      </c>
      <c r="Z5436">
        <v>0</v>
      </c>
      <c r="AA5436">
        <v>0</v>
      </c>
      <c r="AB5436">
        <v>0</v>
      </c>
      <c r="AC5436">
        <v>0</v>
      </c>
      <c r="AD5436">
        <v>0</v>
      </c>
      <c r="AE5436">
        <v>0</v>
      </c>
      <c r="AF5436">
        <v>0</v>
      </c>
      <c r="AG5436">
        <v>0</v>
      </c>
      <c r="AH5436">
        <v>0</v>
      </c>
      <c r="AI5436">
        <v>170</v>
      </c>
      <c r="AJ5436">
        <v>2</v>
      </c>
      <c r="AK5436">
        <v>0</v>
      </c>
      <c r="AL5436">
        <v>0</v>
      </c>
      <c r="AM5436">
        <v>170</v>
      </c>
      <c r="AN5436">
        <v>0</v>
      </c>
      <c r="AO5436">
        <v>0</v>
      </c>
      <c r="AP5436">
        <v>0</v>
      </c>
      <c r="AQ5436">
        <v>0</v>
      </c>
      <c r="AS5436">
        <v>0</v>
      </c>
      <c r="AT5436">
        <v>0</v>
      </c>
      <c r="AV5436">
        <v>0</v>
      </c>
      <c r="AW5436">
        <v>0</v>
      </c>
      <c r="AY5436">
        <v>0</v>
      </c>
      <c r="AZ5436">
        <v>0</v>
      </c>
      <c r="BA5436">
        <v>119</v>
      </c>
      <c r="BE5436" t="str">
        <f>T("9791137014381")</f>
        <v>9791137014381</v>
      </c>
      <c r="BF5436" t="str">
        <f>T("D088743")</f>
        <v>D088743</v>
      </c>
      <c r="BG5436" t="str">
        <f>T("판타지 웹소설 &gt; 퓨전 판타지")</f>
        <v>판타지 웹소설 &gt; 퓨전 판타지</v>
      </c>
    </row>
    <row r="5437" spans="1:59">
      <c r="A5437" t="s">
        <v>60</v>
      </c>
      <c r="B5437" s="1">
        <v>46130</v>
      </c>
      <c r="C5437">
        <v>2378044065</v>
      </c>
      <c r="D5437">
        <v>2378077646</v>
      </c>
      <c r="E5437" t="str">
        <f>T("저승의 왕위를 계승했다 674화")</f>
        <v>저승의 왕위를 계승했다 674화</v>
      </c>
      <c r="F5437">
        <v>676</v>
      </c>
      <c r="G5437" t="str">
        <f>T("신타비")</f>
        <v>신타비</v>
      </c>
      <c r="J5437" t="str">
        <f>T("매드햇")</f>
        <v>매드햇</v>
      </c>
      <c r="K5437" t="str">
        <f>T("저승의 왕위를 계승했다")</f>
        <v>저승의 왕위를 계승했다</v>
      </c>
      <c r="L5437">
        <v>100</v>
      </c>
      <c r="M5437">
        <v>170</v>
      </c>
      <c r="N5437">
        <v>2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>
        <v>0</v>
      </c>
      <c r="V5437">
        <v>0</v>
      </c>
      <c r="W5437">
        <v>0</v>
      </c>
      <c r="X5437">
        <v>0</v>
      </c>
      <c r="Y5437">
        <v>0</v>
      </c>
      <c r="Z5437">
        <v>0</v>
      </c>
      <c r="AA5437">
        <v>0</v>
      </c>
      <c r="AB5437">
        <v>0</v>
      </c>
      <c r="AC5437">
        <v>0</v>
      </c>
      <c r="AD5437">
        <v>0</v>
      </c>
      <c r="AE5437">
        <v>0</v>
      </c>
      <c r="AF5437">
        <v>0</v>
      </c>
      <c r="AG5437">
        <v>0</v>
      </c>
      <c r="AH5437">
        <v>0</v>
      </c>
      <c r="AI5437">
        <v>170</v>
      </c>
      <c r="AJ5437">
        <v>2</v>
      </c>
      <c r="AK5437">
        <v>0</v>
      </c>
      <c r="AL5437">
        <v>0</v>
      </c>
      <c r="AM5437">
        <v>170</v>
      </c>
      <c r="AN5437">
        <v>0</v>
      </c>
      <c r="AO5437">
        <v>0</v>
      </c>
      <c r="AP5437">
        <v>0</v>
      </c>
      <c r="AQ5437">
        <v>0</v>
      </c>
      <c r="AS5437">
        <v>0</v>
      </c>
      <c r="AT5437">
        <v>0</v>
      </c>
      <c r="AV5437">
        <v>0</v>
      </c>
      <c r="AW5437">
        <v>0</v>
      </c>
      <c r="AY5437">
        <v>0</v>
      </c>
      <c r="AZ5437">
        <v>0</v>
      </c>
      <c r="BA5437">
        <v>119</v>
      </c>
      <c r="BE5437" t="str">
        <f>T("9791137014381")</f>
        <v>9791137014381</v>
      </c>
      <c r="BF5437" t="str">
        <f>T("D088744")</f>
        <v>D088744</v>
      </c>
      <c r="BG5437" t="str">
        <f>T("판타지 웹소설 &gt; 퓨전 판타지")</f>
        <v>판타지 웹소설 &gt; 퓨전 판타지</v>
      </c>
    </row>
    <row r="5438" spans="1:59">
      <c r="A5438" t="s">
        <v>60</v>
      </c>
      <c r="B5438" s="1">
        <v>46130</v>
      </c>
      <c r="C5438">
        <v>2378044065</v>
      </c>
      <c r="D5438">
        <v>2378077647</v>
      </c>
      <c r="E5438" t="str">
        <f>T("저승의 왕위를 계승했다 675화")</f>
        <v>저승의 왕위를 계승했다 675화</v>
      </c>
      <c r="F5438">
        <v>677</v>
      </c>
      <c r="G5438" t="str">
        <f>T("신타비")</f>
        <v>신타비</v>
      </c>
      <c r="J5438" t="str">
        <f>T("매드햇")</f>
        <v>매드햇</v>
      </c>
      <c r="K5438" t="str">
        <f>T("저승의 왕위를 계승했다")</f>
        <v>저승의 왕위를 계승했다</v>
      </c>
      <c r="L5438">
        <v>100</v>
      </c>
      <c r="M5438">
        <v>170</v>
      </c>
      <c r="N5438">
        <v>2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>
        <v>0</v>
      </c>
      <c r="V5438">
        <v>0</v>
      </c>
      <c r="W5438">
        <v>0</v>
      </c>
      <c r="X5438">
        <v>0</v>
      </c>
      <c r="Y5438">
        <v>0</v>
      </c>
      <c r="Z5438">
        <v>0</v>
      </c>
      <c r="AA5438">
        <v>0</v>
      </c>
      <c r="AB5438">
        <v>0</v>
      </c>
      <c r="AC5438">
        <v>0</v>
      </c>
      <c r="AD5438">
        <v>0</v>
      </c>
      <c r="AE5438">
        <v>0</v>
      </c>
      <c r="AF5438">
        <v>0</v>
      </c>
      <c r="AG5438">
        <v>0</v>
      </c>
      <c r="AH5438">
        <v>0</v>
      </c>
      <c r="AI5438">
        <v>170</v>
      </c>
      <c r="AJ5438">
        <v>2</v>
      </c>
      <c r="AK5438">
        <v>0</v>
      </c>
      <c r="AL5438">
        <v>0</v>
      </c>
      <c r="AM5438">
        <v>170</v>
      </c>
      <c r="AN5438">
        <v>0</v>
      </c>
      <c r="AO5438">
        <v>0</v>
      </c>
      <c r="AP5438">
        <v>0</v>
      </c>
      <c r="AQ5438">
        <v>0</v>
      </c>
      <c r="AS5438">
        <v>0</v>
      </c>
      <c r="AT5438">
        <v>0</v>
      </c>
      <c r="AV5438">
        <v>0</v>
      </c>
      <c r="AW5438">
        <v>0</v>
      </c>
      <c r="AY5438">
        <v>0</v>
      </c>
      <c r="AZ5438">
        <v>0</v>
      </c>
      <c r="BA5438">
        <v>119</v>
      </c>
      <c r="BE5438" t="str">
        <f>T("9791137014381")</f>
        <v>9791137014381</v>
      </c>
      <c r="BF5438" t="str">
        <f>T("D088745")</f>
        <v>D088745</v>
      </c>
      <c r="BG5438" t="str">
        <f>T("판타지 웹소설 &gt; 퓨전 판타지")</f>
        <v>판타지 웹소설 &gt; 퓨전 판타지</v>
      </c>
    </row>
    <row r="5439" spans="1:59">
      <c r="A5439" t="s">
        <v>60</v>
      </c>
      <c r="B5439" s="1">
        <v>46130</v>
      </c>
      <c r="C5439">
        <v>2378044065</v>
      </c>
      <c r="D5439">
        <v>2378077648</v>
      </c>
      <c r="E5439" t="str">
        <f>T("저승의 왕위를 계승했다 676화")</f>
        <v>저승의 왕위를 계승했다 676화</v>
      </c>
      <c r="F5439">
        <v>678</v>
      </c>
      <c r="G5439" t="str">
        <f>T("신타비")</f>
        <v>신타비</v>
      </c>
      <c r="J5439" t="str">
        <f>T("매드햇")</f>
        <v>매드햇</v>
      </c>
      <c r="K5439" t="str">
        <f>T("저승의 왕위를 계승했다")</f>
        <v>저승의 왕위를 계승했다</v>
      </c>
      <c r="L5439">
        <v>100</v>
      </c>
      <c r="M5439">
        <v>170</v>
      </c>
      <c r="N5439">
        <v>2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0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0</v>
      </c>
      <c r="AE5439">
        <v>0</v>
      </c>
      <c r="AF5439">
        <v>0</v>
      </c>
      <c r="AG5439">
        <v>0</v>
      </c>
      <c r="AH5439">
        <v>0</v>
      </c>
      <c r="AI5439">
        <v>170</v>
      </c>
      <c r="AJ5439">
        <v>2</v>
      </c>
      <c r="AK5439">
        <v>0</v>
      </c>
      <c r="AL5439">
        <v>0</v>
      </c>
      <c r="AM5439">
        <v>170</v>
      </c>
      <c r="AN5439">
        <v>0</v>
      </c>
      <c r="AO5439">
        <v>0</v>
      </c>
      <c r="AP5439">
        <v>0</v>
      </c>
      <c r="AQ5439">
        <v>0</v>
      </c>
      <c r="AS5439">
        <v>0</v>
      </c>
      <c r="AT5439">
        <v>0</v>
      </c>
      <c r="AV5439">
        <v>0</v>
      </c>
      <c r="AW5439">
        <v>0</v>
      </c>
      <c r="AY5439">
        <v>0</v>
      </c>
      <c r="AZ5439">
        <v>0</v>
      </c>
      <c r="BA5439">
        <v>119</v>
      </c>
      <c r="BE5439" t="str">
        <f>T("9791137014381")</f>
        <v>9791137014381</v>
      </c>
      <c r="BF5439" t="str">
        <f>T("D088746")</f>
        <v>D088746</v>
      </c>
      <c r="BG5439" t="str">
        <f>T("판타지 웹소설 &gt; 퓨전 판타지")</f>
        <v>판타지 웹소설 &gt; 퓨전 판타지</v>
      </c>
    </row>
    <row r="5440" spans="1:59">
      <c r="A5440" t="s">
        <v>60</v>
      </c>
      <c r="B5440" s="1">
        <v>46130</v>
      </c>
      <c r="C5440">
        <v>2378044065</v>
      </c>
      <c r="D5440">
        <v>2378077688</v>
      </c>
      <c r="E5440" t="str">
        <f>T("저승의 왕위를 계승했다 677화")</f>
        <v>저승의 왕위를 계승했다 677화</v>
      </c>
      <c r="F5440">
        <v>679</v>
      </c>
      <c r="G5440" t="str">
        <f>T("신타비")</f>
        <v>신타비</v>
      </c>
      <c r="J5440" t="str">
        <f>T("매드햇")</f>
        <v>매드햇</v>
      </c>
      <c r="K5440" t="str">
        <f>T("저승의 왕위를 계승했다")</f>
        <v>저승의 왕위를 계승했다</v>
      </c>
      <c r="L5440">
        <v>100</v>
      </c>
      <c r="M5440">
        <v>170</v>
      </c>
      <c r="N5440">
        <v>2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0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0</v>
      </c>
      <c r="AE5440">
        <v>0</v>
      </c>
      <c r="AF5440">
        <v>0</v>
      </c>
      <c r="AG5440">
        <v>0</v>
      </c>
      <c r="AH5440">
        <v>0</v>
      </c>
      <c r="AI5440">
        <v>170</v>
      </c>
      <c r="AJ5440">
        <v>2</v>
      </c>
      <c r="AK5440">
        <v>0</v>
      </c>
      <c r="AL5440">
        <v>0</v>
      </c>
      <c r="AM5440">
        <v>170</v>
      </c>
      <c r="AN5440">
        <v>0</v>
      </c>
      <c r="AO5440">
        <v>0</v>
      </c>
      <c r="AP5440">
        <v>0</v>
      </c>
      <c r="AQ5440">
        <v>0</v>
      </c>
      <c r="AS5440">
        <v>0</v>
      </c>
      <c r="AT5440">
        <v>0</v>
      </c>
      <c r="AV5440">
        <v>0</v>
      </c>
      <c r="AW5440">
        <v>0</v>
      </c>
      <c r="AY5440">
        <v>0</v>
      </c>
      <c r="AZ5440">
        <v>0</v>
      </c>
      <c r="BA5440">
        <v>119</v>
      </c>
      <c r="BE5440" t="str">
        <f>T("9791137014381")</f>
        <v>9791137014381</v>
      </c>
      <c r="BF5440" t="str">
        <f>T("D088747")</f>
        <v>D088747</v>
      </c>
      <c r="BG5440" t="str">
        <f>T("판타지 웹소설 &gt; 퓨전 판타지")</f>
        <v>판타지 웹소설 &gt; 퓨전 판타지</v>
      </c>
    </row>
    <row r="5441" spans="1:59">
      <c r="A5441" t="s">
        <v>60</v>
      </c>
      <c r="B5441" s="1">
        <v>46130</v>
      </c>
      <c r="C5441">
        <v>2378044065</v>
      </c>
      <c r="D5441">
        <v>2378077689</v>
      </c>
      <c r="E5441" t="str">
        <f>T("저승의 왕위를 계승했다 678화")</f>
        <v>저승의 왕위를 계승했다 678화</v>
      </c>
      <c r="F5441">
        <v>680</v>
      </c>
      <c r="G5441" t="str">
        <f>T("신타비")</f>
        <v>신타비</v>
      </c>
      <c r="J5441" t="str">
        <f>T("매드햇")</f>
        <v>매드햇</v>
      </c>
      <c r="K5441" t="str">
        <f>T("저승의 왕위를 계승했다")</f>
        <v>저승의 왕위를 계승했다</v>
      </c>
      <c r="L5441">
        <v>100</v>
      </c>
      <c r="M5441">
        <v>170</v>
      </c>
      <c r="N5441">
        <v>2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0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0</v>
      </c>
      <c r="AE5441">
        <v>0</v>
      </c>
      <c r="AF5441">
        <v>0</v>
      </c>
      <c r="AG5441">
        <v>0</v>
      </c>
      <c r="AH5441">
        <v>0</v>
      </c>
      <c r="AI5441">
        <v>170</v>
      </c>
      <c r="AJ5441">
        <v>2</v>
      </c>
      <c r="AK5441">
        <v>0</v>
      </c>
      <c r="AL5441">
        <v>0</v>
      </c>
      <c r="AM5441">
        <v>170</v>
      </c>
      <c r="AN5441">
        <v>0</v>
      </c>
      <c r="AO5441">
        <v>0</v>
      </c>
      <c r="AP5441">
        <v>0</v>
      </c>
      <c r="AQ5441">
        <v>0</v>
      </c>
      <c r="AS5441">
        <v>0</v>
      </c>
      <c r="AT5441">
        <v>0</v>
      </c>
      <c r="AV5441">
        <v>0</v>
      </c>
      <c r="AW5441">
        <v>0</v>
      </c>
      <c r="AY5441">
        <v>0</v>
      </c>
      <c r="AZ5441">
        <v>0</v>
      </c>
      <c r="BA5441">
        <v>119</v>
      </c>
      <c r="BE5441" t="str">
        <f>T("9791137014381")</f>
        <v>9791137014381</v>
      </c>
      <c r="BF5441" t="str">
        <f>T("D088748")</f>
        <v>D088748</v>
      </c>
      <c r="BG5441" t="str">
        <f>T("판타지 웹소설 &gt; 퓨전 판타지")</f>
        <v>판타지 웹소설 &gt; 퓨전 판타지</v>
      </c>
    </row>
    <row r="5442" spans="1:59">
      <c r="A5442" t="s">
        <v>60</v>
      </c>
      <c r="B5442" s="1">
        <v>46130</v>
      </c>
      <c r="C5442">
        <v>2378044065</v>
      </c>
      <c r="D5442">
        <v>2378077690</v>
      </c>
      <c r="E5442" t="str">
        <f>T("저승의 왕위를 계승했다 679화")</f>
        <v>저승의 왕위를 계승했다 679화</v>
      </c>
      <c r="F5442">
        <v>681</v>
      </c>
      <c r="G5442" t="str">
        <f>T("신타비")</f>
        <v>신타비</v>
      </c>
      <c r="J5442" t="str">
        <f>T("매드햇")</f>
        <v>매드햇</v>
      </c>
      <c r="K5442" t="str">
        <f>T("저승의 왕위를 계승했다")</f>
        <v>저승의 왕위를 계승했다</v>
      </c>
      <c r="L5442">
        <v>100</v>
      </c>
      <c r="M5442">
        <v>170</v>
      </c>
      <c r="N5442">
        <v>2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0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0</v>
      </c>
      <c r="AE5442">
        <v>0</v>
      </c>
      <c r="AF5442">
        <v>0</v>
      </c>
      <c r="AG5442">
        <v>0</v>
      </c>
      <c r="AH5442">
        <v>0</v>
      </c>
      <c r="AI5442">
        <v>170</v>
      </c>
      <c r="AJ5442">
        <v>2</v>
      </c>
      <c r="AK5442">
        <v>0</v>
      </c>
      <c r="AL5442">
        <v>0</v>
      </c>
      <c r="AM5442">
        <v>170</v>
      </c>
      <c r="AN5442">
        <v>0</v>
      </c>
      <c r="AO5442">
        <v>0</v>
      </c>
      <c r="AP5442">
        <v>0</v>
      </c>
      <c r="AQ5442">
        <v>0</v>
      </c>
      <c r="AS5442">
        <v>0</v>
      </c>
      <c r="AT5442">
        <v>0</v>
      </c>
      <c r="AV5442">
        <v>0</v>
      </c>
      <c r="AW5442">
        <v>0</v>
      </c>
      <c r="AY5442">
        <v>0</v>
      </c>
      <c r="AZ5442">
        <v>0</v>
      </c>
      <c r="BA5442">
        <v>119</v>
      </c>
      <c r="BE5442" t="str">
        <f>T("9791137014381")</f>
        <v>9791137014381</v>
      </c>
      <c r="BF5442" t="str">
        <f>T("D088749")</f>
        <v>D088749</v>
      </c>
      <c r="BG5442" t="str">
        <f>T("판타지 웹소설 &gt; 퓨전 판타지")</f>
        <v>판타지 웹소설 &gt; 퓨전 판타지</v>
      </c>
    </row>
    <row r="5443" spans="1:59">
      <c r="A5443" t="s">
        <v>60</v>
      </c>
      <c r="B5443" s="1">
        <v>46130</v>
      </c>
      <c r="C5443">
        <v>2378044065</v>
      </c>
      <c r="D5443">
        <v>2378077691</v>
      </c>
      <c r="E5443" t="str">
        <f>T("저승의 왕위를 계승했다 680화")</f>
        <v>저승의 왕위를 계승했다 680화</v>
      </c>
      <c r="F5443">
        <v>682</v>
      </c>
      <c r="G5443" t="str">
        <f>T("신타비")</f>
        <v>신타비</v>
      </c>
      <c r="J5443" t="str">
        <f>T("매드햇")</f>
        <v>매드햇</v>
      </c>
      <c r="K5443" t="str">
        <f>T("저승의 왕위를 계승했다")</f>
        <v>저승의 왕위를 계승했다</v>
      </c>
      <c r="L5443">
        <v>100</v>
      </c>
      <c r="M5443">
        <v>170</v>
      </c>
      <c r="N5443">
        <v>2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0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0</v>
      </c>
      <c r="AE5443">
        <v>0</v>
      </c>
      <c r="AF5443">
        <v>0</v>
      </c>
      <c r="AG5443">
        <v>0</v>
      </c>
      <c r="AH5443">
        <v>0</v>
      </c>
      <c r="AI5443">
        <v>170</v>
      </c>
      <c r="AJ5443">
        <v>2</v>
      </c>
      <c r="AK5443">
        <v>0</v>
      </c>
      <c r="AL5443">
        <v>0</v>
      </c>
      <c r="AM5443">
        <v>170</v>
      </c>
      <c r="AN5443">
        <v>0</v>
      </c>
      <c r="AO5443">
        <v>0</v>
      </c>
      <c r="AP5443">
        <v>0</v>
      </c>
      <c r="AQ5443">
        <v>0</v>
      </c>
      <c r="AS5443">
        <v>0</v>
      </c>
      <c r="AT5443">
        <v>0</v>
      </c>
      <c r="AV5443">
        <v>0</v>
      </c>
      <c r="AW5443">
        <v>0</v>
      </c>
      <c r="AY5443">
        <v>0</v>
      </c>
      <c r="AZ5443">
        <v>0</v>
      </c>
      <c r="BA5443">
        <v>119</v>
      </c>
      <c r="BE5443" t="str">
        <f>T("9791137014381")</f>
        <v>9791137014381</v>
      </c>
      <c r="BF5443" t="str">
        <f>T("D088750")</f>
        <v>D088750</v>
      </c>
      <c r="BG5443" t="str">
        <f>T("판타지 웹소설 &gt; 퓨전 판타지")</f>
        <v>판타지 웹소설 &gt; 퓨전 판타지</v>
      </c>
    </row>
    <row r="5444" spans="1:59">
      <c r="A5444" t="s">
        <v>60</v>
      </c>
      <c r="B5444" s="1">
        <v>46130</v>
      </c>
      <c r="C5444">
        <v>2378044065</v>
      </c>
      <c r="D5444">
        <v>2378077747</v>
      </c>
      <c r="E5444" t="str">
        <f>T("저승의 왕위를 계승했다 681화")</f>
        <v>저승의 왕위를 계승했다 681화</v>
      </c>
      <c r="F5444">
        <v>683</v>
      </c>
      <c r="G5444" t="str">
        <f>T("신타비")</f>
        <v>신타비</v>
      </c>
      <c r="J5444" t="str">
        <f>T("매드햇")</f>
        <v>매드햇</v>
      </c>
      <c r="K5444" t="str">
        <f>T("저승의 왕위를 계승했다")</f>
        <v>저승의 왕위를 계승했다</v>
      </c>
      <c r="L5444">
        <v>100</v>
      </c>
      <c r="M5444">
        <v>170</v>
      </c>
      <c r="N5444">
        <v>2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0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0</v>
      </c>
      <c r="AE5444">
        <v>0</v>
      </c>
      <c r="AF5444">
        <v>0</v>
      </c>
      <c r="AG5444">
        <v>0</v>
      </c>
      <c r="AH5444">
        <v>0</v>
      </c>
      <c r="AI5444">
        <v>170</v>
      </c>
      <c r="AJ5444">
        <v>2</v>
      </c>
      <c r="AK5444">
        <v>0</v>
      </c>
      <c r="AL5444">
        <v>0</v>
      </c>
      <c r="AM5444">
        <v>170</v>
      </c>
      <c r="AN5444">
        <v>0</v>
      </c>
      <c r="AO5444">
        <v>0</v>
      </c>
      <c r="AP5444">
        <v>0</v>
      </c>
      <c r="AQ5444">
        <v>0</v>
      </c>
      <c r="AS5444">
        <v>0</v>
      </c>
      <c r="AT5444">
        <v>0</v>
      </c>
      <c r="AV5444">
        <v>0</v>
      </c>
      <c r="AW5444">
        <v>0</v>
      </c>
      <c r="AY5444">
        <v>0</v>
      </c>
      <c r="AZ5444">
        <v>0</v>
      </c>
      <c r="BA5444">
        <v>119</v>
      </c>
      <c r="BE5444" t="str">
        <f>T("9791137014381")</f>
        <v>9791137014381</v>
      </c>
      <c r="BF5444" t="str">
        <f>T("D088751")</f>
        <v>D088751</v>
      </c>
      <c r="BG5444" t="str">
        <f>T("판타지 웹소설 &gt; 퓨전 판타지")</f>
        <v>판타지 웹소설 &gt; 퓨전 판타지</v>
      </c>
    </row>
    <row r="5445" spans="1:59">
      <c r="A5445" t="s">
        <v>60</v>
      </c>
      <c r="B5445" s="1">
        <v>46130</v>
      </c>
      <c r="C5445">
        <v>2378044065</v>
      </c>
      <c r="D5445">
        <v>2378077753</v>
      </c>
      <c r="E5445" t="str">
        <f>T("저승의 왕위를 계승했다 682화")</f>
        <v>저승의 왕위를 계승했다 682화</v>
      </c>
      <c r="F5445">
        <v>684</v>
      </c>
      <c r="G5445" t="str">
        <f>T("신타비")</f>
        <v>신타비</v>
      </c>
      <c r="J5445" t="str">
        <f>T("매드햇")</f>
        <v>매드햇</v>
      </c>
      <c r="K5445" t="str">
        <f>T("저승의 왕위를 계승했다")</f>
        <v>저승의 왕위를 계승했다</v>
      </c>
      <c r="L5445">
        <v>100</v>
      </c>
      <c r="M5445">
        <v>270</v>
      </c>
      <c r="N5445">
        <v>3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0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0</v>
      </c>
      <c r="AE5445">
        <v>0</v>
      </c>
      <c r="AF5445">
        <v>0</v>
      </c>
      <c r="AG5445">
        <v>0</v>
      </c>
      <c r="AH5445">
        <v>0</v>
      </c>
      <c r="AI5445">
        <v>270</v>
      </c>
      <c r="AJ5445">
        <v>3</v>
      </c>
      <c r="AK5445">
        <v>0</v>
      </c>
      <c r="AL5445">
        <v>0</v>
      </c>
      <c r="AM5445">
        <v>270</v>
      </c>
      <c r="AN5445">
        <v>0</v>
      </c>
      <c r="AO5445">
        <v>0</v>
      </c>
      <c r="AP5445">
        <v>0</v>
      </c>
      <c r="AQ5445">
        <v>0</v>
      </c>
      <c r="AS5445">
        <v>0</v>
      </c>
      <c r="AT5445">
        <v>0</v>
      </c>
      <c r="AV5445">
        <v>0</v>
      </c>
      <c r="AW5445">
        <v>0</v>
      </c>
      <c r="AY5445">
        <v>0</v>
      </c>
      <c r="AZ5445">
        <v>0</v>
      </c>
      <c r="BA5445">
        <v>189</v>
      </c>
      <c r="BE5445" t="str">
        <f>T("9791137014381")</f>
        <v>9791137014381</v>
      </c>
      <c r="BF5445" t="str">
        <f>T("D088752")</f>
        <v>D088752</v>
      </c>
      <c r="BG5445" t="str">
        <f>T("판타지 웹소설 &gt; 퓨전 판타지")</f>
        <v>판타지 웹소설 &gt; 퓨전 판타지</v>
      </c>
    </row>
    <row r="5446" spans="1:59">
      <c r="A5446" t="s">
        <v>60</v>
      </c>
      <c r="B5446" s="1">
        <v>46130</v>
      </c>
      <c r="C5446">
        <v>2378044065</v>
      </c>
      <c r="D5446">
        <v>2378077754</v>
      </c>
      <c r="E5446" t="str">
        <f>T("저승의 왕위를 계승했다 683화")</f>
        <v>저승의 왕위를 계승했다 683화</v>
      </c>
      <c r="F5446">
        <v>685</v>
      </c>
      <c r="G5446" t="str">
        <f>T("신타비")</f>
        <v>신타비</v>
      </c>
      <c r="J5446" t="str">
        <f>T("매드햇")</f>
        <v>매드햇</v>
      </c>
      <c r="K5446" t="str">
        <f>T("저승의 왕위를 계승했다")</f>
        <v>저승의 왕위를 계승했다</v>
      </c>
      <c r="L5446">
        <v>100</v>
      </c>
      <c r="M5446">
        <v>270</v>
      </c>
      <c r="N5446">
        <v>3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0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0</v>
      </c>
      <c r="AE5446">
        <v>0</v>
      </c>
      <c r="AF5446">
        <v>0</v>
      </c>
      <c r="AG5446">
        <v>0</v>
      </c>
      <c r="AH5446">
        <v>0</v>
      </c>
      <c r="AI5446">
        <v>270</v>
      </c>
      <c r="AJ5446">
        <v>3</v>
      </c>
      <c r="AK5446">
        <v>0</v>
      </c>
      <c r="AL5446">
        <v>0</v>
      </c>
      <c r="AM5446">
        <v>270</v>
      </c>
      <c r="AN5446">
        <v>0</v>
      </c>
      <c r="AO5446">
        <v>0</v>
      </c>
      <c r="AP5446">
        <v>0</v>
      </c>
      <c r="AQ5446">
        <v>0</v>
      </c>
      <c r="AS5446">
        <v>0</v>
      </c>
      <c r="AT5446">
        <v>0</v>
      </c>
      <c r="AV5446">
        <v>0</v>
      </c>
      <c r="AW5446">
        <v>0</v>
      </c>
      <c r="AY5446">
        <v>0</v>
      </c>
      <c r="AZ5446">
        <v>0</v>
      </c>
      <c r="BA5446">
        <v>189</v>
      </c>
      <c r="BE5446" t="str">
        <f>T("9791137014381")</f>
        <v>9791137014381</v>
      </c>
      <c r="BF5446" t="str">
        <f>T("D088753")</f>
        <v>D088753</v>
      </c>
      <c r="BG5446" t="str">
        <f>T("판타지 웹소설 &gt; 퓨전 판타지")</f>
        <v>판타지 웹소설 &gt; 퓨전 판타지</v>
      </c>
    </row>
    <row r="5447" spans="1:59">
      <c r="A5447" t="s">
        <v>60</v>
      </c>
      <c r="B5447" s="1">
        <v>46130</v>
      </c>
      <c r="C5447">
        <v>2378044065</v>
      </c>
      <c r="D5447">
        <v>2378077755</v>
      </c>
      <c r="E5447" t="str">
        <f>T("저승의 왕위를 계승했다 684화")</f>
        <v>저승의 왕위를 계승했다 684화</v>
      </c>
      <c r="F5447">
        <v>686</v>
      </c>
      <c r="G5447" t="str">
        <f>T("신타비")</f>
        <v>신타비</v>
      </c>
      <c r="J5447" t="str">
        <f>T("매드햇")</f>
        <v>매드햇</v>
      </c>
      <c r="K5447" t="str">
        <f>T("저승의 왕위를 계승했다")</f>
        <v>저승의 왕위를 계승했다</v>
      </c>
      <c r="L5447">
        <v>100</v>
      </c>
      <c r="M5447">
        <v>270</v>
      </c>
      <c r="N5447">
        <v>3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0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0</v>
      </c>
      <c r="AE5447">
        <v>0</v>
      </c>
      <c r="AF5447">
        <v>0</v>
      </c>
      <c r="AG5447">
        <v>0</v>
      </c>
      <c r="AH5447">
        <v>0</v>
      </c>
      <c r="AI5447">
        <v>270</v>
      </c>
      <c r="AJ5447">
        <v>3</v>
      </c>
      <c r="AK5447">
        <v>0</v>
      </c>
      <c r="AL5447">
        <v>0</v>
      </c>
      <c r="AM5447">
        <v>270</v>
      </c>
      <c r="AN5447">
        <v>0</v>
      </c>
      <c r="AO5447">
        <v>0</v>
      </c>
      <c r="AP5447">
        <v>0</v>
      </c>
      <c r="AQ5447">
        <v>0</v>
      </c>
      <c r="AS5447">
        <v>0</v>
      </c>
      <c r="AT5447">
        <v>0</v>
      </c>
      <c r="AV5447">
        <v>0</v>
      </c>
      <c r="AW5447">
        <v>0</v>
      </c>
      <c r="AY5447">
        <v>0</v>
      </c>
      <c r="AZ5447">
        <v>0</v>
      </c>
      <c r="BA5447">
        <v>189</v>
      </c>
      <c r="BE5447" t="str">
        <f>T("9791137014381")</f>
        <v>9791137014381</v>
      </c>
      <c r="BF5447" t="str">
        <f>T("D088754")</f>
        <v>D088754</v>
      </c>
      <c r="BG5447" t="str">
        <f>T("판타지 웹소설 &gt; 퓨전 판타지")</f>
        <v>판타지 웹소설 &gt; 퓨전 판타지</v>
      </c>
    </row>
    <row r="5448" spans="1:59">
      <c r="A5448" t="s">
        <v>60</v>
      </c>
      <c r="B5448" s="1">
        <v>46130</v>
      </c>
      <c r="C5448">
        <v>2378044065</v>
      </c>
      <c r="D5448">
        <v>2378077907</v>
      </c>
      <c r="E5448" t="str">
        <f>T("저승의 왕위를 계승했다 685화")</f>
        <v>저승의 왕위를 계승했다 685화</v>
      </c>
      <c r="F5448">
        <v>687</v>
      </c>
      <c r="G5448" t="str">
        <f>T("신타비")</f>
        <v>신타비</v>
      </c>
      <c r="J5448" t="str">
        <f>T("매드햇")</f>
        <v>매드햇</v>
      </c>
      <c r="K5448" t="str">
        <f>T("저승의 왕위를 계승했다")</f>
        <v>저승의 왕위를 계승했다</v>
      </c>
      <c r="L5448">
        <v>100</v>
      </c>
      <c r="M5448">
        <v>270</v>
      </c>
      <c r="N5448">
        <v>3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0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0</v>
      </c>
      <c r="AE5448">
        <v>0</v>
      </c>
      <c r="AF5448">
        <v>0</v>
      </c>
      <c r="AG5448">
        <v>0</v>
      </c>
      <c r="AH5448">
        <v>0</v>
      </c>
      <c r="AI5448">
        <v>270</v>
      </c>
      <c r="AJ5448">
        <v>3</v>
      </c>
      <c r="AK5448">
        <v>0</v>
      </c>
      <c r="AL5448">
        <v>0</v>
      </c>
      <c r="AM5448">
        <v>270</v>
      </c>
      <c r="AN5448">
        <v>0</v>
      </c>
      <c r="AO5448">
        <v>0</v>
      </c>
      <c r="AP5448">
        <v>0</v>
      </c>
      <c r="AQ5448">
        <v>0</v>
      </c>
      <c r="AS5448">
        <v>0</v>
      </c>
      <c r="AT5448">
        <v>0</v>
      </c>
      <c r="AV5448">
        <v>0</v>
      </c>
      <c r="AW5448">
        <v>0</v>
      </c>
      <c r="AY5448">
        <v>0</v>
      </c>
      <c r="AZ5448">
        <v>0</v>
      </c>
      <c r="BA5448">
        <v>189</v>
      </c>
      <c r="BE5448" t="str">
        <f>T("9791137014381")</f>
        <v>9791137014381</v>
      </c>
      <c r="BF5448" t="str">
        <f>T("D088755")</f>
        <v>D088755</v>
      </c>
      <c r="BG5448" t="str">
        <f>T("판타지 웹소설 &gt; 퓨전 판타지")</f>
        <v>판타지 웹소설 &gt; 퓨전 판타지</v>
      </c>
    </row>
    <row r="5449" spans="1:59">
      <c r="A5449" t="s">
        <v>60</v>
      </c>
      <c r="B5449" s="1">
        <v>46130</v>
      </c>
      <c r="C5449">
        <v>2378044065</v>
      </c>
      <c r="D5449">
        <v>2378077908</v>
      </c>
      <c r="E5449" t="str">
        <f>T("저승의 왕위를 계승했다 686화")</f>
        <v>저승의 왕위를 계승했다 686화</v>
      </c>
      <c r="F5449">
        <v>688</v>
      </c>
      <c r="G5449" t="str">
        <f>T("신타비")</f>
        <v>신타비</v>
      </c>
      <c r="J5449" t="str">
        <f>T("매드햇")</f>
        <v>매드햇</v>
      </c>
      <c r="K5449" t="str">
        <f>T("저승의 왕위를 계승했다")</f>
        <v>저승의 왕위를 계승했다</v>
      </c>
      <c r="L5449">
        <v>100</v>
      </c>
      <c r="M5449">
        <v>270</v>
      </c>
      <c r="N5449">
        <v>3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0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0</v>
      </c>
      <c r="AE5449">
        <v>0</v>
      </c>
      <c r="AF5449">
        <v>0</v>
      </c>
      <c r="AG5449">
        <v>0</v>
      </c>
      <c r="AH5449">
        <v>0</v>
      </c>
      <c r="AI5449">
        <v>270</v>
      </c>
      <c r="AJ5449">
        <v>3</v>
      </c>
      <c r="AK5449">
        <v>0</v>
      </c>
      <c r="AL5449">
        <v>0</v>
      </c>
      <c r="AM5449">
        <v>270</v>
      </c>
      <c r="AN5449">
        <v>0</v>
      </c>
      <c r="AO5449">
        <v>0</v>
      </c>
      <c r="AP5449">
        <v>0</v>
      </c>
      <c r="AQ5449">
        <v>0</v>
      </c>
      <c r="AS5449">
        <v>0</v>
      </c>
      <c r="AT5449">
        <v>0</v>
      </c>
      <c r="AV5449">
        <v>0</v>
      </c>
      <c r="AW5449">
        <v>0</v>
      </c>
      <c r="AY5449">
        <v>0</v>
      </c>
      <c r="AZ5449">
        <v>0</v>
      </c>
      <c r="BA5449">
        <v>189</v>
      </c>
      <c r="BE5449" t="str">
        <f>T("9791137014381")</f>
        <v>9791137014381</v>
      </c>
      <c r="BF5449" t="str">
        <f>T("D088756")</f>
        <v>D088756</v>
      </c>
      <c r="BG5449" t="str">
        <f>T("판타지 웹소설 &gt; 퓨전 판타지")</f>
        <v>판타지 웹소설 &gt; 퓨전 판타지</v>
      </c>
    </row>
    <row r="5450" spans="1:59">
      <c r="A5450" t="s">
        <v>60</v>
      </c>
      <c r="B5450" s="1">
        <v>46130</v>
      </c>
      <c r="C5450">
        <v>2378044065</v>
      </c>
      <c r="D5450">
        <v>2378077909</v>
      </c>
      <c r="E5450" t="str">
        <f>T("저승의 왕위를 계승했다 687화")</f>
        <v>저승의 왕위를 계승했다 687화</v>
      </c>
      <c r="F5450">
        <v>689</v>
      </c>
      <c r="G5450" t="str">
        <f>T("신타비")</f>
        <v>신타비</v>
      </c>
      <c r="J5450" t="str">
        <f>T("매드햇")</f>
        <v>매드햇</v>
      </c>
      <c r="K5450" t="str">
        <f>T("저승의 왕위를 계승했다")</f>
        <v>저승의 왕위를 계승했다</v>
      </c>
      <c r="L5450">
        <v>100</v>
      </c>
      <c r="M5450">
        <v>270</v>
      </c>
      <c r="N5450">
        <v>3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0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0</v>
      </c>
      <c r="AE5450">
        <v>0</v>
      </c>
      <c r="AF5450">
        <v>0</v>
      </c>
      <c r="AG5450">
        <v>0</v>
      </c>
      <c r="AH5450">
        <v>0</v>
      </c>
      <c r="AI5450">
        <v>270</v>
      </c>
      <c r="AJ5450">
        <v>3</v>
      </c>
      <c r="AK5450">
        <v>0</v>
      </c>
      <c r="AL5450">
        <v>0</v>
      </c>
      <c r="AM5450">
        <v>270</v>
      </c>
      <c r="AN5450">
        <v>0</v>
      </c>
      <c r="AO5450">
        <v>0</v>
      </c>
      <c r="AP5450">
        <v>0</v>
      </c>
      <c r="AQ5450">
        <v>0</v>
      </c>
      <c r="AS5450">
        <v>0</v>
      </c>
      <c r="AT5450">
        <v>0</v>
      </c>
      <c r="AV5450">
        <v>0</v>
      </c>
      <c r="AW5450">
        <v>0</v>
      </c>
      <c r="AY5450">
        <v>0</v>
      </c>
      <c r="AZ5450">
        <v>0</v>
      </c>
      <c r="BA5450">
        <v>189</v>
      </c>
      <c r="BE5450" t="str">
        <f>T("9791137014381")</f>
        <v>9791137014381</v>
      </c>
      <c r="BF5450" t="str">
        <f>T("D088757")</f>
        <v>D088757</v>
      </c>
      <c r="BG5450" t="str">
        <f>T("판타지 웹소설 &gt; 퓨전 판타지")</f>
        <v>판타지 웹소설 &gt; 퓨전 판타지</v>
      </c>
    </row>
    <row r="5451" spans="1:59">
      <c r="A5451" t="s">
        <v>60</v>
      </c>
      <c r="B5451" s="1">
        <v>46130</v>
      </c>
      <c r="C5451">
        <v>2378044065</v>
      </c>
      <c r="D5451">
        <v>2378077910</v>
      </c>
      <c r="E5451" t="str">
        <f>T("저승의 왕위를 계승했다 688화")</f>
        <v>저승의 왕위를 계승했다 688화</v>
      </c>
      <c r="F5451">
        <v>690</v>
      </c>
      <c r="G5451" t="str">
        <f>T("신타비")</f>
        <v>신타비</v>
      </c>
      <c r="J5451" t="str">
        <f>T("매드햇")</f>
        <v>매드햇</v>
      </c>
      <c r="K5451" t="str">
        <f>T("저승의 왕위를 계승했다")</f>
        <v>저승의 왕위를 계승했다</v>
      </c>
      <c r="L5451">
        <v>100</v>
      </c>
      <c r="M5451">
        <v>170</v>
      </c>
      <c r="N5451">
        <v>2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0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0</v>
      </c>
      <c r="AE5451">
        <v>0</v>
      </c>
      <c r="AF5451">
        <v>0</v>
      </c>
      <c r="AG5451">
        <v>0</v>
      </c>
      <c r="AH5451">
        <v>0</v>
      </c>
      <c r="AI5451">
        <v>170</v>
      </c>
      <c r="AJ5451">
        <v>2</v>
      </c>
      <c r="AK5451">
        <v>0</v>
      </c>
      <c r="AL5451">
        <v>0</v>
      </c>
      <c r="AM5451">
        <v>170</v>
      </c>
      <c r="AN5451">
        <v>0</v>
      </c>
      <c r="AO5451">
        <v>0</v>
      </c>
      <c r="AP5451">
        <v>0</v>
      </c>
      <c r="AQ5451">
        <v>0</v>
      </c>
      <c r="AS5451">
        <v>0</v>
      </c>
      <c r="AT5451">
        <v>0</v>
      </c>
      <c r="AV5451">
        <v>0</v>
      </c>
      <c r="AW5451">
        <v>0</v>
      </c>
      <c r="AY5451">
        <v>0</v>
      </c>
      <c r="AZ5451">
        <v>0</v>
      </c>
      <c r="BA5451">
        <v>119</v>
      </c>
      <c r="BE5451" t="str">
        <f>T("9791137014381")</f>
        <v>9791137014381</v>
      </c>
      <c r="BF5451" t="str">
        <f>T("D088758")</f>
        <v>D088758</v>
      </c>
      <c r="BG5451" t="str">
        <f>T("판타지 웹소설 &gt; 퓨전 판타지")</f>
        <v>판타지 웹소설 &gt; 퓨전 판타지</v>
      </c>
    </row>
    <row r="5452" spans="1:59">
      <c r="A5452" t="s">
        <v>60</v>
      </c>
      <c r="B5452" s="1">
        <v>46130</v>
      </c>
      <c r="C5452">
        <v>2378044065</v>
      </c>
      <c r="D5452">
        <v>2378077960</v>
      </c>
      <c r="E5452" t="str">
        <f>T("저승의 왕위를 계승했다 689화")</f>
        <v>저승의 왕위를 계승했다 689화</v>
      </c>
      <c r="F5452">
        <v>691</v>
      </c>
      <c r="G5452" t="str">
        <f>T("신타비")</f>
        <v>신타비</v>
      </c>
      <c r="J5452" t="str">
        <f>T("매드햇")</f>
        <v>매드햇</v>
      </c>
      <c r="K5452" t="str">
        <f>T("저승의 왕위를 계승했다")</f>
        <v>저승의 왕위를 계승했다</v>
      </c>
      <c r="L5452">
        <v>100</v>
      </c>
      <c r="M5452">
        <v>170</v>
      </c>
      <c r="N5452">
        <v>2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>
        <v>0</v>
      </c>
      <c r="V5452">
        <v>0</v>
      </c>
      <c r="W5452">
        <v>0</v>
      </c>
      <c r="X5452">
        <v>0</v>
      </c>
      <c r="Y5452">
        <v>0</v>
      </c>
      <c r="Z5452">
        <v>0</v>
      </c>
      <c r="AA5452">
        <v>0</v>
      </c>
      <c r="AB5452">
        <v>0</v>
      </c>
      <c r="AC5452">
        <v>0</v>
      </c>
      <c r="AD5452">
        <v>0</v>
      </c>
      <c r="AE5452">
        <v>0</v>
      </c>
      <c r="AF5452">
        <v>0</v>
      </c>
      <c r="AG5452">
        <v>0</v>
      </c>
      <c r="AH5452">
        <v>0</v>
      </c>
      <c r="AI5452">
        <v>170</v>
      </c>
      <c r="AJ5452">
        <v>2</v>
      </c>
      <c r="AK5452">
        <v>0</v>
      </c>
      <c r="AL5452">
        <v>0</v>
      </c>
      <c r="AM5452">
        <v>170</v>
      </c>
      <c r="AN5452">
        <v>0</v>
      </c>
      <c r="AO5452">
        <v>0</v>
      </c>
      <c r="AP5452">
        <v>0</v>
      </c>
      <c r="AQ5452">
        <v>0</v>
      </c>
      <c r="AS5452">
        <v>0</v>
      </c>
      <c r="AT5452">
        <v>0</v>
      </c>
      <c r="AV5452">
        <v>0</v>
      </c>
      <c r="AW5452">
        <v>0</v>
      </c>
      <c r="AY5452">
        <v>0</v>
      </c>
      <c r="AZ5452">
        <v>0</v>
      </c>
      <c r="BA5452">
        <v>119</v>
      </c>
      <c r="BE5452" t="str">
        <f>T("9791137014381")</f>
        <v>9791137014381</v>
      </c>
      <c r="BF5452" t="str">
        <f>T("D088759")</f>
        <v>D088759</v>
      </c>
      <c r="BG5452" t="str">
        <f>T("판타지 웹소설 &gt; 퓨전 판타지")</f>
        <v>판타지 웹소설 &gt; 퓨전 판타지</v>
      </c>
    </row>
    <row r="5453" spans="1:59">
      <c r="A5453" t="s">
        <v>60</v>
      </c>
      <c r="B5453" s="1">
        <v>46130</v>
      </c>
      <c r="C5453">
        <v>2378044065</v>
      </c>
      <c r="D5453">
        <v>2378077961</v>
      </c>
      <c r="E5453" t="str">
        <f>T("저승의 왕위를 계승했다 690화")</f>
        <v>저승의 왕위를 계승했다 690화</v>
      </c>
      <c r="F5453">
        <v>692</v>
      </c>
      <c r="G5453" t="str">
        <f>T("신타비")</f>
        <v>신타비</v>
      </c>
      <c r="J5453" t="str">
        <f>T("매드햇")</f>
        <v>매드햇</v>
      </c>
      <c r="K5453" t="str">
        <f>T("저승의 왕위를 계승했다")</f>
        <v>저승의 왕위를 계승했다</v>
      </c>
      <c r="L5453">
        <v>100</v>
      </c>
      <c r="M5453">
        <v>270</v>
      </c>
      <c r="N5453">
        <v>3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>
        <v>0</v>
      </c>
      <c r="V5453">
        <v>0</v>
      </c>
      <c r="W5453">
        <v>0</v>
      </c>
      <c r="X5453">
        <v>0</v>
      </c>
      <c r="Y5453">
        <v>0</v>
      </c>
      <c r="Z5453">
        <v>0</v>
      </c>
      <c r="AA5453">
        <v>0</v>
      </c>
      <c r="AB5453">
        <v>0</v>
      </c>
      <c r="AC5453">
        <v>0</v>
      </c>
      <c r="AD5453">
        <v>0</v>
      </c>
      <c r="AE5453">
        <v>0</v>
      </c>
      <c r="AF5453">
        <v>0</v>
      </c>
      <c r="AG5453">
        <v>0</v>
      </c>
      <c r="AH5453">
        <v>0</v>
      </c>
      <c r="AI5453">
        <v>270</v>
      </c>
      <c r="AJ5453">
        <v>3</v>
      </c>
      <c r="AK5453">
        <v>0</v>
      </c>
      <c r="AL5453">
        <v>0</v>
      </c>
      <c r="AM5453">
        <v>270</v>
      </c>
      <c r="AN5453">
        <v>0</v>
      </c>
      <c r="AO5453">
        <v>0</v>
      </c>
      <c r="AP5453">
        <v>0</v>
      </c>
      <c r="AQ5453">
        <v>0</v>
      </c>
      <c r="AS5453">
        <v>0</v>
      </c>
      <c r="AT5453">
        <v>0</v>
      </c>
      <c r="AV5453">
        <v>0</v>
      </c>
      <c r="AW5453">
        <v>0</v>
      </c>
      <c r="AY5453">
        <v>0</v>
      </c>
      <c r="AZ5453">
        <v>0</v>
      </c>
      <c r="BA5453">
        <v>189</v>
      </c>
      <c r="BE5453" t="str">
        <f>T("9791137014381")</f>
        <v>9791137014381</v>
      </c>
      <c r="BF5453" t="str">
        <f>T("D088760")</f>
        <v>D088760</v>
      </c>
      <c r="BG5453" t="str">
        <f>T("판타지 웹소설 &gt; 퓨전 판타지")</f>
        <v>판타지 웹소설 &gt; 퓨전 판타지</v>
      </c>
    </row>
    <row r="5454" spans="1:59">
      <c r="A5454" t="s">
        <v>60</v>
      </c>
      <c r="B5454" s="1">
        <v>46130</v>
      </c>
      <c r="C5454">
        <v>2378044065</v>
      </c>
      <c r="D5454">
        <v>2378077962</v>
      </c>
      <c r="E5454" t="str">
        <f>T("저승의 왕위를 계승했다 691화")</f>
        <v>저승의 왕위를 계승했다 691화</v>
      </c>
      <c r="F5454">
        <v>693</v>
      </c>
      <c r="G5454" t="str">
        <f>T("신타비")</f>
        <v>신타비</v>
      </c>
      <c r="J5454" t="str">
        <f>T("매드햇")</f>
        <v>매드햇</v>
      </c>
      <c r="K5454" t="str">
        <f>T("저승의 왕위를 계승했다")</f>
        <v>저승의 왕위를 계승했다</v>
      </c>
      <c r="L5454">
        <v>100</v>
      </c>
      <c r="M5454">
        <v>170</v>
      </c>
      <c r="N5454">
        <v>2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>
        <v>0</v>
      </c>
      <c r="V5454">
        <v>0</v>
      </c>
      <c r="W5454">
        <v>0</v>
      </c>
      <c r="X5454">
        <v>0</v>
      </c>
      <c r="Y5454">
        <v>0</v>
      </c>
      <c r="Z5454">
        <v>0</v>
      </c>
      <c r="AA5454">
        <v>0</v>
      </c>
      <c r="AB5454">
        <v>0</v>
      </c>
      <c r="AC5454">
        <v>0</v>
      </c>
      <c r="AD5454">
        <v>0</v>
      </c>
      <c r="AE5454">
        <v>0</v>
      </c>
      <c r="AF5454">
        <v>0</v>
      </c>
      <c r="AG5454">
        <v>0</v>
      </c>
      <c r="AH5454">
        <v>0</v>
      </c>
      <c r="AI5454">
        <v>170</v>
      </c>
      <c r="AJ5454">
        <v>2</v>
      </c>
      <c r="AK5454">
        <v>0</v>
      </c>
      <c r="AL5454">
        <v>0</v>
      </c>
      <c r="AM5454">
        <v>170</v>
      </c>
      <c r="AN5454">
        <v>0</v>
      </c>
      <c r="AO5454">
        <v>0</v>
      </c>
      <c r="AP5454">
        <v>0</v>
      </c>
      <c r="AQ5454">
        <v>0</v>
      </c>
      <c r="AS5454">
        <v>0</v>
      </c>
      <c r="AT5454">
        <v>0</v>
      </c>
      <c r="AV5454">
        <v>0</v>
      </c>
      <c r="AW5454">
        <v>0</v>
      </c>
      <c r="AY5454">
        <v>0</v>
      </c>
      <c r="AZ5454">
        <v>0</v>
      </c>
      <c r="BA5454">
        <v>119</v>
      </c>
      <c r="BE5454" t="str">
        <f>T("9791137014381")</f>
        <v>9791137014381</v>
      </c>
      <c r="BF5454" t="str">
        <f>T("D126941")</f>
        <v>D126941</v>
      </c>
      <c r="BG5454" t="str">
        <f>T("판타지 웹소설 &gt; 퓨전 판타지")</f>
        <v>판타지 웹소설 &gt; 퓨전 판타지</v>
      </c>
    </row>
    <row r="5455" spans="1:59">
      <c r="A5455" t="s">
        <v>60</v>
      </c>
      <c r="B5455" s="1">
        <v>46130</v>
      </c>
      <c r="C5455">
        <v>2378044065</v>
      </c>
      <c r="D5455">
        <v>2378078224</v>
      </c>
      <c r="E5455" t="str">
        <f>T("저승의 왕위를 계승했다 692화")</f>
        <v>저승의 왕위를 계승했다 692화</v>
      </c>
      <c r="F5455">
        <v>694</v>
      </c>
      <c r="G5455" t="str">
        <f>T("신타비")</f>
        <v>신타비</v>
      </c>
      <c r="J5455" t="str">
        <f>T("매드햇")</f>
        <v>매드햇</v>
      </c>
      <c r="K5455" t="str">
        <f>T("저승의 왕위를 계승했다")</f>
        <v>저승의 왕위를 계승했다</v>
      </c>
      <c r="L5455">
        <v>100</v>
      </c>
      <c r="M5455">
        <v>170</v>
      </c>
      <c r="N5455">
        <v>2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>
        <v>0</v>
      </c>
      <c r="V5455">
        <v>0</v>
      </c>
      <c r="W5455">
        <v>0</v>
      </c>
      <c r="X5455">
        <v>0</v>
      </c>
      <c r="Y5455">
        <v>0</v>
      </c>
      <c r="Z5455">
        <v>0</v>
      </c>
      <c r="AA5455">
        <v>0</v>
      </c>
      <c r="AB5455">
        <v>0</v>
      </c>
      <c r="AC5455">
        <v>0</v>
      </c>
      <c r="AD5455">
        <v>0</v>
      </c>
      <c r="AE5455">
        <v>0</v>
      </c>
      <c r="AF5455">
        <v>0</v>
      </c>
      <c r="AG5455">
        <v>0</v>
      </c>
      <c r="AH5455">
        <v>0</v>
      </c>
      <c r="AI5455">
        <v>170</v>
      </c>
      <c r="AJ5455">
        <v>2</v>
      </c>
      <c r="AK5455">
        <v>0</v>
      </c>
      <c r="AL5455">
        <v>0</v>
      </c>
      <c r="AM5455">
        <v>170</v>
      </c>
      <c r="AN5455">
        <v>0</v>
      </c>
      <c r="AO5455">
        <v>0</v>
      </c>
      <c r="AP5455">
        <v>0</v>
      </c>
      <c r="AQ5455">
        <v>0</v>
      </c>
      <c r="AS5455">
        <v>0</v>
      </c>
      <c r="AT5455">
        <v>0</v>
      </c>
      <c r="AV5455">
        <v>0</v>
      </c>
      <c r="AW5455">
        <v>0</v>
      </c>
      <c r="AY5455">
        <v>0</v>
      </c>
      <c r="AZ5455">
        <v>0</v>
      </c>
      <c r="BA5455">
        <v>119</v>
      </c>
      <c r="BE5455" t="str">
        <f>T("9791137014381")</f>
        <v>9791137014381</v>
      </c>
      <c r="BF5455" t="str">
        <f>T("D126942")</f>
        <v>D126942</v>
      </c>
      <c r="BG5455" t="str">
        <f>T("판타지 웹소설 &gt; 퓨전 판타지")</f>
        <v>판타지 웹소설 &gt; 퓨전 판타지</v>
      </c>
    </row>
    <row r="5456" spans="1:59">
      <c r="A5456" t="s">
        <v>60</v>
      </c>
      <c r="B5456" s="1">
        <v>46130</v>
      </c>
      <c r="C5456">
        <v>2378044065</v>
      </c>
      <c r="D5456">
        <v>2378078231</v>
      </c>
      <c r="E5456" t="str">
        <f>T("저승의 왕위를 계승했다 693화")</f>
        <v>저승의 왕위를 계승했다 693화</v>
      </c>
      <c r="F5456">
        <v>695</v>
      </c>
      <c r="G5456" t="str">
        <f>T("신타비")</f>
        <v>신타비</v>
      </c>
      <c r="J5456" t="str">
        <f>T("매드햇")</f>
        <v>매드햇</v>
      </c>
      <c r="K5456" t="str">
        <f>T("저승의 왕위를 계승했다")</f>
        <v>저승의 왕위를 계승했다</v>
      </c>
      <c r="L5456">
        <v>100</v>
      </c>
      <c r="M5456">
        <v>170</v>
      </c>
      <c r="N5456">
        <v>2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>
        <v>0</v>
      </c>
      <c r="V5456">
        <v>0</v>
      </c>
      <c r="W5456">
        <v>0</v>
      </c>
      <c r="X5456">
        <v>0</v>
      </c>
      <c r="Y5456">
        <v>0</v>
      </c>
      <c r="Z5456">
        <v>0</v>
      </c>
      <c r="AA5456">
        <v>0</v>
      </c>
      <c r="AB5456">
        <v>0</v>
      </c>
      <c r="AC5456">
        <v>0</v>
      </c>
      <c r="AD5456">
        <v>0</v>
      </c>
      <c r="AE5456">
        <v>0</v>
      </c>
      <c r="AF5456">
        <v>0</v>
      </c>
      <c r="AG5456">
        <v>0</v>
      </c>
      <c r="AH5456">
        <v>0</v>
      </c>
      <c r="AI5456">
        <v>170</v>
      </c>
      <c r="AJ5456">
        <v>2</v>
      </c>
      <c r="AK5456">
        <v>0</v>
      </c>
      <c r="AL5456">
        <v>0</v>
      </c>
      <c r="AM5456">
        <v>170</v>
      </c>
      <c r="AN5456">
        <v>0</v>
      </c>
      <c r="AO5456">
        <v>0</v>
      </c>
      <c r="AP5456">
        <v>0</v>
      </c>
      <c r="AQ5456">
        <v>0</v>
      </c>
      <c r="AS5456">
        <v>0</v>
      </c>
      <c r="AT5456">
        <v>0</v>
      </c>
      <c r="AV5456">
        <v>0</v>
      </c>
      <c r="AW5456">
        <v>0</v>
      </c>
      <c r="AY5456">
        <v>0</v>
      </c>
      <c r="AZ5456">
        <v>0</v>
      </c>
      <c r="BA5456">
        <v>119</v>
      </c>
      <c r="BE5456" t="str">
        <f>T("9791137014381")</f>
        <v>9791137014381</v>
      </c>
      <c r="BF5456" t="str">
        <f>T("D126943")</f>
        <v>D126943</v>
      </c>
      <c r="BG5456" t="str">
        <f>T("판타지 웹소설 &gt; 퓨전 판타지")</f>
        <v>판타지 웹소설 &gt; 퓨전 판타지</v>
      </c>
    </row>
    <row r="5457" spans="1:59">
      <c r="A5457" t="s">
        <v>60</v>
      </c>
      <c r="B5457" s="1">
        <v>46130</v>
      </c>
      <c r="C5457">
        <v>2378044065</v>
      </c>
      <c r="D5457">
        <v>2378078232</v>
      </c>
      <c r="E5457" t="str">
        <f>T("저승의 왕위를 계승했다 694화")</f>
        <v>저승의 왕위를 계승했다 694화</v>
      </c>
      <c r="F5457">
        <v>696</v>
      </c>
      <c r="G5457" t="str">
        <f>T("신타비")</f>
        <v>신타비</v>
      </c>
      <c r="J5457" t="str">
        <f>T("매드햇")</f>
        <v>매드햇</v>
      </c>
      <c r="K5457" t="str">
        <f>T("저승의 왕위를 계승했다")</f>
        <v>저승의 왕위를 계승했다</v>
      </c>
      <c r="L5457">
        <v>100</v>
      </c>
      <c r="M5457">
        <v>170</v>
      </c>
      <c r="N5457">
        <v>2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>
        <v>0</v>
      </c>
      <c r="V5457">
        <v>0</v>
      </c>
      <c r="W5457">
        <v>0</v>
      </c>
      <c r="X5457">
        <v>0</v>
      </c>
      <c r="Y5457">
        <v>0</v>
      </c>
      <c r="Z5457">
        <v>0</v>
      </c>
      <c r="AA5457">
        <v>0</v>
      </c>
      <c r="AB5457">
        <v>0</v>
      </c>
      <c r="AC5457">
        <v>0</v>
      </c>
      <c r="AD5457">
        <v>0</v>
      </c>
      <c r="AE5457">
        <v>0</v>
      </c>
      <c r="AF5457">
        <v>0</v>
      </c>
      <c r="AG5457">
        <v>0</v>
      </c>
      <c r="AH5457">
        <v>0</v>
      </c>
      <c r="AI5457">
        <v>170</v>
      </c>
      <c r="AJ5457">
        <v>2</v>
      </c>
      <c r="AK5457">
        <v>0</v>
      </c>
      <c r="AL5457">
        <v>0</v>
      </c>
      <c r="AM5457">
        <v>170</v>
      </c>
      <c r="AN5457">
        <v>0</v>
      </c>
      <c r="AO5457">
        <v>0</v>
      </c>
      <c r="AP5457">
        <v>0</v>
      </c>
      <c r="AQ5457">
        <v>0</v>
      </c>
      <c r="AS5457">
        <v>0</v>
      </c>
      <c r="AT5457">
        <v>0</v>
      </c>
      <c r="AV5457">
        <v>0</v>
      </c>
      <c r="AW5457">
        <v>0</v>
      </c>
      <c r="AY5457">
        <v>0</v>
      </c>
      <c r="AZ5457">
        <v>0</v>
      </c>
      <c r="BA5457">
        <v>119</v>
      </c>
      <c r="BE5457" t="str">
        <f>T("9791137014381")</f>
        <v>9791137014381</v>
      </c>
      <c r="BF5457" t="str">
        <f>T("D126944")</f>
        <v>D126944</v>
      </c>
      <c r="BG5457" t="str">
        <f>T("판타지 웹소설 &gt; 퓨전 판타지")</f>
        <v>판타지 웹소설 &gt; 퓨전 판타지</v>
      </c>
    </row>
    <row r="5458" spans="1:59">
      <c r="A5458" t="s">
        <v>60</v>
      </c>
      <c r="B5458" s="1">
        <v>46130</v>
      </c>
      <c r="C5458">
        <v>2378044065</v>
      </c>
      <c r="D5458">
        <v>2378078233</v>
      </c>
      <c r="E5458" t="str">
        <f>T("저승의 왕위를 계승했다 695화")</f>
        <v>저승의 왕위를 계승했다 695화</v>
      </c>
      <c r="F5458">
        <v>697</v>
      </c>
      <c r="G5458" t="str">
        <f>T("신타비")</f>
        <v>신타비</v>
      </c>
      <c r="J5458" t="str">
        <f>T("매드햇")</f>
        <v>매드햇</v>
      </c>
      <c r="K5458" t="str">
        <f>T("저승의 왕위를 계승했다")</f>
        <v>저승의 왕위를 계승했다</v>
      </c>
      <c r="L5458">
        <v>100</v>
      </c>
      <c r="M5458">
        <v>170</v>
      </c>
      <c r="N5458">
        <v>2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>
        <v>0</v>
      </c>
      <c r="V5458">
        <v>0</v>
      </c>
      <c r="W5458">
        <v>0</v>
      </c>
      <c r="X5458">
        <v>0</v>
      </c>
      <c r="Y5458">
        <v>0</v>
      </c>
      <c r="Z5458">
        <v>0</v>
      </c>
      <c r="AA5458">
        <v>0</v>
      </c>
      <c r="AB5458">
        <v>0</v>
      </c>
      <c r="AC5458">
        <v>0</v>
      </c>
      <c r="AD5458">
        <v>0</v>
      </c>
      <c r="AE5458">
        <v>0</v>
      </c>
      <c r="AF5458">
        <v>0</v>
      </c>
      <c r="AG5458">
        <v>0</v>
      </c>
      <c r="AH5458">
        <v>0</v>
      </c>
      <c r="AI5458">
        <v>170</v>
      </c>
      <c r="AJ5458">
        <v>2</v>
      </c>
      <c r="AK5458">
        <v>0</v>
      </c>
      <c r="AL5458">
        <v>0</v>
      </c>
      <c r="AM5458">
        <v>170</v>
      </c>
      <c r="AN5458">
        <v>0</v>
      </c>
      <c r="AO5458">
        <v>0</v>
      </c>
      <c r="AP5458">
        <v>0</v>
      </c>
      <c r="AQ5458">
        <v>0</v>
      </c>
      <c r="AS5458">
        <v>0</v>
      </c>
      <c r="AT5458">
        <v>0</v>
      </c>
      <c r="AV5458">
        <v>0</v>
      </c>
      <c r="AW5458">
        <v>0</v>
      </c>
      <c r="AY5458">
        <v>0</v>
      </c>
      <c r="AZ5458">
        <v>0</v>
      </c>
      <c r="BA5458">
        <v>119</v>
      </c>
      <c r="BE5458" t="str">
        <f>T("9791137014381")</f>
        <v>9791137014381</v>
      </c>
      <c r="BF5458" t="str">
        <f>T("D126945")</f>
        <v>D126945</v>
      </c>
      <c r="BG5458" t="str">
        <f>T("판타지 웹소설 &gt; 퓨전 판타지")</f>
        <v>판타지 웹소설 &gt; 퓨전 판타지</v>
      </c>
    </row>
    <row r="5459" spans="1:59">
      <c r="A5459" t="s">
        <v>60</v>
      </c>
      <c r="B5459" s="1">
        <v>46130</v>
      </c>
      <c r="C5459">
        <v>2378044065</v>
      </c>
      <c r="D5459">
        <v>2378078234</v>
      </c>
      <c r="E5459" t="str">
        <f>T("저승의 왕위를 계승했다 696화")</f>
        <v>저승의 왕위를 계승했다 696화</v>
      </c>
      <c r="F5459">
        <v>698</v>
      </c>
      <c r="G5459" t="str">
        <f>T("신타비")</f>
        <v>신타비</v>
      </c>
      <c r="J5459" t="str">
        <f>T("매드햇")</f>
        <v>매드햇</v>
      </c>
      <c r="K5459" t="str">
        <f>T("저승의 왕위를 계승했다")</f>
        <v>저승의 왕위를 계승했다</v>
      </c>
      <c r="L5459">
        <v>100</v>
      </c>
      <c r="M5459">
        <v>170</v>
      </c>
      <c r="N5459">
        <v>2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>
        <v>0</v>
      </c>
      <c r="V5459">
        <v>0</v>
      </c>
      <c r="W5459">
        <v>0</v>
      </c>
      <c r="X5459">
        <v>0</v>
      </c>
      <c r="Y5459">
        <v>0</v>
      </c>
      <c r="Z5459">
        <v>0</v>
      </c>
      <c r="AA5459">
        <v>0</v>
      </c>
      <c r="AB5459">
        <v>0</v>
      </c>
      <c r="AC5459">
        <v>0</v>
      </c>
      <c r="AD5459">
        <v>0</v>
      </c>
      <c r="AE5459">
        <v>0</v>
      </c>
      <c r="AF5459">
        <v>0</v>
      </c>
      <c r="AG5459">
        <v>0</v>
      </c>
      <c r="AH5459">
        <v>0</v>
      </c>
      <c r="AI5459">
        <v>170</v>
      </c>
      <c r="AJ5459">
        <v>2</v>
      </c>
      <c r="AK5459">
        <v>0</v>
      </c>
      <c r="AL5459">
        <v>0</v>
      </c>
      <c r="AM5459">
        <v>170</v>
      </c>
      <c r="AN5459">
        <v>0</v>
      </c>
      <c r="AO5459">
        <v>0</v>
      </c>
      <c r="AP5459">
        <v>0</v>
      </c>
      <c r="AQ5459">
        <v>0</v>
      </c>
      <c r="AS5459">
        <v>0</v>
      </c>
      <c r="AT5459">
        <v>0</v>
      </c>
      <c r="AV5459">
        <v>0</v>
      </c>
      <c r="AW5459">
        <v>0</v>
      </c>
      <c r="AY5459">
        <v>0</v>
      </c>
      <c r="AZ5459">
        <v>0</v>
      </c>
      <c r="BA5459">
        <v>119</v>
      </c>
      <c r="BE5459" t="str">
        <f>T("9791137014381")</f>
        <v>9791137014381</v>
      </c>
      <c r="BF5459" t="str">
        <f>T("D126946")</f>
        <v>D126946</v>
      </c>
      <c r="BG5459" t="str">
        <f>T("판타지 웹소설 &gt; 퓨전 판타지")</f>
        <v>판타지 웹소설 &gt; 퓨전 판타지</v>
      </c>
    </row>
    <row r="5460" spans="1:59">
      <c r="A5460" t="s">
        <v>60</v>
      </c>
      <c r="B5460" s="1">
        <v>46130</v>
      </c>
      <c r="C5460">
        <v>2378044065</v>
      </c>
      <c r="D5460">
        <v>2378078324</v>
      </c>
      <c r="E5460" t="str">
        <f>T("저승의 왕위를 계승했다 697화")</f>
        <v>저승의 왕위를 계승했다 697화</v>
      </c>
      <c r="F5460">
        <v>699</v>
      </c>
      <c r="G5460" t="str">
        <f>T("신타비")</f>
        <v>신타비</v>
      </c>
      <c r="J5460" t="str">
        <f>T("매드햇")</f>
        <v>매드햇</v>
      </c>
      <c r="K5460" t="str">
        <f>T("저승의 왕위를 계승했다")</f>
        <v>저승의 왕위를 계승했다</v>
      </c>
      <c r="L5460">
        <v>100</v>
      </c>
      <c r="M5460">
        <v>100</v>
      </c>
      <c r="N5460">
        <v>1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>
        <v>0</v>
      </c>
      <c r="V5460">
        <v>0</v>
      </c>
      <c r="W5460">
        <v>0</v>
      </c>
      <c r="X5460">
        <v>0</v>
      </c>
      <c r="Y5460">
        <v>0</v>
      </c>
      <c r="Z5460">
        <v>0</v>
      </c>
      <c r="AA5460">
        <v>0</v>
      </c>
      <c r="AB5460">
        <v>0</v>
      </c>
      <c r="AC5460">
        <v>0</v>
      </c>
      <c r="AD5460">
        <v>0</v>
      </c>
      <c r="AE5460">
        <v>0</v>
      </c>
      <c r="AF5460">
        <v>0</v>
      </c>
      <c r="AG5460">
        <v>0</v>
      </c>
      <c r="AH5460">
        <v>0</v>
      </c>
      <c r="AI5460">
        <v>100</v>
      </c>
      <c r="AJ5460">
        <v>1</v>
      </c>
      <c r="AK5460">
        <v>0</v>
      </c>
      <c r="AL5460">
        <v>0</v>
      </c>
      <c r="AM5460">
        <v>100</v>
      </c>
      <c r="AN5460">
        <v>0</v>
      </c>
      <c r="AO5460">
        <v>0</v>
      </c>
      <c r="AP5460">
        <v>0</v>
      </c>
      <c r="AQ5460">
        <v>0</v>
      </c>
      <c r="AS5460">
        <v>0</v>
      </c>
      <c r="AT5460">
        <v>0</v>
      </c>
      <c r="AV5460">
        <v>0</v>
      </c>
      <c r="AW5460">
        <v>0</v>
      </c>
      <c r="AY5460">
        <v>0</v>
      </c>
      <c r="AZ5460">
        <v>0</v>
      </c>
      <c r="BA5460">
        <v>70</v>
      </c>
      <c r="BE5460" t="str">
        <f>T("9791137014381")</f>
        <v>9791137014381</v>
      </c>
      <c r="BF5460" t="str">
        <f>T("D126947")</f>
        <v>D126947</v>
      </c>
      <c r="BG5460" t="str">
        <f>T("판타지 웹소설 &gt; 퓨전 판타지")</f>
        <v>판타지 웹소설 &gt; 퓨전 판타지</v>
      </c>
    </row>
    <row r="5461" spans="1:59">
      <c r="A5461" t="s">
        <v>60</v>
      </c>
      <c r="B5461" s="1">
        <v>46130</v>
      </c>
      <c r="C5461">
        <v>2378044065</v>
      </c>
      <c r="D5461">
        <v>2378078325</v>
      </c>
      <c r="E5461" t="str">
        <f>T("저승의 왕위를 계승했다 698화")</f>
        <v>저승의 왕위를 계승했다 698화</v>
      </c>
      <c r="F5461">
        <v>700</v>
      </c>
      <c r="G5461" t="str">
        <f>T("신타비")</f>
        <v>신타비</v>
      </c>
      <c r="J5461" t="str">
        <f>T("매드햇")</f>
        <v>매드햇</v>
      </c>
      <c r="K5461" t="str">
        <f>T("저승의 왕위를 계승했다")</f>
        <v>저승의 왕위를 계승했다</v>
      </c>
      <c r="L5461">
        <v>100</v>
      </c>
      <c r="M5461">
        <v>100</v>
      </c>
      <c r="N5461">
        <v>1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>
        <v>0</v>
      </c>
      <c r="V5461">
        <v>0</v>
      </c>
      <c r="W5461">
        <v>0</v>
      </c>
      <c r="X5461">
        <v>0</v>
      </c>
      <c r="Y5461">
        <v>0</v>
      </c>
      <c r="Z5461">
        <v>0</v>
      </c>
      <c r="AA5461">
        <v>0</v>
      </c>
      <c r="AB5461">
        <v>0</v>
      </c>
      <c r="AC5461">
        <v>0</v>
      </c>
      <c r="AD5461">
        <v>0</v>
      </c>
      <c r="AE5461">
        <v>0</v>
      </c>
      <c r="AF5461">
        <v>0</v>
      </c>
      <c r="AG5461">
        <v>0</v>
      </c>
      <c r="AH5461">
        <v>0</v>
      </c>
      <c r="AI5461">
        <v>100</v>
      </c>
      <c r="AJ5461">
        <v>1</v>
      </c>
      <c r="AK5461">
        <v>0</v>
      </c>
      <c r="AL5461">
        <v>0</v>
      </c>
      <c r="AM5461">
        <v>100</v>
      </c>
      <c r="AN5461">
        <v>0</v>
      </c>
      <c r="AO5461">
        <v>0</v>
      </c>
      <c r="AP5461">
        <v>0</v>
      </c>
      <c r="AQ5461">
        <v>0</v>
      </c>
      <c r="AS5461">
        <v>0</v>
      </c>
      <c r="AT5461">
        <v>0</v>
      </c>
      <c r="AV5461">
        <v>0</v>
      </c>
      <c r="AW5461">
        <v>0</v>
      </c>
      <c r="AY5461">
        <v>0</v>
      </c>
      <c r="AZ5461">
        <v>0</v>
      </c>
      <c r="BA5461">
        <v>70</v>
      </c>
      <c r="BE5461" t="str">
        <f>T("9791137014381")</f>
        <v>9791137014381</v>
      </c>
      <c r="BF5461" t="str">
        <f>T("D126948")</f>
        <v>D126948</v>
      </c>
      <c r="BG5461" t="str">
        <f>T("판타지 웹소설 &gt; 퓨전 판타지")</f>
        <v>판타지 웹소설 &gt; 퓨전 판타지</v>
      </c>
    </row>
    <row r="5462" spans="1:59">
      <c r="A5462" t="s">
        <v>60</v>
      </c>
      <c r="B5462" s="1">
        <v>46130</v>
      </c>
      <c r="C5462">
        <v>2378044065</v>
      </c>
      <c r="D5462">
        <v>2378078326</v>
      </c>
      <c r="E5462" t="str">
        <f>T("저승의 왕위를 계승했다 699화")</f>
        <v>저승의 왕위를 계승했다 699화</v>
      </c>
      <c r="F5462">
        <v>701</v>
      </c>
      <c r="G5462" t="str">
        <f>T("신타비")</f>
        <v>신타비</v>
      </c>
      <c r="J5462" t="str">
        <f>T("매드햇")</f>
        <v>매드햇</v>
      </c>
      <c r="K5462" t="str">
        <f>T("저승의 왕위를 계승했다")</f>
        <v>저승의 왕위를 계승했다</v>
      </c>
      <c r="L5462">
        <v>100</v>
      </c>
      <c r="M5462">
        <v>100</v>
      </c>
      <c r="N5462">
        <v>1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>
        <v>0</v>
      </c>
      <c r="V5462">
        <v>0</v>
      </c>
      <c r="W5462">
        <v>0</v>
      </c>
      <c r="X5462">
        <v>0</v>
      </c>
      <c r="Y5462">
        <v>0</v>
      </c>
      <c r="Z5462">
        <v>0</v>
      </c>
      <c r="AA5462">
        <v>0</v>
      </c>
      <c r="AB5462">
        <v>0</v>
      </c>
      <c r="AC5462">
        <v>0</v>
      </c>
      <c r="AD5462">
        <v>0</v>
      </c>
      <c r="AE5462">
        <v>0</v>
      </c>
      <c r="AF5462">
        <v>0</v>
      </c>
      <c r="AG5462">
        <v>0</v>
      </c>
      <c r="AH5462">
        <v>0</v>
      </c>
      <c r="AI5462">
        <v>100</v>
      </c>
      <c r="AJ5462">
        <v>1</v>
      </c>
      <c r="AK5462">
        <v>0</v>
      </c>
      <c r="AL5462">
        <v>0</v>
      </c>
      <c r="AM5462">
        <v>100</v>
      </c>
      <c r="AN5462">
        <v>0</v>
      </c>
      <c r="AO5462">
        <v>0</v>
      </c>
      <c r="AP5462">
        <v>0</v>
      </c>
      <c r="AQ5462">
        <v>0</v>
      </c>
      <c r="AS5462">
        <v>0</v>
      </c>
      <c r="AT5462">
        <v>0</v>
      </c>
      <c r="AV5462">
        <v>0</v>
      </c>
      <c r="AW5462">
        <v>0</v>
      </c>
      <c r="AY5462">
        <v>0</v>
      </c>
      <c r="AZ5462">
        <v>0</v>
      </c>
      <c r="BA5462">
        <v>70</v>
      </c>
      <c r="BE5462" t="str">
        <f>T("9791137014381")</f>
        <v>9791137014381</v>
      </c>
      <c r="BF5462" t="str">
        <f>T("D126949")</f>
        <v>D126949</v>
      </c>
      <c r="BG5462" t="str">
        <f>T("판타지 웹소설 &gt; 퓨전 판타지")</f>
        <v>판타지 웹소설 &gt; 퓨전 판타지</v>
      </c>
    </row>
    <row r="5463" spans="1:59">
      <c r="A5463" t="s">
        <v>60</v>
      </c>
      <c r="B5463" s="1">
        <v>46130</v>
      </c>
      <c r="C5463">
        <v>2378044065</v>
      </c>
      <c r="D5463">
        <v>2378078327</v>
      </c>
      <c r="E5463" t="str">
        <f>T("저승의 왕위를 계승했다 700화")</f>
        <v>저승의 왕위를 계승했다 700화</v>
      </c>
      <c r="F5463">
        <v>702</v>
      </c>
      <c r="G5463" t="str">
        <f>T("신타비")</f>
        <v>신타비</v>
      </c>
      <c r="J5463" t="str">
        <f>T("매드햇")</f>
        <v>매드햇</v>
      </c>
      <c r="K5463" t="str">
        <f>T("저승의 왕위를 계승했다")</f>
        <v>저승의 왕위를 계승했다</v>
      </c>
      <c r="L5463">
        <v>100</v>
      </c>
      <c r="M5463">
        <v>100</v>
      </c>
      <c r="N5463">
        <v>1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>
        <v>0</v>
      </c>
      <c r="V5463">
        <v>0</v>
      </c>
      <c r="W5463">
        <v>0</v>
      </c>
      <c r="X5463">
        <v>0</v>
      </c>
      <c r="Y5463">
        <v>0</v>
      </c>
      <c r="Z5463">
        <v>0</v>
      </c>
      <c r="AA5463">
        <v>0</v>
      </c>
      <c r="AB5463">
        <v>0</v>
      </c>
      <c r="AC5463">
        <v>0</v>
      </c>
      <c r="AD5463">
        <v>0</v>
      </c>
      <c r="AE5463">
        <v>0</v>
      </c>
      <c r="AF5463">
        <v>0</v>
      </c>
      <c r="AG5463">
        <v>0</v>
      </c>
      <c r="AH5463">
        <v>0</v>
      </c>
      <c r="AI5463">
        <v>100</v>
      </c>
      <c r="AJ5463">
        <v>1</v>
      </c>
      <c r="AK5463">
        <v>0</v>
      </c>
      <c r="AL5463">
        <v>0</v>
      </c>
      <c r="AM5463">
        <v>100</v>
      </c>
      <c r="AN5463">
        <v>0</v>
      </c>
      <c r="AO5463">
        <v>0</v>
      </c>
      <c r="AP5463">
        <v>0</v>
      </c>
      <c r="AQ5463">
        <v>0</v>
      </c>
      <c r="AS5463">
        <v>0</v>
      </c>
      <c r="AT5463">
        <v>0</v>
      </c>
      <c r="AV5463">
        <v>0</v>
      </c>
      <c r="AW5463">
        <v>0</v>
      </c>
      <c r="AY5463">
        <v>0</v>
      </c>
      <c r="AZ5463">
        <v>0</v>
      </c>
      <c r="BA5463">
        <v>70</v>
      </c>
      <c r="BE5463" t="str">
        <f>T("9791137014381")</f>
        <v>9791137014381</v>
      </c>
      <c r="BF5463" t="str">
        <f>T("D126950")</f>
        <v>D126950</v>
      </c>
      <c r="BG5463" t="str">
        <f>T("판타지 웹소설 &gt; 퓨전 판타지")</f>
        <v>판타지 웹소설 &gt; 퓨전 판타지</v>
      </c>
    </row>
    <row r="5464" spans="1:59">
      <c r="A5464" t="s">
        <v>60</v>
      </c>
      <c r="B5464" s="1">
        <v>46130</v>
      </c>
      <c r="C5464">
        <v>2378044065</v>
      </c>
      <c r="D5464">
        <v>2378078369</v>
      </c>
      <c r="E5464" t="str">
        <f>T("저승의 왕위를 계승했다 701화")</f>
        <v>저승의 왕위를 계승했다 701화</v>
      </c>
      <c r="F5464">
        <v>703</v>
      </c>
      <c r="G5464" t="str">
        <f>T("신타비")</f>
        <v>신타비</v>
      </c>
      <c r="J5464" t="str">
        <f>T("매드햇")</f>
        <v>매드햇</v>
      </c>
      <c r="K5464" t="str">
        <f>T("저승의 왕위를 계승했다")</f>
        <v>저승의 왕위를 계승했다</v>
      </c>
      <c r="L5464">
        <v>100</v>
      </c>
      <c r="M5464">
        <v>100</v>
      </c>
      <c r="N5464">
        <v>1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>
        <v>0</v>
      </c>
      <c r="V5464">
        <v>0</v>
      </c>
      <c r="W5464">
        <v>0</v>
      </c>
      <c r="X5464">
        <v>0</v>
      </c>
      <c r="Y5464">
        <v>0</v>
      </c>
      <c r="Z5464">
        <v>0</v>
      </c>
      <c r="AA5464">
        <v>0</v>
      </c>
      <c r="AB5464">
        <v>0</v>
      </c>
      <c r="AC5464">
        <v>0</v>
      </c>
      <c r="AD5464">
        <v>0</v>
      </c>
      <c r="AE5464">
        <v>0</v>
      </c>
      <c r="AF5464">
        <v>0</v>
      </c>
      <c r="AG5464">
        <v>0</v>
      </c>
      <c r="AH5464">
        <v>0</v>
      </c>
      <c r="AI5464">
        <v>100</v>
      </c>
      <c r="AJ5464">
        <v>1</v>
      </c>
      <c r="AK5464">
        <v>0</v>
      </c>
      <c r="AL5464">
        <v>0</v>
      </c>
      <c r="AM5464">
        <v>100</v>
      </c>
      <c r="AN5464">
        <v>0</v>
      </c>
      <c r="AO5464">
        <v>0</v>
      </c>
      <c r="AP5464">
        <v>0</v>
      </c>
      <c r="AQ5464">
        <v>0</v>
      </c>
      <c r="AS5464">
        <v>0</v>
      </c>
      <c r="AT5464">
        <v>0</v>
      </c>
      <c r="AV5464">
        <v>0</v>
      </c>
      <c r="AW5464">
        <v>0</v>
      </c>
      <c r="AY5464">
        <v>0</v>
      </c>
      <c r="AZ5464">
        <v>0</v>
      </c>
      <c r="BA5464">
        <v>70</v>
      </c>
      <c r="BE5464" t="str">
        <f>T("9791137014381")</f>
        <v>9791137014381</v>
      </c>
      <c r="BF5464" t="str">
        <f>T("D126951")</f>
        <v>D126951</v>
      </c>
      <c r="BG5464" t="str">
        <f>T("판타지 웹소설 &gt; 퓨전 판타지")</f>
        <v>판타지 웹소설 &gt; 퓨전 판타지</v>
      </c>
    </row>
    <row r="5465" spans="1:59">
      <c r="A5465" t="s">
        <v>60</v>
      </c>
      <c r="B5465" s="1">
        <v>46130</v>
      </c>
      <c r="C5465">
        <v>2378044065</v>
      </c>
      <c r="D5465">
        <v>2378078370</v>
      </c>
      <c r="E5465" t="str">
        <f>T("저승의 왕위를 계승했다 702화")</f>
        <v>저승의 왕위를 계승했다 702화</v>
      </c>
      <c r="F5465">
        <v>704</v>
      </c>
      <c r="G5465" t="str">
        <f>T("신타비")</f>
        <v>신타비</v>
      </c>
      <c r="J5465" t="str">
        <f>T("매드햇")</f>
        <v>매드햇</v>
      </c>
      <c r="K5465" t="str">
        <f>T("저승의 왕위를 계승했다")</f>
        <v>저승의 왕위를 계승했다</v>
      </c>
      <c r="L5465">
        <v>100</v>
      </c>
      <c r="M5465">
        <v>100</v>
      </c>
      <c r="N5465">
        <v>1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>
        <v>0</v>
      </c>
      <c r="V5465">
        <v>0</v>
      </c>
      <c r="W5465">
        <v>0</v>
      </c>
      <c r="X5465">
        <v>0</v>
      </c>
      <c r="Y5465">
        <v>0</v>
      </c>
      <c r="Z5465">
        <v>0</v>
      </c>
      <c r="AA5465">
        <v>0</v>
      </c>
      <c r="AB5465">
        <v>0</v>
      </c>
      <c r="AC5465">
        <v>0</v>
      </c>
      <c r="AD5465">
        <v>0</v>
      </c>
      <c r="AE5465">
        <v>0</v>
      </c>
      <c r="AF5465">
        <v>0</v>
      </c>
      <c r="AG5465">
        <v>0</v>
      </c>
      <c r="AH5465">
        <v>0</v>
      </c>
      <c r="AI5465">
        <v>100</v>
      </c>
      <c r="AJ5465">
        <v>1</v>
      </c>
      <c r="AK5465">
        <v>0</v>
      </c>
      <c r="AL5465">
        <v>0</v>
      </c>
      <c r="AM5465">
        <v>100</v>
      </c>
      <c r="AN5465">
        <v>0</v>
      </c>
      <c r="AO5465">
        <v>0</v>
      </c>
      <c r="AP5465">
        <v>0</v>
      </c>
      <c r="AQ5465">
        <v>0</v>
      </c>
      <c r="AS5465">
        <v>0</v>
      </c>
      <c r="AT5465">
        <v>0</v>
      </c>
      <c r="AV5465">
        <v>0</v>
      </c>
      <c r="AW5465">
        <v>0</v>
      </c>
      <c r="AY5465">
        <v>0</v>
      </c>
      <c r="AZ5465">
        <v>0</v>
      </c>
      <c r="BA5465">
        <v>70</v>
      </c>
      <c r="BE5465" t="str">
        <f>T("9791137014381")</f>
        <v>9791137014381</v>
      </c>
      <c r="BF5465" t="str">
        <f>T("D126952")</f>
        <v>D126952</v>
      </c>
      <c r="BG5465" t="str">
        <f>T("판타지 웹소설 &gt; 퓨전 판타지")</f>
        <v>판타지 웹소설 &gt; 퓨전 판타지</v>
      </c>
    </row>
    <row r="5466" spans="1:59">
      <c r="A5466" t="s">
        <v>60</v>
      </c>
      <c r="B5466" s="1">
        <v>46130</v>
      </c>
      <c r="C5466">
        <v>2378044065</v>
      </c>
      <c r="D5466">
        <v>2378078371</v>
      </c>
      <c r="E5466" t="str">
        <f>T("저승의 왕위를 계승했다 703화")</f>
        <v>저승의 왕위를 계승했다 703화</v>
      </c>
      <c r="F5466">
        <v>705</v>
      </c>
      <c r="G5466" t="str">
        <f>T("신타비")</f>
        <v>신타비</v>
      </c>
      <c r="J5466" t="str">
        <f>T("매드햇")</f>
        <v>매드햇</v>
      </c>
      <c r="K5466" t="str">
        <f>T("저승의 왕위를 계승했다")</f>
        <v>저승의 왕위를 계승했다</v>
      </c>
      <c r="L5466">
        <v>100</v>
      </c>
      <c r="M5466">
        <v>100</v>
      </c>
      <c r="N5466">
        <v>1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>
        <v>0</v>
      </c>
      <c r="V5466">
        <v>0</v>
      </c>
      <c r="W5466">
        <v>0</v>
      </c>
      <c r="X5466">
        <v>0</v>
      </c>
      <c r="Y5466">
        <v>0</v>
      </c>
      <c r="Z5466">
        <v>0</v>
      </c>
      <c r="AA5466">
        <v>0</v>
      </c>
      <c r="AB5466">
        <v>0</v>
      </c>
      <c r="AC5466">
        <v>0</v>
      </c>
      <c r="AD5466">
        <v>0</v>
      </c>
      <c r="AE5466">
        <v>0</v>
      </c>
      <c r="AF5466">
        <v>0</v>
      </c>
      <c r="AG5466">
        <v>0</v>
      </c>
      <c r="AH5466">
        <v>0</v>
      </c>
      <c r="AI5466">
        <v>100</v>
      </c>
      <c r="AJ5466">
        <v>1</v>
      </c>
      <c r="AK5466">
        <v>0</v>
      </c>
      <c r="AL5466">
        <v>0</v>
      </c>
      <c r="AM5466">
        <v>100</v>
      </c>
      <c r="AN5466">
        <v>0</v>
      </c>
      <c r="AO5466">
        <v>0</v>
      </c>
      <c r="AP5466">
        <v>0</v>
      </c>
      <c r="AQ5466">
        <v>0</v>
      </c>
      <c r="AS5466">
        <v>0</v>
      </c>
      <c r="AT5466">
        <v>0</v>
      </c>
      <c r="AV5466">
        <v>0</v>
      </c>
      <c r="AW5466">
        <v>0</v>
      </c>
      <c r="AY5466">
        <v>0</v>
      </c>
      <c r="AZ5466">
        <v>0</v>
      </c>
      <c r="BA5466">
        <v>70</v>
      </c>
      <c r="BE5466" t="str">
        <f>T("9791137014381")</f>
        <v>9791137014381</v>
      </c>
      <c r="BF5466" t="str">
        <f>T("D126953")</f>
        <v>D126953</v>
      </c>
      <c r="BG5466" t="str">
        <f>T("판타지 웹소설 &gt; 퓨전 판타지")</f>
        <v>판타지 웹소설 &gt; 퓨전 판타지</v>
      </c>
    </row>
    <row r="5467" spans="1:59">
      <c r="A5467" t="s">
        <v>60</v>
      </c>
      <c r="B5467" s="1">
        <v>46130</v>
      </c>
      <c r="C5467">
        <v>2378044065</v>
      </c>
      <c r="D5467">
        <v>2378078372</v>
      </c>
      <c r="E5467" t="str">
        <f>T("저승의 왕위를 계승했다 704화")</f>
        <v>저승의 왕위를 계승했다 704화</v>
      </c>
      <c r="F5467">
        <v>706</v>
      </c>
      <c r="G5467" t="str">
        <f>T("신타비")</f>
        <v>신타비</v>
      </c>
      <c r="J5467" t="str">
        <f>T("매드햇")</f>
        <v>매드햇</v>
      </c>
      <c r="K5467" t="str">
        <f>T("저승의 왕위를 계승했다")</f>
        <v>저승의 왕위를 계승했다</v>
      </c>
      <c r="L5467">
        <v>100</v>
      </c>
      <c r="M5467">
        <v>100</v>
      </c>
      <c r="N5467">
        <v>1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>
        <v>0</v>
      </c>
      <c r="V5467">
        <v>0</v>
      </c>
      <c r="W5467">
        <v>0</v>
      </c>
      <c r="X5467">
        <v>0</v>
      </c>
      <c r="Y5467">
        <v>0</v>
      </c>
      <c r="Z5467">
        <v>0</v>
      </c>
      <c r="AA5467">
        <v>0</v>
      </c>
      <c r="AB5467">
        <v>0</v>
      </c>
      <c r="AC5467">
        <v>0</v>
      </c>
      <c r="AD5467">
        <v>0</v>
      </c>
      <c r="AE5467">
        <v>0</v>
      </c>
      <c r="AF5467">
        <v>0</v>
      </c>
      <c r="AG5467">
        <v>0</v>
      </c>
      <c r="AH5467">
        <v>0</v>
      </c>
      <c r="AI5467">
        <v>100</v>
      </c>
      <c r="AJ5467">
        <v>1</v>
      </c>
      <c r="AK5467">
        <v>0</v>
      </c>
      <c r="AL5467">
        <v>0</v>
      </c>
      <c r="AM5467">
        <v>100</v>
      </c>
      <c r="AN5467">
        <v>0</v>
      </c>
      <c r="AO5467">
        <v>0</v>
      </c>
      <c r="AP5467">
        <v>0</v>
      </c>
      <c r="AQ5467">
        <v>0</v>
      </c>
      <c r="AS5467">
        <v>0</v>
      </c>
      <c r="AT5467">
        <v>0</v>
      </c>
      <c r="AV5467">
        <v>0</v>
      </c>
      <c r="AW5467">
        <v>0</v>
      </c>
      <c r="AY5467">
        <v>0</v>
      </c>
      <c r="AZ5467">
        <v>0</v>
      </c>
      <c r="BA5467">
        <v>70</v>
      </c>
      <c r="BE5467" t="str">
        <f>T("9791137014381")</f>
        <v>9791137014381</v>
      </c>
      <c r="BF5467" t="str">
        <f>T("D126954")</f>
        <v>D126954</v>
      </c>
      <c r="BG5467" t="str">
        <f>T("판타지 웹소설 &gt; 퓨전 판타지")</f>
        <v>판타지 웹소설 &gt; 퓨전 판타지</v>
      </c>
    </row>
    <row r="5468" spans="1:59">
      <c r="A5468" t="s">
        <v>60</v>
      </c>
      <c r="B5468" s="1">
        <v>46130</v>
      </c>
      <c r="C5468">
        <v>2378044065</v>
      </c>
      <c r="D5468">
        <v>2378078373</v>
      </c>
      <c r="E5468" t="str">
        <f>T("저승의 왕위를 계승했다 705화")</f>
        <v>저승의 왕위를 계승했다 705화</v>
      </c>
      <c r="F5468">
        <v>707</v>
      </c>
      <c r="G5468" t="str">
        <f>T("신타비")</f>
        <v>신타비</v>
      </c>
      <c r="J5468" t="str">
        <f>T("매드햇")</f>
        <v>매드햇</v>
      </c>
      <c r="K5468" t="str">
        <f>T("저승의 왕위를 계승했다")</f>
        <v>저승의 왕위를 계승했다</v>
      </c>
      <c r="L5468">
        <v>100</v>
      </c>
      <c r="M5468">
        <v>100</v>
      </c>
      <c r="N5468">
        <v>1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>
        <v>0</v>
      </c>
      <c r="V5468">
        <v>0</v>
      </c>
      <c r="W5468">
        <v>0</v>
      </c>
      <c r="X5468">
        <v>0</v>
      </c>
      <c r="Y5468">
        <v>0</v>
      </c>
      <c r="Z5468">
        <v>0</v>
      </c>
      <c r="AA5468">
        <v>0</v>
      </c>
      <c r="AB5468">
        <v>0</v>
      </c>
      <c r="AC5468">
        <v>0</v>
      </c>
      <c r="AD5468">
        <v>0</v>
      </c>
      <c r="AE5468">
        <v>0</v>
      </c>
      <c r="AF5468">
        <v>0</v>
      </c>
      <c r="AG5468">
        <v>0</v>
      </c>
      <c r="AH5468">
        <v>0</v>
      </c>
      <c r="AI5468">
        <v>100</v>
      </c>
      <c r="AJ5468">
        <v>1</v>
      </c>
      <c r="AK5468">
        <v>0</v>
      </c>
      <c r="AL5468">
        <v>0</v>
      </c>
      <c r="AM5468">
        <v>100</v>
      </c>
      <c r="AN5468">
        <v>0</v>
      </c>
      <c r="AO5468">
        <v>0</v>
      </c>
      <c r="AP5468">
        <v>0</v>
      </c>
      <c r="AQ5468">
        <v>0</v>
      </c>
      <c r="AS5468">
        <v>0</v>
      </c>
      <c r="AT5468">
        <v>0</v>
      </c>
      <c r="AV5468">
        <v>0</v>
      </c>
      <c r="AW5468">
        <v>0</v>
      </c>
      <c r="AY5468">
        <v>0</v>
      </c>
      <c r="AZ5468">
        <v>0</v>
      </c>
      <c r="BA5468">
        <v>70</v>
      </c>
      <c r="BE5468" t="str">
        <f>T("9791137014381")</f>
        <v>9791137014381</v>
      </c>
      <c r="BF5468" t="str">
        <f>T("D126955")</f>
        <v>D126955</v>
      </c>
      <c r="BG5468" t="str">
        <f>T("판타지 웹소설 &gt; 퓨전 판타지")</f>
        <v>판타지 웹소설 &gt; 퓨전 판타지</v>
      </c>
    </row>
    <row r="5469" spans="1:59">
      <c r="A5469" t="s">
        <v>60</v>
      </c>
      <c r="B5469" s="1">
        <v>46130</v>
      </c>
      <c r="C5469">
        <v>2378044065</v>
      </c>
      <c r="D5469">
        <v>2378078374</v>
      </c>
      <c r="E5469" t="str">
        <f>T("저승의 왕위를 계승했다 706화")</f>
        <v>저승의 왕위를 계승했다 706화</v>
      </c>
      <c r="F5469">
        <v>708</v>
      </c>
      <c r="G5469" t="str">
        <f>T("신타비")</f>
        <v>신타비</v>
      </c>
      <c r="J5469" t="str">
        <f>T("매드햇")</f>
        <v>매드햇</v>
      </c>
      <c r="K5469" t="str">
        <f>T("저승의 왕위를 계승했다")</f>
        <v>저승의 왕위를 계승했다</v>
      </c>
      <c r="L5469">
        <v>100</v>
      </c>
      <c r="M5469">
        <v>100</v>
      </c>
      <c r="N5469">
        <v>1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>
        <v>0</v>
      </c>
      <c r="V5469">
        <v>0</v>
      </c>
      <c r="W5469">
        <v>0</v>
      </c>
      <c r="X5469">
        <v>0</v>
      </c>
      <c r="Y5469">
        <v>0</v>
      </c>
      <c r="Z5469">
        <v>0</v>
      </c>
      <c r="AA5469">
        <v>0</v>
      </c>
      <c r="AB5469">
        <v>0</v>
      </c>
      <c r="AC5469">
        <v>0</v>
      </c>
      <c r="AD5469">
        <v>0</v>
      </c>
      <c r="AE5469">
        <v>0</v>
      </c>
      <c r="AF5469">
        <v>0</v>
      </c>
      <c r="AG5469">
        <v>0</v>
      </c>
      <c r="AH5469">
        <v>0</v>
      </c>
      <c r="AI5469">
        <v>100</v>
      </c>
      <c r="AJ5469">
        <v>1</v>
      </c>
      <c r="AK5469">
        <v>0</v>
      </c>
      <c r="AL5469">
        <v>0</v>
      </c>
      <c r="AM5469">
        <v>100</v>
      </c>
      <c r="AN5469">
        <v>0</v>
      </c>
      <c r="AO5469">
        <v>0</v>
      </c>
      <c r="AP5469">
        <v>0</v>
      </c>
      <c r="AQ5469">
        <v>0</v>
      </c>
      <c r="AS5469">
        <v>0</v>
      </c>
      <c r="AT5469">
        <v>0</v>
      </c>
      <c r="AV5469">
        <v>0</v>
      </c>
      <c r="AW5469">
        <v>0</v>
      </c>
      <c r="AY5469">
        <v>0</v>
      </c>
      <c r="AZ5469">
        <v>0</v>
      </c>
      <c r="BA5469">
        <v>70</v>
      </c>
      <c r="BE5469" t="str">
        <f>T("9791137014381")</f>
        <v>9791137014381</v>
      </c>
      <c r="BF5469" t="str">
        <f>T("D126956")</f>
        <v>D126956</v>
      </c>
      <c r="BG5469" t="str">
        <f>T("판타지 웹소설 &gt; 퓨전 판타지")</f>
        <v>판타지 웹소설 &gt; 퓨전 판타지</v>
      </c>
    </row>
    <row r="5470" spans="1:59">
      <c r="A5470" t="s">
        <v>60</v>
      </c>
      <c r="B5470" s="1">
        <v>46130</v>
      </c>
      <c r="C5470">
        <v>2378044065</v>
      </c>
      <c r="D5470">
        <v>2378078434</v>
      </c>
      <c r="E5470" t="str">
        <f>T("저승의 왕위를 계승했다 707화")</f>
        <v>저승의 왕위를 계승했다 707화</v>
      </c>
      <c r="F5470">
        <v>709</v>
      </c>
      <c r="G5470" t="str">
        <f>T("신타비")</f>
        <v>신타비</v>
      </c>
      <c r="J5470" t="str">
        <f>T("매드햇")</f>
        <v>매드햇</v>
      </c>
      <c r="K5470" t="str">
        <f>T("저승의 왕위를 계승했다")</f>
        <v>저승의 왕위를 계승했다</v>
      </c>
      <c r="L5470">
        <v>100</v>
      </c>
      <c r="M5470">
        <v>100</v>
      </c>
      <c r="N5470">
        <v>1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>
        <v>0</v>
      </c>
      <c r="V5470">
        <v>0</v>
      </c>
      <c r="W5470">
        <v>0</v>
      </c>
      <c r="X5470">
        <v>0</v>
      </c>
      <c r="Y5470">
        <v>0</v>
      </c>
      <c r="Z5470">
        <v>0</v>
      </c>
      <c r="AA5470">
        <v>0</v>
      </c>
      <c r="AB5470">
        <v>0</v>
      </c>
      <c r="AC5470">
        <v>0</v>
      </c>
      <c r="AD5470">
        <v>0</v>
      </c>
      <c r="AE5470">
        <v>0</v>
      </c>
      <c r="AF5470">
        <v>0</v>
      </c>
      <c r="AG5470">
        <v>0</v>
      </c>
      <c r="AH5470">
        <v>0</v>
      </c>
      <c r="AI5470">
        <v>100</v>
      </c>
      <c r="AJ5470">
        <v>1</v>
      </c>
      <c r="AK5470">
        <v>0</v>
      </c>
      <c r="AL5470">
        <v>0</v>
      </c>
      <c r="AM5470">
        <v>100</v>
      </c>
      <c r="AN5470">
        <v>0</v>
      </c>
      <c r="AO5470">
        <v>0</v>
      </c>
      <c r="AP5470">
        <v>0</v>
      </c>
      <c r="AQ5470">
        <v>0</v>
      </c>
      <c r="AS5470">
        <v>0</v>
      </c>
      <c r="AT5470">
        <v>0</v>
      </c>
      <c r="AV5470">
        <v>0</v>
      </c>
      <c r="AW5470">
        <v>0</v>
      </c>
      <c r="AY5470">
        <v>0</v>
      </c>
      <c r="AZ5470">
        <v>0</v>
      </c>
      <c r="BA5470">
        <v>70</v>
      </c>
      <c r="BE5470" t="str">
        <f>T("9791137014381")</f>
        <v>9791137014381</v>
      </c>
      <c r="BF5470" t="str">
        <f>T("D126957")</f>
        <v>D126957</v>
      </c>
      <c r="BG5470" t="str">
        <f>T("판타지 웹소설 &gt; 퓨전 판타지")</f>
        <v>판타지 웹소설 &gt; 퓨전 판타지</v>
      </c>
    </row>
    <row r="5471" spans="1:59">
      <c r="A5471" t="s">
        <v>60</v>
      </c>
      <c r="B5471" s="1">
        <v>46130</v>
      </c>
      <c r="C5471">
        <v>2378044065</v>
      </c>
      <c r="D5471">
        <v>2378078435</v>
      </c>
      <c r="E5471" t="str">
        <f>T("저승의 왕위를 계승했다 708화")</f>
        <v>저승의 왕위를 계승했다 708화</v>
      </c>
      <c r="F5471">
        <v>710</v>
      </c>
      <c r="G5471" t="str">
        <f>T("신타비")</f>
        <v>신타비</v>
      </c>
      <c r="J5471" t="str">
        <f>T("매드햇")</f>
        <v>매드햇</v>
      </c>
      <c r="K5471" t="str">
        <f>T("저승의 왕위를 계승했다")</f>
        <v>저승의 왕위를 계승했다</v>
      </c>
      <c r="L5471">
        <v>100</v>
      </c>
      <c r="M5471">
        <v>100</v>
      </c>
      <c r="N5471">
        <v>1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>
        <v>0</v>
      </c>
      <c r="V5471">
        <v>0</v>
      </c>
      <c r="W5471">
        <v>0</v>
      </c>
      <c r="X5471">
        <v>0</v>
      </c>
      <c r="Y5471">
        <v>0</v>
      </c>
      <c r="Z5471">
        <v>0</v>
      </c>
      <c r="AA5471">
        <v>0</v>
      </c>
      <c r="AB5471">
        <v>0</v>
      </c>
      <c r="AC5471">
        <v>0</v>
      </c>
      <c r="AD5471">
        <v>0</v>
      </c>
      <c r="AE5471">
        <v>0</v>
      </c>
      <c r="AF5471">
        <v>0</v>
      </c>
      <c r="AG5471">
        <v>0</v>
      </c>
      <c r="AH5471">
        <v>0</v>
      </c>
      <c r="AI5471">
        <v>100</v>
      </c>
      <c r="AJ5471">
        <v>1</v>
      </c>
      <c r="AK5471">
        <v>0</v>
      </c>
      <c r="AL5471">
        <v>0</v>
      </c>
      <c r="AM5471">
        <v>100</v>
      </c>
      <c r="AN5471">
        <v>0</v>
      </c>
      <c r="AO5471">
        <v>0</v>
      </c>
      <c r="AP5471">
        <v>0</v>
      </c>
      <c r="AQ5471">
        <v>0</v>
      </c>
      <c r="AS5471">
        <v>0</v>
      </c>
      <c r="AT5471">
        <v>0</v>
      </c>
      <c r="AV5471">
        <v>0</v>
      </c>
      <c r="AW5471">
        <v>0</v>
      </c>
      <c r="AY5471">
        <v>0</v>
      </c>
      <c r="AZ5471">
        <v>0</v>
      </c>
      <c r="BA5471">
        <v>70</v>
      </c>
      <c r="BE5471" t="str">
        <f>T("9791137014381")</f>
        <v>9791137014381</v>
      </c>
      <c r="BF5471" t="str">
        <f>T("D126958")</f>
        <v>D126958</v>
      </c>
      <c r="BG5471" t="str">
        <f>T("판타지 웹소설 &gt; 퓨전 판타지")</f>
        <v>판타지 웹소설 &gt; 퓨전 판타지</v>
      </c>
    </row>
    <row r="5472" spans="1:59">
      <c r="A5472" t="s">
        <v>60</v>
      </c>
      <c r="B5472" s="1">
        <v>46130</v>
      </c>
      <c r="C5472">
        <v>2378044065</v>
      </c>
      <c r="D5472">
        <v>2378078455</v>
      </c>
      <c r="E5472" t="str">
        <f>T("저승의 왕위를 계승했다 709화")</f>
        <v>저승의 왕위를 계승했다 709화</v>
      </c>
      <c r="F5472">
        <v>711</v>
      </c>
      <c r="G5472" t="str">
        <f>T("신타비")</f>
        <v>신타비</v>
      </c>
      <c r="J5472" t="str">
        <f>T("매드햇")</f>
        <v>매드햇</v>
      </c>
      <c r="K5472" t="str">
        <f>T("저승의 왕위를 계승했다")</f>
        <v>저승의 왕위를 계승했다</v>
      </c>
      <c r="L5472">
        <v>100</v>
      </c>
      <c r="M5472">
        <v>100</v>
      </c>
      <c r="N5472">
        <v>1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>
        <v>0</v>
      </c>
      <c r="V5472">
        <v>0</v>
      </c>
      <c r="W5472">
        <v>0</v>
      </c>
      <c r="X5472">
        <v>0</v>
      </c>
      <c r="Y5472">
        <v>0</v>
      </c>
      <c r="Z5472">
        <v>0</v>
      </c>
      <c r="AA5472">
        <v>0</v>
      </c>
      <c r="AB5472">
        <v>0</v>
      </c>
      <c r="AC5472">
        <v>0</v>
      </c>
      <c r="AD5472">
        <v>0</v>
      </c>
      <c r="AE5472">
        <v>0</v>
      </c>
      <c r="AF5472">
        <v>0</v>
      </c>
      <c r="AG5472">
        <v>0</v>
      </c>
      <c r="AH5472">
        <v>0</v>
      </c>
      <c r="AI5472">
        <v>100</v>
      </c>
      <c r="AJ5472">
        <v>1</v>
      </c>
      <c r="AK5472">
        <v>0</v>
      </c>
      <c r="AL5472">
        <v>0</v>
      </c>
      <c r="AM5472">
        <v>100</v>
      </c>
      <c r="AN5472">
        <v>0</v>
      </c>
      <c r="AO5472">
        <v>0</v>
      </c>
      <c r="AP5472">
        <v>0</v>
      </c>
      <c r="AQ5472">
        <v>0</v>
      </c>
      <c r="AS5472">
        <v>0</v>
      </c>
      <c r="AT5472">
        <v>0</v>
      </c>
      <c r="AV5472">
        <v>0</v>
      </c>
      <c r="AW5472">
        <v>0</v>
      </c>
      <c r="AY5472">
        <v>0</v>
      </c>
      <c r="AZ5472">
        <v>0</v>
      </c>
      <c r="BA5472">
        <v>70</v>
      </c>
      <c r="BE5472" t="str">
        <f>T("9791137014381")</f>
        <v>9791137014381</v>
      </c>
      <c r="BF5472" t="str">
        <f>T("D126959")</f>
        <v>D126959</v>
      </c>
      <c r="BG5472" t="str">
        <f>T("판타지 웹소설 &gt; 퓨전 판타지")</f>
        <v>판타지 웹소설 &gt; 퓨전 판타지</v>
      </c>
    </row>
    <row r="5473" spans="1:59">
      <c r="A5473" t="s">
        <v>60</v>
      </c>
      <c r="B5473" s="1">
        <v>46130</v>
      </c>
      <c r="C5473">
        <v>2378044065</v>
      </c>
      <c r="D5473">
        <v>2378078456</v>
      </c>
      <c r="E5473" t="str">
        <f>T("저승의 왕위를 계승했다 710화")</f>
        <v>저승의 왕위를 계승했다 710화</v>
      </c>
      <c r="F5473">
        <v>712</v>
      </c>
      <c r="G5473" t="str">
        <f>T("신타비")</f>
        <v>신타비</v>
      </c>
      <c r="J5473" t="str">
        <f>T("매드햇")</f>
        <v>매드햇</v>
      </c>
      <c r="K5473" t="str">
        <f>T("저승의 왕위를 계승했다")</f>
        <v>저승의 왕위를 계승했다</v>
      </c>
      <c r="L5473">
        <v>100</v>
      </c>
      <c r="M5473">
        <v>100</v>
      </c>
      <c r="N5473">
        <v>1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>
        <v>0</v>
      </c>
      <c r="V5473">
        <v>0</v>
      </c>
      <c r="W5473">
        <v>0</v>
      </c>
      <c r="X5473">
        <v>0</v>
      </c>
      <c r="Y5473">
        <v>0</v>
      </c>
      <c r="Z5473">
        <v>0</v>
      </c>
      <c r="AA5473">
        <v>0</v>
      </c>
      <c r="AB5473">
        <v>0</v>
      </c>
      <c r="AC5473">
        <v>0</v>
      </c>
      <c r="AD5473">
        <v>0</v>
      </c>
      <c r="AE5473">
        <v>0</v>
      </c>
      <c r="AF5473">
        <v>0</v>
      </c>
      <c r="AG5473">
        <v>0</v>
      </c>
      <c r="AH5473">
        <v>0</v>
      </c>
      <c r="AI5473">
        <v>100</v>
      </c>
      <c r="AJ5473">
        <v>1</v>
      </c>
      <c r="AK5473">
        <v>0</v>
      </c>
      <c r="AL5473">
        <v>0</v>
      </c>
      <c r="AM5473">
        <v>100</v>
      </c>
      <c r="AN5473">
        <v>0</v>
      </c>
      <c r="AO5473">
        <v>0</v>
      </c>
      <c r="AP5473">
        <v>0</v>
      </c>
      <c r="AQ5473">
        <v>0</v>
      </c>
      <c r="AS5473">
        <v>0</v>
      </c>
      <c r="AT5473">
        <v>0</v>
      </c>
      <c r="AV5473">
        <v>0</v>
      </c>
      <c r="AW5473">
        <v>0</v>
      </c>
      <c r="AY5473">
        <v>0</v>
      </c>
      <c r="AZ5473">
        <v>0</v>
      </c>
      <c r="BA5473">
        <v>70</v>
      </c>
      <c r="BE5473" t="str">
        <f>T("9791137014381")</f>
        <v>9791137014381</v>
      </c>
      <c r="BF5473" t="str">
        <f>T("D126960")</f>
        <v>D126960</v>
      </c>
      <c r="BG5473" t="str">
        <f>T("판타지 웹소설 &gt; 퓨전 판타지")</f>
        <v>판타지 웹소설 &gt; 퓨전 판타지</v>
      </c>
    </row>
    <row r="5474" spans="1:59">
      <c r="A5474" t="s">
        <v>60</v>
      </c>
      <c r="B5474" s="1">
        <v>46130</v>
      </c>
      <c r="C5474">
        <v>2378044065</v>
      </c>
      <c r="D5474">
        <v>2378078457</v>
      </c>
      <c r="E5474" t="str">
        <f>T("저승의 왕위를 계승했다 711화")</f>
        <v>저승의 왕위를 계승했다 711화</v>
      </c>
      <c r="F5474">
        <v>713</v>
      </c>
      <c r="G5474" t="str">
        <f>T("신타비")</f>
        <v>신타비</v>
      </c>
      <c r="J5474" t="str">
        <f>T("매드햇")</f>
        <v>매드햇</v>
      </c>
      <c r="K5474" t="str">
        <f>T("저승의 왕위를 계승했다")</f>
        <v>저승의 왕위를 계승했다</v>
      </c>
      <c r="L5474">
        <v>100</v>
      </c>
      <c r="M5474">
        <v>100</v>
      </c>
      <c r="N5474">
        <v>1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>
        <v>0</v>
      </c>
      <c r="V5474">
        <v>0</v>
      </c>
      <c r="W5474">
        <v>0</v>
      </c>
      <c r="X5474">
        <v>0</v>
      </c>
      <c r="Y5474">
        <v>0</v>
      </c>
      <c r="Z5474">
        <v>0</v>
      </c>
      <c r="AA5474">
        <v>0</v>
      </c>
      <c r="AB5474">
        <v>0</v>
      </c>
      <c r="AC5474">
        <v>0</v>
      </c>
      <c r="AD5474">
        <v>0</v>
      </c>
      <c r="AE5474">
        <v>0</v>
      </c>
      <c r="AF5474">
        <v>0</v>
      </c>
      <c r="AG5474">
        <v>0</v>
      </c>
      <c r="AH5474">
        <v>0</v>
      </c>
      <c r="AI5474">
        <v>100</v>
      </c>
      <c r="AJ5474">
        <v>1</v>
      </c>
      <c r="AK5474">
        <v>0</v>
      </c>
      <c r="AL5474">
        <v>0</v>
      </c>
      <c r="AM5474">
        <v>100</v>
      </c>
      <c r="AN5474">
        <v>0</v>
      </c>
      <c r="AO5474">
        <v>0</v>
      </c>
      <c r="AP5474">
        <v>0</v>
      </c>
      <c r="AQ5474">
        <v>0</v>
      </c>
      <c r="AS5474">
        <v>0</v>
      </c>
      <c r="AT5474">
        <v>0</v>
      </c>
      <c r="AV5474">
        <v>0</v>
      </c>
      <c r="AW5474">
        <v>0</v>
      </c>
      <c r="AY5474">
        <v>0</v>
      </c>
      <c r="AZ5474">
        <v>0</v>
      </c>
      <c r="BA5474">
        <v>70</v>
      </c>
      <c r="BE5474" t="str">
        <f>T("9791137014381")</f>
        <v>9791137014381</v>
      </c>
      <c r="BF5474" t="str">
        <f>T("D147791")</f>
        <v>D147791</v>
      </c>
      <c r="BG5474" t="str">
        <f>T("판타지 웹소설 &gt; 퓨전 판타지")</f>
        <v>판타지 웹소설 &gt; 퓨전 판타지</v>
      </c>
    </row>
    <row r="5475" spans="1:59">
      <c r="A5475" t="s">
        <v>60</v>
      </c>
      <c r="B5475" s="1">
        <v>46130</v>
      </c>
      <c r="C5475">
        <v>2378044065</v>
      </c>
      <c r="D5475">
        <v>2378078477</v>
      </c>
      <c r="E5475" t="str">
        <f>T("저승의 왕위를 계승했다 712화")</f>
        <v>저승의 왕위를 계승했다 712화</v>
      </c>
      <c r="F5475">
        <v>714</v>
      </c>
      <c r="G5475" t="str">
        <f>T("신타비")</f>
        <v>신타비</v>
      </c>
      <c r="J5475" t="str">
        <f>T("매드햇")</f>
        <v>매드햇</v>
      </c>
      <c r="K5475" t="str">
        <f>T("저승의 왕위를 계승했다")</f>
        <v>저승의 왕위를 계승했다</v>
      </c>
      <c r="L5475">
        <v>100</v>
      </c>
      <c r="M5475">
        <v>100</v>
      </c>
      <c r="N5475">
        <v>1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>
        <v>0</v>
      </c>
      <c r="V5475">
        <v>0</v>
      </c>
      <c r="W5475">
        <v>0</v>
      </c>
      <c r="X5475">
        <v>0</v>
      </c>
      <c r="Y5475">
        <v>0</v>
      </c>
      <c r="Z5475">
        <v>0</v>
      </c>
      <c r="AA5475">
        <v>0</v>
      </c>
      <c r="AB5475">
        <v>0</v>
      </c>
      <c r="AC5475">
        <v>0</v>
      </c>
      <c r="AD5475">
        <v>0</v>
      </c>
      <c r="AE5475">
        <v>0</v>
      </c>
      <c r="AF5475">
        <v>0</v>
      </c>
      <c r="AG5475">
        <v>0</v>
      </c>
      <c r="AH5475">
        <v>0</v>
      </c>
      <c r="AI5475">
        <v>100</v>
      </c>
      <c r="AJ5475">
        <v>1</v>
      </c>
      <c r="AK5475">
        <v>0</v>
      </c>
      <c r="AL5475">
        <v>0</v>
      </c>
      <c r="AM5475">
        <v>100</v>
      </c>
      <c r="AN5475">
        <v>0</v>
      </c>
      <c r="AO5475">
        <v>0</v>
      </c>
      <c r="AP5475">
        <v>0</v>
      </c>
      <c r="AQ5475">
        <v>0</v>
      </c>
      <c r="AS5475">
        <v>0</v>
      </c>
      <c r="AT5475">
        <v>0</v>
      </c>
      <c r="AV5475">
        <v>0</v>
      </c>
      <c r="AW5475">
        <v>0</v>
      </c>
      <c r="AY5475">
        <v>0</v>
      </c>
      <c r="AZ5475">
        <v>0</v>
      </c>
      <c r="BA5475">
        <v>70</v>
      </c>
      <c r="BE5475" t="str">
        <f>T("9791137014381")</f>
        <v>9791137014381</v>
      </c>
      <c r="BF5475" t="str">
        <f>T("D147792")</f>
        <v>D147792</v>
      </c>
      <c r="BG5475" t="str">
        <f>T("판타지 웹소설 &gt; 퓨전 판타지")</f>
        <v>판타지 웹소설 &gt; 퓨전 판타지</v>
      </c>
    </row>
    <row r="5476" spans="1:59">
      <c r="A5476" t="s">
        <v>60</v>
      </c>
      <c r="B5476" s="1">
        <v>46130</v>
      </c>
      <c r="C5476">
        <v>2378044065</v>
      </c>
      <c r="D5476">
        <v>2378078603</v>
      </c>
      <c r="E5476" t="str">
        <f>T("저승의 왕위를 계승했다 713화")</f>
        <v>저승의 왕위를 계승했다 713화</v>
      </c>
      <c r="F5476">
        <v>715</v>
      </c>
      <c r="G5476" t="str">
        <f>T("신타비")</f>
        <v>신타비</v>
      </c>
      <c r="J5476" t="str">
        <f>T("매드햇")</f>
        <v>매드햇</v>
      </c>
      <c r="K5476" t="str">
        <f>T("저승의 왕위를 계승했다")</f>
        <v>저승의 왕위를 계승했다</v>
      </c>
      <c r="L5476">
        <v>100</v>
      </c>
      <c r="M5476">
        <v>100</v>
      </c>
      <c r="N5476">
        <v>1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>
        <v>0</v>
      </c>
      <c r="V5476">
        <v>0</v>
      </c>
      <c r="W5476">
        <v>0</v>
      </c>
      <c r="X5476">
        <v>0</v>
      </c>
      <c r="Y5476">
        <v>0</v>
      </c>
      <c r="Z5476">
        <v>0</v>
      </c>
      <c r="AA5476">
        <v>0</v>
      </c>
      <c r="AB5476">
        <v>0</v>
      </c>
      <c r="AC5476">
        <v>0</v>
      </c>
      <c r="AD5476">
        <v>0</v>
      </c>
      <c r="AE5476">
        <v>0</v>
      </c>
      <c r="AF5476">
        <v>0</v>
      </c>
      <c r="AG5476">
        <v>0</v>
      </c>
      <c r="AH5476">
        <v>0</v>
      </c>
      <c r="AI5476">
        <v>100</v>
      </c>
      <c r="AJ5476">
        <v>1</v>
      </c>
      <c r="AK5476">
        <v>0</v>
      </c>
      <c r="AL5476">
        <v>0</v>
      </c>
      <c r="AM5476">
        <v>100</v>
      </c>
      <c r="AN5476">
        <v>0</v>
      </c>
      <c r="AO5476">
        <v>0</v>
      </c>
      <c r="AP5476">
        <v>0</v>
      </c>
      <c r="AQ5476">
        <v>0</v>
      </c>
      <c r="AS5476">
        <v>0</v>
      </c>
      <c r="AT5476">
        <v>0</v>
      </c>
      <c r="AV5476">
        <v>0</v>
      </c>
      <c r="AW5476">
        <v>0</v>
      </c>
      <c r="AY5476">
        <v>0</v>
      </c>
      <c r="AZ5476">
        <v>0</v>
      </c>
      <c r="BA5476">
        <v>70</v>
      </c>
      <c r="BE5476" t="str">
        <f>T("9791137014381")</f>
        <v>9791137014381</v>
      </c>
      <c r="BF5476" t="str">
        <f>T("D147793")</f>
        <v>D147793</v>
      </c>
      <c r="BG5476" t="str">
        <f>T("판타지 웹소설 &gt; 퓨전 판타지")</f>
        <v>판타지 웹소설 &gt; 퓨전 판타지</v>
      </c>
    </row>
    <row r="5477" spans="1:59">
      <c r="A5477" t="s">
        <v>60</v>
      </c>
      <c r="B5477" s="1">
        <v>46130</v>
      </c>
      <c r="C5477">
        <v>2378044065</v>
      </c>
      <c r="D5477">
        <v>2378078604</v>
      </c>
      <c r="E5477" t="str">
        <f>T("저승의 왕위를 계승했다 714화")</f>
        <v>저승의 왕위를 계승했다 714화</v>
      </c>
      <c r="F5477">
        <v>716</v>
      </c>
      <c r="G5477" t="str">
        <f>T("신타비")</f>
        <v>신타비</v>
      </c>
      <c r="J5477" t="str">
        <f>T("매드햇")</f>
        <v>매드햇</v>
      </c>
      <c r="K5477" t="str">
        <f>T("저승의 왕위를 계승했다")</f>
        <v>저승의 왕위를 계승했다</v>
      </c>
      <c r="L5477">
        <v>100</v>
      </c>
      <c r="M5477">
        <v>100</v>
      </c>
      <c r="N5477">
        <v>1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>
        <v>0</v>
      </c>
      <c r="V5477">
        <v>0</v>
      </c>
      <c r="W5477">
        <v>0</v>
      </c>
      <c r="X5477">
        <v>0</v>
      </c>
      <c r="Y5477">
        <v>0</v>
      </c>
      <c r="Z5477">
        <v>0</v>
      </c>
      <c r="AA5477">
        <v>0</v>
      </c>
      <c r="AB5477">
        <v>0</v>
      </c>
      <c r="AC5477">
        <v>0</v>
      </c>
      <c r="AD5477">
        <v>0</v>
      </c>
      <c r="AE5477">
        <v>0</v>
      </c>
      <c r="AF5477">
        <v>0</v>
      </c>
      <c r="AG5477">
        <v>0</v>
      </c>
      <c r="AH5477">
        <v>0</v>
      </c>
      <c r="AI5477">
        <v>100</v>
      </c>
      <c r="AJ5477">
        <v>1</v>
      </c>
      <c r="AK5477">
        <v>0</v>
      </c>
      <c r="AL5477">
        <v>0</v>
      </c>
      <c r="AM5477">
        <v>100</v>
      </c>
      <c r="AN5477">
        <v>0</v>
      </c>
      <c r="AO5477">
        <v>0</v>
      </c>
      <c r="AP5477">
        <v>0</v>
      </c>
      <c r="AQ5477">
        <v>0</v>
      </c>
      <c r="AS5477">
        <v>0</v>
      </c>
      <c r="AT5477">
        <v>0</v>
      </c>
      <c r="AV5477">
        <v>0</v>
      </c>
      <c r="AW5477">
        <v>0</v>
      </c>
      <c r="AY5477">
        <v>0</v>
      </c>
      <c r="AZ5477">
        <v>0</v>
      </c>
      <c r="BA5477">
        <v>70</v>
      </c>
      <c r="BE5477" t="str">
        <f>T("9791137014381")</f>
        <v>9791137014381</v>
      </c>
      <c r="BF5477" t="str">
        <f>T("D147794")</f>
        <v>D147794</v>
      </c>
      <c r="BG5477" t="str">
        <f>T("판타지 웹소설 &gt; 퓨전 판타지")</f>
        <v>판타지 웹소설 &gt; 퓨전 판타지</v>
      </c>
    </row>
    <row r="5478" spans="1:59">
      <c r="A5478" t="s">
        <v>60</v>
      </c>
      <c r="B5478" s="1">
        <v>46130</v>
      </c>
      <c r="C5478">
        <v>2378044065</v>
      </c>
      <c r="D5478">
        <v>2378078630</v>
      </c>
      <c r="E5478" t="str">
        <f>T("저승의 왕위를 계승했다 715화")</f>
        <v>저승의 왕위를 계승했다 715화</v>
      </c>
      <c r="F5478">
        <v>717</v>
      </c>
      <c r="G5478" t="str">
        <f>T("신타비")</f>
        <v>신타비</v>
      </c>
      <c r="J5478" t="str">
        <f>T("매드햇")</f>
        <v>매드햇</v>
      </c>
      <c r="K5478" t="str">
        <f>T("저승의 왕위를 계승했다")</f>
        <v>저승의 왕위를 계승했다</v>
      </c>
      <c r="L5478">
        <v>100</v>
      </c>
      <c r="M5478">
        <v>100</v>
      </c>
      <c r="N5478">
        <v>1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>
        <v>0</v>
      </c>
      <c r="V5478">
        <v>0</v>
      </c>
      <c r="W5478">
        <v>0</v>
      </c>
      <c r="X5478">
        <v>0</v>
      </c>
      <c r="Y5478">
        <v>0</v>
      </c>
      <c r="Z5478">
        <v>0</v>
      </c>
      <c r="AA5478">
        <v>0</v>
      </c>
      <c r="AB5478">
        <v>0</v>
      </c>
      <c r="AC5478">
        <v>0</v>
      </c>
      <c r="AD5478">
        <v>0</v>
      </c>
      <c r="AE5478">
        <v>0</v>
      </c>
      <c r="AF5478">
        <v>0</v>
      </c>
      <c r="AG5478">
        <v>0</v>
      </c>
      <c r="AH5478">
        <v>0</v>
      </c>
      <c r="AI5478">
        <v>100</v>
      </c>
      <c r="AJ5478">
        <v>1</v>
      </c>
      <c r="AK5478">
        <v>0</v>
      </c>
      <c r="AL5478">
        <v>0</v>
      </c>
      <c r="AM5478">
        <v>100</v>
      </c>
      <c r="AN5478">
        <v>0</v>
      </c>
      <c r="AO5478">
        <v>0</v>
      </c>
      <c r="AP5478">
        <v>0</v>
      </c>
      <c r="AQ5478">
        <v>0</v>
      </c>
      <c r="AS5478">
        <v>0</v>
      </c>
      <c r="AT5478">
        <v>0</v>
      </c>
      <c r="AV5478">
        <v>0</v>
      </c>
      <c r="AW5478">
        <v>0</v>
      </c>
      <c r="AY5478">
        <v>0</v>
      </c>
      <c r="AZ5478">
        <v>0</v>
      </c>
      <c r="BA5478">
        <v>70</v>
      </c>
      <c r="BE5478" t="str">
        <f>T("9791137014381")</f>
        <v>9791137014381</v>
      </c>
      <c r="BF5478" t="str">
        <f>T("D147795")</f>
        <v>D147795</v>
      </c>
      <c r="BG5478" t="str">
        <f>T("판타지 웹소설 &gt; 퓨전 판타지")</f>
        <v>판타지 웹소설 &gt; 퓨전 판타지</v>
      </c>
    </row>
    <row r="5479" spans="1:59">
      <c r="A5479" t="s">
        <v>60</v>
      </c>
      <c r="B5479" s="1">
        <v>46130</v>
      </c>
      <c r="C5479">
        <v>2378044065</v>
      </c>
      <c r="D5479">
        <v>2378078631</v>
      </c>
      <c r="E5479" t="str">
        <f>T("저승의 왕위를 계승했다 716화")</f>
        <v>저승의 왕위를 계승했다 716화</v>
      </c>
      <c r="F5479">
        <v>718</v>
      </c>
      <c r="G5479" t="str">
        <f>T("신타비")</f>
        <v>신타비</v>
      </c>
      <c r="J5479" t="str">
        <f>T("매드햇")</f>
        <v>매드햇</v>
      </c>
      <c r="K5479" t="str">
        <f>T("저승의 왕위를 계승했다")</f>
        <v>저승의 왕위를 계승했다</v>
      </c>
      <c r="L5479">
        <v>100</v>
      </c>
      <c r="M5479">
        <v>100</v>
      </c>
      <c r="N5479">
        <v>1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>
        <v>0</v>
      </c>
      <c r="V5479">
        <v>0</v>
      </c>
      <c r="W5479">
        <v>0</v>
      </c>
      <c r="X5479">
        <v>0</v>
      </c>
      <c r="Y5479">
        <v>0</v>
      </c>
      <c r="Z5479">
        <v>0</v>
      </c>
      <c r="AA5479">
        <v>0</v>
      </c>
      <c r="AB5479">
        <v>0</v>
      </c>
      <c r="AC5479">
        <v>0</v>
      </c>
      <c r="AD5479">
        <v>0</v>
      </c>
      <c r="AE5479">
        <v>0</v>
      </c>
      <c r="AF5479">
        <v>0</v>
      </c>
      <c r="AG5479">
        <v>0</v>
      </c>
      <c r="AH5479">
        <v>0</v>
      </c>
      <c r="AI5479">
        <v>100</v>
      </c>
      <c r="AJ5479">
        <v>1</v>
      </c>
      <c r="AK5479">
        <v>0</v>
      </c>
      <c r="AL5479">
        <v>0</v>
      </c>
      <c r="AM5479">
        <v>100</v>
      </c>
      <c r="AN5479">
        <v>0</v>
      </c>
      <c r="AO5479">
        <v>0</v>
      </c>
      <c r="AP5479">
        <v>0</v>
      </c>
      <c r="AQ5479">
        <v>0</v>
      </c>
      <c r="AS5479">
        <v>0</v>
      </c>
      <c r="AT5479">
        <v>0</v>
      </c>
      <c r="AV5479">
        <v>0</v>
      </c>
      <c r="AW5479">
        <v>0</v>
      </c>
      <c r="AY5479">
        <v>0</v>
      </c>
      <c r="AZ5479">
        <v>0</v>
      </c>
      <c r="BA5479">
        <v>70</v>
      </c>
      <c r="BE5479" t="str">
        <f>T("9791137014381")</f>
        <v>9791137014381</v>
      </c>
      <c r="BF5479" t="str">
        <f>T("D147796")</f>
        <v>D147796</v>
      </c>
      <c r="BG5479" t="str">
        <f>T("판타지 웹소설 &gt; 퓨전 판타지")</f>
        <v>판타지 웹소설 &gt; 퓨전 판타지</v>
      </c>
    </row>
    <row r="5480" spans="1:59">
      <c r="A5480" t="s">
        <v>60</v>
      </c>
      <c r="B5480" s="1">
        <v>46130</v>
      </c>
      <c r="C5480">
        <v>2378044065</v>
      </c>
      <c r="D5480">
        <v>2378078644</v>
      </c>
      <c r="E5480" t="str">
        <f>T("저승의 왕위를 계승했다 717화")</f>
        <v>저승의 왕위를 계승했다 717화</v>
      </c>
      <c r="F5480">
        <v>719</v>
      </c>
      <c r="G5480" t="str">
        <f>T("신타비")</f>
        <v>신타비</v>
      </c>
      <c r="J5480" t="str">
        <f>T("매드햇")</f>
        <v>매드햇</v>
      </c>
      <c r="K5480" t="str">
        <f>T("저승의 왕위를 계승했다")</f>
        <v>저승의 왕위를 계승했다</v>
      </c>
      <c r="L5480">
        <v>100</v>
      </c>
      <c r="M5480">
        <v>100</v>
      </c>
      <c r="N5480">
        <v>1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>
        <v>0</v>
      </c>
      <c r="V5480">
        <v>0</v>
      </c>
      <c r="W5480">
        <v>0</v>
      </c>
      <c r="X5480">
        <v>0</v>
      </c>
      <c r="Y5480">
        <v>0</v>
      </c>
      <c r="Z5480">
        <v>0</v>
      </c>
      <c r="AA5480">
        <v>0</v>
      </c>
      <c r="AB5480">
        <v>0</v>
      </c>
      <c r="AC5480">
        <v>0</v>
      </c>
      <c r="AD5480">
        <v>0</v>
      </c>
      <c r="AE5480">
        <v>0</v>
      </c>
      <c r="AF5480">
        <v>0</v>
      </c>
      <c r="AG5480">
        <v>0</v>
      </c>
      <c r="AH5480">
        <v>0</v>
      </c>
      <c r="AI5480">
        <v>100</v>
      </c>
      <c r="AJ5480">
        <v>1</v>
      </c>
      <c r="AK5480">
        <v>0</v>
      </c>
      <c r="AL5480">
        <v>0</v>
      </c>
      <c r="AM5480">
        <v>100</v>
      </c>
      <c r="AN5480">
        <v>0</v>
      </c>
      <c r="AO5480">
        <v>0</v>
      </c>
      <c r="AP5480">
        <v>0</v>
      </c>
      <c r="AQ5480">
        <v>0</v>
      </c>
      <c r="AS5480">
        <v>0</v>
      </c>
      <c r="AT5480">
        <v>0</v>
      </c>
      <c r="AV5480">
        <v>0</v>
      </c>
      <c r="AW5480">
        <v>0</v>
      </c>
      <c r="AY5480">
        <v>0</v>
      </c>
      <c r="AZ5480">
        <v>0</v>
      </c>
      <c r="BA5480">
        <v>70</v>
      </c>
      <c r="BE5480" t="str">
        <f>T("9791137014381")</f>
        <v>9791137014381</v>
      </c>
      <c r="BF5480" t="str">
        <f>T("D147797")</f>
        <v>D147797</v>
      </c>
      <c r="BG5480" t="str">
        <f>T("판타지 웹소설 &gt; 퓨전 판타지")</f>
        <v>판타지 웹소설 &gt; 퓨전 판타지</v>
      </c>
    </row>
    <row r="5481" spans="1:59">
      <c r="A5481" t="s">
        <v>60</v>
      </c>
      <c r="B5481" s="1">
        <v>46130</v>
      </c>
      <c r="C5481">
        <v>2378044065</v>
      </c>
      <c r="D5481">
        <v>2378078645</v>
      </c>
      <c r="E5481" t="str">
        <f>T("저승의 왕위를 계승했다 718화")</f>
        <v>저승의 왕위를 계승했다 718화</v>
      </c>
      <c r="F5481">
        <v>720</v>
      </c>
      <c r="G5481" t="str">
        <f>T("신타비")</f>
        <v>신타비</v>
      </c>
      <c r="J5481" t="str">
        <f>T("매드햇")</f>
        <v>매드햇</v>
      </c>
      <c r="K5481" t="str">
        <f>T("저승의 왕위를 계승했다")</f>
        <v>저승의 왕위를 계승했다</v>
      </c>
      <c r="L5481">
        <v>100</v>
      </c>
      <c r="M5481">
        <v>100</v>
      </c>
      <c r="N5481">
        <v>1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>
        <v>0</v>
      </c>
      <c r="V5481">
        <v>0</v>
      </c>
      <c r="W5481">
        <v>0</v>
      </c>
      <c r="X5481">
        <v>0</v>
      </c>
      <c r="Y5481">
        <v>0</v>
      </c>
      <c r="Z5481">
        <v>0</v>
      </c>
      <c r="AA5481">
        <v>0</v>
      </c>
      <c r="AB5481">
        <v>0</v>
      </c>
      <c r="AC5481">
        <v>0</v>
      </c>
      <c r="AD5481">
        <v>0</v>
      </c>
      <c r="AE5481">
        <v>0</v>
      </c>
      <c r="AF5481">
        <v>0</v>
      </c>
      <c r="AG5481">
        <v>0</v>
      </c>
      <c r="AH5481">
        <v>0</v>
      </c>
      <c r="AI5481">
        <v>100</v>
      </c>
      <c r="AJ5481">
        <v>1</v>
      </c>
      <c r="AK5481">
        <v>0</v>
      </c>
      <c r="AL5481">
        <v>0</v>
      </c>
      <c r="AM5481">
        <v>100</v>
      </c>
      <c r="AN5481">
        <v>0</v>
      </c>
      <c r="AO5481">
        <v>0</v>
      </c>
      <c r="AP5481">
        <v>0</v>
      </c>
      <c r="AQ5481">
        <v>0</v>
      </c>
      <c r="AS5481">
        <v>0</v>
      </c>
      <c r="AT5481">
        <v>0</v>
      </c>
      <c r="AV5481">
        <v>0</v>
      </c>
      <c r="AW5481">
        <v>0</v>
      </c>
      <c r="AY5481">
        <v>0</v>
      </c>
      <c r="AZ5481">
        <v>0</v>
      </c>
      <c r="BA5481">
        <v>70</v>
      </c>
      <c r="BE5481" t="str">
        <f>T("9791137014381")</f>
        <v>9791137014381</v>
      </c>
      <c r="BF5481" t="str">
        <f>T("D147798")</f>
        <v>D147798</v>
      </c>
      <c r="BG5481" t="str">
        <f>T("판타지 웹소설 &gt; 퓨전 판타지")</f>
        <v>판타지 웹소설 &gt; 퓨전 판타지</v>
      </c>
    </row>
    <row r="5482" spans="1:59">
      <c r="A5482" t="s">
        <v>60</v>
      </c>
      <c r="B5482" s="1">
        <v>46130</v>
      </c>
      <c r="C5482">
        <v>2378044065</v>
      </c>
      <c r="D5482">
        <v>2378078667</v>
      </c>
      <c r="E5482" t="str">
        <f>T("저승의 왕위를 계승했다 719화")</f>
        <v>저승의 왕위를 계승했다 719화</v>
      </c>
      <c r="F5482">
        <v>721</v>
      </c>
      <c r="G5482" t="str">
        <f>T("신타비")</f>
        <v>신타비</v>
      </c>
      <c r="J5482" t="str">
        <f>T("매드햇")</f>
        <v>매드햇</v>
      </c>
      <c r="K5482" t="str">
        <f>T("저승의 왕위를 계승했다")</f>
        <v>저승의 왕위를 계승했다</v>
      </c>
      <c r="L5482">
        <v>100</v>
      </c>
      <c r="M5482">
        <v>100</v>
      </c>
      <c r="N5482">
        <v>1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>
        <v>0</v>
      </c>
      <c r="V5482">
        <v>0</v>
      </c>
      <c r="W5482">
        <v>0</v>
      </c>
      <c r="X5482">
        <v>0</v>
      </c>
      <c r="Y5482">
        <v>0</v>
      </c>
      <c r="Z5482">
        <v>0</v>
      </c>
      <c r="AA5482">
        <v>0</v>
      </c>
      <c r="AB5482">
        <v>0</v>
      </c>
      <c r="AC5482">
        <v>0</v>
      </c>
      <c r="AD5482">
        <v>0</v>
      </c>
      <c r="AE5482">
        <v>0</v>
      </c>
      <c r="AF5482">
        <v>0</v>
      </c>
      <c r="AG5482">
        <v>0</v>
      </c>
      <c r="AH5482">
        <v>0</v>
      </c>
      <c r="AI5482">
        <v>100</v>
      </c>
      <c r="AJ5482">
        <v>1</v>
      </c>
      <c r="AK5482">
        <v>0</v>
      </c>
      <c r="AL5482">
        <v>0</v>
      </c>
      <c r="AM5482">
        <v>100</v>
      </c>
      <c r="AN5482">
        <v>0</v>
      </c>
      <c r="AO5482">
        <v>0</v>
      </c>
      <c r="AP5482">
        <v>0</v>
      </c>
      <c r="AQ5482">
        <v>0</v>
      </c>
      <c r="AS5482">
        <v>0</v>
      </c>
      <c r="AT5482">
        <v>0</v>
      </c>
      <c r="AV5482">
        <v>0</v>
      </c>
      <c r="AW5482">
        <v>0</v>
      </c>
      <c r="AY5482">
        <v>0</v>
      </c>
      <c r="AZ5482">
        <v>0</v>
      </c>
      <c r="BA5482">
        <v>70</v>
      </c>
      <c r="BE5482" t="str">
        <f>T("9791137014381")</f>
        <v>9791137014381</v>
      </c>
      <c r="BF5482" t="str">
        <f>T("D147799")</f>
        <v>D147799</v>
      </c>
      <c r="BG5482" t="str">
        <f>T("판타지 웹소설 &gt; 퓨전 판타지")</f>
        <v>판타지 웹소설 &gt; 퓨전 판타지</v>
      </c>
    </row>
    <row r="5483" spans="1:59">
      <c r="A5483" t="s">
        <v>60</v>
      </c>
      <c r="B5483" s="1">
        <v>46130</v>
      </c>
      <c r="C5483">
        <v>2378044065</v>
      </c>
      <c r="D5483">
        <v>2378078668</v>
      </c>
      <c r="E5483" t="str">
        <f>T("저승의 왕위를 계승했다 720화")</f>
        <v>저승의 왕위를 계승했다 720화</v>
      </c>
      <c r="F5483">
        <v>722</v>
      </c>
      <c r="G5483" t="str">
        <f>T("신타비")</f>
        <v>신타비</v>
      </c>
      <c r="J5483" t="str">
        <f>T("매드햇")</f>
        <v>매드햇</v>
      </c>
      <c r="K5483" t="str">
        <f>T("저승의 왕위를 계승했다")</f>
        <v>저승의 왕위를 계승했다</v>
      </c>
      <c r="L5483">
        <v>100</v>
      </c>
      <c r="M5483">
        <v>100</v>
      </c>
      <c r="N5483">
        <v>1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>
        <v>0</v>
      </c>
      <c r="V5483">
        <v>0</v>
      </c>
      <c r="W5483">
        <v>0</v>
      </c>
      <c r="X5483">
        <v>0</v>
      </c>
      <c r="Y5483">
        <v>0</v>
      </c>
      <c r="Z5483">
        <v>0</v>
      </c>
      <c r="AA5483">
        <v>0</v>
      </c>
      <c r="AB5483">
        <v>0</v>
      </c>
      <c r="AC5483">
        <v>0</v>
      </c>
      <c r="AD5483">
        <v>0</v>
      </c>
      <c r="AE5483">
        <v>0</v>
      </c>
      <c r="AF5483">
        <v>0</v>
      </c>
      <c r="AG5483">
        <v>0</v>
      </c>
      <c r="AH5483">
        <v>0</v>
      </c>
      <c r="AI5483">
        <v>100</v>
      </c>
      <c r="AJ5483">
        <v>1</v>
      </c>
      <c r="AK5483">
        <v>0</v>
      </c>
      <c r="AL5483">
        <v>0</v>
      </c>
      <c r="AM5483">
        <v>100</v>
      </c>
      <c r="AN5483">
        <v>0</v>
      </c>
      <c r="AO5483">
        <v>0</v>
      </c>
      <c r="AP5483">
        <v>0</v>
      </c>
      <c r="AQ5483">
        <v>0</v>
      </c>
      <c r="AS5483">
        <v>0</v>
      </c>
      <c r="AT5483">
        <v>0</v>
      </c>
      <c r="AV5483">
        <v>0</v>
      </c>
      <c r="AW5483">
        <v>0</v>
      </c>
      <c r="AY5483">
        <v>0</v>
      </c>
      <c r="AZ5483">
        <v>0</v>
      </c>
      <c r="BA5483">
        <v>70</v>
      </c>
      <c r="BE5483" t="str">
        <f>T("9791137014381")</f>
        <v>9791137014381</v>
      </c>
      <c r="BF5483" t="str">
        <f>T("D147800")</f>
        <v>D147800</v>
      </c>
      <c r="BG5483" t="str">
        <f>T("판타지 웹소설 &gt; 퓨전 판타지")</f>
        <v>판타지 웹소설 &gt; 퓨전 판타지</v>
      </c>
    </row>
    <row r="5484" spans="1:59">
      <c r="A5484" t="s">
        <v>60</v>
      </c>
      <c r="B5484" s="1">
        <v>46130</v>
      </c>
      <c r="C5484">
        <v>2378044065</v>
      </c>
      <c r="D5484">
        <v>2378078687</v>
      </c>
      <c r="E5484" t="str">
        <f>T("저승의 왕위를 계승했다 721화")</f>
        <v>저승의 왕위를 계승했다 721화</v>
      </c>
      <c r="F5484">
        <v>723</v>
      </c>
      <c r="G5484" t="str">
        <f>T("신타비")</f>
        <v>신타비</v>
      </c>
      <c r="J5484" t="str">
        <f>T("매드햇")</f>
        <v>매드햇</v>
      </c>
      <c r="K5484" t="str">
        <f>T("저승의 왕위를 계승했다")</f>
        <v>저승의 왕위를 계승했다</v>
      </c>
      <c r="L5484">
        <v>100</v>
      </c>
      <c r="M5484">
        <v>100</v>
      </c>
      <c r="N5484">
        <v>1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>
        <v>0</v>
      </c>
      <c r="V5484">
        <v>0</v>
      </c>
      <c r="W5484">
        <v>0</v>
      </c>
      <c r="X5484">
        <v>0</v>
      </c>
      <c r="Y5484">
        <v>0</v>
      </c>
      <c r="Z5484">
        <v>0</v>
      </c>
      <c r="AA5484">
        <v>0</v>
      </c>
      <c r="AB5484">
        <v>0</v>
      </c>
      <c r="AC5484">
        <v>0</v>
      </c>
      <c r="AD5484">
        <v>0</v>
      </c>
      <c r="AE5484">
        <v>0</v>
      </c>
      <c r="AF5484">
        <v>0</v>
      </c>
      <c r="AG5484">
        <v>0</v>
      </c>
      <c r="AH5484">
        <v>0</v>
      </c>
      <c r="AI5484">
        <v>100</v>
      </c>
      <c r="AJ5484">
        <v>1</v>
      </c>
      <c r="AK5484">
        <v>0</v>
      </c>
      <c r="AL5484">
        <v>0</v>
      </c>
      <c r="AM5484">
        <v>100</v>
      </c>
      <c r="AN5484">
        <v>0</v>
      </c>
      <c r="AO5484">
        <v>0</v>
      </c>
      <c r="AP5484">
        <v>0</v>
      </c>
      <c r="AQ5484">
        <v>0</v>
      </c>
      <c r="AS5484">
        <v>0</v>
      </c>
      <c r="AT5484">
        <v>0</v>
      </c>
      <c r="AV5484">
        <v>0</v>
      </c>
      <c r="AW5484">
        <v>0</v>
      </c>
      <c r="AY5484">
        <v>0</v>
      </c>
      <c r="AZ5484">
        <v>0</v>
      </c>
      <c r="BA5484">
        <v>70</v>
      </c>
      <c r="BE5484" t="str">
        <f>T("9791137014381")</f>
        <v>9791137014381</v>
      </c>
      <c r="BF5484" t="str">
        <f>T("D147801")</f>
        <v>D147801</v>
      </c>
      <c r="BG5484" t="str">
        <f>T("판타지 웹소설 &gt; 퓨전 판타지")</f>
        <v>판타지 웹소설 &gt; 퓨전 판타지</v>
      </c>
    </row>
    <row r="5485" spans="1:59">
      <c r="A5485" t="s">
        <v>60</v>
      </c>
      <c r="B5485" s="1">
        <v>46130</v>
      </c>
      <c r="C5485">
        <v>2378044065</v>
      </c>
      <c r="D5485">
        <v>2378078688</v>
      </c>
      <c r="E5485" t="str">
        <f>T("저승의 왕위를 계승했다 722화")</f>
        <v>저승의 왕위를 계승했다 722화</v>
      </c>
      <c r="F5485">
        <v>724</v>
      </c>
      <c r="G5485" t="str">
        <f>T("신타비")</f>
        <v>신타비</v>
      </c>
      <c r="J5485" t="str">
        <f>T("매드햇")</f>
        <v>매드햇</v>
      </c>
      <c r="K5485" t="str">
        <f>T("저승의 왕위를 계승했다")</f>
        <v>저승의 왕위를 계승했다</v>
      </c>
      <c r="L5485">
        <v>100</v>
      </c>
      <c r="M5485">
        <v>100</v>
      </c>
      <c r="N5485">
        <v>1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>
        <v>0</v>
      </c>
      <c r="V5485">
        <v>0</v>
      </c>
      <c r="W5485">
        <v>0</v>
      </c>
      <c r="X5485">
        <v>0</v>
      </c>
      <c r="Y5485">
        <v>0</v>
      </c>
      <c r="Z5485">
        <v>0</v>
      </c>
      <c r="AA5485">
        <v>0</v>
      </c>
      <c r="AB5485">
        <v>0</v>
      </c>
      <c r="AC5485">
        <v>0</v>
      </c>
      <c r="AD5485">
        <v>0</v>
      </c>
      <c r="AE5485">
        <v>0</v>
      </c>
      <c r="AF5485">
        <v>0</v>
      </c>
      <c r="AG5485">
        <v>0</v>
      </c>
      <c r="AH5485">
        <v>0</v>
      </c>
      <c r="AI5485">
        <v>100</v>
      </c>
      <c r="AJ5485">
        <v>1</v>
      </c>
      <c r="AK5485">
        <v>0</v>
      </c>
      <c r="AL5485">
        <v>0</v>
      </c>
      <c r="AM5485">
        <v>100</v>
      </c>
      <c r="AN5485">
        <v>0</v>
      </c>
      <c r="AO5485">
        <v>0</v>
      </c>
      <c r="AP5485">
        <v>0</v>
      </c>
      <c r="AQ5485">
        <v>0</v>
      </c>
      <c r="AS5485">
        <v>0</v>
      </c>
      <c r="AT5485">
        <v>0</v>
      </c>
      <c r="AV5485">
        <v>0</v>
      </c>
      <c r="AW5485">
        <v>0</v>
      </c>
      <c r="AY5485">
        <v>0</v>
      </c>
      <c r="AZ5485">
        <v>0</v>
      </c>
      <c r="BA5485">
        <v>70</v>
      </c>
      <c r="BE5485" t="str">
        <f>T("9791137014381")</f>
        <v>9791137014381</v>
      </c>
      <c r="BF5485" t="str">
        <f>T("D147802")</f>
        <v>D147802</v>
      </c>
      <c r="BG5485" t="str">
        <f>T("판타지 웹소설 &gt; 퓨전 판타지")</f>
        <v>판타지 웹소설 &gt; 퓨전 판타지</v>
      </c>
    </row>
    <row r="5486" spans="1:59">
      <c r="A5486" t="s">
        <v>60</v>
      </c>
      <c r="B5486" s="1">
        <v>46130</v>
      </c>
      <c r="C5486">
        <v>2378044065</v>
      </c>
      <c r="D5486">
        <v>2378078689</v>
      </c>
      <c r="E5486" t="str">
        <f>T("저승의 왕위를 계승했다 723화")</f>
        <v>저승의 왕위를 계승했다 723화</v>
      </c>
      <c r="F5486">
        <v>725</v>
      </c>
      <c r="G5486" t="str">
        <f>T("신타비")</f>
        <v>신타비</v>
      </c>
      <c r="J5486" t="str">
        <f>T("매드햇")</f>
        <v>매드햇</v>
      </c>
      <c r="K5486" t="str">
        <f>T("저승의 왕위를 계승했다")</f>
        <v>저승의 왕위를 계승했다</v>
      </c>
      <c r="L5486">
        <v>100</v>
      </c>
      <c r="M5486">
        <v>100</v>
      </c>
      <c r="N5486">
        <v>1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>
        <v>0</v>
      </c>
      <c r="V5486">
        <v>0</v>
      </c>
      <c r="W5486">
        <v>0</v>
      </c>
      <c r="X5486">
        <v>0</v>
      </c>
      <c r="Y5486">
        <v>0</v>
      </c>
      <c r="Z5486">
        <v>0</v>
      </c>
      <c r="AA5486">
        <v>0</v>
      </c>
      <c r="AB5486">
        <v>0</v>
      </c>
      <c r="AC5486">
        <v>0</v>
      </c>
      <c r="AD5486">
        <v>0</v>
      </c>
      <c r="AE5486">
        <v>0</v>
      </c>
      <c r="AF5486">
        <v>0</v>
      </c>
      <c r="AG5486">
        <v>0</v>
      </c>
      <c r="AH5486">
        <v>0</v>
      </c>
      <c r="AI5486">
        <v>100</v>
      </c>
      <c r="AJ5486">
        <v>1</v>
      </c>
      <c r="AK5486">
        <v>0</v>
      </c>
      <c r="AL5486">
        <v>0</v>
      </c>
      <c r="AM5486">
        <v>100</v>
      </c>
      <c r="AN5486">
        <v>0</v>
      </c>
      <c r="AO5486">
        <v>0</v>
      </c>
      <c r="AP5486">
        <v>0</v>
      </c>
      <c r="AQ5486">
        <v>0</v>
      </c>
      <c r="AS5486">
        <v>0</v>
      </c>
      <c r="AT5486">
        <v>0</v>
      </c>
      <c r="AV5486">
        <v>0</v>
      </c>
      <c r="AW5486">
        <v>0</v>
      </c>
      <c r="AY5486">
        <v>0</v>
      </c>
      <c r="AZ5486">
        <v>0</v>
      </c>
      <c r="BA5486">
        <v>70</v>
      </c>
      <c r="BE5486" t="str">
        <f>T("9791137014381")</f>
        <v>9791137014381</v>
      </c>
      <c r="BF5486" t="str">
        <f>T("D147803")</f>
        <v>D147803</v>
      </c>
      <c r="BG5486" t="str">
        <f>T("판타지 웹소설 &gt; 퓨전 판타지")</f>
        <v>판타지 웹소설 &gt; 퓨전 판타지</v>
      </c>
    </row>
    <row r="5487" spans="1:59">
      <c r="A5487" t="s">
        <v>60</v>
      </c>
      <c r="B5487" s="1">
        <v>46130</v>
      </c>
      <c r="C5487">
        <v>2378044065</v>
      </c>
      <c r="D5487">
        <v>2378078785</v>
      </c>
      <c r="E5487" t="str">
        <f>T("저승의 왕위를 계승했다 724화")</f>
        <v>저승의 왕위를 계승했다 724화</v>
      </c>
      <c r="F5487">
        <v>726</v>
      </c>
      <c r="G5487" t="str">
        <f>T("신타비")</f>
        <v>신타비</v>
      </c>
      <c r="J5487" t="str">
        <f>T("매드햇")</f>
        <v>매드햇</v>
      </c>
      <c r="K5487" t="str">
        <f>T("저승의 왕위를 계승했다")</f>
        <v>저승의 왕위를 계승했다</v>
      </c>
      <c r="L5487">
        <v>100</v>
      </c>
      <c r="M5487">
        <v>100</v>
      </c>
      <c r="N5487">
        <v>1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>
        <v>0</v>
      </c>
      <c r="V5487">
        <v>0</v>
      </c>
      <c r="W5487">
        <v>0</v>
      </c>
      <c r="X5487">
        <v>0</v>
      </c>
      <c r="Y5487">
        <v>0</v>
      </c>
      <c r="Z5487">
        <v>0</v>
      </c>
      <c r="AA5487">
        <v>0</v>
      </c>
      <c r="AB5487">
        <v>0</v>
      </c>
      <c r="AC5487">
        <v>0</v>
      </c>
      <c r="AD5487">
        <v>0</v>
      </c>
      <c r="AE5487">
        <v>0</v>
      </c>
      <c r="AF5487">
        <v>0</v>
      </c>
      <c r="AG5487">
        <v>0</v>
      </c>
      <c r="AH5487">
        <v>0</v>
      </c>
      <c r="AI5487">
        <v>100</v>
      </c>
      <c r="AJ5487">
        <v>1</v>
      </c>
      <c r="AK5487">
        <v>0</v>
      </c>
      <c r="AL5487">
        <v>0</v>
      </c>
      <c r="AM5487">
        <v>100</v>
      </c>
      <c r="AN5487">
        <v>0</v>
      </c>
      <c r="AO5487">
        <v>0</v>
      </c>
      <c r="AP5487">
        <v>0</v>
      </c>
      <c r="AQ5487">
        <v>0</v>
      </c>
      <c r="AS5487">
        <v>0</v>
      </c>
      <c r="AT5487">
        <v>0</v>
      </c>
      <c r="AV5487">
        <v>0</v>
      </c>
      <c r="AW5487">
        <v>0</v>
      </c>
      <c r="AY5487">
        <v>0</v>
      </c>
      <c r="AZ5487">
        <v>0</v>
      </c>
      <c r="BA5487">
        <v>70</v>
      </c>
      <c r="BE5487" t="str">
        <f>T("9791137014381")</f>
        <v>9791137014381</v>
      </c>
      <c r="BF5487" t="str">
        <f>T("D147804")</f>
        <v>D147804</v>
      </c>
      <c r="BG5487" t="str">
        <f>T("판타지 웹소설 &gt; 퓨전 판타지")</f>
        <v>판타지 웹소설 &gt; 퓨전 판타지</v>
      </c>
    </row>
    <row r="5488" spans="1:59">
      <c r="A5488" t="s">
        <v>60</v>
      </c>
      <c r="B5488" s="1">
        <v>46130</v>
      </c>
      <c r="C5488">
        <v>2378044065</v>
      </c>
      <c r="D5488">
        <v>2378078797</v>
      </c>
      <c r="E5488" t="str">
        <f>T("저승의 왕위를 계승했다 725화")</f>
        <v>저승의 왕위를 계승했다 725화</v>
      </c>
      <c r="F5488">
        <v>727</v>
      </c>
      <c r="G5488" t="str">
        <f>T("신타비")</f>
        <v>신타비</v>
      </c>
      <c r="J5488" t="str">
        <f>T("매드햇")</f>
        <v>매드햇</v>
      </c>
      <c r="K5488" t="str">
        <f>T("저승의 왕위를 계승했다")</f>
        <v>저승의 왕위를 계승했다</v>
      </c>
      <c r="L5488">
        <v>100</v>
      </c>
      <c r="M5488">
        <v>100</v>
      </c>
      <c r="N5488">
        <v>1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>
        <v>0</v>
      </c>
      <c r="V5488">
        <v>0</v>
      </c>
      <c r="W5488">
        <v>0</v>
      </c>
      <c r="X5488">
        <v>0</v>
      </c>
      <c r="Y5488">
        <v>0</v>
      </c>
      <c r="Z5488">
        <v>0</v>
      </c>
      <c r="AA5488">
        <v>0</v>
      </c>
      <c r="AB5488">
        <v>0</v>
      </c>
      <c r="AC5488">
        <v>0</v>
      </c>
      <c r="AD5488">
        <v>0</v>
      </c>
      <c r="AE5488">
        <v>0</v>
      </c>
      <c r="AF5488">
        <v>0</v>
      </c>
      <c r="AG5488">
        <v>0</v>
      </c>
      <c r="AH5488">
        <v>0</v>
      </c>
      <c r="AI5488">
        <v>100</v>
      </c>
      <c r="AJ5488">
        <v>1</v>
      </c>
      <c r="AK5488">
        <v>0</v>
      </c>
      <c r="AL5488">
        <v>0</v>
      </c>
      <c r="AM5488">
        <v>100</v>
      </c>
      <c r="AN5488">
        <v>0</v>
      </c>
      <c r="AO5488">
        <v>0</v>
      </c>
      <c r="AP5488">
        <v>0</v>
      </c>
      <c r="AQ5488">
        <v>0</v>
      </c>
      <c r="AS5488">
        <v>0</v>
      </c>
      <c r="AT5488">
        <v>0</v>
      </c>
      <c r="AV5488">
        <v>0</v>
      </c>
      <c r="AW5488">
        <v>0</v>
      </c>
      <c r="AY5488">
        <v>0</v>
      </c>
      <c r="AZ5488">
        <v>0</v>
      </c>
      <c r="BA5488">
        <v>70</v>
      </c>
      <c r="BE5488" t="str">
        <f>T("9791137014381")</f>
        <v>9791137014381</v>
      </c>
      <c r="BF5488" t="str">
        <f>T("D147805")</f>
        <v>D147805</v>
      </c>
      <c r="BG5488" t="str">
        <f>T("판타지 웹소설 &gt; 퓨전 판타지")</f>
        <v>판타지 웹소설 &gt; 퓨전 판타지</v>
      </c>
    </row>
    <row r="5489" spans="1:59">
      <c r="A5489" t="s">
        <v>60</v>
      </c>
      <c r="B5489" s="1">
        <v>46130</v>
      </c>
      <c r="C5489">
        <v>2378044065</v>
      </c>
      <c r="D5489">
        <v>2378078798</v>
      </c>
      <c r="E5489" t="str">
        <f>T("저승의 왕위를 계승했다 726화")</f>
        <v>저승의 왕위를 계승했다 726화</v>
      </c>
      <c r="F5489">
        <v>728</v>
      </c>
      <c r="G5489" t="str">
        <f>T("신타비")</f>
        <v>신타비</v>
      </c>
      <c r="J5489" t="str">
        <f>T("매드햇")</f>
        <v>매드햇</v>
      </c>
      <c r="K5489" t="str">
        <f>T("저승의 왕위를 계승했다")</f>
        <v>저승의 왕위를 계승했다</v>
      </c>
      <c r="L5489">
        <v>100</v>
      </c>
      <c r="M5489">
        <v>100</v>
      </c>
      <c r="N5489">
        <v>1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>
        <v>0</v>
      </c>
      <c r="V5489">
        <v>0</v>
      </c>
      <c r="W5489">
        <v>0</v>
      </c>
      <c r="X5489">
        <v>0</v>
      </c>
      <c r="Y5489">
        <v>0</v>
      </c>
      <c r="Z5489">
        <v>0</v>
      </c>
      <c r="AA5489">
        <v>0</v>
      </c>
      <c r="AB5489">
        <v>0</v>
      </c>
      <c r="AC5489">
        <v>0</v>
      </c>
      <c r="AD5489">
        <v>0</v>
      </c>
      <c r="AE5489">
        <v>0</v>
      </c>
      <c r="AF5489">
        <v>0</v>
      </c>
      <c r="AG5489">
        <v>0</v>
      </c>
      <c r="AH5489">
        <v>0</v>
      </c>
      <c r="AI5489">
        <v>100</v>
      </c>
      <c r="AJ5489">
        <v>1</v>
      </c>
      <c r="AK5489">
        <v>0</v>
      </c>
      <c r="AL5489">
        <v>0</v>
      </c>
      <c r="AM5489">
        <v>100</v>
      </c>
      <c r="AN5489">
        <v>0</v>
      </c>
      <c r="AO5489">
        <v>0</v>
      </c>
      <c r="AP5489">
        <v>0</v>
      </c>
      <c r="AQ5489">
        <v>0</v>
      </c>
      <c r="AS5489">
        <v>0</v>
      </c>
      <c r="AT5489">
        <v>0</v>
      </c>
      <c r="AV5489">
        <v>0</v>
      </c>
      <c r="AW5489">
        <v>0</v>
      </c>
      <c r="AY5489">
        <v>0</v>
      </c>
      <c r="AZ5489">
        <v>0</v>
      </c>
      <c r="BA5489">
        <v>70</v>
      </c>
      <c r="BE5489" t="str">
        <f>T("9791137014381")</f>
        <v>9791137014381</v>
      </c>
      <c r="BF5489" t="str">
        <f>T("D147806")</f>
        <v>D147806</v>
      </c>
      <c r="BG5489" t="str">
        <f>T("판타지 웹소설 &gt; 퓨전 판타지")</f>
        <v>판타지 웹소설 &gt; 퓨전 판타지</v>
      </c>
    </row>
    <row r="5490" spans="1:59">
      <c r="A5490" t="s">
        <v>60</v>
      </c>
      <c r="B5490" s="1">
        <v>46130</v>
      </c>
      <c r="C5490">
        <v>2378044065</v>
      </c>
      <c r="D5490">
        <v>2378078799</v>
      </c>
      <c r="E5490" t="str">
        <f>T("저승의 왕위를 계승했다 727화")</f>
        <v>저승의 왕위를 계승했다 727화</v>
      </c>
      <c r="F5490">
        <v>729</v>
      </c>
      <c r="G5490" t="str">
        <f>T("신타비")</f>
        <v>신타비</v>
      </c>
      <c r="J5490" t="str">
        <f>T("매드햇")</f>
        <v>매드햇</v>
      </c>
      <c r="K5490" t="str">
        <f>T("저승의 왕위를 계승했다")</f>
        <v>저승의 왕위를 계승했다</v>
      </c>
      <c r="L5490">
        <v>100</v>
      </c>
      <c r="M5490">
        <v>100</v>
      </c>
      <c r="N5490">
        <v>1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>
        <v>0</v>
      </c>
      <c r="V5490">
        <v>0</v>
      </c>
      <c r="W5490">
        <v>0</v>
      </c>
      <c r="X5490">
        <v>0</v>
      </c>
      <c r="Y5490">
        <v>0</v>
      </c>
      <c r="Z5490">
        <v>0</v>
      </c>
      <c r="AA5490">
        <v>0</v>
      </c>
      <c r="AB5490">
        <v>0</v>
      </c>
      <c r="AC5490">
        <v>0</v>
      </c>
      <c r="AD5490">
        <v>0</v>
      </c>
      <c r="AE5490">
        <v>0</v>
      </c>
      <c r="AF5490">
        <v>0</v>
      </c>
      <c r="AG5490">
        <v>0</v>
      </c>
      <c r="AH5490">
        <v>0</v>
      </c>
      <c r="AI5490">
        <v>100</v>
      </c>
      <c r="AJ5490">
        <v>1</v>
      </c>
      <c r="AK5490">
        <v>0</v>
      </c>
      <c r="AL5490">
        <v>0</v>
      </c>
      <c r="AM5490">
        <v>100</v>
      </c>
      <c r="AN5490">
        <v>0</v>
      </c>
      <c r="AO5490">
        <v>0</v>
      </c>
      <c r="AP5490">
        <v>0</v>
      </c>
      <c r="AQ5490">
        <v>0</v>
      </c>
      <c r="AS5490">
        <v>0</v>
      </c>
      <c r="AT5490">
        <v>0</v>
      </c>
      <c r="AV5490">
        <v>0</v>
      </c>
      <c r="AW5490">
        <v>0</v>
      </c>
      <c r="AY5490">
        <v>0</v>
      </c>
      <c r="AZ5490">
        <v>0</v>
      </c>
      <c r="BA5490">
        <v>70</v>
      </c>
      <c r="BE5490" t="str">
        <f>T("9791137014381")</f>
        <v>9791137014381</v>
      </c>
      <c r="BF5490" t="str">
        <f>T("D147807")</f>
        <v>D147807</v>
      </c>
      <c r="BG5490" t="str">
        <f>T("판타지 웹소설 &gt; 퓨전 판타지")</f>
        <v>판타지 웹소설 &gt; 퓨전 판타지</v>
      </c>
    </row>
    <row r="5491" spans="1:59">
      <c r="A5491" t="s">
        <v>60</v>
      </c>
      <c r="B5491" s="1">
        <v>46130</v>
      </c>
      <c r="C5491">
        <v>2378044065</v>
      </c>
      <c r="D5491">
        <v>2378078800</v>
      </c>
      <c r="E5491" t="str">
        <f>T("저승의 왕위를 계승했다 728화")</f>
        <v>저승의 왕위를 계승했다 728화</v>
      </c>
      <c r="F5491">
        <v>730</v>
      </c>
      <c r="G5491" t="str">
        <f>T("신타비")</f>
        <v>신타비</v>
      </c>
      <c r="J5491" t="str">
        <f>T("매드햇")</f>
        <v>매드햇</v>
      </c>
      <c r="K5491" t="str">
        <f>T("저승의 왕위를 계승했다")</f>
        <v>저승의 왕위를 계승했다</v>
      </c>
      <c r="L5491">
        <v>100</v>
      </c>
      <c r="M5491">
        <v>100</v>
      </c>
      <c r="N5491">
        <v>1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>
        <v>0</v>
      </c>
      <c r="V5491">
        <v>0</v>
      </c>
      <c r="W5491">
        <v>0</v>
      </c>
      <c r="X5491">
        <v>0</v>
      </c>
      <c r="Y5491">
        <v>0</v>
      </c>
      <c r="Z5491">
        <v>0</v>
      </c>
      <c r="AA5491">
        <v>0</v>
      </c>
      <c r="AB5491">
        <v>0</v>
      </c>
      <c r="AC5491">
        <v>0</v>
      </c>
      <c r="AD5491">
        <v>0</v>
      </c>
      <c r="AE5491">
        <v>0</v>
      </c>
      <c r="AF5491">
        <v>0</v>
      </c>
      <c r="AG5491">
        <v>0</v>
      </c>
      <c r="AH5491">
        <v>0</v>
      </c>
      <c r="AI5491">
        <v>100</v>
      </c>
      <c r="AJ5491">
        <v>1</v>
      </c>
      <c r="AK5491">
        <v>0</v>
      </c>
      <c r="AL5491">
        <v>0</v>
      </c>
      <c r="AM5491">
        <v>100</v>
      </c>
      <c r="AN5491">
        <v>0</v>
      </c>
      <c r="AO5491">
        <v>0</v>
      </c>
      <c r="AP5491">
        <v>0</v>
      </c>
      <c r="AQ5491">
        <v>0</v>
      </c>
      <c r="AS5491">
        <v>0</v>
      </c>
      <c r="AT5491">
        <v>0</v>
      </c>
      <c r="AV5491">
        <v>0</v>
      </c>
      <c r="AW5491">
        <v>0</v>
      </c>
      <c r="AY5491">
        <v>0</v>
      </c>
      <c r="AZ5491">
        <v>0</v>
      </c>
      <c r="BA5491">
        <v>70</v>
      </c>
      <c r="BE5491" t="str">
        <f>T("9791137014381")</f>
        <v>9791137014381</v>
      </c>
      <c r="BF5491" t="str">
        <f>T("D147808")</f>
        <v>D147808</v>
      </c>
      <c r="BG5491" t="str">
        <f>T("판타지 웹소설 &gt; 퓨전 판타지")</f>
        <v>판타지 웹소설 &gt; 퓨전 판타지</v>
      </c>
    </row>
    <row r="5492" spans="1:59">
      <c r="A5492" t="s">
        <v>60</v>
      </c>
      <c r="B5492" s="1">
        <v>46130</v>
      </c>
      <c r="C5492">
        <v>2378044065</v>
      </c>
      <c r="D5492">
        <v>2378079014</v>
      </c>
      <c r="E5492" t="str">
        <f>T("저승의 왕위를 계승했다 729화")</f>
        <v>저승의 왕위를 계승했다 729화</v>
      </c>
      <c r="F5492">
        <v>731</v>
      </c>
      <c r="G5492" t="str">
        <f>T("신타비")</f>
        <v>신타비</v>
      </c>
      <c r="J5492" t="str">
        <f>T("매드햇")</f>
        <v>매드햇</v>
      </c>
      <c r="K5492" t="str">
        <f>T("저승의 왕위를 계승했다")</f>
        <v>저승의 왕위를 계승했다</v>
      </c>
      <c r="L5492">
        <v>100</v>
      </c>
      <c r="M5492">
        <v>100</v>
      </c>
      <c r="N5492">
        <v>1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>
        <v>0</v>
      </c>
      <c r="V5492">
        <v>0</v>
      </c>
      <c r="W5492">
        <v>0</v>
      </c>
      <c r="X5492">
        <v>0</v>
      </c>
      <c r="Y5492">
        <v>0</v>
      </c>
      <c r="Z5492">
        <v>0</v>
      </c>
      <c r="AA5492">
        <v>0</v>
      </c>
      <c r="AB5492">
        <v>0</v>
      </c>
      <c r="AC5492">
        <v>0</v>
      </c>
      <c r="AD5492">
        <v>0</v>
      </c>
      <c r="AE5492">
        <v>0</v>
      </c>
      <c r="AF5492">
        <v>0</v>
      </c>
      <c r="AG5492">
        <v>0</v>
      </c>
      <c r="AH5492">
        <v>0</v>
      </c>
      <c r="AI5492">
        <v>100</v>
      </c>
      <c r="AJ5492">
        <v>1</v>
      </c>
      <c r="AK5492">
        <v>0</v>
      </c>
      <c r="AL5492">
        <v>0</v>
      </c>
      <c r="AM5492">
        <v>100</v>
      </c>
      <c r="AN5492">
        <v>0</v>
      </c>
      <c r="AO5492">
        <v>0</v>
      </c>
      <c r="AP5492">
        <v>0</v>
      </c>
      <c r="AQ5492">
        <v>0</v>
      </c>
      <c r="AS5492">
        <v>0</v>
      </c>
      <c r="AT5492">
        <v>0</v>
      </c>
      <c r="AV5492">
        <v>0</v>
      </c>
      <c r="AW5492">
        <v>0</v>
      </c>
      <c r="AY5492">
        <v>0</v>
      </c>
      <c r="AZ5492">
        <v>0</v>
      </c>
      <c r="BA5492">
        <v>70</v>
      </c>
      <c r="BE5492" t="str">
        <f>T("9791137014381")</f>
        <v>9791137014381</v>
      </c>
      <c r="BF5492" t="str">
        <f>T("D147809")</f>
        <v>D147809</v>
      </c>
      <c r="BG5492" t="str">
        <f>T("판타지 웹소설 &gt; 퓨전 판타지")</f>
        <v>판타지 웹소설 &gt; 퓨전 판타지</v>
      </c>
    </row>
    <row r="5493" spans="1:59">
      <c r="A5493" t="s">
        <v>60</v>
      </c>
      <c r="B5493" s="1">
        <v>46130</v>
      </c>
      <c r="C5493">
        <v>2378044065</v>
      </c>
      <c r="D5493">
        <v>2378079015</v>
      </c>
      <c r="E5493" t="str">
        <f>T("저승의 왕위를 계승했다 730화")</f>
        <v>저승의 왕위를 계승했다 730화</v>
      </c>
      <c r="F5493">
        <v>732</v>
      </c>
      <c r="G5493" t="str">
        <f>T("신타비")</f>
        <v>신타비</v>
      </c>
      <c r="J5493" t="str">
        <f>T("매드햇")</f>
        <v>매드햇</v>
      </c>
      <c r="K5493" t="str">
        <f>T("저승의 왕위를 계승했다")</f>
        <v>저승의 왕위를 계승했다</v>
      </c>
      <c r="L5493">
        <v>100</v>
      </c>
      <c r="M5493">
        <v>100</v>
      </c>
      <c r="N5493">
        <v>1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>
        <v>0</v>
      </c>
      <c r="V5493">
        <v>0</v>
      </c>
      <c r="W5493">
        <v>0</v>
      </c>
      <c r="X5493">
        <v>0</v>
      </c>
      <c r="Y5493">
        <v>0</v>
      </c>
      <c r="Z5493">
        <v>0</v>
      </c>
      <c r="AA5493">
        <v>0</v>
      </c>
      <c r="AB5493">
        <v>0</v>
      </c>
      <c r="AC5493">
        <v>0</v>
      </c>
      <c r="AD5493">
        <v>0</v>
      </c>
      <c r="AE5493">
        <v>0</v>
      </c>
      <c r="AF5493">
        <v>0</v>
      </c>
      <c r="AG5493">
        <v>0</v>
      </c>
      <c r="AH5493">
        <v>0</v>
      </c>
      <c r="AI5493">
        <v>100</v>
      </c>
      <c r="AJ5493">
        <v>1</v>
      </c>
      <c r="AK5493">
        <v>0</v>
      </c>
      <c r="AL5493">
        <v>0</v>
      </c>
      <c r="AM5493">
        <v>100</v>
      </c>
      <c r="AN5493">
        <v>0</v>
      </c>
      <c r="AO5493">
        <v>0</v>
      </c>
      <c r="AP5493">
        <v>0</v>
      </c>
      <c r="AQ5493">
        <v>0</v>
      </c>
      <c r="AS5493">
        <v>0</v>
      </c>
      <c r="AT5493">
        <v>0</v>
      </c>
      <c r="AV5493">
        <v>0</v>
      </c>
      <c r="AW5493">
        <v>0</v>
      </c>
      <c r="AY5493">
        <v>0</v>
      </c>
      <c r="AZ5493">
        <v>0</v>
      </c>
      <c r="BA5493">
        <v>70</v>
      </c>
      <c r="BE5493" t="str">
        <f>T("9791137014381")</f>
        <v>9791137014381</v>
      </c>
      <c r="BF5493" t="str">
        <f>T("D147810")</f>
        <v>D147810</v>
      </c>
      <c r="BG5493" t="str">
        <f>T("판타지 웹소설 &gt; 퓨전 판타지")</f>
        <v>판타지 웹소설 &gt; 퓨전 판타지</v>
      </c>
    </row>
    <row r="5494" spans="1:59">
      <c r="A5494" t="s">
        <v>60</v>
      </c>
      <c r="B5494" s="1">
        <v>46130</v>
      </c>
      <c r="C5494">
        <v>2378044065</v>
      </c>
      <c r="D5494">
        <v>2378079016</v>
      </c>
      <c r="E5494" t="str">
        <f>T("저승의 왕위를 계승했다 731화")</f>
        <v>저승의 왕위를 계승했다 731화</v>
      </c>
      <c r="F5494">
        <v>733</v>
      </c>
      <c r="G5494" t="str">
        <f>T("신타비")</f>
        <v>신타비</v>
      </c>
      <c r="J5494" t="str">
        <f>T("매드햇")</f>
        <v>매드햇</v>
      </c>
      <c r="K5494" t="str">
        <f>T("저승의 왕위를 계승했다")</f>
        <v>저승의 왕위를 계승했다</v>
      </c>
      <c r="L5494">
        <v>100</v>
      </c>
      <c r="M5494">
        <v>100</v>
      </c>
      <c r="N5494">
        <v>1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>
        <v>0</v>
      </c>
      <c r="V5494">
        <v>0</v>
      </c>
      <c r="W5494">
        <v>0</v>
      </c>
      <c r="X5494">
        <v>0</v>
      </c>
      <c r="Y5494">
        <v>0</v>
      </c>
      <c r="Z5494">
        <v>0</v>
      </c>
      <c r="AA5494">
        <v>0</v>
      </c>
      <c r="AB5494">
        <v>0</v>
      </c>
      <c r="AC5494">
        <v>0</v>
      </c>
      <c r="AD5494">
        <v>0</v>
      </c>
      <c r="AE5494">
        <v>0</v>
      </c>
      <c r="AF5494">
        <v>0</v>
      </c>
      <c r="AG5494">
        <v>0</v>
      </c>
      <c r="AH5494">
        <v>0</v>
      </c>
      <c r="AI5494">
        <v>100</v>
      </c>
      <c r="AJ5494">
        <v>1</v>
      </c>
      <c r="AK5494">
        <v>0</v>
      </c>
      <c r="AL5494">
        <v>0</v>
      </c>
      <c r="AM5494">
        <v>100</v>
      </c>
      <c r="AN5494">
        <v>0</v>
      </c>
      <c r="AO5494">
        <v>0</v>
      </c>
      <c r="AP5494">
        <v>0</v>
      </c>
      <c r="AQ5494">
        <v>0</v>
      </c>
      <c r="AS5494">
        <v>0</v>
      </c>
      <c r="AT5494">
        <v>0</v>
      </c>
      <c r="AV5494">
        <v>0</v>
      </c>
      <c r="AW5494">
        <v>0</v>
      </c>
      <c r="AY5494">
        <v>0</v>
      </c>
      <c r="AZ5494">
        <v>0</v>
      </c>
      <c r="BA5494">
        <v>70</v>
      </c>
      <c r="BE5494" t="str">
        <f>T("9791137014381")</f>
        <v>9791137014381</v>
      </c>
      <c r="BF5494" t="str">
        <f>T("D168240")</f>
        <v>D168240</v>
      </c>
      <c r="BG5494" t="str">
        <f>T("판타지 웹소설 &gt; 퓨전 판타지")</f>
        <v>판타지 웹소설 &gt; 퓨전 판타지</v>
      </c>
    </row>
    <row r="5495" spans="1:59">
      <c r="A5495" t="s">
        <v>60</v>
      </c>
      <c r="B5495" s="1">
        <v>46130</v>
      </c>
      <c r="C5495">
        <v>2378044065</v>
      </c>
      <c r="D5495">
        <v>2378079017</v>
      </c>
      <c r="E5495" t="str">
        <f>T("저승의 왕위를 계승했다 732화")</f>
        <v>저승의 왕위를 계승했다 732화</v>
      </c>
      <c r="F5495">
        <v>734</v>
      </c>
      <c r="G5495" t="str">
        <f>T("신타비")</f>
        <v>신타비</v>
      </c>
      <c r="J5495" t="str">
        <f>T("매드햇")</f>
        <v>매드햇</v>
      </c>
      <c r="K5495" t="str">
        <f>T("저승의 왕위를 계승했다")</f>
        <v>저승의 왕위를 계승했다</v>
      </c>
      <c r="L5495">
        <v>100</v>
      </c>
      <c r="M5495">
        <v>100</v>
      </c>
      <c r="N5495">
        <v>1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>
        <v>0</v>
      </c>
      <c r="V5495">
        <v>0</v>
      </c>
      <c r="W5495">
        <v>0</v>
      </c>
      <c r="X5495">
        <v>0</v>
      </c>
      <c r="Y5495">
        <v>0</v>
      </c>
      <c r="Z5495">
        <v>0</v>
      </c>
      <c r="AA5495">
        <v>0</v>
      </c>
      <c r="AB5495">
        <v>0</v>
      </c>
      <c r="AC5495">
        <v>0</v>
      </c>
      <c r="AD5495">
        <v>0</v>
      </c>
      <c r="AE5495">
        <v>0</v>
      </c>
      <c r="AF5495">
        <v>0</v>
      </c>
      <c r="AG5495">
        <v>0</v>
      </c>
      <c r="AH5495">
        <v>0</v>
      </c>
      <c r="AI5495">
        <v>100</v>
      </c>
      <c r="AJ5495">
        <v>1</v>
      </c>
      <c r="AK5495">
        <v>0</v>
      </c>
      <c r="AL5495">
        <v>0</v>
      </c>
      <c r="AM5495">
        <v>100</v>
      </c>
      <c r="AN5495">
        <v>0</v>
      </c>
      <c r="AO5495">
        <v>0</v>
      </c>
      <c r="AP5495">
        <v>0</v>
      </c>
      <c r="AQ5495">
        <v>0</v>
      </c>
      <c r="AS5495">
        <v>0</v>
      </c>
      <c r="AT5495">
        <v>0</v>
      </c>
      <c r="AV5495">
        <v>0</v>
      </c>
      <c r="AW5495">
        <v>0</v>
      </c>
      <c r="AY5495">
        <v>0</v>
      </c>
      <c r="AZ5495">
        <v>0</v>
      </c>
      <c r="BA5495">
        <v>70</v>
      </c>
      <c r="BE5495" t="str">
        <f>T("9791137014381")</f>
        <v>9791137014381</v>
      </c>
      <c r="BF5495" t="str">
        <f>T("D168241")</f>
        <v>D168241</v>
      </c>
      <c r="BG5495" t="str">
        <f>T("판타지 웹소설 &gt; 퓨전 판타지")</f>
        <v>판타지 웹소설 &gt; 퓨전 판타지</v>
      </c>
    </row>
    <row r="5496" spans="1:59">
      <c r="A5496" t="s">
        <v>60</v>
      </c>
      <c r="B5496" s="1">
        <v>46130</v>
      </c>
      <c r="C5496">
        <v>2378044065</v>
      </c>
      <c r="D5496">
        <v>2378079031</v>
      </c>
      <c r="E5496" t="str">
        <f>T("저승의 왕위를 계승했다 733화")</f>
        <v>저승의 왕위를 계승했다 733화</v>
      </c>
      <c r="F5496">
        <v>735</v>
      </c>
      <c r="G5496" t="str">
        <f>T("신타비")</f>
        <v>신타비</v>
      </c>
      <c r="J5496" t="str">
        <f>T("매드햇")</f>
        <v>매드햇</v>
      </c>
      <c r="K5496" t="str">
        <f>T("저승의 왕위를 계승했다")</f>
        <v>저승의 왕위를 계승했다</v>
      </c>
      <c r="L5496">
        <v>100</v>
      </c>
      <c r="M5496">
        <v>100</v>
      </c>
      <c r="N5496">
        <v>1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>
        <v>0</v>
      </c>
      <c r="V5496">
        <v>0</v>
      </c>
      <c r="W5496">
        <v>0</v>
      </c>
      <c r="X5496">
        <v>0</v>
      </c>
      <c r="Y5496">
        <v>0</v>
      </c>
      <c r="Z5496">
        <v>0</v>
      </c>
      <c r="AA5496">
        <v>0</v>
      </c>
      <c r="AB5496">
        <v>0</v>
      </c>
      <c r="AC5496">
        <v>0</v>
      </c>
      <c r="AD5496">
        <v>0</v>
      </c>
      <c r="AE5496">
        <v>0</v>
      </c>
      <c r="AF5496">
        <v>0</v>
      </c>
      <c r="AG5496">
        <v>0</v>
      </c>
      <c r="AH5496">
        <v>0</v>
      </c>
      <c r="AI5496">
        <v>100</v>
      </c>
      <c r="AJ5496">
        <v>1</v>
      </c>
      <c r="AK5496">
        <v>0</v>
      </c>
      <c r="AL5496">
        <v>0</v>
      </c>
      <c r="AM5496">
        <v>100</v>
      </c>
      <c r="AN5496">
        <v>0</v>
      </c>
      <c r="AO5496">
        <v>0</v>
      </c>
      <c r="AP5496">
        <v>0</v>
      </c>
      <c r="AQ5496">
        <v>0</v>
      </c>
      <c r="AS5496">
        <v>0</v>
      </c>
      <c r="AT5496">
        <v>0</v>
      </c>
      <c r="AV5496">
        <v>0</v>
      </c>
      <c r="AW5496">
        <v>0</v>
      </c>
      <c r="AY5496">
        <v>0</v>
      </c>
      <c r="AZ5496">
        <v>0</v>
      </c>
      <c r="BA5496">
        <v>70</v>
      </c>
      <c r="BE5496" t="str">
        <f>T("9791137014381")</f>
        <v>9791137014381</v>
      </c>
      <c r="BF5496" t="str">
        <f>T("D168242")</f>
        <v>D168242</v>
      </c>
      <c r="BG5496" t="str">
        <f>T("판타지 웹소설 &gt; 퓨전 판타지")</f>
        <v>판타지 웹소설 &gt; 퓨전 판타지</v>
      </c>
    </row>
    <row r="5497" spans="1:59">
      <c r="A5497" t="s">
        <v>60</v>
      </c>
      <c r="B5497" s="1">
        <v>46130</v>
      </c>
      <c r="C5497">
        <v>2378044065</v>
      </c>
      <c r="D5497">
        <v>2378079032</v>
      </c>
      <c r="E5497" t="str">
        <f>T("저승의 왕위를 계승했다 734화")</f>
        <v>저승의 왕위를 계승했다 734화</v>
      </c>
      <c r="F5497">
        <v>736</v>
      </c>
      <c r="G5497" t="str">
        <f>T("신타비")</f>
        <v>신타비</v>
      </c>
      <c r="J5497" t="str">
        <f>T("매드햇")</f>
        <v>매드햇</v>
      </c>
      <c r="K5497" t="str">
        <f>T("저승의 왕위를 계승했다")</f>
        <v>저승의 왕위를 계승했다</v>
      </c>
      <c r="L5497">
        <v>100</v>
      </c>
      <c r="M5497">
        <v>100</v>
      </c>
      <c r="N5497">
        <v>1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>
        <v>0</v>
      </c>
      <c r="V5497">
        <v>0</v>
      </c>
      <c r="W5497">
        <v>0</v>
      </c>
      <c r="X5497">
        <v>0</v>
      </c>
      <c r="Y5497">
        <v>0</v>
      </c>
      <c r="Z5497">
        <v>0</v>
      </c>
      <c r="AA5497">
        <v>0</v>
      </c>
      <c r="AB5497">
        <v>0</v>
      </c>
      <c r="AC5497">
        <v>0</v>
      </c>
      <c r="AD5497">
        <v>0</v>
      </c>
      <c r="AE5497">
        <v>0</v>
      </c>
      <c r="AF5497">
        <v>0</v>
      </c>
      <c r="AG5497">
        <v>0</v>
      </c>
      <c r="AH5497">
        <v>0</v>
      </c>
      <c r="AI5497">
        <v>100</v>
      </c>
      <c r="AJ5497">
        <v>1</v>
      </c>
      <c r="AK5497">
        <v>0</v>
      </c>
      <c r="AL5497">
        <v>0</v>
      </c>
      <c r="AM5497">
        <v>100</v>
      </c>
      <c r="AN5497">
        <v>0</v>
      </c>
      <c r="AO5497">
        <v>0</v>
      </c>
      <c r="AP5497">
        <v>0</v>
      </c>
      <c r="AQ5497">
        <v>0</v>
      </c>
      <c r="AS5497">
        <v>0</v>
      </c>
      <c r="AT5497">
        <v>0</v>
      </c>
      <c r="AV5497">
        <v>0</v>
      </c>
      <c r="AW5497">
        <v>0</v>
      </c>
      <c r="AY5497">
        <v>0</v>
      </c>
      <c r="AZ5497">
        <v>0</v>
      </c>
      <c r="BA5497">
        <v>70</v>
      </c>
      <c r="BE5497" t="str">
        <f>T("9791137014381")</f>
        <v>9791137014381</v>
      </c>
      <c r="BF5497" t="str">
        <f>T("D168243")</f>
        <v>D168243</v>
      </c>
      <c r="BG5497" t="str">
        <f>T("판타지 웹소설 &gt; 퓨전 판타지")</f>
        <v>판타지 웹소설 &gt; 퓨전 판타지</v>
      </c>
    </row>
    <row r="5498" spans="1:59">
      <c r="A5498" t="s">
        <v>60</v>
      </c>
      <c r="B5498" s="1">
        <v>46130</v>
      </c>
      <c r="C5498">
        <v>2378044065</v>
      </c>
      <c r="D5498">
        <v>2378079042</v>
      </c>
      <c r="E5498" t="str">
        <f>T("저승의 왕위를 계승했다 735화")</f>
        <v>저승의 왕위를 계승했다 735화</v>
      </c>
      <c r="F5498">
        <v>737</v>
      </c>
      <c r="G5498" t="str">
        <f>T("신타비")</f>
        <v>신타비</v>
      </c>
      <c r="J5498" t="str">
        <f>T("매드햇")</f>
        <v>매드햇</v>
      </c>
      <c r="K5498" t="str">
        <f>T("저승의 왕위를 계승했다")</f>
        <v>저승의 왕위를 계승했다</v>
      </c>
      <c r="L5498">
        <v>100</v>
      </c>
      <c r="M5498">
        <v>100</v>
      </c>
      <c r="N5498">
        <v>1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0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0</v>
      </c>
      <c r="AE5498">
        <v>0</v>
      </c>
      <c r="AF5498">
        <v>0</v>
      </c>
      <c r="AG5498">
        <v>0</v>
      </c>
      <c r="AH5498">
        <v>0</v>
      </c>
      <c r="AI5498">
        <v>100</v>
      </c>
      <c r="AJ5498">
        <v>1</v>
      </c>
      <c r="AK5498">
        <v>0</v>
      </c>
      <c r="AL5498">
        <v>0</v>
      </c>
      <c r="AM5498">
        <v>100</v>
      </c>
      <c r="AN5498">
        <v>0</v>
      </c>
      <c r="AO5498">
        <v>0</v>
      </c>
      <c r="AP5498">
        <v>0</v>
      </c>
      <c r="AQ5498">
        <v>0</v>
      </c>
      <c r="AS5498">
        <v>0</v>
      </c>
      <c r="AT5498">
        <v>0</v>
      </c>
      <c r="AV5498">
        <v>0</v>
      </c>
      <c r="AW5498">
        <v>0</v>
      </c>
      <c r="AY5498">
        <v>0</v>
      </c>
      <c r="AZ5498">
        <v>0</v>
      </c>
      <c r="BA5498">
        <v>70</v>
      </c>
      <c r="BE5498" t="str">
        <f>T("9791137014381")</f>
        <v>9791137014381</v>
      </c>
      <c r="BF5498" t="str">
        <f>T("D168244")</f>
        <v>D168244</v>
      </c>
      <c r="BG5498" t="str">
        <f>T("판타지 웹소설 &gt; 퓨전 판타지")</f>
        <v>판타지 웹소설 &gt; 퓨전 판타지</v>
      </c>
    </row>
    <row r="5499" spans="1:59">
      <c r="A5499" t="s">
        <v>60</v>
      </c>
      <c r="B5499" s="1">
        <v>46130</v>
      </c>
      <c r="C5499">
        <v>2378044065</v>
      </c>
      <c r="D5499">
        <v>2378079043</v>
      </c>
      <c r="E5499" t="str">
        <f>T("저승의 왕위를 계승했다 736화")</f>
        <v>저승의 왕위를 계승했다 736화</v>
      </c>
      <c r="F5499">
        <v>738</v>
      </c>
      <c r="G5499" t="str">
        <f>T("신타비")</f>
        <v>신타비</v>
      </c>
      <c r="J5499" t="str">
        <f>T("매드햇")</f>
        <v>매드햇</v>
      </c>
      <c r="K5499" t="str">
        <f>T("저승의 왕위를 계승했다")</f>
        <v>저승의 왕위를 계승했다</v>
      </c>
      <c r="L5499">
        <v>100</v>
      </c>
      <c r="M5499">
        <v>100</v>
      </c>
      <c r="N5499">
        <v>1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0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0</v>
      </c>
      <c r="AE5499">
        <v>0</v>
      </c>
      <c r="AF5499">
        <v>0</v>
      </c>
      <c r="AG5499">
        <v>0</v>
      </c>
      <c r="AH5499">
        <v>0</v>
      </c>
      <c r="AI5499">
        <v>100</v>
      </c>
      <c r="AJ5499">
        <v>1</v>
      </c>
      <c r="AK5499">
        <v>0</v>
      </c>
      <c r="AL5499">
        <v>0</v>
      </c>
      <c r="AM5499">
        <v>100</v>
      </c>
      <c r="AN5499">
        <v>0</v>
      </c>
      <c r="AO5499">
        <v>0</v>
      </c>
      <c r="AP5499">
        <v>0</v>
      </c>
      <c r="AQ5499">
        <v>0</v>
      </c>
      <c r="AS5499">
        <v>0</v>
      </c>
      <c r="AT5499">
        <v>0</v>
      </c>
      <c r="AV5499">
        <v>0</v>
      </c>
      <c r="AW5499">
        <v>0</v>
      </c>
      <c r="AY5499">
        <v>0</v>
      </c>
      <c r="AZ5499">
        <v>0</v>
      </c>
      <c r="BA5499">
        <v>70</v>
      </c>
      <c r="BE5499" t="str">
        <f>T("9791137014381")</f>
        <v>9791137014381</v>
      </c>
      <c r="BF5499" t="str">
        <f>T("D168245")</f>
        <v>D168245</v>
      </c>
      <c r="BG5499" t="str">
        <f>T("판타지 웹소설 &gt; 퓨전 판타지")</f>
        <v>판타지 웹소설 &gt; 퓨전 판타지</v>
      </c>
    </row>
    <row r="5500" spans="1:59">
      <c r="A5500" t="s">
        <v>60</v>
      </c>
      <c r="B5500" s="1">
        <v>46130</v>
      </c>
      <c r="C5500">
        <v>2378044065</v>
      </c>
      <c r="D5500">
        <v>2378079044</v>
      </c>
      <c r="E5500" t="str">
        <f>T("저승의 왕위를 계승했다 737화")</f>
        <v>저승의 왕위를 계승했다 737화</v>
      </c>
      <c r="F5500">
        <v>739</v>
      </c>
      <c r="G5500" t="str">
        <f>T("신타비")</f>
        <v>신타비</v>
      </c>
      <c r="J5500" t="str">
        <f>T("매드햇")</f>
        <v>매드햇</v>
      </c>
      <c r="K5500" t="str">
        <f>T("저승의 왕위를 계승했다")</f>
        <v>저승의 왕위를 계승했다</v>
      </c>
      <c r="L5500">
        <v>100</v>
      </c>
      <c r="M5500">
        <v>100</v>
      </c>
      <c r="N5500">
        <v>1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0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0</v>
      </c>
      <c r="AE5500">
        <v>0</v>
      </c>
      <c r="AF5500">
        <v>0</v>
      </c>
      <c r="AG5500">
        <v>0</v>
      </c>
      <c r="AH5500">
        <v>0</v>
      </c>
      <c r="AI5500">
        <v>100</v>
      </c>
      <c r="AJ5500">
        <v>1</v>
      </c>
      <c r="AK5500">
        <v>0</v>
      </c>
      <c r="AL5500">
        <v>0</v>
      </c>
      <c r="AM5500">
        <v>100</v>
      </c>
      <c r="AN5500">
        <v>0</v>
      </c>
      <c r="AO5500">
        <v>0</v>
      </c>
      <c r="AP5500">
        <v>0</v>
      </c>
      <c r="AQ5500">
        <v>0</v>
      </c>
      <c r="AS5500">
        <v>0</v>
      </c>
      <c r="AT5500">
        <v>0</v>
      </c>
      <c r="AV5500">
        <v>0</v>
      </c>
      <c r="AW5500">
        <v>0</v>
      </c>
      <c r="AY5500">
        <v>0</v>
      </c>
      <c r="AZ5500">
        <v>0</v>
      </c>
      <c r="BA5500">
        <v>70</v>
      </c>
      <c r="BE5500" t="str">
        <f>T("9791137014381")</f>
        <v>9791137014381</v>
      </c>
      <c r="BF5500" t="str">
        <f>T("D168246")</f>
        <v>D168246</v>
      </c>
      <c r="BG5500" t="str">
        <f>T("판타지 웹소설 &gt; 퓨전 판타지")</f>
        <v>판타지 웹소설 &gt; 퓨전 판타지</v>
      </c>
    </row>
    <row r="5501" spans="1:59">
      <c r="A5501" t="s">
        <v>60</v>
      </c>
      <c r="B5501" s="1">
        <v>46130</v>
      </c>
      <c r="C5501">
        <v>2378044065</v>
      </c>
      <c r="D5501">
        <v>2378079059</v>
      </c>
      <c r="E5501" t="str">
        <f>T("저승의 왕위를 계승했다 738화")</f>
        <v>저승의 왕위를 계승했다 738화</v>
      </c>
      <c r="F5501">
        <v>740</v>
      </c>
      <c r="G5501" t="str">
        <f>T("신타비")</f>
        <v>신타비</v>
      </c>
      <c r="J5501" t="str">
        <f>T("매드햇")</f>
        <v>매드햇</v>
      </c>
      <c r="K5501" t="str">
        <f>T("저승의 왕위를 계승했다")</f>
        <v>저승의 왕위를 계승했다</v>
      </c>
      <c r="L5501">
        <v>100</v>
      </c>
      <c r="M5501">
        <v>100</v>
      </c>
      <c r="N5501">
        <v>1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0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0</v>
      </c>
      <c r="AE5501">
        <v>0</v>
      </c>
      <c r="AF5501">
        <v>0</v>
      </c>
      <c r="AG5501">
        <v>0</v>
      </c>
      <c r="AH5501">
        <v>0</v>
      </c>
      <c r="AI5501">
        <v>100</v>
      </c>
      <c r="AJ5501">
        <v>1</v>
      </c>
      <c r="AK5501">
        <v>0</v>
      </c>
      <c r="AL5501">
        <v>0</v>
      </c>
      <c r="AM5501">
        <v>100</v>
      </c>
      <c r="AN5501">
        <v>0</v>
      </c>
      <c r="AO5501">
        <v>0</v>
      </c>
      <c r="AP5501">
        <v>0</v>
      </c>
      <c r="AQ5501">
        <v>0</v>
      </c>
      <c r="AS5501">
        <v>0</v>
      </c>
      <c r="AT5501">
        <v>0</v>
      </c>
      <c r="AV5501">
        <v>0</v>
      </c>
      <c r="AW5501">
        <v>0</v>
      </c>
      <c r="AY5501">
        <v>0</v>
      </c>
      <c r="AZ5501">
        <v>0</v>
      </c>
      <c r="BA5501">
        <v>70</v>
      </c>
      <c r="BE5501" t="str">
        <f>T("9791137014381")</f>
        <v>9791137014381</v>
      </c>
      <c r="BF5501" t="str">
        <f>T("D168247")</f>
        <v>D168247</v>
      </c>
      <c r="BG5501" t="str">
        <f>T("판타지 웹소설 &gt; 퓨전 판타지")</f>
        <v>판타지 웹소설 &gt; 퓨전 판타지</v>
      </c>
    </row>
    <row r="5502" spans="1:59">
      <c r="A5502" t="s">
        <v>60</v>
      </c>
      <c r="B5502" s="1">
        <v>46130</v>
      </c>
      <c r="C5502">
        <v>2378044065</v>
      </c>
      <c r="D5502">
        <v>2378079060</v>
      </c>
      <c r="E5502" t="str">
        <f>T("저승의 왕위를 계승했다 739화")</f>
        <v>저승의 왕위를 계승했다 739화</v>
      </c>
      <c r="F5502">
        <v>741</v>
      </c>
      <c r="G5502" t="str">
        <f>T("신타비")</f>
        <v>신타비</v>
      </c>
      <c r="J5502" t="str">
        <f>T("매드햇")</f>
        <v>매드햇</v>
      </c>
      <c r="K5502" t="str">
        <f>T("저승의 왕위를 계승했다")</f>
        <v>저승의 왕위를 계승했다</v>
      </c>
      <c r="L5502">
        <v>100</v>
      </c>
      <c r="M5502">
        <v>100</v>
      </c>
      <c r="N5502">
        <v>1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0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0</v>
      </c>
      <c r="AE5502">
        <v>0</v>
      </c>
      <c r="AF5502">
        <v>0</v>
      </c>
      <c r="AG5502">
        <v>0</v>
      </c>
      <c r="AH5502">
        <v>0</v>
      </c>
      <c r="AI5502">
        <v>100</v>
      </c>
      <c r="AJ5502">
        <v>1</v>
      </c>
      <c r="AK5502">
        <v>0</v>
      </c>
      <c r="AL5502">
        <v>0</v>
      </c>
      <c r="AM5502">
        <v>100</v>
      </c>
      <c r="AN5502">
        <v>0</v>
      </c>
      <c r="AO5502">
        <v>0</v>
      </c>
      <c r="AP5502">
        <v>0</v>
      </c>
      <c r="AQ5502">
        <v>0</v>
      </c>
      <c r="AS5502">
        <v>0</v>
      </c>
      <c r="AT5502">
        <v>0</v>
      </c>
      <c r="AV5502">
        <v>0</v>
      </c>
      <c r="AW5502">
        <v>0</v>
      </c>
      <c r="AY5502">
        <v>0</v>
      </c>
      <c r="AZ5502">
        <v>0</v>
      </c>
      <c r="BA5502">
        <v>70</v>
      </c>
      <c r="BE5502" t="str">
        <f>T("9791137014381")</f>
        <v>9791137014381</v>
      </c>
      <c r="BF5502" t="str">
        <f>T("D168248")</f>
        <v>D168248</v>
      </c>
      <c r="BG5502" t="str">
        <f>T("판타지 웹소설 &gt; 퓨전 판타지")</f>
        <v>판타지 웹소설 &gt; 퓨전 판타지</v>
      </c>
    </row>
    <row r="5503" spans="1:59">
      <c r="A5503" t="s">
        <v>60</v>
      </c>
      <c r="B5503" s="1">
        <v>46130</v>
      </c>
      <c r="C5503">
        <v>2378044065</v>
      </c>
      <c r="D5503">
        <v>2378079087</v>
      </c>
      <c r="E5503" t="str">
        <f>T("저승의 왕위를 계승했다 740화")</f>
        <v>저승의 왕위를 계승했다 740화</v>
      </c>
      <c r="F5503">
        <v>742</v>
      </c>
      <c r="G5503" t="str">
        <f>T("신타비")</f>
        <v>신타비</v>
      </c>
      <c r="J5503" t="str">
        <f>T("매드햇")</f>
        <v>매드햇</v>
      </c>
      <c r="K5503" t="str">
        <f>T("저승의 왕위를 계승했다")</f>
        <v>저승의 왕위를 계승했다</v>
      </c>
      <c r="L5503">
        <v>100</v>
      </c>
      <c r="M5503">
        <v>100</v>
      </c>
      <c r="N5503">
        <v>1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0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0</v>
      </c>
      <c r="AE5503">
        <v>0</v>
      </c>
      <c r="AF5503">
        <v>0</v>
      </c>
      <c r="AG5503">
        <v>0</v>
      </c>
      <c r="AH5503">
        <v>0</v>
      </c>
      <c r="AI5503">
        <v>100</v>
      </c>
      <c r="AJ5503">
        <v>1</v>
      </c>
      <c r="AK5503">
        <v>0</v>
      </c>
      <c r="AL5503">
        <v>0</v>
      </c>
      <c r="AM5503">
        <v>100</v>
      </c>
      <c r="AN5503">
        <v>0</v>
      </c>
      <c r="AO5503">
        <v>0</v>
      </c>
      <c r="AP5503">
        <v>0</v>
      </c>
      <c r="AQ5503">
        <v>0</v>
      </c>
      <c r="AS5503">
        <v>0</v>
      </c>
      <c r="AT5503">
        <v>0</v>
      </c>
      <c r="AV5503">
        <v>0</v>
      </c>
      <c r="AW5503">
        <v>0</v>
      </c>
      <c r="AY5503">
        <v>0</v>
      </c>
      <c r="AZ5503">
        <v>0</v>
      </c>
      <c r="BA5503">
        <v>70</v>
      </c>
      <c r="BE5503" t="str">
        <f>T("9791137014381")</f>
        <v>9791137014381</v>
      </c>
      <c r="BF5503" t="str">
        <f>T("D168249")</f>
        <v>D168249</v>
      </c>
      <c r="BG5503" t="str">
        <f>T("판타지 웹소설 &gt; 퓨전 판타지")</f>
        <v>판타지 웹소설 &gt; 퓨전 판타지</v>
      </c>
    </row>
    <row r="5504" spans="1:59">
      <c r="A5504" t="s">
        <v>60</v>
      </c>
      <c r="B5504" s="1">
        <v>46130</v>
      </c>
      <c r="C5504">
        <v>2378044065</v>
      </c>
      <c r="D5504">
        <v>2378079088</v>
      </c>
      <c r="E5504" t="str">
        <f>T("저승의 왕위를 계승했다 741화")</f>
        <v>저승의 왕위를 계승했다 741화</v>
      </c>
      <c r="F5504">
        <v>743</v>
      </c>
      <c r="G5504" t="str">
        <f>T("신타비")</f>
        <v>신타비</v>
      </c>
      <c r="J5504" t="str">
        <f>T("매드햇")</f>
        <v>매드햇</v>
      </c>
      <c r="K5504" t="str">
        <f>T("저승의 왕위를 계승했다")</f>
        <v>저승의 왕위를 계승했다</v>
      </c>
      <c r="L5504">
        <v>100</v>
      </c>
      <c r="M5504">
        <v>100</v>
      </c>
      <c r="N5504">
        <v>1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0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0</v>
      </c>
      <c r="AE5504">
        <v>0</v>
      </c>
      <c r="AF5504">
        <v>0</v>
      </c>
      <c r="AG5504">
        <v>0</v>
      </c>
      <c r="AH5504">
        <v>0</v>
      </c>
      <c r="AI5504">
        <v>100</v>
      </c>
      <c r="AJ5504">
        <v>1</v>
      </c>
      <c r="AK5504">
        <v>0</v>
      </c>
      <c r="AL5504">
        <v>0</v>
      </c>
      <c r="AM5504">
        <v>100</v>
      </c>
      <c r="AN5504">
        <v>0</v>
      </c>
      <c r="AO5504">
        <v>0</v>
      </c>
      <c r="AP5504">
        <v>0</v>
      </c>
      <c r="AQ5504">
        <v>0</v>
      </c>
      <c r="AS5504">
        <v>0</v>
      </c>
      <c r="AT5504">
        <v>0</v>
      </c>
      <c r="AV5504">
        <v>0</v>
      </c>
      <c r="AW5504">
        <v>0</v>
      </c>
      <c r="AY5504">
        <v>0</v>
      </c>
      <c r="AZ5504">
        <v>0</v>
      </c>
      <c r="BA5504">
        <v>70</v>
      </c>
      <c r="BE5504" t="str">
        <f>T("9791137014381")</f>
        <v>9791137014381</v>
      </c>
      <c r="BF5504" t="str">
        <f>T("D168250")</f>
        <v>D168250</v>
      </c>
      <c r="BG5504" t="str">
        <f>T("판타지 웹소설 &gt; 퓨전 판타지")</f>
        <v>판타지 웹소설 &gt; 퓨전 판타지</v>
      </c>
    </row>
    <row r="5505" spans="1:59">
      <c r="A5505" t="s">
        <v>60</v>
      </c>
      <c r="B5505" s="1">
        <v>46130</v>
      </c>
      <c r="C5505">
        <v>2378044065</v>
      </c>
      <c r="D5505">
        <v>2378079089</v>
      </c>
      <c r="E5505" t="str">
        <f>T("저승의 왕위를 계승했다 742화")</f>
        <v>저승의 왕위를 계승했다 742화</v>
      </c>
      <c r="F5505">
        <v>744</v>
      </c>
      <c r="G5505" t="str">
        <f>T("신타비")</f>
        <v>신타비</v>
      </c>
      <c r="J5505" t="str">
        <f>T("매드햇")</f>
        <v>매드햇</v>
      </c>
      <c r="K5505" t="str">
        <f>T("저승의 왕위를 계승했다")</f>
        <v>저승의 왕위를 계승했다</v>
      </c>
      <c r="L5505">
        <v>100</v>
      </c>
      <c r="M5505">
        <v>100</v>
      </c>
      <c r="N5505">
        <v>1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0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0</v>
      </c>
      <c r="AE5505">
        <v>0</v>
      </c>
      <c r="AF5505">
        <v>0</v>
      </c>
      <c r="AG5505">
        <v>0</v>
      </c>
      <c r="AH5505">
        <v>0</v>
      </c>
      <c r="AI5505">
        <v>100</v>
      </c>
      <c r="AJ5505">
        <v>1</v>
      </c>
      <c r="AK5505">
        <v>0</v>
      </c>
      <c r="AL5505">
        <v>0</v>
      </c>
      <c r="AM5505">
        <v>100</v>
      </c>
      <c r="AN5505">
        <v>0</v>
      </c>
      <c r="AO5505">
        <v>0</v>
      </c>
      <c r="AP5505">
        <v>0</v>
      </c>
      <c r="AQ5505">
        <v>0</v>
      </c>
      <c r="AS5505">
        <v>0</v>
      </c>
      <c r="AT5505">
        <v>0</v>
      </c>
      <c r="AV5505">
        <v>0</v>
      </c>
      <c r="AW5505">
        <v>0</v>
      </c>
      <c r="AY5505">
        <v>0</v>
      </c>
      <c r="AZ5505">
        <v>0</v>
      </c>
      <c r="BA5505">
        <v>70</v>
      </c>
      <c r="BE5505" t="str">
        <f>T("9791137014381")</f>
        <v>9791137014381</v>
      </c>
      <c r="BF5505" t="str">
        <f>T("D168251")</f>
        <v>D168251</v>
      </c>
      <c r="BG5505" t="str">
        <f>T("판타지 웹소설 &gt; 퓨전 판타지")</f>
        <v>판타지 웹소설 &gt; 퓨전 판타지</v>
      </c>
    </row>
    <row r="5506" spans="1:59">
      <c r="A5506" t="s">
        <v>60</v>
      </c>
      <c r="B5506" s="1">
        <v>46130</v>
      </c>
      <c r="C5506">
        <v>2378044065</v>
      </c>
      <c r="D5506">
        <v>2378079090</v>
      </c>
      <c r="E5506" t="str">
        <f>T("저승의 왕위를 계승했다 743화")</f>
        <v>저승의 왕위를 계승했다 743화</v>
      </c>
      <c r="F5506">
        <v>745</v>
      </c>
      <c r="G5506" t="str">
        <f>T("신타비")</f>
        <v>신타비</v>
      </c>
      <c r="J5506" t="str">
        <f>T("매드햇")</f>
        <v>매드햇</v>
      </c>
      <c r="K5506" t="str">
        <f>T("저승의 왕위를 계승했다")</f>
        <v>저승의 왕위를 계승했다</v>
      </c>
      <c r="L5506">
        <v>100</v>
      </c>
      <c r="M5506">
        <v>100</v>
      </c>
      <c r="N5506">
        <v>1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0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0</v>
      </c>
      <c r="AE5506">
        <v>0</v>
      </c>
      <c r="AF5506">
        <v>0</v>
      </c>
      <c r="AG5506">
        <v>0</v>
      </c>
      <c r="AH5506">
        <v>0</v>
      </c>
      <c r="AI5506">
        <v>100</v>
      </c>
      <c r="AJ5506">
        <v>1</v>
      </c>
      <c r="AK5506">
        <v>0</v>
      </c>
      <c r="AL5506">
        <v>0</v>
      </c>
      <c r="AM5506">
        <v>100</v>
      </c>
      <c r="AN5506">
        <v>0</v>
      </c>
      <c r="AO5506">
        <v>0</v>
      </c>
      <c r="AP5506">
        <v>0</v>
      </c>
      <c r="AQ5506">
        <v>0</v>
      </c>
      <c r="AS5506">
        <v>0</v>
      </c>
      <c r="AT5506">
        <v>0</v>
      </c>
      <c r="AV5506">
        <v>0</v>
      </c>
      <c r="AW5506">
        <v>0</v>
      </c>
      <c r="AY5506">
        <v>0</v>
      </c>
      <c r="AZ5506">
        <v>0</v>
      </c>
      <c r="BA5506">
        <v>70</v>
      </c>
      <c r="BE5506" t="str">
        <f>T("9791137014381")</f>
        <v>9791137014381</v>
      </c>
      <c r="BF5506" t="str">
        <f>T("D168252")</f>
        <v>D168252</v>
      </c>
      <c r="BG5506" t="str">
        <f>T("판타지 웹소설 &gt; 퓨전 판타지")</f>
        <v>판타지 웹소설 &gt; 퓨전 판타지</v>
      </c>
    </row>
    <row r="5507" spans="1:59">
      <c r="A5507" t="s">
        <v>60</v>
      </c>
      <c r="B5507" s="1">
        <v>46130</v>
      </c>
      <c r="C5507">
        <v>2378044065</v>
      </c>
      <c r="D5507">
        <v>2378079098</v>
      </c>
      <c r="E5507" t="str">
        <f>T("저승의 왕위를 계승했다 744화")</f>
        <v>저승의 왕위를 계승했다 744화</v>
      </c>
      <c r="F5507">
        <v>746</v>
      </c>
      <c r="G5507" t="str">
        <f>T("신타비")</f>
        <v>신타비</v>
      </c>
      <c r="J5507" t="str">
        <f>T("매드햇")</f>
        <v>매드햇</v>
      </c>
      <c r="K5507" t="str">
        <f>T("저승의 왕위를 계승했다")</f>
        <v>저승의 왕위를 계승했다</v>
      </c>
      <c r="L5507">
        <v>100</v>
      </c>
      <c r="M5507">
        <v>100</v>
      </c>
      <c r="N5507">
        <v>1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0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0</v>
      </c>
      <c r="AE5507">
        <v>0</v>
      </c>
      <c r="AF5507">
        <v>0</v>
      </c>
      <c r="AG5507">
        <v>0</v>
      </c>
      <c r="AH5507">
        <v>0</v>
      </c>
      <c r="AI5507">
        <v>100</v>
      </c>
      <c r="AJ5507">
        <v>1</v>
      </c>
      <c r="AK5507">
        <v>0</v>
      </c>
      <c r="AL5507">
        <v>0</v>
      </c>
      <c r="AM5507">
        <v>100</v>
      </c>
      <c r="AN5507">
        <v>0</v>
      </c>
      <c r="AO5507">
        <v>0</v>
      </c>
      <c r="AP5507">
        <v>0</v>
      </c>
      <c r="AQ5507">
        <v>0</v>
      </c>
      <c r="AS5507">
        <v>0</v>
      </c>
      <c r="AT5507">
        <v>0</v>
      </c>
      <c r="AV5507">
        <v>0</v>
      </c>
      <c r="AW5507">
        <v>0</v>
      </c>
      <c r="AY5507">
        <v>0</v>
      </c>
      <c r="AZ5507">
        <v>0</v>
      </c>
      <c r="BA5507">
        <v>70</v>
      </c>
      <c r="BE5507" t="str">
        <f>T("9791137014381")</f>
        <v>9791137014381</v>
      </c>
      <c r="BF5507" t="str">
        <f>T("D168253")</f>
        <v>D168253</v>
      </c>
      <c r="BG5507" t="str">
        <f>T("판타지 웹소설 &gt; 퓨전 판타지")</f>
        <v>판타지 웹소설 &gt; 퓨전 판타지</v>
      </c>
    </row>
    <row r="5508" spans="1:59">
      <c r="A5508" t="s">
        <v>60</v>
      </c>
      <c r="B5508" s="1">
        <v>46130</v>
      </c>
      <c r="C5508">
        <v>2378044065</v>
      </c>
      <c r="D5508">
        <v>2378079099</v>
      </c>
      <c r="E5508" t="str">
        <f>T("저승의 왕위를 계승했다 745화")</f>
        <v>저승의 왕위를 계승했다 745화</v>
      </c>
      <c r="F5508">
        <v>747</v>
      </c>
      <c r="G5508" t="str">
        <f>T("신타비")</f>
        <v>신타비</v>
      </c>
      <c r="J5508" t="str">
        <f>T("매드햇")</f>
        <v>매드햇</v>
      </c>
      <c r="K5508" t="str">
        <f>T("저승의 왕위를 계승했다")</f>
        <v>저승의 왕위를 계승했다</v>
      </c>
      <c r="L5508">
        <v>100</v>
      </c>
      <c r="M5508">
        <v>100</v>
      </c>
      <c r="N5508">
        <v>1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0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0</v>
      </c>
      <c r="AE5508">
        <v>0</v>
      </c>
      <c r="AF5508">
        <v>0</v>
      </c>
      <c r="AG5508">
        <v>0</v>
      </c>
      <c r="AH5508">
        <v>0</v>
      </c>
      <c r="AI5508">
        <v>100</v>
      </c>
      <c r="AJ5508">
        <v>1</v>
      </c>
      <c r="AK5508">
        <v>0</v>
      </c>
      <c r="AL5508">
        <v>0</v>
      </c>
      <c r="AM5508">
        <v>100</v>
      </c>
      <c r="AN5508">
        <v>0</v>
      </c>
      <c r="AO5508">
        <v>0</v>
      </c>
      <c r="AP5508">
        <v>0</v>
      </c>
      <c r="AQ5508">
        <v>0</v>
      </c>
      <c r="AS5508">
        <v>0</v>
      </c>
      <c r="AT5508">
        <v>0</v>
      </c>
      <c r="AV5508">
        <v>0</v>
      </c>
      <c r="AW5508">
        <v>0</v>
      </c>
      <c r="AY5508">
        <v>0</v>
      </c>
      <c r="AZ5508">
        <v>0</v>
      </c>
      <c r="BA5508">
        <v>70</v>
      </c>
      <c r="BE5508" t="str">
        <f>T("9791137014381")</f>
        <v>9791137014381</v>
      </c>
      <c r="BF5508" t="str">
        <f>T("D168254")</f>
        <v>D168254</v>
      </c>
      <c r="BG5508" t="str">
        <f>T("판타지 웹소설 &gt; 퓨전 판타지")</f>
        <v>판타지 웹소설 &gt; 퓨전 판타지</v>
      </c>
    </row>
    <row r="5509" spans="1:59">
      <c r="A5509" t="s">
        <v>60</v>
      </c>
      <c r="B5509" s="1">
        <v>46130</v>
      </c>
      <c r="C5509">
        <v>2378044065</v>
      </c>
      <c r="D5509">
        <v>2378080091</v>
      </c>
      <c r="E5509" t="str">
        <f>T("저승의 왕위를 계승했다 746화")</f>
        <v>저승의 왕위를 계승했다 746화</v>
      </c>
      <c r="F5509">
        <v>748</v>
      </c>
      <c r="G5509" t="str">
        <f>T("신타비")</f>
        <v>신타비</v>
      </c>
      <c r="J5509" t="str">
        <f>T("매드햇")</f>
        <v>매드햇</v>
      </c>
      <c r="K5509" t="str">
        <f>T("저승의 왕위를 계승했다")</f>
        <v>저승의 왕위를 계승했다</v>
      </c>
      <c r="L5509">
        <v>100</v>
      </c>
      <c r="M5509">
        <v>100</v>
      </c>
      <c r="N5509">
        <v>1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0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0</v>
      </c>
      <c r="AE5509">
        <v>0</v>
      </c>
      <c r="AF5509">
        <v>0</v>
      </c>
      <c r="AG5509">
        <v>0</v>
      </c>
      <c r="AH5509">
        <v>0</v>
      </c>
      <c r="AI5509">
        <v>100</v>
      </c>
      <c r="AJ5509">
        <v>1</v>
      </c>
      <c r="AK5509">
        <v>0</v>
      </c>
      <c r="AL5509">
        <v>0</v>
      </c>
      <c r="AM5509">
        <v>100</v>
      </c>
      <c r="AN5509">
        <v>0</v>
      </c>
      <c r="AO5509">
        <v>0</v>
      </c>
      <c r="AP5509">
        <v>0</v>
      </c>
      <c r="AQ5509">
        <v>0</v>
      </c>
      <c r="AS5509">
        <v>0</v>
      </c>
      <c r="AT5509">
        <v>0</v>
      </c>
      <c r="AV5509">
        <v>0</v>
      </c>
      <c r="AW5509">
        <v>0</v>
      </c>
      <c r="AY5509">
        <v>0</v>
      </c>
      <c r="AZ5509">
        <v>0</v>
      </c>
      <c r="BA5509">
        <v>70</v>
      </c>
      <c r="BE5509" t="str">
        <f>T("9791137014381")</f>
        <v>9791137014381</v>
      </c>
      <c r="BF5509" t="str">
        <f>T("D168255")</f>
        <v>D168255</v>
      </c>
      <c r="BG5509" t="str">
        <f>T("판타지 웹소설 &gt; 퓨전 판타지")</f>
        <v>판타지 웹소설 &gt; 퓨전 판타지</v>
      </c>
    </row>
    <row r="5510" spans="1:59">
      <c r="A5510" t="s">
        <v>60</v>
      </c>
      <c r="B5510" s="1">
        <v>46130</v>
      </c>
      <c r="C5510">
        <v>2378044065</v>
      </c>
      <c r="D5510">
        <v>2378080097</v>
      </c>
      <c r="E5510" t="str">
        <f>T("저승의 왕위를 계승했다 747화")</f>
        <v>저승의 왕위를 계승했다 747화</v>
      </c>
      <c r="F5510">
        <v>749</v>
      </c>
      <c r="G5510" t="str">
        <f>T("신타비")</f>
        <v>신타비</v>
      </c>
      <c r="J5510" t="str">
        <f>T("매드햇")</f>
        <v>매드햇</v>
      </c>
      <c r="K5510" t="str">
        <f>T("저승의 왕위를 계승했다")</f>
        <v>저승의 왕위를 계승했다</v>
      </c>
      <c r="L5510">
        <v>100</v>
      </c>
      <c r="M5510">
        <v>100</v>
      </c>
      <c r="N5510">
        <v>1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0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0</v>
      </c>
      <c r="AE5510">
        <v>0</v>
      </c>
      <c r="AF5510">
        <v>0</v>
      </c>
      <c r="AG5510">
        <v>0</v>
      </c>
      <c r="AH5510">
        <v>0</v>
      </c>
      <c r="AI5510">
        <v>100</v>
      </c>
      <c r="AJ5510">
        <v>1</v>
      </c>
      <c r="AK5510">
        <v>0</v>
      </c>
      <c r="AL5510">
        <v>0</v>
      </c>
      <c r="AM5510">
        <v>100</v>
      </c>
      <c r="AN5510">
        <v>0</v>
      </c>
      <c r="AO5510">
        <v>0</v>
      </c>
      <c r="AP5510">
        <v>0</v>
      </c>
      <c r="AQ5510">
        <v>0</v>
      </c>
      <c r="AS5510">
        <v>0</v>
      </c>
      <c r="AT5510">
        <v>0</v>
      </c>
      <c r="AV5510">
        <v>0</v>
      </c>
      <c r="AW5510">
        <v>0</v>
      </c>
      <c r="AY5510">
        <v>0</v>
      </c>
      <c r="AZ5510">
        <v>0</v>
      </c>
      <c r="BA5510">
        <v>70</v>
      </c>
      <c r="BE5510" t="str">
        <f>T("9791137014381")</f>
        <v>9791137014381</v>
      </c>
      <c r="BF5510" t="str">
        <f>T("D168256")</f>
        <v>D168256</v>
      </c>
      <c r="BG5510" t="str">
        <f>T("판타지 웹소설 &gt; 퓨전 판타지")</f>
        <v>판타지 웹소설 &gt; 퓨전 판타지</v>
      </c>
    </row>
    <row r="5511" spans="1:59">
      <c r="A5511" t="s">
        <v>60</v>
      </c>
      <c r="B5511" s="1">
        <v>46130</v>
      </c>
      <c r="C5511">
        <v>2378044065</v>
      </c>
      <c r="D5511">
        <v>2378080098</v>
      </c>
      <c r="E5511" t="str">
        <f>T("저승의 왕위를 계승했다 748화")</f>
        <v>저승의 왕위를 계승했다 748화</v>
      </c>
      <c r="F5511">
        <v>750</v>
      </c>
      <c r="G5511" t="str">
        <f>T("신타비")</f>
        <v>신타비</v>
      </c>
      <c r="J5511" t="str">
        <f>T("매드햇")</f>
        <v>매드햇</v>
      </c>
      <c r="K5511" t="str">
        <f>T("저승의 왕위를 계승했다")</f>
        <v>저승의 왕위를 계승했다</v>
      </c>
      <c r="L5511">
        <v>100</v>
      </c>
      <c r="M5511">
        <v>100</v>
      </c>
      <c r="N5511">
        <v>1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0</v>
      </c>
      <c r="AE5511">
        <v>0</v>
      </c>
      <c r="AF5511">
        <v>0</v>
      </c>
      <c r="AG5511">
        <v>0</v>
      </c>
      <c r="AH5511">
        <v>0</v>
      </c>
      <c r="AI5511">
        <v>100</v>
      </c>
      <c r="AJ5511">
        <v>1</v>
      </c>
      <c r="AK5511">
        <v>0</v>
      </c>
      <c r="AL5511">
        <v>0</v>
      </c>
      <c r="AM5511">
        <v>100</v>
      </c>
      <c r="AN5511">
        <v>0</v>
      </c>
      <c r="AO5511">
        <v>0</v>
      </c>
      <c r="AP5511">
        <v>0</v>
      </c>
      <c r="AQ5511">
        <v>0</v>
      </c>
      <c r="AS5511">
        <v>0</v>
      </c>
      <c r="AT5511">
        <v>0</v>
      </c>
      <c r="AV5511">
        <v>0</v>
      </c>
      <c r="AW5511">
        <v>0</v>
      </c>
      <c r="AY5511">
        <v>0</v>
      </c>
      <c r="AZ5511">
        <v>0</v>
      </c>
      <c r="BA5511">
        <v>70</v>
      </c>
      <c r="BE5511" t="str">
        <f>T("9791137014381")</f>
        <v>9791137014381</v>
      </c>
      <c r="BF5511" t="str">
        <f>T("D168257")</f>
        <v>D168257</v>
      </c>
      <c r="BG5511" t="str">
        <f>T("판타지 웹소설 &gt; 퓨전 판타지")</f>
        <v>판타지 웹소설 &gt; 퓨전 판타지</v>
      </c>
    </row>
    <row r="5512" spans="1:59">
      <c r="A5512" t="s">
        <v>60</v>
      </c>
      <c r="B5512" s="1">
        <v>46130</v>
      </c>
      <c r="C5512">
        <v>2378044065</v>
      </c>
      <c r="D5512">
        <v>2378080114</v>
      </c>
      <c r="E5512" t="str">
        <f>T("저승의 왕위를 계승했다 749화")</f>
        <v>저승의 왕위를 계승했다 749화</v>
      </c>
      <c r="F5512">
        <v>751</v>
      </c>
      <c r="G5512" t="str">
        <f>T("신타비")</f>
        <v>신타비</v>
      </c>
      <c r="J5512" t="str">
        <f>T("매드햇")</f>
        <v>매드햇</v>
      </c>
      <c r="K5512" t="str">
        <f>T("저승의 왕위를 계승했다")</f>
        <v>저승의 왕위를 계승했다</v>
      </c>
      <c r="L5512">
        <v>100</v>
      </c>
      <c r="M5512">
        <v>100</v>
      </c>
      <c r="N5512">
        <v>1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0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0</v>
      </c>
      <c r="AE5512">
        <v>0</v>
      </c>
      <c r="AF5512">
        <v>0</v>
      </c>
      <c r="AG5512">
        <v>0</v>
      </c>
      <c r="AH5512">
        <v>0</v>
      </c>
      <c r="AI5512">
        <v>100</v>
      </c>
      <c r="AJ5512">
        <v>1</v>
      </c>
      <c r="AK5512">
        <v>0</v>
      </c>
      <c r="AL5512">
        <v>0</v>
      </c>
      <c r="AM5512">
        <v>100</v>
      </c>
      <c r="AN5512">
        <v>0</v>
      </c>
      <c r="AO5512">
        <v>0</v>
      </c>
      <c r="AP5512">
        <v>0</v>
      </c>
      <c r="AQ5512">
        <v>0</v>
      </c>
      <c r="AS5512">
        <v>0</v>
      </c>
      <c r="AT5512">
        <v>0</v>
      </c>
      <c r="AV5512">
        <v>0</v>
      </c>
      <c r="AW5512">
        <v>0</v>
      </c>
      <c r="AY5512">
        <v>0</v>
      </c>
      <c r="AZ5512">
        <v>0</v>
      </c>
      <c r="BA5512">
        <v>70</v>
      </c>
      <c r="BE5512" t="str">
        <f>T("9791137014381")</f>
        <v>9791137014381</v>
      </c>
      <c r="BF5512" t="str">
        <f>T("D168258")</f>
        <v>D168258</v>
      </c>
      <c r="BG5512" t="str">
        <f>T("판타지 웹소설 &gt; 퓨전 판타지")</f>
        <v>판타지 웹소설 &gt; 퓨전 판타지</v>
      </c>
    </row>
    <row r="5513" spans="1:59">
      <c r="A5513" t="s">
        <v>60</v>
      </c>
      <c r="B5513" s="1">
        <v>46130</v>
      </c>
      <c r="C5513">
        <v>2378044065</v>
      </c>
      <c r="D5513">
        <v>2378080115</v>
      </c>
      <c r="E5513" t="str">
        <f>T("저승의 왕위를 계승했다 750화")</f>
        <v>저승의 왕위를 계승했다 750화</v>
      </c>
      <c r="F5513">
        <v>752</v>
      </c>
      <c r="G5513" t="str">
        <f>T("신타비")</f>
        <v>신타비</v>
      </c>
      <c r="J5513" t="str">
        <f>T("매드햇")</f>
        <v>매드햇</v>
      </c>
      <c r="K5513" t="str">
        <f>T("저승의 왕위를 계승했다")</f>
        <v>저승의 왕위를 계승했다</v>
      </c>
      <c r="L5513">
        <v>100</v>
      </c>
      <c r="M5513">
        <v>100</v>
      </c>
      <c r="N5513">
        <v>1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0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0</v>
      </c>
      <c r="AE5513">
        <v>0</v>
      </c>
      <c r="AF5513">
        <v>0</v>
      </c>
      <c r="AG5513">
        <v>0</v>
      </c>
      <c r="AH5513">
        <v>0</v>
      </c>
      <c r="AI5513">
        <v>100</v>
      </c>
      <c r="AJ5513">
        <v>1</v>
      </c>
      <c r="AK5513">
        <v>0</v>
      </c>
      <c r="AL5513">
        <v>0</v>
      </c>
      <c r="AM5513">
        <v>100</v>
      </c>
      <c r="AN5513">
        <v>0</v>
      </c>
      <c r="AO5513">
        <v>0</v>
      </c>
      <c r="AP5513">
        <v>0</v>
      </c>
      <c r="AQ5513">
        <v>0</v>
      </c>
      <c r="AS5513">
        <v>0</v>
      </c>
      <c r="AT5513">
        <v>0</v>
      </c>
      <c r="AV5513">
        <v>0</v>
      </c>
      <c r="AW5513">
        <v>0</v>
      </c>
      <c r="AY5513">
        <v>0</v>
      </c>
      <c r="AZ5513">
        <v>0</v>
      </c>
      <c r="BA5513">
        <v>70</v>
      </c>
      <c r="BE5513" t="str">
        <f>T("9791137014381")</f>
        <v>9791137014381</v>
      </c>
      <c r="BF5513" t="str">
        <f>T("D168259")</f>
        <v>D168259</v>
      </c>
      <c r="BG5513" t="str">
        <f>T("판타지 웹소설 &gt; 퓨전 판타지")</f>
        <v>판타지 웹소설 &gt; 퓨전 판타지</v>
      </c>
    </row>
    <row r="5514" spans="1:59">
      <c r="A5514" t="s">
        <v>60</v>
      </c>
      <c r="B5514" s="1">
        <v>46130</v>
      </c>
      <c r="C5514">
        <v>2378044065</v>
      </c>
      <c r="D5514">
        <v>2378080116</v>
      </c>
      <c r="E5514" t="str">
        <f>T("저승의 왕위를 계승했다 751화")</f>
        <v>저승의 왕위를 계승했다 751화</v>
      </c>
      <c r="F5514">
        <v>753</v>
      </c>
      <c r="G5514" t="str">
        <f>T("신타비")</f>
        <v>신타비</v>
      </c>
      <c r="J5514" t="str">
        <f>T("매드햇")</f>
        <v>매드햇</v>
      </c>
      <c r="K5514" t="str">
        <f>T("저승의 왕위를 계승했다")</f>
        <v>저승의 왕위를 계승했다</v>
      </c>
      <c r="L5514">
        <v>100</v>
      </c>
      <c r="M5514">
        <v>100</v>
      </c>
      <c r="N5514">
        <v>1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0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0</v>
      </c>
      <c r="AE5514">
        <v>0</v>
      </c>
      <c r="AF5514">
        <v>0</v>
      </c>
      <c r="AG5514">
        <v>0</v>
      </c>
      <c r="AH5514">
        <v>0</v>
      </c>
      <c r="AI5514">
        <v>100</v>
      </c>
      <c r="AJ5514">
        <v>1</v>
      </c>
      <c r="AK5514">
        <v>0</v>
      </c>
      <c r="AL5514">
        <v>0</v>
      </c>
      <c r="AM5514">
        <v>100</v>
      </c>
      <c r="AN5514">
        <v>0</v>
      </c>
      <c r="AO5514">
        <v>0</v>
      </c>
      <c r="AP5514">
        <v>0</v>
      </c>
      <c r="AQ5514">
        <v>0</v>
      </c>
      <c r="AS5514">
        <v>0</v>
      </c>
      <c r="AT5514">
        <v>0</v>
      </c>
      <c r="AV5514">
        <v>0</v>
      </c>
      <c r="AW5514">
        <v>0</v>
      </c>
      <c r="AY5514">
        <v>0</v>
      </c>
      <c r="AZ5514">
        <v>0</v>
      </c>
      <c r="BA5514">
        <v>70</v>
      </c>
      <c r="BE5514" t="str">
        <f>T("9791137014381")</f>
        <v>9791137014381</v>
      </c>
      <c r="BF5514" t="str">
        <f>T("D184247")</f>
        <v>D184247</v>
      </c>
      <c r="BG5514" t="str">
        <f>T("판타지 웹소설 &gt; 퓨전 판타지")</f>
        <v>판타지 웹소설 &gt; 퓨전 판타지</v>
      </c>
    </row>
    <row r="5515" spans="1:59">
      <c r="A5515" t="s">
        <v>60</v>
      </c>
      <c r="B5515" s="1">
        <v>46130</v>
      </c>
      <c r="C5515">
        <v>2378044065</v>
      </c>
      <c r="D5515">
        <v>2378080117</v>
      </c>
      <c r="E5515" t="str">
        <f>T("저승의 왕위를 계승했다 752화")</f>
        <v>저승의 왕위를 계승했다 752화</v>
      </c>
      <c r="F5515">
        <v>754</v>
      </c>
      <c r="G5515" t="str">
        <f>T("신타비")</f>
        <v>신타비</v>
      </c>
      <c r="J5515" t="str">
        <f>T("매드햇")</f>
        <v>매드햇</v>
      </c>
      <c r="K5515" t="str">
        <f>T("저승의 왕위를 계승했다")</f>
        <v>저승의 왕위를 계승했다</v>
      </c>
      <c r="L5515">
        <v>100</v>
      </c>
      <c r="M5515">
        <v>100</v>
      </c>
      <c r="N5515">
        <v>1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0</v>
      </c>
      <c r="AE5515">
        <v>0</v>
      </c>
      <c r="AF5515">
        <v>0</v>
      </c>
      <c r="AG5515">
        <v>0</v>
      </c>
      <c r="AH5515">
        <v>0</v>
      </c>
      <c r="AI5515">
        <v>100</v>
      </c>
      <c r="AJ5515">
        <v>1</v>
      </c>
      <c r="AK5515">
        <v>0</v>
      </c>
      <c r="AL5515">
        <v>0</v>
      </c>
      <c r="AM5515">
        <v>100</v>
      </c>
      <c r="AN5515">
        <v>0</v>
      </c>
      <c r="AO5515">
        <v>0</v>
      </c>
      <c r="AP5515">
        <v>0</v>
      </c>
      <c r="AQ5515">
        <v>0</v>
      </c>
      <c r="AS5515">
        <v>0</v>
      </c>
      <c r="AT5515">
        <v>0</v>
      </c>
      <c r="AV5515">
        <v>0</v>
      </c>
      <c r="AW5515">
        <v>0</v>
      </c>
      <c r="AY5515">
        <v>0</v>
      </c>
      <c r="AZ5515">
        <v>0</v>
      </c>
      <c r="BA5515">
        <v>70</v>
      </c>
      <c r="BE5515" t="str">
        <f>T("9791137014381")</f>
        <v>9791137014381</v>
      </c>
      <c r="BF5515" t="str">
        <f>T("D184248")</f>
        <v>D184248</v>
      </c>
      <c r="BG5515" t="str">
        <f>T("판타지 웹소설 &gt; 퓨전 판타지")</f>
        <v>판타지 웹소설 &gt; 퓨전 판타지</v>
      </c>
    </row>
    <row r="5516" spans="1:59">
      <c r="A5516" t="s">
        <v>60</v>
      </c>
      <c r="B5516" s="1">
        <v>46130</v>
      </c>
      <c r="C5516">
        <v>2378044065</v>
      </c>
      <c r="D5516">
        <v>2378080309</v>
      </c>
      <c r="E5516" t="str">
        <f>T("저승의 왕위를 계승했다 753화")</f>
        <v>저승의 왕위를 계승했다 753화</v>
      </c>
      <c r="F5516">
        <v>755</v>
      </c>
      <c r="G5516" t="str">
        <f>T("신타비")</f>
        <v>신타비</v>
      </c>
      <c r="J5516" t="str">
        <f>T("매드햇")</f>
        <v>매드햇</v>
      </c>
      <c r="K5516" t="str">
        <f>T("저승의 왕위를 계승했다")</f>
        <v>저승의 왕위를 계승했다</v>
      </c>
      <c r="L5516">
        <v>100</v>
      </c>
      <c r="M5516">
        <v>100</v>
      </c>
      <c r="N5516">
        <v>1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0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0</v>
      </c>
      <c r="AE5516">
        <v>0</v>
      </c>
      <c r="AF5516">
        <v>0</v>
      </c>
      <c r="AG5516">
        <v>0</v>
      </c>
      <c r="AH5516">
        <v>0</v>
      </c>
      <c r="AI5516">
        <v>100</v>
      </c>
      <c r="AJ5516">
        <v>1</v>
      </c>
      <c r="AK5516">
        <v>0</v>
      </c>
      <c r="AL5516">
        <v>0</v>
      </c>
      <c r="AM5516">
        <v>100</v>
      </c>
      <c r="AN5516">
        <v>0</v>
      </c>
      <c r="AO5516">
        <v>0</v>
      </c>
      <c r="AP5516">
        <v>0</v>
      </c>
      <c r="AQ5516">
        <v>0</v>
      </c>
      <c r="AS5516">
        <v>0</v>
      </c>
      <c r="AT5516">
        <v>0</v>
      </c>
      <c r="AV5516">
        <v>0</v>
      </c>
      <c r="AW5516">
        <v>0</v>
      </c>
      <c r="AY5516">
        <v>0</v>
      </c>
      <c r="AZ5516">
        <v>0</v>
      </c>
      <c r="BA5516">
        <v>70</v>
      </c>
      <c r="BE5516" t="str">
        <f>T("9791137014381")</f>
        <v>9791137014381</v>
      </c>
      <c r="BF5516" t="str">
        <f>T("D184249")</f>
        <v>D184249</v>
      </c>
      <c r="BG5516" t="str">
        <f>T("판타지 웹소설 &gt; 퓨전 판타지")</f>
        <v>판타지 웹소설 &gt; 퓨전 판타지</v>
      </c>
    </row>
    <row r="5517" spans="1:59">
      <c r="A5517" t="s">
        <v>60</v>
      </c>
      <c r="B5517" s="1">
        <v>46130</v>
      </c>
      <c r="C5517">
        <v>2378044065</v>
      </c>
      <c r="D5517">
        <v>2378080310</v>
      </c>
      <c r="E5517" t="str">
        <f>T("저승의 왕위를 계승했다 754화")</f>
        <v>저승의 왕위를 계승했다 754화</v>
      </c>
      <c r="F5517">
        <v>756</v>
      </c>
      <c r="G5517" t="str">
        <f>T("신타비")</f>
        <v>신타비</v>
      </c>
      <c r="J5517" t="str">
        <f>T("매드햇")</f>
        <v>매드햇</v>
      </c>
      <c r="K5517" t="str">
        <f>T("저승의 왕위를 계승했다")</f>
        <v>저승의 왕위를 계승했다</v>
      </c>
      <c r="L5517">
        <v>100</v>
      </c>
      <c r="M5517">
        <v>100</v>
      </c>
      <c r="N5517">
        <v>1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0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0</v>
      </c>
      <c r="AE5517">
        <v>0</v>
      </c>
      <c r="AF5517">
        <v>0</v>
      </c>
      <c r="AG5517">
        <v>0</v>
      </c>
      <c r="AH5517">
        <v>0</v>
      </c>
      <c r="AI5517">
        <v>100</v>
      </c>
      <c r="AJ5517">
        <v>1</v>
      </c>
      <c r="AK5517">
        <v>0</v>
      </c>
      <c r="AL5517">
        <v>0</v>
      </c>
      <c r="AM5517">
        <v>100</v>
      </c>
      <c r="AN5517">
        <v>0</v>
      </c>
      <c r="AO5517">
        <v>0</v>
      </c>
      <c r="AP5517">
        <v>0</v>
      </c>
      <c r="AQ5517">
        <v>0</v>
      </c>
      <c r="AS5517">
        <v>0</v>
      </c>
      <c r="AT5517">
        <v>0</v>
      </c>
      <c r="AV5517">
        <v>0</v>
      </c>
      <c r="AW5517">
        <v>0</v>
      </c>
      <c r="AY5517">
        <v>0</v>
      </c>
      <c r="AZ5517">
        <v>0</v>
      </c>
      <c r="BA5517">
        <v>70</v>
      </c>
      <c r="BE5517" t="str">
        <f>T("9791137014381")</f>
        <v>9791137014381</v>
      </c>
      <c r="BF5517" t="str">
        <f>T("D184250")</f>
        <v>D184250</v>
      </c>
      <c r="BG5517" t="str">
        <f>T("판타지 웹소설 &gt; 퓨전 판타지")</f>
        <v>판타지 웹소설 &gt; 퓨전 판타지</v>
      </c>
    </row>
    <row r="5518" spans="1:59">
      <c r="A5518" t="s">
        <v>60</v>
      </c>
      <c r="B5518" s="1">
        <v>46130</v>
      </c>
      <c r="C5518">
        <v>2378044065</v>
      </c>
      <c r="D5518">
        <v>2378080311</v>
      </c>
      <c r="E5518" t="str">
        <f>T("저승의 왕위를 계승했다 755화")</f>
        <v>저승의 왕위를 계승했다 755화</v>
      </c>
      <c r="F5518">
        <v>757</v>
      </c>
      <c r="G5518" t="str">
        <f>T("신타비")</f>
        <v>신타비</v>
      </c>
      <c r="J5518" t="str">
        <f>T("매드햇")</f>
        <v>매드햇</v>
      </c>
      <c r="K5518" t="str">
        <f>T("저승의 왕위를 계승했다")</f>
        <v>저승의 왕위를 계승했다</v>
      </c>
      <c r="L5518">
        <v>100</v>
      </c>
      <c r="M5518">
        <v>100</v>
      </c>
      <c r="N5518">
        <v>1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0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0</v>
      </c>
      <c r="AE5518">
        <v>0</v>
      </c>
      <c r="AF5518">
        <v>0</v>
      </c>
      <c r="AG5518">
        <v>0</v>
      </c>
      <c r="AH5518">
        <v>0</v>
      </c>
      <c r="AI5518">
        <v>100</v>
      </c>
      <c r="AJ5518">
        <v>1</v>
      </c>
      <c r="AK5518">
        <v>0</v>
      </c>
      <c r="AL5518">
        <v>0</v>
      </c>
      <c r="AM5518">
        <v>100</v>
      </c>
      <c r="AN5518">
        <v>0</v>
      </c>
      <c r="AO5518">
        <v>0</v>
      </c>
      <c r="AP5518">
        <v>0</v>
      </c>
      <c r="AQ5518">
        <v>0</v>
      </c>
      <c r="AS5518">
        <v>0</v>
      </c>
      <c r="AT5518">
        <v>0</v>
      </c>
      <c r="AV5518">
        <v>0</v>
      </c>
      <c r="AW5518">
        <v>0</v>
      </c>
      <c r="AY5518">
        <v>0</v>
      </c>
      <c r="AZ5518">
        <v>0</v>
      </c>
      <c r="BA5518">
        <v>70</v>
      </c>
      <c r="BE5518" t="str">
        <f>T("9791137014381")</f>
        <v>9791137014381</v>
      </c>
      <c r="BF5518" t="str">
        <f>T("D184251")</f>
        <v>D184251</v>
      </c>
      <c r="BG5518" t="str">
        <f>T("판타지 웹소설 &gt; 퓨전 판타지")</f>
        <v>판타지 웹소설 &gt; 퓨전 판타지</v>
      </c>
    </row>
    <row r="5519" spans="1:59">
      <c r="A5519" t="s">
        <v>60</v>
      </c>
      <c r="B5519" s="1">
        <v>46130</v>
      </c>
      <c r="C5519">
        <v>2378044065</v>
      </c>
      <c r="D5519">
        <v>2378080312</v>
      </c>
      <c r="E5519" t="str">
        <f>T("저승의 왕위를 계승했다 756화")</f>
        <v>저승의 왕위를 계승했다 756화</v>
      </c>
      <c r="F5519">
        <v>758</v>
      </c>
      <c r="G5519" t="str">
        <f>T("신타비")</f>
        <v>신타비</v>
      </c>
      <c r="J5519" t="str">
        <f>T("매드햇")</f>
        <v>매드햇</v>
      </c>
      <c r="K5519" t="str">
        <f>T("저승의 왕위를 계승했다")</f>
        <v>저승의 왕위를 계승했다</v>
      </c>
      <c r="L5519">
        <v>100</v>
      </c>
      <c r="M5519">
        <v>100</v>
      </c>
      <c r="N5519">
        <v>1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0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0</v>
      </c>
      <c r="AE5519">
        <v>0</v>
      </c>
      <c r="AF5519">
        <v>0</v>
      </c>
      <c r="AG5519">
        <v>0</v>
      </c>
      <c r="AH5519">
        <v>0</v>
      </c>
      <c r="AI5519">
        <v>100</v>
      </c>
      <c r="AJ5519">
        <v>1</v>
      </c>
      <c r="AK5519">
        <v>0</v>
      </c>
      <c r="AL5519">
        <v>0</v>
      </c>
      <c r="AM5519">
        <v>100</v>
      </c>
      <c r="AN5519">
        <v>0</v>
      </c>
      <c r="AO5519">
        <v>0</v>
      </c>
      <c r="AP5519">
        <v>0</v>
      </c>
      <c r="AQ5519">
        <v>0</v>
      </c>
      <c r="AS5519">
        <v>0</v>
      </c>
      <c r="AT5519">
        <v>0</v>
      </c>
      <c r="AV5519">
        <v>0</v>
      </c>
      <c r="AW5519">
        <v>0</v>
      </c>
      <c r="AY5519">
        <v>0</v>
      </c>
      <c r="AZ5519">
        <v>0</v>
      </c>
      <c r="BA5519">
        <v>70</v>
      </c>
      <c r="BE5519" t="str">
        <f>T("9791137014381")</f>
        <v>9791137014381</v>
      </c>
      <c r="BF5519" t="str">
        <f>T("D184252")</f>
        <v>D184252</v>
      </c>
      <c r="BG5519" t="str">
        <f>T("판타지 웹소설 &gt; 퓨전 판타지")</f>
        <v>판타지 웹소설 &gt; 퓨전 판타지</v>
      </c>
    </row>
    <row r="5520" spans="1:59">
      <c r="A5520" t="s">
        <v>60</v>
      </c>
      <c r="B5520" s="1">
        <v>46130</v>
      </c>
      <c r="C5520">
        <v>2378044065</v>
      </c>
      <c r="D5520">
        <v>2378080343</v>
      </c>
      <c r="E5520" t="str">
        <f>T("저승의 왕위를 계승했다 757화")</f>
        <v>저승의 왕위를 계승했다 757화</v>
      </c>
      <c r="F5520">
        <v>759</v>
      </c>
      <c r="G5520" t="str">
        <f>T("신타비")</f>
        <v>신타비</v>
      </c>
      <c r="J5520" t="str">
        <f>T("매드햇")</f>
        <v>매드햇</v>
      </c>
      <c r="K5520" t="str">
        <f>T("저승의 왕위를 계승했다")</f>
        <v>저승의 왕위를 계승했다</v>
      </c>
      <c r="L5520">
        <v>100</v>
      </c>
      <c r="M5520">
        <v>100</v>
      </c>
      <c r="N5520">
        <v>1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0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0</v>
      </c>
      <c r="AE5520">
        <v>0</v>
      </c>
      <c r="AF5520">
        <v>0</v>
      </c>
      <c r="AG5520">
        <v>0</v>
      </c>
      <c r="AH5520">
        <v>0</v>
      </c>
      <c r="AI5520">
        <v>100</v>
      </c>
      <c r="AJ5520">
        <v>1</v>
      </c>
      <c r="AK5520">
        <v>0</v>
      </c>
      <c r="AL5520">
        <v>0</v>
      </c>
      <c r="AM5520">
        <v>100</v>
      </c>
      <c r="AN5520">
        <v>0</v>
      </c>
      <c r="AO5520">
        <v>0</v>
      </c>
      <c r="AP5520">
        <v>0</v>
      </c>
      <c r="AQ5520">
        <v>0</v>
      </c>
      <c r="AS5520">
        <v>0</v>
      </c>
      <c r="AT5520">
        <v>0</v>
      </c>
      <c r="AV5520">
        <v>0</v>
      </c>
      <c r="AW5520">
        <v>0</v>
      </c>
      <c r="AY5520">
        <v>0</v>
      </c>
      <c r="AZ5520">
        <v>0</v>
      </c>
      <c r="BA5520">
        <v>70</v>
      </c>
      <c r="BE5520" t="str">
        <f>T("9791137014381")</f>
        <v>9791137014381</v>
      </c>
      <c r="BF5520" t="str">
        <f>T("D184253")</f>
        <v>D184253</v>
      </c>
      <c r="BG5520" t="str">
        <f>T("판타지 웹소설 &gt; 퓨전 판타지")</f>
        <v>판타지 웹소설 &gt; 퓨전 판타지</v>
      </c>
    </row>
    <row r="5521" spans="1:59">
      <c r="A5521" t="s">
        <v>60</v>
      </c>
      <c r="B5521" s="1">
        <v>46130</v>
      </c>
      <c r="C5521">
        <v>2378044065</v>
      </c>
      <c r="D5521">
        <v>2378080344</v>
      </c>
      <c r="E5521" t="str">
        <f>T("저승의 왕위를 계승했다 758화")</f>
        <v>저승의 왕위를 계승했다 758화</v>
      </c>
      <c r="F5521">
        <v>760</v>
      </c>
      <c r="G5521" t="str">
        <f>T("신타비")</f>
        <v>신타비</v>
      </c>
      <c r="J5521" t="str">
        <f>T("매드햇")</f>
        <v>매드햇</v>
      </c>
      <c r="K5521" t="str">
        <f>T("저승의 왕위를 계승했다")</f>
        <v>저승의 왕위를 계승했다</v>
      </c>
      <c r="L5521">
        <v>100</v>
      </c>
      <c r="M5521">
        <v>100</v>
      </c>
      <c r="N5521">
        <v>1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0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0</v>
      </c>
      <c r="AE5521">
        <v>0</v>
      </c>
      <c r="AF5521">
        <v>0</v>
      </c>
      <c r="AG5521">
        <v>0</v>
      </c>
      <c r="AH5521">
        <v>0</v>
      </c>
      <c r="AI5521">
        <v>100</v>
      </c>
      <c r="AJ5521">
        <v>1</v>
      </c>
      <c r="AK5521">
        <v>0</v>
      </c>
      <c r="AL5521">
        <v>0</v>
      </c>
      <c r="AM5521">
        <v>100</v>
      </c>
      <c r="AN5521">
        <v>0</v>
      </c>
      <c r="AO5521">
        <v>0</v>
      </c>
      <c r="AP5521">
        <v>0</v>
      </c>
      <c r="AQ5521">
        <v>0</v>
      </c>
      <c r="AS5521">
        <v>0</v>
      </c>
      <c r="AT5521">
        <v>0</v>
      </c>
      <c r="AV5521">
        <v>0</v>
      </c>
      <c r="AW5521">
        <v>0</v>
      </c>
      <c r="AY5521">
        <v>0</v>
      </c>
      <c r="AZ5521">
        <v>0</v>
      </c>
      <c r="BA5521">
        <v>70</v>
      </c>
      <c r="BE5521" t="str">
        <f>T("9791137014381")</f>
        <v>9791137014381</v>
      </c>
      <c r="BF5521" t="str">
        <f>T("D184254")</f>
        <v>D184254</v>
      </c>
      <c r="BG5521" t="str">
        <f>T("판타지 웹소설 &gt; 퓨전 판타지")</f>
        <v>판타지 웹소설 &gt; 퓨전 판타지</v>
      </c>
    </row>
    <row r="5522" spans="1:59">
      <c r="A5522" t="s">
        <v>60</v>
      </c>
      <c r="B5522" s="1">
        <v>46130</v>
      </c>
      <c r="C5522">
        <v>2378044065</v>
      </c>
      <c r="D5522">
        <v>2378080345</v>
      </c>
      <c r="E5522" t="str">
        <f>T("저승의 왕위를 계승했다 759화")</f>
        <v>저승의 왕위를 계승했다 759화</v>
      </c>
      <c r="F5522">
        <v>761</v>
      </c>
      <c r="G5522" t="str">
        <f>T("신타비")</f>
        <v>신타비</v>
      </c>
      <c r="J5522" t="str">
        <f>T("매드햇")</f>
        <v>매드햇</v>
      </c>
      <c r="K5522" t="str">
        <f>T("저승의 왕위를 계승했다")</f>
        <v>저승의 왕위를 계승했다</v>
      </c>
      <c r="L5522">
        <v>100</v>
      </c>
      <c r="M5522">
        <v>100</v>
      </c>
      <c r="N5522">
        <v>1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0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0</v>
      </c>
      <c r="AE5522">
        <v>0</v>
      </c>
      <c r="AF5522">
        <v>0</v>
      </c>
      <c r="AG5522">
        <v>0</v>
      </c>
      <c r="AH5522">
        <v>0</v>
      </c>
      <c r="AI5522">
        <v>100</v>
      </c>
      <c r="AJ5522">
        <v>1</v>
      </c>
      <c r="AK5522">
        <v>0</v>
      </c>
      <c r="AL5522">
        <v>0</v>
      </c>
      <c r="AM5522">
        <v>100</v>
      </c>
      <c r="AN5522">
        <v>0</v>
      </c>
      <c r="AO5522">
        <v>0</v>
      </c>
      <c r="AP5522">
        <v>0</v>
      </c>
      <c r="AQ5522">
        <v>0</v>
      </c>
      <c r="AS5522">
        <v>0</v>
      </c>
      <c r="AT5522">
        <v>0</v>
      </c>
      <c r="AV5522">
        <v>0</v>
      </c>
      <c r="AW5522">
        <v>0</v>
      </c>
      <c r="AY5522">
        <v>0</v>
      </c>
      <c r="AZ5522">
        <v>0</v>
      </c>
      <c r="BA5522">
        <v>70</v>
      </c>
      <c r="BE5522" t="str">
        <f>T("9791137014381")</f>
        <v>9791137014381</v>
      </c>
      <c r="BF5522" t="str">
        <f>T("D184255")</f>
        <v>D184255</v>
      </c>
      <c r="BG5522" t="str">
        <f>T("판타지 웹소설 &gt; 퓨전 판타지")</f>
        <v>판타지 웹소설 &gt; 퓨전 판타지</v>
      </c>
    </row>
    <row r="5523" spans="1:59">
      <c r="A5523" t="s">
        <v>60</v>
      </c>
      <c r="B5523" s="1">
        <v>46130</v>
      </c>
      <c r="C5523">
        <v>2378044065</v>
      </c>
      <c r="D5523">
        <v>2378080346</v>
      </c>
      <c r="E5523" t="str">
        <f>T("저승의 왕위를 계승했다 760화")</f>
        <v>저승의 왕위를 계승했다 760화</v>
      </c>
      <c r="F5523">
        <v>762</v>
      </c>
      <c r="G5523" t="str">
        <f>T("신타비")</f>
        <v>신타비</v>
      </c>
      <c r="J5523" t="str">
        <f>T("매드햇")</f>
        <v>매드햇</v>
      </c>
      <c r="K5523" t="str">
        <f>T("저승의 왕위를 계승했다")</f>
        <v>저승의 왕위를 계승했다</v>
      </c>
      <c r="L5523">
        <v>100</v>
      </c>
      <c r="M5523">
        <v>100</v>
      </c>
      <c r="N5523">
        <v>1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0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0</v>
      </c>
      <c r="AE5523">
        <v>0</v>
      </c>
      <c r="AF5523">
        <v>0</v>
      </c>
      <c r="AG5523">
        <v>0</v>
      </c>
      <c r="AH5523">
        <v>0</v>
      </c>
      <c r="AI5523">
        <v>100</v>
      </c>
      <c r="AJ5523">
        <v>1</v>
      </c>
      <c r="AK5523">
        <v>0</v>
      </c>
      <c r="AL5523">
        <v>0</v>
      </c>
      <c r="AM5523">
        <v>100</v>
      </c>
      <c r="AN5523">
        <v>0</v>
      </c>
      <c r="AO5523">
        <v>0</v>
      </c>
      <c r="AP5523">
        <v>0</v>
      </c>
      <c r="AQ5523">
        <v>0</v>
      </c>
      <c r="AS5523">
        <v>0</v>
      </c>
      <c r="AT5523">
        <v>0</v>
      </c>
      <c r="AV5523">
        <v>0</v>
      </c>
      <c r="AW5523">
        <v>0</v>
      </c>
      <c r="AY5523">
        <v>0</v>
      </c>
      <c r="AZ5523">
        <v>0</v>
      </c>
      <c r="BA5523">
        <v>70</v>
      </c>
      <c r="BE5523" t="str">
        <f>T("9791137014381")</f>
        <v>9791137014381</v>
      </c>
      <c r="BF5523" t="str">
        <f>T("D184256")</f>
        <v>D184256</v>
      </c>
      <c r="BG5523" t="str">
        <f>T("판타지 웹소설 &gt; 퓨전 판타지")</f>
        <v>판타지 웹소설 &gt; 퓨전 판타지</v>
      </c>
    </row>
    <row r="5524" spans="1:59">
      <c r="A5524" t="s">
        <v>60</v>
      </c>
      <c r="B5524" s="1">
        <v>46130</v>
      </c>
      <c r="C5524">
        <v>2378044065</v>
      </c>
      <c r="D5524">
        <v>2378080369</v>
      </c>
      <c r="E5524" t="str">
        <f>T("저승의 왕위를 계승했다 761화")</f>
        <v>저승의 왕위를 계승했다 761화</v>
      </c>
      <c r="F5524">
        <v>763</v>
      </c>
      <c r="G5524" t="str">
        <f>T("신타비")</f>
        <v>신타비</v>
      </c>
      <c r="J5524" t="str">
        <f>T("매드햇")</f>
        <v>매드햇</v>
      </c>
      <c r="K5524" t="str">
        <f>T("저승의 왕위를 계승했다")</f>
        <v>저승의 왕위를 계승했다</v>
      </c>
      <c r="L5524">
        <v>100</v>
      </c>
      <c r="M5524">
        <v>100</v>
      </c>
      <c r="N5524">
        <v>1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0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0</v>
      </c>
      <c r="AE5524">
        <v>0</v>
      </c>
      <c r="AF5524">
        <v>0</v>
      </c>
      <c r="AG5524">
        <v>0</v>
      </c>
      <c r="AH5524">
        <v>0</v>
      </c>
      <c r="AI5524">
        <v>100</v>
      </c>
      <c r="AJ5524">
        <v>1</v>
      </c>
      <c r="AK5524">
        <v>0</v>
      </c>
      <c r="AL5524">
        <v>0</v>
      </c>
      <c r="AM5524">
        <v>100</v>
      </c>
      <c r="AN5524">
        <v>0</v>
      </c>
      <c r="AO5524">
        <v>0</v>
      </c>
      <c r="AP5524">
        <v>0</v>
      </c>
      <c r="AQ5524">
        <v>0</v>
      </c>
      <c r="AS5524">
        <v>0</v>
      </c>
      <c r="AT5524">
        <v>0</v>
      </c>
      <c r="AV5524">
        <v>0</v>
      </c>
      <c r="AW5524">
        <v>0</v>
      </c>
      <c r="AY5524">
        <v>0</v>
      </c>
      <c r="AZ5524">
        <v>0</v>
      </c>
      <c r="BA5524">
        <v>70</v>
      </c>
      <c r="BE5524" t="str">
        <f>T("9791137014381")</f>
        <v>9791137014381</v>
      </c>
      <c r="BF5524" t="str">
        <f>T("D184257")</f>
        <v>D184257</v>
      </c>
      <c r="BG5524" t="str">
        <f>T("판타지 웹소설 &gt; 퓨전 판타지")</f>
        <v>판타지 웹소설 &gt; 퓨전 판타지</v>
      </c>
    </row>
    <row r="5525" spans="1:59">
      <c r="A5525" t="s">
        <v>60</v>
      </c>
      <c r="B5525" s="1">
        <v>46130</v>
      </c>
      <c r="C5525">
        <v>2378044065</v>
      </c>
      <c r="D5525">
        <v>2378080370</v>
      </c>
      <c r="E5525" t="str">
        <f>T("저승의 왕위를 계승했다 762화")</f>
        <v>저승의 왕위를 계승했다 762화</v>
      </c>
      <c r="F5525">
        <v>764</v>
      </c>
      <c r="G5525" t="str">
        <f>T("신타비")</f>
        <v>신타비</v>
      </c>
      <c r="J5525" t="str">
        <f>T("매드햇")</f>
        <v>매드햇</v>
      </c>
      <c r="K5525" t="str">
        <f>T("저승의 왕위를 계승했다")</f>
        <v>저승의 왕위를 계승했다</v>
      </c>
      <c r="L5525">
        <v>100</v>
      </c>
      <c r="M5525">
        <v>170</v>
      </c>
      <c r="N5525">
        <v>2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0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0</v>
      </c>
      <c r="AE5525">
        <v>0</v>
      </c>
      <c r="AF5525">
        <v>0</v>
      </c>
      <c r="AG5525">
        <v>0</v>
      </c>
      <c r="AH5525">
        <v>0</v>
      </c>
      <c r="AI5525">
        <v>170</v>
      </c>
      <c r="AJ5525">
        <v>2</v>
      </c>
      <c r="AK5525">
        <v>0</v>
      </c>
      <c r="AL5525">
        <v>0</v>
      </c>
      <c r="AM5525">
        <v>170</v>
      </c>
      <c r="AN5525">
        <v>0</v>
      </c>
      <c r="AO5525">
        <v>0</v>
      </c>
      <c r="AP5525">
        <v>0</v>
      </c>
      <c r="AQ5525">
        <v>0</v>
      </c>
      <c r="AS5525">
        <v>0</v>
      </c>
      <c r="AT5525">
        <v>0</v>
      </c>
      <c r="AV5525">
        <v>0</v>
      </c>
      <c r="AW5525">
        <v>0</v>
      </c>
      <c r="AY5525">
        <v>0</v>
      </c>
      <c r="AZ5525">
        <v>0</v>
      </c>
      <c r="BA5525">
        <v>119</v>
      </c>
      <c r="BE5525" t="str">
        <f>T("9791137014381")</f>
        <v>9791137014381</v>
      </c>
      <c r="BF5525" t="str">
        <f>T("D184258")</f>
        <v>D184258</v>
      </c>
      <c r="BG5525" t="str">
        <f>T("판타지 웹소설 &gt; 퓨전 판타지")</f>
        <v>판타지 웹소설 &gt; 퓨전 판타지</v>
      </c>
    </row>
    <row r="5526" spans="1:59">
      <c r="A5526" t="s">
        <v>60</v>
      </c>
      <c r="B5526" s="1">
        <v>46130</v>
      </c>
      <c r="C5526">
        <v>2378044065</v>
      </c>
      <c r="D5526">
        <v>2378080371</v>
      </c>
      <c r="E5526" t="str">
        <f>T("저승의 왕위를 계승했다 763화")</f>
        <v>저승의 왕위를 계승했다 763화</v>
      </c>
      <c r="F5526">
        <v>765</v>
      </c>
      <c r="G5526" t="str">
        <f>T("신타비")</f>
        <v>신타비</v>
      </c>
      <c r="J5526" t="str">
        <f>T("매드햇")</f>
        <v>매드햇</v>
      </c>
      <c r="K5526" t="str">
        <f>T("저승의 왕위를 계승했다")</f>
        <v>저승의 왕위를 계승했다</v>
      </c>
      <c r="L5526">
        <v>100</v>
      </c>
      <c r="M5526">
        <v>170</v>
      </c>
      <c r="N5526">
        <v>2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0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0</v>
      </c>
      <c r="AE5526">
        <v>0</v>
      </c>
      <c r="AF5526">
        <v>0</v>
      </c>
      <c r="AG5526">
        <v>0</v>
      </c>
      <c r="AH5526">
        <v>0</v>
      </c>
      <c r="AI5526">
        <v>170</v>
      </c>
      <c r="AJ5526">
        <v>2</v>
      </c>
      <c r="AK5526">
        <v>0</v>
      </c>
      <c r="AL5526">
        <v>0</v>
      </c>
      <c r="AM5526">
        <v>170</v>
      </c>
      <c r="AN5526">
        <v>0</v>
      </c>
      <c r="AO5526">
        <v>0</v>
      </c>
      <c r="AP5526">
        <v>0</v>
      </c>
      <c r="AQ5526">
        <v>0</v>
      </c>
      <c r="AS5526">
        <v>0</v>
      </c>
      <c r="AT5526">
        <v>0</v>
      </c>
      <c r="AV5526">
        <v>0</v>
      </c>
      <c r="AW5526">
        <v>0</v>
      </c>
      <c r="AY5526">
        <v>0</v>
      </c>
      <c r="AZ5526">
        <v>0</v>
      </c>
      <c r="BA5526">
        <v>119</v>
      </c>
      <c r="BE5526" t="str">
        <f>T("9791137014381")</f>
        <v>9791137014381</v>
      </c>
      <c r="BF5526" t="str">
        <f>T("D184259")</f>
        <v>D184259</v>
      </c>
      <c r="BG5526" t="str">
        <f>T("판타지 웹소설 &gt; 퓨전 판타지")</f>
        <v>판타지 웹소설 &gt; 퓨전 판타지</v>
      </c>
    </row>
    <row r="5527" spans="1:59">
      <c r="A5527" t="s">
        <v>60</v>
      </c>
      <c r="B5527" s="1">
        <v>46130</v>
      </c>
      <c r="C5527">
        <v>2378044065</v>
      </c>
      <c r="D5527">
        <v>2378080372</v>
      </c>
      <c r="E5527" t="str">
        <f>T("저승의 왕위를 계승했다 764화")</f>
        <v>저승의 왕위를 계승했다 764화</v>
      </c>
      <c r="F5527">
        <v>766</v>
      </c>
      <c r="G5527" t="str">
        <f>T("신타비")</f>
        <v>신타비</v>
      </c>
      <c r="J5527" t="str">
        <f>T("매드햇")</f>
        <v>매드햇</v>
      </c>
      <c r="K5527" t="str">
        <f>T("저승의 왕위를 계승했다")</f>
        <v>저승의 왕위를 계승했다</v>
      </c>
      <c r="L5527">
        <v>100</v>
      </c>
      <c r="M5527">
        <v>170</v>
      </c>
      <c r="N5527">
        <v>2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0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0</v>
      </c>
      <c r="AE5527">
        <v>0</v>
      </c>
      <c r="AF5527">
        <v>0</v>
      </c>
      <c r="AG5527">
        <v>0</v>
      </c>
      <c r="AH5527">
        <v>0</v>
      </c>
      <c r="AI5527">
        <v>170</v>
      </c>
      <c r="AJ5527">
        <v>2</v>
      </c>
      <c r="AK5527">
        <v>0</v>
      </c>
      <c r="AL5527">
        <v>0</v>
      </c>
      <c r="AM5527">
        <v>170</v>
      </c>
      <c r="AN5527">
        <v>0</v>
      </c>
      <c r="AO5527">
        <v>0</v>
      </c>
      <c r="AP5527">
        <v>0</v>
      </c>
      <c r="AQ5527">
        <v>0</v>
      </c>
      <c r="AS5527">
        <v>0</v>
      </c>
      <c r="AT5527">
        <v>0</v>
      </c>
      <c r="AV5527">
        <v>0</v>
      </c>
      <c r="AW5527">
        <v>0</v>
      </c>
      <c r="AY5527">
        <v>0</v>
      </c>
      <c r="AZ5527">
        <v>0</v>
      </c>
      <c r="BA5527">
        <v>119</v>
      </c>
      <c r="BE5527" t="str">
        <f>T("9791137014381")</f>
        <v>9791137014381</v>
      </c>
      <c r="BF5527" t="str">
        <f>T("D184260")</f>
        <v>D184260</v>
      </c>
      <c r="BG5527" t="str">
        <f>T("판타지 웹소설 &gt; 퓨전 판타지")</f>
        <v>판타지 웹소설 &gt; 퓨전 판타지</v>
      </c>
    </row>
    <row r="5528" spans="1:59">
      <c r="A5528" t="s">
        <v>60</v>
      </c>
      <c r="B5528" s="1">
        <v>46130</v>
      </c>
      <c r="C5528">
        <v>2378044065</v>
      </c>
      <c r="D5528">
        <v>2378080377</v>
      </c>
      <c r="E5528" t="str">
        <f>T("저승의 왕위를 계승했다 765화")</f>
        <v>저승의 왕위를 계승했다 765화</v>
      </c>
      <c r="F5528">
        <v>767</v>
      </c>
      <c r="G5528" t="str">
        <f>T("신타비")</f>
        <v>신타비</v>
      </c>
      <c r="J5528" t="str">
        <f>T("매드햇")</f>
        <v>매드햇</v>
      </c>
      <c r="K5528" t="str">
        <f>T("저승의 왕위를 계승했다")</f>
        <v>저승의 왕위를 계승했다</v>
      </c>
      <c r="L5528">
        <v>100</v>
      </c>
      <c r="M5528">
        <v>170</v>
      </c>
      <c r="N5528">
        <v>2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0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0</v>
      </c>
      <c r="AE5528">
        <v>0</v>
      </c>
      <c r="AF5528">
        <v>0</v>
      </c>
      <c r="AG5528">
        <v>0</v>
      </c>
      <c r="AH5528">
        <v>0</v>
      </c>
      <c r="AI5528">
        <v>170</v>
      </c>
      <c r="AJ5528">
        <v>2</v>
      </c>
      <c r="AK5528">
        <v>0</v>
      </c>
      <c r="AL5528">
        <v>0</v>
      </c>
      <c r="AM5528">
        <v>170</v>
      </c>
      <c r="AN5528">
        <v>0</v>
      </c>
      <c r="AO5528">
        <v>0</v>
      </c>
      <c r="AP5528">
        <v>0</v>
      </c>
      <c r="AQ5528">
        <v>0</v>
      </c>
      <c r="AS5528">
        <v>0</v>
      </c>
      <c r="AT5528">
        <v>0</v>
      </c>
      <c r="AV5528">
        <v>0</v>
      </c>
      <c r="AW5528">
        <v>0</v>
      </c>
      <c r="AY5528">
        <v>0</v>
      </c>
      <c r="AZ5528">
        <v>0</v>
      </c>
      <c r="BA5528">
        <v>119</v>
      </c>
      <c r="BE5528" t="str">
        <f>T("9791137014381")</f>
        <v>9791137014381</v>
      </c>
      <c r="BF5528" t="str">
        <f>T("D184261")</f>
        <v>D184261</v>
      </c>
      <c r="BG5528" t="str">
        <f>T("판타지 웹소설 &gt; 퓨전 판타지")</f>
        <v>판타지 웹소설 &gt; 퓨전 판타지</v>
      </c>
    </row>
    <row r="5529" spans="1:59">
      <c r="A5529" t="s">
        <v>60</v>
      </c>
      <c r="B5529" s="1">
        <v>46130</v>
      </c>
      <c r="C5529">
        <v>2378044065</v>
      </c>
      <c r="D5529">
        <v>2378080378</v>
      </c>
      <c r="E5529" t="str">
        <f>T("저승의 왕위를 계승했다 766화")</f>
        <v>저승의 왕위를 계승했다 766화</v>
      </c>
      <c r="F5529">
        <v>768</v>
      </c>
      <c r="G5529" t="str">
        <f>T("신타비")</f>
        <v>신타비</v>
      </c>
      <c r="J5529" t="str">
        <f>T("매드햇")</f>
        <v>매드햇</v>
      </c>
      <c r="K5529" t="str">
        <f>T("저승의 왕위를 계승했다")</f>
        <v>저승의 왕위를 계승했다</v>
      </c>
      <c r="L5529">
        <v>100</v>
      </c>
      <c r="M5529">
        <v>170</v>
      </c>
      <c r="N5529">
        <v>2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0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0</v>
      </c>
      <c r="AE5529">
        <v>0</v>
      </c>
      <c r="AF5529">
        <v>0</v>
      </c>
      <c r="AG5529">
        <v>0</v>
      </c>
      <c r="AH5529">
        <v>0</v>
      </c>
      <c r="AI5529">
        <v>170</v>
      </c>
      <c r="AJ5529">
        <v>2</v>
      </c>
      <c r="AK5529">
        <v>0</v>
      </c>
      <c r="AL5529">
        <v>0</v>
      </c>
      <c r="AM5529">
        <v>170</v>
      </c>
      <c r="AN5529">
        <v>0</v>
      </c>
      <c r="AO5529">
        <v>0</v>
      </c>
      <c r="AP5529">
        <v>0</v>
      </c>
      <c r="AQ5529">
        <v>0</v>
      </c>
      <c r="AS5529">
        <v>0</v>
      </c>
      <c r="AT5529">
        <v>0</v>
      </c>
      <c r="AV5529">
        <v>0</v>
      </c>
      <c r="AW5529">
        <v>0</v>
      </c>
      <c r="AY5529">
        <v>0</v>
      </c>
      <c r="AZ5529">
        <v>0</v>
      </c>
      <c r="BA5529">
        <v>119</v>
      </c>
      <c r="BE5529" t="str">
        <f>T("9791137014381")</f>
        <v>9791137014381</v>
      </c>
      <c r="BF5529" t="str">
        <f>T("D184262")</f>
        <v>D184262</v>
      </c>
      <c r="BG5529" t="str">
        <f>T("판타지 웹소설 &gt; 퓨전 판타지")</f>
        <v>판타지 웹소설 &gt; 퓨전 판타지</v>
      </c>
    </row>
    <row r="5530" spans="1:59">
      <c r="A5530" t="s">
        <v>60</v>
      </c>
      <c r="B5530" s="1">
        <v>46130</v>
      </c>
      <c r="C5530">
        <v>2378044065</v>
      </c>
      <c r="D5530">
        <v>2378080379</v>
      </c>
      <c r="E5530" t="str">
        <f>T("저승의 왕위를 계승했다 767화")</f>
        <v>저승의 왕위를 계승했다 767화</v>
      </c>
      <c r="F5530">
        <v>769</v>
      </c>
      <c r="G5530" t="str">
        <f>T("신타비")</f>
        <v>신타비</v>
      </c>
      <c r="J5530" t="str">
        <f>T("매드햇")</f>
        <v>매드햇</v>
      </c>
      <c r="K5530" t="str">
        <f>T("저승의 왕위를 계승했다")</f>
        <v>저승의 왕위를 계승했다</v>
      </c>
      <c r="L5530">
        <v>100</v>
      </c>
      <c r="M5530">
        <v>170</v>
      </c>
      <c r="N5530">
        <v>2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0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0</v>
      </c>
      <c r="AE5530">
        <v>0</v>
      </c>
      <c r="AF5530">
        <v>0</v>
      </c>
      <c r="AG5530">
        <v>0</v>
      </c>
      <c r="AH5530">
        <v>0</v>
      </c>
      <c r="AI5530">
        <v>170</v>
      </c>
      <c r="AJ5530">
        <v>2</v>
      </c>
      <c r="AK5530">
        <v>0</v>
      </c>
      <c r="AL5530">
        <v>0</v>
      </c>
      <c r="AM5530">
        <v>170</v>
      </c>
      <c r="AN5530">
        <v>0</v>
      </c>
      <c r="AO5530">
        <v>0</v>
      </c>
      <c r="AP5530">
        <v>0</v>
      </c>
      <c r="AQ5530">
        <v>0</v>
      </c>
      <c r="AS5530">
        <v>0</v>
      </c>
      <c r="AT5530">
        <v>0</v>
      </c>
      <c r="AV5530">
        <v>0</v>
      </c>
      <c r="AW5530">
        <v>0</v>
      </c>
      <c r="AY5530">
        <v>0</v>
      </c>
      <c r="AZ5530">
        <v>0</v>
      </c>
      <c r="BA5530">
        <v>119</v>
      </c>
      <c r="BE5530" t="str">
        <f>T("9791137014381")</f>
        <v>9791137014381</v>
      </c>
      <c r="BF5530" t="str">
        <f>T("D184263")</f>
        <v>D184263</v>
      </c>
      <c r="BG5530" t="str">
        <f>T("판타지 웹소설 &gt; 퓨전 판타지")</f>
        <v>판타지 웹소설 &gt; 퓨전 판타지</v>
      </c>
    </row>
    <row r="5531" spans="1:59">
      <c r="A5531" t="s">
        <v>60</v>
      </c>
      <c r="B5531" s="1">
        <v>46130</v>
      </c>
      <c r="C5531">
        <v>2378044065</v>
      </c>
      <c r="D5531">
        <v>2378080380</v>
      </c>
      <c r="E5531" t="str">
        <f>T("저승의 왕위를 계승했다 768화")</f>
        <v>저승의 왕위를 계승했다 768화</v>
      </c>
      <c r="F5531">
        <v>770</v>
      </c>
      <c r="G5531" t="str">
        <f>T("신타비")</f>
        <v>신타비</v>
      </c>
      <c r="J5531" t="str">
        <f>T("매드햇")</f>
        <v>매드햇</v>
      </c>
      <c r="K5531" t="str">
        <f>T("저승의 왕위를 계승했다")</f>
        <v>저승의 왕위를 계승했다</v>
      </c>
      <c r="L5531">
        <v>100</v>
      </c>
      <c r="M5531">
        <v>170</v>
      </c>
      <c r="N5531">
        <v>2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0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0</v>
      </c>
      <c r="AE5531">
        <v>0</v>
      </c>
      <c r="AF5531">
        <v>0</v>
      </c>
      <c r="AG5531">
        <v>0</v>
      </c>
      <c r="AH5531">
        <v>0</v>
      </c>
      <c r="AI5531">
        <v>170</v>
      </c>
      <c r="AJ5531">
        <v>2</v>
      </c>
      <c r="AK5531">
        <v>0</v>
      </c>
      <c r="AL5531">
        <v>0</v>
      </c>
      <c r="AM5531">
        <v>170</v>
      </c>
      <c r="AN5531">
        <v>0</v>
      </c>
      <c r="AO5531">
        <v>0</v>
      </c>
      <c r="AP5531">
        <v>0</v>
      </c>
      <c r="AQ5531">
        <v>0</v>
      </c>
      <c r="AS5531">
        <v>0</v>
      </c>
      <c r="AT5531">
        <v>0</v>
      </c>
      <c r="AV5531">
        <v>0</v>
      </c>
      <c r="AW5531">
        <v>0</v>
      </c>
      <c r="AY5531">
        <v>0</v>
      </c>
      <c r="AZ5531">
        <v>0</v>
      </c>
      <c r="BA5531">
        <v>119</v>
      </c>
      <c r="BE5531" t="str">
        <f>T("9791137014381")</f>
        <v>9791137014381</v>
      </c>
      <c r="BF5531" t="str">
        <f>T("D184264")</f>
        <v>D184264</v>
      </c>
      <c r="BG5531" t="str">
        <f>T("판타지 웹소설 &gt; 퓨전 판타지")</f>
        <v>판타지 웹소설 &gt; 퓨전 판타지</v>
      </c>
    </row>
    <row r="5532" spans="1:59">
      <c r="A5532" t="s">
        <v>60</v>
      </c>
      <c r="B5532" s="1">
        <v>46130</v>
      </c>
      <c r="C5532">
        <v>2378044065</v>
      </c>
      <c r="D5532">
        <v>2378080391</v>
      </c>
      <c r="E5532" t="str">
        <f>T("저승의 왕위를 계승했다 769화")</f>
        <v>저승의 왕위를 계승했다 769화</v>
      </c>
      <c r="F5532">
        <v>771</v>
      </c>
      <c r="G5532" t="str">
        <f>T("신타비")</f>
        <v>신타비</v>
      </c>
      <c r="J5532" t="str">
        <f>T("매드햇")</f>
        <v>매드햇</v>
      </c>
      <c r="K5532" t="str">
        <f>T("저승의 왕위를 계승했다")</f>
        <v>저승의 왕위를 계승했다</v>
      </c>
      <c r="L5532">
        <v>100</v>
      </c>
      <c r="M5532">
        <v>170</v>
      </c>
      <c r="N5532">
        <v>2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0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0</v>
      </c>
      <c r="AE5532">
        <v>0</v>
      </c>
      <c r="AF5532">
        <v>0</v>
      </c>
      <c r="AG5532">
        <v>0</v>
      </c>
      <c r="AH5532">
        <v>0</v>
      </c>
      <c r="AI5532">
        <v>170</v>
      </c>
      <c r="AJ5532">
        <v>2</v>
      </c>
      <c r="AK5532">
        <v>0</v>
      </c>
      <c r="AL5532">
        <v>0</v>
      </c>
      <c r="AM5532">
        <v>170</v>
      </c>
      <c r="AN5532">
        <v>0</v>
      </c>
      <c r="AO5532">
        <v>0</v>
      </c>
      <c r="AP5532">
        <v>0</v>
      </c>
      <c r="AQ5532">
        <v>0</v>
      </c>
      <c r="AS5532">
        <v>0</v>
      </c>
      <c r="AT5532">
        <v>0</v>
      </c>
      <c r="AV5532">
        <v>0</v>
      </c>
      <c r="AW5532">
        <v>0</v>
      </c>
      <c r="AY5532">
        <v>0</v>
      </c>
      <c r="AZ5532">
        <v>0</v>
      </c>
      <c r="BA5532">
        <v>119</v>
      </c>
      <c r="BE5532" t="str">
        <f>T("9791137014381")</f>
        <v>9791137014381</v>
      </c>
      <c r="BF5532" t="str">
        <f>T("D184265")</f>
        <v>D184265</v>
      </c>
      <c r="BG5532" t="str">
        <f>T("판타지 웹소설 &gt; 퓨전 판타지")</f>
        <v>판타지 웹소설 &gt; 퓨전 판타지</v>
      </c>
    </row>
    <row r="5533" spans="1:59">
      <c r="A5533" t="s">
        <v>60</v>
      </c>
      <c r="B5533" s="1">
        <v>46130</v>
      </c>
      <c r="C5533">
        <v>2378044065</v>
      </c>
      <c r="D5533">
        <v>2378080392</v>
      </c>
      <c r="E5533" t="str">
        <f>T("저승의 왕위를 계승했다 770화")</f>
        <v>저승의 왕위를 계승했다 770화</v>
      </c>
      <c r="F5533">
        <v>772</v>
      </c>
      <c r="G5533" t="str">
        <f>T("신타비")</f>
        <v>신타비</v>
      </c>
      <c r="J5533" t="str">
        <f>T("매드햇")</f>
        <v>매드햇</v>
      </c>
      <c r="K5533" t="str">
        <f>T("저승의 왕위를 계승했다")</f>
        <v>저승의 왕위를 계승했다</v>
      </c>
      <c r="L5533">
        <v>100</v>
      </c>
      <c r="M5533">
        <v>170</v>
      </c>
      <c r="N5533">
        <v>2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0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0</v>
      </c>
      <c r="AE5533">
        <v>0</v>
      </c>
      <c r="AF5533">
        <v>0</v>
      </c>
      <c r="AG5533">
        <v>0</v>
      </c>
      <c r="AH5533">
        <v>0</v>
      </c>
      <c r="AI5533">
        <v>170</v>
      </c>
      <c r="AJ5533">
        <v>2</v>
      </c>
      <c r="AK5533">
        <v>0</v>
      </c>
      <c r="AL5533">
        <v>0</v>
      </c>
      <c r="AM5533">
        <v>170</v>
      </c>
      <c r="AN5533">
        <v>0</v>
      </c>
      <c r="AO5533">
        <v>0</v>
      </c>
      <c r="AP5533">
        <v>0</v>
      </c>
      <c r="AQ5533">
        <v>0</v>
      </c>
      <c r="AS5533">
        <v>0</v>
      </c>
      <c r="AT5533">
        <v>0</v>
      </c>
      <c r="AV5533">
        <v>0</v>
      </c>
      <c r="AW5533">
        <v>0</v>
      </c>
      <c r="AY5533">
        <v>0</v>
      </c>
      <c r="AZ5533">
        <v>0</v>
      </c>
      <c r="BA5533">
        <v>119</v>
      </c>
      <c r="BE5533" t="str">
        <f>T("9791137014381")</f>
        <v>9791137014381</v>
      </c>
      <c r="BF5533" t="str">
        <f>T("D184266")</f>
        <v>D184266</v>
      </c>
      <c r="BG5533" t="str">
        <f>T("판타지 웹소설 &gt; 퓨전 판타지")</f>
        <v>판타지 웹소설 &gt; 퓨전 판타지</v>
      </c>
    </row>
    <row r="5534" spans="1:59">
      <c r="A5534" t="s">
        <v>60</v>
      </c>
      <c r="B5534" s="1">
        <v>46130</v>
      </c>
      <c r="C5534">
        <v>2378044065</v>
      </c>
      <c r="D5534">
        <v>2378080393</v>
      </c>
      <c r="E5534" t="str">
        <f>T("저승의 왕위를 계승했다 771화")</f>
        <v>저승의 왕위를 계승했다 771화</v>
      </c>
      <c r="F5534">
        <v>773</v>
      </c>
      <c r="G5534" t="str">
        <f>T("신타비")</f>
        <v>신타비</v>
      </c>
      <c r="J5534" t="str">
        <f>T("매드햇")</f>
        <v>매드햇</v>
      </c>
      <c r="K5534" t="str">
        <f>T("저승의 왕위를 계승했다")</f>
        <v>저승의 왕위를 계승했다</v>
      </c>
      <c r="L5534">
        <v>100</v>
      </c>
      <c r="M5534">
        <v>170</v>
      </c>
      <c r="N5534">
        <v>2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0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0</v>
      </c>
      <c r="AE5534">
        <v>0</v>
      </c>
      <c r="AF5534">
        <v>0</v>
      </c>
      <c r="AG5534">
        <v>0</v>
      </c>
      <c r="AH5534">
        <v>0</v>
      </c>
      <c r="AI5534">
        <v>170</v>
      </c>
      <c r="AJ5534">
        <v>2</v>
      </c>
      <c r="AK5534">
        <v>0</v>
      </c>
      <c r="AL5534">
        <v>0</v>
      </c>
      <c r="AM5534">
        <v>170</v>
      </c>
      <c r="AN5534">
        <v>0</v>
      </c>
      <c r="AO5534">
        <v>0</v>
      </c>
      <c r="AP5534">
        <v>0</v>
      </c>
      <c r="AQ5534">
        <v>0</v>
      </c>
      <c r="AS5534">
        <v>0</v>
      </c>
      <c r="AT5534">
        <v>0</v>
      </c>
      <c r="AV5534">
        <v>0</v>
      </c>
      <c r="AW5534">
        <v>0</v>
      </c>
      <c r="AY5534">
        <v>0</v>
      </c>
      <c r="AZ5534">
        <v>0</v>
      </c>
      <c r="BA5534">
        <v>119</v>
      </c>
      <c r="BE5534" t="str">
        <f>T("9791137014381")</f>
        <v>9791137014381</v>
      </c>
      <c r="BF5534" t="str">
        <f>T("D203862")</f>
        <v>D203862</v>
      </c>
      <c r="BG5534" t="str">
        <f>T("판타지 웹소설 &gt; 퓨전 판타지")</f>
        <v>판타지 웹소설 &gt; 퓨전 판타지</v>
      </c>
    </row>
    <row r="5535" spans="1:59">
      <c r="A5535" t="s">
        <v>60</v>
      </c>
      <c r="B5535" s="1">
        <v>46130</v>
      </c>
      <c r="C5535">
        <v>2378044065</v>
      </c>
      <c r="D5535">
        <v>2378080394</v>
      </c>
      <c r="E5535" t="str">
        <f>T("저승의 왕위를 계승했다 772화")</f>
        <v>저승의 왕위를 계승했다 772화</v>
      </c>
      <c r="F5535">
        <v>774</v>
      </c>
      <c r="G5535" t="str">
        <f>T("신타비")</f>
        <v>신타비</v>
      </c>
      <c r="J5535" t="str">
        <f>T("매드햇")</f>
        <v>매드햇</v>
      </c>
      <c r="K5535" t="str">
        <f>T("저승의 왕위를 계승했다")</f>
        <v>저승의 왕위를 계승했다</v>
      </c>
      <c r="L5535">
        <v>100</v>
      </c>
      <c r="M5535">
        <v>170</v>
      </c>
      <c r="N5535">
        <v>2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0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0</v>
      </c>
      <c r="AE5535">
        <v>0</v>
      </c>
      <c r="AF5535">
        <v>0</v>
      </c>
      <c r="AG5535">
        <v>0</v>
      </c>
      <c r="AH5535">
        <v>0</v>
      </c>
      <c r="AI5535">
        <v>170</v>
      </c>
      <c r="AJ5535">
        <v>2</v>
      </c>
      <c r="AK5535">
        <v>0</v>
      </c>
      <c r="AL5535">
        <v>0</v>
      </c>
      <c r="AM5535">
        <v>170</v>
      </c>
      <c r="AN5535">
        <v>0</v>
      </c>
      <c r="AO5535">
        <v>0</v>
      </c>
      <c r="AP5535">
        <v>0</v>
      </c>
      <c r="AQ5535">
        <v>0</v>
      </c>
      <c r="AS5535">
        <v>0</v>
      </c>
      <c r="AT5535">
        <v>0</v>
      </c>
      <c r="AV5535">
        <v>0</v>
      </c>
      <c r="AW5535">
        <v>0</v>
      </c>
      <c r="AY5535">
        <v>0</v>
      </c>
      <c r="AZ5535">
        <v>0</v>
      </c>
      <c r="BA5535">
        <v>119</v>
      </c>
      <c r="BE5535" t="str">
        <f>T("9791137014381")</f>
        <v>9791137014381</v>
      </c>
      <c r="BF5535" t="str">
        <f>T("D203863")</f>
        <v>D203863</v>
      </c>
      <c r="BG5535" t="str">
        <f>T("판타지 웹소설 &gt; 퓨전 판타지")</f>
        <v>판타지 웹소설 &gt; 퓨전 판타지</v>
      </c>
    </row>
    <row r="5536" spans="1:59">
      <c r="A5536" t="s">
        <v>60</v>
      </c>
      <c r="B5536" s="1">
        <v>46130</v>
      </c>
      <c r="C5536">
        <v>2378044065</v>
      </c>
      <c r="D5536">
        <v>2378080481</v>
      </c>
      <c r="E5536" t="str">
        <f>T("저승의 왕위를 계승했다 773화")</f>
        <v>저승의 왕위를 계승했다 773화</v>
      </c>
      <c r="F5536">
        <v>775</v>
      </c>
      <c r="G5536" t="str">
        <f>T("신타비")</f>
        <v>신타비</v>
      </c>
      <c r="J5536" t="str">
        <f>T("매드햇")</f>
        <v>매드햇</v>
      </c>
      <c r="K5536" t="str">
        <f>T("저승의 왕위를 계승했다")</f>
        <v>저승의 왕위를 계승했다</v>
      </c>
      <c r="L5536">
        <v>100</v>
      </c>
      <c r="M5536">
        <v>170</v>
      </c>
      <c r="N5536">
        <v>2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0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0</v>
      </c>
      <c r="AE5536">
        <v>0</v>
      </c>
      <c r="AF5536">
        <v>0</v>
      </c>
      <c r="AG5536">
        <v>0</v>
      </c>
      <c r="AH5536">
        <v>0</v>
      </c>
      <c r="AI5536">
        <v>170</v>
      </c>
      <c r="AJ5536">
        <v>2</v>
      </c>
      <c r="AK5536">
        <v>0</v>
      </c>
      <c r="AL5536">
        <v>0</v>
      </c>
      <c r="AM5536">
        <v>170</v>
      </c>
      <c r="AN5536">
        <v>0</v>
      </c>
      <c r="AO5536">
        <v>0</v>
      </c>
      <c r="AP5536">
        <v>0</v>
      </c>
      <c r="AQ5536">
        <v>0</v>
      </c>
      <c r="AS5536">
        <v>0</v>
      </c>
      <c r="AT5536">
        <v>0</v>
      </c>
      <c r="AV5536">
        <v>0</v>
      </c>
      <c r="AW5536">
        <v>0</v>
      </c>
      <c r="AY5536">
        <v>0</v>
      </c>
      <c r="AZ5536">
        <v>0</v>
      </c>
      <c r="BA5536">
        <v>119</v>
      </c>
      <c r="BE5536" t="str">
        <f>T("9791137014381")</f>
        <v>9791137014381</v>
      </c>
      <c r="BF5536" t="str">
        <f>T("D203864")</f>
        <v>D203864</v>
      </c>
      <c r="BG5536" t="str">
        <f>T("판타지 웹소설 &gt; 퓨전 판타지")</f>
        <v>판타지 웹소설 &gt; 퓨전 판타지</v>
      </c>
    </row>
    <row r="5537" spans="1:59">
      <c r="A5537" t="s">
        <v>60</v>
      </c>
      <c r="B5537" s="1">
        <v>46130</v>
      </c>
      <c r="C5537">
        <v>2378044065</v>
      </c>
      <c r="D5537">
        <v>2378080482</v>
      </c>
      <c r="E5537" t="str">
        <f>T("저승의 왕위를 계승했다 774화")</f>
        <v>저승의 왕위를 계승했다 774화</v>
      </c>
      <c r="F5537">
        <v>776</v>
      </c>
      <c r="G5537" t="str">
        <f>T("신타비")</f>
        <v>신타비</v>
      </c>
      <c r="J5537" t="str">
        <f>T("매드햇")</f>
        <v>매드햇</v>
      </c>
      <c r="K5537" t="str">
        <f>T("저승의 왕위를 계승했다")</f>
        <v>저승의 왕위를 계승했다</v>
      </c>
      <c r="L5537">
        <v>100</v>
      </c>
      <c r="M5537">
        <v>170</v>
      </c>
      <c r="N5537">
        <v>2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0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0</v>
      </c>
      <c r="AE5537">
        <v>0</v>
      </c>
      <c r="AF5537">
        <v>0</v>
      </c>
      <c r="AG5537">
        <v>0</v>
      </c>
      <c r="AH5537">
        <v>0</v>
      </c>
      <c r="AI5537">
        <v>170</v>
      </c>
      <c r="AJ5537">
        <v>2</v>
      </c>
      <c r="AK5537">
        <v>0</v>
      </c>
      <c r="AL5537">
        <v>0</v>
      </c>
      <c r="AM5537">
        <v>170</v>
      </c>
      <c r="AN5537">
        <v>0</v>
      </c>
      <c r="AO5537">
        <v>0</v>
      </c>
      <c r="AP5537">
        <v>0</v>
      </c>
      <c r="AQ5537">
        <v>0</v>
      </c>
      <c r="AS5537">
        <v>0</v>
      </c>
      <c r="AT5537">
        <v>0</v>
      </c>
      <c r="AV5537">
        <v>0</v>
      </c>
      <c r="AW5537">
        <v>0</v>
      </c>
      <c r="AY5537">
        <v>0</v>
      </c>
      <c r="AZ5537">
        <v>0</v>
      </c>
      <c r="BA5537">
        <v>119</v>
      </c>
      <c r="BE5537" t="str">
        <f>T("9791137014381")</f>
        <v>9791137014381</v>
      </c>
      <c r="BF5537" t="str">
        <f>T("D203865")</f>
        <v>D203865</v>
      </c>
      <c r="BG5537" t="str">
        <f>T("판타지 웹소설 &gt; 퓨전 판타지")</f>
        <v>판타지 웹소설 &gt; 퓨전 판타지</v>
      </c>
    </row>
    <row r="5538" spans="1:59">
      <c r="A5538" t="s">
        <v>60</v>
      </c>
      <c r="B5538" s="1">
        <v>46130</v>
      </c>
      <c r="C5538">
        <v>2378044065</v>
      </c>
      <c r="D5538">
        <v>2378080483</v>
      </c>
      <c r="E5538" t="str">
        <f>T("저승의 왕위를 계승했다 775화")</f>
        <v>저승의 왕위를 계승했다 775화</v>
      </c>
      <c r="F5538">
        <v>777</v>
      </c>
      <c r="G5538" t="str">
        <f>T("신타비")</f>
        <v>신타비</v>
      </c>
      <c r="J5538" t="str">
        <f>T("매드햇")</f>
        <v>매드햇</v>
      </c>
      <c r="K5538" t="str">
        <f>T("저승의 왕위를 계승했다")</f>
        <v>저승의 왕위를 계승했다</v>
      </c>
      <c r="L5538">
        <v>100</v>
      </c>
      <c r="M5538">
        <v>170</v>
      </c>
      <c r="N5538">
        <v>2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0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0</v>
      </c>
      <c r="AE5538">
        <v>0</v>
      </c>
      <c r="AF5538">
        <v>0</v>
      </c>
      <c r="AG5538">
        <v>0</v>
      </c>
      <c r="AH5538">
        <v>0</v>
      </c>
      <c r="AI5538">
        <v>170</v>
      </c>
      <c r="AJ5538">
        <v>2</v>
      </c>
      <c r="AK5538">
        <v>0</v>
      </c>
      <c r="AL5538">
        <v>0</v>
      </c>
      <c r="AM5538">
        <v>170</v>
      </c>
      <c r="AN5538">
        <v>0</v>
      </c>
      <c r="AO5538">
        <v>0</v>
      </c>
      <c r="AP5538">
        <v>0</v>
      </c>
      <c r="AQ5538">
        <v>0</v>
      </c>
      <c r="AS5538">
        <v>0</v>
      </c>
      <c r="AT5538">
        <v>0</v>
      </c>
      <c r="AV5538">
        <v>0</v>
      </c>
      <c r="AW5538">
        <v>0</v>
      </c>
      <c r="AY5538">
        <v>0</v>
      </c>
      <c r="AZ5538">
        <v>0</v>
      </c>
      <c r="BA5538">
        <v>119</v>
      </c>
      <c r="BE5538" t="str">
        <f>T("9791137014381")</f>
        <v>9791137014381</v>
      </c>
      <c r="BF5538" t="str">
        <f>T("D203866")</f>
        <v>D203866</v>
      </c>
      <c r="BG5538" t="str">
        <f>T("판타지 웹소설 &gt; 퓨전 판타지")</f>
        <v>판타지 웹소설 &gt; 퓨전 판타지</v>
      </c>
    </row>
    <row r="5539" spans="1:59">
      <c r="A5539" t="s">
        <v>60</v>
      </c>
      <c r="B5539" s="1">
        <v>46130</v>
      </c>
      <c r="C5539">
        <v>2378044065</v>
      </c>
      <c r="D5539">
        <v>2378080484</v>
      </c>
      <c r="E5539" t="str">
        <f>T("저승의 왕위를 계승했다 776화")</f>
        <v>저승의 왕위를 계승했다 776화</v>
      </c>
      <c r="F5539">
        <v>778</v>
      </c>
      <c r="G5539" t="str">
        <f>T("신타비")</f>
        <v>신타비</v>
      </c>
      <c r="J5539" t="str">
        <f>T("매드햇")</f>
        <v>매드햇</v>
      </c>
      <c r="K5539" t="str">
        <f>T("저승의 왕위를 계승했다")</f>
        <v>저승의 왕위를 계승했다</v>
      </c>
      <c r="L5539">
        <v>100</v>
      </c>
      <c r="M5539">
        <v>170</v>
      </c>
      <c r="N5539">
        <v>2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0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0</v>
      </c>
      <c r="AE5539">
        <v>0</v>
      </c>
      <c r="AF5539">
        <v>0</v>
      </c>
      <c r="AG5539">
        <v>0</v>
      </c>
      <c r="AH5539">
        <v>0</v>
      </c>
      <c r="AI5539">
        <v>170</v>
      </c>
      <c r="AJ5539">
        <v>2</v>
      </c>
      <c r="AK5539">
        <v>0</v>
      </c>
      <c r="AL5539">
        <v>0</v>
      </c>
      <c r="AM5539">
        <v>170</v>
      </c>
      <c r="AN5539">
        <v>0</v>
      </c>
      <c r="AO5539">
        <v>0</v>
      </c>
      <c r="AP5539">
        <v>0</v>
      </c>
      <c r="AQ5539">
        <v>0</v>
      </c>
      <c r="AS5539">
        <v>0</v>
      </c>
      <c r="AT5539">
        <v>0</v>
      </c>
      <c r="AV5539">
        <v>0</v>
      </c>
      <c r="AW5539">
        <v>0</v>
      </c>
      <c r="AY5539">
        <v>0</v>
      </c>
      <c r="AZ5539">
        <v>0</v>
      </c>
      <c r="BA5539">
        <v>119</v>
      </c>
      <c r="BE5539" t="str">
        <f>T("9791137014381")</f>
        <v>9791137014381</v>
      </c>
      <c r="BF5539" t="str">
        <f>T("D203867")</f>
        <v>D203867</v>
      </c>
      <c r="BG5539" t="str">
        <f>T("판타지 웹소설 &gt; 퓨전 판타지")</f>
        <v>판타지 웹소설 &gt; 퓨전 판타지</v>
      </c>
    </row>
    <row r="5540" spans="1:59">
      <c r="A5540" t="s">
        <v>60</v>
      </c>
      <c r="B5540" s="1">
        <v>46130</v>
      </c>
      <c r="C5540">
        <v>2378044065</v>
      </c>
      <c r="D5540">
        <v>2378080502</v>
      </c>
      <c r="E5540" t="str">
        <f>T("저승의 왕위를 계승했다 777화")</f>
        <v>저승의 왕위를 계승했다 777화</v>
      </c>
      <c r="F5540">
        <v>779</v>
      </c>
      <c r="G5540" t="str">
        <f>T("신타비")</f>
        <v>신타비</v>
      </c>
      <c r="J5540" t="str">
        <f>T("매드햇")</f>
        <v>매드햇</v>
      </c>
      <c r="K5540" t="str">
        <f>T("저승의 왕위를 계승했다")</f>
        <v>저승의 왕위를 계승했다</v>
      </c>
      <c r="L5540">
        <v>100</v>
      </c>
      <c r="M5540">
        <v>170</v>
      </c>
      <c r="N5540">
        <v>2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0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0</v>
      </c>
      <c r="AE5540">
        <v>0</v>
      </c>
      <c r="AF5540">
        <v>0</v>
      </c>
      <c r="AG5540">
        <v>0</v>
      </c>
      <c r="AH5540">
        <v>0</v>
      </c>
      <c r="AI5540">
        <v>170</v>
      </c>
      <c r="AJ5540">
        <v>2</v>
      </c>
      <c r="AK5540">
        <v>0</v>
      </c>
      <c r="AL5540">
        <v>0</v>
      </c>
      <c r="AM5540">
        <v>170</v>
      </c>
      <c r="AN5540">
        <v>0</v>
      </c>
      <c r="AO5540">
        <v>0</v>
      </c>
      <c r="AP5540">
        <v>0</v>
      </c>
      <c r="AQ5540">
        <v>0</v>
      </c>
      <c r="AS5540">
        <v>0</v>
      </c>
      <c r="AT5540">
        <v>0</v>
      </c>
      <c r="AV5540">
        <v>0</v>
      </c>
      <c r="AW5540">
        <v>0</v>
      </c>
      <c r="AY5540">
        <v>0</v>
      </c>
      <c r="AZ5540">
        <v>0</v>
      </c>
      <c r="BA5540">
        <v>119</v>
      </c>
      <c r="BE5540" t="str">
        <f>T("9791137014381")</f>
        <v>9791137014381</v>
      </c>
      <c r="BF5540" t="str">
        <f>T("D203868")</f>
        <v>D203868</v>
      </c>
      <c r="BG5540" t="str">
        <f>T("판타지 웹소설 &gt; 퓨전 판타지")</f>
        <v>판타지 웹소설 &gt; 퓨전 판타지</v>
      </c>
    </row>
    <row r="5541" spans="1:59">
      <c r="A5541" t="s">
        <v>60</v>
      </c>
      <c r="B5541" s="1">
        <v>46130</v>
      </c>
      <c r="C5541">
        <v>2378044065</v>
      </c>
      <c r="D5541">
        <v>2378080503</v>
      </c>
      <c r="E5541" t="str">
        <f>T("저승의 왕위를 계승했다 778화")</f>
        <v>저승의 왕위를 계승했다 778화</v>
      </c>
      <c r="F5541">
        <v>780</v>
      </c>
      <c r="G5541" t="str">
        <f>T("신타비")</f>
        <v>신타비</v>
      </c>
      <c r="J5541" t="str">
        <f>T("매드햇")</f>
        <v>매드햇</v>
      </c>
      <c r="K5541" t="str">
        <f>T("저승의 왕위를 계승했다")</f>
        <v>저승의 왕위를 계승했다</v>
      </c>
      <c r="L5541">
        <v>100</v>
      </c>
      <c r="M5541">
        <v>170</v>
      </c>
      <c r="N5541">
        <v>2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0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0</v>
      </c>
      <c r="AE5541">
        <v>0</v>
      </c>
      <c r="AF5541">
        <v>0</v>
      </c>
      <c r="AG5541">
        <v>0</v>
      </c>
      <c r="AH5541">
        <v>0</v>
      </c>
      <c r="AI5541">
        <v>170</v>
      </c>
      <c r="AJ5541">
        <v>2</v>
      </c>
      <c r="AK5541">
        <v>0</v>
      </c>
      <c r="AL5541">
        <v>0</v>
      </c>
      <c r="AM5541">
        <v>170</v>
      </c>
      <c r="AN5541">
        <v>0</v>
      </c>
      <c r="AO5541">
        <v>0</v>
      </c>
      <c r="AP5541">
        <v>0</v>
      </c>
      <c r="AQ5541">
        <v>0</v>
      </c>
      <c r="AS5541">
        <v>0</v>
      </c>
      <c r="AT5541">
        <v>0</v>
      </c>
      <c r="AV5541">
        <v>0</v>
      </c>
      <c r="AW5541">
        <v>0</v>
      </c>
      <c r="AY5541">
        <v>0</v>
      </c>
      <c r="AZ5541">
        <v>0</v>
      </c>
      <c r="BA5541">
        <v>119</v>
      </c>
      <c r="BE5541" t="str">
        <f>T("9791137014381")</f>
        <v>9791137014381</v>
      </c>
      <c r="BF5541" t="str">
        <f>T("D203869")</f>
        <v>D203869</v>
      </c>
      <c r="BG5541" t="str">
        <f>T("판타지 웹소설 &gt; 퓨전 판타지")</f>
        <v>판타지 웹소설 &gt; 퓨전 판타지</v>
      </c>
    </row>
    <row r="5542" spans="1:59">
      <c r="A5542" t="s">
        <v>60</v>
      </c>
      <c r="B5542" s="1">
        <v>46130</v>
      </c>
      <c r="C5542">
        <v>2378044065</v>
      </c>
      <c r="D5542">
        <v>2378080504</v>
      </c>
      <c r="E5542" t="str">
        <f>T("저승의 왕위를 계승했다 779화")</f>
        <v>저승의 왕위를 계승했다 779화</v>
      </c>
      <c r="F5542">
        <v>781</v>
      </c>
      <c r="G5542" t="str">
        <f>T("신타비")</f>
        <v>신타비</v>
      </c>
      <c r="J5542" t="str">
        <f>T("매드햇")</f>
        <v>매드햇</v>
      </c>
      <c r="K5542" t="str">
        <f>T("저승의 왕위를 계승했다")</f>
        <v>저승의 왕위를 계승했다</v>
      </c>
      <c r="L5542">
        <v>100</v>
      </c>
      <c r="M5542">
        <v>170</v>
      </c>
      <c r="N5542">
        <v>2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0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0</v>
      </c>
      <c r="AE5542">
        <v>0</v>
      </c>
      <c r="AF5542">
        <v>0</v>
      </c>
      <c r="AG5542">
        <v>0</v>
      </c>
      <c r="AH5542">
        <v>0</v>
      </c>
      <c r="AI5542">
        <v>170</v>
      </c>
      <c r="AJ5542">
        <v>2</v>
      </c>
      <c r="AK5542">
        <v>0</v>
      </c>
      <c r="AL5542">
        <v>0</v>
      </c>
      <c r="AM5542">
        <v>170</v>
      </c>
      <c r="AN5542">
        <v>0</v>
      </c>
      <c r="AO5542">
        <v>0</v>
      </c>
      <c r="AP5542">
        <v>0</v>
      </c>
      <c r="AQ5542">
        <v>0</v>
      </c>
      <c r="AS5542">
        <v>0</v>
      </c>
      <c r="AT5542">
        <v>0</v>
      </c>
      <c r="AV5542">
        <v>0</v>
      </c>
      <c r="AW5542">
        <v>0</v>
      </c>
      <c r="AY5542">
        <v>0</v>
      </c>
      <c r="AZ5542">
        <v>0</v>
      </c>
      <c r="BA5542">
        <v>119</v>
      </c>
      <c r="BE5542" t="str">
        <f>T("9791137014381")</f>
        <v>9791137014381</v>
      </c>
      <c r="BF5542" t="str">
        <f>T("D203870")</f>
        <v>D203870</v>
      </c>
      <c r="BG5542" t="str">
        <f>T("판타지 웹소설 &gt; 퓨전 판타지")</f>
        <v>판타지 웹소설 &gt; 퓨전 판타지</v>
      </c>
    </row>
    <row r="5543" spans="1:59">
      <c r="A5543" t="s">
        <v>60</v>
      </c>
      <c r="B5543" s="1">
        <v>46130</v>
      </c>
      <c r="C5543">
        <v>2378044065</v>
      </c>
      <c r="D5543">
        <v>2378080505</v>
      </c>
      <c r="E5543" t="str">
        <f>T("저승의 왕위를 계승했다 780화")</f>
        <v>저승의 왕위를 계승했다 780화</v>
      </c>
      <c r="F5543">
        <v>782</v>
      </c>
      <c r="G5543" t="str">
        <f>T("신타비")</f>
        <v>신타비</v>
      </c>
      <c r="J5543" t="str">
        <f>T("매드햇")</f>
        <v>매드햇</v>
      </c>
      <c r="K5543" t="str">
        <f>T("저승의 왕위를 계승했다")</f>
        <v>저승의 왕위를 계승했다</v>
      </c>
      <c r="L5543">
        <v>100</v>
      </c>
      <c r="M5543">
        <v>170</v>
      </c>
      <c r="N5543">
        <v>2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0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0</v>
      </c>
      <c r="AE5543">
        <v>0</v>
      </c>
      <c r="AF5543">
        <v>0</v>
      </c>
      <c r="AG5543">
        <v>0</v>
      </c>
      <c r="AH5543">
        <v>0</v>
      </c>
      <c r="AI5543">
        <v>170</v>
      </c>
      <c r="AJ5543">
        <v>2</v>
      </c>
      <c r="AK5543">
        <v>0</v>
      </c>
      <c r="AL5543">
        <v>0</v>
      </c>
      <c r="AM5543">
        <v>170</v>
      </c>
      <c r="AN5543">
        <v>0</v>
      </c>
      <c r="AO5543">
        <v>0</v>
      </c>
      <c r="AP5543">
        <v>0</v>
      </c>
      <c r="AQ5543">
        <v>0</v>
      </c>
      <c r="AS5543">
        <v>0</v>
      </c>
      <c r="AT5543">
        <v>0</v>
      </c>
      <c r="AV5543">
        <v>0</v>
      </c>
      <c r="AW5543">
        <v>0</v>
      </c>
      <c r="AY5543">
        <v>0</v>
      </c>
      <c r="AZ5543">
        <v>0</v>
      </c>
      <c r="BA5543">
        <v>119</v>
      </c>
      <c r="BE5543" t="str">
        <f>T("9791137014381")</f>
        <v>9791137014381</v>
      </c>
      <c r="BF5543" t="str">
        <f>T("D203871")</f>
        <v>D203871</v>
      </c>
      <c r="BG5543" t="str">
        <f>T("판타지 웹소설 &gt; 퓨전 판타지")</f>
        <v>판타지 웹소설 &gt; 퓨전 판타지</v>
      </c>
    </row>
    <row r="5544" spans="1:59">
      <c r="A5544" t="s">
        <v>60</v>
      </c>
      <c r="B5544" s="1">
        <v>46130</v>
      </c>
      <c r="C5544">
        <v>2378044065</v>
      </c>
      <c r="D5544">
        <v>2378080509</v>
      </c>
      <c r="E5544" t="str">
        <f>T("저승의 왕위를 계승했다 781화")</f>
        <v>저승의 왕위를 계승했다 781화</v>
      </c>
      <c r="F5544">
        <v>783</v>
      </c>
      <c r="G5544" t="str">
        <f>T("신타비")</f>
        <v>신타비</v>
      </c>
      <c r="J5544" t="str">
        <f>T("매드햇")</f>
        <v>매드햇</v>
      </c>
      <c r="K5544" t="str">
        <f>T("저승의 왕위를 계승했다")</f>
        <v>저승의 왕위를 계승했다</v>
      </c>
      <c r="L5544">
        <v>100</v>
      </c>
      <c r="M5544">
        <v>170</v>
      </c>
      <c r="N5544">
        <v>2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>
        <v>0</v>
      </c>
      <c r="V5544">
        <v>0</v>
      </c>
      <c r="W5544">
        <v>0</v>
      </c>
      <c r="X5544">
        <v>0</v>
      </c>
      <c r="Y5544">
        <v>0</v>
      </c>
      <c r="Z5544">
        <v>0</v>
      </c>
      <c r="AA5544">
        <v>0</v>
      </c>
      <c r="AB5544">
        <v>0</v>
      </c>
      <c r="AC5544">
        <v>0</v>
      </c>
      <c r="AD5544">
        <v>0</v>
      </c>
      <c r="AE5544">
        <v>0</v>
      </c>
      <c r="AF5544">
        <v>0</v>
      </c>
      <c r="AG5544">
        <v>0</v>
      </c>
      <c r="AH5544">
        <v>0</v>
      </c>
      <c r="AI5544">
        <v>170</v>
      </c>
      <c r="AJ5544">
        <v>2</v>
      </c>
      <c r="AK5544">
        <v>0</v>
      </c>
      <c r="AL5544">
        <v>0</v>
      </c>
      <c r="AM5544">
        <v>170</v>
      </c>
      <c r="AN5544">
        <v>0</v>
      </c>
      <c r="AO5544">
        <v>0</v>
      </c>
      <c r="AP5544">
        <v>0</v>
      </c>
      <c r="AQ5544">
        <v>0</v>
      </c>
      <c r="AS5544">
        <v>0</v>
      </c>
      <c r="AT5544">
        <v>0</v>
      </c>
      <c r="AV5544">
        <v>0</v>
      </c>
      <c r="AW5544">
        <v>0</v>
      </c>
      <c r="AY5544">
        <v>0</v>
      </c>
      <c r="AZ5544">
        <v>0</v>
      </c>
      <c r="BA5544">
        <v>119</v>
      </c>
      <c r="BE5544" t="str">
        <f>T("9791137014381")</f>
        <v>9791137014381</v>
      </c>
      <c r="BF5544" t="str">
        <f>T("D227218")</f>
        <v>D227218</v>
      </c>
      <c r="BG5544" t="str">
        <f>T("판타지 웹소설 &gt; 퓨전 판타지")</f>
        <v>판타지 웹소설 &gt; 퓨전 판타지</v>
      </c>
    </row>
    <row r="5545" spans="1:59">
      <c r="A5545" t="s">
        <v>60</v>
      </c>
      <c r="B5545" s="1">
        <v>46130</v>
      </c>
      <c r="C5545">
        <v>2378044065</v>
      </c>
      <c r="D5545">
        <v>2378080510</v>
      </c>
      <c r="E5545" t="str">
        <f>T("저승의 왕위를 계승했다 782화")</f>
        <v>저승의 왕위를 계승했다 782화</v>
      </c>
      <c r="F5545">
        <v>784</v>
      </c>
      <c r="G5545" t="str">
        <f>T("신타비")</f>
        <v>신타비</v>
      </c>
      <c r="J5545" t="str">
        <f>T("매드햇")</f>
        <v>매드햇</v>
      </c>
      <c r="K5545" t="str">
        <f>T("저승의 왕위를 계승했다")</f>
        <v>저승의 왕위를 계승했다</v>
      </c>
      <c r="L5545">
        <v>100</v>
      </c>
      <c r="M5545">
        <v>170</v>
      </c>
      <c r="N5545">
        <v>2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0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0</v>
      </c>
      <c r="AE5545">
        <v>0</v>
      </c>
      <c r="AF5545">
        <v>0</v>
      </c>
      <c r="AG5545">
        <v>0</v>
      </c>
      <c r="AH5545">
        <v>0</v>
      </c>
      <c r="AI5545">
        <v>170</v>
      </c>
      <c r="AJ5545">
        <v>2</v>
      </c>
      <c r="AK5545">
        <v>0</v>
      </c>
      <c r="AL5545">
        <v>0</v>
      </c>
      <c r="AM5545">
        <v>170</v>
      </c>
      <c r="AN5545">
        <v>0</v>
      </c>
      <c r="AO5545">
        <v>0</v>
      </c>
      <c r="AP5545">
        <v>0</v>
      </c>
      <c r="AQ5545">
        <v>0</v>
      </c>
      <c r="AS5545">
        <v>0</v>
      </c>
      <c r="AT5545">
        <v>0</v>
      </c>
      <c r="AV5545">
        <v>0</v>
      </c>
      <c r="AW5545">
        <v>0</v>
      </c>
      <c r="AY5545">
        <v>0</v>
      </c>
      <c r="AZ5545">
        <v>0</v>
      </c>
      <c r="BA5545">
        <v>119</v>
      </c>
      <c r="BE5545" t="str">
        <f>T("9791137014381")</f>
        <v>9791137014381</v>
      </c>
      <c r="BF5545" t="str">
        <f>T("D227219")</f>
        <v>D227219</v>
      </c>
      <c r="BG5545" t="str">
        <f>T("판타지 웹소설 &gt; 퓨전 판타지")</f>
        <v>판타지 웹소설 &gt; 퓨전 판타지</v>
      </c>
    </row>
    <row r="5546" spans="1:59">
      <c r="A5546" t="s">
        <v>60</v>
      </c>
      <c r="B5546" s="1">
        <v>46130</v>
      </c>
      <c r="C5546">
        <v>2378044065</v>
      </c>
      <c r="D5546">
        <v>2378080515</v>
      </c>
      <c r="E5546" t="str">
        <f>T("저승의 왕위를 계승했다 783화")</f>
        <v>저승의 왕위를 계승했다 783화</v>
      </c>
      <c r="F5546">
        <v>785</v>
      </c>
      <c r="G5546" t="str">
        <f>T("신타비")</f>
        <v>신타비</v>
      </c>
      <c r="J5546" t="str">
        <f>T("매드햇")</f>
        <v>매드햇</v>
      </c>
      <c r="K5546" t="str">
        <f>T("저승의 왕위를 계승했다")</f>
        <v>저승의 왕위를 계승했다</v>
      </c>
      <c r="L5546">
        <v>100</v>
      </c>
      <c r="M5546">
        <v>170</v>
      </c>
      <c r="N5546">
        <v>2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0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0</v>
      </c>
      <c r="AE5546">
        <v>0</v>
      </c>
      <c r="AF5546">
        <v>0</v>
      </c>
      <c r="AG5546">
        <v>0</v>
      </c>
      <c r="AH5546">
        <v>0</v>
      </c>
      <c r="AI5546">
        <v>170</v>
      </c>
      <c r="AJ5546">
        <v>2</v>
      </c>
      <c r="AK5546">
        <v>0</v>
      </c>
      <c r="AL5546">
        <v>0</v>
      </c>
      <c r="AM5546">
        <v>170</v>
      </c>
      <c r="AN5546">
        <v>0</v>
      </c>
      <c r="AO5546">
        <v>0</v>
      </c>
      <c r="AP5546">
        <v>0</v>
      </c>
      <c r="AQ5546">
        <v>0</v>
      </c>
      <c r="AS5546">
        <v>0</v>
      </c>
      <c r="AT5546">
        <v>0</v>
      </c>
      <c r="AV5546">
        <v>0</v>
      </c>
      <c r="AW5546">
        <v>0</v>
      </c>
      <c r="AY5546">
        <v>0</v>
      </c>
      <c r="AZ5546">
        <v>0</v>
      </c>
      <c r="BA5546">
        <v>119</v>
      </c>
      <c r="BE5546" t="str">
        <f>T("9791137014381")</f>
        <v>9791137014381</v>
      </c>
      <c r="BF5546" t="str">
        <f>T("D227220")</f>
        <v>D227220</v>
      </c>
      <c r="BG5546" t="str">
        <f>T("판타지 웹소설 &gt; 퓨전 판타지")</f>
        <v>판타지 웹소설 &gt; 퓨전 판타지</v>
      </c>
    </row>
    <row r="5547" spans="1:59">
      <c r="A5547" t="s">
        <v>60</v>
      </c>
      <c r="B5547" s="1">
        <v>46130</v>
      </c>
      <c r="C5547">
        <v>2378044065</v>
      </c>
      <c r="D5547">
        <v>2378080516</v>
      </c>
      <c r="E5547" t="str">
        <f>T("저승의 왕위를 계승했다 784화")</f>
        <v>저승의 왕위를 계승했다 784화</v>
      </c>
      <c r="F5547">
        <v>786</v>
      </c>
      <c r="G5547" t="str">
        <f>T("신타비")</f>
        <v>신타비</v>
      </c>
      <c r="J5547" t="str">
        <f>T("매드햇")</f>
        <v>매드햇</v>
      </c>
      <c r="K5547" t="str">
        <f>T("저승의 왕위를 계승했다")</f>
        <v>저승의 왕위를 계승했다</v>
      </c>
      <c r="L5547">
        <v>100</v>
      </c>
      <c r="M5547">
        <v>170</v>
      </c>
      <c r="N5547">
        <v>2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0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0</v>
      </c>
      <c r="AE5547">
        <v>0</v>
      </c>
      <c r="AF5547">
        <v>0</v>
      </c>
      <c r="AG5547">
        <v>0</v>
      </c>
      <c r="AH5547">
        <v>0</v>
      </c>
      <c r="AI5547">
        <v>170</v>
      </c>
      <c r="AJ5547">
        <v>2</v>
      </c>
      <c r="AK5547">
        <v>0</v>
      </c>
      <c r="AL5547">
        <v>0</v>
      </c>
      <c r="AM5547">
        <v>170</v>
      </c>
      <c r="AN5547">
        <v>0</v>
      </c>
      <c r="AO5547">
        <v>0</v>
      </c>
      <c r="AP5547">
        <v>0</v>
      </c>
      <c r="AQ5547">
        <v>0</v>
      </c>
      <c r="AS5547">
        <v>0</v>
      </c>
      <c r="AT5547">
        <v>0</v>
      </c>
      <c r="AV5547">
        <v>0</v>
      </c>
      <c r="AW5547">
        <v>0</v>
      </c>
      <c r="AY5547">
        <v>0</v>
      </c>
      <c r="AZ5547">
        <v>0</v>
      </c>
      <c r="BA5547">
        <v>119</v>
      </c>
      <c r="BE5547" t="str">
        <f>T("9791137014381")</f>
        <v>9791137014381</v>
      </c>
      <c r="BF5547" t="str">
        <f>T("D227221")</f>
        <v>D227221</v>
      </c>
      <c r="BG5547" t="str">
        <f>T("판타지 웹소설 &gt; 퓨전 판타지")</f>
        <v>판타지 웹소설 &gt; 퓨전 판타지</v>
      </c>
    </row>
    <row r="5548" spans="1:59">
      <c r="A5548" t="s">
        <v>60</v>
      </c>
      <c r="B5548" s="1">
        <v>46130</v>
      </c>
      <c r="C5548">
        <v>2378044065</v>
      </c>
      <c r="D5548">
        <v>2378080889</v>
      </c>
      <c r="E5548" t="str">
        <f>T("저승의 왕위를 계승했다 785화")</f>
        <v>저승의 왕위를 계승했다 785화</v>
      </c>
      <c r="F5548">
        <v>787</v>
      </c>
      <c r="G5548" t="str">
        <f>T("신타비")</f>
        <v>신타비</v>
      </c>
      <c r="J5548" t="str">
        <f>T("매드햇")</f>
        <v>매드햇</v>
      </c>
      <c r="K5548" t="str">
        <f>T("저승의 왕위를 계승했다")</f>
        <v>저승의 왕위를 계승했다</v>
      </c>
      <c r="L5548">
        <v>100</v>
      </c>
      <c r="M5548">
        <v>170</v>
      </c>
      <c r="N5548">
        <v>2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0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0</v>
      </c>
      <c r="AE5548">
        <v>0</v>
      </c>
      <c r="AF5548">
        <v>0</v>
      </c>
      <c r="AG5548">
        <v>0</v>
      </c>
      <c r="AH5548">
        <v>0</v>
      </c>
      <c r="AI5548">
        <v>170</v>
      </c>
      <c r="AJ5548">
        <v>2</v>
      </c>
      <c r="AK5548">
        <v>0</v>
      </c>
      <c r="AL5548">
        <v>0</v>
      </c>
      <c r="AM5548">
        <v>170</v>
      </c>
      <c r="AN5548">
        <v>0</v>
      </c>
      <c r="AO5548">
        <v>0</v>
      </c>
      <c r="AP5548">
        <v>0</v>
      </c>
      <c r="AQ5548">
        <v>0</v>
      </c>
      <c r="AS5548">
        <v>0</v>
      </c>
      <c r="AT5548">
        <v>0</v>
      </c>
      <c r="AV5548">
        <v>0</v>
      </c>
      <c r="AW5548">
        <v>0</v>
      </c>
      <c r="AY5548">
        <v>0</v>
      </c>
      <c r="AZ5548">
        <v>0</v>
      </c>
      <c r="BA5548">
        <v>119</v>
      </c>
      <c r="BE5548" t="str">
        <f>T("9791137014381")</f>
        <v>9791137014381</v>
      </c>
      <c r="BF5548" t="str">
        <f>T("D227222")</f>
        <v>D227222</v>
      </c>
      <c r="BG5548" t="str">
        <f>T("판타지 웹소설 &gt; 퓨전 판타지")</f>
        <v>판타지 웹소설 &gt; 퓨전 판타지</v>
      </c>
    </row>
    <row r="5549" spans="1:59">
      <c r="A5549" t="s">
        <v>60</v>
      </c>
      <c r="B5549" s="1">
        <v>46130</v>
      </c>
      <c r="C5549">
        <v>2378044065</v>
      </c>
      <c r="D5549">
        <v>2378080890</v>
      </c>
      <c r="E5549" t="str">
        <f>T("저승의 왕위를 계승했다 786화")</f>
        <v>저승의 왕위를 계승했다 786화</v>
      </c>
      <c r="F5549">
        <v>788</v>
      </c>
      <c r="G5549" t="str">
        <f>T("신타비")</f>
        <v>신타비</v>
      </c>
      <c r="J5549" t="str">
        <f>T("매드햇")</f>
        <v>매드햇</v>
      </c>
      <c r="K5549" t="str">
        <f>T("저승의 왕위를 계승했다")</f>
        <v>저승의 왕위를 계승했다</v>
      </c>
      <c r="L5549">
        <v>100</v>
      </c>
      <c r="M5549">
        <v>170</v>
      </c>
      <c r="N5549">
        <v>2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0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0</v>
      </c>
      <c r="AE5549">
        <v>0</v>
      </c>
      <c r="AF5549">
        <v>0</v>
      </c>
      <c r="AG5549">
        <v>0</v>
      </c>
      <c r="AH5549">
        <v>0</v>
      </c>
      <c r="AI5549">
        <v>170</v>
      </c>
      <c r="AJ5549">
        <v>2</v>
      </c>
      <c r="AK5549">
        <v>0</v>
      </c>
      <c r="AL5549">
        <v>0</v>
      </c>
      <c r="AM5549">
        <v>170</v>
      </c>
      <c r="AN5549">
        <v>0</v>
      </c>
      <c r="AO5549">
        <v>0</v>
      </c>
      <c r="AP5549">
        <v>0</v>
      </c>
      <c r="AQ5549">
        <v>0</v>
      </c>
      <c r="AS5549">
        <v>0</v>
      </c>
      <c r="AT5549">
        <v>0</v>
      </c>
      <c r="AV5549">
        <v>0</v>
      </c>
      <c r="AW5549">
        <v>0</v>
      </c>
      <c r="AY5549">
        <v>0</v>
      </c>
      <c r="AZ5549">
        <v>0</v>
      </c>
      <c r="BA5549">
        <v>119</v>
      </c>
      <c r="BE5549" t="str">
        <f>T("9791137014381")</f>
        <v>9791137014381</v>
      </c>
      <c r="BF5549" t="str">
        <f>T("D227223")</f>
        <v>D227223</v>
      </c>
      <c r="BG5549" t="str">
        <f>T("판타지 웹소설 &gt; 퓨전 판타지")</f>
        <v>판타지 웹소설 &gt; 퓨전 판타지</v>
      </c>
    </row>
    <row r="5550" spans="1:59">
      <c r="A5550" t="s">
        <v>60</v>
      </c>
      <c r="B5550" s="1">
        <v>46130</v>
      </c>
      <c r="C5550">
        <v>2378044065</v>
      </c>
      <c r="D5550">
        <v>2378080891</v>
      </c>
      <c r="E5550" t="str">
        <f>T("저승의 왕위를 계승했다 787화")</f>
        <v>저승의 왕위를 계승했다 787화</v>
      </c>
      <c r="F5550">
        <v>789</v>
      </c>
      <c r="G5550" t="str">
        <f>T("신타비")</f>
        <v>신타비</v>
      </c>
      <c r="J5550" t="str">
        <f>T("매드햇")</f>
        <v>매드햇</v>
      </c>
      <c r="K5550" t="str">
        <f>T("저승의 왕위를 계승했다")</f>
        <v>저승의 왕위를 계승했다</v>
      </c>
      <c r="L5550">
        <v>100</v>
      </c>
      <c r="M5550">
        <v>170</v>
      </c>
      <c r="N5550">
        <v>2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0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0</v>
      </c>
      <c r="AE5550">
        <v>0</v>
      </c>
      <c r="AF5550">
        <v>0</v>
      </c>
      <c r="AG5550">
        <v>0</v>
      </c>
      <c r="AH5550">
        <v>0</v>
      </c>
      <c r="AI5550">
        <v>170</v>
      </c>
      <c r="AJ5550">
        <v>2</v>
      </c>
      <c r="AK5550">
        <v>0</v>
      </c>
      <c r="AL5550">
        <v>0</v>
      </c>
      <c r="AM5550">
        <v>170</v>
      </c>
      <c r="AN5550">
        <v>0</v>
      </c>
      <c r="AO5550">
        <v>0</v>
      </c>
      <c r="AP5550">
        <v>0</v>
      </c>
      <c r="AQ5550">
        <v>0</v>
      </c>
      <c r="AS5550">
        <v>0</v>
      </c>
      <c r="AT5550">
        <v>0</v>
      </c>
      <c r="AV5550">
        <v>0</v>
      </c>
      <c r="AW5550">
        <v>0</v>
      </c>
      <c r="AY5550">
        <v>0</v>
      </c>
      <c r="AZ5550">
        <v>0</v>
      </c>
      <c r="BA5550">
        <v>119</v>
      </c>
      <c r="BE5550" t="str">
        <f>T("9791137014381")</f>
        <v>9791137014381</v>
      </c>
      <c r="BF5550" t="str">
        <f>T("D227224")</f>
        <v>D227224</v>
      </c>
      <c r="BG5550" t="str">
        <f>T("판타지 웹소설 &gt; 퓨전 판타지")</f>
        <v>판타지 웹소설 &gt; 퓨전 판타지</v>
      </c>
    </row>
    <row r="5551" spans="1:59">
      <c r="A5551" t="s">
        <v>60</v>
      </c>
      <c r="B5551" s="1">
        <v>46130</v>
      </c>
      <c r="C5551">
        <v>2378044065</v>
      </c>
      <c r="D5551">
        <v>2378080892</v>
      </c>
      <c r="E5551" t="str">
        <f>T("저승의 왕위를 계승했다 788화")</f>
        <v>저승의 왕위를 계승했다 788화</v>
      </c>
      <c r="F5551">
        <v>790</v>
      </c>
      <c r="G5551" t="str">
        <f>T("신타비")</f>
        <v>신타비</v>
      </c>
      <c r="J5551" t="str">
        <f>T("매드햇")</f>
        <v>매드햇</v>
      </c>
      <c r="K5551" t="str">
        <f>T("저승의 왕위를 계승했다")</f>
        <v>저승의 왕위를 계승했다</v>
      </c>
      <c r="L5551">
        <v>100</v>
      </c>
      <c r="M5551">
        <v>170</v>
      </c>
      <c r="N5551">
        <v>2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0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0</v>
      </c>
      <c r="AE5551">
        <v>0</v>
      </c>
      <c r="AF5551">
        <v>0</v>
      </c>
      <c r="AG5551">
        <v>0</v>
      </c>
      <c r="AH5551">
        <v>0</v>
      </c>
      <c r="AI5551">
        <v>170</v>
      </c>
      <c r="AJ5551">
        <v>2</v>
      </c>
      <c r="AK5551">
        <v>0</v>
      </c>
      <c r="AL5551">
        <v>0</v>
      </c>
      <c r="AM5551">
        <v>170</v>
      </c>
      <c r="AN5551">
        <v>0</v>
      </c>
      <c r="AO5551">
        <v>0</v>
      </c>
      <c r="AP5551">
        <v>0</v>
      </c>
      <c r="AQ5551">
        <v>0</v>
      </c>
      <c r="AS5551">
        <v>0</v>
      </c>
      <c r="AT5551">
        <v>0</v>
      </c>
      <c r="AV5551">
        <v>0</v>
      </c>
      <c r="AW5551">
        <v>0</v>
      </c>
      <c r="AY5551">
        <v>0</v>
      </c>
      <c r="AZ5551">
        <v>0</v>
      </c>
      <c r="BA5551">
        <v>119</v>
      </c>
      <c r="BE5551" t="str">
        <f>T("9791137014381")</f>
        <v>9791137014381</v>
      </c>
      <c r="BF5551" t="str">
        <f>T("D227225")</f>
        <v>D227225</v>
      </c>
      <c r="BG5551" t="str">
        <f>T("판타지 웹소설 &gt; 퓨전 판타지")</f>
        <v>판타지 웹소설 &gt; 퓨전 판타지</v>
      </c>
    </row>
    <row r="5552" spans="1:59">
      <c r="A5552" t="s">
        <v>60</v>
      </c>
      <c r="B5552" s="1">
        <v>46130</v>
      </c>
      <c r="C5552">
        <v>2378044065</v>
      </c>
      <c r="D5552">
        <v>2378081023</v>
      </c>
      <c r="E5552" t="str">
        <f>T("저승의 왕위를 계승했다 789화")</f>
        <v>저승의 왕위를 계승했다 789화</v>
      </c>
      <c r="F5552">
        <v>791</v>
      </c>
      <c r="G5552" t="str">
        <f>T("신타비")</f>
        <v>신타비</v>
      </c>
      <c r="J5552" t="str">
        <f>T("매드햇")</f>
        <v>매드햇</v>
      </c>
      <c r="K5552" t="str">
        <f>T("저승의 왕위를 계승했다")</f>
        <v>저승의 왕위를 계승했다</v>
      </c>
      <c r="L5552">
        <v>100</v>
      </c>
      <c r="M5552">
        <v>170</v>
      </c>
      <c r="N5552">
        <v>2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0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0</v>
      </c>
      <c r="AE5552">
        <v>0</v>
      </c>
      <c r="AF5552">
        <v>0</v>
      </c>
      <c r="AG5552">
        <v>0</v>
      </c>
      <c r="AH5552">
        <v>0</v>
      </c>
      <c r="AI5552">
        <v>170</v>
      </c>
      <c r="AJ5552">
        <v>2</v>
      </c>
      <c r="AK5552">
        <v>0</v>
      </c>
      <c r="AL5552">
        <v>0</v>
      </c>
      <c r="AM5552">
        <v>170</v>
      </c>
      <c r="AN5552">
        <v>0</v>
      </c>
      <c r="AO5552">
        <v>0</v>
      </c>
      <c r="AP5552">
        <v>0</v>
      </c>
      <c r="AQ5552">
        <v>0</v>
      </c>
      <c r="AS5552">
        <v>0</v>
      </c>
      <c r="AT5552">
        <v>0</v>
      </c>
      <c r="AV5552">
        <v>0</v>
      </c>
      <c r="AW5552">
        <v>0</v>
      </c>
      <c r="AY5552">
        <v>0</v>
      </c>
      <c r="AZ5552">
        <v>0</v>
      </c>
      <c r="BA5552">
        <v>119</v>
      </c>
      <c r="BE5552" t="str">
        <f>T("9791137014381")</f>
        <v>9791137014381</v>
      </c>
      <c r="BF5552" t="str">
        <f>T("D227226")</f>
        <v>D227226</v>
      </c>
      <c r="BG5552" t="str">
        <f>T("판타지 웹소설 &gt; 퓨전 판타지")</f>
        <v>판타지 웹소설 &gt; 퓨전 판타지</v>
      </c>
    </row>
    <row r="5553" spans="1:59">
      <c r="A5553" t="s">
        <v>60</v>
      </c>
      <c r="B5553" s="1">
        <v>46130</v>
      </c>
      <c r="C5553">
        <v>2378044065</v>
      </c>
      <c r="D5553">
        <v>2378081024</v>
      </c>
      <c r="E5553" t="str">
        <f>T("저승의 왕위를 계승했다 790화")</f>
        <v>저승의 왕위를 계승했다 790화</v>
      </c>
      <c r="F5553">
        <v>792</v>
      </c>
      <c r="G5553" t="str">
        <f>T("신타비")</f>
        <v>신타비</v>
      </c>
      <c r="J5553" t="str">
        <f>T("매드햇")</f>
        <v>매드햇</v>
      </c>
      <c r="K5553" t="str">
        <f>T("저승의 왕위를 계승했다")</f>
        <v>저승의 왕위를 계승했다</v>
      </c>
      <c r="L5553">
        <v>100</v>
      </c>
      <c r="M5553">
        <v>270</v>
      </c>
      <c r="N5553">
        <v>3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0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0</v>
      </c>
      <c r="AE5553">
        <v>0</v>
      </c>
      <c r="AF5553">
        <v>0</v>
      </c>
      <c r="AG5553">
        <v>0</v>
      </c>
      <c r="AH5553">
        <v>0</v>
      </c>
      <c r="AI5553">
        <v>270</v>
      </c>
      <c r="AJ5553">
        <v>3</v>
      </c>
      <c r="AK5553">
        <v>0</v>
      </c>
      <c r="AL5553">
        <v>0</v>
      </c>
      <c r="AM5553">
        <v>270</v>
      </c>
      <c r="AN5553">
        <v>0</v>
      </c>
      <c r="AO5553">
        <v>0</v>
      </c>
      <c r="AP5553">
        <v>0</v>
      </c>
      <c r="AQ5553">
        <v>0</v>
      </c>
      <c r="AS5553">
        <v>0</v>
      </c>
      <c r="AT5553">
        <v>0</v>
      </c>
      <c r="AV5553">
        <v>0</v>
      </c>
      <c r="AW5553">
        <v>0</v>
      </c>
      <c r="AY5553">
        <v>0</v>
      </c>
      <c r="AZ5553">
        <v>0</v>
      </c>
      <c r="BA5553">
        <v>189</v>
      </c>
      <c r="BE5553" t="str">
        <f>T("9791137014381")</f>
        <v>9791137014381</v>
      </c>
      <c r="BF5553" t="str">
        <f>T("D227227")</f>
        <v>D227227</v>
      </c>
      <c r="BG5553" t="str">
        <f>T("판타지 웹소설 &gt; 퓨전 판타지")</f>
        <v>판타지 웹소설 &gt; 퓨전 판타지</v>
      </c>
    </row>
    <row r="5554" spans="1:59">
      <c r="A5554" t="s">
        <v>60</v>
      </c>
      <c r="B5554" s="1">
        <v>46130</v>
      </c>
      <c r="C5554">
        <v>2378044065</v>
      </c>
      <c r="D5554">
        <v>2378081025</v>
      </c>
      <c r="E5554" t="str">
        <f>T("저승의 왕위를 계승했다 791화")</f>
        <v>저승의 왕위를 계승했다 791화</v>
      </c>
      <c r="F5554">
        <v>793</v>
      </c>
      <c r="G5554" t="str">
        <f>T("신타비")</f>
        <v>신타비</v>
      </c>
      <c r="J5554" t="str">
        <f>T("매드햇")</f>
        <v>매드햇</v>
      </c>
      <c r="K5554" t="str">
        <f>T("저승의 왕위를 계승했다")</f>
        <v>저승의 왕위를 계승했다</v>
      </c>
      <c r="L5554">
        <v>100</v>
      </c>
      <c r="M5554">
        <v>170</v>
      </c>
      <c r="N5554">
        <v>2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0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0</v>
      </c>
      <c r="AE5554">
        <v>0</v>
      </c>
      <c r="AF5554">
        <v>0</v>
      </c>
      <c r="AG5554">
        <v>0</v>
      </c>
      <c r="AH5554">
        <v>0</v>
      </c>
      <c r="AI5554">
        <v>170</v>
      </c>
      <c r="AJ5554">
        <v>2</v>
      </c>
      <c r="AK5554">
        <v>0</v>
      </c>
      <c r="AL5554">
        <v>0</v>
      </c>
      <c r="AM5554">
        <v>170</v>
      </c>
      <c r="AN5554">
        <v>0</v>
      </c>
      <c r="AO5554">
        <v>0</v>
      </c>
      <c r="AP5554">
        <v>0</v>
      </c>
      <c r="AQ5554">
        <v>0</v>
      </c>
      <c r="AS5554">
        <v>0</v>
      </c>
      <c r="AT5554">
        <v>0</v>
      </c>
      <c r="AV5554">
        <v>0</v>
      </c>
      <c r="AW5554">
        <v>0</v>
      </c>
      <c r="AY5554">
        <v>0</v>
      </c>
      <c r="AZ5554">
        <v>0</v>
      </c>
      <c r="BA5554">
        <v>119</v>
      </c>
      <c r="BE5554" t="str">
        <f>T("9791137014381")</f>
        <v>9791137014381</v>
      </c>
      <c r="BF5554" t="str">
        <f>T("D227228")</f>
        <v>D227228</v>
      </c>
      <c r="BG5554" t="str">
        <f>T("판타지 웹소설 &gt; 퓨전 판타지")</f>
        <v>판타지 웹소설 &gt; 퓨전 판타지</v>
      </c>
    </row>
    <row r="5555" spans="1:59">
      <c r="A5555" t="s">
        <v>60</v>
      </c>
      <c r="B5555" s="1">
        <v>46130</v>
      </c>
      <c r="C5555">
        <v>2378044065</v>
      </c>
      <c r="D5555">
        <v>2378081026</v>
      </c>
      <c r="E5555" t="str">
        <f>T("저승의 왕위를 계승했다 792화")</f>
        <v>저승의 왕위를 계승했다 792화</v>
      </c>
      <c r="F5555">
        <v>794</v>
      </c>
      <c r="G5555" t="str">
        <f>T("신타비")</f>
        <v>신타비</v>
      </c>
      <c r="J5555" t="str">
        <f>T("매드햇")</f>
        <v>매드햇</v>
      </c>
      <c r="K5555" t="str">
        <f>T("저승의 왕위를 계승했다")</f>
        <v>저승의 왕위를 계승했다</v>
      </c>
      <c r="L5555">
        <v>100</v>
      </c>
      <c r="M5555">
        <v>170</v>
      </c>
      <c r="N5555">
        <v>2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0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0</v>
      </c>
      <c r="AE5555">
        <v>0</v>
      </c>
      <c r="AF5555">
        <v>0</v>
      </c>
      <c r="AG5555">
        <v>0</v>
      </c>
      <c r="AH5555">
        <v>0</v>
      </c>
      <c r="AI5555">
        <v>170</v>
      </c>
      <c r="AJ5555">
        <v>2</v>
      </c>
      <c r="AK5555">
        <v>0</v>
      </c>
      <c r="AL5555">
        <v>0</v>
      </c>
      <c r="AM5555">
        <v>170</v>
      </c>
      <c r="AN5555">
        <v>0</v>
      </c>
      <c r="AO5555">
        <v>0</v>
      </c>
      <c r="AP5555">
        <v>0</v>
      </c>
      <c r="AQ5555">
        <v>0</v>
      </c>
      <c r="AS5555">
        <v>0</v>
      </c>
      <c r="AT5555">
        <v>0</v>
      </c>
      <c r="AV5555">
        <v>0</v>
      </c>
      <c r="AW5555">
        <v>0</v>
      </c>
      <c r="AY5555">
        <v>0</v>
      </c>
      <c r="AZ5555">
        <v>0</v>
      </c>
      <c r="BA5555">
        <v>119</v>
      </c>
      <c r="BE5555" t="str">
        <f>T("9791137014381")</f>
        <v>9791137014381</v>
      </c>
      <c r="BF5555" t="str">
        <f>T("D227229")</f>
        <v>D227229</v>
      </c>
      <c r="BG5555" t="str">
        <f>T("판타지 웹소설 &gt; 퓨전 판타지")</f>
        <v>판타지 웹소설 &gt; 퓨전 판타지</v>
      </c>
    </row>
    <row r="5556" spans="1:59">
      <c r="A5556" t="s">
        <v>60</v>
      </c>
      <c r="B5556" s="1">
        <v>46130</v>
      </c>
      <c r="C5556">
        <v>2378044065</v>
      </c>
      <c r="D5556">
        <v>2378081035</v>
      </c>
      <c r="E5556" t="str">
        <f>T("저승의 왕위를 계승했다 793화")</f>
        <v>저승의 왕위를 계승했다 793화</v>
      </c>
      <c r="F5556">
        <v>795</v>
      </c>
      <c r="G5556" t="str">
        <f>T("신타비")</f>
        <v>신타비</v>
      </c>
      <c r="J5556" t="str">
        <f>T("매드햇")</f>
        <v>매드햇</v>
      </c>
      <c r="K5556" t="str">
        <f>T("저승의 왕위를 계승했다")</f>
        <v>저승의 왕위를 계승했다</v>
      </c>
      <c r="L5556">
        <v>100</v>
      </c>
      <c r="M5556">
        <v>170</v>
      </c>
      <c r="N5556">
        <v>2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0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0</v>
      </c>
      <c r="AE5556">
        <v>0</v>
      </c>
      <c r="AF5556">
        <v>0</v>
      </c>
      <c r="AG5556">
        <v>0</v>
      </c>
      <c r="AH5556">
        <v>0</v>
      </c>
      <c r="AI5556">
        <v>170</v>
      </c>
      <c r="AJ5556">
        <v>2</v>
      </c>
      <c r="AK5556">
        <v>0</v>
      </c>
      <c r="AL5556">
        <v>0</v>
      </c>
      <c r="AM5556">
        <v>170</v>
      </c>
      <c r="AN5556">
        <v>0</v>
      </c>
      <c r="AO5556">
        <v>0</v>
      </c>
      <c r="AP5556">
        <v>0</v>
      </c>
      <c r="AQ5556">
        <v>0</v>
      </c>
      <c r="AS5556">
        <v>0</v>
      </c>
      <c r="AT5556">
        <v>0</v>
      </c>
      <c r="AV5556">
        <v>0</v>
      </c>
      <c r="AW5556">
        <v>0</v>
      </c>
      <c r="AY5556">
        <v>0</v>
      </c>
      <c r="AZ5556">
        <v>0</v>
      </c>
      <c r="BA5556">
        <v>119</v>
      </c>
      <c r="BE5556" t="str">
        <f>T("9791137014381")</f>
        <v>9791137014381</v>
      </c>
      <c r="BF5556" t="str">
        <f>T("D227230")</f>
        <v>D227230</v>
      </c>
      <c r="BG5556" t="str">
        <f>T("판타지 웹소설 &gt; 퓨전 판타지")</f>
        <v>판타지 웹소설 &gt; 퓨전 판타지</v>
      </c>
    </row>
    <row r="5557" spans="1:59">
      <c r="A5557" t="s">
        <v>60</v>
      </c>
      <c r="B5557" s="1">
        <v>46130</v>
      </c>
      <c r="C5557">
        <v>2378044065</v>
      </c>
      <c r="D5557">
        <v>2378081036</v>
      </c>
      <c r="E5557" t="str">
        <f>T("저승의 왕위를 계승했다 794화")</f>
        <v>저승의 왕위를 계승했다 794화</v>
      </c>
      <c r="F5557">
        <v>796</v>
      </c>
      <c r="G5557" t="str">
        <f>T("신타비")</f>
        <v>신타비</v>
      </c>
      <c r="J5557" t="str">
        <f>T("매드햇")</f>
        <v>매드햇</v>
      </c>
      <c r="K5557" t="str">
        <f>T("저승의 왕위를 계승했다")</f>
        <v>저승의 왕위를 계승했다</v>
      </c>
      <c r="L5557">
        <v>100</v>
      </c>
      <c r="M5557">
        <v>170</v>
      </c>
      <c r="N5557">
        <v>2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0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0</v>
      </c>
      <c r="AE5557">
        <v>0</v>
      </c>
      <c r="AF5557">
        <v>0</v>
      </c>
      <c r="AG5557">
        <v>0</v>
      </c>
      <c r="AH5557">
        <v>0</v>
      </c>
      <c r="AI5557">
        <v>170</v>
      </c>
      <c r="AJ5557">
        <v>2</v>
      </c>
      <c r="AK5557">
        <v>0</v>
      </c>
      <c r="AL5557">
        <v>0</v>
      </c>
      <c r="AM5557">
        <v>170</v>
      </c>
      <c r="AN5557">
        <v>0</v>
      </c>
      <c r="AO5557">
        <v>0</v>
      </c>
      <c r="AP5557">
        <v>0</v>
      </c>
      <c r="AQ5557">
        <v>0</v>
      </c>
      <c r="AS5557">
        <v>0</v>
      </c>
      <c r="AT5557">
        <v>0</v>
      </c>
      <c r="AV5557">
        <v>0</v>
      </c>
      <c r="AW5557">
        <v>0</v>
      </c>
      <c r="AY5557">
        <v>0</v>
      </c>
      <c r="AZ5557">
        <v>0</v>
      </c>
      <c r="BA5557">
        <v>119</v>
      </c>
      <c r="BE5557" t="str">
        <f>T("9791137014381")</f>
        <v>9791137014381</v>
      </c>
      <c r="BF5557" t="str">
        <f>T("D227231")</f>
        <v>D227231</v>
      </c>
      <c r="BG5557" t="str">
        <f>T("판타지 웹소설 &gt; 퓨전 판타지")</f>
        <v>판타지 웹소설 &gt; 퓨전 판타지</v>
      </c>
    </row>
    <row r="5558" spans="1:59">
      <c r="A5558" t="s">
        <v>60</v>
      </c>
      <c r="B5558" s="1">
        <v>46130</v>
      </c>
      <c r="C5558">
        <v>2378044065</v>
      </c>
      <c r="D5558">
        <v>2378081037</v>
      </c>
      <c r="E5558" t="str">
        <f>T("저승의 왕위를 계승했다 795화")</f>
        <v>저승의 왕위를 계승했다 795화</v>
      </c>
      <c r="F5558">
        <v>797</v>
      </c>
      <c r="G5558" t="str">
        <f>T("신타비")</f>
        <v>신타비</v>
      </c>
      <c r="J5558" t="str">
        <f>T("매드햇")</f>
        <v>매드햇</v>
      </c>
      <c r="K5558" t="str">
        <f>T("저승의 왕위를 계승했다")</f>
        <v>저승의 왕위를 계승했다</v>
      </c>
      <c r="L5558">
        <v>100</v>
      </c>
      <c r="M5558">
        <v>170</v>
      </c>
      <c r="N5558">
        <v>2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0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0</v>
      </c>
      <c r="AE5558">
        <v>0</v>
      </c>
      <c r="AF5558">
        <v>0</v>
      </c>
      <c r="AG5558">
        <v>0</v>
      </c>
      <c r="AH5558">
        <v>0</v>
      </c>
      <c r="AI5558">
        <v>170</v>
      </c>
      <c r="AJ5558">
        <v>2</v>
      </c>
      <c r="AK5558">
        <v>0</v>
      </c>
      <c r="AL5558">
        <v>0</v>
      </c>
      <c r="AM5558">
        <v>170</v>
      </c>
      <c r="AN5558">
        <v>0</v>
      </c>
      <c r="AO5558">
        <v>0</v>
      </c>
      <c r="AP5558">
        <v>0</v>
      </c>
      <c r="AQ5558">
        <v>0</v>
      </c>
      <c r="AS5558">
        <v>0</v>
      </c>
      <c r="AT5558">
        <v>0</v>
      </c>
      <c r="AV5558">
        <v>0</v>
      </c>
      <c r="AW5558">
        <v>0</v>
      </c>
      <c r="AY5558">
        <v>0</v>
      </c>
      <c r="AZ5558">
        <v>0</v>
      </c>
      <c r="BA5558">
        <v>119</v>
      </c>
      <c r="BE5558" t="str">
        <f>T("9791137014381")</f>
        <v>9791137014381</v>
      </c>
      <c r="BF5558" t="str">
        <f>T("D227232")</f>
        <v>D227232</v>
      </c>
      <c r="BG5558" t="str">
        <f>T("판타지 웹소설 &gt; 퓨전 판타지")</f>
        <v>판타지 웹소설 &gt; 퓨전 판타지</v>
      </c>
    </row>
    <row r="5559" spans="1:59">
      <c r="A5559" t="s">
        <v>60</v>
      </c>
      <c r="B5559" s="1">
        <v>46130</v>
      </c>
      <c r="C5559">
        <v>2378044065</v>
      </c>
      <c r="D5559">
        <v>2378081038</v>
      </c>
      <c r="E5559" t="str">
        <f>T("저승의 왕위를 계승했다 796화")</f>
        <v>저승의 왕위를 계승했다 796화</v>
      </c>
      <c r="F5559">
        <v>798</v>
      </c>
      <c r="G5559" t="str">
        <f>T("신타비")</f>
        <v>신타비</v>
      </c>
      <c r="J5559" t="str">
        <f>T("매드햇")</f>
        <v>매드햇</v>
      </c>
      <c r="K5559" t="str">
        <f>T("저승의 왕위를 계승했다")</f>
        <v>저승의 왕위를 계승했다</v>
      </c>
      <c r="L5559">
        <v>100</v>
      </c>
      <c r="M5559">
        <v>170</v>
      </c>
      <c r="N5559">
        <v>2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0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0</v>
      </c>
      <c r="AE5559">
        <v>0</v>
      </c>
      <c r="AF5559">
        <v>0</v>
      </c>
      <c r="AG5559">
        <v>0</v>
      </c>
      <c r="AH5559">
        <v>0</v>
      </c>
      <c r="AI5559">
        <v>170</v>
      </c>
      <c r="AJ5559">
        <v>2</v>
      </c>
      <c r="AK5559">
        <v>0</v>
      </c>
      <c r="AL5559">
        <v>0</v>
      </c>
      <c r="AM5559">
        <v>170</v>
      </c>
      <c r="AN5559">
        <v>0</v>
      </c>
      <c r="AO5559">
        <v>0</v>
      </c>
      <c r="AP5559">
        <v>0</v>
      </c>
      <c r="AQ5559">
        <v>0</v>
      </c>
      <c r="AS5559">
        <v>0</v>
      </c>
      <c r="AT5559">
        <v>0</v>
      </c>
      <c r="AV5559">
        <v>0</v>
      </c>
      <c r="AW5559">
        <v>0</v>
      </c>
      <c r="AY5559">
        <v>0</v>
      </c>
      <c r="AZ5559">
        <v>0</v>
      </c>
      <c r="BA5559">
        <v>119</v>
      </c>
      <c r="BE5559" t="str">
        <f>T("9791137014381")</f>
        <v>9791137014381</v>
      </c>
      <c r="BF5559" t="str">
        <f>T("D227233")</f>
        <v>D227233</v>
      </c>
      <c r="BG5559" t="str">
        <f>T("판타지 웹소설 &gt; 퓨전 판타지")</f>
        <v>판타지 웹소설 &gt; 퓨전 판타지</v>
      </c>
    </row>
    <row r="5560" spans="1:59">
      <c r="A5560" t="s">
        <v>60</v>
      </c>
      <c r="B5560" s="1">
        <v>46130</v>
      </c>
      <c r="C5560">
        <v>2378044065</v>
      </c>
      <c r="D5560">
        <v>2378081077</v>
      </c>
      <c r="E5560" t="str">
        <f>T("저승의 왕위를 계승했다 797화")</f>
        <v>저승의 왕위를 계승했다 797화</v>
      </c>
      <c r="F5560">
        <v>799</v>
      </c>
      <c r="G5560" t="str">
        <f>T("신타비")</f>
        <v>신타비</v>
      </c>
      <c r="J5560" t="str">
        <f>T("매드햇")</f>
        <v>매드햇</v>
      </c>
      <c r="K5560" t="str">
        <f>T("저승의 왕위를 계승했다")</f>
        <v>저승의 왕위를 계승했다</v>
      </c>
      <c r="L5560">
        <v>100</v>
      </c>
      <c r="M5560">
        <v>270</v>
      </c>
      <c r="N5560">
        <v>3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0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0</v>
      </c>
      <c r="AE5560">
        <v>0</v>
      </c>
      <c r="AF5560">
        <v>0</v>
      </c>
      <c r="AG5560">
        <v>0</v>
      </c>
      <c r="AH5560">
        <v>0</v>
      </c>
      <c r="AI5560">
        <v>270</v>
      </c>
      <c r="AJ5560">
        <v>3</v>
      </c>
      <c r="AK5560">
        <v>0</v>
      </c>
      <c r="AL5560">
        <v>0</v>
      </c>
      <c r="AM5560">
        <v>270</v>
      </c>
      <c r="AN5560">
        <v>0</v>
      </c>
      <c r="AO5560">
        <v>0</v>
      </c>
      <c r="AP5560">
        <v>0</v>
      </c>
      <c r="AQ5560">
        <v>0</v>
      </c>
      <c r="AS5560">
        <v>0</v>
      </c>
      <c r="AT5560">
        <v>0</v>
      </c>
      <c r="AV5560">
        <v>0</v>
      </c>
      <c r="AW5560">
        <v>0</v>
      </c>
      <c r="AY5560">
        <v>0</v>
      </c>
      <c r="AZ5560">
        <v>0</v>
      </c>
      <c r="BA5560">
        <v>189</v>
      </c>
      <c r="BE5560" t="str">
        <f>T("9791137014381")</f>
        <v>9791137014381</v>
      </c>
      <c r="BF5560" t="str">
        <f>T("D227234")</f>
        <v>D227234</v>
      </c>
      <c r="BG5560" t="str">
        <f>T("판타지 웹소설 &gt; 퓨전 판타지")</f>
        <v>판타지 웹소설 &gt; 퓨전 판타지</v>
      </c>
    </row>
    <row r="5561" spans="1:59">
      <c r="A5561" t="s">
        <v>60</v>
      </c>
      <c r="B5561" s="1">
        <v>46130</v>
      </c>
      <c r="C5561">
        <v>2378044065</v>
      </c>
      <c r="D5561">
        <v>2378081078</v>
      </c>
      <c r="E5561" t="str">
        <f>T("저승의 왕위를 계승했다 798화")</f>
        <v>저승의 왕위를 계승했다 798화</v>
      </c>
      <c r="F5561">
        <v>800</v>
      </c>
      <c r="G5561" t="str">
        <f>T("신타비")</f>
        <v>신타비</v>
      </c>
      <c r="J5561" t="str">
        <f>T("매드햇")</f>
        <v>매드햇</v>
      </c>
      <c r="K5561" t="str">
        <f>T("저승의 왕위를 계승했다")</f>
        <v>저승의 왕위를 계승했다</v>
      </c>
      <c r="L5561">
        <v>100</v>
      </c>
      <c r="M5561">
        <v>270</v>
      </c>
      <c r="N5561">
        <v>3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0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0</v>
      </c>
      <c r="AE5561">
        <v>0</v>
      </c>
      <c r="AF5561">
        <v>0</v>
      </c>
      <c r="AG5561">
        <v>0</v>
      </c>
      <c r="AH5561">
        <v>0</v>
      </c>
      <c r="AI5561">
        <v>270</v>
      </c>
      <c r="AJ5561">
        <v>3</v>
      </c>
      <c r="AK5561">
        <v>0</v>
      </c>
      <c r="AL5561">
        <v>0</v>
      </c>
      <c r="AM5561">
        <v>270</v>
      </c>
      <c r="AN5561">
        <v>0</v>
      </c>
      <c r="AO5561">
        <v>0</v>
      </c>
      <c r="AP5561">
        <v>0</v>
      </c>
      <c r="AQ5561">
        <v>0</v>
      </c>
      <c r="AS5561">
        <v>0</v>
      </c>
      <c r="AT5561">
        <v>0</v>
      </c>
      <c r="AV5561">
        <v>0</v>
      </c>
      <c r="AW5561">
        <v>0</v>
      </c>
      <c r="AY5561">
        <v>0</v>
      </c>
      <c r="AZ5561">
        <v>0</v>
      </c>
      <c r="BA5561">
        <v>189</v>
      </c>
      <c r="BE5561" t="str">
        <f>T("9791137014381")</f>
        <v>9791137014381</v>
      </c>
      <c r="BF5561" t="str">
        <f>T("D227235")</f>
        <v>D227235</v>
      </c>
      <c r="BG5561" t="str">
        <f>T("판타지 웹소설 &gt; 퓨전 판타지")</f>
        <v>판타지 웹소설 &gt; 퓨전 판타지</v>
      </c>
    </row>
    <row r="5562" spans="1:59">
      <c r="A5562" t="s">
        <v>60</v>
      </c>
      <c r="B5562" s="1">
        <v>46130</v>
      </c>
      <c r="C5562">
        <v>2378044065</v>
      </c>
      <c r="D5562">
        <v>2378081079</v>
      </c>
      <c r="E5562" t="str">
        <f>T("저승의 왕위를 계승했다 799화")</f>
        <v>저승의 왕위를 계승했다 799화</v>
      </c>
      <c r="F5562">
        <v>801</v>
      </c>
      <c r="G5562" t="str">
        <f>T("신타비")</f>
        <v>신타비</v>
      </c>
      <c r="J5562" t="str">
        <f>T("매드햇")</f>
        <v>매드햇</v>
      </c>
      <c r="K5562" t="str">
        <f>T("저승의 왕위를 계승했다")</f>
        <v>저승의 왕위를 계승했다</v>
      </c>
      <c r="L5562">
        <v>100</v>
      </c>
      <c r="M5562">
        <v>270</v>
      </c>
      <c r="N5562">
        <v>3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0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0</v>
      </c>
      <c r="AE5562">
        <v>0</v>
      </c>
      <c r="AF5562">
        <v>0</v>
      </c>
      <c r="AG5562">
        <v>0</v>
      </c>
      <c r="AH5562">
        <v>0</v>
      </c>
      <c r="AI5562">
        <v>270</v>
      </c>
      <c r="AJ5562">
        <v>3</v>
      </c>
      <c r="AK5562">
        <v>0</v>
      </c>
      <c r="AL5562">
        <v>0</v>
      </c>
      <c r="AM5562">
        <v>270</v>
      </c>
      <c r="AN5562">
        <v>0</v>
      </c>
      <c r="AO5562">
        <v>0</v>
      </c>
      <c r="AP5562">
        <v>0</v>
      </c>
      <c r="AQ5562">
        <v>0</v>
      </c>
      <c r="AS5562">
        <v>0</v>
      </c>
      <c r="AT5562">
        <v>0</v>
      </c>
      <c r="AV5562">
        <v>0</v>
      </c>
      <c r="AW5562">
        <v>0</v>
      </c>
      <c r="AY5562">
        <v>0</v>
      </c>
      <c r="AZ5562">
        <v>0</v>
      </c>
      <c r="BA5562">
        <v>189</v>
      </c>
      <c r="BE5562" t="str">
        <f>T("9791137014381")</f>
        <v>9791137014381</v>
      </c>
      <c r="BF5562" t="str">
        <f>T("D227236")</f>
        <v>D227236</v>
      </c>
      <c r="BG5562" t="str">
        <f>T("판타지 웹소설 &gt; 퓨전 판타지")</f>
        <v>판타지 웹소설 &gt; 퓨전 판타지</v>
      </c>
    </row>
    <row r="5563" spans="1:59">
      <c r="A5563" t="s">
        <v>60</v>
      </c>
      <c r="B5563" s="1">
        <v>46130</v>
      </c>
      <c r="C5563">
        <v>2378044065</v>
      </c>
      <c r="D5563">
        <v>2378081080</v>
      </c>
      <c r="E5563" t="str">
        <f>T("저승의 왕위를 계승했다 800화")</f>
        <v>저승의 왕위를 계승했다 800화</v>
      </c>
      <c r="F5563">
        <v>802</v>
      </c>
      <c r="G5563" t="str">
        <f>T("신타비")</f>
        <v>신타비</v>
      </c>
      <c r="J5563" t="str">
        <f>T("매드햇")</f>
        <v>매드햇</v>
      </c>
      <c r="K5563" t="str">
        <f>T("저승의 왕위를 계승했다")</f>
        <v>저승의 왕위를 계승했다</v>
      </c>
      <c r="L5563">
        <v>100</v>
      </c>
      <c r="M5563">
        <v>370</v>
      </c>
      <c r="N5563">
        <v>4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0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0</v>
      </c>
      <c r="AE5563">
        <v>0</v>
      </c>
      <c r="AF5563">
        <v>0</v>
      </c>
      <c r="AG5563">
        <v>0</v>
      </c>
      <c r="AH5563">
        <v>0</v>
      </c>
      <c r="AI5563">
        <v>370</v>
      </c>
      <c r="AJ5563">
        <v>4</v>
      </c>
      <c r="AK5563">
        <v>0</v>
      </c>
      <c r="AL5563">
        <v>0</v>
      </c>
      <c r="AM5563">
        <v>370</v>
      </c>
      <c r="AN5563">
        <v>0</v>
      </c>
      <c r="AO5563">
        <v>0</v>
      </c>
      <c r="AP5563">
        <v>0</v>
      </c>
      <c r="AQ5563">
        <v>0</v>
      </c>
      <c r="AS5563">
        <v>0</v>
      </c>
      <c r="AT5563">
        <v>0</v>
      </c>
      <c r="AV5563">
        <v>0</v>
      </c>
      <c r="AW5563">
        <v>0</v>
      </c>
      <c r="AY5563">
        <v>0</v>
      </c>
      <c r="AZ5563">
        <v>0</v>
      </c>
      <c r="BA5563">
        <v>259</v>
      </c>
      <c r="BE5563" t="str">
        <f>T("9791137014381")</f>
        <v>9791137014381</v>
      </c>
      <c r="BF5563" t="str">
        <f>T("D227237")</f>
        <v>D227237</v>
      </c>
      <c r="BG5563" t="str">
        <f>T("판타지 웹소설 &gt; 퓨전 판타지")</f>
        <v>판타지 웹소설 &gt; 퓨전 판타지</v>
      </c>
    </row>
    <row r="5564" spans="1:59">
      <c r="A5564" t="s">
        <v>60</v>
      </c>
      <c r="B5564" s="1">
        <v>46130</v>
      </c>
      <c r="C5564">
        <v>2378044065</v>
      </c>
      <c r="D5564">
        <v>2378081102</v>
      </c>
      <c r="E5564" t="str">
        <f>T("저승의 왕위를 계승했다 801화")</f>
        <v>저승의 왕위를 계승했다 801화</v>
      </c>
      <c r="F5564">
        <v>803</v>
      </c>
      <c r="G5564" t="str">
        <f>T("신타비")</f>
        <v>신타비</v>
      </c>
      <c r="J5564" t="str">
        <f>T("매드햇")</f>
        <v>매드햇</v>
      </c>
      <c r="K5564" t="str">
        <f>T("저승의 왕위를 계승했다")</f>
        <v>저승의 왕위를 계승했다</v>
      </c>
      <c r="L5564">
        <v>100</v>
      </c>
      <c r="M5564">
        <v>270</v>
      </c>
      <c r="N5564">
        <v>3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0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0</v>
      </c>
      <c r="AE5564">
        <v>0</v>
      </c>
      <c r="AF5564">
        <v>0</v>
      </c>
      <c r="AG5564">
        <v>0</v>
      </c>
      <c r="AH5564">
        <v>0</v>
      </c>
      <c r="AI5564">
        <v>270</v>
      </c>
      <c r="AJ5564">
        <v>3</v>
      </c>
      <c r="AK5564">
        <v>0</v>
      </c>
      <c r="AL5564">
        <v>0</v>
      </c>
      <c r="AM5564">
        <v>270</v>
      </c>
      <c r="AN5564">
        <v>0</v>
      </c>
      <c r="AO5564">
        <v>0</v>
      </c>
      <c r="AP5564">
        <v>0</v>
      </c>
      <c r="AQ5564">
        <v>0</v>
      </c>
      <c r="AS5564">
        <v>0</v>
      </c>
      <c r="AT5564">
        <v>0</v>
      </c>
      <c r="AV5564">
        <v>0</v>
      </c>
      <c r="AW5564">
        <v>0</v>
      </c>
      <c r="AY5564">
        <v>0</v>
      </c>
      <c r="AZ5564">
        <v>0</v>
      </c>
      <c r="BA5564">
        <v>189</v>
      </c>
      <c r="BE5564" t="str">
        <f>T("9791137014381")</f>
        <v>9791137014381</v>
      </c>
      <c r="BF5564" t="str">
        <f>T("D227238")</f>
        <v>D227238</v>
      </c>
      <c r="BG5564" t="str">
        <f>T("판타지 웹소설 &gt; 퓨전 판타지")</f>
        <v>판타지 웹소설 &gt; 퓨전 판타지</v>
      </c>
    </row>
    <row r="5565" spans="1:59">
      <c r="A5565" t="s">
        <v>60</v>
      </c>
      <c r="B5565" s="1">
        <v>46130</v>
      </c>
      <c r="C5565">
        <v>2378044065</v>
      </c>
      <c r="D5565">
        <v>2378081103</v>
      </c>
      <c r="E5565" t="str">
        <f>T("저승의 왕위를 계승했다 802화")</f>
        <v>저승의 왕위를 계승했다 802화</v>
      </c>
      <c r="F5565">
        <v>804</v>
      </c>
      <c r="G5565" t="str">
        <f>T("신타비")</f>
        <v>신타비</v>
      </c>
      <c r="J5565" t="str">
        <f>T("매드햇")</f>
        <v>매드햇</v>
      </c>
      <c r="K5565" t="str">
        <f>T("저승의 왕위를 계승했다")</f>
        <v>저승의 왕위를 계승했다</v>
      </c>
      <c r="L5565">
        <v>100</v>
      </c>
      <c r="M5565">
        <v>270</v>
      </c>
      <c r="N5565">
        <v>3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0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0</v>
      </c>
      <c r="AE5565">
        <v>0</v>
      </c>
      <c r="AF5565">
        <v>0</v>
      </c>
      <c r="AG5565">
        <v>0</v>
      </c>
      <c r="AH5565">
        <v>0</v>
      </c>
      <c r="AI5565">
        <v>270</v>
      </c>
      <c r="AJ5565">
        <v>3</v>
      </c>
      <c r="AK5565">
        <v>0</v>
      </c>
      <c r="AL5565">
        <v>0</v>
      </c>
      <c r="AM5565">
        <v>270</v>
      </c>
      <c r="AN5565">
        <v>0</v>
      </c>
      <c r="AO5565">
        <v>0</v>
      </c>
      <c r="AP5565">
        <v>0</v>
      </c>
      <c r="AQ5565">
        <v>0</v>
      </c>
      <c r="AS5565">
        <v>0</v>
      </c>
      <c r="AT5565">
        <v>0</v>
      </c>
      <c r="AV5565">
        <v>0</v>
      </c>
      <c r="AW5565">
        <v>0</v>
      </c>
      <c r="AY5565">
        <v>0</v>
      </c>
      <c r="AZ5565">
        <v>0</v>
      </c>
      <c r="BA5565">
        <v>189</v>
      </c>
      <c r="BE5565" t="str">
        <f>T("9791137014381")</f>
        <v>9791137014381</v>
      </c>
      <c r="BF5565" t="str">
        <f>T("D227239")</f>
        <v>D227239</v>
      </c>
      <c r="BG5565" t="str">
        <f>T("판타지 웹소설 &gt; 퓨전 판타지")</f>
        <v>판타지 웹소설 &gt; 퓨전 판타지</v>
      </c>
    </row>
    <row r="5566" spans="1:59">
      <c r="A5566" t="s">
        <v>60</v>
      </c>
      <c r="B5566" s="1">
        <v>46130</v>
      </c>
      <c r="C5566">
        <v>2378044065</v>
      </c>
      <c r="D5566">
        <v>2378081104</v>
      </c>
      <c r="E5566" t="str">
        <f>T("저승의 왕위를 계승했다 803화")</f>
        <v>저승의 왕위를 계승했다 803화</v>
      </c>
      <c r="F5566">
        <v>805</v>
      </c>
      <c r="G5566" t="str">
        <f>T("신타비")</f>
        <v>신타비</v>
      </c>
      <c r="J5566" t="str">
        <f>T("매드햇")</f>
        <v>매드햇</v>
      </c>
      <c r="K5566" t="str">
        <f>T("저승의 왕위를 계승했다")</f>
        <v>저승의 왕위를 계승했다</v>
      </c>
      <c r="L5566">
        <v>100</v>
      </c>
      <c r="M5566">
        <v>270</v>
      </c>
      <c r="N5566">
        <v>3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0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0</v>
      </c>
      <c r="AE5566">
        <v>0</v>
      </c>
      <c r="AF5566">
        <v>0</v>
      </c>
      <c r="AG5566">
        <v>0</v>
      </c>
      <c r="AH5566">
        <v>0</v>
      </c>
      <c r="AI5566">
        <v>270</v>
      </c>
      <c r="AJ5566">
        <v>3</v>
      </c>
      <c r="AK5566">
        <v>0</v>
      </c>
      <c r="AL5566">
        <v>0</v>
      </c>
      <c r="AM5566">
        <v>270</v>
      </c>
      <c r="AN5566">
        <v>0</v>
      </c>
      <c r="AO5566">
        <v>0</v>
      </c>
      <c r="AP5566">
        <v>0</v>
      </c>
      <c r="AQ5566">
        <v>0</v>
      </c>
      <c r="AS5566">
        <v>0</v>
      </c>
      <c r="AT5566">
        <v>0</v>
      </c>
      <c r="AV5566">
        <v>0</v>
      </c>
      <c r="AW5566">
        <v>0</v>
      </c>
      <c r="AY5566">
        <v>0</v>
      </c>
      <c r="AZ5566">
        <v>0</v>
      </c>
      <c r="BA5566">
        <v>189</v>
      </c>
      <c r="BE5566" t="str">
        <f>T("9791137014381")</f>
        <v>9791137014381</v>
      </c>
      <c r="BF5566" t="str">
        <f>T("D227240")</f>
        <v>D227240</v>
      </c>
      <c r="BG5566" t="str">
        <f>T("판타지 웹소설 &gt; 퓨전 판타지")</f>
        <v>판타지 웹소설 &gt; 퓨전 판타지</v>
      </c>
    </row>
    <row r="5567" spans="1:59">
      <c r="A5567" t="s">
        <v>60</v>
      </c>
      <c r="B5567" s="1">
        <v>46130</v>
      </c>
      <c r="C5567">
        <v>2378044065</v>
      </c>
      <c r="D5567">
        <v>2378081105</v>
      </c>
      <c r="E5567" t="str">
        <f>T("저승의 왕위를 계승했다 804화")</f>
        <v>저승의 왕위를 계승했다 804화</v>
      </c>
      <c r="F5567">
        <v>806</v>
      </c>
      <c r="G5567" t="str">
        <f>T("신타비")</f>
        <v>신타비</v>
      </c>
      <c r="J5567" t="str">
        <f>T("매드햇")</f>
        <v>매드햇</v>
      </c>
      <c r="K5567" t="str">
        <f>T("저승의 왕위를 계승했다")</f>
        <v>저승의 왕위를 계승했다</v>
      </c>
      <c r="L5567">
        <v>100</v>
      </c>
      <c r="M5567">
        <v>270</v>
      </c>
      <c r="N5567">
        <v>3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0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0</v>
      </c>
      <c r="AE5567">
        <v>0</v>
      </c>
      <c r="AF5567">
        <v>0</v>
      </c>
      <c r="AG5567">
        <v>0</v>
      </c>
      <c r="AH5567">
        <v>0</v>
      </c>
      <c r="AI5567">
        <v>270</v>
      </c>
      <c r="AJ5567">
        <v>3</v>
      </c>
      <c r="AK5567">
        <v>0</v>
      </c>
      <c r="AL5567">
        <v>0</v>
      </c>
      <c r="AM5567">
        <v>270</v>
      </c>
      <c r="AN5567">
        <v>0</v>
      </c>
      <c r="AO5567">
        <v>0</v>
      </c>
      <c r="AP5567">
        <v>0</v>
      </c>
      <c r="AQ5567">
        <v>0</v>
      </c>
      <c r="AS5567">
        <v>0</v>
      </c>
      <c r="AT5567">
        <v>0</v>
      </c>
      <c r="AV5567">
        <v>0</v>
      </c>
      <c r="AW5567">
        <v>0</v>
      </c>
      <c r="AY5567">
        <v>0</v>
      </c>
      <c r="AZ5567">
        <v>0</v>
      </c>
      <c r="BA5567">
        <v>189</v>
      </c>
      <c r="BE5567" t="str">
        <f>T("9791137014381")</f>
        <v>9791137014381</v>
      </c>
      <c r="BF5567" t="str">
        <f>T("D227241")</f>
        <v>D227241</v>
      </c>
      <c r="BG5567" t="str">
        <f>T("판타지 웹소설 &gt; 퓨전 판타지")</f>
        <v>판타지 웹소설 &gt; 퓨전 판타지</v>
      </c>
    </row>
    <row r="5568" spans="1:59">
      <c r="A5568" t="s">
        <v>60</v>
      </c>
      <c r="B5568" s="1">
        <v>46130</v>
      </c>
      <c r="C5568">
        <v>2378044065</v>
      </c>
      <c r="D5568">
        <v>2378081201</v>
      </c>
      <c r="E5568" t="str">
        <f>T("저승의 왕위를 계승했다 805화")</f>
        <v>저승의 왕위를 계승했다 805화</v>
      </c>
      <c r="F5568">
        <v>807</v>
      </c>
      <c r="G5568" t="str">
        <f>T("신타비")</f>
        <v>신타비</v>
      </c>
      <c r="J5568" t="str">
        <f>T("매드햇")</f>
        <v>매드햇</v>
      </c>
      <c r="K5568" t="str">
        <f>T("저승의 왕위를 계승했다")</f>
        <v>저승의 왕위를 계승했다</v>
      </c>
      <c r="L5568">
        <v>100</v>
      </c>
      <c r="M5568">
        <v>270</v>
      </c>
      <c r="N5568">
        <v>3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0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0</v>
      </c>
      <c r="AE5568">
        <v>0</v>
      </c>
      <c r="AF5568">
        <v>0</v>
      </c>
      <c r="AG5568">
        <v>0</v>
      </c>
      <c r="AH5568">
        <v>0</v>
      </c>
      <c r="AI5568">
        <v>270</v>
      </c>
      <c r="AJ5568">
        <v>3</v>
      </c>
      <c r="AK5568">
        <v>0</v>
      </c>
      <c r="AL5568">
        <v>0</v>
      </c>
      <c r="AM5568">
        <v>270</v>
      </c>
      <c r="AN5568">
        <v>0</v>
      </c>
      <c r="AO5568">
        <v>0</v>
      </c>
      <c r="AP5568">
        <v>0</v>
      </c>
      <c r="AQ5568">
        <v>0</v>
      </c>
      <c r="AS5568">
        <v>0</v>
      </c>
      <c r="AT5568">
        <v>0</v>
      </c>
      <c r="AV5568">
        <v>0</v>
      </c>
      <c r="AW5568">
        <v>0</v>
      </c>
      <c r="AY5568">
        <v>0</v>
      </c>
      <c r="AZ5568">
        <v>0</v>
      </c>
      <c r="BA5568">
        <v>189</v>
      </c>
      <c r="BE5568" t="str">
        <f>T("9791137014381")</f>
        <v>9791137014381</v>
      </c>
      <c r="BF5568" t="str">
        <f>T("D227242")</f>
        <v>D227242</v>
      </c>
      <c r="BG5568" t="str">
        <f>T("판타지 웹소설 &gt; 퓨전 판타지")</f>
        <v>판타지 웹소설 &gt; 퓨전 판타지</v>
      </c>
    </row>
    <row r="5569" spans="1:59">
      <c r="A5569" t="s">
        <v>60</v>
      </c>
      <c r="B5569" s="1">
        <v>46130</v>
      </c>
      <c r="C5569">
        <v>2378044065</v>
      </c>
      <c r="D5569">
        <v>2378044075</v>
      </c>
      <c r="E5569" t="str">
        <f>T("저승의 왕위를 계승했다 11화")</f>
        <v>저승의 왕위를 계승했다 11화</v>
      </c>
      <c r="F5569">
        <v>11</v>
      </c>
      <c r="G5569" t="str">
        <f>T("신타비")</f>
        <v>신타비</v>
      </c>
      <c r="J5569" t="str">
        <f>T("매드햇")</f>
        <v>매드햇</v>
      </c>
      <c r="K5569" t="str">
        <f>T("저승의 왕위를 계승했다")</f>
        <v>저승의 왕위를 계승했다</v>
      </c>
      <c r="L5569">
        <v>0</v>
      </c>
      <c r="M5569">
        <v>0</v>
      </c>
      <c r="N5569">
        <v>0</v>
      </c>
      <c r="O5569">
        <v>2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0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0</v>
      </c>
      <c r="AE5569">
        <v>0</v>
      </c>
      <c r="AF5569">
        <v>0</v>
      </c>
      <c r="AG5569">
        <v>0</v>
      </c>
      <c r="AH5569">
        <v>0</v>
      </c>
      <c r="AI5569">
        <v>0</v>
      </c>
      <c r="AJ5569">
        <v>2</v>
      </c>
      <c r="AK5569">
        <v>0</v>
      </c>
      <c r="AL5569">
        <v>0</v>
      </c>
      <c r="AM5569">
        <v>0</v>
      </c>
      <c r="AN5569">
        <v>0</v>
      </c>
      <c r="AO5569">
        <v>0</v>
      </c>
      <c r="AP5569">
        <v>0</v>
      </c>
      <c r="AQ5569">
        <v>0</v>
      </c>
      <c r="AS5569">
        <v>0</v>
      </c>
      <c r="AT5569">
        <v>0</v>
      </c>
      <c r="AV5569">
        <v>0</v>
      </c>
      <c r="AW5569">
        <v>0</v>
      </c>
      <c r="AY5569">
        <v>0</v>
      </c>
      <c r="AZ5569">
        <v>0</v>
      </c>
      <c r="BA5569">
        <v>0</v>
      </c>
      <c r="BE5569" t="str">
        <f>T("9791137014381")</f>
        <v>9791137014381</v>
      </c>
      <c r="BF5569" t="str">
        <f>T("N218759")</f>
        <v>N218759</v>
      </c>
      <c r="BG5569" t="str">
        <f>T("판타지 웹소설 &gt; 퓨전 판타지")</f>
        <v>판타지 웹소설 &gt; 퓨전 판타지</v>
      </c>
    </row>
    <row r="5570" spans="1:59">
      <c r="A5570" t="s">
        <v>60</v>
      </c>
      <c r="B5570" s="1">
        <v>46130</v>
      </c>
      <c r="C5570">
        <v>2378044065</v>
      </c>
      <c r="D5570">
        <v>2378044076</v>
      </c>
      <c r="E5570" t="str">
        <f>T("저승의 왕위를 계승했다 12화")</f>
        <v>저승의 왕위를 계승했다 12화</v>
      </c>
      <c r="F5570">
        <v>12</v>
      </c>
      <c r="G5570" t="str">
        <f>T("신타비")</f>
        <v>신타비</v>
      </c>
      <c r="J5570" t="str">
        <f>T("매드햇")</f>
        <v>매드햇</v>
      </c>
      <c r="K5570" t="str">
        <f>T("저승의 왕위를 계승했다")</f>
        <v>저승의 왕위를 계승했다</v>
      </c>
      <c r="L5570">
        <v>0</v>
      </c>
      <c r="M5570">
        <v>0</v>
      </c>
      <c r="N5570">
        <v>0</v>
      </c>
      <c r="O5570">
        <v>2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0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0</v>
      </c>
      <c r="AE5570">
        <v>0</v>
      </c>
      <c r="AF5570">
        <v>0</v>
      </c>
      <c r="AG5570">
        <v>0</v>
      </c>
      <c r="AH5570">
        <v>0</v>
      </c>
      <c r="AI5570">
        <v>0</v>
      </c>
      <c r="AJ5570">
        <v>2</v>
      </c>
      <c r="AK5570">
        <v>0</v>
      </c>
      <c r="AL5570">
        <v>0</v>
      </c>
      <c r="AM5570">
        <v>0</v>
      </c>
      <c r="AN5570">
        <v>0</v>
      </c>
      <c r="AO5570">
        <v>0</v>
      </c>
      <c r="AP5570">
        <v>0</v>
      </c>
      <c r="AQ5570">
        <v>0</v>
      </c>
      <c r="AS5570">
        <v>0</v>
      </c>
      <c r="AT5570">
        <v>0</v>
      </c>
      <c r="AV5570">
        <v>0</v>
      </c>
      <c r="AW5570">
        <v>0</v>
      </c>
      <c r="AY5570">
        <v>0</v>
      </c>
      <c r="AZ5570">
        <v>0</v>
      </c>
      <c r="BA5570">
        <v>0</v>
      </c>
      <c r="BE5570" t="str">
        <f>T("9791137014381")</f>
        <v>9791137014381</v>
      </c>
      <c r="BF5570" t="str">
        <f>T("N218760")</f>
        <v>N218760</v>
      </c>
      <c r="BG5570" t="str">
        <f>T("판타지 웹소설 &gt; 퓨전 판타지")</f>
        <v>판타지 웹소설 &gt; 퓨전 판타지</v>
      </c>
    </row>
    <row r="5571" spans="1:59">
      <c r="A5571" t="s">
        <v>60</v>
      </c>
      <c r="B5571" s="1">
        <v>46130</v>
      </c>
      <c r="C5571">
        <v>2378044065</v>
      </c>
      <c r="D5571">
        <v>2378044077</v>
      </c>
      <c r="E5571" t="str">
        <f>T("저승의 왕위를 계승했다 13화")</f>
        <v>저승의 왕위를 계승했다 13화</v>
      </c>
      <c r="F5571">
        <v>13</v>
      </c>
      <c r="G5571" t="str">
        <f>T("신타비")</f>
        <v>신타비</v>
      </c>
      <c r="J5571" t="str">
        <f>T("매드햇")</f>
        <v>매드햇</v>
      </c>
      <c r="K5571" t="str">
        <f>T("저승의 왕위를 계승했다")</f>
        <v>저승의 왕위를 계승했다</v>
      </c>
      <c r="L5571">
        <v>0</v>
      </c>
      <c r="M5571">
        <v>0</v>
      </c>
      <c r="N5571">
        <v>0</v>
      </c>
      <c r="O5571">
        <v>2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0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0</v>
      </c>
      <c r="AE5571">
        <v>0</v>
      </c>
      <c r="AF5571">
        <v>0</v>
      </c>
      <c r="AG5571">
        <v>0</v>
      </c>
      <c r="AH5571">
        <v>0</v>
      </c>
      <c r="AI5571">
        <v>0</v>
      </c>
      <c r="AJ5571">
        <v>2</v>
      </c>
      <c r="AK5571">
        <v>0</v>
      </c>
      <c r="AL5571">
        <v>0</v>
      </c>
      <c r="AM5571">
        <v>0</v>
      </c>
      <c r="AN5571">
        <v>0</v>
      </c>
      <c r="AO5571">
        <v>0</v>
      </c>
      <c r="AP5571">
        <v>0</v>
      </c>
      <c r="AQ5571">
        <v>0</v>
      </c>
      <c r="AS5571">
        <v>0</v>
      </c>
      <c r="AT5571">
        <v>0</v>
      </c>
      <c r="AV5571">
        <v>0</v>
      </c>
      <c r="AW5571">
        <v>0</v>
      </c>
      <c r="AY5571">
        <v>0</v>
      </c>
      <c r="AZ5571">
        <v>0</v>
      </c>
      <c r="BA5571">
        <v>0</v>
      </c>
      <c r="BE5571" t="str">
        <f>T("9791137014381")</f>
        <v>9791137014381</v>
      </c>
      <c r="BF5571" t="str">
        <f>T("N218761")</f>
        <v>N218761</v>
      </c>
      <c r="BG5571" t="str">
        <f>T("판타지 웹소설 &gt; 퓨전 판타지")</f>
        <v>판타지 웹소설 &gt; 퓨전 판타지</v>
      </c>
    </row>
    <row r="5572" spans="1:59">
      <c r="A5572" t="s">
        <v>60</v>
      </c>
      <c r="B5572" s="1">
        <v>46130</v>
      </c>
      <c r="C5572">
        <v>2378044065</v>
      </c>
      <c r="D5572">
        <v>2378044078</v>
      </c>
      <c r="E5572" t="str">
        <f>T("저승의 왕위를 계승했다 14화")</f>
        <v>저승의 왕위를 계승했다 14화</v>
      </c>
      <c r="F5572">
        <v>14</v>
      </c>
      <c r="G5572" t="str">
        <f>T("신타비")</f>
        <v>신타비</v>
      </c>
      <c r="J5572" t="str">
        <f>T("매드햇")</f>
        <v>매드햇</v>
      </c>
      <c r="K5572" t="str">
        <f>T("저승의 왕위를 계승했다")</f>
        <v>저승의 왕위를 계승했다</v>
      </c>
      <c r="L5572">
        <v>0</v>
      </c>
      <c r="M5572">
        <v>0</v>
      </c>
      <c r="N5572">
        <v>0</v>
      </c>
      <c r="O5572">
        <v>2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0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0</v>
      </c>
      <c r="AE5572">
        <v>0</v>
      </c>
      <c r="AF5572">
        <v>0</v>
      </c>
      <c r="AG5572">
        <v>0</v>
      </c>
      <c r="AH5572">
        <v>0</v>
      </c>
      <c r="AI5572">
        <v>0</v>
      </c>
      <c r="AJ5572">
        <v>2</v>
      </c>
      <c r="AK5572">
        <v>0</v>
      </c>
      <c r="AL5572">
        <v>0</v>
      </c>
      <c r="AM5572">
        <v>0</v>
      </c>
      <c r="AN5572">
        <v>0</v>
      </c>
      <c r="AO5572">
        <v>0</v>
      </c>
      <c r="AP5572">
        <v>0</v>
      </c>
      <c r="AQ5572">
        <v>0</v>
      </c>
      <c r="AS5572">
        <v>0</v>
      </c>
      <c r="AT5572">
        <v>0</v>
      </c>
      <c r="AV5572">
        <v>0</v>
      </c>
      <c r="AW5572">
        <v>0</v>
      </c>
      <c r="AY5572">
        <v>0</v>
      </c>
      <c r="AZ5572">
        <v>0</v>
      </c>
      <c r="BA5572">
        <v>0</v>
      </c>
      <c r="BE5572" t="str">
        <f>T("9791137014381")</f>
        <v>9791137014381</v>
      </c>
      <c r="BF5572" t="str">
        <f>T("N218762")</f>
        <v>N218762</v>
      </c>
      <c r="BG5572" t="str">
        <f>T("판타지 웹소설 &gt; 퓨전 판타지")</f>
        <v>판타지 웹소설 &gt; 퓨전 판타지</v>
      </c>
    </row>
    <row r="5573" spans="1:59">
      <c r="A5573" t="s">
        <v>60</v>
      </c>
      <c r="B5573" s="1">
        <v>46130</v>
      </c>
      <c r="C5573">
        <v>2378044065</v>
      </c>
      <c r="D5573">
        <v>2378044079</v>
      </c>
      <c r="E5573" t="str">
        <f>T("저승의 왕위를 계승했다 15화")</f>
        <v>저승의 왕위를 계승했다 15화</v>
      </c>
      <c r="F5573">
        <v>15</v>
      </c>
      <c r="G5573" t="str">
        <f>T("신타비")</f>
        <v>신타비</v>
      </c>
      <c r="J5573" t="str">
        <f>T("매드햇")</f>
        <v>매드햇</v>
      </c>
      <c r="K5573" t="str">
        <f>T("저승의 왕위를 계승했다")</f>
        <v>저승의 왕위를 계승했다</v>
      </c>
      <c r="L5573">
        <v>0</v>
      </c>
      <c r="M5573">
        <v>0</v>
      </c>
      <c r="N5573">
        <v>0</v>
      </c>
      <c r="O5573">
        <v>2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0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0</v>
      </c>
      <c r="AE5573">
        <v>0</v>
      </c>
      <c r="AF5573">
        <v>0</v>
      </c>
      <c r="AG5573">
        <v>0</v>
      </c>
      <c r="AH5573">
        <v>0</v>
      </c>
      <c r="AI5573">
        <v>0</v>
      </c>
      <c r="AJ5573">
        <v>2</v>
      </c>
      <c r="AK5573">
        <v>0</v>
      </c>
      <c r="AL5573">
        <v>0</v>
      </c>
      <c r="AM5573">
        <v>0</v>
      </c>
      <c r="AN5573">
        <v>0</v>
      </c>
      <c r="AO5573">
        <v>0</v>
      </c>
      <c r="AP5573">
        <v>0</v>
      </c>
      <c r="AQ5573">
        <v>0</v>
      </c>
      <c r="AS5573">
        <v>0</v>
      </c>
      <c r="AT5573">
        <v>0</v>
      </c>
      <c r="AV5573">
        <v>0</v>
      </c>
      <c r="AW5573">
        <v>0</v>
      </c>
      <c r="AY5573">
        <v>0</v>
      </c>
      <c r="AZ5573">
        <v>0</v>
      </c>
      <c r="BA5573">
        <v>0</v>
      </c>
      <c r="BE5573" t="str">
        <f>T("9791137014381")</f>
        <v>9791137014381</v>
      </c>
      <c r="BF5573" t="str">
        <f>T("N218763")</f>
        <v>N218763</v>
      </c>
      <c r="BG5573" t="str">
        <f>T("판타지 웹소설 &gt; 퓨전 판타지")</f>
        <v>판타지 웹소설 &gt; 퓨전 판타지</v>
      </c>
    </row>
    <row r="5574" spans="1:59">
      <c r="A5574" t="s">
        <v>60</v>
      </c>
      <c r="B5574" s="1">
        <v>46130</v>
      </c>
      <c r="C5574">
        <v>2378044065</v>
      </c>
      <c r="D5574">
        <v>2378044080</v>
      </c>
      <c r="E5574" t="str">
        <f>T("저승의 왕위를 계승했다 16화")</f>
        <v>저승의 왕위를 계승했다 16화</v>
      </c>
      <c r="F5574">
        <v>16</v>
      </c>
      <c r="G5574" t="str">
        <f>T("신타비")</f>
        <v>신타비</v>
      </c>
      <c r="J5574" t="str">
        <f>T("매드햇")</f>
        <v>매드햇</v>
      </c>
      <c r="K5574" t="str">
        <f>T("저승의 왕위를 계승했다")</f>
        <v>저승의 왕위를 계승했다</v>
      </c>
      <c r="L5574">
        <v>0</v>
      </c>
      <c r="M5574">
        <v>0</v>
      </c>
      <c r="N5574">
        <v>0</v>
      </c>
      <c r="O5574">
        <v>2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0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0</v>
      </c>
      <c r="AE5574">
        <v>0</v>
      </c>
      <c r="AF5574">
        <v>0</v>
      </c>
      <c r="AG5574">
        <v>0</v>
      </c>
      <c r="AH5574">
        <v>0</v>
      </c>
      <c r="AI5574">
        <v>0</v>
      </c>
      <c r="AJ5574">
        <v>2</v>
      </c>
      <c r="AK5574">
        <v>0</v>
      </c>
      <c r="AL5574">
        <v>0</v>
      </c>
      <c r="AM5574">
        <v>0</v>
      </c>
      <c r="AN5574">
        <v>0</v>
      </c>
      <c r="AO5574">
        <v>0</v>
      </c>
      <c r="AP5574">
        <v>0</v>
      </c>
      <c r="AQ5574">
        <v>0</v>
      </c>
      <c r="AS5574">
        <v>0</v>
      </c>
      <c r="AT5574">
        <v>0</v>
      </c>
      <c r="AV5574">
        <v>0</v>
      </c>
      <c r="AW5574">
        <v>0</v>
      </c>
      <c r="AY5574">
        <v>0</v>
      </c>
      <c r="AZ5574">
        <v>0</v>
      </c>
      <c r="BA5574">
        <v>0</v>
      </c>
      <c r="BE5574" t="str">
        <f>T("9791137014381")</f>
        <v>9791137014381</v>
      </c>
      <c r="BF5574" t="str">
        <f>T("N218764")</f>
        <v>N218764</v>
      </c>
      <c r="BG5574" t="str">
        <f>T("판타지 웹소설 &gt; 퓨전 판타지")</f>
        <v>판타지 웹소설 &gt; 퓨전 판타지</v>
      </c>
    </row>
    <row r="5575" spans="1:59">
      <c r="A5575" t="s">
        <v>60</v>
      </c>
      <c r="B5575" s="1">
        <v>46130</v>
      </c>
      <c r="C5575">
        <v>2378044065</v>
      </c>
      <c r="D5575">
        <v>2378044081</v>
      </c>
      <c r="E5575" t="str">
        <f>T("저승의 왕위를 계승했다 17화")</f>
        <v>저승의 왕위를 계승했다 17화</v>
      </c>
      <c r="F5575">
        <v>17</v>
      </c>
      <c r="G5575" t="str">
        <f>T("신타비")</f>
        <v>신타비</v>
      </c>
      <c r="J5575" t="str">
        <f>T("매드햇")</f>
        <v>매드햇</v>
      </c>
      <c r="K5575" t="str">
        <f>T("저승의 왕위를 계승했다")</f>
        <v>저승의 왕위를 계승했다</v>
      </c>
      <c r="L5575">
        <v>0</v>
      </c>
      <c r="M5575">
        <v>0</v>
      </c>
      <c r="N5575">
        <v>0</v>
      </c>
      <c r="O5575">
        <v>1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0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0</v>
      </c>
      <c r="AE5575">
        <v>0</v>
      </c>
      <c r="AF5575">
        <v>0</v>
      </c>
      <c r="AG5575">
        <v>0</v>
      </c>
      <c r="AH5575">
        <v>0</v>
      </c>
      <c r="AI5575">
        <v>0</v>
      </c>
      <c r="AJ5575">
        <v>1</v>
      </c>
      <c r="AK5575">
        <v>0</v>
      </c>
      <c r="AL5575">
        <v>0</v>
      </c>
      <c r="AM5575">
        <v>0</v>
      </c>
      <c r="AN5575">
        <v>0</v>
      </c>
      <c r="AO5575">
        <v>0</v>
      </c>
      <c r="AP5575">
        <v>0</v>
      </c>
      <c r="AQ5575">
        <v>0</v>
      </c>
      <c r="AS5575">
        <v>0</v>
      </c>
      <c r="AT5575">
        <v>0</v>
      </c>
      <c r="AV5575">
        <v>0</v>
      </c>
      <c r="AW5575">
        <v>0</v>
      </c>
      <c r="AY5575">
        <v>0</v>
      </c>
      <c r="AZ5575">
        <v>0</v>
      </c>
      <c r="BA5575">
        <v>0</v>
      </c>
      <c r="BE5575" t="str">
        <f>T("9791137014381")</f>
        <v>9791137014381</v>
      </c>
      <c r="BF5575" t="str">
        <f>T("N218765")</f>
        <v>N218765</v>
      </c>
      <c r="BG5575" t="str">
        <f>T("판타지 웹소설 &gt; 퓨전 판타지")</f>
        <v>판타지 웹소설 &gt; 퓨전 판타지</v>
      </c>
    </row>
    <row r="5576" spans="1:59">
      <c r="A5576" t="s">
        <v>60</v>
      </c>
      <c r="B5576" s="1">
        <v>46130</v>
      </c>
      <c r="C5576">
        <v>2378044065</v>
      </c>
      <c r="D5576">
        <v>2378044082</v>
      </c>
      <c r="E5576" t="str">
        <f>T("저승의 왕위를 계승했다 18화")</f>
        <v>저승의 왕위를 계승했다 18화</v>
      </c>
      <c r="F5576">
        <v>18</v>
      </c>
      <c r="G5576" t="str">
        <f>T("신타비")</f>
        <v>신타비</v>
      </c>
      <c r="J5576" t="str">
        <f>T("매드햇")</f>
        <v>매드햇</v>
      </c>
      <c r="K5576" t="str">
        <f>T("저승의 왕위를 계승했다")</f>
        <v>저승의 왕위를 계승했다</v>
      </c>
      <c r="L5576">
        <v>0</v>
      </c>
      <c r="M5576">
        <v>0</v>
      </c>
      <c r="N5576">
        <v>0</v>
      </c>
      <c r="O5576">
        <v>1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0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0</v>
      </c>
      <c r="AE5576">
        <v>0</v>
      </c>
      <c r="AF5576">
        <v>0</v>
      </c>
      <c r="AG5576">
        <v>0</v>
      </c>
      <c r="AH5576">
        <v>0</v>
      </c>
      <c r="AI5576">
        <v>0</v>
      </c>
      <c r="AJ5576">
        <v>1</v>
      </c>
      <c r="AK5576">
        <v>0</v>
      </c>
      <c r="AL5576">
        <v>0</v>
      </c>
      <c r="AM5576">
        <v>0</v>
      </c>
      <c r="AN5576">
        <v>0</v>
      </c>
      <c r="AO5576">
        <v>0</v>
      </c>
      <c r="AP5576">
        <v>0</v>
      </c>
      <c r="AQ5576">
        <v>0</v>
      </c>
      <c r="AS5576">
        <v>0</v>
      </c>
      <c r="AT5576">
        <v>0</v>
      </c>
      <c r="AV5576">
        <v>0</v>
      </c>
      <c r="AW5576">
        <v>0</v>
      </c>
      <c r="AY5576">
        <v>0</v>
      </c>
      <c r="AZ5576">
        <v>0</v>
      </c>
      <c r="BA5576">
        <v>0</v>
      </c>
      <c r="BE5576" t="str">
        <f>T("9791137014381")</f>
        <v>9791137014381</v>
      </c>
      <c r="BF5576" t="str">
        <f>T("N218766")</f>
        <v>N218766</v>
      </c>
      <c r="BG5576" t="str">
        <f>T("판타지 웹소설 &gt; 퓨전 판타지")</f>
        <v>판타지 웹소설 &gt; 퓨전 판타지</v>
      </c>
    </row>
    <row r="5577" spans="1:59">
      <c r="A5577" t="s">
        <v>60</v>
      </c>
      <c r="B5577" s="1">
        <v>46130</v>
      </c>
      <c r="C5577">
        <v>2378044065</v>
      </c>
      <c r="D5577">
        <v>2378044083</v>
      </c>
      <c r="E5577" t="str">
        <f>T("저승의 왕위를 계승했다 19화")</f>
        <v>저승의 왕위를 계승했다 19화</v>
      </c>
      <c r="F5577">
        <v>19</v>
      </c>
      <c r="G5577" t="str">
        <f>T("신타비")</f>
        <v>신타비</v>
      </c>
      <c r="J5577" t="str">
        <f>T("매드햇")</f>
        <v>매드햇</v>
      </c>
      <c r="K5577" t="str">
        <f>T("저승의 왕위를 계승했다")</f>
        <v>저승의 왕위를 계승했다</v>
      </c>
      <c r="L5577">
        <v>0</v>
      </c>
      <c r="M5577">
        <v>0</v>
      </c>
      <c r="N5577">
        <v>0</v>
      </c>
      <c r="O5577">
        <v>1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0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0</v>
      </c>
      <c r="AE5577">
        <v>0</v>
      </c>
      <c r="AF5577">
        <v>0</v>
      </c>
      <c r="AG5577">
        <v>0</v>
      </c>
      <c r="AH5577">
        <v>0</v>
      </c>
      <c r="AI5577">
        <v>0</v>
      </c>
      <c r="AJ5577">
        <v>1</v>
      </c>
      <c r="AK5577">
        <v>0</v>
      </c>
      <c r="AL5577">
        <v>0</v>
      </c>
      <c r="AM5577">
        <v>0</v>
      </c>
      <c r="AN5577">
        <v>0</v>
      </c>
      <c r="AO5577">
        <v>0</v>
      </c>
      <c r="AP5577">
        <v>0</v>
      </c>
      <c r="AQ5577">
        <v>0</v>
      </c>
      <c r="AS5577">
        <v>0</v>
      </c>
      <c r="AT5577">
        <v>0</v>
      </c>
      <c r="AV5577">
        <v>0</v>
      </c>
      <c r="AW5577">
        <v>0</v>
      </c>
      <c r="AY5577">
        <v>0</v>
      </c>
      <c r="AZ5577">
        <v>0</v>
      </c>
      <c r="BA5577">
        <v>0</v>
      </c>
      <c r="BE5577" t="str">
        <f>T("9791137014381")</f>
        <v>9791137014381</v>
      </c>
      <c r="BF5577" t="str">
        <f>T("N218767")</f>
        <v>N218767</v>
      </c>
      <c r="BG5577" t="str">
        <f>T("판타지 웹소설 &gt; 퓨전 판타지")</f>
        <v>판타지 웹소설 &gt; 퓨전 판타지</v>
      </c>
    </row>
    <row r="5578" spans="1:59">
      <c r="A5578" t="s">
        <v>60</v>
      </c>
      <c r="B5578" s="1">
        <v>46130</v>
      </c>
      <c r="C5578">
        <v>2378044065</v>
      </c>
      <c r="D5578">
        <v>2378044084</v>
      </c>
      <c r="E5578" t="str">
        <f>T("저승의 왕위를 계승했다 20화")</f>
        <v>저승의 왕위를 계승했다 20화</v>
      </c>
      <c r="F5578">
        <v>20</v>
      </c>
      <c r="G5578" t="str">
        <f>T("신타비")</f>
        <v>신타비</v>
      </c>
      <c r="J5578" t="str">
        <f>T("매드햇")</f>
        <v>매드햇</v>
      </c>
      <c r="K5578" t="str">
        <f>T("저승의 왕위를 계승했다")</f>
        <v>저승의 왕위를 계승했다</v>
      </c>
      <c r="L5578">
        <v>0</v>
      </c>
      <c r="M5578">
        <v>0</v>
      </c>
      <c r="N5578">
        <v>0</v>
      </c>
      <c r="O5578">
        <v>1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0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0</v>
      </c>
      <c r="AE5578">
        <v>0</v>
      </c>
      <c r="AF5578">
        <v>0</v>
      </c>
      <c r="AG5578">
        <v>0</v>
      </c>
      <c r="AH5578">
        <v>0</v>
      </c>
      <c r="AI5578">
        <v>0</v>
      </c>
      <c r="AJ5578">
        <v>1</v>
      </c>
      <c r="AK5578">
        <v>0</v>
      </c>
      <c r="AL5578">
        <v>0</v>
      </c>
      <c r="AM5578">
        <v>0</v>
      </c>
      <c r="AN5578">
        <v>0</v>
      </c>
      <c r="AO5578">
        <v>0</v>
      </c>
      <c r="AP5578">
        <v>0</v>
      </c>
      <c r="AQ5578">
        <v>0</v>
      </c>
      <c r="AS5578">
        <v>0</v>
      </c>
      <c r="AT5578">
        <v>0</v>
      </c>
      <c r="AV5578">
        <v>0</v>
      </c>
      <c r="AW5578">
        <v>0</v>
      </c>
      <c r="AY5578">
        <v>0</v>
      </c>
      <c r="AZ5578">
        <v>0</v>
      </c>
      <c r="BA5578">
        <v>0</v>
      </c>
      <c r="BE5578" t="str">
        <f>T("9791137014381")</f>
        <v>9791137014381</v>
      </c>
      <c r="BF5578" t="str">
        <f>T("N218768")</f>
        <v>N218768</v>
      </c>
      <c r="BG5578" t="str">
        <f>T("판타지 웹소설 &gt; 퓨전 판타지")</f>
        <v>판타지 웹소설 &gt; 퓨전 판타지</v>
      </c>
    </row>
    <row r="5579" spans="1:59">
      <c r="A5579" t="s">
        <v>60</v>
      </c>
      <c r="B5579" s="1">
        <v>46130</v>
      </c>
      <c r="C5579">
        <v>2378044065</v>
      </c>
      <c r="D5579">
        <v>2378044085</v>
      </c>
      <c r="E5579" t="str">
        <f>T("저승의 왕위를 계승했다 21화")</f>
        <v>저승의 왕위를 계승했다 21화</v>
      </c>
      <c r="F5579">
        <v>21</v>
      </c>
      <c r="G5579" t="str">
        <f>T("신타비")</f>
        <v>신타비</v>
      </c>
      <c r="J5579" t="str">
        <f>T("매드햇")</f>
        <v>매드햇</v>
      </c>
      <c r="K5579" t="str">
        <f>T("저승의 왕위를 계승했다")</f>
        <v>저승의 왕위를 계승했다</v>
      </c>
      <c r="L5579">
        <v>0</v>
      </c>
      <c r="M5579">
        <v>0</v>
      </c>
      <c r="N5579">
        <v>0</v>
      </c>
      <c r="O5579">
        <v>1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0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0</v>
      </c>
      <c r="AE5579">
        <v>0</v>
      </c>
      <c r="AF5579">
        <v>0</v>
      </c>
      <c r="AG5579">
        <v>0</v>
      </c>
      <c r="AH5579">
        <v>0</v>
      </c>
      <c r="AI5579">
        <v>0</v>
      </c>
      <c r="AJ5579">
        <v>1</v>
      </c>
      <c r="AK5579">
        <v>0</v>
      </c>
      <c r="AL5579">
        <v>0</v>
      </c>
      <c r="AM5579">
        <v>0</v>
      </c>
      <c r="AN5579">
        <v>0</v>
      </c>
      <c r="AO5579">
        <v>0</v>
      </c>
      <c r="AP5579">
        <v>0</v>
      </c>
      <c r="AQ5579">
        <v>0</v>
      </c>
      <c r="AS5579">
        <v>0</v>
      </c>
      <c r="AT5579">
        <v>0</v>
      </c>
      <c r="AV5579">
        <v>0</v>
      </c>
      <c r="AW5579">
        <v>0</v>
      </c>
      <c r="AY5579">
        <v>0</v>
      </c>
      <c r="AZ5579">
        <v>0</v>
      </c>
      <c r="BA5579">
        <v>0</v>
      </c>
      <c r="BE5579" t="str">
        <f>T("9791137014381")</f>
        <v>9791137014381</v>
      </c>
      <c r="BF5579" t="str">
        <f>T("N218769")</f>
        <v>N218769</v>
      </c>
      <c r="BG5579" t="str">
        <f>T("판타지 웹소설 &gt; 퓨전 판타지")</f>
        <v>판타지 웹소설 &gt; 퓨전 판타지</v>
      </c>
    </row>
    <row r="5580" spans="1:59">
      <c r="A5580" t="s">
        <v>60</v>
      </c>
      <c r="B5580" s="1">
        <v>46130</v>
      </c>
      <c r="C5580">
        <v>2378044065</v>
      </c>
      <c r="D5580">
        <v>2378044086</v>
      </c>
      <c r="E5580" t="str">
        <f>T("저승의 왕위를 계승했다 22화")</f>
        <v>저승의 왕위를 계승했다 22화</v>
      </c>
      <c r="F5580">
        <v>22</v>
      </c>
      <c r="G5580" t="str">
        <f>T("신타비")</f>
        <v>신타비</v>
      </c>
      <c r="J5580" t="str">
        <f>T("매드햇")</f>
        <v>매드햇</v>
      </c>
      <c r="K5580" t="str">
        <f>T("저승의 왕위를 계승했다")</f>
        <v>저승의 왕위를 계승했다</v>
      </c>
      <c r="L5580">
        <v>0</v>
      </c>
      <c r="M5580">
        <v>0</v>
      </c>
      <c r="N5580">
        <v>0</v>
      </c>
      <c r="O5580">
        <v>1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0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0</v>
      </c>
      <c r="AE5580">
        <v>0</v>
      </c>
      <c r="AF5580">
        <v>0</v>
      </c>
      <c r="AG5580">
        <v>0</v>
      </c>
      <c r="AH5580">
        <v>0</v>
      </c>
      <c r="AI5580">
        <v>0</v>
      </c>
      <c r="AJ5580">
        <v>1</v>
      </c>
      <c r="AK5580">
        <v>0</v>
      </c>
      <c r="AL5580">
        <v>0</v>
      </c>
      <c r="AM5580">
        <v>0</v>
      </c>
      <c r="AN5580">
        <v>0</v>
      </c>
      <c r="AO5580">
        <v>0</v>
      </c>
      <c r="AP5580">
        <v>0</v>
      </c>
      <c r="AQ5580">
        <v>0</v>
      </c>
      <c r="AS5580">
        <v>0</v>
      </c>
      <c r="AT5580">
        <v>0</v>
      </c>
      <c r="AV5580">
        <v>0</v>
      </c>
      <c r="AW5580">
        <v>0</v>
      </c>
      <c r="AY5580">
        <v>0</v>
      </c>
      <c r="AZ5580">
        <v>0</v>
      </c>
      <c r="BA5580">
        <v>0</v>
      </c>
      <c r="BE5580" t="str">
        <f>T("9791137014381")</f>
        <v>9791137014381</v>
      </c>
      <c r="BF5580" t="str">
        <f>T("N218770")</f>
        <v>N218770</v>
      </c>
      <c r="BG5580" t="str">
        <f>T("판타지 웹소설 &gt; 퓨전 판타지")</f>
        <v>판타지 웹소설 &gt; 퓨전 판타지</v>
      </c>
    </row>
    <row r="5581" spans="1:59">
      <c r="A5581" t="s">
        <v>60</v>
      </c>
      <c r="B5581" s="1">
        <v>46130</v>
      </c>
      <c r="C5581">
        <v>2378044065</v>
      </c>
      <c r="D5581">
        <v>2378044087</v>
      </c>
      <c r="E5581" t="str">
        <f>T("저승의 왕위를 계승했다 23화")</f>
        <v>저승의 왕위를 계승했다 23화</v>
      </c>
      <c r="F5581">
        <v>23</v>
      </c>
      <c r="G5581" t="str">
        <f>T("신타비")</f>
        <v>신타비</v>
      </c>
      <c r="J5581" t="str">
        <f>T("매드햇")</f>
        <v>매드햇</v>
      </c>
      <c r="K5581" t="str">
        <f>T("저승의 왕위를 계승했다")</f>
        <v>저승의 왕위를 계승했다</v>
      </c>
      <c r="L5581">
        <v>0</v>
      </c>
      <c r="M5581">
        <v>0</v>
      </c>
      <c r="N5581">
        <v>0</v>
      </c>
      <c r="O5581">
        <v>1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0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0</v>
      </c>
      <c r="AE5581">
        <v>0</v>
      </c>
      <c r="AF5581">
        <v>0</v>
      </c>
      <c r="AG5581">
        <v>0</v>
      </c>
      <c r="AH5581">
        <v>0</v>
      </c>
      <c r="AI5581">
        <v>0</v>
      </c>
      <c r="AJ5581">
        <v>1</v>
      </c>
      <c r="AK5581">
        <v>0</v>
      </c>
      <c r="AL5581">
        <v>0</v>
      </c>
      <c r="AM5581">
        <v>0</v>
      </c>
      <c r="AN5581">
        <v>0</v>
      </c>
      <c r="AO5581">
        <v>0</v>
      </c>
      <c r="AP5581">
        <v>0</v>
      </c>
      <c r="AQ5581">
        <v>0</v>
      </c>
      <c r="AS5581">
        <v>0</v>
      </c>
      <c r="AT5581">
        <v>0</v>
      </c>
      <c r="AV5581">
        <v>0</v>
      </c>
      <c r="AW5581">
        <v>0</v>
      </c>
      <c r="AY5581">
        <v>0</v>
      </c>
      <c r="AZ5581">
        <v>0</v>
      </c>
      <c r="BA5581">
        <v>0</v>
      </c>
      <c r="BE5581" t="str">
        <f>T("9791137014381")</f>
        <v>9791137014381</v>
      </c>
      <c r="BF5581" t="str">
        <f>T("N218771")</f>
        <v>N218771</v>
      </c>
      <c r="BG5581" t="str">
        <f>T("판타지 웹소설 &gt; 퓨전 판타지")</f>
        <v>판타지 웹소설 &gt; 퓨전 판타지</v>
      </c>
    </row>
    <row r="5582" spans="1:59">
      <c r="A5582" t="s">
        <v>60</v>
      </c>
      <c r="B5582" s="1">
        <v>46130</v>
      </c>
      <c r="C5582">
        <v>2378044065</v>
      </c>
      <c r="D5582">
        <v>2378044088</v>
      </c>
      <c r="E5582" t="str">
        <f>T("저승의 왕위를 계승했다 24화")</f>
        <v>저승의 왕위를 계승했다 24화</v>
      </c>
      <c r="F5582">
        <v>24</v>
      </c>
      <c r="G5582" t="str">
        <f>T("신타비")</f>
        <v>신타비</v>
      </c>
      <c r="J5582" t="str">
        <f>T("매드햇")</f>
        <v>매드햇</v>
      </c>
      <c r="K5582" t="str">
        <f>T("저승의 왕위를 계승했다")</f>
        <v>저승의 왕위를 계승했다</v>
      </c>
      <c r="L5582">
        <v>0</v>
      </c>
      <c r="M5582">
        <v>0</v>
      </c>
      <c r="N5582">
        <v>0</v>
      </c>
      <c r="O5582">
        <v>1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0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0</v>
      </c>
      <c r="AE5582">
        <v>0</v>
      </c>
      <c r="AF5582">
        <v>0</v>
      </c>
      <c r="AG5582">
        <v>0</v>
      </c>
      <c r="AH5582">
        <v>0</v>
      </c>
      <c r="AI5582">
        <v>0</v>
      </c>
      <c r="AJ5582">
        <v>1</v>
      </c>
      <c r="AK5582">
        <v>0</v>
      </c>
      <c r="AL5582">
        <v>0</v>
      </c>
      <c r="AM5582">
        <v>0</v>
      </c>
      <c r="AN5582">
        <v>0</v>
      </c>
      <c r="AO5582">
        <v>0</v>
      </c>
      <c r="AP5582">
        <v>0</v>
      </c>
      <c r="AQ5582">
        <v>0</v>
      </c>
      <c r="AS5582">
        <v>0</v>
      </c>
      <c r="AT5582">
        <v>0</v>
      </c>
      <c r="AV5582">
        <v>0</v>
      </c>
      <c r="AW5582">
        <v>0</v>
      </c>
      <c r="AY5582">
        <v>0</v>
      </c>
      <c r="AZ5582">
        <v>0</v>
      </c>
      <c r="BA5582">
        <v>0</v>
      </c>
      <c r="BE5582" t="str">
        <f>T("9791137014381")</f>
        <v>9791137014381</v>
      </c>
      <c r="BF5582" t="str">
        <f>T("N218772")</f>
        <v>N218772</v>
      </c>
      <c r="BG5582" t="str">
        <f>T("판타지 웹소설 &gt; 퓨전 판타지")</f>
        <v>판타지 웹소설 &gt; 퓨전 판타지</v>
      </c>
    </row>
    <row r="5583" spans="1:59">
      <c r="A5583" t="s">
        <v>60</v>
      </c>
      <c r="B5583" s="1">
        <v>46130</v>
      </c>
      <c r="C5583">
        <v>2378044065</v>
      </c>
      <c r="D5583">
        <v>2378044089</v>
      </c>
      <c r="E5583" t="str">
        <f>T("저승의 왕위를 계승했다 25화")</f>
        <v>저승의 왕위를 계승했다 25화</v>
      </c>
      <c r="F5583">
        <v>25</v>
      </c>
      <c r="G5583" t="str">
        <f>T("신타비")</f>
        <v>신타비</v>
      </c>
      <c r="J5583" t="str">
        <f>T("매드햇")</f>
        <v>매드햇</v>
      </c>
      <c r="K5583" t="str">
        <f>T("저승의 왕위를 계승했다")</f>
        <v>저승의 왕위를 계승했다</v>
      </c>
      <c r="L5583">
        <v>0</v>
      </c>
      <c r="M5583">
        <v>0</v>
      </c>
      <c r="N5583">
        <v>0</v>
      </c>
      <c r="O5583">
        <v>1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0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0</v>
      </c>
      <c r="AE5583">
        <v>0</v>
      </c>
      <c r="AF5583">
        <v>0</v>
      </c>
      <c r="AG5583">
        <v>0</v>
      </c>
      <c r="AH5583">
        <v>0</v>
      </c>
      <c r="AI5583">
        <v>0</v>
      </c>
      <c r="AJ5583">
        <v>1</v>
      </c>
      <c r="AK5583">
        <v>0</v>
      </c>
      <c r="AL5583">
        <v>0</v>
      </c>
      <c r="AM5583">
        <v>0</v>
      </c>
      <c r="AN5583">
        <v>0</v>
      </c>
      <c r="AO5583">
        <v>0</v>
      </c>
      <c r="AP5583">
        <v>0</v>
      </c>
      <c r="AQ5583">
        <v>0</v>
      </c>
      <c r="AS5583">
        <v>0</v>
      </c>
      <c r="AT5583">
        <v>0</v>
      </c>
      <c r="AV5583">
        <v>0</v>
      </c>
      <c r="AW5583">
        <v>0</v>
      </c>
      <c r="AY5583">
        <v>0</v>
      </c>
      <c r="AZ5583">
        <v>0</v>
      </c>
      <c r="BA5583">
        <v>0</v>
      </c>
      <c r="BE5583" t="str">
        <f>T("9791137014381")</f>
        <v>9791137014381</v>
      </c>
      <c r="BF5583" t="str">
        <f>T("N218773")</f>
        <v>N218773</v>
      </c>
      <c r="BG5583" t="str">
        <f>T("판타지 웹소설 &gt; 퓨전 판타지")</f>
        <v>판타지 웹소설 &gt; 퓨전 판타지</v>
      </c>
    </row>
    <row r="5584" spans="1:59">
      <c r="A5584" t="s">
        <v>60</v>
      </c>
      <c r="B5584" s="1">
        <v>46130</v>
      </c>
      <c r="C5584">
        <v>2378044065</v>
      </c>
      <c r="D5584">
        <v>2378054849</v>
      </c>
      <c r="E5584" t="str">
        <f>T("저승의 왕위를 계승했다 235화")</f>
        <v>저승의 왕위를 계승했다 235화</v>
      </c>
      <c r="F5584">
        <v>235</v>
      </c>
      <c r="G5584" t="str">
        <f>T("신타비")</f>
        <v>신타비</v>
      </c>
      <c r="J5584" t="str">
        <f>T("매드햇")</f>
        <v>매드햇</v>
      </c>
      <c r="K5584" t="str">
        <f>T("저승의 왕위를 계승했다")</f>
        <v>저승의 왕위를 계승했다</v>
      </c>
      <c r="L5584">
        <v>100</v>
      </c>
      <c r="M5584">
        <v>175</v>
      </c>
      <c r="N5584">
        <v>2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0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0</v>
      </c>
      <c r="AE5584">
        <v>0</v>
      </c>
      <c r="AF5584">
        <v>0</v>
      </c>
      <c r="AG5584">
        <v>0</v>
      </c>
      <c r="AH5584">
        <v>0</v>
      </c>
      <c r="AI5584">
        <v>175</v>
      </c>
      <c r="AJ5584">
        <v>2</v>
      </c>
      <c r="AK5584">
        <v>0</v>
      </c>
      <c r="AL5584">
        <v>0</v>
      </c>
      <c r="AM5584">
        <v>175</v>
      </c>
      <c r="AN5584">
        <v>0</v>
      </c>
      <c r="AO5584">
        <v>0</v>
      </c>
      <c r="AP5584">
        <v>0</v>
      </c>
      <c r="AQ5584">
        <v>0</v>
      </c>
      <c r="AS5584">
        <v>0</v>
      </c>
      <c r="AT5584">
        <v>0</v>
      </c>
      <c r="AV5584">
        <v>0</v>
      </c>
      <c r="AW5584">
        <v>0</v>
      </c>
      <c r="AY5584">
        <v>0</v>
      </c>
      <c r="AZ5584">
        <v>0</v>
      </c>
      <c r="BA5584">
        <v>122.5</v>
      </c>
      <c r="BE5584" t="str">
        <f>T("9791137014381")</f>
        <v>9791137014381</v>
      </c>
      <c r="BF5584" t="str">
        <f>T("k124807")</f>
        <v>k124807</v>
      </c>
      <c r="BG5584" t="str">
        <f>T("판타지 웹소설 &gt; 퓨전 판타지")</f>
        <v>판타지 웹소설 &gt; 퓨전 판타지</v>
      </c>
    </row>
    <row r="5585" spans="1:59">
      <c r="A5585" t="s">
        <v>60</v>
      </c>
      <c r="B5585" s="1">
        <v>46130</v>
      </c>
      <c r="C5585">
        <v>2378044065</v>
      </c>
      <c r="D5585">
        <v>2378044070</v>
      </c>
      <c r="E5585" t="str">
        <f>T("저승의 왕위를 계승했다 6화")</f>
        <v>저승의 왕위를 계승했다 6화</v>
      </c>
      <c r="F5585">
        <v>6</v>
      </c>
      <c r="G5585" t="str">
        <f>T("신타비")</f>
        <v>신타비</v>
      </c>
      <c r="J5585" t="str">
        <f>T("매드햇")</f>
        <v>매드햇</v>
      </c>
      <c r="K5585" t="str">
        <f>T("저승의 왕위를 계승했다")</f>
        <v>저승의 왕위를 계승했다</v>
      </c>
      <c r="L5585">
        <v>0</v>
      </c>
      <c r="M5585">
        <v>0</v>
      </c>
      <c r="N5585">
        <v>0</v>
      </c>
      <c r="O5585">
        <v>2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0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0</v>
      </c>
      <c r="AE5585">
        <v>0</v>
      </c>
      <c r="AF5585">
        <v>0</v>
      </c>
      <c r="AG5585">
        <v>0</v>
      </c>
      <c r="AH5585">
        <v>0</v>
      </c>
      <c r="AI5585">
        <v>0</v>
      </c>
      <c r="AJ5585">
        <v>2</v>
      </c>
      <c r="AK5585">
        <v>0</v>
      </c>
      <c r="AL5585">
        <v>0</v>
      </c>
      <c r="AM5585">
        <v>0</v>
      </c>
      <c r="AN5585">
        <v>0</v>
      </c>
      <c r="AO5585">
        <v>0</v>
      </c>
      <c r="AP5585">
        <v>0</v>
      </c>
      <c r="AQ5585">
        <v>0</v>
      </c>
      <c r="AS5585">
        <v>0</v>
      </c>
      <c r="AT5585">
        <v>0</v>
      </c>
      <c r="AV5585">
        <v>0</v>
      </c>
      <c r="AW5585">
        <v>0</v>
      </c>
      <c r="AY5585">
        <v>0</v>
      </c>
      <c r="AZ5585">
        <v>0</v>
      </c>
      <c r="BA5585">
        <v>0</v>
      </c>
      <c r="BE5585" t="str">
        <f>T("9791137014381")</f>
        <v>9791137014381</v>
      </c>
      <c r="BF5585" t="str">
        <f>T("N218754")</f>
        <v>N218754</v>
      </c>
      <c r="BG5585" t="str">
        <f>T("판타지 웹소설 &gt; 퓨전 판타지")</f>
        <v>판타지 웹소설 &gt; 퓨전 판타지</v>
      </c>
    </row>
    <row r="5586" spans="1:59">
      <c r="A5586" t="s">
        <v>60</v>
      </c>
      <c r="B5586" s="1">
        <v>46130</v>
      </c>
      <c r="C5586">
        <v>2378044065</v>
      </c>
      <c r="D5586">
        <v>2378044071</v>
      </c>
      <c r="E5586" t="str">
        <f>T("저승의 왕위를 계승했다 7화")</f>
        <v>저승의 왕위를 계승했다 7화</v>
      </c>
      <c r="F5586">
        <v>7</v>
      </c>
      <c r="G5586" t="str">
        <f>T("신타비")</f>
        <v>신타비</v>
      </c>
      <c r="J5586" t="str">
        <f>T("매드햇")</f>
        <v>매드햇</v>
      </c>
      <c r="K5586" t="str">
        <f>T("저승의 왕위를 계승했다")</f>
        <v>저승의 왕위를 계승했다</v>
      </c>
      <c r="L5586">
        <v>0</v>
      </c>
      <c r="M5586">
        <v>0</v>
      </c>
      <c r="N5586">
        <v>0</v>
      </c>
      <c r="O5586">
        <v>2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0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0</v>
      </c>
      <c r="AE5586">
        <v>0</v>
      </c>
      <c r="AF5586">
        <v>0</v>
      </c>
      <c r="AG5586">
        <v>0</v>
      </c>
      <c r="AH5586">
        <v>0</v>
      </c>
      <c r="AI5586">
        <v>0</v>
      </c>
      <c r="AJ5586">
        <v>2</v>
      </c>
      <c r="AK5586">
        <v>0</v>
      </c>
      <c r="AL5586">
        <v>0</v>
      </c>
      <c r="AM5586">
        <v>0</v>
      </c>
      <c r="AN5586">
        <v>0</v>
      </c>
      <c r="AO5586">
        <v>0</v>
      </c>
      <c r="AP5586">
        <v>0</v>
      </c>
      <c r="AQ5586">
        <v>0</v>
      </c>
      <c r="AS5586">
        <v>0</v>
      </c>
      <c r="AT5586">
        <v>0</v>
      </c>
      <c r="AV5586">
        <v>0</v>
      </c>
      <c r="AW5586">
        <v>0</v>
      </c>
      <c r="AY5586">
        <v>0</v>
      </c>
      <c r="AZ5586">
        <v>0</v>
      </c>
      <c r="BA5586">
        <v>0</v>
      </c>
      <c r="BE5586" t="str">
        <f>T("9791137014381")</f>
        <v>9791137014381</v>
      </c>
      <c r="BF5586" t="str">
        <f>T("N218755")</f>
        <v>N218755</v>
      </c>
      <c r="BG5586" t="str">
        <f>T("판타지 웹소설 &gt; 퓨전 판타지")</f>
        <v>판타지 웹소설 &gt; 퓨전 판타지</v>
      </c>
    </row>
    <row r="5587" spans="1:59">
      <c r="A5587" t="s">
        <v>60</v>
      </c>
      <c r="B5587" s="1">
        <v>46130</v>
      </c>
      <c r="C5587">
        <v>2378044065</v>
      </c>
      <c r="D5587">
        <v>2378044072</v>
      </c>
      <c r="E5587" t="str">
        <f>T("저승의 왕위를 계승했다 8화")</f>
        <v>저승의 왕위를 계승했다 8화</v>
      </c>
      <c r="F5587">
        <v>8</v>
      </c>
      <c r="G5587" t="str">
        <f>T("신타비")</f>
        <v>신타비</v>
      </c>
      <c r="J5587" t="str">
        <f>T("매드햇")</f>
        <v>매드햇</v>
      </c>
      <c r="K5587" t="str">
        <f>T("저승의 왕위를 계승했다")</f>
        <v>저승의 왕위를 계승했다</v>
      </c>
      <c r="L5587">
        <v>0</v>
      </c>
      <c r="M5587">
        <v>0</v>
      </c>
      <c r="N5587">
        <v>0</v>
      </c>
      <c r="O5587">
        <v>2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0</v>
      </c>
      <c r="AE5587">
        <v>0</v>
      </c>
      <c r="AF5587">
        <v>0</v>
      </c>
      <c r="AG5587">
        <v>0</v>
      </c>
      <c r="AH5587">
        <v>0</v>
      </c>
      <c r="AI5587">
        <v>0</v>
      </c>
      <c r="AJ5587">
        <v>2</v>
      </c>
      <c r="AK5587">
        <v>0</v>
      </c>
      <c r="AL5587">
        <v>0</v>
      </c>
      <c r="AM5587">
        <v>0</v>
      </c>
      <c r="AN5587">
        <v>0</v>
      </c>
      <c r="AO5587">
        <v>0</v>
      </c>
      <c r="AP5587">
        <v>0</v>
      </c>
      <c r="AQ5587">
        <v>0</v>
      </c>
      <c r="AS5587">
        <v>0</v>
      </c>
      <c r="AT5587">
        <v>0</v>
      </c>
      <c r="AV5587">
        <v>0</v>
      </c>
      <c r="AW5587">
        <v>0</v>
      </c>
      <c r="AY5587">
        <v>0</v>
      </c>
      <c r="AZ5587">
        <v>0</v>
      </c>
      <c r="BA5587">
        <v>0</v>
      </c>
      <c r="BE5587" t="str">
        <f>T("9791137014381")</f>
        <v>9791137014381</v>
      </c>
      <c r="BF5587" t="str">
        <f>T("N218756")</f>
        <v>N218756</v>
      </c>
      <c r="BG5587" t="str">
        <f>T("판타지 웹소설 &gt; 퓨전 판타지")</f>
        <v>판타지 웹소설 &gt; 퓨전 판타지</v>
      </c>
    </row>
    <row r="5588" spans="1:59">
      <c r="A5588" t="s">
        <v>60</v>
      </c>
      <c r="B5588" s="1">
        <v>46130</v>
      </c>
      <c r="C5588">
        <v>2378044065</v>
      </c>
      <c r="D5588">
        <v>2378044073</v>
      </c>
      <c r="E5588" t="str">
        <f>T("저승의 왕위를 계승했다 9화")</f>
        <v>저승의 왕위를 계승했다 9화</v>
      </c>
      <c r="F5588">
        <v>9</v>
      </c>
      <c r="G5588" t="str">
        <f>T("신타비")</f>
        <v>신타비</v>
      </c>
      <c r="J5588" t="str">
        <f>T("매드햇")</f>
        <v>매드햇</v>
      </c>
      <c r="K5588" t="str">
        <f>T("저승의 왕위를 계승했다")</f>
        <v>저승의 왕위를 계승했다</v>
      </c>
      <c r="L5588">
        <v>0</v>
      </c>
      <c r="M5588">
        <v>0</v>
      </c>
      <c r="N5588">
        <v>0</v>
      </c>
      <c r="O5588">
        <v>2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0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0</v>
      </c>
      <c r="AE5588">
        <v>0</v>
      </c>
      <c r="AF5588">
        <v>0</v>
      </c>
      <c r="AG5588">
        <v>0</v>
      </c>
      <c r="AH5588">
        <v>0</v>
      </c>
      <c r="AI5588">
        <v>0</v>
      </c>
      <c r="AJ5588">
        <v>2</v>
      </c>
      <c r="AK5588">
        <v>0</v>
      </c>
      <c r="AL5588">
        <v>0</v>
      </c>
      <c r="AM5588">
        <v>0</v>
      </c>
      <c r="AN5588">
        <v>0</v>
      </c>
      <c r="AO5588">
        <v>0</v>
      </c>
      <c r="AP5588">
        <v>0</v>
      </c>
      <c r="AQ5588">
        <v>0</v>
      </c>
      <c r="AS5588">
        <v>0</v>
      </c>
      <c r="AT5588">
        <v>0</v>
      </c>
      <c r="AV5588">
        <v>0</v>
      </c>
      <c r="AW5588">
        <v>0</v>
      </c>
      <c r="AY5588">
        <v>0</v>
      </c>
      <c r="AZ5588">
        <v>0</v>
      </c>
      <c r="BA5588">
        <v>0</v>
      </c>
      <c r="BE5588" t="str">
        <f>T("9791137014381")</f>
        <v>9791137014381</v>
      </c>
      <c r="BF5588" t="str">
        <f>T("N218757")</f>
        <v>N218757</v>
      </c>
      <c r="BG5588" t="str">
        <f>T("판타지 웹소설 &gt; 퓨전 판타지")</f>
        <v>판타지 웹소설 &gt; 퓨전 판타지</v>
      </c>
    </row>
    <row r="5589" spans="1:59">
      <c r="A5589" t="s">
        <v>60</v>
      </c>
      <c r="B5589" s="1">
        <v>46130</v>
      </c>
      <c r="C5589">
        <v>2378044065</v>
      </c>
      <c r="D5589">
        <v>2378067614</v>
      </c>
      <c r="E5589" t="str">
        <f>T("저승의 왕위를 계승했다 443화")</f>
        <v>저승의 왕위를 계승했다 443화</v>
      </c>
      <c r="F5589">
        <v>444</v>
      </c>
      <c r="G5589" t="str">
        <f>T("신타비")</f>
        <v>신타비</v>
      </c>
      <c r="J5589" t="str">
        <f>T("매드햇")</f>
        <v>매드햇</v>
      </c>
      <c r="K5589" t="str">
        <f>T("저승의 왕위를 계승했다")</f>
        <v>저승의 왕위를 계승했다</v>
      </c>
      <c r="L5589">
        <v>100</v>
      </c>
      <c r="M5589">
        <v>200</v>
      </c>
      <c r="N5589">
        <v>2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0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0</v>
      </c>
      <c r="AE5589">
        <v>0</v>
      </c>
      <c r="AF5589">
        <v>0</v>
      </c>
      <c r="AG5589">
        <v>0</v>
      </c>
      <c r="AH5589">
        <v>0</v>
      </c>
      <c r="AI5589">
        <v>200</v>
      </c>
      <c r="AJ5589">
        <v>2</v>
      </c>
      <c r="AK5589">
        <v>0</v>
      </c>
      <c r="AL5589">
        <v>0</v>
      </c>
      <c r="AM5589">
        <v>200</v>
      </c>
      <c r="AN5589">
        <v>0</v>
      </c>
      <c r="AO5589">
        <v>0</v>
      </c>
      <c r="AP5589">
        <v>0</v>
      </c>
      <c r="AQ5589">
        <v>0</v>
      </c>
      <c r="AS5589">
        <v>0</v>
      </c>
      <c r="AT5589">
        <v>0</v>
      </c>
      <c r="AV5589">
        <v>0</v>
      </c>
      <c r="AW5589">
        <v>0</v>
      </c>
      <c r="AY5589">
        <v>0</v>
      </c>
      <c r="AZ5589">
        <v>0</v>
      </c>
      <c r="BA5589">
        <v>140</v>
      </c>
      <c r="BE5589" t="str">
        <f>T("9791137014381")</f>
        <v>9791137014381</v>
      </c>
      <c r="BF5589" t="str">
        <f>T("k332732")</f>
        <v>k332732</v>
      </c>
      <c r="BG5589" t="str">
        <f>T("판타지 웹소설 &gt; 퓨전 판타지")</f>
        <v>판타지 웹소설 &gt; 퓨전 판타지</v>
      </c>
    </row>
    <row r="5590" spans="1:59">
      <c r="A5590" t="s">
        <v>60</v>
      </c>
      <c r="B5590" s="1">
        <v>46130</v>
      </c>
      <c r="C5590">
        <v>2378044065</v>
      </c>
      <c r="D5590">
        <v>2378044074</v>
      </c>
      <c r="E5590" t="str">
        <f>T("저승의 왕위를 계승했다 10화")</f>
        <v>저승의 왕위를 계승했다 10화</v>
      </c>
      <c r="F5590">
        <v>10</v>
      </c>
      <c r="G5590" t="str">
        <f>T("신타비")</f>
        <v>신타비</v>
      </c>
      <c r="J5590" t="str">
        <f>T("매드햇")</f>
        <v>매드햇</v>
      </c>
      <c r="K5590" t="str">
        <f>T("저승의 왕위를 계승했다")</f>
        <v>저승의 왕위를 계승했다</v>
      </c>
      <c r="L5590">
        <v>0</v>
      </c>
      <c r="M5590">
        <v>0</v>
      </c>
      <c r="N5590">
        <v>0</v>
      </c>
      <c r="O5590">
        <v>2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0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0</v>
      </c>
      <c r="AE5590">
        <v>0</v>
      </c>
      <c r="AF5590">
        <v>0</v>
      </c>
      <c r="AG5590">
        <v>0</v>
      </c>
      <c r="AH5590">
        <v>0</v>
      </c>
      <c r="AI5590">
        <v>0</v>
      </c>
      <c r="AJ5590">
        <v>2</v>
      </c>
      <c r="AK5590">
        <v>0</v>
      </c>
      <c r="AL5590">
        <v>0</v>
      </c>
      <c r="AM5590">
        <v>0</v>
      </c>
      <c r="AN5590">
        <v>0</v>
      </c>
      <c r="AO5590">
        <v>0</v>
      </c>
      <c r="AP5590">
        <v>0</v>
      </c>
      <c r="AQ5590">
        <v>0</v>
      </c>
      <c r="AS5590">
        <v>0</v>
      </c>
      <c r="AT5590">
        <v>0</v>
      </c>
      <c r="AV5590">
        <v>0</v>
      </c>
      <c r="AW5590">
        <v>0</v>
      </c>
      <c r="AY5590">
        <v>0</v>
      </c>
      <c r="AZ5590">
        <v>0</v>
      </c>
      <c r="BA5590">
        <v>0</v>
      </c>
      <c r="BE5590" t="str">
        <f>T("9791137014381")</f>
        <v>9791137014381</v>
      </c>
      <c r="BF5590" t="str">
        <f>T("N218758")</f>
        <v>N218758</v>
      </c>
      <c r="BG5590" t="str">
        <f>T("판타지 웹소설 &gt; 퓨전 판타지")</f>
        <v>판타지 웹소설 &gt; 퓨전 판타지</v>
      </c>
    </row>
    <row r="5591" spans="1:59">
      <c r="A5591" t="s">
        <v>60</v>
      </c>
      <c r="B5591" s="1">
        <v>46130</v>
      </c>
      <c r="C5591">
        <v>2378044065</v>
      </c>
      <c r="D5591">
        <v>2378044090</v>
      </c>
      <c r="E5591" t="str">
        <f>T("저승의 왕위를 계승했다 26화")</f>
        <v>저승의 왕위를 계승했다 26화</v>
      </c>
      <c r="F5591">
        <v>26</v>
      </c>
      <c r="G5591" t="str">
        <f>T("신타비")</f>
        <v>신타비</v>
      </c>
      <c r="J5591" t="str">
        <f>T("매드햇")</f>
        <v>매드햇</v>
      </c>
      <c r="K5591" t="str">
        <f>T("저승의 왕위를 계승했다")</f>
        <v>저승의 왕위를 계승했다</v>
      </c>
      <c r="L5591">
        <v>100</v>
      </c>
      <c r="M5591">
        <v>100</v>
      </c>
      <c r="N5591">
        <v>1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0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0</v>
      </c>
      <c r="AE5591">
        <v>0</v>
      </c>
      <c r="AF5591">
        <v>0</v>
      </c>
      <c r="AG5591">
        <v>0</v>
      </c>
      <c r="AH5591">
        <v>0</v>
      </c>
      <c r="AI5591">
        <v>100</v>
      </c>
      <c r="AJ5591">
        <v>1</v>
      </c>
      <c r="AK5591">
        <v>0</v>
      </c>
      <c r="AL5591">
        <v>0</v>
      </c>
      <c r="AM5591">
        <v>100</v>
      </c>
      <c r="AN5591">
        <v>0</v>
      </c>
      <c r="AO5591">
        <v>0</v>
      </c>
      <c r="AP5591">
        <v>0</v>
      </c>
      <c r="AQ5591">
        <v>0</v>
      </c>
      <c r="AS5591">
        <v>0</v>
      </c>
      <c r="AT5591">
        <v>0</v>
      </c>
      <c r="AV5591">
        <v>0</v>
      </c>
      <c r="AW5591">
        <v>0</v>
      </c>
      <c r="AY5591">
        <v>0</v>
      </c>
      <c r="AZ5591">
        <v>0</v>
      </c>
      <c r="BA5591">
        <v>70</v>
      </c>
      <c r="BE5591" t="str">
        <f>T("9791137014381")</f>
        <v>9791137014381</v>
      </c>
      <c r="BF5591" t="str">
        <f>T("N218774")</f>
        <v>N218774</v>
      </c>
      <c r="BG5591" t="str">
        <f>T("판타지 웹소설 &gt; 퓨전 판타지")</f>
        <v>판타지 웹소설 &gt; 퓨전 판타지</v>
      </c>
    </row>
    <row r="5592" spans="1:59">
      <c r="A5592" t="s">
        <v>60</v>
      </c>
      <c r="B5592" s="1">
        <v>46130</v>
      </c>
      <c r="C5592">
        <v>2378044065</v>
      </c>
      <c r="D5592">
        <v>2378055944</v>
      </c>
      <c r="E5592" t="str">
        <f>T("저승의 왕위를 계승했다 271화")</f>
        <v>저승의 왕위를 계승했다 271화</v>
      </c>
      <c r="F5592">
        <v>271</v>
      </c>
      <c r="G5592" t="str">
        <f>T("신타비")</f>
        <v>신타비</v>
      </c>
      <c r="J5592" t="str">
        <f>T("매드햇")</f>
        <v>매드햇</v>
      </c>
      <c r="K5592" t="str">
        <f>T("저승의 왕위를 계승했다")</f>
        <v>저승의 왕위를 계승했다</v>
      </c>
      <c r="L5592">
        <v>100</v>
      </c>
      <c r="M5592">
        <v>100</v>
      </c>
      <c r="N5592">
        <v>1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0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0</v>
      </c>
      <c r="AE5592">
        <v>0</v>
      </c>
      <c r="AF5592">
        <v>0</v>
      </c>
      <c r="AG5592">
        <v>0</v>
      </c>
      <c r="AH5592">
        <v>0</v>
      </c>
      <c r="AI5592">
        <v>100</v>
      </c>
      <c r="AJ5592">
        <v>1</v>
      </c>
      <c r="AK5592">
        <v>0</v>
      </c>
      <c r="AL5592">
        <v>0</v>
      </c>
      <c r="AM5592">
        <v>100</v>
      </c>
      <c r="AN5592">
        <v>0</v>
      </c>
      <c r="AO5592">
        <v>0</v>
      </c>
      <c r="AP5592">
        <v>0</v>
      </c>
      <c r="AQ5592">
        <v>0</v>
      </c>
      <c r="AS5592">
        <v>0</v>
      </c>
      <c r="AT5592">
        <v>0</v>
      </c>
      <c r="AV5592">
        <v>0</v>
      </c>
      <c r="AW5592">
        <v>0</v>
      </c>
      <c r="AY5592">
        <v>0</v>
      </c>
      <c r="AZ5592">
        <v>0</v>
      </c>
      <c r="BA5592">
        <v>70</v>
      </c>
      <c r="BE5592" t="str">
        <f>T("9791137014381")</f>
        <v>9791137014381</v>
      </c>
      <c r="BF5592" t="str">
        <f>T("k152323")</f>
        <v>k152323</v>
      </c>
      <c r="BG5592" t="str">
        <f>T("판타지 웹소설 &gt; 퓨전 판타지")</f>
        <v>판타지 웹소설 &gt; 퓨전 판타지</v>
      </c>
    </row>
    <row r="5593" spans="1:59">
      <c r="A5593" t="s">
        <v>60</v>
      </c>
      <c r="B5593" s="1">
        <v>46130</v>
      </c>
      <c r="C5593">
        <v>2378044065</v>
      </c>
      <c r="D5593">
        <v>2378055989</v>
      </c>
      <c r="E5593" t="str">
        <f>T("저승의 왕위를 계승했다 272화")</f>
        <v>저승의 왕위를 계승했다 272화</v>
      </c>
      <c r="F5593">
        <v>272</v>
      </c>
      <c r="G5593" t="str">
        <f>T("신타비")</f>
        <v>신타비</v>
      </c>
      <c r="J5593" t="str">
        <f>T("매드햇")</f>
        <v>매드햇</v>
      </c>
      <c r="K5593" t="str">
        <f>T("저승의 왕위를 계승했다")</f>
        <v>저승의 왕위를 계승했다</v>
      </c>
      <c r="L5593">
        <v>100</v>
      </c>
      <c r="M5593">
        <v>100</v>
      </c>
      <c r="N5593">
        <v>1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0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0</v>
      </c>
      <c r="AE5593">
        <v>0</v>
      </c>
      <c r="AF5593">
        <v>0</v>
      </c>
      <c r="AG5593">
        <v>0</v>
      </c>
      <c r="AH5593">
        <v>0</v>
      </c>
      <c r="AI5593">
        <v>100</v>
      </c>
      <c r="AJ5593">
        <v>1</v>
      </c>
      <c r="AK5593">
        <v>0</v>
      </c>
      <c r="AL5593">
        <v>0</v>
      </c>
      <c r="AM5593">
        <v>100</v>
      </c>
      <c r="AN5593">
        <v>0</v>
      </c>
      <c r="AO5593">
        <v>0</v>
      </c>
      <c r="AP5593">
        <v>0</v>
      </c>
      <c r="AQ5593">
        <v>0</v>
      </c>
      <c r="AS5593">
        <v>0</v>
      </c>
      <c r="AT5593">
        <v>0</v>
      </c>
      <c r="AV5593">
        <v>0</v>
      </c>
      <c r="AW5593">
        <v>0</v>
      </c>
      <c r="AY5593">
        <v>0</v>
      </c>
      <c r="AZ5593">
        <v>0</v>
      </c>
      <c r="BA5593">
        <v>70</v>
      </c>
      <c r="BE5593" t="str">
        <f>T("9791137014381")</f>
        <v>9791137014381</v>
      </c>
      <c r="BF5593" t="str">
        <f>T("k152324")</f>
        <v>k152324</v>
      </c>
      <c r="BG5593" t="str">
        <f>T("판타지 웹소설 &gt; 퓨전 판타지")</f>
        <v>판타지 웹소설 &gt; 퓨전 판타지</v>
      </c>
    </row>
    <row r="5594" spans="1:59">
      <c r="A5594" t="s">
        <v>60</v>
      </c>
      <c r="B5594" s="1">
        <v>46130</v>
      </c>
      <c r="C5594">
        <v>2378044065</v>
      </c>
      <c r="D5594">
        <v>2378055990</v>
      </c>
      <c r="E5594" t="str">
        <f>T("저승의 왕위를 계승했다 273화")</f>
        <v>저승의 왕위를 계승했다 273화</v>
      </c>
      <c r="F5594">
        <v>273</v>
      </c>
      <c r="G5594" t="str">
        <f>T("신타비")</f>
        <v>신타비</v>
      </c>
      <c r="J5594" t="str">
        <f>T("매드햇")</f>
        <v>매드햇</v>
      </c>
      <c r="K5594" t="str">
        <f>T("저승의 왕위를 계승했다")</f>
        <v>저승의 왕위를 계승했다</v>
      </c>
      <c r="L5594">
        <v>100</v>
      </c>
      <c r="M5594">
        <v>100</v>
      </c>
      <c r="N5594">
        <v>1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0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0</v>
      </c>
      <c r="AE5594">
        <v>0</v>
      </c>
      <c r="AF5594">
        <v>0</v>
      </c>
      <c r="AG5594">
        <v>0</v>
      </c>
      <c r="AH5594">
        <v>0</v>
      </c>
      <c r="AI5594">
        <v>100</v>
      </c>
      <c r="AJ5594">
        <v>1</v>
      </c>
      <c r="AK5594">
        <v>0</v>
      </c>
      <c r="AL5594">
        <v>0</v>
      </c>
      <c r="AM5594">
        <v>100</v>
      </c>
      <c r="AN5594">
        <v>0</v>
      </c>
      <c r="AO5594">
        <v>0</v>
      </c>
      <c r="AP5594">
        <v>0</v>
      </c>
      <c r="AQ5594">
        <v>0</v>
      </c>
      <c r="AS5594">
        <v>0</v>
      </c>
      <c r="AT5594">
        <v>0</v>
      </c>
      <c r="AV5594">
        <v>0</v>
      </c>
      <c r="AW5594">
        <v>0</v>
      </c>
      <c r="AY5594">
        <v>0</v>
      </c>
      <c r="AZ5594">
        <v>0</v>
      </c>
      <c r="BA5594">
        <v>70</v>
      </c>
      <c r="BE5594" t="str">
        <f>T("9791137014381")</f>
        <v>9791137014381</v>
      </c>
      <c r="BF5594" t="str">
        <f>T("k152325")</f>
        <v>k152325</v>
      </c>
      <c r="BG5594" t="str">
        <f>T("판타지 웹소설 &gt; 퓨전 판타지")</f>
        <v>판타지 웹소설 &gt; 퓨전 판타지</v>
      </c>
    </row>
    <row r="5595" spans="1:59">
      <c r="A5595" t="s">
        <v>60</v>
      </c>
      <c r="B5595" s="1">
        <v>46130</v>
      </c>
      <c r="C5595">
        <v>2378044065</v>
      </c>
      <c r="D5595">
        <v>2378056005</v>
      </c>
      <c r="E5595" t="str">
        <f>T("저승의 왕위를 계승했다 274화 (삽화)")</f>
        <v>저승의 왕위를 계승했다 274화 (삽화)</v>
      </c>
      <c r="F5595">
        <v>274</v>
      </c>
      <c r="G5595" t="str">
        <f>T("신타비")</f>
        <v>신타비</v>
      </c>
      <c r="J5595" t="str">
        <f>T("매드햇")</f>
        <v>매드햇</v>
      </c>
      <c r="K5595" t="str">
        <f>T("저승의 왕위를 계승했다")</f>
        <v>저승의 왕위를 계승했다</v>
      </c>
      <c r="L5595">
        <v>100</v>
      </c>
      <c r="M5595">
        <v>200</v>
      </c>
      <c r="N5595">
        <v>2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0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0</v>
      </c>
      <c r="AE5595">
        <v>0</v>
      </c>
      <c r="AF5595">
        <v>0</v>
      </c>
      <c r="AG5595">
        <v>0</v>
      </c>
      <c r="AH5595">
        <v>0</v>
      </c>
      <c r="AI5595">
        <v>200</v>
      </c>
      <c r="AJ5595">
        <v>2</v>
      </c>
      <c r="AK5595">
        <v>0</v>
      </c>
      <c r="AL5595">
        <v>0</v>
      </c>
      <c r="AM5595">
        <v>200</v>
      </c>
      <c r="AN5595">
        <v>0</v>
      </c>
      <c r="AO5595">
        <v>0</v>
      </c>
      <c r="AP5595">
        <v>0</v>
      </c>
      <c r="AQ5595">
        <v>0</v>
      </c>
      <c r="AS5595">
        <v>0</v>
      </c>
      <c r="AT5595">
        <v>0</v>
      </c>
      <c r="AV5595">
        <v>0</v>
      </c>
      <c r="AW5595">
        <v>0</v>
      </c>
      <c r="AY5595">
        <v>0</v>
      </c>
      <c r="AZ5595">
        <v>0</v>
      </c>
      <c r="BA5595">
        <v>140</v>
      </c>
      <c r="BE5595" t="str">
        <f>T("9791137014381")</f>
        <v>9791137014381</v>
      </c>
      <c r="BF5595" t="str">
        <f>T("k152326")</f>
        <v>k152326</v>
      </c>
      <c r="BG5595" t="str">
        <f>T("판타지 웹소설 &gt; 퓨전 판타지")</f>
        <v>판타지 웹소설 &gt; 퓨전 판타지</v>
      </c>
    </row>
    <row r="5596" spans="1:59">
      <c r="A5596" t="s">
        <v>60</v>
      </c>
      <c r="B5596" s="1">
        <v>46130</v>
      </c>
      <c r="C5596">
        <v>2378044065</v>
      </c>
      <c r="D5596">
        <v>2378056018</v>
      </c>
      <c r="E5596" t="str">
        <f>T("저승의 왕위를 계승했다 275화")</f>
        <v>저승의 왕위를 계승했다 275화</v>
      </c>
      <c r="F5596">
        <v>275</v>
      </c>
      <c r="G5596" t="str">
        <f>T("신타비")</f>
        <v>신타비</v>
      </c>
      <c r="J5596" t="str">
        <f>T("매드햇")</f>
        <v>매드햇</v>
      </c>
      <c r="K5596" t="str">
        <f>T("저승의 왕위를 계승했다")</f>
        <v>저승의 왕위를 계승했다</v>
      </c>
      <c r="L5596">
        <v>100</v>
      </c>
      <c r="M5596">
        <v>100</v>
      </c>
      <c r="N5596">
        <v>1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0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0</v>
      </c>
      <c r="AE5596">
        <v>0</v>
      </c>
      <c r="AF5596">
        <v>0</v>
      </c>
      <c r="AG5596">
        <v>0</v>
      </c>
      <c r="AH5596">
        <v>0</v>
      </c>
      <c r="AI5596">
        <v>100</v>
      </c>
      <c r="AJ5596">
        <v>1</v>
      </c>
      <c r="AK5596">
        <v>0</v>
      </c>
      <c r="AL5596">
        <v>0</v>
      </c>
      <c r="AM5596">
        <v>100</v>
      </c>
      <c r="AN5596">
        <v>0</v>
      </c>
      <c r="AO5596">
        <v>0</v>
      </c>
      <c r="AP5596">
        <v>0</v>
      </c>
      <c r="AQ5596">
        <v>0</v>
      </c>
      <c r="AS5596">
        <v>0</v>
      </c>
      <c r="AT5596">
        <v>0</v>
      </c>
      <c r="AV5596">
        <v>0</v>
      </c>
      <c r="AW5596">
        <v>0</v>
      </c>
      <c r="AY5596">
        <v>0</v>
      </c>
      <c r="AZ5596">
        <v>0</v>
      </c>
      <c r="BA5596">
        <v>70</v>
      </c>
      <c r="BE5596" t="str">
        <f>T("9791137014381")</f>
        <v>9791137014381</v>
      </c>
      <c r="BF5596" t="str">
        <f>T("k168182")</f>
        <v>k168182</v>
      </c>
      <c r="BG5596" t="str">
        <f>T("판타지 웹소설 &gt; 퓨전 판타지")</f>
        <v>판타지 웹소설 &gt; 퓨전 판타지</v>
      </c>
    </row>
    <row r="5597" spans="1:59">
      <c r="A5597" t="s">
        <v>60</v>
      </c>
      <c r="B5597" s="1">
        <v>46130</v>
      </c>
      <c r="C5597">
        <v>2378044065</v>
      </c>
      <c r="D5597">
        <v>2378056552</v>
      </c>
      <c r="E5597" t="str">
        <f>T("저승의 왕위를 계승했다 276화")</f>
        <v>저승의 왕위를 계승했다 276화</v>
      </c>
      <c r="F5597">
        <v>276</v>
      </c>
      <c r="G5597" t="str">
        <f>T("신타비")</f>
        <v>신타비</v>
      </c>
      <c r="J5597" t="str">
        <f>T("매드햇")</f>
        <v>매드햇</v>
      </c>
      <c r="K5597" t="str">
        <f>T("저승의 왕위를 계승했다")</f>
        <v>저승의 왕위를 계승했다</v>
      </c>
      <c r="L5597">
        <v>100</v>
      </c>
      <c r="M5597">
        <v>100</v>
      </c>
      <c r="N5597">
        <v>1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0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0</v>
      </c>
      <c r="AE5597">
        <v>0</v>
      </c>
      <c r="AF5597">
        <v>0</v>
      </c>
      <c r="AG5597">
        <v>0</v>
      </c>
      <c r="AH5597">
        <v>0</v>
      </c>
      <c r="AI5597">
        <v>100</v>
      </c>
      <c r="AJ5597">
        <v>1</v>
      </c>
      <c r="AK5597">
        <v>0</v>
      </c>
      <c r="AL5597">
        <v>0</v>
      </c>
      <c r="AM5597">
        <v>100</v>
      </c>
      <c r="AN5597">
        <v>0</v>
      </c>
      <c r="AO5597">
        <v>0</v>
      </c>
      <c r="AP5597">
        <v>0</v>
      </c>
      <c r="AQ5597">
        <v>0</v>
      </c>
      <c r="AS5597">
        <v>0</v>
      </c>
      <c r="AT5597">
        <v>0</v>
      </c>
      <c r="AV5597">
        <v>0</v>
      </c>
      <c r="AW5597">
        <v>0</v>
      </c>
      <c r="AY5597">
        <v>0</v>
      </c>
      <c r="AZ5597">
        <v>0</v>
      </c>
      <c r="BA5597">
        <v>70</v>
      </c>
      <c r="BE5597" t="str">
        <f>T("9791137014381")</f>
        <v>9791137014381</v>
      </c>
      <c r="BF5597" t="str">
        <f>T("k168183")</f>
        <v>k168183</v>
      </c>
      <c r="BG5597" t="str">
        <f>T("판타지 웹소설 &gt; 퓨전 판타지")</f>
        <v>판타지 웹소설 &gt; 퓨전 판타지</v>
      </c>
    </row>
    <row r="5598" spans="1:59">
      <c r="A5598" t="s">
        <v>60</v>
      </c>
      <c r="B5598" s="1">
        <v>46130</v>
      </c>
      <c r="C5598">
        <v>2378044065</v>
      </c>
      <c r="D5598">
        <v>2378057190</v>
      </c>
      <c r="E5598" t="str">
        <f>T("저승의 왕위를 계승했다 277화")</f>
        <v>저승의 왕위를 계승했다 277화</v>
      </c>
      <c r="F5598">
        <v>277</v>
      </c>
      <c r="G5598" t="str">
        <f>T("신타비")</f>
        <v>신타비</v>
      </c>
      <c r="J5598" t="str">
        <f>T("매드햇")</f>
        <v>매드햇</v>
      </c>
      <c r="K5598" t="str">
        <f>T("저승의 왕위를 계승했다")</f>
        <v>저승의 왕위를 계승했다</v>
      </c>
      <c r="L5598">
        <v>100</v>
      </c>
      <c r="M5598">
        <v>100</v>
      </c>
      <c r="N5598">
        <v>1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0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0</v>
      </c>
      <c r="AE5598">
        <v>0</v>
      </c>
      <c r="AF5598">
        <v>0</v>
      </c>
      <c r="AG5598">
        <v>0</v>
      </c>
      <c r="AH5598">
        <v>0</v>
      </c>
      <c r="AI5598">
        <v>100</v>
      </c>
      <c r="AJ5598">
        <v>1</v>
      </c>
      <c r="AK5598">
        <v>0</v>
      </c>
      <c r="AL5598">
        <v>0</v>
      </c>
      <c r="AM5598">
        <v>100</v>
      </c>
      <c r="AN5598">
        <v>0</v>
      </c>
      <c r="AO5598">
        <v>0</v>
      </c>
      <c r="AP5598">
        <v>0</v>
      </c>
      <c r="AQ5598">
        <v>0</v>
      </c>
      <c r="AS5598">
        <v>0</v>
      </c>
      <c r="AT5598">
        <v>0</v>
      </c>
      <c r="AV5598">
        <v>0</v>
      </c>
      <c r="AW5598">
        <v>0</v>
      </c>
      <c r="AY5598">
        <v>0</v>
      </c>
      <c r="AZ5598">
        <v>0</v>
      </c>
      <c r="BA5598">
        <v>70</v>
      </c>
      <c r="BE5598" t="str">
        <f>T("9791137014381")</f>
        <v>9791137014381</v>
      </c>
      <c r="BF5598" t="str">
        <f>T("k168184")</f>
        <v>k168184</v>
      </c>
      <c r="BG5598" t="str">
        <f>T("판타지 웹소설 &gt; 퓨전 판타지")</f>
        <v>판타지 웹소설 &gt; 퓨전 판타지</v>
      </c>
    </row>
    <row r="5599" spans="1:59">
      <c r="A5599" t="s">
        <v>60</v>
      </c>
      <c r="B5599" s="1">
        <v>46130</v>
      </c>
      <c r="C5599">
        <v>2378044065</v>
      </c>
      <c r="D5599">
        <v>2378057207</v>
      </c>
      <c r="E5599" t="str">
        <f>T("저승의 왕위를 계승했다 278화")</f>
        <v>저승의 왕위를 계승했다 278화</v>
      </c>
      <c r="F5599">
        <v>278</v>
      </c>
      <c r="G5599" t="str">
        <f>T("신타비")</f>
        <v>신타비</v>
      </c>
      <c r="J5599" t="str">
        <f>T("매드햇")</f>
        <v>매드햇</v>
      </c>
      <c r="K5599" t="str">
        <f>T("저승의 왕위를 계승했다")</f>
        <v>저승의 왕위를 계승했다</v>
      </c>
      <c r="L5599">
        <v>100</v>
      </c>
      <c r="M5599">
        <v>100</v>
      </c>
      <c r="N5599">
        <v>1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0</v>
      </c>
      <c r="AE5599">
        <v>0</v>
      </c>
      <c r="AF5599">
        <v>0</v>
      </c>
      <c r="AG5599">
        <v>0</v>
      </c>
      <c r="AH5599">
        <v>0</v>
      </c>
      <c r="AI5599">
        <v>100</v>
      </c>
      <c r="AJ5599">
        <v>1</v>
      </c>
      <c r="AK5599">
        <v>0</v>
      </c>
      <c r="AL5599">
        <v>0</v>
      </c>
      <c r="AM5599">
        <v>100</v>
      </c>
      <c r="AN5599">
        <v>0</v>
      </c>
      <c r="AO5599">
        <v>0</v>
      </c>
      <c r="AP5599">
        <v>0</v>
      </c>
      <c r="AQ5599">
        <v>0</v>
      </c>
      <c r="AS5599">
        <v>0</v>
      </c>
      <c r="AT5599">
        <v>0</v>
      </c>
      <c r="AV5599">
        <v>0</v>
      </c>
      <c r="AW5599">
        <v>0</v>
      </c>
      <c r="AY5599">
        <v>0</v>
      </c>
      <c r="AZ5599">
        <v>0</v>
      </c>
      <c r="BA5599">
        <v>70</v>
      </c>
      <c r="BE5599" t="str">
        <f>T("9791137014381")</f>
        <v>9791137014381</v>
      </c>
      <c r="BF5599" t="str">
        <f>T("k168185")</f>
        <v>k168185</v>
      </c>
      <c r="BG5599" t="str">
        <f>T("판타지 웹소설 &gt; 퓨전 판타지")</f>
        <v>판타지 웹소설 &gt; 퓨전 판타지</v>
      </c>
    </row>
    <row r="5600" spans="1:59">
      <c r="A5600" t="s">
        <v>60</v>
      </c>
      <c r="B5600" s="1">
        <v>46130</v>
      </c>
      <c r="C5600">
        <v>2378044065</v>
      </c>
      <c r="D5600">
        <v>2378057244</v>
      </c>
      <c r="E5600" t="str">
        <f>T("저승의 왕위를 계승했다 279화")</f>
        <v>저승의 왕위를 계승했다 279화</v>
      </c>
      <c r="F5600">
        <v>279</v>
      </c>
      <c r="G5600" t="str">
        <f>T("신타비")</f>
        <v>신타비</v>
      </c>
      <c r="J5600" t="str">
        <f>T("매드햇")</f>
        <v>매드햇</v>
      </c>
      <c r="K5600" t="str">
        <f>T("저승의 왕위를 계승했다")</f>
        <v>저승의 왕위를 계승했다</v>
      </c>
      <c r="L5600">
        <v>100</v>
      </c>
      <c r="M5600">
        <v>100</v>
      </c>
      <c r="N5600">
        <v>1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0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0</v>
      </c>
      <c r="AE5600">
        <v>0</v>
      </c>
      <c r="AF5600">
        <v>0</v>
      </c>
      <c r="AG5600">
        <v>0</v>
      </c>
      <c r="AH5600">
        <v>0</v>
      </c>
      <c r="AI5600">
        <v>100</v>
      </c>
      <c r="AJ5600">
        <v>1</v>
      </c>
      <c r="AK5600">
        <v>0</v>
      </c>
      <c r="AL5600">
        <v>0</v>
      </c>
      <c r="AM5600">
        <v>100</v>
      </c>
      <c r="AN5600">
        <v>0</v>
      </c>
      <c r="AO5600">
        <v>0</v>
      </c>
      <c r="AP5600">
        <v>0</v>
      </c>
      <c r="AQ5600">
        <v>0</v>
      </c>
      <c r="AS5600">
        <v>0</v>
      </c>
      <c r="AT5600">
        <v>0</v>
      </c>
      <c r="AV5600">
        <v>0</v>
      </c>
      <c r="AW5600">
        <v>0</v>
      </c>
      <c r="AY5600">
        <v>0</v>
      </c>
      <c r="AZ5600">
        <v>0</v>
      </c>
      <c r="BA5600">
        <v>70</v>
      </c>
      <c r="BE5600" t="str">
        <f>T("9791137014381")</f>
        <v>9791137014381</v>
      </c>
      <c r="BF5600" t="str">
        <f>T("k168186")</f>
        <v>k168186</v>
      </c>
      <c r="BG5600" t="str">
        <f>T("판타지 웹소설 &gt; 퓨전 판타지")</f>
        <v>판타지 웹소설 &gt; 퓨전 판타지</v>
      </c>
    </row>
    <row r="5601" spans="1:59">
      <c r="A5601" t="s">
        <v>60</v>
      </c>
      <c r="B5601" s="1">
        <v>46130</v>
      </c>
      <c r="C5601">
        <v>2378044065</v>
      </c>
      <c r="D5601">
        <v>2378057272</v>
      </c>
      <c r="E5601" t="str">
        <f>T("저승의 왕위를 계승했다 280화")</f>
        <v>저승의 왕위를 계승했다 280화</v>
      </c>
      <c r="F5601">
        <v>280</v>
      </c>
      <c r="G5601" t="str">
        <f>T("신타비")</f>
        <v>신타비</v>
      </c>
      <c r="J5601" t="str">
        <f>T("매드햇")</f>
        <v>매드햇</v>
      </c>
      <c r="K5601" t="str">
        <f>T("저승의 왕위를 계승했다")</f>
        <v>저승의 왕위를 계승했다</v>
      </c>
      <c r="L5601">
        <v>100</v>
      </c>
      <c r="M5601">
        <v>100</v>
      </c>
      <c r="N5601">
        <v>1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0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0</v>
      </c>
      <c r="AE5601">
        <v>0</v>
      </c>
      <c r="AF5601">
        <v>0</v>
      </c>
      <c r="AG5601">
        <v>0</v>
      </c>
      <c r="AH5601">
        <v>0</v>
      </c>
      <c r="AI5601">
        <v>100</v>
      </c>
      <c r="AJ5601">
        <v>1</v>
      </c>
      <c r="AK5601">
        <v>0</v>
      </c>
      <c r="AL5601">
        <v>0</v>
      </c>
      <c r="AM5601">
        <v>100</v>
      </c>
      <c r="AN5601">
        <v>0</v>
      </c>
      <c r="AO5601">
        <v>0</v>
      </c>
      <c r="AP5601">
        <v>0</v>
      </c>
      <c r="AQ5601">
        <v>0</v>
      </c>
      <c r="AS5601">
        <v>0</v>
      </c>
      <c r="AT5601">
        <v>0</v>
      </c>
      <c r="AV5601">
        <v>0</v>
      </c>
      <c r="AW5601">
        <v>0</v>
      </c>
      <c r="AY5601">
        <v>0</v>
      </c>
      <c r="AZ5601">
        <v>0</v>
      </c>
      <c r="BA5601">
        <v>70</v>
      </c>
      <c r="BE5601" t="str">
        <f>T("9791137014381")</f>
        <v>9791137014381</v>
      </c>
      <c r="BF5601" t="str">
        <f>T("k168187")</f>
        <v>k168187</v>
      </c>
      <c r="BG5601" t="str">
        <f>T("판타지 웹소설 &gt; 퓨전 판타지")</f>
        <v>판타지 웹소설 &gt; 퓨전 판타지</v>
      </c>
    </row>
    <row r="5602" spans="1:59">
      <c r="A5602" t="s">
        <v>60</v>
      </c>
      <c r="B5602" s="1">
        <v>46130</v>
      </c>
      <c r="C5602">
        <v>2378044065</v>
      </c>
      <c r="D5602">
        <v>2378057937</v>
      </c>
      <c r="E5602" t="str">
        <f>T("저승의 왕위를 계승했다 281화")</f>
        <v>저승의 왕위를 계승했다 281화</v>
      </c>
      <c r="F5602">
        <v>281</v>
      </c>
      <c r="G5602" t="str">
        <f>T("신타비")</f>
        <v>신타비</v>
      </c>
      <c r="J5602" t="str">
        <f>T("매드햇")</f>
        <v>매드햇</v>
      </c>
      <c r="K5602" t="str">
        <f>T("저승의 왕위를 계승했다")</f>
        <v>저승의 왕위를 계승했다</v>
      </c>
      <c r="L5602">
        <v>100</v>
      </c>
      <c r="M5602">
        <v>100</v>
      </c>
      <c r="N5602">
        <v>1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0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0</v>
      </c>
      <c r="AE5602">
        <v>0</v>
      </c>
      <c r="AF5602">
        <v>0</v>
      </c>
      <c r="AG5602">
        <v>0</v>
      </c>
      <c r="AH5602">
        <v>0</v>
      </c>
      <c r="AI5602">
        <v>100</v>
      </c>
      <c r="AJ5602">
        <v>1</v>
      </c>
      <c r="AK5602">
        <v>0</v>
      </c>
      <c r="AL5602">
        <v>0</v>
      </c>
      <c r="AM5602">
        <v>100</v>
      </c>
      <c r="AN5602">
        <v>0</v>
      </c>
      <c r="AO5602">
        <v>0</v>
      </c>
      <c r="AP5602">
        <v>0</v>
      </c>
      <c r="AQ5602">
        <v>0</v>
      </c>
      <c r="AS5602">
        <v>0</v>
      </c>
      <c r="AT5602">
        <v>0</v>
      </c>
      <c r="AV5602">
        <v>0</v>
      </c>
      <c r="AW5602">
        <v>0</v>
      </c>
      <c r="AY5602">
        <v>0</v>
      </c>
      <c r="AZ5602">
        <v>0</v>
      </c>
      <c r="BA5602">
        <v>70</v>
      </c>
      <c r="BE5602" t="str">
        <f>T("9791137014381")</f>
        <v>9791137014381</v>
      </c>
      <c r="BF5602" t="str">
        <f>T("k168188")</f>
        <v>k168188</v>
      </c>
      <c r="BG5602" t="str">
        <f>T("판타지 웹소설 &gt; 퓨전 판타지")</f>
        <v>판타지 웹소설 &gt; 퓨전 판타지</v>
      </c>
    </row>
    <row r="5603" spans="1:59">
      <c r="A5603" t="s">
        <v>60</v>
      </c>
      <c r="B5603" s="1">
        <v>46130</v>
      </c>
      <c r="C5603">
        <v>2378044065</v>
      </c>
      <c r="D5603">
        <v>2378057938</v>
      </c>
      <c r="E5603" t="str">
        <f>T("저승의 왕위를 계승했다 282화")</f>
        <v>저승의 왕위를 계승했다 282화</v>
      </c>
      <c r="F5603">
        <v>282</v>
      </c>
      <c r="G5603" t="str">
        <f>T("신타비")</f>
        <v>신타비</v>
      </c>
      <c r="J5603" t="str">
        <f>T("매드햇")</f>
        <v>매드햇</v>
      </c>
      <c r="K5603" t="str">
        <f>T("저승의 왕위를 계승했다")</f>
        <v>저승의 왕위를 계승했다</v>
      </c>
      <c r="L5603">
        <v>100</v>
      </c>
      <c r="M5603">
        <v>100</v>
      </c>
      <c r="N5603">
        <v>1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0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0</v>
      </c>
      <c r="AE5603">
        <v>0</v>
      </c>
      <c r="AF5603">
        <v>0</v>
      </c>
      <c r="AG5603">
        <v>0</v>
      </c>
      <c r="AH5603">
        <v>0</v>
      </c>
      <c r="AI5603">
        <v>100</v>
      </c>
      <c r="AJ5603">
        <v>1</v>
      </c>
      <c r="AK5603">
        <v>0</v>
      </c>
      <c r="AL5603">
        <v>0</v>
      </c>
      <c r="AM5603">
        <v>100</v>
      </c>
      <c r="AN5603">
        <v>0</v>
      </c>
      <c r="AO5603">
        <v>0</v>
      </c>
      <c r="AP5603">
        <v>0</v>
      </c>
      <c r="AQ5603">
        <v>0</v>
      </c>
      <c r="AS5603">
        <v>0</v>
      </c>
      <c r="AT5603">
        <v>0</v>
      </c>
      <c r="AV5603">
        <v>0</v>
      </c>
      <c r="AW5603">
        <v>0</v>
      </c>
      <c r="AY5603">
        <v>0</v>
      </c>
      <c r="AZ5603">
        <v>0</v>
      </c>
      <c r="BA5603">
        <v>70</v>
      </c>
      <c r="BE5603" t="str">
        <f>T("9791137014381")</f>
        <v>9791137014381</v>
      </c>
      <c r="BF5603" t="str">
        <f>T("k168189")</f>
        <v>k168189</v>
      </c>
      <c r="BG5603" t="str">
        <f>T("판타지 웹소설 &gt; 퓨전 판타지")</f>
        <v>판타지 웹소설 &gt; 퓨전 판타지</v>
      </c>
    </row>
    <row r="5604" spans="1:59">
      <c r="A5604" t="s">
        <v>60</v>
      </c>
      <c r="B5604" s="1">
        <v>46130</v>
      </c>
      <c r="C5604">
        <v>2378044065</v>
      </c>
      <c r="D5604">
        <v>2378057946</v>
      </c>
      <c r="E5604" t="str">
        <f>T("저승의 왕위를 계승했다 283화")</f>
        <v>저승의 왕위를 계승했다 283화</v>
      </c>
      <c r="F5604">
        <v>283</v>
      </c>
      <c r="G5604" t="str">
        <f>T("신타비")</f>
        <v>신타비</v>
      </c>
      <c r="J5604" t="str">
        <f>T("매드햇")</f>
        <v>매드햇</v>
      </c>
      <c r="K5604" t="str">
        <f>T("저승의 왕위를 계승했다")</f>
        <v>저승의 왕위를 계승했다</v>
      </c>
      <c r="L5604">
        <v>100</v>
      </c>
      <c r="M5604">
        <v>100</v>
      </c>
      <c r="N5604">
        <v>1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0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0</v>
      </c>
      <c r="AE5604">
        <v>0</v>
      </c>
      <c r="AF5604">
        <v>0</v>
      </c>
      <c r="AG5604">
        <v>0</v>
      </c>
      <c r="AH5604">
        <v>0</v>
      </c>
      <c r="AI5604">
        <v>100</v>
      </c>
      <c r="AJ5604">
        <v>1</v>
      </c>
      <c r="AK5604">
        <v>0</v>
      </c>
      <c r="AL5604">
        <v>0</v>
      </c>
      <c r="AM5604">
        <v>100</v>
      </c>
      <c r="AN5604">
        <v>0</v>
      </c>
      <c r="AO5604">
        <v>0</v>
      </c>
      <c r="AP5604">
        <v>0</v>
      </c>
      <c r="AQ5604">
        <v>0</v>
      </c>
      <c r="AS5604">
        <v>0</v>
      </c>
      <c r="AT5604">
        <v>0</v>
      </c>
      <c r="AV5604">
        <v>0</v>
      </c>
      <c r="AW5604">
        <v>0</v>
      </c>
      <c r="AY5604">
        <v>0</v>
      </c>
      <c r="AZ5604">
        <v>0</v>
      </c>
      <c r="BA5604">
        <v>70</v>
      </c>
      <c r="BE5604" t="str">
        <f>T("9791137014381")</f>
        <v>9791137014381</v>
      </c>
      <c r="BF5604" t="str">
        <f>T("k184273")</f>
        <v>k184273</v>
      </c>
      <c r="BG5604" t="str">
        <f>T("판타지 웹소설 &gt; 퓨전 판타지")</f>
        <v>판타지 웹소설 &gt; 퓨전 판타지</v>
      </c>
    </row>
    <row r="5605" spans="1:59">
      <c r="A5605" t="s">
        <v>60</v>
      </c>
      <c r="B5605" s="1">
        <v>46130</v>
      </c>
      <c r="C5605">
        <v>2378044065</v>
      </c>
      <c r="D5605">
        <v>2378058001</v>
      </c>
      <c r="E5605" t="str">
        <f>T("저승의 왕위를 계승했다 284화")</f>
        <v>저승의 왕위를 계승했다 284화</v>
      </c>
      <c r="F5605">
        <v>284</v>
      </c>
      <c r="G5605" t="str">
        <f>T("신타비")</f>
        <v>신타비</v>
      </c>
      <c r="J5605" t="str">
        <f>T("매드햇")</f>
        <v>매드햇</v>
      </c>
      <c r="K5605" t="str">
        <f>T("저승의 왕위를 계승했다")</f>
        <v>저승의 왕위를 계승했다</v>
      </c>
      <c r="L5605">
        <v>100</v>
      </c>
      <c r="M5605">
        <v>100</v>
      </c>
      <c r="N5605">
        <v>1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0</v>
      </c>
      <c r="AE5605">
        <v>0</v>
      </c>
      <c r="AF5605">
        <v>0</v>
      </c>
      <c r="AG5605">
        <v>0</v>
      </c>
      <c r="AH5605">
        <v>0</v>
      </c>
      <c r="AI5605">
        <v>100</v>
      </c>
      <c r="AJ5605">
        <v>1</v>
      </c>
      <c r="AK5605">
        <v>0</v>
      </c>
      <c r="AL5605">
        <v>0</v>
      </c>
      <c r="AM5605">
        <v>100</v>
      </c>
      <c r="AN5605">
        <v>0</v>
      </c>
      <c r="AO5605">
        <v>0</v>
      </c>
      <c r="AP5605">
        <v>0</v>
      </c>
      <c r="AQ5605">
        <v>0</v>
      </c>
      <c r="AS5605">
        <v>0</v>
      </c>
      <c r="AT5605">
        <v>0</v>
      </c>
      <c r="AV5605">
        <v>0</v>
      </c>
      <c r="AW5605">
        <v>0</v>
      </c>
      <c r="AY5605">
        <v>0</v>
      </c>
      <c r="AZ5605">
        <v>0</v>
      </c>
      <c r="BA5605">
        <v>70</v>
      </c>
      <c r="BE5605" t="str">
        <f>T("9791137014381")</f>
        <v>9791137014381</v>
      </c>
      <c r="BF5605" t="str">
        <f>T("k184274")</f>
        <v>k184274</v>
      </c>
      <c r="BG5605" t="str">
        <f>T("판타지 웹소설 &gt; 퓨전 판타지")</f>
        <v>판타지 웹소설 &gt; 퓨전 판타지</v>
      </c>
    </row>
    <row r="5606" spans="1:59">
      <c r="A5606" t="s">
        <v>60</v>
      </c>
      <c r="B5606" s="1">
        <v>46130</v>
      </c>
      <c r="C5606">
        <v>2378044065</v>
      </c>
      <c r="D5606">
        <v>2378058055</v>
      </c>
      <c r="E5606" t="str">
        <f>T("저승의 왕위를 계승했다 285화")</f>
        <v>저승의 왕위를 계승했다 285화</v>
      </c>
      <c r="F5606">
        <v>285</v>
      </c>
      <c r="G5606" t="str">
        <f>T("신타비")</f>
        <v>신타비</v>
      </c>
      <c r="J5606" t="str">
        <f>T("매드햇")</f>
        <v>매드햇</v>
      </c>
      <c r="K5606" t="str">
        <f>T("저승의 왕위를 계승했다")</f>
        <v>저승의 왕위를 계승했다</v>
      </c>
      <c r="L5606">
        <v>100</v>
      </c>
      <c r="M5606">
        <v>100</v>
      </c>
      <c r="N5606">
        <v>1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0</v>
      </c>
      <c r="V5606">
        <v>0</v>
      </c>
      <c r="W5606">
        <v>0</v>
      </c>
      <c r="X5606">
        <v>0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0</v>
      </c>
      <c r="AE5606">
        <v>0</v>
      </c>
      <c r="AF5606">
        <v>0</v>
      </c>
      <c r="AG5606">
        <v>0</v>
      </c>
      <c r="AH5606">
        <v>0</v>
      </c>
      <c r="AI5606">
        <v>100</v>
      </c>
      <c r="AJ5606">
        <v>1</v>
      </c>
      <c r="AK5606">
        <v>0</v>
      </c>
      <c r="AL5606">
        <v>0</v>
      </c>
      <c r="AM5606">
        <v>100</v>
      </c>
      <c r="AN5606">
        <v>0</v>
      </c>
      <c r="AO5606">
        <v>0</v>
      </c>
      <c r="AP5606">
        <v>0</v>
      </c>
      <c r="AQ5606">
        <v>0</v>
      </c>
      <c r="AS5606">
        <v>0</v>
      </c>
      <c r="AT5606">
        <v>0</v>
      </c>
      <c r="AV5606">
        <v>0</v>
      </c>
      <c r="AW5606">
        <v>0</v>
      </c>
      <c r="AY5606">
        <v>0</v>
      </c>
      <c r="AZ5606">
        <v>0</v>
      </c>
      <c r="BA5606">
        <v>70</v>
      </c>
      <c r="BE5606" t="str">
        <f>T("9791137014381")</f>
        <v>9791137014381</v>
      </c>
      <c r="BF5606" t="str">
        <f>T("k184275")</f>
        <v>k184275</v>
      </c>
      <c r="BG5606" t="str">
        <f>T("판타지 웹소설 &gt; 퓨전 판타지")</f>
        <v>판타지 웹소설 &gt; 퓨전 판타지</v>
      </c>
    </row>
    <row r="5607" spans="1:59">
      <c r="A5607" t="s">
        <v>60</v>
      </c>
      <c r="B5607" s="1">
        <v>46130</v>
      </c>
      <c r="C5607">
        <v>2378044065</v>
      </c>
      <c r="D5607">
        <v>2378058067</v>
      </c>
      <c r="E5607" t="str">
        <f>T("저승의 왕위를 계승했다 286화")</f>
        <v>저승의 왕위를 계승했다 286화</v>
      </c>
      <c r="F5607">
        <v>286</v>
      </c>
      <c r="G5607" t="str">
        <f>T("신타비")</f>
        <v>신타비</v>
      </c>
      <c r="J5607" t="str">
        <f>T("매드햇")</f>
        <v>매드햇</v>
      </c>
      <c r="K5607" t="str">
        <f>T("저승의 왕위를 계승했다")</f>
        <v>저승의 왕위를 계승했다</v>
      </c>
      <c r="L5607">
        <v>100</v>
      </c>
      <c r="M5607">
        <v>100</v>
      </c>
      <c r="N5607">
        <v>1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0</v>
      </c>
      <c r="V5607">
        <v>0</v>
      </c>
      <c r="W5607">
        <v>0</v>
      </c>
      <c r="X5607">
        <v>0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0</v>
      </c>
      <c r="AE5607">
        <v>0</v>
      </c>
      <c r="AF5607">
        <v>0</v>
      </c>
      <c r="AG5607">
        <v>0</v>
      </c>
      <c r="AH5607">
        <v>0</v>
      </c>
      <c r="AI5607">
        <v>100</v>
      </c>
      <c r="AJ5607">
        <v>1</v>
      </c>
      <c r="AK5607">
        <v>0</v>
      </c>
      <c r="AL5607">
        <v>0</v>
      </c>
      <c r="AM5607">
        <v>100</v>
      </c>
      <c r="AN5607">
        <v>0</v>
      </c>
      <c r="AO5607">
        <v>0</v>
      </c>
      <c r="AP5607">
        <v>0</v>
      </c>
      <c r="AQ5607">
        <v>0</v>
      </c>
      <c r="AS5607">
        <v>0</v>
      </c>
      <c r="AT5607">
        <v>0</v>
      </c>
      <c r="AV5607">
        <v>0</v>
      </c>
      <c r="AW5607">
        <v>0</v>
      </c>
      <c r="AY5607">
        <v>0</v>
      </c>
      <c r="AZ5607">
        <v>0</v>
      </c>
      <c r="BA5607">
        <v>70</v>
      </c>
      <c r="BE5607" t="str">
        <f>T("9791137014381")</f>
        <v>9791137014381</v>
      </c>
      <c r="BF5607" t="str">
        <f>T("k184276")</f>
        <v>k184276</v>
      </c>
      <c r="BG5607" t="str">
        <f>T("판타지 웹소설 &gt; 퓨전 판타지")</f>
        <v>판타지 웹소설 &gt; 퓨전 판타지</v>
      </c>
    </row>
    <row r="5608" spans="1:59">
      <c r="A5608" t="s">
        <v>60</v>
      </c>
      <c r="B5608" s="1">
        <v>46130</v>
      </c>
      <c r="C5608">
        <v>2378044065</v>
      </c>
      <c r="D5608">
        <v>2378058232</v>
      </c>
      <c r="E5608" t="str">
        <f>T("저승의 왕위를 계승했다 287화")</f>
        <v>저승의 왕위를 계승했다 287화</v>
      </c>
      <c r="F5608">
        <v>287</v>
      </c>
      <c r="G5608" t="str">
        <f>T("신타비")</f>
        <v>신타비</v>
      </c>
      <c r="J5608" t="str">
        <f>T("매드햇")</f>
        <v>매드햇</v>
      </c>
      <c r="K5608" t="str">
        <f>T("저승의 왕위를 계승했다")</f>
        <v>저승의 왕위를 계승했다</v>
      </c>
      <c r="L5608">
        <v>100</v>
      </c>
      <c r="M5608">
        <v>100</v>
      </c>
      <c r="N5608">
        <v>1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0</v>
      </c>
      <c r="V5608">
        <v>0</v>
      </c>
      <c r="W5608">
        <v>0</v>
      </c>
      <c r="X5608">
        <v>0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0</v>
      </c>
      <c r="AE5608">
        <v>0</v>
      </c>
      <c r="AF5608">
        <v>0</v>
      </c>
      <c r="AG5608">
        <v>0</v>
      </c>
      <c r="AH5608">
        <v>0</v>
      </c>
      <c r="AI5608">
        <v>100</v>
      </c>
      <c r="AJ5608">
        <v>1</v>
      </c>
      <c r="AK5608">
        <v>0</v>
      </c>
      <c r="AL5608">
        <v>0</v>
      </c>
      <c r="AM5608">
        <v>100</v>
      </c>
      <c r="AN5608">
        <v>0</v>
      </c>
      <c r="AO5608">
        <v>0</v>
      </c>
      <c r="AP5608">
        <v>0</v>
      </c>
      <c r="AQ5608">
        <v>0</v>
      </c>
      <c r="AS5608">
        <v>0</v>
      </c>
      <c r="AT5608">
        <v>0</v>
      </c>
      <c r="AV5608">
        <v>0</v>
      </c>
      <c r="AW5608">
        <v>0</v>
      </c>
      <c r="AY5608">
        <v>0</v>
      </c>
      <c r="AZ5608">
        <v>0</v>
      </c>
      <c r="BA5608">
        <v>70</v>
      </c>
      <c r="BE5608" t="str">
        <f>T("9791137014381")</f>
        <v>9791137014381</v>
      </c>
      <c r="BF5608" t="str">
        <f>T("k184277")</f>
        <v>k184277</v>
      </c>
      <c r="BG5608" t="str">
        <f>T("판타지 웹소설 &gt; 퓨전 판타지")</f>
        <v>판타지 웹소설 &gt; 퓨전 판타지</v>
      </c>
    </row>
    <row r="5609" spans="1:59">
      <c r="A5609" t="s">
        <v>60</v>
      </c>
      <c r="B5609" s="1">
        <v>46130</v>
      </c>
      <c r="C5609">
        <v>2378044065</v>
      </c>
      <c r="D5609">
        <v>2378058263</v>
      </c>
      <c r="E5609" t="str">
        <f>T("저승의 왕위를 계승했다 288화")</f>
        <v>저승의 왕위를 계승했다 288화</v>
      </c>
      <c r="F5609">
        <v>288</v>
      </c>
      <c r="G5609" t="str">
        <f>T("신타비")</f>
        <v>신타비</v>
      </c>
      <c r="J5609" t="str">
        <f>T("매드햇")</f>
        <v>매드햇</v>
      </c>
      <c r="K5609" t="str">
        <f>T("저승의 왕위를 계승했다")</f>
        <v>저승의 왕위를 계승했다</v>
      </c>
      <c r="L5609">
        <v>100</v>
      </c>
      <c r="M5609">
        <v>100</v>
      </c>
      <c r="N5609">
        <v>1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0</v>
      </c>
      <c r="V5609">
        <v>0</v>
      </c>
      <c r="W5609">
        <v>0</v>
      </c>
      <c r="X5609">
        <v>0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0</v>
      </c>
      <c r="AE5609">
        <v>0</v>
      </c>
      <c r="AF5609">
        <v>0</v>
      </c>
      <c r="AG5609">
        <v>0</v>
      </c>
      <c r="AH5609">
        <v>0</v>
      </c>
      <c r="AI5609">
        <v>100</v>
      </c>
      <c r="AJ5609">
        <v>1</v>
      </c>
      <c r="AK5609">
        <v>0</v>
      </c>
      <c r="AL5609">
        <v>0</v>
      </c>
      <c r="AM5609">
        <v>100</v>
      </c>
      <c r="AN5609">
        <v>0</v>
      </c>
      <c r="AO5609">
        <v>0</v>
      </c>
      <c r="AP5609">
        <v>0</v>
      </c>
      <c r="AQ5609">
        <v>0</v>
      </c>
      <c r="AS5609">
        <v>0</v>
      </c>
      <c r="AT5609">
        <v>0</v>
      </c>
      <c r="AV5609">
        <v>0</v>
      </c>
      <c r="AW5609">
        <v>0</v>
      </c>
      <c r="AY5609">
        <v>0</v>
      </c>
      <c r="AZ5609">
        <v>0</v>
      </c>
      <c r="BA5609">
        <v>70</v>
      </c>
      <c r="BE5609" t="str">
        <f>T("9791137014381")</f>
        <v>9791137014381</v>
      </c>
      <c r="BF5609" t="str">
        <f>T("k184278")</f>
        <v>k184278</v>
      </c>
      <c r="BG5609" t="str">
        <f>T("판타지 웹소설 &gt; 퓨전 판타지")</f>
        <v>판타지 웹소설 &gt; 퓨전 판타지</v>
      </c>
    </row>
    <row r="5610" spans="1:59">
      <c r="A5610" t="s">
        <v>60</v>
      </c>
      <c r="B5610" s="1">
        <v>46130</v>
      </c>
      <c r="C5610">
        <v>2378044065</v>
      </c>
      <c r="D5610">
        <v>2378058310</v>
      </c>
      <c r="E5610" t="str">
        <f>T("저승의 왕위를 계승했다 289화")</f>
        <v>저승의 왕위를 계승했다 289화</v>
      </c>
      <c r="F5610">
        <v>289</v>
      </c>
      <c r="G5610" t="str">
        <f>T("신타비")</f>
        <v>신타비</v>
      </c>
      <c r="J5610" t="str">
        <f>T("매드햇")</f>
        <v>매드햇</v>
      </c>
      <c r="K5610" t="str">
        <f>T("저승의 왕위를 계승했다")</f>
        <v>저승의 왕위를 계승했다</v>
      </c>
      <c r="L5610">
        <v>100</v>
      </c>
      <c r="M5610">
        <v>100</v>
      </c>
      <c r="N5610">
        <v>1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0</v>
      </c>
      <c r="V5610">
        <v>0</v>
      </c>
      <c r="W5610">
        <v>0</v>
      </c>
      <c r="X5610">
        <v>0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0</v>
      </c>
      <c r="AE5610">
        <v>0</v>
      </c>
      <c r="AF5610">
        <v>0</v>
      </c>
      <c r="AG5610">
        <v>0</v>
      </c>
      <c r="AH5610">
        <v>0</v>
      </c>
      <c r="AI5610">
        <v>100</v>
      </c>
      <c r="AJ5610">
        <v>1</v>
      </c>
      <c r="AK5610">
        <v>0</v>
      </c>
      <c r="AL5610">
        <v>0</v>
      </c>
      <c r="AM5610">
        <v>100</v>
      </c>
      <c r="AN5610">
        <v>0</v>
      </c>
      <c r="AO5610">
        <v>0</v>
      </c>
      <c r="AP5610">
        <v>0</v>
      </c>
      <c r="AQ5610">
        <v>0</v>
      </c>
      <c r="AS5610">
        <v>0</v>
      </c>
      <c r="AT5610">
        <v>0</v>
      </c>
      <c r="AV5610">
        <v>0</v>
      </c>
      <c r="AW5610">
        <v>0</v>
      </c>
      <c r="AY5610">
        <v>0</v>
      </c>
      <c r="AZ5610">
        <v>0</v>
      </c>
      <c r="BA5610">
        <v>70</v>
      </c>
      <c r="BE5610" t="str">
        <f>T("9791137014381")</f>
        <v>9791137014381</v>
      </c>
      <c r="BF5610" t="str">
        <f>T("k184279")</f>
        <v>k184279</v>
      </c>
      <c r="BG5610" t="str">
        <f>T("판타지 웹소설 &gt; 퓨전 판타지")</f>
        <v>판타지 웹소설 &gt; 퓨전 판타지</v>
      </c>
    </row>
    <row r="5611" spans="1:59">
      <c r="A5611" t="s">
        <v>60</v>
      </c>
      <c r="B5611" s="1">
        <v>46130</v>
      </c>
      <c r="C5611">
        <v>2378044065</v>
      </c>
      <c r="D5611">
        <v>2378058329</v>
      </c>
      <c r="E5611" t="str">
        <f>T("저승의 왕위를 계승했다 290화")</f>
        <v>저승의 왕위를 계승했다 290화</v>
      </c>
      <c r="F5611">
        <v>290</v>
      </c>
      <c r="G5611" t="str">
        <f>T("신타비")</f>
        <v>신타비</v>
      </c>
      <c r="J5611" t="str">
        <f>T("매드햇")</f>
        <v>매드햇</v>
      </c>
      <c r="K5611" t="str">
        <f>T("저승의 왕위를 계승했다")</f>
        <v>저승의 왕위를 계승했다</v>
      </c>
      <c r="L5611">
        <v>100</v>
      </c>
      <c r="M5611">
        <v>100</v>
      </c>
      <c r="N5611">
        <v>1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0</v>
      </c>
      <c r="V5611">
        <v>0</v>
      </c>
      <c r="W5611">
        <v>0</v>
      </c>
      <c r="X5611">
        <v>0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0</v>
      </c>
      <c r="AE5611">
        <v>0</v>
      </c>
      <c r="AF5611">
        <v>0</v>
      </c>
      <c r="AG5611">
        <v>0</v>
      </c>
      <c r="AH5611">
        <v>0</v>
      </c>
      <c r="AI5611">
        <v>100</v>
      </c>
      <c r="AJ5611">
        <v>1</v>
      </c>
      <c r="AK5611">
        <v>0</v>
      </c>
      <c r="AL5611">
        <v>0</v>
      </c>
      <c r="AM5611">
        <v>100</v>
      </c>
      <c r="AN5611">
        <v>0</v>
      </c>
      <c r="AO5611">
        <v>0</v>
      </c>
      <c r="AP5611">
        <v>0</v>
      </c>
      <c r="AQ5611">
        <v>0</v>
      </c>
      <c r="AS5611">
        <v>0</v>
      </c>
      <c r="AT5611">
        <v>0</v>
      </c>
      <c r="AV5611">
        <v>0</v>
      </c>
      <c r="AW5611">
        <v>0</v>
      </c>
      <c r="AY5611">
        <v>0</v>
      </c>
      <c r="AZ5611">
        <v>0</v>
      </c>
      <c r="BA5611">
        <v>70</v>
      </c>
      <c r="BE5611" t="str">
        <f>T("9791137014381")</f>
        <v>9791137014381</v>
      </c>
      <c r="BF5611" t="str">
        <f>T("k184280")</f>
        <v>k184280</v>
      </c>
      <c r="BG5611" t="str">
        <f>T("판타지 웹소설 &gt; 퓨전 판타지")</f>
        <v>판타지 웹소설 &gt; 퓨전 판타지</v>
      </c>
    </row>
    <row r="5612" spans="1:59">
      <c r="A5612" t="s">
        <v>60</v>
      </c>
      <c r="B5612" s="1">
        <v>46130</v>
      </c>
      <c r="C5612">
        <v>2378044065</v>
      </c>
      <c r="D5612">
        <v>2378058355</v>
      </c>
      <c r="E5612" t="str">
        <f>T("저승의 왕위를 계승했다 291화")</f>
        <v>저승의 왕위를 계승했다 291화</v>
      </c>
      <c r="F5612">
        <v>291</v>
      </c>
      <c r="G5612" t="str">
        <f>T("신타비")</f>
        <v>신타비</v>
      </c>
      <c r="J5612" t="str">
        <f>T("매드햇")</f>
        <v>매드햇</v>
      </c>
      <c r="K5612" t="str">
        <f>T("저승의 왕위를 계승했다")</f>
        <v>저승의 왕위를 계승했다</v>
      </c>
      <c r="L5612">
        <v>100</v>
      </c>
      <c r="M5612">
        <v>100</v>
      </c>
      <c r="N5612">
        <v>1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0</v>
      </c>
      <c r="V5612">
        <v>0</v>
      </c>
      <c r="W5612">
        <v>0</v>
      </c>
      <c r="X5612">
        <v>0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0</v>
      </c>
      <c r="AE5612">
        <v>0</v>
      </c>
      <c r="AF5612">
        <v>0</v>
      </c>
      <c r="AG5612">
        <v>0</v>
      </c>
      <c r="AH5612">
        <v>0</v>
      </c>
      <c r="AI5612">
        <v>100</v>
      </c>
      <c r="AJ5612">
        <v>1</v>
      </c>
      <c r="AK5612">
        <v>0</v>
      </c>
      <c r="AL5612">
        <v>0</v>
      </c>
      <c r="AM5612">
        <v>100</v>
      </c>
      <c r="AN5612">
        <v>0</v>
      </c>
      <c r="AO5612">
        <v>0</v>
      </c>
      <c r="AP5612">
        <v>0</v>
      </c>
      <c r="AQ5612">
        <v>0</v>
      </c>
      <c r="AS5612">
        <v>0</v>
      </c>
      <c r="AT5612">
        <v>0</v>
      </c>
      <c r="AV5612">
        <v>0</v>
      </c>
      <c r="AW5612">
        <v>0</v>
      </c>
      <c r="AY5612">
        <v>0</v>
      </c>
      <c r="AZ5612">
        <v>0</v>
      </c>
      <c r="BA5612">
        <v>70</v>
      </c>
      <c r="BE5612" t="str">
        <f>T("9791137014381")</f>
        <v>9791137014381</v>
      </c>
      <c r="BF5612" t="str">
        <f>T("k184281")</f>
        <v>k184281</v>
      </c>
      <c r="BG5612" t="str">
        <f>T("판타지 웹소설 &gt; 퓨전 판타지")</f>
        <v>판타지 웹소설 &gt; 퓨전 판타지</v>
      </c>
    </row>
    <row r="5613" spans="1:59">
      <c r="A5613" t="s">
        <v>60</v>
      </c>
      <c r="B5613" s="1">
        <v>46130</v>
      </c>
      <c r="C5613">
        <v>2378044065</v>
      </c>
      <c r="D5613">
        <v>2378058370</v>
      </c>
      <c r="E5613" t="str">
        <f>T("저승의 왕위를 계승했다 292화")</f>
        <v>저승의 왕위를 계승했다 292화</v>
      </c>
      <c r="F5613">
        <v>292</v>
      </c>
      <c r="G5613" t="str">
        <f>T("신타비")</f>
        <v>신타비</v>
      </c>
      <c r="J5613" t="str">
        <f>T("매드햇")</f>
        <v>매드햇</v>
      </c>
      <c r="K5613" t="str">
        <f>T("저승의 왕위를 계승했다")</f>
        <v>저승의 왕위를 계승했다</v>
      </c>
      <c r="L5613">
        <v>100</v>
      </c>
      <c r="M5613">
        <v>100</v>
      </c>
      <c r="N5613">
        <v>1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0</v>
      </c>
      <c r="V5613">
        <v>0</v>
      </c>
      <c r="W5613">
        <v>0</v>
      </c>
      <c r="X5613">
        <v>0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0</v>
      </c>
      <c r="AE5613">
        <v>0</v>
      </c>
      <c r="AF5613">
        <v>0</v>
      </c>
      <c r="AG5613">
        <v>0</v>
      </c>
      <c r="AH5613">
        <v>0</v>
      </c>
      <c r="AI5613">
        <v>100</v>
      </c>
      <c r="AJ5613">
        <v>1</v>
      </c>
      <c r="AK5613">
        <v>0</v>
      </c>
      <c r="AL5613">
        <v>0</v>
      </c>
      <c r="AM5613">
        <v>100</v>
      </c>
      <c r="AN5613">
        <v>0</v>
      </c>
      <c r="AO5613">
        <v>0</v>
      </c>
      <c r="AP5613">
        <v>0</v>
      </c>
      <c r="AQ5613">
        <v>0</v>
      </c>
      <c r="AS5613">
        <v>0</v>
      </c>
      <c r="AT5613">
        <v>0</v>
      </c>
      <c r="AV5613">
        <v>0</v>
      </c>
      <c r="AW5613">
        <v>0</v>
      </c>
      <c r="AY5613">
        <v>0</v>
      </c>
      <c r="AZ5613">
        <v>0</v>
      </c>
      <c r="BA5613">
        <v>70</v>
      </c>
      <c r="BE5613" t="str">
        <f>T("9791137014381")</f>
        <v>9791137014381</v>
      </c>
      <c r="BF5613" t="str">
        <f>T("k184282")</f>
        <v>k184282</v>
      </c>
      <c r="BG5613" t="str">
        <f>T("판타지 웹소설 &gt; 퓨전 판타지")</f>
        <v>판타지 웹소설 &gt; 퓨전 판타지</v>
      </c>
    </row>
    <row r="5614" spans="1:59">
      <c r="A5614" t="s">
        <v>60</v>
      </c>
      <c r="B5614" s="1">
        <v>46130</v>
      </c>
      <c r="C5614">
        <v>2378044065</v>
      </c>
      <c r="D5614">
        <v>2378058371</v>
      </c>
      <c r="E5614" t="str">
        <f>T("저승의 왕위를 계승했다 293화")</f>
        <v>저승의 왕위를 계승했다 293화</v>
      </c>
      <c r="F5614">
        <v>293</v>
      </c>
      <c r="G5614" t="str">
        <f>T("신타비")</f>
        <v>신타비</v>
      </c>
      <c r="J5614" t="str">
        <f>T("매드햇")</f>
        <v>매드햇</v>
      </c>
      <c r="K5614" t="str">
        <f>T("저승의 왕위를 계승했다")</f>
        <v>저승의 왕위를 계승했다</v>
      </c>
      <c r="L5614">
        <v>100</v>
      </c>
      <c r="M5614">
        <v>100</v>
      </c>
      <c r="N5614">
        <v>1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0</v>
      </c>
      <c r="V5614">
        <v>0</v>
      </c>
      <c r="W5614">
        <v>0</v>
      </c>
      <c r="X5614">
        <v>0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0</v>
      </c>
      <c r="AE5614">
        <v>0</v>
      </c>
      <c r="AF5614">
        <v>0</v>
      </c>
      <c r="AG5614">
        <v>0</v>
      </c>
      <c r="AH5614">
        <v>0</v>
      </c>
      <c r="AI5614">
        <v>100</v>
      </c>
      <c r="AJ5614">
        <v>1</v>
      </c>
      <c r="AK5614">
        <v>0</v>
      </c>
      <c r="AL5614">
        <v>0</v>
      </c>
      <c r="AM5614">
        <v>100</v>
      </c>
      <c r="AN5614">
        <v>0</v>
      </c>
      <c r="AO5614">
        <v>0</v>
      </c>
      <c r="AP5614">
        <v>0</v>
      </c>
      <c r="AQ5614">
        <v>0</v>
      </c>
      <c r="AS5614">
        <v>0</v>
      </c>
      <c r="AT5614">
        <v>0</v>
      </c>
      <c r="AV5614">
        <v>0</v>
      </c>
      <c r="AW5614">
        <v>0</v>
      </c>
      <c r="AY5614">
        <v>0</v>
      </c>
      <c r="AZ5614">
        <v>0</v>
      </c>
      <c r="BA5614">
        <v>70</v>
      </c>
      <c r="BE5614" t="str">
        <f>T("9791137014381")</f>
        <v>9791137014381</v>
      </c>
      <c r="BF5614" t="str">
        <f>T("k184283")</f>
        <v>k184283</v>
      </c>
      <c r="BG5614" t="str">
        <f>T("판타지 웹소설 &gt; 퓨전 판타지")</f>
        <v>판타지 웹소설 &gt; 퓨전 판타지</v>
      </c>
    </row>
    <row r="5615" spans="1:59">
      <c r="A5615" t="s">
        <v>60</v>
      </c>
      <c r="B5615" s="1">
        <v>46130</v>
      </c>
      <c r="C5615">
        <v>2378044065</v>
      </c>
      <c r="D5615">
        <v>2378058416</v>
      </c>
      <c r="E5615" t="str">
        <f>T("저승의 왕위를 계승했다 294화")</f>
        <v>저승의 왕위를 계승했다 294화</v>
      </c>
      <c r="F5615">
        <v>294</v>
      </c>
      <c r="G5615" t="str">
        <f>T("신타비")</f>
        <v>신타비</v>
      </c>
      <c r="J5615" t="str">
        <f>T("매드햇")</f>
        <v>매드햇</v>
      </c>
      <c r="K5615" t="str">
        <f>T("저승의 왕위를 계승했다")</f>
        <v>저승의 왕위를 계승했다</v>
      </c>
      <c r="L5615">
        <v>100</v>
      </c>
      <c r="M5615">
        <v>100</v>
      </c>
      <c r="N5615">
        <v>1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0</v>
      </c>
      <c r="V5615">
        <v>0</v>
      </c>
      <c r="W5615">
        <v>0</v>
      </c>
      <c r="X5615">
        <v>0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0</v>
      </c>
      <c r="AE5615">
        <v>0</v>
      </c>
      <c r="AF5615">
        <v>0</v>
      </c>
      <c r="AG5615">
        <v>0</v>
      </c>
      <c r="AH5615">
        <v>0</v>
      </c>
      <c r="AI5615">
        <v>100</v>
      </c>
      <c r="AJ5615">
        <v>1</v>
      </c>
      <c r="AK5615">
        <v>0</v>
      </c>
      <c r="AL5615">
        <v>0</v>
      </c>
      <c r="AM5615">
        <v>100</v>
      </c>
      <c r="AN5615">
        <v>0</v>
      </c>
      <c r="AO5615">
        <v>0</v>
      </c>
      <c r="AP5615">
        <v>0</v>
      </c>
      <c r="AQ5615">
        <v>0</v>
      </c>
      <c r="AS5615">
        <v>0</v>
      </c>
      <c r="AT5615">
        <v>0</v>
      </c>
      <c r="AV5615">
        <v>0</v>
      </c>
      <c r="AW5615">
        <v>0</v>
      </c>
      <c r="AY5615">
        <v>0</v>
      </c>
      <c r="AZ5615">
        <v>0</v>
      </c>
      <c r="BA5615">
        <v>70</v>
      </c>
      <c r="BE5615" t="str">
        <f>T("9791137014381")</f>
        <v>9791137014381</v>
      </c>
      <c r="BF5615" t="str">
        <f>T("k184284")</f>
        <v>k184284</v>
      </c>
      <c r="BG5615" t="str">
        <f>T("판타지 웹소설 &gt; 퓨전 판타지")</f>
        <v>판타지 웹소설 &gt; 퓨전 판타지</v>
      </c>
    </row>
    <row r="5616" spans="1:59">
      <c r="A5616" t="s">
        <v>60</v>
      </c>
      <c r="B5616" s="1">
        <v>46130</v>
      </c>
      <c r="C5616">
        <v>2378044065</v>
      </c>
      <c r="D5616">
        <v>2378058438</v>
      </c>
      <c r="E5616" t="str">
        <f>T("저승의 왕위를 계승했다 295화")</f>
        <v>저승의 왕위를 계승했다 295화</v>
      </c>
      <c r="F5616">
        <v>295</v>
      </c>
      <c r="G5616" t="str">
        <f>T("신타비")</f>
        <v>신타비</v>
      </c>
      <c r="J5616" t="str">
        <f>T("매드햇")</f>
        <v>매드햇</v>
      </c>
      <c r="K5616" t="str">
        <f>T("저승의 왕위를 계승했다")</f>
        <v>저승의 왕위를 계승했다</v>
      </c>
      <c r="L5616">
        <v>100</v>
      </c>
      <c r="M5616">
        <v>100</v>
      </c>
      <c r="N5616">
        <v>1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0</v>
      </c>
      <c r="V5616">
        <v>0</v>
      </c>
      <c r="W5616">
        <v>0</v>
      </c>
      <c r="X5616">
        <v>0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0</v>
      </c>
      <c r="AE5616">
        <v>0</v>
      </c>
      <c r="AF5616">
        <v>0</v>
      </c>
      <c r="AG5616">
        <v>0</v>
      </c>
      <c r="AH5616">
        <v>0</v>
      </c>
      <c r="AI5616">
        <v>100</v>
      </c>
      <c r="AJ5616">
        <v>1</v>
      </c>
      <c r="AK5616">
        <v>0</v>
      </c>
      <c r="AL5616">
        <v>0</v>
      </c>
      <c r="AM5616">
        <v>100</v>
      </c>
      <c r="AN5616">
        <v>0</v>
      </c>
      <c r="AO5616">
        <v>0</v>
      </c>
      <c r="AP5616">
        <v>0</v>
      </c>
      <c r="AQ5616">
        <v>0</v>
      </c>
      <c r="AS5616">
        <v>0</v>
      </c>
      <c r="AT5616">
        <v>0</v>
      </c>
      <c r="AV5616">
        <v>0</v>
      </c>
      <c r="AW5616">
        <v>0</v>
      </c>
      <c r="AY5616">
        <v>0</v>
      </c>
      <c r="AZ5616">
        <v>0</v>
      </c>
      <c r="BA5616">
        <v>70</v>
      </c>
      <c r="BE5616" t="str">
        <f>T("9791137014381")</f>
        <v>9791137014381</v>
      </c>
      <c r="BF5616" t="str">
        <f>T("k184285")</f>
        <v>k184285</v>
      </c>
      <c r="BG5616" t="str">
        <f>T("판타지 웹소설 &gt; 퓨전 판타지")</f>
        <v>판타지 웹소설 &gt; 퓨전 판타지</v>
      </c>
    </row>
    <row r="5617" spans="1:59">
      <c r="A5617" t="s">
        <v>60</v>
      </c>
      <c r="B5617" s="1">
        <v>46130</v>
      </c>
      <c r="C5617">
        <v>2378044065</v>
      </c>
      <c r="D5617">
        <v>2378058445</v>
      </c>
      <c r="E5617" t="str">
        <f>T("저승의 왕위를 계승했다 296화")</f>
        <v>저승의 왕위를 계승했다 296화</v>
      </c>
      <c r="F5617">
        <v>296</v>
      </c>
      <c r="G5617" t="str">
        <f>T("신타비")</f>
        <v>신타비</v>
      </c>
      <c r="J5617" t="str">
        <f>T("매드햇")</f>
        <v>매드햇</v>
      </c>
      <c r="K5617" t="str">
        <f>T("저승의 왕위를 계승했다")</f>
        <v>저승의 왕위를 계승했다</v>
      </c>
      <c r="L5617">
        <v>100</v>
      </c>
      <c r="M5617">
        <v>100</v>
      </c>
      <c r="N5617">
        <v>1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0</v>
      </c>
      <c r="V5617">
        <v>0</v>
      </c>
      <c r="W5617">
        <v>0</v>
      </c>
      <c r="X5617">
        <v>0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0</v>
      </c>
      <c r="AE5617">
        <v>0</v>
      </c>
      <c r="AF5617">
        <v>0</v>
      </c>
      <c r="AG5617">
        <v>0</v>
      </c>
      <c r="AH5617">
        <v>0</v>
      </c>
      <c r="AI5617">
        <v>100</v>
      </c>
      <c r="AJ5617">
        <v>1</v>
      </c>
      <c r="AK5617">
        <v>0</v>
      </c>
      <c r="AL5617">
        <v>0</v>
      </c>
      <c r="AM5617">
        <v>100</v>
      </c>
      <c r="AN5617">
        <v>0</v>
      </c>
      <c r="AO5617">
        <v>0</v>
      </c>
      <c r="AP5617">
        <v>0</v>
      </c>
      <c r="AQ5617">
        <v>0</v>
      </c>
      <c r="AS5617">
        <v>0</v>
      </c>
      <c r="AT5617">
        <v>0</v>
      </c>
      <c r="AV5617">
        <v>0</v>
      </c>
      <c r="AW5617">
        <v>0</v>
      </c>
      <c r="AY5617">
        <v>0</v>
      </c>
      <c r="AZ5617">
        <v>0</v>
      </c>
      <c r="BA5617">
        <v>70</v>
      </c>
      <c r="BE5617" t="str">
        <f>T("9791137014381")</f>
        <v>9791137014381</v>
      </c>
      <c r="BF5617" t="str">
        <f>T("k184286")</f>
        <v>k184286</v>
      </c>
      <c r="BG5617" t="str">
        <f>T("판타지 웹소설 &gt; 퓨전 판타지")</f>
        <v>판타지 웹소설 &gt; 퓨전 판타지</v>
      </c>
    </row>
    <row r="5618" spans="1:59">
      <c r="A5618" t="s">
        <v>60</v>
      </c>
      <c r="B5618" s="1">
        <v>46130</v>
      </c>
      <c r="C5618">
        <v>2378044065</v>
      </c>
      <c r="D5618">
        <v>2378058446</v>
      </c>
      <c r="E5618" t="str">
        <f>T("저승의 왕위를 계승했다 캐릭터 프로필")</f>
        <v>저승의 왕위를 계승했다 캐릭터 프로필</v>
      </c>
      <c r="F5618">
        <v>297</v>
      </c>
      <c r="G5618" t="str">
        <f>T("신타비")</f>
        <v>신타비</v>
      </c>
      <c r="J5618" t="str">
        <f>T("매드햇")</f>
        <v>매드햇</v>
      </c>
      <c r="K5618" t="str">
        <f>T("저승의 왕위를 계승했다")</f>
        <v>저승의 왕위를 계승했다</v>
      </c>
      <c r="L5618">
        <v>0</v>
      </c>
      <c r="M5618">
        <v>0</v>
      </c>
      <c r="N5618">
        <v>0</v>
      </c>
      <c r="O5618">
        <v>2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0</v>
      </c>
      <c r="V5618">
        <v>0</v>
      </c>
      <c r="W5618">
        <v>0</v>
      </c>
      <c r="X5618">
        <v>0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0</v>
      </c>
      <c r="AE5618">
        <v>0</v>
      </c>
      <c r="AF5618">
        <v>0</v>
      </c>
      <c r="AG5618">
        <v>0</v>
      </c>
      <c r="AH5618">
        <v>0</v>
      </c>
      <c r="AI5618">
        <v>0</v>
      </c>
      <c r="AJ5618">
        <v>2</v>
      </c>
      <c r="AK5618">
        <v>0</v>
      </c>
      <c r="AL5618">
        <v>0</v>
      </c>
      <c r="AM5618">
        <v>0</v>
      </c>
      <c r="AN5618">
        <v>0</v>
      </c>
      <c r="AO5618">
        <v>0</v>
      </c>
      <c r="AP5618">
        <v>0</v>
      </c>
      <c r="AQ5618">
        <v>0</v>
      </c>
      <c r="AS5618">
        <v>0</v>
      </c>
      <c r="AT5618">
        <v>0</v>
      </c>
      <c r="AV5618">
        <v>0</v>
      </c>
      <c r="AW5618">
        <v>0</v>
      </c>
      <c r="AY5618">
        <v>0</v>
      </c>
      <c r="AZ5618">
        <v>0</v>
      </c>
      <c r="BA5618">
        <v>0</v>
      </c>
      <c r="BE5618" t="str">
        <f>T("9791137014381")</f>
        <v>9791137014381</v>
      </c>
      <c r="BF5618" t="str">
        <f>T("k190537")</f>
        <v>k190537</v>
      </c>
      <c r="BG5618" t="str">
        <f>T("판타지 웹소설 &gt; 퓨전 판타지")</f>
        <v>판타지 웹소설 &gt; 퓨전 판타지</v>
      </c>
    </row>
    <row r="5619" spans="1:59">
      <c r="A5619" t="s">
        <v>60</v>
      </c>
      <c r="B5619" s="1">
        <v>46130</v>
      </c>
      <c r="C5619">
        <v>2378044065</v>
      </c>
      <c r="D5619">
        <v>2378058481</v>
      </c>
      <c r="E5619" t="str">
        <f>T("저승의 왕위를 계승했다 297화")</f>
        <v>저승의 왕위를 계승했다 297화</v>
      </c>
      <c r="F5619">
        <v>298</v>
      </c>
      <c r="G5619" t="str">
        <f>T("신타비")</f>
        <v>신타비</v>
      </c>
      <c r="J5619" t="str">
        <f>T("매드햇")</f>
        <v>매드햇</v>
      </c>
      <c r="K5619" t="str">
        <f>T("저승의 왕위를 계승했다")</f>
        <v>저승의 왕위를 계승했다</v>
      </c>
      <c r="L5619">
        <v>100</v>
      </c>
      <c r="M5619">
        <v>100</v>
      </c>
      <c r="N5619">
        <v>1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0</v>
      </c>
      <c r="V5619">
        <v>0</v>
      </c>
      <c r="W5619">
        <v>0</v>
      </c>
      <c r="X5619">
        <v>0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0</v>
      </c>
      <c r="AE5619">
        <v>0</v>
      </c>
      <c r="AF5619">
        <v>0</v>
      </c>
      <c r="AG5619">
        <v>0</v>
      </c>
      <c r="AH5619">
        <v>0</v>
      </c>
      <c r="AI5619">
        <v>100</v>
      </c>
      <c r="AJ5619">
        <v>1</v>
      </c>
      <c r="AK5619">
        <v>0</v>
      </c>
      <c r="AL5619">
        <v>0</v>
      </c>
      <c r="AM5619">
        <v>100</v>
      </c>
      <c r="AN5619">
        <v>0</v>
      </c>
      <c r="AO5619">
        <v>0</v>
      </c>
      <c r="AP5619">
        <v>0</v>
      </c>
      <c r="AQ5619">
        <v>0</v>
      </c>
      <c r="AS5619">
        <v>0</v>
      </c>
      <c r="AT5619">
        <v>0</v>
      </c>
      <c r="AV5619">
        <v>0</v>
      </c>
      <c r="AW5619">
        <v>0</v>
      </c>
      <c r="AY5619">
        <v>0</v>
      </c>
      <c r="AZ5619">
        <v>0</v>
      </c>
      <c r="BA5619">
        <v>70</v>
      </c>
      <c r="BE5619" t="str">
        <f>T("9791137014381")</f>
        <v>9791137014381</v>
      </c>
      <c r="BF5619" t="str">
        <f>T("k190538")</f>
        <v>k190538</v>
      </c>
      <c r="BG5619" t="str">
        <f>T("판타지 웹소설 &gt; 퓨전 판타지")</f>
        <v>판타지 웹소설 &gt; 퓨전 판타지</v>
      </c>
    </row>
    <row r="5620" spans="1:59">
      <c r="A5620" t="s">
        <v>60</v>
      </c>
      <c r="B5620" s="1">
        <v>46130</v>
      </c>
      <c r="C5620">
        <v>2378044065</v>
      </c>
      <c r="D5620">
        <v>2378058492</v>
      </c>
      <c r="E5620" t="str">
        <f>T("저승의 왕위를 계승했다 298화")</f>
        <v>저승의 왕위를 계승했다 298화</v>
      </c>
      <c r="F5620">
        <v>299</v>
      </c>
      <c r="G5620" t="str">
        <f>T("신타비")</f>
        <v>신타비</v>
      </c>
      <c r="J5620" t="str">
        <f>T("매드햇")</f>
        <v>매드햇</v>
      </c>
      <c r="K5620" t="str">
        <f>T("저승의 왕위를 계승했다")</f>
        <v>저승의 왕위를 계승했다</v>
      </c>
      <c r="L5620">
        <v>100</v>
      </c>
      <c r="M5620">
        <v>100</v>
      </c>
      <c r="N5620">
        <v>1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0</v>
      </c>
      <c r="V5620">
        <v>0</v>
      </c>
      <c r="W5620">
        <v>0</v>
      </c>
      <c r="X5620">
        <v>0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0</v>
      </c>
      <c r="AE5620">
        <v>0</v>
      </c>
      <c r="AF5620">
        <v>0</v>
      </c>
      <c r="AG5620">
        <v>0</v>
      </c>
      <c r="AH5620">
        <v>0</v>
      </c>
      <c r="AI5620">
        <v>100</v>
      </c>
      <c r="AJ5620">
        <v>1</v>
      </c>
      <c r="AK5620">
        <v>0</v>
      </c>
      <c r="AL5620">
        <v>0</v>
      </c>
      <c r="AM5620">
        <v>100</v>
      </c>
      <c r="AN5620">
        <v>0</v>
      </c>
      <c r="AO5620">
        <v>0</v>
      </c>
      <c r="AP5620">
        <v>0</v>
      </c>
      <c r="AQ5620">
        <v>0</v>
      </c>
      <c r="AS5620">
        <v>0</v>
      </c>
      <c r="AT5620">
        <v>0</v>
      </c>
      <c r="AV5620">
        <v>0</v>
      </c>
      <c r="AW5620">
        <v>0</v>
      </c>
      <c r="AY5620">
        <v>0</v>
      </c>
      <c r="AZ5620">
        <v>0</v>
      </c>
      <c r="BA5620">
        <v>70</v>
      </c>
      <c r="BE5620" t="str">
        <f>T("9791137014381")</f>
        <v>9791137014381</v>
      </c>
      <c r="BF5620" t="str">
        <f>T("k190539")</f>
        <v>k190539</v>
      </c>
      <c r="BG5620" t="str">
        <f>T("판타지 웹소설 &gt; 퓨전 판타지")</f>
        <v>판타지 웹소설 &gt; 퓨전 판타지</v>
      </c>
    </row>
    <row r="5621" spans="1:59">
      <c r="A5621" t="s">
        <v>60</v>
      </c>
      <c r="B5621" s="1">
        <v>46130</v>
      </c>
      <c r="C5621">
        <v>2378044065</v>
      </c>
      <c r="D5621">
        <v>2378058499</v>
      </c>
      <c r="E5621" t="str">
        <f>T("저승의 왕위를 계승했다 299화")</f>
        <v>저승의 왕위를 계승했다 299화</v>
      </c>
      <c r="F5621">
        <v>300</v>
      </c>
      <c r="G5621" t="str">
        <f>T("신타비")</f>
        <v>신타비</v>
      </c>
      <c r="J5621" t="str">
        <f>T("매드햇")</f>
        <v>매드햇</v>
      </c>
      <c r="K5621" t="str">
        <f>T("저승의 왕위를 계승했다")</f>
        <v>저승의 왕위를 계승했다</v>
      </c>
      <c r="L5621">
        <v>100</v>
      </c>
      <c r="M5621">
        <v>100</v>
      </c>
      <c r="N5621">
        <v>1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0</v>
      </c>
      <c r="V5621">
        <v>0</v>
      </c>
      <c r="W5621">
        <v>0</v>
      </c>
      <c r="X5621">
        <v>0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0</v>
      </c>
      <c r="AE5621">
        <v>0</v>
      </c>
      <c r="AF5621">
        <v>0</v>
      </c>
      <c r="AG5621">
        <v>0</v>
      </c>
      <c r="AH5621">
        <v>0</v>
      </c>
      <c r="AI5621">
        <v>100</v>
      </c>
      <c r="AJ5621">
        <v>1</v>
      </c>
      <c r="AK5621">
        <v>0</v>
      </c>
      <c r="AL5621">
        <v>0</v>
      </c>
      <c r="AM5621">
        <v>100</v>
      </c>
      <c r="AN5621">
        <v>0</v>
      </c>
      <c r="AO5621">
        <v>0</v>
      </c>
      <c r="AP5621">
        <v>0</v>
      </c>
      <c r="AQ5621">
        <v>0</v>
      </c>
      <c r="AS5621">
        <v>0</v>
      </c>
      <c r="AT5621">
        <v>0</v>
      </c>
      <c r="AV5621">
        <v>0</v>
      </c>
      <c r="AW5621">
        <v>0</v>
      </c>
      <c r="AY5621">
        <v>0</v>
      </c>
      <c r="AZ5621">
        <v>0</v>
      </c>
      <c r="BA5621">
        <v>70</v>
      </c>
      <c r="BE5621" t="str">
        <f>T("9791137014381")</f>
        <v>9791137014381</v>
      </c>
      <c r="BF5621" t="str">
        <f>T("k190540")</f>
        <v>k190540</v>
      </c>
      <c r="BG5621" t="str">
        <f>T("판타지 웹소설 &gt; 퓨전 판타지")</f>
        <v>판타지 웹소설 &gt; 퓨전 판타지</v>
      </c>
    </row>
    <row r="5622" spans="1:59">
      <c r="A5622" t="s">
        <v>60</v>
      </c>
      <c r="B5622" s="1">
        <v>46130</v>
      </c>
      <c r="C5622">
        <v>2378044065</v>
      </c>
      <c r="D5622">
        <v>2378058653</v>
      </c>
      <c r="E5622" t="str">
        <f>T("저승의 왕위를 계승했다 300화")</f>
        <v>저승의 왕위를 계승했다 300화</v>
      </c>
      <c r="F5622">
        <v>301</v>
      </c>
      <c r="G5622" t="str">
        <f>T("신타비")</f>
        <v>신타비</v>
      </c>
      <c r="J5622" t="str">
        <f>T("매드햇")</f>
        <v>매드햇</v>
      </c>
      <c r="K5622" t="str">
        <f>T("저승의 왕위를 계승했다")</f>
        <v>저승의 왕위를 계승했다</v>
      </c>
      <c r="L5622">
        <v>100</v>
      </c>
      <c r="M5622">
        <v>100</v>
      </c>
      <c r="N5622">
        <v>1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0</v>
      </c>
      <c r="V5622">
        <v>0</v>
      </c>
      <c r="W5622">
        <v>0</v>
      </c>
      <c r="X5622">
        <v>0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0</v>
      </c>
      <c r="AE5622">
        <v>0</v>
      </c>
      <c r="AF5622">
        <v>0</v>
      </c>
      <c r="AG5622">
        <v>0</v>
      </c>
      <c r="AH5622">
        <v>0</v>
      </c>
      <c r="AI5622">
        <v>100</v>
      </c>
      <c r="AJ5622">
        <v>1</v>
      </c>
      <c r="AK5622">
        <v>0</v>
      </c>
      <c r="AL5622">
        <v>0</v>
      </c>
      <c r="AM5622">
        <v>100</v>
      </c>
      <c r="AN5622">
        <v>0</v>
      </c>
      <c r="AO5622">
        <v>0</v>
      </c>
      <c r="AP5622">
        <v>0</v>
      </c>
      <c r="AQ5622">
        <v>0</v>
      </c>
      <c r="AS5622">
        <v>0</v>
      </c>
      <c r="AT5622">
        <v>0</v>
      </c>
      <c r="AV5622">
        <v>0</v>
      </c>
      <c r="AW5622">
        <v>0</v>
      </c>
      <c r="AY5622">
        <v>0</v>
      </c>
      <c r="AZ5622">
        <v>0</v>
      </c>
      <c r="BA5622">
        <v>70</v>
      </c>
      <c r="BE5622" t="str">
        <f>T("9791137014381")</f>
        <v>9791137014381</v>
      </c>
      <c r="BF5622" t="str">
        <f>T("k190541")</f>
        <v>k190541</v>
      </c>
      <c r="BG5622" t="str">
        <f>T("판타지 웹소설 &gt; 퓨전 판타지")</f>
        <v>판타지 웹소설 &gt; 퓨전 판타지</v>
      </c>
    </row>
    <row r="5623" spans="1:59">
      <c r="A5623" t="s">
        <v>60</v>
      </c>
      <c r="B5623" s="1">
        <v>46130</v>
      </c>
      <c r="C5623">
        <v>2378044065</v>
      </c>
      <c r="D5623">
        <v>2378059063</v>
      </c>
      <c r="E5623" t="str">
        <f>T("저승의 왕위를 계승했다 301화")</f>
        <v>저승의 왕위를 계승했다 301화</v>
      </c>
      <c r="F5623">
        <v>302</v>
      </c>
      <c r="G5623" t="str">
        <f>T("신타비")</f>
        <v>신타비</v>
      </c>
      <c r="J5623" t="str">
        <f>T("매드햇")</f>
        <v>매드햇</v>
      </c>
      <c r="K5623" t="str">
        <f>T("저승의 왕위를 계승했다")</f>
        <v>저승의 왕위를 계승했다</v>
      </c>
      <c r="L5623">
        <v>100</v>
      </c>
      <c r="M5623">
        <v>100</v>
      </c>
      <c r="N5623">
        <v>1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0</v>
      </c>
      <c r="V5623">
        <v>0</v>
      </c>
      <c r="W5623">
        <v>0</v>
      </c>
      <c r="X5623">
        <v>0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0</v>
      </c>
      <c r="AE5623">
        <v>0</v>
      </c>
      <c r="AF5623">
        <v>0</v>
      </c>
      <c r="AG5623">
        <v>0</v>
      </c>
      <c r="AH5623">
        <v>0</v>
      </c>
      <c r="AI5623">
        <v>100</v>
      </c>
      <c r="AJ5623">
        <v>1</v>
      </c>
      <c r="AK5623">
        <v>0</v>
      </c>
      <c r="AL5623">
        <v>0</v>
      </c>
      <c r="AM5623">
        <v>100</v>
      </c>
      <c r="AN5623">
        <v>0</v>
      </c>
      <c r="AO5623">
        <v>0</v>
      </c>
      <c r="AP5623">
        <v>0</v>
      </c>
      <c r="AQ5623">
        <v>0</v>
      </c>
      <c r="AS5623">
        <v>0</v>
      </c>
      <c r="AT5623">
        <v>0</v>
      </c>
      <c r="AV5623">
        <v>0</v>
      </c>
      <c r="AW5623">
        <v>0</v>
      </c>
      <c r="AY5623">
        <v>0</v>
      </c>
      <c r="AZ5623">
        <v>0</v>
      </c>
      <c r="BA5623">
        <v>70</v>
      </c>
      <c r="BE5623" t="str">
        <f>T("9791137014381")</f>
        <v>9791137014381</v>
      </c>
      <c r="BF5623" t="str">
        <f>T("k190542")</f>
        <v>k190542</v>
      </c>
      <c r="BG5623" t="str">
        <f>T("판타지 웹소설 &gt; 퓨전 판타지")</f>
        <v>판타지 웹소설 &gt; 퓨전 판타지</v>
      </c>
    </row>
    <row r="5624" spans="1:59">
      <c r="A5624" t="s">
        <v>60</v>
      </c>
      <c r="B5624" s="1">
        <v>46130</v>
      </c>
      <c r="C5624">
        <v>2378044065</v>
      </c>
      <c r="D5624">
        <v>2378059180</v>
      </c>
      <c r="E5624" t="str">
        <f>T("저승의 왕위를 계승했다 302화")</f>
        <v>저승의 왕위를 계승했다 302화</v>
      </c>
      <c r="F5624">
        <v>303</v>
      </c>
      <c r="G5624" t="str">
        <f>T("신타비")</f>
        <v>신타비</v>
      </c>
      <c r="J5624" t="str">
        <f>T("매드햇")</f>
        <v>매드햇</v>
      </c>
      <c r="K5624" t="str">
        <f>T("저승의 왕위를 계승했다")</f>
        <v>저승의 왕위를 계승했다</v>
      </c>
      <c r="L5624">
        <v>100</v>
      </c>
      <c r="M5624">
        <v>100</v>
      </c>
      <c r="N5624">
        <v>1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0</v>
      </c>
      <c r="V5624">
        <v>0</v>
      </c>
      <c r="W5624">
        <v>0</v>
      </c>
      <c r="X5624">
        <v>0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0</v>
      </c>
      <c r="AE5624">
        <v>0</v>
      </c>
      <c r="AF5624">
        <v>0</v>
      </c>
      <c r="AG5624">
        <v>0</v>
      </c>
      <c r="AH5624">
        <v>0</v>
      </c>
      <c r="AI5624">
        <v>100</v>
      </c>
      <c r="AJ5624">
        <v>1</v>
      </c>
      <c r="AK5624">
        <v>0</v>
      </c>
      <c r="AL5624">
        <v>0</v>
      </c>
      <c r="AM5624">
        <v>100</v>
      </c>
      <c r="AN5624">
        <v>0</v>
      </c>
      <c r="AO5624">
        <v>0</v>
      </c>
      <c r="AP5624">
        <v>0</v>
      </c>
      <c r="AQ5624">
        <v>0</v>
      </c>
      <c r="AS5624">
        <v>0</v>
      </c>
      <c r="AT5624">
        <v>0</v>
      </c>
      <c r="AV5624">
        <v>0</v>
      </c>
      <c r="AW5624">
        <v>0</v>
      </c>
      <c r="AY5624">
        <v>0</v>
      </c>
      <c r="AZ5624">
        <v>0</v>
      </c>
      <c r="BA5624">
        <v>70</v>
      </c>
      <c r="BE5624" t="str">
        <f>T("9791137014381")</f>
        <v>9791137014381</v>
      </c>
      <c r="BF5624" t="str">
        <f>T("k194397")</f>
        <v>k194397</v>
      </c>
      <c r="BG5624" t="str">
        <f>T("판타지 웹소설 &gt; 퓨전 판타지")</f>
        <v>판타지 웹소설 &gt; 퓨전 판타지</v>
      </c>
    </row>
    <row r="5625" spans="1:59">
      <c r="A5625" t="s">
        <v>60</v>
      </c>
      <c r="B5625" s="1">
        <v>46130</v>
      </c>
      <c r="C5625">
        <v>2378044065</v>
      </c>
      <c r="D5625">
        <v>2378059217</v>
      </c>
      <c r="E5625" t="str">
        <f>T("저승의 왕위를 계승했다 303화")</f>
        <v>저승의 왕위를 계승했다 303화</v>
      </c>
      <c r="F5625">
        <v>304</v>
      </c>
      <c r="G5625" t="str">
        <f>T("신타비")</f>
        <v>신타비</v>
      </c>
      <c r="J5625" t="str">
        <f>T("매드햇")</f>
        <v>매드햇</v>
      </c>
      <c r="K5625" t="str">
        <f>T("저승의 왕위를 계승했다")</f>
        <v>저승의 왕위를 계승했다</v>
      </c>
      <c r="L5625">
        <v>100</v>
      </c>
      <c r="M5625">
        <v>100</v>
      </c>
      <c r="N5625">
        <v>1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0</v>
      </c>
      <c r="V5625">
        <v>0</v>
      </c>
      <c r="W5625">
        <v>0</v>
      </c>
      <c r="X5625">
        <v>0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0</v>
      </c>
      <c r="AE5625">
        <v>0</v>
      </c>
      <c r="AF5625">
        <v>0</v>
      </c>
      <c r="AG5625">
        <v>0</v>
      </c>
      <c r="AH5625">
        <v>0</v>
      </c>
      <c r="AI5625">
        <v>100</v>
      </c>
      <c r="AJ5625">
        <v>1</v>
      </c>
      <c r="AK5625">
        <v>0</v>
      </c>
      <c r="AL5625">
        <v>0</v>
      </c>
      <c r="AM5625">
        <v>100</v>
      </c>
      <c r="AN5625">
        <v>0</v>
      </c>
      <c r="AO5625">
        <v>0</v>
      </c>
      <c r="AP5625">
        <v>0</v>
      </c>
      <c r="AQ5625">
        <v>0</v>
      </c>
      <c r="AS5625">
        <v>0</v>
      </c>
      <c r="AT5625">
        <v>0</v>
      </c>
      <c r="AV5625">
        <v>0</v>
      </c>
      <c r="AW5625">
        <v>0</v>
      </c>
      <c r="AY5625">
        <v>0</v>
      </c>
      <c r="AZ5625">
        <v>0</v>
      </c>
      <c r="BA5625">
        <v>70</v>
      </c>
      <c r="BE5625" t="str">
        <f>T("9791137014381")</f>
        <v>9791137014381</v>
      </c>
      <c r="BF5625" t="str">
        <f>T("k194398")</f>
        <v>k194398</v>
      </c>
      <c r="BG5625" t="str">
        <f>T("판타지 웹소설 &gt; 퓨전 판타지")</f>
        <v>판타지 웹소설 &gt; 퓨전 판타지</v>
      </c>
    </row>
    <row r="5626" spans="1:59">
      <c r="A5626" t="s">
        <v>60</v>
      </c>
      <c r="B5626" s="1">
        <v>46130</v>
      </c>
      <c r="C5626">
        <v>2378044065</v>
      </c>
      <c r="D5626">
        <v>2378059228</v>
      </c>
      <c r="E5626" t="str">
        <f>T("저승의 왕위를 계승했다 304화")</f>
        <v>저승의 왕위를 계승했다 304화</v>
      </c>
      <c r="F5626">
        <v>305</v>
      </c>
      <c r="G5626" t="str">
        <f>T("신타비")</f>
        <v>신타비</v>
      </c>
      <c r="J5626" t="str">
        <f>T("매드햇")</f>
        <v>매드햇</v>
      </c>
      <c r="K5626" t="str">
        <f>T("저승의 왕위를 계승했다")</f>
        <v>저승의 왕위를 계승했다</v>
      </c>
      <c r="L5626">
        <v>100</v>
      </c>
      <c r="M5626">
        <v>100</v>
      </c>
      <c r="N5626">
        <v>1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0</v>
      </c>
      <c r="V5626">
        <v>0</v>
      </c>
      <c r="W5626">
        <v>0</v>
      </c>
      <c r="X5626">
        <v>0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0</v>
      </c>
      <c r="AE5626">
        <v>0</v>
      </c>
      <c r="AF5626">
        <v>0</v>
      </c>
      <c r="AG5626">
        <v>0</v>
      </c>
      <c r="AH5626">
        <v>0</v>
      </c>
      <c r="AI5626">
        <v>100</v>
      </c>
      <c r="AJ5626">
        <v>1</v>
      </c>
      <c r="AK5626">
        <v>0</v>
      </c>
      <c r="AL5626">
        <v>0</v>
      </c>
      <c r="AM5626">
        <v>100</v>
      </c>
      <c r="AN5626">
        <v>0</v>
      </c>
      <c r="AO5626">
        <v>0</v>
      </c>
      <c r="AP5626">
        <v>0</v>
      </c>
      <c r="AQ5626">
        <v>0</v>
      </c>
      <c r="AS5626">
        <v>0</v>
      </c>
      <c r="AT5626">
        <v>0</v>
      </c>
      <c r="AV5626">
        <v>0</v>
      </c>
      <c r="AW5626">
        <v>0</v>
      </c>
      <c r="AY5626">
        <v>0</v>
      </c>
      <c r="AZ5626">
        <v>0</v>
      </c>
      <c r="BA5626">
        <v>70</v>
      </c>
      <c r="BE5626" t="str">
        <f>T("9791137014381")</f>
        <v>9791137014381</v>
      </c>
      <c r="BF5626" t="str">
        <f>T("k194399")</f>
        <v>k194399</v>
      </c>
      <c r="BG5626" t="str">
        <f>T("판타지 웹소설 &gt; 퓨전 판타지")</f>
        <v>판타지 웹소설 &gt; 퓨전 판타지</v>
      </c>
    </row>
    <row r="5627" spans="1:59">
      <c r="A5627" t="s">
        <v>60</v>
      </c>
      <c r="B5627" s="1">
        <v>46130</v>
      </c>
      <c r="C5627">
        <v>2378044065</v>
      </c>
      <c r="D5627">
        <v>2378059239</v>
      </c>
      <c r="E5627" t="str">
        <f>T("저승의 왕위를 계승했다 305화")</f>
        <v>저승의 왕위를 계승했다 305화</v>
      </c>
      <c r="F5627">
        <v>306</v>
      </c>
      <c r="G5627" t="str">
        <f>T("신타비")</f>
        <v>신타비</v>
      </c>
      <c r="J5627" t="str">
        <f>T("매드햇")</f>
        <v>매드햇</v>
      </c>
      <c r="K5627" t="str">
        <f>T("저승의 왕위를 계승했다")</f>
        <v>저승의 왕위를 계승했다</v>
      </c>
      <c r="L5627">
        <v>100</v>
      </c>
      <c r="M5627">
        <v>100</v>
      </c>
      <c r="N5627">
        <v>1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0</v>
      </c>
      <c r="V5627">
        <v>0</v>
      </c>
      <c r="W5627">
        <v>0</v>
      </c>
      <c r="X5627">
        <v>0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0</v>
      </c>
      <c r="AE5627">
        <v>0</v>
      </c>
      <c r="AF5627">
        <v>0</v>
      </c>
      <c r="AG5627">
        <v>0</v>
      </c>
      <c r="AH5627">
        <v>0</v>
      </c>
      <c r="AI5627">
        <v>100</v>
      </c>
      <c r="AJ5627">
        <v>1</v>
      </c>
      <c r="AK5627">
        <v>0</v>
      </c>
      <c r="AL5627">
        <v>0</v>
      </c>
      <c r="AM5627">
        <v>100</v>
      </c>
      <c r="AN5627">
        <v>0</v>
      </c>
      <c r="AO5627">
        <v>0</v>
      </c>
      <c r="AP5627">
        <v>0</v>
      </c>
      <c r="AQ5627">
        <v>0</v>
      </c>
      <c r="AS5627">
        <v>0</v>
      </c>
      <c r="AT5627">
        <v>0</v>
      </c>
      <c r="AV5627">
        <v>0</v>
      </c>
      <c r="AW5627">
        <v>0</v>
      </c>
      <c r="AY5627">
        <v>0</v>
      </c>
      <c r="AZ5627">
        <v>0</v>
      </c>
      <c r="BA5627">
        <v>70</v>
      </c>
      <c r="BE5627" t="str">
        <f>T("9791137014381")</f>
        <v>9791137014381</v>
      </c>
      <c r="BF5627" t="str">
        <f>T("k194400")</f>
        <v>k194400</v>
      </c>
      <c r="BG5627" t="str">
        <f>T("판타지 웹소설 &gt; 퓨전 판타지")</f>
        <v>판타지 웹소설 &gt; 퓨전 판타지</v>
      </c>
    </row>
    <row r="5628" spans="1:59">
      <c r="A5628" t="s">
        <v>60</v>
      </c>
      <c r="B5628" s="1">
        <v>46130</v>
      </c>
      <c r="C5628">
        <v>2378044065</v>
      </c>
      <c r="D5628">
        <v>2378059262</v>
      </c>
      <c r="E5628" t="str">
        <f>T("저승의 왕위를 계승했다 306화")</f>
        <v>저승의 왕위를 계승했다 306화</v>
      </c>
      <c r="F5628">
        <v>307</v>
      </c>
      <c r="G5628" t="str">
        <f>T("신타비")</f>
        <v>신타비</v>
      </c>
      <c r="J5628" t="str">
        <f>T("매드햇")</f>
        <v>매드햇</v>
      </c>
      <c r="K5628" t="str">
        <f>T("저승의 왕위를 계승했다")</f>
        <v>저승의 왕위를 계승했다</v>
      </c>
      <c r="L5628">
        <v>100</v>
      </c>
      <c r="M5628">
        <v>100</v>
      </c>
      <c r="N5628">
        <v>1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0</v>
      </c>
      <c r="V5628">
        <v>0</v>
      </c>
      <c r="W5628">
        <v>0</v>
      </c>
      <c r="X5628">
        <v>0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0</v>
      </c>
      <c r="AE5628">
        <v>0</v>
      </c>
      <c r="AF5628">
        <v>0</v>
      </c>
      <c r="AG5628">
        <v>0</v>
      </c>
      <c r="AH5628">
        <v>0</v>
      </c>
      <c r="AI5628">
        <v>100</v>
      </c>
      <c r="AJ5628">
        <v>1</v>
      </c>
      <c r="AK5628">
        <v>0</v>
      </c>
      <c r="AL5628">
        <v>0</v>
      </c>
      <c r="AM5628">
        <v>100</v>
      </c>
      <c r="AN5628">
        <v>0</v>
      </c>
      <c r="AO5628">
        <v>0</v>
      </c>
      <c r="AP5628">
        <v>0</v>
      </c>
      <c r="AQ5628">
        <v>0</v>
      </c>
      <c r="AS5628">
        <v>0</v>
      </c>
      <c r="AT5628">
        <v>0</v>
      </c>
      <c r="AV5628">
        <v>0</v>
      </c>
      <c r="AW5628">
        <v>0</v>
      </c>
      <c r="AY5628">
        <v>0</v>
      </c>
      <c r="AZ5628">
        <v>0</v>
      </c>
      <c r="BA5628">
        <v>70</v>
      </c>
      <c r="BE5628" t="str">
        <f>T("9791137014381")</f>
        <v>9791137014381</v>
      </c>
      <c r="BF5628" t="str">
        <f>T("k194401")</f>
        <v>k194401</v>
      </c>
      <c r="BG5628" t="str">
        <f>T("판타지 웹소설 &gt; 퓨전 판타지")</f>
        <v>판타지 웹소설 &gt; 퓨전 판타지</v>
      </c>
    </row>
    <row r="5629" spans="1:59">
      <c r="A5629" t="s">
        <v>60</v>
      </c>
      <c r="B5629" s="1">
        <v>46130</v>
      </c>
      <c r="C5629">
        <v>2378044065</v>
      </c>
      <c r="D5629">
        <v>2378059271</v>
      </c>
      <c r="E5629" t="str">
        <f>T("저승의 왕위를 계승했다 307화")</f>
        <v>저승의 왕위를 계승했다 307화</v>
      </c>
      <c r="F5629">
        <v>308</v>
      </c>
      <c r="G5629" t="str">
        <f>T("신타비")</f>
        <v>신타비</v>
      </c>
      <c r="J5629" t="str">
        <f>T("매드햇")</f>
        <v>매드햇</v>
      </c>
      <c r="K5629" t="str">
        <f>T("저승의 왕위를 계승했다")</f>
        <v>저승의 왕위를 계승했다</v>
      </c>
      <c r="L5629">
        <v>100</v>
      </c>
      <c r="M5629">
        <v>100</v>
      </c>
      <c r="N5629">
        <v>1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0</v>
      </c>
      <c r="V5629">
        <v>0</v>
      </c>
      <c r="W5629">
        <v>0</v>
      </c>
      <c r="X5629">
        <v>0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0</v>
      </c>
      <c r="AE5629">
        <v>0</v>
      </c>
      <c r="AF5629">
        <v>0</v>
      </c>
      <c r="AG5629">
        <v>0</v>
      </c>
      <c r="AH5629">
        <v>0</v>
      </c>
      <c r="AI5629">
        <v>100</v>
      </c>
      <c r="AJ5629">
        <v>1</v>
      </c>
      <c r="AK5629">
        <v>0</v>
      </c>
      <c r="AL5629">
        <v>0</v>
      </c>
      <c r="AM5629">
        <v>100</v>
      </c>
      <c r="AN5629">
        <v>0</v>
      </c>
      <c r="AO5629">
        <v>0</v>
      </c>
      <c r="AP5629">
        <v>0</v>
      </c>
      <c r="AQ5629">
        <v>0</v>
      </c>
      <c r="AS5629">
        <v>0</v>
      </c>
      <c r="AT5629">
        <v>0</v>
      </c>
      <c r="AV5629">
        <v>0</v>
      </c>
      <c r="AW5629">
        <v>0</v>
      </c>
      <c r="AY5629">
        <v>0</v>
      </c>
      <c r="AZ5629">
        <v>0</v>
      </c>
      <c r="BA5629">
        <v>70</v>
      </c>
      <c r="BE5629" t="str">
        <f>T("9791137014381")</f>
        <v>9791137014381</v>
      </c>
      <c r="BF5629" t="str">
        <f>T("k194402")</f>
        <v>k194402</v>
      </c>
      <c r="BG5629" t="str">
        <f>T("판타지 웹소설 &gt; 퓨전 판타지")</f>
        <v>판타지 웹소설 &gt; 퓨전 판타지</v>
      </c>
    </row>
    <row r="5630" spans="1:59">
      <c r="A5630" t="s">
        <v>60</v>
      </c>
      <c r="B5630" s="1">
        <v>46130</v>
      </c>
      <c r="C5630">
        <v>2378044065</v>
      </c>
      <c r="D5630">
        <v>2378059323</v>
      </c>
      <c r="E5630" t="str">
        <f>T("저승의 왕위를 계승했다 308화")</f>
        <v>저승의 왕위를 계승했다 308화</v>
      </c>
      <c r="F5630">
        <v>309</v>
      </c>
      <c r="G5630" t="str">
        <f>T("신타비")</f>
        <v>신타비</v>
      </c>
      <c r="J5630" t="str">
        <f>T("매드햇")</f>
        <v>매드햇</v>
      </c>
      <c r="K5630" t="str">
        <f>T("저승의 왕위를 계승했다")</f>
        <v>저승의 왕위를 계승했다</v>
      </c>
      <c r="L5630">
        <v>100</v>
      </c>
      <c r="M5630">
        <v>100</v>
      </c>
      <c r="N5630">
        <v>1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0</v>
      </c>
      <c r="V5630">
        <v>0</v>
      </c>
      <c r="W5630">
        <v>0</v>
      </c>
      <c r="X5630">
        <v>0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0</v>
      </c>
      <c r="AE5630">
        <v>0</v>
      </c>
      <c r="AF5630">
        <v>0</v>
      </c>
      <c r="AG5630">
        <v>0</v>
      </c>
      <c r="AH5630">
        <v>0</v>
      </c>
      <c r="AI5630">
        <v>100</v>
      </c>
      <c r="AJ5630">
        <v>1</v>
      </c>
      <c r="AK5630">
        <v>0</v>
      </c>
      <c r="AL5630">
        <v>0</v>
      </c>
      <c r="AM5630">
        <v>100</v>
      </c>
      <c r="AN5630">
        <v>0</v>
      </c>
      <c r="AO5630">
        <v>0</v>
      </c>
      <c r="AP5630">
        <v>0</v>
      </c>
      <c r="AQ5630">
        <v>0</v>
      </c>
      <c r="AS5630">
        <v>0</v>
      </c>
      <c r="AT5630">
        <v>0</v>
      </c>
      <c r="AV5630">
        <v>0</v>
      </c>
      <c r="AW5630">
        <v>0</v>
      </c>
      <c r="AY5630">
        <v>0</v>
      </c>
      <c r="AZ5630">
        <v>0</v>
      </c>
      <c r="BA5630">
        <v>70</v>
      </c>
      <c r="BE5630" t="str">
        <f>T("9791137014381")</f>
        <v>9791137014381</v>
      </c>
      <c r="BF5630" t="str">
        <f>T("k194403")</f>
        <v>k194403</v>
      </c>
      <c r="BG5630" t="str">
        <f>T("판타지 웹소설 &gt; 퓨전 판타지")</f>
        <v>판타지 웹소설 &gt; 퓨전 판타지</v>
      </c>
    </row>
    <row r="5631" spans="1:59">
      <c r="A5631" t="s">
        <v>60</v>
      </c>
      <c r="B5631" s="1">
        <v>46130</v>
      </c>
      <c r="C5631">
        <v>2378044065</v>
      </c>
      <c r="D5631">
        <v>2378059453</v>
      </c>
      <c r="E5631" t="str">
        <f>T("저승의 왕위를 계승했다 309화")</f>
        <v>저승의 왕위를 계승했다 309화</v>
      </c>
      <c r="F5631">
        <v>310</v>
      </c>
      <c r="G5631" t="str">
        <f>T("신타비")</f>
        <v>신타비</v>
      </c>
      <c r="J5631" t="str">
        <f>T("매드햇")</f>
        <v>매드햇</v>
      </c>
      <c r="K5631" t="str">
        <f>T("저승의 왕위를 계승했다")</f>
        <v>저승의 왕위를 계승했다</v>
      </c>
      <c r="L5631">
        <v>100</v>
      </c>
      <c r="M5631">
        <v>100</v>
      </c>
      <c r="N5631">
        <v>1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0</v>
      </c>
      <c r="V5631">
        <v>0</v>
      </c>
      <c r="W5631">
        <v>0</v>
      </c>
      <c r="X5631">
        <v>0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0</v>
      </c>
      <c r="AE5631">
        <v>0</v>
      </c>
      <c r="AF5631">
        <v>0</v>
      </c>
      <c r="AG5631">
        <v>0</v>
      </c>
      <c r="AH5631">
        <v>0</v>
      </c>
      <c r="AI5631">
        <v>100</v>
      </c>
      <c r="AJ5631">
        <v>1</v>
      </c>
      <c r="AK5631">
        <v>0</v>
      </c>
      <c r="AL5631">
        <v>0</v>
      </c>
      <c r="AM5631">
        <v>100</v>
      </c>
      <c r="AN5631">
        <v>0</v>
      </c>
      <c r="AO5631">
        <v>0</v>
      </c>
      <c r="AP5631">
        <v>0</v>
      </c>
      <c r="AQ5631">
        <v>0</v>
      </c>
      <c r="AS5631">
        <v>0</v>
      </c>
      <c r="AT5631">
        <v>0</v>
      </c>
      <c r="AV5631">
        <v>0</v>
      </c>
      <c r="AW5631">
        <v>0</v>
      </c>
      <c r="AY5631">
        <v>0</v>
      </c>
      <c r="AZ5631">
        <v>0</v>
      </c>
      <c r="BA5631">
        <v>70</v>
      </c>
      <c r="BE5631" t="str">
        <f>T("9791137014381")</f>
        <v>9791137014381</v>
      </c>
      <c r="BF5631" t="str">
        <f>T("k194404")</f>
        <v>k194404</v>
      </c>
      <c r="BG5631" t="str">
        <f>T("판타지 웹소설 &gt; 퓨전 판타지")</f>
        <v>판타지 웹소설 &gt; 퓨전 판타지</v>
      </c>
    </row>
    <row r="5632" spans="1:59">
      <c r="A5632" t="s">
        <v>60</v>
      </c>
      <c r="B5632" s="1">
        <v>46130</v>
      </c>
      <c r="C5632">
        <v>2378044065</v>
      </c>
      <c r="D5632">
        <v>2378059476</v>
      </c>
      <c r="E5632" t="str">
        <f>T("저승의 왕위를 계승했다 310화")</f>
        <v>저승의 왕위를 계승했다 310화</v>
      </c>
      <c r="F5632">
        <v>311</v>
      </c>
      <c r="G5632" t="str">
        <f>T("신타비")</f>
        <v>신타비</v>
      </c>
      <c r="J5632" t="str">
        <f>T("매드햇")</f>
        <v>매드햇</v>
      </c>
      <c r="K5632" t="str">
        <f>T("저승의 왕위를 계승했다")</f>
        <v>저승의 왕위를 계승했다</v>
      </c>
      <c r="L5632">
        <v>100</v>
      </c>
      <c r="M5632">
        <v>100</v>
      </c>
      <c r="N5632">
        <v>1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0</v>
      </c>
      <c r="V5632">
        <v>0</v>
      </c>
      <c r="W5632">
        <v>0</v>
      </c>
      <c r="X5632">
        <v>0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0</v>
      </c>
      <c r="AE5632">
        <v>0</v>
      </c>
      <c r="AF5632">
        <v>0</v>
      </c>
      <c r="AG5632">
        <v>0</v>
      </c>
      <c r="AH5632">
        <v>0</v>
      </c>
      <c r="AI5632">
        <v>100</v>
      </c>
      <c r="AJ5632">
        <v>1</v>
      </c>
      <c r="AK5632">
        <v>0</v>
      </c>
      <c r="AL5632">
        <v>0</v>
      </c>
      <c r="AM5632">
        <v>100</v>
      </c>
      <c r="AN5632">
        <v>0</v>
      </c>
      <c r="AO5632">
        <v>0</v>
      </c>
      <c r="AP5632">
        <v>0</v>
      </c>
      <c r="AQ5632">
        <v>0</v>
      </c>
      <c r="AS5632">
        <v>0</v>
      </c>
      <c r="AT5632">
        <v>0</v>
      </c>
      <c r="AV5632">
        <v>0</v>
      </c>
      <c r="AW5632">
        <v>0</v>
      </c>
      <c r="AY5632">
        <v>0</v>
      </c>
      <c r="AZ5632">
        <v>0</v>
      </c>
      <c r="BA5632">
        <v>70</v>
      </c>
      <c r="BE5632" t="str">
        <f>T("9791137014381")</f>
        <v>9791137014381</v>
      </c>
      <c r="BF5632" t="str">
        <f>T("k194405")</f>
        <v>k194405</v>
      </c>
      <c r="BG5632" t="str">
        <f>T("판타지 웹소설 &gt; 퓨전 판타지")</f>
        <v>판타지 웹소설 &gt; 퓨전 판타지</v>
      </c>
    </row>
    <row r="5633" spans="1:59">
      <c r="A5633" t="s">
        <v>60</v>
      </c>
      <c r="B5633" s="1">
        <v>46130</v>
      </c>
      <c r="C5633">
        <v>2378044065</v>
      </c>
      <c r="D5633">
        <v>2378059494</v>
      </c>
      <c r="E5633" t="str">
        <f>T("저승의 왕위를 계승했다 311화")</f>
        <v>저승의 왕위를 계승했다 311화</v>
      </c>
      <c r="F5633">
        <v>312</v>
      </c>
      <c r="G5633" t="str">
        <f>T("신타비")</f>
        <v>신타비</v>
      </c>
      <c r="J5633" t="str">
        <f>T("매드햇")</f>
        <v>매드햇</v>
      </c>
      <c r="K5633" t="str">
        <f>T("저승의 왕위를 계승했다")</f>
        <v>저승의 왕위를 계승했다</v>
      </c>
      <c r="L5633">
        <v>100</v>
      </c>
      <c r="M5633">
        <v>100</v>
      </c>
      <c r="N5633">
        <v>1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0</v>
      </c>
      <c r="V5633">
        <v>0</v>
      </c>
      <c r="W5633">
        <v>0</v>
      </c>
      <c r="X5633">
        <v>0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0</v>
      </c>
      <c r="AE5633">
        <v>0</v>
      </c>
      <c r="AF5633">
        <v>0</v>
      </c>
      <c r="AG5633">
        <v>0</v>
      </c>
      <c r="AH5633">
        <v>0</v>
      </c>
      <c r="AI5633">
        <v>100</v>
      </c>
      <c r="AJ5633">
        <v>1</v>
      </c>
      <c r="AK5633">
        <v>0</v>
      </c>
      <c r="AL5633">
        <v>0</v>
      </c>
      <c r="AM5633">
        <v>100</v>
      </c>
      <c r="AN5633">
        <v>0</v>
      </c>
      <c r="AO5633">
        <v>0</v>
      </c>
      <c r="AP5633">
        <v>0</v>
      </c>
      <c r="AQ5633">
        <v>0</v>
      </c>
      <c r="AS5633">
        <v>0</v>
      </c>
      <c r="AT5633">
        <v>0</v>
      </c>
      <c r="AV5633">
        <v>0</v>
      </c>
      <c r="AW5633">
        <v>0</v>
      </c>
      <c r="AY5633">
        <v>0</v>
      </c>
      <c r="AZ5633">
        <v>0</v>
      </c>
      <c r="BA5633">
        <v>70</v>
      </c>
      <c r="BE5633" t="str">
        <f>T("9791137014381")</f>
        <v>9791137014381</v>
      </c>
      <c r="BF5633" t="str">
        <f>T("k198140")</f>
        <v>k198140</v>
      </c>
      <c r="BG5633" t="str">
        <f>T("판타지 웹소설 &gt; 퓨전 판타지")</f>
        <v>판타지 웹소설 &gt; 퓨전 판타지</v>
      </c>
    </row>
    <row r="5634" spans="1:59">
      <c r="A5634" t="s">
        <v>60</v>
      </c>
      <c r="B5634" s="1">
        <v>46130</v>
      </c>
      <c r="C5634">
        <v>2378044065</v>
      </c>
      <c r="D5634">
        <v>2378059509</v>
      </c>
      <c r="E5634" t="str">
        <f>T("저승의 왕위를 계승했다 312화 (삽화)")</f>
        <v>저승의 왕위를 계승했다 312화 (삽화)</v>
      </c>
      <c r="F5634">
        <v>313</v>
      </c>
      <c r="G5634" t="str">
        <f>T("신타비")</f>
        <v>신타비</v>
      </c>
      <c r="J5634" t="str">
        <f>T("매드햇")</f>
        <v>매드햇</v>
      </c>
      <c r="K5634" t="str">
        <f>T("저승의 왕위를 계승했다")</f>
        <v>저승의 왕위를 계승했다</v>
      </c>
      <c r="L5634">
        <v>100</v>
      </c>
      <c r="M5634">
        <v>200</v>
      </c>
      <c r="N5634">
        <v>2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0</v>
      </c>
      <c r="V5634">
        <v>0</v>
      </c>
      <c r="W5634">
        <v>0</v>
      </c>
      <c r="X5634">
        <v>0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0</v>
      </c>
      <c r="AE5634">
        <v>0</v>
      </c>
      <c r="AF5634">
        <v>0</v>
      </c>
      <c r="AG5634">
        <v>0</v>
      </c>
      <c r="AH5634">
        <v>0</v>
      </c>
      <c r="AI5634">
        <v>200</v>
      </c>
      <c r="AJ5634">
        <v>2</v>
      </c>
      <c r="AK5634">
        <v>0</v>
      </c>
      <c r="AL5634">
        <v>0</v>
      </c>
      <c r="AM5634">
        <v>200</v>
      </c>
      <c r="AN5634">
        <v>0</v>
      </c>
      <c r="AO5634">
        <v>0</v>
      </c>
      <c r="AP5634">
        <v>0</v>
      </c>
      <c r="AQ5634">
        <v>0</v>
      </c>
      <c r="AS5634">
        <v>0</v>
      </c>
      <c r="AT5634">
        <v>0</v>
      </c>
      <c r="AV5634">
        <v>0</v>
      </c>
      <c r="AW5634">
        <v>0</v>
      </c>
      <c r="AY5634">
        <v>0</v>
      </c>
      <c r="AZ5634">
        <v>0</v>
      </c>
      <c r="BA5634">
        <v>140</v>
      </c>
      <c r="BE5634" t="str">
        <f>T("9791137014381")</f>
        <v>9791137014381</v>
      </c>
      <c r="BF5634" t="str">
        <f>T("k198141")</f>
        <v>k198141</v>
      </c>
      <c r="BG5634" t="str">
        <f>T("판타지 웹소설 &gt; 퓨전 판타지")</f>
        <v>판타지 웹소설 &gt; 퓨전 판타지</v>
      </c>
    </row>
    <row r="5635" spans="1:59">
      <c r="A5635" t="s">
        <v>60</v>
      </c>
      <c r="B5635" s="1">
        <v>46130</v>
      </c>
      <c r="C5635">
        <v>2378044065</v>
      </c>
      <c r="D5635">
        <v>2378059537</v>
      </c>
      <c r="E5635" t="str">
        <f>T("저승의 왕위를 계승했다 313화")</f>
        <v>저승의 왕위를 계승했다 313화</v>
      </c>
      <c r="F5635">
        <v>314</v>
      </c>
      <c r="G5635" t="str">
        <f>T("신타비")</f>
        <v>신타비</v>
      </c>
      <c r="J5635" t="str">
        <f>T("매드햇")</f>
        <v>매드햇</v>
      </c>
      <c r="K5635" t="str">
        <f>T("저승의 왕위를 계승했다")</f>
        <v>저승의 왕위를 계승했다</v>
      </c>
      <c r="L5635">
        <v>100</v>
      </c>
      <c r="M5635">
        <v>100</v>
      </c>
      <c r="N5635">
        <v>1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0</v>
      </c>
      <c r="V5635">
        <v>0</v>
      </c>
      <c r="W5635">
        <v>0</v>
      </c>
      <c r="X5635">
        <v>0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0</v>
      </c>
      <c r="AE5635">
        <v>0</v>
      </c>
      <c r="AF5635">
        <v>0</v>
      </c>
      <c r="AG5635">
        <v>0</v>
      </c>
      <c r="AH5635">
        <v>0</v>
      </c>
      <c r="AI5635">
        <v>100</v>
      </c>
      <c r="AJ5635">
        <v>1</v>
      </c>
      <c r="AK5635">
        <v>0</v>
      </c>
      <c r="AL5635">
        <v>0</v>
      </c>
      <c r="AM5635">
        <v>100</v>
      </c>
      <c r="AN5635">
        <v>0</v>
      </c>
      <c r="AO5635">
        <v>0</v>
      </c>
      <c r="AP5635">
        <v>0</v>
      </c>
      <c r="AQ5635">
        <v>0</v>
      </c>
      <c r="AS5635">
        <v>0</v>
      </c>
      <c r="AT5635">
        <v>0</v>
      </c>
      <c r="AV5635">
        <v>0</v>
      </c>
      <c r="AW5635">
        <v>0</v>
      </c>
      <c r="AY5635">
        <v>0</v>
      </c>
      <c r="AZ5635">
        <v>0</v>
      </c>
      <c r="BA5635">
        <v>70</v>
      </c>
      <c r="BE5635" t="str">
        <f>T("9791137014381")</f>
        <v>9791137014381</v>
      </c>
      <c r="BF5635" t="str">
        <f>T("k198142")</f>
        <v>k198142</v>
      </c>
      <c r="BG5635" t="str">
        <f>T("판타지 웹소설 &gt; 퓨전 판타지")</f>
        <v>판타지 웹소설 &gt; 퓨전 판타지</v>
      </c>
    </row>
    <row r="5636" spans="1:59">
      <c r="A5636" t="s">
        <v>60</v>
      </c>
      <c r="B5636" s="1">
        <v>46130</v>
      </c>
      <c r="C5636">
        <v>2378044065</v>
      </c>
      <c r="D5636">
        <v>2378059749</v>
      </c>
      <c r="E5636" t="str">
        <f>T("저승의 왕위를 계승했다 314화")</f>
        <v>저승의 왕위를 계승했다 314화</v>
      </c>
      <c r="F5636">
        <v>315</v>
      </c>
      <c r="G5636" t="str">
        <f>T("신타비")</f>
        <v>신타비</v>
      </c>
      <c r="J5636" t="str">
        <f>T("매드햇")</f>
        <v>매드햇</v>
      </c>
      <c r="K5636" t="str">
        <f>T("저승의 왕위를 계승했다")</f>
        <v>저승의 왕위를 계승했다</v>
      </c>
      <c r="L5636">
        <v>100</v>
      </c>
      <c r="M5636">
        <v>100</v>
      </c>
      <c r="N5636">
        <v>1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0</v>
      </c>
      <c r="V5636">
        <v>0</v>
      </c>
      <c r="W5636">
        <v>0</v>
      </c>
      <c r="X5636">
        <v>0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0</v>
      </c>
      <c r="AE5636">
        <v>0</v>
      </c>
      <c r="AF5636">
        <v>0</v>
      </c>
      <c r="AG5636">
        <v>0</v>
      </c>
      <c r="AH5636">
        <v>0</v>
      </c>
      <c r="AI5636">
        <v>100</v>
      </c>
      <c r="AJ5636">
        <v>1</v>
      </c>
      <c r="AK5636">
        <v>0</v>
      </c>
      <c r="AL5636">
        <v>0</v>
      </c>
      <c r="AM5636">
        <v>100</v>
      </c>
      <c r="AN5636">
        <v>0</v>
      </c>
      <c r="AO5636">
        <v>0</v>
      </c>
      <c r="AP5636">
        <v>0</v>
      </c>
      <c r="AQ5636">
        <v>0</v>
      </c>
      <c r="AS5636">
        <v>0</v>
      </c>
      <c r="AT5636">
        <v>0</v>
      </c>
      <c r="AV5636">
        <v>0</v>
      </c>
      <c r="AW5636">
        <v>0</v>
      </c>
      <c r="AY5636">
        <v>0</v>
      </c>
      <c r="AZ5636">
        <v>0</v>
      </c>
      <c r="BA5636">
        <v>70</v>
      </c>
      <c r="BE5636" t="str">
        <f>T("9791137014381")</f>
        <v>9791137014381</v>
      </c>
      <c r="BF5636" t="str">
        <f>T("k198143")</f>
        <v>k198143</v>
      </c>
      <c r="BG5636" t="str">
        <f>T("판타지 웹소설 &gt; 퓨전 판타지")</f>
        <v>판타지 웹소설 &gt; 퓨전 판타지</v>
      </c>
    </row>
    <row r="5637" spans="1:59">
      <c r="A5637" t="s">
        <v>60</v>
      </c>
      <c r="B5637" s="1">
        <v>46130</v>
      </c>
      <c r="C5637">
        <v>2378044065</v>
      </c>
      <c r="D5637">
        <v>2378059824</v>
      </c>
      <c r="E5637" t="str">
        <f>T("저승의 왕위를 계승했다 315화")</f>
        <v>저승의 왕위를 계승했다 315화</v>
      </c>
      <c r="F5637">
        <v>316</v>
      </c>
      <c r="G5637" t="str">
        <f>T("신타비")</f>
        <v>신타비</v>
      </c>
      <c r="J5637" t="str">
        <f>T("매드햇")</f>
        <v>매드햇</v>
      </c>
      <c r="K5637" t="str">
        <f>T("저승의 왕위를 계승했다")</f>
        <v>저승의 왕위를 계승했다</v>
      </c>
      <c r="L5637">
        <v>100</v>
      </c>
      <c r="M5637">
        <v>100</v>
      </c>
      <c r="N5637">
        <v>1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0</v>
      </c>
      <c r="V5637">
        <v>0</v>
      </c>
      <c r="W5637">
        <v>0</v>
      </c>
      <c r="X5637">
        <v>0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0</v>
      </c>
      <c r="AE5637">
        <v>0</v>
      </c>
      <c r="AF5637">
        <v>0</v>
      </c>
      <c r="AG5637">
        <v>0</v>
      </c>
      <c r="AH5637">
        <v>0</v>
      </c>
      <c r="AI5637">
        <v>100</v>
      </c>
      <c r="AJ5637">
        <v>1</v>
      </c>
      <c r="AK5637">
        <v>0</v>
      </c>
      <c r="AL5637">
        <v>0</v>
      </c>
      <c r="AM5637">
        <v>100</v>
      </c>
      <c r="AN5637">
        <v>0</v>
      </c>
      <c r="AO5637">
        <v>0</v>
      </c>
      <c r="AP5637">
        <v>0</v>
      </c>
      <c r="AQ5637">
        <v>0</v>
      </c>
      <c r="AS5637">
        <v>0</v>
      </c>
      <c r="AT5637">
        <v>0</v>
      </c>
      <c r="AV5637">
        <v>0</v>
      </c>
      <c r="AW5637">
        <v>0</v>
      </c>
      <c r="AY5637">
        <v>0</v>
      </c>
      <c r="AZ5637">
        <v>0</v>
      </c>
      <c r="BA5637">
        <v>70</v>
      </c>
      <c r="BE5637" t="str">
        <f>T("9791137014381")</f>
        <v>9791137014381</v>
      </c>
      <c r="BF5637" t="str">
        <f>T("k198144")</f>
        <v>k198144</v>
      </c>
      <c r="BG5637" t="str">
        <f>T("판타지 웹소설 &gt; 퓨전 판타지")</f>
        <v>판타지 웹소설 &gt; 퓨전 판타지</v>
      </c>
    </row>
    <row r="5638" spans="1:59">
      <c r="A5638" t="s">
        <v>60</v>
      </c>
      <c r="B5638" s="1">
        <v>46130</v>
      </c>
      <c r="C5638">
        <v>2378044065</v>
      </c>
      <c r="D5638">
        <v>2378059846</v>
      </c>
      <c r="E5638" t="str">
        <f>T("저승의 왕위를 계승했다 316화")</f>
        <v>저승의 왕위를 계승했다 316화</v>
      </c>
      <c r="F5638">
        <v>317</v>
      </c>
      <c r="G5638" t="str">
        <f>T("신타비")</f>
        <v>신타비</v>
      </c>
      <c r="J5638" t="str">
        <f>T("매드햇")</f>
        <v>매드햇</v>
      </c>
      <c r="K5638" t="str">
        <f>T("저승의 왕위를 계승했다")</f>
        <v>저승의 왕위를 계승했다</v>
      </c>
      <c r="L5638">
        <v>100</v>
      </c>
      <c r="M5638">
        <v>100</v>
      </c>
      <c r="N5638">
        <v>1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0</v>
      </c>
      <c r="V5638">
        <v>0</v>
      </c>
      <c r="W5638">
        <v>0</v>
      </c>
      <c r="X5638">
        <v>0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0</v>
      </c>
      <c r="AE5638">
        <v>0</v>
      </c>
      <c r="AF5638">
        <v>0</v>
      </c>
      <c r="AG5638">
        <v>0</v>
      </c>
      <c r="AH5638">
        <v>0</v>
      </c>
      <c r="AI5638">
        <v>100</v>
      </c>
      <c r="AJ5638">
        <v>1</v>
      </c>
      <c r="AK5638">
        <v>0</v>
      </c>
      <c r="AL5638">
        <v>0</v>
      </c>
      <c r="AM5638">
        <v>100</v>
      </c>
      <c r="AN5638">
        <v>0</v>
      </c>
      <c r="AO5638">
        <v>0</v>
      </c>
      <c r="AP5638">
        <v>0</v>
      </c>
      <c r="AQ5638">
        <v>0</v>
      </c>
      <c r="AS5638">
        <v>0</v>
      </c>
      <c r="AT5638">
        <v>0</v>
      </c>
      <c r="AV5638">
        <v>0</v>
      </c>
      <c r="AW5638">
        <v>0</v>
      </c>
      <c r="AY5638">
        <v>0</v>
      </c>
      <c r="AZ5638">
        <v>0</v>
      </c>
      <c r="BA5638">
        <v>70</v>
      </c>
      <c r="BE5638" t="str">
        <f>T("9791137014381")</f>
        <v>9791137014381</v>
      </c>
      <c r="BF5638" t="str">
        <f>T("k198145")</f>
        <v>k198145</v>
      </c>
      <c r="BG5638" t="str">
        <f>T("판타지 웹소설 &gt; 퓨전 판타지")</f>
        <v>판타지 웹소설 &gt; 퓨전 판타지</v>
      </c>
    </row>
    <row r="5639" spans="1:59">
      <c r="A5639" t="s">
        <v>60</v>
      </c>
      <c r="B5639" s="1">
        <v>46130</v>
      </c>
      <c r="C5639">
        <v>2378044065</v>
      </c>
      <c r="D5639">
        <v>2378059866</v>
      </c>
      <c r="E5639" t="str">
        <f>T("저승의 왕위를 계승했다 317화")</f>
        <v>저승의 왕위를 계승했다 317화</v>
      </c>
      <c r="F5639">
        <v>318</v>
      </c>
      <c r="G5639" t="str">
        <f>T("신타비")</f>
        <v>신타비</v>
      </c>
      <c r="J5639" t="str">
        <f>T("매드햇")</f>
        <v>매드햇</v>
      </c>
      <c r="K5639" t="str">
        <f>T("저승의 왕위를 계승했다")</f>
        <v>저승의 왕위를 계승했다</v>
      </c>
      <c r="L5639">
        <v>100</v>
      </c>
      <c r="M5639">
        <v>100</v>
      </c>
      <c r="N5639">
        <v>1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0</v>
      </c>
      <c r="V5639">
        <v>0</v>
      </c>
      <c r="W5639">
        <v>0</v>
      </c>
      <c r="X5639">
        <v>0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0</v>
      </c>
      <c r="AE5639">
        <v>0</v>
      </c>
      <c r="AF5639">
        <v>0</v>
      </c>
      <c r="AG5639">
        <v>0</v>
      </c>
      <c r="AH5639">
        <v>0</v>
      </c>
      <c r="AI5639">
        <v>100</v>
      </c>
      <c r="AJ5639">
        <v>1</v>
      </c>
      <c r="AK5639">
        <v>0</v>
      </c>
      <c r="AL5639">
        <v>0</v>
      </c>
      <c r="AM5639">
        <v>100</v>
      </c>
      <c r="AN5639">
        <v>0</v>
      </c>
      <c r="AO5639">
        <v>0</v>
      </c>
      <c r="AP5639">
        <v>0</v>
      </c>
      <c r="AQ5639">
        <v>0</v>
      </c>
      <c r="AS5639">
        <v>0</v>
      </c>
      <c r="AT5639">
        <v>0</v>
      </c>
      <c r="AV5639">
        <v>0</v>
      </c>
      <c r="AW5639">
        <v>0</v>
      </c>
      <c r="AY5639">
        <v>0</v>
      </c>
      <c r="AZ5639">
        <v>0</v>
      </c>
      <c r="BA5639">
        <v>70</v>
      </c>
      <c r="BE5639" t="str">
        <f>T("9791137014381")</f>
        <v>9791137014381</v>
      </c>
      <c r="BF5639" t="str">
        <f>T("k198146")</f>
        <v>k198146</v>
      </c>
      <c r="BG5639" t="str">
        <f>T("판타지 웹소설 &gt; 퓨전 판타지")</f>
        <v>판타지 웹소설 &gt; 퓨전 판타지</v>
      </c>
    </row>
    <row r="5640" spans="1:59">
      <c r="A5640" t="s">
        <v>60</v>
      </c>
      <c r="B5640" s="1">
        <v>46130</v>
      </c>
      <c r="C5640">
        <v>2378044065</v>
      </c>
      <c r="D5640">
        <v>2378060066</v>
      </c>
      <c r="E5640" t="str">
        <f>T("저승의 왕위를 계승했다 318화")</f>
        <v>저승의 왕위를 계승했다 318화</v>
      </c>
      <c r="F5640">
        <v>319</v>
      </c>
      <c r="G5640" t="str">
        <f>T("신타비")</f>
        <v>신타비</v>
      </c>
      <c r="J5640" t="str">
        <f>T("매드햇")</f>
        <v>매드햇</v>
      </c>
      <c r="K5640" t="str">
        <f>T("저승의 왕위를 계승했다")</f>
        <v>저승의 왕위를 계승했다</v>
      </c>
      <c r="L5640">
        <v>100</v>
      </c>
      <c r="M5640">
        <v>100</v>
      </c>
      <c r="N5640">
        <v>1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0</v>
      </c>
      <c r="V5640">
        <v>0</v>
      </c>
      <c r="W5640">
        <v>0</v>
      </c>
      <c r="X5640">
        <v>0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0</v>
      </c>
      <c r="AE5640">
        <v>0</v>
      </c>
      <c r="AF5640">
        <v>0</v>
      </c>
      <c r="AG5640">
        <v>0</v>
      </c>
      <c r="AH5640">
        <v>0</v>
      </c>
      <c r="AI5640">
        <v>100</v>
      </c>
      <c r="AJ5640">
        <v>1</v>
      </c>
      <c r="AK5640">
        <v>0</v>
      </c>
      <c r="AL5640">
        <v>0</v>
      </c>
      <c r="AM5640">
        <v>100</v>
      </c>
      <c r="AN5640">
        <v>0</v>
      </c>
      <c r="AO5640">
        <v>0</v>
      </c>
      <c r="AP5640">
        <v>0</v>
      </c>
      <c r="AQ5640">
        <v>0</v>
      </c>
      <c r="AS5640">
        <v>0</v>
      </c>
      <c r="AT5640">
        <v>0</v>
      </c>
      <c r="AV5640">
        <v>0</v>
      </c>
      <c r="AW5640">
        <v>0</v>
      </c>
      <c r="AY5640">
        <v>0</v>
      </c>
      <c r="AZ5640">
        <v>0</v>
      </c>
      <c r="BA5640">
        <v>70</v>
      </c>
      <c r="BE5640" t="str">
        <f>T("9791137014381")</f>
        <v>9791137014381</v>
      </c>
      <c r="BF5640" t="str">
        <f>T("k198147")</f>
        <v>k198147</v>
      </c>
      <c r="BG5640" t="str">
        <f>T("판타지 웹소설 &gt; 퓨전 판타지")</f>
        <v>판타지 웹소설 &gt; 퓨전 판타지</v>
      </c>
    </row>
    <row r="5641" spans="1:59">
      <c r="A5641" t="s">
        <v>60</v>
      </c>
      <c r="B5641" s="1">
        <v>46130</v>
      </c>
      <c r="C5641">
        <v>2378044065</v>
      </c>
      <c r="D5641">
        <v>2378060086</v>
      </c>
      <c r="E5641" t="str">
        <f>T("저승의 왕위를 계승했다 319화")</f>
        <v>저승의 왕위를 계승했다 319화</v>
      </c>
      <c r="F5641">
        <v>320</v>
      </c>
      <c r="G5641" t="str">
        <f>T("신타비")</f>
        <v>신타비</v>
      </c>
      <c r="J5641" t="str">
        <f>T("매드햇")</f>
        <v>매드햇</v>
      </c>
      <c r="K5641" t="str">
        <f>T("저승의 왕위를 계승했다")</f>
        <v>저승의 왕위를 계승했다</v>
      </c>
      <c r="L5641">
        <v>100</v>
      </c>
      <c r="M5641">
        <v>100</v>
      </c>
      <c r="N5641">
        <v>1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0</v>
      </c>
      <c r="V5641">
        <v>0</v>
      </c>
      <c r="W5641">
        <v>0</v>
      </c>
      <c r="X5641">
        <v>0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0</v>
      </c>
      <c r="AE5641">
        <v>0</v>
      </c>
      <c r="AF5641">
        <v>0</v>
      </c>
      <c r="AG5641">
        <v>0</v>
      </c>
      <c r="AH5641">
        <v>0</v>
      </c>
      <c r="AI5641">
        <v>100</v>
      </c>
      <c r="AJ5641">
        <v>1</v>
      </c>
      <c r="AK5641">
        <v>0</v>
      </c>
      <c r="AL5641">
        <v>0</v>
      </c>
      <c r="AM5641">
        <v>100</v>
      </c>
      <c r="AN5641">
        <v>0</v>
      </c>
      <c r="AO5641">
        <v>0</v>
      </c>
      <c r="AP5641">
        <v>0</v>
      </c>
      <c r="AQ5641">
        <v>0</v>
      </c>
      <c r="AS5641">
        <v>0</v>
      </c>
      <c r="AT5641">
        <v>0</v>
      </c>
      <c r="AV5641">
        <v>0</v>
      </c>
      <c r="AW5641">
        <v>0</v>
      </c>
      <c r="AY5641">
        <v>0</v>
      </c>
      <c r="AZ5641">
        <v>0</v>
      </c>
      <c r="BA5641">
        <v>70</v>
      </c>
      <c r="BE5641" t="str">
        <f>T("9791137014381")</f>
        <v>9791137014381</v>
      </c>
      <c r="BF5641" t="str">
        <f>T("k198148")</f>
        <v>k198148</v>
      </c>
      <c r="BG5641" t="str">
        <f>T("판타지 웹소설 &gt; 퓨전 판타지")</f>
        <v>판타지 웹소설 &gt; 퓨전 판타지</v>
      </c>
    </row>
    <row r="5642" spans="1:59">
      <c r="A5642" t="s">
        <v>60</v>
      </c>
      <c r="B5642" s="1">
        <v>46130</v>
      </c>
      <c r="C5642">
        <v>2378044065</v>
      </c>
      <c r="D5642">
        <v>2378060116</v>
      </c>
      <c r="E5642" t="str">
        <f>T("저승의 왕위를 계승했다 320화")</f>
        <v>저승의 왕위를 계승했다 320화</v>
      </c>
      <c r="F5642">
        <v>321</v>
      </c>
      <c r="G5642" t="str">
        <f>T("신타비")</f>
        <v>신타비</v>
      </c>
      <c r="J5642" t="str">
        <f>T("매드햇")</f>
        <v>매드햇</v>
      </c>
      <c r="K5642" t="str">
        <f>T("저승의 왕위를 계승했다")</f>
        <v>저승의 왕위를 계승했다</v>
      </c>
      <c r="L5642">
        <v>100</v>
      </c>
      <c r="M5642">
        <v>100</v>
      </c>
      <c r="N5642">
        <v>1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0</v>
      </c>
      <c r="V5642">
        <v>0</v>
      </c>
      <c r="W5642">
        <v>0</v>
      </c>
      <c r="X5642">
        <v>0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0</v>
      </c>
      <c r="AE5642">
        <v>0</v>
      </c>
      <c r="AF5642">
        <v>0</v>
      </c>
      <c r="AG5642">
        <v>0</v>
      </c>
      <c r="AH5642">
        <v>0</v>
      </c>
      <c r="AI5642">
        <v>100</v>
      </c>
      <c r="AJ5642">
        <v>1</v>
      </c>
      <c r="AK5642">
        <v>0</v>
      </c>
      <c r="AL5642">
        <v>0</v>
      </c>
      <c r="AM5642">
        <v>100</v>
      </c>
      <c r="AN5642">
        <v>0</v>
      </c>
      <c r="AO5642">
        <v>0</v>
      </c>
      <c r="AP5642">
        <v>0</v>
      </c>
      <c r="AQ5642">
        <v>0</v>
      </c>
      <c r="AS5642">
        <v>0</v>
      </c>
      <c r="AT5642">
        <v>0</v>
      </c>
      <c r="AV5642">
        <v>0</v>
      </c>
      <c r="AW5642">
        <v>0</v>
      </c>
      <c r="AY5642">
        <v>0</v>
      </c>
      <c r="AZ5642">
        <v>0</v>
      </c>
      <c r="BA5642">
        <v>70</v>
      </c>
      <c r="BE5642" t="str">
        <f>T("9791137014381")</f>
        <v>9791137014381</v>
      </c>
      <c r="BF5642" t="str">
        <f>T("k198149")</f>
        <v>k198149</v>
      </c>
      <c r="BG5642" t="str">
        <f>T("판타지 웹소설 &gt; 퓨전 판타지")</f>
        <v>판타지 웹소설 &gt; 퓨전 판타지</v>
      </c>
    </row>
    <row r="5643" spans="1:59">
      <c r="A5643" t="s">
        <v>60</v>
      </c>
      <c r="B5643" s="1">
        <v>46130</v>
      </c>
      <c r="C5643">
        <v>2378044065</v>
      </c>
      <c r="D5643">
        <v>2378060144</v>
      </c>
      <c r="E5643" t="str">
        <f>T("저승의 왕위를 계승했다 321화")</f>
        <v>저승의 왕위를 계승했다 321화</v>
      </c>
      <c r="F5643">
        <v>322</v>
      </c>
      <c r="G5643" t="str">
        <f>T("신타비")</f>
        <v>신타비</v>
      </c>
      <c r="J5643" t="str">
        <f>T("매드햇")</f>
        <v>매드햇</v>
      </c>
      <c r="K5643" t="str">
        <f>T("저승의 왕위를 계승했다")</f>
        <v>저승의 왕위를 계승했다</v>
      </c>
      <c r="L5643">
        <v>100</v>
      </c>
      <c r="M5643">
        <v>100</v>
      </c>
      <c r="N5643">
        <v>1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0</v>
      </c>
      <c r="V5643">
        <v>0</v>
      </c>
      <c r="W5643">
        <v>0</v>
      </c>
      <c r="X5643">
        <v>0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0</v>
      </c>
      <c r="AE5643">
        <v>0</v>
      </c>
      <c r="AF5643">
        <v>0</v>
      </c>
      <c r="AG5643">
        <v>0</v>
      </c>
      <c r="AH5643">
        <v>0</v>
      </c>
      <c r="AI5643">
        <v>100</v>
      </c>
      <c r="AJ5643">
        <v>1</v>
      </c>
      <c r="AK5643">
        <v>0</v>
      </c>
      <c r="AL5643">
        <v>0</v>
      </c>
      <c r="AM5643">
        <v>100</v>
      </c>
      <c r="AN5643">
        <v>0</v>
      </c>
      <c r="AO5643">
        <v>0</v>
      </c>
      <c r="AP5643">
        <v>0</v>
      </c>
      <c r="AQ5643">
        <v>0</v>
      </c>
      <c r="AS5643">
        <v>0</v>
      </c>
      <c r="AT5643">
        <v>0</v>
      </c>
      <c r="AV5643">
        <v>0</v>
      </c>
      <c r="AW5643">
        <v>0</v>
      </c>
      <c r="AY5643">
        <v>0</v>
      </c>
      <c r="AZ5643">
        <v>0</v>
      </c>
      <c r="BA5643">
        <v>70</v>
      </c>
      <c r="BE5643" t="str">
        <f>T("9791137014381")</f>
        <v>9791137014381</v>
      </c>
      <c r="BF5643" t="str">
        <f>T("k205586")</f>
        <v>k205586</v>
      </c>
      <c r="BG5643" t="str">
        <f>T("판타지 웹소설 &gt; 퓨전 판타지")</f>
        <v>판타지 웹소설 &gt; 퓨전 판타지</v>
      </c>
    </row>
    <row r="5644" spans="1:59">
      <c r="A5644" t="s">
        <v>60</v>
      </c>
      <c r="B5644" s="1">
        <v>46130</v>
      </c>
      <c r="C5644">
        <v>2378044065</v>
      </c>
      <c r="D5644">
        <v>2378060145</v>
      </c>
      <c r="E5644" t="str">
        <f>T("저승의 왕위를 계승했다 322화")</f>
        <v>저승의 왕위를 계승했다 322화</v>
      </c>
      <c r="F5644">
        <v>323</v>
      </c>
      <c r="G5644" t="str">
        <f>T("신타비")</f>
        <v>신타비</v>
      </c>
      <c r="J5644" t="str">
        <f>T("매드햇")</f>
        <v>매드햇</v>
      </c>
      <c r="K5644" t="str">
        <f>T("저승의 왕위를 계승했다")</f>
        <v>저승의 왕위를 계승했다</v>
      </c>
      <c r="L5644">
        <v>100</v>
      </c>
      <c r="M5644">
        <v>100</v>
      </c>
      <c r="N5644">
        <v>1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0</v>
      </c>
      <c r="V5644">
        <v>0</v>
      </c>
      <c r="W5644">
        <v>0</v>
      </c>
      <c r="X5644">
        <v>0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0</v>
      </c>
      <c r="AE5644">
        <v>0</v>
      </c>
      <c r="AF5644">
        <v>0</v>
      </c>
      <c r="AG5644">
        <v>0</v>
      </c>
      <c r="AH5644">
        <v>0</v>
      </c>
      <c r="AI5644">
        <v>100</v>
      </c>
      <c r="AJ5644">
        <v>1</v>
      </c>
      <c r="AK5644">
        <v>0</v>
      </c>
      <c r="AL5644">
        <v>0</v>
      </c>
      <c r="AM5644">
        <v>100</v>
      </c>
      <c r="AN5644">
        <v>0</v>
      </c>
      <c r="AO5644">
        <v>0</v>
      </c>
      <c r="AP5644">
        <v>0</v>
      </c>
      <c r="AQ5644">
        <v>0</v>
      </c>
      <c r="AS5644">
        <v>0</v>
      </c>
      <c r="AT5644">
        <v>0</v>
      </c>
      <c r="AV5644">
        <v>0</v>
      </c>
      <c r="AW5644">
        <v>0</v>
      </c>
      <c r="AY5644">
        <v>0</v>
      </c>
      <c r="AZ5644">
        <v>0</v>
      </c>
      <c r="BA5644">
        <v>70</v>
      </c>
      <c r="BE5644" t="str">
        <f>T("9791137014381")</f>
        <v>9791137014381</v>
      </c>
      <c r="BF5644" t="str">
        <f>T("k205587")</f>
        <v>k205587</v>
      </c>
      <c r="BG5644" t="str">
        <f>T("판타지 웹소설 &gt; 퓨전 판타지")</f>
        <v>판타지 웹소설 &gt; 퓨전 판타지</v>
      </c>
    </row>
    <row r="5645" spans="1:59">
      <c r="A5645" t="s">
        <v>60</v>
      </c>
      <c r="B5645" s="1">
        <v>46130</v>
      </c>
      <c r="C5645">
        <v>2378044065</v>
      </c>
      <c r="D5645">
        <v>2378060164</v>
      </c>
      <c r="E5645" t="str">
        <f>T("저승의 왕위를 계승했다 323화")</f>
        <v>저승의 왕위를 계승했다 323화</v>
      </c>
      <c r="F5645">
        <v>324</v>
      </c>
      <c r="G5645" t="str">
        <f>T("신타비")</f>
        <v>신타비</v>
      </c>
      <c r="J5645" t="str">
        <f>T("매드햇")</f>
        <v>매드햇</v>
      </c>
      <c r="K5645" t="str">
        <f>T("저승의 왕위를 계승했다")</f>
        <v>저승의 왕위를 계승했다</v>
      </c>
      <c r="L5645">
        <v>100</v>
      </c>
      <c r="M5645">
        <v>100</v>
      </c>
      <c r="N5645">
        <v>1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0</v>
      </c>
      <c r="V5645">
        <v>0</v>
      </c>
      <c r="W5645">
        <v>0</v>
      </c>
      <c r="X5645">
        <v>0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0</v>
      </c>
      <c r="AE5645">
        <v>0</v>
      </c>
      <c r="AF5645">
        <v>0</v>
      </c>
      <c r="AG5645">
        <v>0</v>
      </c>
      <c r="AH5645">
        <v>0</v>
      </c>
      <c r="AI5645">
        <v>100</v>
      </c>
      <c r="AJ5645">
        <v>1</v>
      </c>
      <c r="AK5645">
        <v>0</v>
      </c>
      <c r="AL5645">
        <v>0</v>
      </c>
      <c r="AM5645">
        <v>100</v>
      </c>
      <c r="AN5645">
        <v>0</v>
      </c>
      <c r="AO5645">
        <v>0</v>
      </c>
      <c r="AP5645">
        <v>0</v>
      </c>
      <c r="AQ5645">
        <v>0</v>
      </c>
      <c r="AS5645">
        <v>0</v>
      </c>
      <c r="AT5645">
        <v>0</v>
      </c>
      <c r="AV5645">
        <v>0</v>
      </c>
      <c r="AW5645">
        <v>0</v>
      </c>
      <c r="AY5645">
        <v>0</v>
      </c>
      <c r="AZ5645">
        <v>0</v>
      </c>
      <c r="BA5645">
        <v>70</v>
      </c>
      <c r="BE5645" t="str">
        <f>T("9791137014381")</f>
        <v>9791137014381</v>
      </c>
      <c r="BF5645" t="str">
        <f>T("k205588")</f>
        <v>k205588</v>
      </c>
      <c r="BG5645" t="str">
        <f>T("판타지 웹소설 &gt; 퓨전 판타지")</f>
        <v>판타지 웹소설 &gt; 퓨전 판타지</v>
      </c>
    </row>
    <row r="5646" spans="1:59">
      <c r="A5646" t="s">
        <v>60</v>
      </c>
      <c r="B5646" s="1">
        <v>46130</v>
      </c>
      <c r="C5646">
        <v>2378044065</v>
      </c>
      <c r="D5646">
        <v>2378060281</v>
      </c>
      <c r="E5646" t="str">
        <f>T("저승의 왕위를 계승했다 324화")</f>
        <v>저승의 왕위를 계승했다 324화</v>
      </c>
      <c r="F5646">
        <v>325</v>
      </c>
      <c r="G5646" t="str">
        <f>T("신타비")</f>
        <v>신타비</v>
      </c>
      <c r="J5646" t="str">
        <f>T("매드햇")</f>
        <v>매드햇</v>
      </c>
      <c r="K5646" t="str">
        <f>T("저승의 왕위를 계승했다")</f>
        <v>저승의 왕위를 계승했다</v>
      </c>
      <c r="L5646">
        <v>100</v>
      </c>
      <c r="M5646">
        <v>100</v>
      </c>
      <c r="N5646">
        <v>1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0</v>
      </c>
      <c r="V5646">
        <v>0</v>
      </c>
      <c r="W5646">
        <v>0</v>
      </c>
      <c r="X5646">
        <v>0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0</v>
      </c>
      <c r="AE5646">
        <v>0</v>
      </c>
      <c r="AF5646">
        <v>0</v>
      </c>
      <c r="AG5646">
        <v>0</v>
      </c>
      <c r="AH5646">
        <v>0</v>
      </c>
      <c r="AI5646">
        <v>100</v>
      </c>
      <c r="AJ5646">
        <v>1</v>
      </c>
      <c r="AK5646">
        <v>0</v>
      </c>
      <c r="AL5646">
        <v>0</v>
      </c>
      <c r="AM5646">
        <v>100</v>
      </c>
      <c r="AN5646">
        <v>0</v>
      </c>
      <c r="AO5646">
        <v>0</v>
      </c>
      <c r="AP5646">
        <v>0</v>
      </c>
      <c r="AQ5646">
        <v>0</v>
      </c>
      <c r="AS5646">
        <v>0</v>
      </c>
      <c r="AT5646">
        <v>0</v>
      </c>
      <c r="AV5646">
        <v>0</v>
      </c>
      <c r="AW5646">
        <v>0</v>
      </c>
      <c r="AY5646">
        <v>0</v>
      </c>
      <c r="AZ5646">
        <v>0</v>
      </c>
      <c r="BA5646">
        <v>70</v>
      </c>
      <c r="BE5646" t="str">
        <f>T("9791137014381")</f>
        <v>9791137014381</v>
      </c>
      <c r="BF5646" t="str">
        <f>T("k205589")</f>
        <v>k205589</v>
      </c>
      <c r="BG5646" t="str">
        <f>T("판타지 웹소설 &gt; 퓨전 판타지")</f>
        <v>판타지 웹소설 &gt; 퓨전 판타지</v>
      </c>
    </row>
    <row r="5647" spans="1:59">
      <c r="A5647" t="s">
        <v>60</v>
      </c>
      <c r="B5647" s="1">
        <v>46130</v>
      </c>
      <c r="C5647">
        <v>2378044065</v>
      </c>
      <c r="D5647">
        <v>2378060448</v>
      </c>
      <c r="E5647" t="str">
        <f>T("저승의 왕위를 계승했다 325화")</f>
        <v>저승의 왕위를 계승했다 325화</v>
      </c>
      <c r="F5647">
        <v>326</v>
      </c>
      <c r="G5647" t="str">
        <f>T("신타비")</f>
        <v>신타비</v>
      </c>
      <c r="J5647" t="str">
        <f>T("매드햇")</f>
        <v>매드햇</v>
      </c>
      <c r="K5647" t="str">
        <f>T("저승의 왕위를 계승했다")</f>
        <v>저승의 왕위를 계승했다</v>
      </c>
      <c r="L5647">
        <v>100</v>
      </c>
      <c r="M5647">
        <v>100</v>
      </c>
      <c r="N5647">
        <v>1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0</v>
      </c>
      <c r="V5647">
        <v>0</v>
      </c>
      <c r="W5647">
        <v>0</v>
      </c>
      <c r="X5647">
        <v>0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0</v>
      </c>
      <c r="AE5647">
        <v>0</v>
      </c>
      <c r="AF5647">
        <v>0</v>
      </c>
      <c r="AG5647">
        <v>0</v>
      </c>
      <c r="AH5647">
        <v>0</v>
      </c>
      <c r="AI5647">
        <v>100</v>
      </c>
      <c r="AJ5647">
        <v>1</v>
      </c>
      <c r="AK5647">
        <v>0</v>
      </c>
      <c r="AL5647">
        <v>0</v>
      </c>
      <c r="AM5647">
        <v>100</v>
      </c>
      <c r="AN5647">
        <v>0</v>
      </c>
      <c r="AO5647">
        <v>0</v>
      </c>
      <c r="AP5647">
        <v>0</v>
      </c>
      <c r="AQ5647">
        <v>0</v>
      </c>
      <c r="AS5647">
        <v>0</v>
      </c>
      <c r="AT5647">
        <v>0</v>
      </c>
      <c r="AV5647">
        <v>0</v>
      </c>
      <c r="AW5647">
        <v>0</v>
      </c>
      <c r="AY5647">
        <v>0</v>
      </c>
      <c r="AZ5647">
        <v>0</v>
      </c>
      <c r="BA5647">
        <v>70</v>
      </c>
      <c r="BE5647" t="str">
        <f>T("9791137014381")</f>
        <v>9791137014381</v>
      </c>
      <c r="BF5647" t="str">
        <f>T("k207424")</f>
        <v>k207424</v>
      </c>
      <c r="BG5647" t="str">
        <f>T("판타지 웹소설 &gt; 퓨전 판타지")</f>
        <v>판타지 웹소설 &gt; 퓨전 판타지</v>
      </c>
    </row>
    <row r="5648" spans="1:59">
      <c r="A5648" t="s">
        <v>60</v>
      </c>
      <c r="B5648" s="1">
        <v>46130</v>
      </c>
      <c r="C5648">
        <v>2378044065</v>
      </c>
      <c r="D5648">
        <v>2378060457</v>
      </c>
      <c r="E5648" t="str">
        <f>T("저승의 왕위를 계승했다 326화")</f>
        <v>저승의 왕위를 계승했다 326화</v>
      </c>
      <c r="F5648">
        <v>327</v>
      </c>
      <c r="G5648" t="str">
        <f>T("신타비")</f>
        <v>신타비</v>
      </c>
      <c r="J5648" t="str">
        <f>T("매드햇")</f>
        <v>매드햇</v>
      </c>
      <c r="K5648" t="str">
        <f>T("저승의 왕위를 계승했다")</f>
        <v>저승의 왕위를 계승했다</v>
      </c>
      <c r="L5648">
        <v>100</v>
      </c>
      <c r="M5648">
        <v>100</v>
      </c>
      <c r="N5648">
        <v>1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0</v>
      </c>
      <c r="V5648">
        <v>0</v>
      </c>
      <c r="W5648">
        <v>0</v>
      </c>
      <c r="X5648">
        <v>0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0</v>
      </c>
      <c r="AE5648">
        <v>0</v>
      </c>
      <c r="AF5648">
        <v>0</v>
      </c>
      <c r="AG5648">
        <v>0</v>
      </c>
      <c r="AH5648">
        <v>0</v>
      </c>
      <c r="AI5648">
        <v>100</v>
      </c>
      <c r="AJ5648">
        <v>1</v>
      </c>
      <c r="AK5648">
        <v>0</v>
      </c>
      <c r="AL5648">
        <v>0</v>
      </c>
      <c r="AM5648">
        <v>100</v>
      </c>
      <c r="AN5648">
        <v>0</v>
      </c>
      <c r="AO5648">
        <v>0</v>
      </c>
      <c r="AP5648">
        <v>0</v>
      </c>
      <c r="AQ5648">
        <v>0</v>
      </c>
      <c r="AS5648">
        <v>0</v>
      </c>
      <c r="AT5648">
        <v>0</v>
      </c>
      <c r="AV5648">
        <v>0</v>
      </c>
      <c r="AW5648">
        <v>0</v>
      </c>
      <c r="AY5648">
        <v>0</v>
      </c>
      <c r="AZ5648">
        <v>0</v>
      </c>
      <c r="BA5648">
        <v>70</v>
      </c>
      <c r="BE5648" t="str">
        <f>T("9791137014381")</f>
        <v>9791137014381</v>
      </c>
      <c r="BF5648" t="str">
        <f>T("k207425")</f>
        <v>k207425</v>
      </c>
      <c r="BG5648" t="str">
        <f>T("판타지 웹소설 &gt; 퓨전 판타지")</f>
        <v>판타지 웹소설 &gt; 퓨전 판타지</v>
      </c>
    </row>
    <row r="5649" spans="1:59">
      <c r="A5649" t="s">
        <v>60</v>
      </c>
      <c r="B5649" s="1">
        <v>46130</v>
      </c>
      <c r="C5649">
        <v>2378044065</v>
      </c>
      <c r="D5649">
        <v>2378060486</v>
      </c>
      <c r="E5649" t="str">
        <f>T("저승의 왕위를 계승했다 327화")</f>
        <v>저승의 왕위를 계승했다 327화</v>
      </c>
      <c r="F5649">
        <v>328</v>
      </c>
      <c r="G5649" t="str">
        <f>T("신타비")</f>
        <v>신타비</v>
      </c>
      <c r="J5649" t="str">
        <f>T("매드햇")</f>
        <v>매드햇</v>
      </c>
      <c r="K5649" t="str">
        <f>T("저승의 왕위를 계승했다")</f>
        <v>저승의 왕위를 계승했다</v>
      </c>
      <c r="L5649">
        <v>100</v>
      </c>
      <c r="M5649">
        <v>100</v>
      </c>
      <c r="N5649">
        <v>1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0</v>
      </c>
      <c r="V5649">
        <v>0</v>
      </c>
      <c r="W5649">
        <v>0</v>
      </c>
      <c r="X5649">
        <v>0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0</v>
      </c>
      <c r="AE5649">
        <v>0</v>
      </c>
      <c r="AF5649">
        <v>0</v>
      </c>
      <c r="AG5649">
        <v>0</v>
      </c>
      <c r="AH5649">
        <v>0</v>
      </c>
      <c r="AI5649">
        <v>100</v>
      </c>
      <c r="AJ5649">
        <v>1</v>
      </c>
      <c r="AK5649">
        <v>0</v>
      </c>
      <c r="AL5649">
        <v>0</v>
      </c>
      <c r="AM5649">
        <v>100</v>
      </c>
      <c r="AN5649">
        <v>0</v>
      </c>
      <c r="AO5649">
        <v>0</v>
      </c>
      <c r="AP5649">
        <v>0</v>
      </c>
      <c r="AQ5649">
        <v>0</v>
      </c>
      <c r="AS5649">
        <v>0</v>
      </c>
      <c r="AT5649">
        <v>0</v>
      </c>
      <c r="AV5649">
        <v>0</v>
      </c>
      <c r="AW5649">
        <v>0</v>
      </c>
      <c r="AY5649">
        <v>0</v>
      </c>
      <c r="AZ5649">
        <v>0</v>
      </c>
      <c r="BA5649">
        <v>70</v>
      </c>
      <c r="BE5649" t="str">
        <f>T("9791137014381")</f>
        <v>9791137014381</v>
      </c>
      <c r="BF5649" t="str">
        <f>T("k207426")</f>
        <v>k207426</v>
      </c>
      <c r="BG5649" t="str">
        <f>T("판타지 웹소설 &gt; 퓨전 판타지")</f>
        <v>판타지 웹소설 &gt; 퓨전 판타지</v>
      </c>
    </row>
    <row r="5650" spans="1:59">
      <c r="A5650" t="s">
        <v>60</v>
      </c>
      <c r="B5650" s="1">
        <v>46130</v>
      </c>
      <c r="C5650">
        <v>2378044065</v>
      </c>
      <c r="D5650">
        <v>2378060487</v>
      </c>
      <c r="E5650" t="str">
        <f>T("저승의 왕위를 계승했다 328화")</f>
        <v>저승의 왕위를 계승했다 328화</v>
      </c>
      <c r="F5650">
        <v>329</v>
      </c>
      <c r="G5650" t="str">
        <f>T("신타비")</f>
        <v>신타비</v>
      </c>
      <c r="J5650" t="str">
        <f>T("매드햇")</f>
        <v>매드햇</v>
      </c>
      <c r="K5650" t="str">
        <f>T("저승의 왕위를 계승했다")</f>
        <v>저승의 왕위를 계승했다</v>
      </c>
      <c r="L5650">
        <v>100</v>
      </c>
      <c r="M5650">
        <v>100</v>
      </c>
      <c r="N5650">
        <v>1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0</v>
      </c>
      <c r="V5650">
        <v>0</v>
      </c>
      <c r="W5650">
        <v>0</v>
      </c>
      <c r="X5650">
        <v>0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0</v>
      </c>
      <c r="AE5650">
        <v>0</v>
      </c>
      <c r="AF5650">
        <v>0</v>
      </c>
      <c r="AG5650">
        <v>0</v>
      </c>
      <c r="AH5650">
        <v>0</v>
      </c>
      <c r="AI5650">
        <v>100</v>
      </c>
      <c r="AJ5650">
        <v>1</v>
      </c>
      <c r="AK5650">
        <v>0</v>
      </c>
      <c r="AL5650">
        <v>0</v>
      </c>
      <c r="AM5650">
        <v>100</v>
      </c>
      <c r="AN5650">
        <v>0</v>
      </c>
      <c r="AO5650">
        <v>0</v>
      </c>
      <c r="AP5650">
        <v>0</v>
      </c>
      <c r="AQ5650">
        <v>0</v>
      </c>
      <c r="AS5650">
        <v>0</v>
      </c>
      <c r="AT5650">
        <v>0</v>
      </c>
      <c r="AV5650">
        <v>0</v>
      </c>
      <c r="AW5650">
        <v>0</v>
      </c>
      <c r="AY5650">
        <v>0</v>
      </c>
      <c r="AZ5650">
        <v>0</v>
      </c>
      <c r="BA5650">
        <v>70</v>
      </c>
      <c r="BE5650" t="str">
        <f>T("9791137014381")</f>
        <v>9791137014381</v>
      </c>
      <c r="BF5650" t="str">
        <f>T("k207427")</f>
        <v>k207427</v>
      </c>
      <c r="BG5650" t="str">
        <f>T("판타지 웹소설 &gt; 퓨전 판타지")</f>
        <v>판타지 웹소설 &gt; 퓨전 판타지</v>
      </c>
    </row>
    <row r="5651" spans="1:59">
      <c r="A5651" t="s">
        <v>60</v>
      </c>
      <c r="B5651" s="1">
        <v>46130</v>
      </c>
      <c r="C5651">
        <v>2378044065</v>
      </c>
      <c r="D5651">
        <v>2378060526</v>
      </c>
      <c r="E5651" t="str">
        <f>T("저승의 왕위를 계승했다 329화")</f>
        <v>저승의 왕위를 계승했다 329화</v>
      </c>
      <c r="F5651">
        <v>330</v>
      </c>
      <c r="G5651" t="str">
        <f>T("신타비")</f>
        <v>신타비</v>
      </c>
      <c r="J5651" t="str">
        <f>T("매드햇")</f>
        <v>매드햇</v>
      </c>
      <c r="K5651" t="str">
        <f>T("저승의 왕위를 계승했다")</f>
        <v>저승의 왕위를 계승했다</v>
      </c>
      <c r="L5651">
        <v>100</v>
      </c>
      <c r="M5651">
        <v>100</v>
      </c>
      <c r="N5651">
        <v>1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0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0</v>
      </c>
      <c r="AE5651">
        <v>0</v>
      </c>
      <c r="AF5651">
        <v>0</v>
      </c>
      <c r="AG5651">
        <v>0</v>
      </c>
      <c r="AH5651">
        <v>0</v>
      </c>
      <c r="AI5651">
        <v>100</v>
      </c>
      <c r="AJ5651">
        <v>1</v>
      </c>
      <c r="AK5651">
        <v>0</v>
      </c>
      <c r="AL5651">
        <v>0</v>
      </c>
      <c r="AM5651">
        <v>100</v>
      </c>
      <c r="AN5651">
        <v>0</v>
      </c>
      <c r="AO5651">
        <v>0</v>
      </c>
      <c r="AP5651">
        <v>0</v>
      </c>
      <c r="AQ5651">
        <v>0</v>
      </c>
      <c r="AS5651">
        <v>0</v>
      </c>
      <c r="AT5651">
        <v>0</v>
      </c>
      <c r="AV5651">
        <v>0</v>
      </c>
      <c r="AW5651">
        <v>0</v>
      </c>
      <c r="AY5651">
        <v>0</v>
      </c>
      <c r="AZ5651">
        <v>0</v>
      </c>
      <c r="BA5651">
        <v>70</v>
      </c>
      <c r="BE5651" t="str">
        <f>T("9791137014381")</f>
        <v>9791137014381</v>
      </c>
      <c r="BF5651" t="str">
        <f>T("k209688")</f>
        <v>k209688</v>
      </c>
      <c r="BG5651" t="str">
        <f>T("판타지 웹소설 &gt; 퓨전 판타지")</f>
        <v>판타지 웹소설 &gt; 퓨전 판타지</v>
      </c>
    </row>
    <row r="5652" spans="1:59">
      <c r="A5652" t="s">
        <v>60</v>
      </c>
      <c r="B5652" s="1">
        <v>46130</v>
      </c>
      <c r="C5652">
        <v>2378044065</v>
      </c>
      <c r="D5652">
        <v>2378060527</v>
      </c>
      <c r="E5652" t="str">
        <f>T("저승의 왕위를 계승했다 330화")</f>
        <v>저승의 왕위를 계승했다 330화</v>
      </c>
      <c r="F5652">
        <v>331</v>
      </c>
      <c r="G5652" t="str">
        <f>T("신타비")</f>
        <v>신타비</v>
      </c>
      <c r="J5652" t="str">
        <f>T("매드햇")</f>
        <v>매드햇</v>
      </c>
      <c r="K5652" t="str">
        <f>T("저승의 왕위를 계승했다")</f>
        <v>저승의 왕위를 계승했다</v>
      </c>
      <c r="L5652">
        <v>100</v>
      </c>
      <c r="M5652">
        <v>100</v>
      </c>
      <c r="N5652">
        <v>1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0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0</v>
      </c>
      <c r="AE5652">
        <v>0</v>
      </c>
      <c r="AF5652">
        <v>0</v>
      </c>
      <c r="AG5652">
        <v>0</v>
      </c>
      <c r="AH5652">
        <v>0</v>
      </c>
      <c r="AI5652">
        <v>100</v>
      </c>
      <c r="AJ5652">
        <v>1</v>
      </c>
      <c r="AK5652">
        <v>0</v>
      </c>
      <c r="AL5652">
        <v>0</v>
      </c>
      <c r="AM5652">
        <v>100</v>
      </c>
      <c r="AN5652">
        <v>0</v>
      </c>
      <c r="AO5652">
        <v>0</v>
      </c>
      <c r="AP5652">
        <v>0</v>
      </c>
      <c r="AQ5652">
        <v>0</v>
      </c>
      <c r="AS5652">
        <v>0</v>
      </c>
      <c r="AT5652">
        <v>0</v>
      </c>
      <c r="AV5652">
        <v>0</v>
      </c>
      <c r="AW5652">
        <v>0</v>
      </c>
      <c r="AY5652">
        <v>0</v>
      </c>
      <c r="AZ5652">
        <v>0</v>
      </c>
      <c r="BA5652">
        <v>70</v>
      </c>
      <c r="BE5652" t="str">
        <f>T("9791137014381")</f>
        <v>9791137014381</v>
      </c>
      <c r="BF5652" t="str">
        <f>T("k209689")</f>
        <v>k209689</v>
      </c>
      <c r="BG5652" t="str">
        <f>T("판타지 웹소설 &gt; 퓨전 판타지")</f>
        <v>판타지 웹소설 &gt; 퓨전 판타지</v>
      </c>
    </row>
    <row r="5653" spans="1:59">
      <c r="A5653" t="s">
        <v>60</v>
      </c>
      <c r="B5653" s="1">
        <v>46130</v>
      </c>
      <c r="C5653">
        <v>2378044065</v>
      </c>
      <c r="D5653">
        <v>2378060544</v>
      </c>
      <c r="E5653" t="str">
        <f>T("저승의 왕위를 계승했다 331화")</f>
        <v>저승의 왕위를 계승했다 331화</v>
      </c>
      <c r="F5653">
        <v>332</v>
      </c>
      <c r="G5653" t="str">
        <f>T("신타비")</f>
        <v>신타비</v>
      </c>
      <c r="J5653" t="str">
        <f>T("매드햇")</f>
        <v>매드햇</v>
      </c>
      <c r="K5653" t="str">
        <f>T("저승의 왕위를 계승했다")</f>
        <v>저승의 왕위를 계승했다</v>
      </c>
      <c r="L5653">
        <v>100</v>
      </c>
      <c r="M5653">
        <v>100</v>
      </c>
      <c r="N5653">
        <v>1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0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0</v>
      </c>
      <c r="AE5653">
        <v>0</v>
      </c>
      <c r="AF5653">
        <v>0</v>
      </c>
      <c r="AG5653">
        <v>0</v>
      </c>
      <c r="AH5653">
        <v>0</v>
      </c>
      <c r="AI5653">
        <v>100</v>
      </c>
      <c r="AJ5653">
        <v>1</v>
      </c>
      <c r="AK5653">
        <v>0</v>
      </c>
      <c r="AL5653">
        <v>0</v>
      </c>
      <c r="AM5653">
        <v>100</v>
      </c>
      <c r="AN5653">
        <v>0</v>
      </c>
      <c r="AO5653">
        <v>0</v>
      </c>
      <c r="AP5653">
        <v>0</v>
      </c>
      <c r="AQ5653">
        <v>0</v>
      </c>
      <c r="AS5653">
        <v>0</v>
      </c>
      <c r="AT5653">
        <v>0</v>
      </c>
      <c r="AV5653">
        <v>0</v>
      </c>
      <c r="AW5653">
        <v>0</v>
      </c>
      <c r="AY5653">
        <v>0</v>
      </c>
      <c r="AZ5653">
        <v>0</v>
      </c>
      <c r="BA5653">
        <v>70</v>
      </c>
      <c r="BE5653" t="str">
        <f>T("9791137014381")</f>
        <v>9791137014381</v>
      </c>
      <c r="BF5653" t="str">
        <f>T("k209690")</f>
        <v>k209690</v>
      </c>
      <c r="BG5653" t="str">
        <f>T("판타지 웹소설 &gt; 퓨전 판타지")</f>
        <v>판타지 웹소설 &gt; 퓨전 판타지</v>
      </c>
    </row>
    <row r="5654" spans="1:59">
      <c r="A5654" t="s">
        <v>60</v>
      </c>
      <c r="B5654" s="1">
        <v>46130</v>
      </c>
      <c r="C5654">
        <v>2378044065</v>
      </c>
      <c r="D5654">
        <v>2378060569</v>
      </c>
      <c r="E5654" t="str">
        <f>T("저승의 왕위를 계승했다 332화")</f>
        <v>저승의 왕위를 계승했다 332화</v>
      </c>
      <c r="F5654">
        <v>333</v>
      </c>
      <c r="G5654" t="str">
        <f>T("신타비")</f>
        <v>신타비</v>
      </c>
      <c r="J5654" t="str">
        <f>T("매드햇")</f>
        <v>매드햇</v>
      </c>
      <c r="K5654" t="str">
        <f>T("저승의 왕위를 계승했다")</f>
        <v>저승의 왕위를 계승했다</v>
      </c>
      <c r="L5654">
        <v>100</v>
      </c>
      <c r="M5654">
        <v>100</v>
      </c>
      <c r="N5654">
        <v>1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0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0</v>
      </c>
      <c r="AE5654">
        <v>0</v>
      </c>
      <c r="AF5654">
        <v>0</v>
      </c>
      <c r="AG5654">
        <v>0</v>
      </c>
      <c r="AH5654">
        <v>0</v>
      </c>
      <c r="AI5654">
        <v>100</v>
      </c>
      <c r="AJ5654">
        <v>1</v>
      </c>
      <c r="AK5654">
        <v>0</v>
      </c>
      <c r="AL5654">
        <v>0</v>
      </c>
      <c r="AM5654">
        <v>100</v>
      </c>
      <c r="AN5654">
        <v>0</v>
      </c>
      <c r="AO5654">
        <v>0</v>
      </c>
      <c r="AP5654">
        <v>0</v>
      </c>
      <c r="AQ5654">
        <v>0</v>
      </c>
      <c r="AS5654">
        <v>0</v>
      </c>
      <c r="AT5654">
        <v>0</v>
      </c>
      <c r="AV5654">
        <v>0</v>
      </c>
      <c r="AW5654">
        <v>0</v>
      </c>
      <c r="AY5654">
        <v>0</v>
      </c>
      <c r="AZ5654">
        <v>0</v>
      </c>
      <c r="BA5654">
        <v>70</v>
      </c>
      <c r="BE5654" t="str">
        <f>T("9791137014381")</f>
        <v>9791137014381</v>
      </c>
      <c r="BF5654" t="str">
        <f>T("k209691")</f>
        <v>k209691</v>
      </c>
      <c r="BG5654" t="str">
        <f>T("판타지 웹소설 &gt; 퓨전 판타지")</f>
        <v>판타지 웹소설 &gt; 퓨전 판타지</v>
      </c>
    </row>
    <row r="5655" spans="1:59">
      <c r="A5655" t="s">
        <v>60</v>
      </c>
      <c r="B5655" s="1">
        <v>46130</v>
      </c>
      <c r="C5655">
        <v>2378044065</v>
      </c>
      <c r="D5655">
        <v>2378060686</v>
      </c>
      <c r="E5655" t="str">
        <f>T("저승의 왕위를 계승했다 333화")</f>
        <v>저승의 왕위를 계승했다 333화</v>
      </c>
      <c r="F5655">
        <v>334</v>
      </c>
      <c r="G5655" t="str">
        <f>T("신타비")</f>
        <v>신타비</v>
      </c>
      <c r="J5655" t="str">
        <f>T("매드햇")</f>
        <v>매드햇</v>
      </c>
      <c r="K5655" t="str">
        <f>T("저승의 왕위를 계승했다")</f>
        <v>저승의 왕위를 계승했다</v>
      </c>
      <c r="L5655">
        <v>100</v>
      </c>
      <c r="M5655">
        <v>100</v>
      </c>
      <c r="N5655">
        <v>1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0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0</v>
      </c>
      <c r="AE5655">
        <v>0</v>
      </c>
      <c r="AF5655">
        <v>0</v>
      </c>
      <c r="AG5655">
        <v>0</v>
      </c>
      <c r="AH5655">
        <v>0</v>
      </c>
      <c r="AI5655">
        <v>100</v>
      </c>
      <c r="AJ5655">
        <v>1</v>
      </c>
      <c r="AK5655">
        <v>0</v>
      </c>
      <c r="AL5655">
        <v>0</v>
      </c>
      <c r="AM5655">
        <v>100</v>
      </c>
      <c r="AN5655">
        <v>0</v>
      </c>
      <c r="AO5655">
        <v>0</v>
      </c>
      <c r="AP5655">
        <v>0</v>
      </c>
      <c r="AQ5655">
        <v>0</v>
      </c>
      <c r="AS5655">
        <v>0</v>
      </c>
      <c r="AT5655">
        <v>0</v>
      </c>
      <c r="AV5655">
        <v>0</v>
      </c>
      <c r="AW5655">
        <v>0</v>
      </c>
      <c r="AY5655">
        <v>0</v>
      </c>
      <c r="AZ5655">
        <v>0</v>
      </c>
      <c r="BA5655">
        <v>70</v>
      </c>
      <c r="BE5655" t="str">
        <f>T("9791137014381")</f>
        <v>9791137014381</v>
      </c>
      <c r="BF5655" t="str">
        <f>T("k212766")</f>
        <v>k212766</v>
      </c>
      <c r="BG5655" t="str">
        <f>T("판타지 웹소설 &gt; 퓨전 판타지")</f>
        <v>판타지 웹소설 &gt; 퓨전 판타지</v>
      </c>
    </row>
    <row r="5656" spans="1:59">
      <c r="A5656" t="s">
        <v>60</v>
      </c>
      <c r="B5656" s="1">
        <v>46130</v>
      </c>
      <c r="C5656">
        <v>2378044065</v>
      </c>
      <c r="D5656">
        <v>2378061438</v>
      </c>
      <c r="E5656" t="str">
        <f>T("저승의 왕위를 계승했다 334화")</f>
        <v>저승의 왕위를 계승했다 334화</v>
      </c>
      <c r="F5656">
        <v>335</v>
      </c>
      <c r="G5656" t="str">
        <f>T("신타비")</f>
        <v>신타비</v>
      </c>
      <c r="J5656" t="str">
        <f>T("매드햇")</f>
        <v>매드햇</v>
      </c>
      <c r="K5656" t="str">
        <f>T("저승의 왕위를 계승했다")</f>
        <v>저승의 왕위를 계승했다</v>
      </c>
      <c r="L5656">
        <v>100</v>
      </c>
      <c r="M5656">
        <v>100</v>
      </c>
      <c r="N5656">
        <v>1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0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0</v>
      </c>
      <c r="AE5656">
        <v>0</v>
      </c>
      <c r="AF5656">
        <v>0</v>
      </c>
      <c r="AG5656">
        <v>0</v>
      </c>
      <c r="AH5656">
        <v>0</v>
      </c>
      <c r="AI5656">
        <v>100</v>
      </c>
      <c r="AJ5656">
        <v>1</v>
      </c>
      <c r="AK5656">
        <v>0</v>
      </c>
      <c r="AL5656">
        <v>0</v>
      </c>
      <c r="AM5656">
        <v>100</v>
      </c>
      <c r="AN5656">
        <v>0</v>
      </c>
      <c r="AO5656">
        <v>0</v>
      </c>
      <c r="AP5656">
        <v>0</v>
      </c>
      <c r="AQ5656">
        <v>0</v>
      </c>
      <c r="AS5656">
        <v>0</v>
      </c>
      <c r="AT5656">
        <v>0</v>
      </c>
      <c r="AV5656">
        <v>0</v>
      </c>
      <c r="AW5656">
        <v>0</v>
      </c>
      <c r="AY5656">
        <v>0</v>
      </c>
      <c r="AZ5656">
        <v>0</v>
      </c>
      <c r="BA5656">
        <v>70</v>
      </c>
      <c r="BE5656" t="str">
        <f>T("9791137014381")</f>
        <v>9791137014381</v>
      </c>
      <c r="BF5656" t="str">
        <f>T("k212767")</f>
        <v>k212767</v>
      </c>
      <c r="BG5656" t="str">
        <f>T("판타지 웹소설 &gt; 퓨전 판타지")</f>
        <v>판타지 웹소설 &gt; 퓨전 판타지</v>
      </c>
    </row>
    <row r="5657" spans="1:59">
      <c r="A5657" t="s">
        <v>60</v>
      </c>
      <c r="B5657" s="1">
        <v>46130</v>
      </c>
      <c r="C5657">
        <v>2378044065</v>
      </c>
      <c r="D5657">
        <v>2378061453</v>
      </c>
      <c r="E5657" t="str">
        <f>T("저승의 왕위를 계승했다 335화")</f>
        <v>저승의 왕위를 계승했다 335화</v>
      </c>
      <c r="F5657">
        <v>336</v>
      </c>
      <c r="G5657" t="str">
        <f>T("신타비")</f>
        <v>신타비</v>
      </c>
      <c r="J5657" t="str">
        <f>T("매드햇")</f>
        <v>매드햇</v>
      </c>
      <c r="K5657" t="str">
        <f>T("저승의 왕위를 계승했다")</f>
        <v>저승의 왕위를 계승했다</v>
      </c>
      <c r="L5657">
        <v>100</v>
      </c>
      <c r="M5657">
        <v>100</v>
      </c>
      <c r="N5657">
        <v>1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0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0</v>
      </c>
      <c r="AE5657">
        <v>0</v>
      </c>
      <c r="AF5657">
        <v>0</v>
      </c>
      <c r="AG5657">
        <v>0</v>
      </c>
      <c r="AH5657">
        <v>0</v>
      </c>
      <c r="AI5657">
        <v>100</v>
      </c>
      <c r="AJ5657">
        <v>1</v>
      </c>
      <c r="AK5657">
        <v>0</v>
      </c>
      <c r="AL5657">
        <v>0</v>
      </c>
      <c r="AM5657">
        <v>100</v>
      </c>
      <c r="AN5657">
        <v>0</v>
      </c>
      <c r="AO5657">
        <v>0</v>
      </c>
      <c r="AP5657">
        <v>0</v>
      </c>
      <c r="AQ5657">
        <v>0</v>
      </c>
      <c r="AS5657">
        <v>0</v>
      </c>
      <c r="AT5657">
        <v>0</v>
      </c>
      <c r="AV5657">
        <v>0</v>
      </c>
      <c r="AW5657">
        <v>0</v>
      </c>
      <c r="AY5657">
        <v>0</v>
      </c>
      <c r="AZ5657">
        <v>0</v>
      </c>
      <c r="BA5657">
        <v>70</v>
      </c>
      <c r="BE5657" t="str">
        <f>T("9791137014381")</f>
        <v>9791137014381</v>
      </c>
      <c r="BF5657" t="str">
        <f>T("k212768")</f>
        <v>k212768</v>
      </c>
      <c r="BG5657" t="str">
        <f>T("판타지 웹소설 &gt; 퓨전 판타지")</f>
        <v>판타지 웹소설 &gt; 퓨전 판타지</v>
      </c>
    </row>
    <row r="5658" spans="1:59">
      <c r="A5658" t="s">
        <v>60</v>
      </c>
      <c r="B5658" s="1">
        <v>46130</v>
      </c>
      <c r="C5658">
        <v>2378044065</v>
      </c>
      <c r="D5658">
        <v>2378061496</v>
      </c>
      <c r="E5658" t="str">
        <f>T("저승의 왕위를 계승했다 336화")</f>
        <v>저승의 왕위를 계승했다 336화</v>
      </c>
      <c r="F5658">
        <v>337</v>
      </c>
      <c r="G5658" t="str">
        <f>T("신타비")</f>
        <v>신타비</v>
      </c>
      <c r="J5658" t="str">
        <f>T("매드햇")</f>
        <v>매드햇</v>
      </c>
      <c r="K5658" t="str">
        <f>T("저승의 왕위를 계승했다")</f>
        <v>저승의 왕위를 계승했다</v>
      </c>
      <c r="L5658">
        <v>100</v>
      </c>
      <c r="M5658">
        <v>100</v>
      </c>
      <c r="N5658">
        <v>1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0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0</v>
      </c>
      <c r="AE5658">
        <v>0</v>
      </c>
      <c r="AF5658">
        <v>0</v>
      </c>
      <c r="AG5658">
        <v>0</v>
      </c>
      <c r="AH5658">
        <v>0</v>
      </c>
      <c r="AI5658">
        <v>100</v>
      </c>
      <c r="AJ5658">
        <v>1</v>
      </c>
      <c r="AK5658">
        <v>0</v>
      </c>
      <c r="AL5658">
        <v>0</v>
      </c>
      <c r="AM5658">
        <v>100</v>
      </c>
      <c r="AN5658">
        <v>0</v>
      </c>
      <c r="AO5658">
        <v>0</v>
      </c>
      <c r="AP5658">
        <v>0</v>
      </c>
      <c r="AQ5658">
        <v>0</v>
      </c>
      <c r="AS5658">
        <v>0</v>
      </c>
      <c r="AT5658">
        <v>0</v>
      </c>
      <c r="AV5658">
        <v>0</v>
      </c>
      <c r="AW5658">
        <v>0</v>
      </c>
      <c r="AY5658">
        <v>0</v>
      </c>
      <c r="AZ5658">
        <v>0</v>
      </c>
      <c r="BA5658">
        <v>70</v>
      </c>
      <c r="BE5658" t="str">
        <f>T("9791137014381")</f>
        <v>9791137014381</v>
      </c>
      <c r="BF5658" t="str">
        <f>T("k212769")</f>
        <v>k212769</v>
      </c>
      <c r="BG5658" t="str">
        <f>T("판타지 웹소설 &gt; 퓨전 판타지")</f>
        <v>판타지 웹소설 &gt; 퓨전 판타지</v>
      </c>
    </row>
    <row r="5659" spans="1:59">
      <c r="A5659" t="s">
        <v>60</v>
      </c>
      <c r="B5659" s="1">
        <v>46130</v>
      </c>
      <c r="C5659">
        <v>2378044065</v>
      </c>
      <c r="D5659">
        <v>2378061689</v>
      </c>
      <c r="E5659" t="str">
        <f>T("저승의 왕위를 계승했다 337화")</f>
        <v>저승의 왕위를 계승했다 337화</v>
      </c>
      <c r="F5659">
        <v>338</v>
      </c>
      <c r="G5659" t="str">
        <f>T("신타비")</f>
        <v>신타비</v>
      </c>
      <c r="J5659" t="str">
        <f>T("매드햇")</f>
        <v>매드햇</v>
      </c>
      <c r="K5659" t="str">
        <f>T("저승의 왕위를 계승했다")</f>
        <v>저승의 왕위를 계승했다</v>
      </c>
      <c r="L5659">
        <v>100</v>
      </c>
      <c r="M5659">
        <v>100</v>
      </c>
      <c r="N5659">
        <v>1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0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0</v>
      </c>
      <c r="AE5659">
        <v>0</v>
      </c>
      <c r="AF5659">
        <v>0</v>
      </c>
      <c r="AG5659">
        <v>0</v>
      </c>
      <c r="AH5659">
        <v>0</v>
      </c>
      <c r="AI5659">
        <v>100</v>
      </c>
      <c r="AJ5659">
        <v>1</v>
      </c>
      <c r="AK5659">
        <v>0</v>
      </c>
      <c r="AL5659">
        <v>0</v>
      </c>
      <c r="AM5659">
        <v>100</v>
      </c>
      <c r="AN5659">
        <v>0</v>
      </c>
      <c r="AO5659">
        <v>0</v>
      </c>
      <c r="AP5659">
        <v>0</v>
      </c>
      <c r="AQ5659">
        <v>0</v>
      </c>
      <c r="AS5659">
        <v>0</v>
      </c>
      <c r="AT5659">
        <v>0</v>
      </c>
      <c r="AV5659">
        <v>0</v>
      </c>
      <c r="AW5659">
        <v>0</v>
      </c>
      <c r="AY5659">
        <v>0</v>
      </c>
      <c r="AZ5659">
        <v>0</v>
      </c>
      <c r="BA5659">
        <v>70</v>
      </c>
      <c r="BE5659" t="str">
        <f>T("9791137014381")</f>
        <v>9791137014381</v>
      </c>
      <c r="BF5659" t="str">
        <f>T("k212770")</f>
        <v>k212770</v>
      </c>
      <c r="BG5659" t="str">
        <f>T("판타지 웹소설 &gt; 퓨전 판타지")</f>
        <v>판타지 웹소설 &gt; 퓨전 판타지</v>
      </c>
    </row>
    <row r="5660" spans="1:59">
      <c r="A5660" t="s">
        <v>60</v>
      </c>
      <c r="B5660" s="1">
        <v>46130</v>
      </c>
      <c r="C5660">
        <v>2378044065</v>
      </c>
      <c r="D5660">
        <v>2378061728</v>
      </c>
      <c r="E5660" t="str">
        <f>T("저승의 왕위를 계승했다 338화")</f>
        <v>저승의 왕위를 계승했다 338화</v>
      </c>
      <c r="F5660">
        <v>339</v>
      </c>
      <c r="G5660" t="str">
        <f>T("신타비")</f>
        <v>신타비</v>
      </c>
      <c r="J5660" t="str">
        <f>T("매드햇")</f>
        <v>매드햇</v>
      </c>
      <c r="K5660" t="str">
        <f>T("저승의 왕위를 계승했다")</f>
        <v>저승의 왕위를 계승했다</v>
      </c>
      <c r="L5660">
        <v>100</v>
      </c>
      <c r="M5660">
        <v>100</v>
      </c>
      <c r="N5660">
        <v>1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0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0</v>
      </c>
      <c r="AE5660">
        <v>0</v>
      </c>
      <c r="AF5660">
        <v>0</v>
      </c>
      <c r="AG5660">
        <v>0</v>
      </c>
      <c r="AH5660">
        <v>0</v>
      </c>
      <c r="AI5660">
        <v>100</v>
      </c>
      <c r="AJ5660">
        <v>1</v>
      </c>
      <c r="AK5660">
        <v>0</v>
      </c>
      <c r="AL5660">
        <v>0</v>
      </c>
      <c r="AM5660">
        <v>100</v>
      </c>
      <c r="AN5660">
        <v>0</v>
      </c>
      <c r="AO5660">
        <v>0</v>
      </c>
      <c r="AP5660">
        <v>0</v>
      </c>
      <c r="AQ5660">
        <v>0</v>
      </c>
      <c r="AS5660">
        <v>0</v>
      </c>
      <c r="AT5660">
        <v>0</v>
      </c>
      <c r="AV5660">
        <v>0</v>
      </c>
      <c r="AW5660">
        <v>0</v>
      </c>
      <c r="AY5660">
        <v>0</v>
      </c>
      <c r="AZ5660">
        <v>0</v>
      </c>
      <c r="BA5660">
        <v>70</v>
      </c>
      <c r="BE5660" t="str">
        <f>T("9791137014381")</f>
        <v>9791137014381</v>
      </c>
      <c r="BF5660" t="str">
        <f>T("k212771")</f>
        <v>k212771</v>
      </c>
      <c r="BG5660" t="str">
        <f>T("판타지 웹소설 &gt; 퓨전 판타지")</f>
        <v>판타지 웹소설 &gt; 퓨전 판타지</v>
      </c>
    </row>
    <row r="5661" spans="1:59">
      <c r="A5661" t="s">
        <v>60</v>
      </c>
      <c r="B5661" s="1">
        <v>46130</v>
      </c>
      <c r="C5661">
        <v>2378044065</v>
      </c>
      <c r="D5661">
        <v>2378061737</v>
      </c>
      <c r="E5661" t="str">
        <f>T("저승의 왕위를 계승했다 339화")</f>
        <v>저승의 왕위를 계승했다 339화</v>
      </c>
      <c r="F5661">
        <v>340</v>
      </c>
      <c r="G5661" t="str">
        <f>T("신타비")</f>
        <v>신타비</v>
      </c>
      <c r="J5661" t="str">
        <f>T("매드햇")</f>
        <v>매드햇</v>
      </c>
      <c r="K5661" t="str">
        <f>T("저승의 왕위를 계승했다")</f>
        <v>저승의 왕위를 계승했다</v>
      </c>
      <c r="L5661">
        <v>100</v>
      </c>
      <c r="M5661">
        <v>200</v>
      </c>
      <c r="N5661">
        <v>2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0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0</v>
      </c>
      <c r="AE5661">
        <v>0</v>
      </c>
      <c r="AF5661">
        <v>0</v>
      </c>
      <c r="AG5661">
        <v>0</v>
      </c>
      <c r="AH5661">
        <v>0</v>
      </c>
      <c r="AI5661">
        <v>200</v>
      </c>
      <c r="AJ5661">
        <v>2</v>
      </c>
      <c r="AK5661">
        <v>0</v>
      </c>
      <c r="AL5661">
        <v>0</v>
      </c>
      <c r="AM5661">
        <v>200</v>
      </c>
      <c r="AN5661">
        <v>0</v>
      </c>
      <c r="AO5661">
        <v>0</v>
      </c>
      <c r="AP5661">
        <v>0</v>
      </c>
      <c r="AQ5661">
        <v>0</v>
      </c>
      <c r="AS5661">
        <v>0</v>
      </c>
      <c r="AT5661">
        <v>0</v>
      </c>
      <c r="AV5661">
        <v>0</v>
      </c>
      <c r="AW5661">
        <v>0</v>
      </c>
      <c r="AY5661">
        <v>0</v>
      </c>
      <c r="AZ5661">
        <v>0</v>
      </c>
      <c r="BA5661">
        <v>140</v>
      </c>
      <c r="BE5661" t="str">
        <f>T("9791137014381")</f>
        <v>9791137014381</v>
      </c>
      <c r="BF5661" t="str">
        <f>T("k217752")</f>
        <v>k217752</v>
      </c>
      <c r="BG5661" t="str">
        <f>T("판타지 웹소설 &gt; 퓨전 판타지")</f>
        <v>판타지 웹소설 &gt; 퓨전 판타지</v>
      </c>
    </row>
    <row r="5662" spans="1:59">
      <c r="A5662" t="s">
        <v>60</v>
      </c>
      <c r="B5662" s="1">
        <v>46130</v>
      </c>
      <c r="C5662">
        <v>2378044065</v>
      </c>
      <c r="D5662">
        <v>2378061754</v>
      </c>
      <c r="E5662" t="str">
        <f>T("저승의 왕위를 계승했다 340화")</f>
        <v>저승의 왕위를 계승했다 340화</v>
      </c>
      <c r="F5662">
        <v>341</v>
      </c>
      <c r="G5662" t="str">
        <f>T("신타비")</f>
        <v>신타비</v>
      </c>
      <c r="J5662" t="str">
        <f>T("매드햇")</f>
        <v>매드햇</v>
      </c>
      <c r="K5662" t="str">
        <f>T("저승의 왕위를 계승했다")</f>
        <v>저승의 왕위를 계승했다</v>
      </c>
      <c r="L5662">
        <v>100</v>
      </c>
      <c r="M5662">
        <v>100</v>
      </c>
      <c r="N5662">
        <v>1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0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0</v>
      </c>
      <c r="AE5662">
        <v>0</v>
      </c>
      <c r="AF5662">
        <v>0</v>
      </c>
      <c r="AG5662">
        <v>0</v>
      </c>
      <c r="AH5662">
        <v>0</v>
      </c>
      <c r="AI5662">
        <v>100</v>
      </c>
      <c r="AJ5662">
        <v>1</v>
      </c>
      <c r="AK5662">
        <v>0</v>
      </c>
      <c r="AL5662">
        <v>0</v>
      </c>
      <c r="AM5662">
        <v>100</v>
      </c>
      <c r="AN5662">
        <v>0</v>
      </c>
      <c r="AO5662">
        <v>0</v>
      </c>
      <c r="AP5662">
        <v>0</v>
      </c>
      <c r="AQ5662">
        <v>0</v>
      </c>
      <c r="AS5662">
        <v>0</v>
      </c>
      <c r="AT5662">
        <v>0</v>
      </c>
      <c r="AV5662">
        <v>0</v>
      </c>
      <c r="AW5662">
        <v>0</v>
      </c>
      <c r="AY5662">
        <v>0</v>
      </c>
      <c r="AZ5662">
        <v>0</v>
      </c>
      <c r="BA5662">
        <v>70</v>
      </c>
      <c r="BE5662" t="str">
        <f>T("9791137014381")</f>
        <v>9791137014381</v>
      </c>
      <c r="BF5662" t="str">
        <f>T("k217753")</f>
        <v>k217753</v>
      </c>
      <c r="BG5662" t="str">
        <f>T("판타지 웹소설 &gt; 퓨전 판타지")</f>
        <v>판타지 웹소설 &gt; 퓨전 판타지</v>
      </c>
    </row>
    <row r="5663" spans="1:59">
      <c r="A5663" t="s">
        <v>60</v>
      </c>
      <c r="B5663" s="1">
        <v>46130</v>
      </c>
      <c r="C5663">
        <v>2378044065</v>
      </c>
      <c r="D5663">
        <v>2378061774</v>
      </c>
      <c r="E5663" t="str">
        <f>T("저승의 왕위를 계승했다 341화")</f>
        <v>저승의 왕위를 계승했다 341화</v>
      </c>
      <c r="F5663">
        <v>342</v>
      </c>
      <c r="G5663" t="str">
        <f>T("신타비")</f>
        <v>신타비</v>
      </c>
      <c r="J5663" t="str">
        <f>T("매드햇")</f>
        <v>매드햇</v>
      </c>
      <c r="K5663" t="str">
        <f>T("저승의 왕위를 계승했다")</f>
        <v>저승의 왕위를 계승했다</v>
      </c>
      <c r="L5663">
        <v>100</v>
      </c>
      <c r="M5663">
        <v>100</v>
      </c>
      <c r="N5663">
        <v>1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0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0</v>
      </c>
      <c r="AE5663">
        <v>0</v>
      </c>
      <c r="AF5663">
        <v>0</v>
      </c>
      <c r="AG5663">
        <v>0</v>
      </c>
      <c r="AH5663">
        <v>0</v>
      </c>
      <c r="AI5663">
        <v>100</v>
      </c>
      <c r="AJ5663">
        <v>1</v>
      </c>
      <c r="AK5663">
        <v>0</v>
      </c>
      <c r="AL5663">
        <v>0</v>
      </c>
      <c r="AM5663">
        <v>100</v>
      </c>
      <c r="AN5663">
        <v>0</v>
      </c>
      <c r="AO5663">
        <v>0</v>
      </c>
      <c r="AP5663">
        <v>0</v>
      </c>
      <c r="AQ5663">
        <v>0</v>
      </c>
      <c r="AS5663">
        <v>0</v>
      </c>
      <c r="AT5663">
        <v>0</v>
      </c>
      <c r="AV5663">
        <v>0</v>
      </c>
      <c r="AW5663">
        <v>0</v>
      </c>
      <c r="AY5663">
        <v>0</v>
      </c>
      <c r="AZ5663">
        <v>0</v>
      </c>
      <c r="BA5663">
        <v>70</v>
      </c>
      <c r="BE5663" t="str">
        <f>T("9791137014381")</f>
        <v>9791137014381</v>
      </c>
      <c r="BF5663" t="str">
        <f>T("k217754")</f>
        <v>k217754</v>
      </c>
      <c r="BG5663" t="str">
        <f>T("판타지 웹소설 &gt; 퓨전 판타지")</f>
        <v>판타지 웹소설 &gt; 퓨전 판타지</v>
      </c>
    </row>
    <row r="5664" spans="1:59">
      <c r="A5664" t="s">
        <v>60</v>
      </c>
      <c r="B5664" s="1">
        <v>46130</v>
      </c>
      <c r="C5664">
        <v>2378044065</v>
      </c>
      <c r="D5664">
        <v>2378061836</v>
      </c>
      <c r="E5664" t="str">
        <f>T("저승의 왕위를 계승했다 342화")</f>
        <v>저승의 왕위를 계승했다 342화</v>
      </c>
      <c r="F5664">
        <v>343</v>
      </c>
      <c r="G5664" t="str">
        <f>T("신타비")</f>
        <v>신타비</v>
      </c>
      <c r="J5664" t="str">
        <f>T("매드햇")</f>
        <v>매드햇</v>
      </c>
      <c r="K5664" t="str">
        <f>T("저승의 왕위를 계승했다")</f>
        <v>저승의 왕위를 계승했다</v>
      </c>
      <c r="L5664">
        <v>100</v>
      </c>
      <c r="M5664">
        <v>100</v>
      </c>
      <c r="N5664">
        <v>1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0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0</v>
      </c>
      <c r="AE5664">
        <v>0</v>
      </c>
      <c r="AF5664">
        <v>0</v>
      </c>
      <c r="AG5664">
        <v>0</v>
      </c>
      <c r="AH5664">
        <v>0</v>
      </c>
      <c r="AI5664">
        <v>100</v>
      </c>
      <c r="AJ5664">
        <v>1</v>
      </c>
      <c r="AK5664">
        <v>0</v>
      </c>
      <c r="AL5664">
        <v>0</v>
      </c>
      <c r="AM5664">
        <v>100</v>
      </c>
      <c r="AN5664">
        <v>0</v>
      </c>
      <c r="AO5664">
        <v>0</v>
      </c>
      <c r="AP5664">
        <v>0</v>
      </c>
      <c r="AQ5664">
        <v>0</v>
      </c>
      <c r="AS5664">
        <v>0</v>
      </c>
      <c r="AT5664">
        <v>0</v>
      </c>
      <c r="AV5664">
        <v>0</v>
      </c>
      <c r="AW5664">
        <v>0</v>
      </c>
      <c r="AY5664">
        <v>0</v>
      </c>
      <c r="AZ5664">
        <v>0</v>
      </c>
      <c r="BA5664">
        <v>70</v>
      </c>
      <c r="BE5664" t="str">
        <f>T("9791137014381")</f>
        <v>9791137014381</v>
      </c>
      <c r="BF5664" t="str">
        <f>T("k217755")</f>
        <v>k217755</v>
      </c>
      <c r="BG5664" t="str">
        <f>T("판타지 웹소설 &gt; 퓨전 판타지")</f>
        <v>판타지 웹소설 &gt; 퓨전 판타지</v>
      </c>
    </row>
    <row r="5665" spans="1:59">
      <c r="A5665" t="s">
        <v>60</v>
      </c>
      <c r="B5665" s="1">
        <v>46130</v>
      </c>
      <c r="C5665">
        <v>2378044065</v>
      </c>
      <c r="D5665">
        <v>2378061853</v>
      </c>
      <c r="E5665" t="str">
        <f>T("저승의 왕위를 계승했다 343화")</f>
        <v>저승의 왕위를 계승했다 343화</v>
      </c>
      <c r="F5665">
        <v>344</v>
      </c>
      <c r="G5665" t="str">
        <f>T("신타비")</f>
        <v>신타비</v>
      </c>
      <c r="J5665" t="str">
        <f>T("매드햇")</f>
        <v>매드햇</v>
      </c>
      <c r="K5665" t="str">
        <f>T("저승의 왕위를 계승했다")</f>
        <v>저승의 왕위를 계승했다</v>
      </c>
      <c r="L5665">
        <v>100</v>
      </c>
      <c r="M5665">
        <v>100</v>
      </c>
      <c r="N5665">
        <v>1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0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0</v>
      </c>
      <c r="AE5665">
        <v>0</v>
      </c>
      <c r="AF5665">
        <v>0</v>
      </c>
      <c r="AG5665">
        <v>0</v>
      </c>
      <c r="AH5665">
        <v>0</v>
      </c>
      <c r="AI5665">
        <v>100</v>
      </c>
      <c r="AJ5665">
        <v>1</v>
      </c>
      <c r="AK5665">
        <v>0</v>
      </c>
      <c r="AL5665">
        <v>0</v>
      </c>
      <c r="AM5665">
        <v>100</v>
      </c>
      <c r="AN5665">
        <v>0</v>
      </c>
      <c r="AO5665">
        <v>0</v>
      </c>
      <c r="AP5665">
        <v>0</v>
      </c>
      <c r="AQ5665">
        <v>0</v>
      </c>
      <c r="AS5665">
        <v>0</v>
      </c>
      <c r="AT5665">
        <v>0</v>
      </c>
      <c r="AV5665">
        <v>0</v>
      </c>
      <c r="AW5665">
        <v>0</v>
      </c>
      <c r="AY5665">
        <v>0</v>
      </c>
      <c r="AZ5665">
        <v>0</v>
      </c>
      <c r="BA5665">
        <v>70</v>
      </c>
      <c r="BE5665" t="str">
        <f>T("9791137014381")</f>
        <v>9791137014381</v>
      </c>
      <c r="BF5665" t="str">
        <f>T("k225234")</f>
        <v>k225234</v>
      </c>
      <c r="BG5665" t="str">
        <f>T("판타지 웹소설 &gt; 퓨전 판타지")</f>
        <v>판타지 웹소설 &gt; 퓨전 판타지</v>
      </c>
    </row>
    <row r="5666" spans="1:59">
      <c r="A5666" t="s">
        <v>60</v>
      </c>
      <c r="B5666" s="1">
        <v>46130</v>
      </c>
      <c r="C5666">
        <v>2378044065</v>
      </c>
      <c r="D5666">
        <v>2378061887</v>
      </c>
      <c r="E5666" t="str">
        <f>T("저승의 왕위를 계승했다 344화")</f>
        <v>저승의 왕위를 계승했다 344화</v>
      </c>
      <c r="F5666">
        <v>345</v>
      </c>
      <c r="G5666" t="str">
        <f>T("신타비")</f>
        <v>신타비</v>
      </c>
      <c r="J5666" t="str">
        <f>T("매드햇")</f>
        <v>매드햇</v>
      </c>
      <c r="K5666" t="str">
        <f>T("저승의 왕위를 계승했다")</f>
        <v>저승의 왕위를 계승했다</v>
      </c>
      <c r="L5666">
        <v>100</v>
      </c>
      <c r="M5666">
        <v>100</v>
      </c>
      <c r="N5666">
        <v>1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0</v>
      </c>
      <c r="AE5666">
        <v>0</v>
      </c>
      <c r="AF5666">
        <v>0</v>
      </c>
      <c r="AG5666">
        <v>0</v>
      </c>
      <c r="AH5666">
        <v>0</v>
      </c>
      <c r="AI5666">
        <v>100</v>
      </c>
      <c r="AJ5666">
        <v>1</v>
      </c>
      <c r="AK5666">
        <v>0</v>
      </c>
      <c r="AL5666">
        <v>0</v>
      </c>
      <c r="AM5666">
        <v>100</v>
      </c>
      <c r="AN5666">
        <v>0</v>
      </c>
      <c r="AO5666">
        <v>0</v>
      </c>
      <c r="AP5666">
        <v>0</v>
      </c>
      <c r="AQ5666">
        <v>0</v>
      </c>
      <c r="AS5666">
        <v>0</v>
      </c>
      <c r="AT5666">
        <v>0</v>
      </c>
      <c r="AV5666">
        <v>0</v>
      </c>
      <c r="AW5666">
        <v>0</v>
      </c>
      <c r="AY5666">
        <v>0</v>
      </c>
      <c r="AZ5666">
        <v>0</v>
      </c>
      <c r="BA5666">
        <v>70</v>
      </c>
      <c r="BE5666" t="str">
        <f>T("9791137014381")</f>
        <v>9791137014381</v>
      </c>
      <c r="BF5666" t="str">
        <f>T("k225235")</f>
        <v>k225235</v>
      </c>
      <c r="BG5666" t="str">
        <f>T("판타지 웹소설 &gt; 퓨전 판타지")</f>
        <v>판타지 웹소설 &gt; 퓨전 판타지</v>
      </c>
    </row>
    <row r="5667" spans="1:59">
      <c r="A5667" t="s">
        <v>60</v>
      </c>
      <c r="B5667" s="1">
        <v>46130</v>
      </c>
      <c r="C5667">
        <v>2378044065</v>
      </c>
      <c r="D5667">
        <v>2378061921</v>
      </c>
      <c r="E5667" t="str">
        <f>T("저승의 왕위를 계승했다 345화")</f>
        <v>저승의 왕위를 계승했다 345화</v>
      </c>
      <c r="F5667">
        <v>346</v>
      </c>
      <c r="G5667" t="str">
        <f>T("신타비")</f>
        <v>신타비</v>
      </c>
      <c r="J5667" t="str">
        <f>T("매드햇")</f>
        <v>매드햇</v>
      </c>
      <c r="K5667" t="str">
        <f>T("저승의 왕위를 계승했다")</f>
        <v>저승의 왕위를 계승했다</v>
      </c>
      <c r="L5667">
        <v>100</v>
      </c>
      <c r="M5667">
        <v>100</v>
      </c>
      <c r="N5667">
        <v>1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0</v>
      </c>
      <c r="AE5667">
        <v>0</v>
      </c>
      <c r="AF5667">
        <v>0</v>
      </c>
      <c r="AG5667">
        <v>0</v>
      </c>
      <c r="AH5667">
        <v>0</v>
      </c>
      <c r="AI5667">
        <v>100</v>
      </c>
      <c r="AJ5667">
        <v>1</v>
      </c>
      <c r="AK5667">
        <v>0</v>
      </c>
      <c r="AL5667">
        <v>0</v>
      </c>
      <c r="AM5667">
        <v>100</v>
      </c>
      <c r="AN5667">
        <v>0</v>
      </c>
      <c r="AO5667">
        <v>0</v>
      </c>
      <c r="AP5667">
        <v>0</v>
      </c>
      <c r="AQ5667">
        <v>0</v>
      </c>
      <c r="AS5667">
        <v>0</v>
      </c>
      <c r="AT5667">
        <v>0</v>
      </c>
      <c r="AV5667">
        <v>0</v>
      </c>
      <c r="AW5667">
        <v>0</v>
      </c>
      <c r="AY5667">
        <v>0</v>
      </c>
      <c r="AZ5667">
        <v>0</v>
      </c>
      <c r="BA5667">
        <v>70</v>
      </c>
      <c r="BE5667" t="str">
        <f>T("9791137014381")</f>
        <v>9791137014381</v>
      </c>
      <c r="BF5667" t="str">
        <f>T("k225236")</f>
        <v>k225236</v>
      </c>
      <c r="BG5667" t="str">
        <f>T("판타지 웹소설 &gt; 퓨전 판타지")</f>
        <v>판타지 웹소설 &gt; 퓨전 판타지</v>
      </c>
    </row>
    <row r="5668" spans="1:59">
      <c r="A5668" t="s">
        <v>60</v>
      </c>
      <c r="B5668" s="1">
        <v>46130</v>
      </c>
      <c r="C5668">
        <v>2378044065</v>
      </c>
      <c r="D5668">
        <v>2378061922</v>
      </c>
      <c r="E5668" t="str">
        <f>T("저승의 왕위를 계승했다 346화")</f>
        <v>저승의 왕위를 계승했다 346화</v>
      </c>
      <c r="F5668">
        <v>347</v>
      </c>
      <c r="G5668" t="str">
        <f>T("신타비")</f>
        <v>신타비</v>
      </c>
      <c r="J5668" t="str">
        <f>T("매드햇")</f>
        <v>매드햇</v>
      </c>
      <c r="K5668" t="str">
        <f>T("저승의 왕위를 계승했다")</f>
        <v>저승의 왕위를 계승했다</v>
      </c>
      <c r="L5668">
        <v>100</v>
      </c>
      <c r="M5668">
        <v>100</v>
      </c>
      <c r="N5668">
        <v>1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0</v>
      </c>
      <c r="AE5668">
        <v>0</v>
      </c>
      <c r="AF5668">
        <v>0</v>
      </c>
      <c r="AG5668">
        <v>0</v>
      </c>
      <c r="AH5668">
        <v>0</v>
      </c>
      <c r="AI5668">
        <v>100</v>
      </c>
      <c r="AJ5668">
        <v>1</v>
      </c>
      <c r="AK5668">
        <v>0</v>
      </c>
      <c r="AL5668">
        <v>0</v>
      </c>
      <c r="AM5668">
        <v>100</v>
      </c>
      <c r="AN5668">
        <v>0</v>
      </c>
      <c r="AO5668">
        <v>0</v>
      </c>
      <c r="AP5668">
        <v>0</v>
      </c>
      <c r="AQ5668">
        <v>0</v>
      </c>
      <c r="AS5668">
        <v>0</v>
      </c>
      <c r="AT5668">
        <v>0</v>
      </c>
      <c r="AV5668">
        <v>0</v>
      </c>
      <c r="AW5668">
        <v>0</v>
      </c>
      <c r="AY5668">
        <v>0</v>
      </c>
      <c r="AZ5668">
        <v>0</v>
      </c>
      <c r="BA5668">
        <v>70</v>
      </c>
      <c r="BE5668" t="str">
        <f>T("9791137014381")</f>
        <v>9791137014381</v>
      </c>
      <c r="BF5668" t="str">
        <f>T("k225237")</f>
        <v>k225237</v>
      </c>
      <c r="BG5668" t="str">
        <f>T("판타지 웹소설 &gt; 퓨전 판타지")</f>
        <v>판타지 웹소설 &gt; 퓨전 판타지</v>
      </c>
    </row>
    <row r="5669" spans="1:59">
      <c r="A5669" t="s">
        <v>60</v>
      </c>
      <c r="B5669" s="1">
        <v>46130</v>
      </c>
      <c r="C5669">
        <v>2378044065</v>
      </c>
      <c r="D5669">
        <v>2378061980</v>
      </c>
      <c r="E5669" t="str">
        <f>T("저승의 왕위를 계승했다 347화")</f>
        <v>저승의 왕위를 계승했다 347화</v>
      </c>
      <c r="F5669">
        <v>348</v>
      </c>
      <c r="G5669" t="str">
        <f>T("신타비")</f>
        <v>신타비</v>
      </c>
      <c r="J5669" t="str">
        <f>T("매드햇")</f>
        <v>매드햇</v>
      </c>
      <c r="K5669" t="str">
        <f>T("저승의 왕위를 계승했다")</f>
        <v>저승의 왕위를 계승했다</v>
      </c>
      <c r="L5669">
        <v>100</v>
      </c>
      <c r="M5669">
        <v>100</v>
      </c>
      <c r="N5669">
        <v>1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0</v>
      </c>
      <c r="AE5669">
        <v>0</v>
      </c>
      <c r="AF5669">
        <v>0</v>
      </c>
      <c r="AG5669">
        <v>0</v>
      </c>
      <c r="AH5669">
        <v>0</v>
      </c>
      <c r="AI5669">
        <v>100</v>
      </c>
      <c r="AJ5669">
        <v>1</v>
      </c>
      <c r="AK5669">
        <v>0</v>
      </c>
      <c r="AL5669">
        <v>0</v>
      </c>
      <c r="AM5669">
        <v>100</v>
      </c>
      <c r="AN5669">
        <v>0</v>
      </c>
      <c r="AO5669">
        <v>0</v>
      </c>
      <c r="AP5669">
        <v>0</v>
      </c>
      <c r="AQ5669">
        <v>0</v>
      </c>
      <c r="AS5669">
        <v>0</v>
      </c>
      <c r="AT5669">
        <v>0</v>
      </c>
      <c r="AV5669">
        <v>0</v>
      </c>
      <c r="AW5669">
        <v>0</v>
      </c>
      <c r="AY5669">
        <v>0</v>
      </c>
      <c r="AZ5669">
        <v>0</v>
      </c>
      <c r="BA5669">
        <v>70</v>
      </c>
      <c r="BE5669" t="str">
        <f>T("9791137014381")</f>
        <v>9791137014381</v>
      </c>
      <c r="BF5669" t="str">
        <f>T("k239523")</f>
        <v>k239523</v>
      </c>
      <c r="BG5669" t="str">
        <f>T("판타지 웹소설 &gt; 퓨전 판타지")</f>
        <v>판타지 웹소설 &gt; 퓨전 판타지</v>
      </c>
    </row>
    <row r="5670" spans="1:59">
      <c r="A5670" t="s">
        <v>60</v>
      </c>
      <c r="B5670" s="1">
        <v>46130</v>
      </c>
      <c r="C5670">
        <v>2378044065</v>
      </c>
      <c r="D5670">
        <v>2378061992</v>
      </c>
      <c r="E5670" t="str">
        <f>T("저승의 왕위를 계승했다 348화")</f>
        <v>저승의 왕위를 계승했다 348화</v>
      </c>
      <c r="F5670">
        <v>349</v>
      </c>
      <c r="G5670" t="str">
        <f>T("신타비")</f>
        <v>신타비</v>
      </c>
      <c r="J5670" t="str">
        <f>T("매드햇")</f>
        <v>매드햇</v>
      </c>
      <c r="K5670" t="str">
        <f>T("저승의 왕위를 계승했다")</f>
        <v>저승의 왕위를 계승했다</v>
      </c>
      <c r="L5670">
        <v>100</v>
      </c>
      <c r="M5670">
        <v>100</v>
      </c>
      <c r="N5670">
        <v>1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0</v>
      </c>
      <c r="AE5670">
        <v>0</v>
      </c>
      <c r="AF5670">
        <v>0</v>
      </c>
      <c r="AG5670">
        <v>0</v>
      </c>
      <c r="AH5670">
        <v>0</v>
      </c>
      <c r="AI5670">
        <v>100</v>
      </c>
      <c r="AJ5670">
        <v>1</v>
      </c>
      <c r="AK5670">
        <v>0</v>
      </c>
      <c r="AL5670">
        <v>0</v>
      </c>
      <c r="AM5670">
        <v>100</v>
      </c>
      <c r="AN5670">
        <v>0</v>
      </c>
      <c r="AO5670">
        <v>0</v>
      </c>
      <c r="AP5670">
        <v>0</v>
      </c>
      <c r="AQ5670">
        <v>0</v>
      </c>
      <c r="AS5670">
        <v>0</v>
      </c>
      <c r="AT5670">
        <v>0</v>
      </c>
      <c r="AV5670">
        <v>0</v>
      </c>
      <c r="AW5670">
        <v>0</v>
      </c>
      <c r="AY5670">
        <v>0</v>
      </c>
      <c r="AZ5670">
        <v>0</v>
      </c>
      <c r="BA5670">
        <v>70</v>
      </c>
      <c r="BE5670" t="str">
        <f>T("9791137014381")</f>
        <v>9791137014381</v>
      </c>
      <c r="BF5670" t="str">
        <f>T("k239524")</f>
        <v>k239524</v>
      </c>
      <c r="BG5670" t="str">
        <f>T("판타지 웹소설 &gt; 퓨전 판타지")</f>
        <v>판타지 웹소설 &gt; 퓨전 판타지</v>
      </c>
    </row>
    <row r="5671" spans="1:59">
      <c r="A5671" t="s">
        <v>60</v>
      </c>
      <c r="B5671" s="1">
        <v>46130</v>
      </c>
      <c r="C5671">
        <v>2378044065</v>
      </c>
      <c r="D5671">
        <v>2378062127</v>
      </c>
      <c r="E5671" t="str">
        <f>T("저승의 왕위를 계승했다 349화")</f>
        <v>저승의 왕위를 계승했다 349화</v>
      </c>
      <c r="F5671">
        <v>350</v>
      </c>
      <c r="G5671" t="str">
        <f>T("신타비")</f>
        <v>신타비</v>
      </c>
      <c r="J5671" t="str">
        <f>T("매드햇")</f>
        <v>매드햇</v>
      </c>
      <c r="K5671" t="str">
        <f>T("저승의 왕위를 계승했다")</f>
        <v>저승의 왕위를 계승했다</v>
      </c>
      <c r="L5671">
        <v>100</v>
      </c>
      <c r="M5671">
        <v>100</v>
      </c>
      <c r="N5671">
        <v>1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0</v>
      </c>
      <c r="AE5671">
        <v>0</v>
      </c>
      <c r="AF5671">
        <v>0</v>
      </c>
      <c r="AG5671">
        <v>0</v>
      </c>
      <c r="AH5671">
        <v>0</v>
      </c>
      <c r="AI5671">
        <v>100</v>
      </c>
      <c r="AJ5671">
        <v>1</v>
      </c>
      <c r="AK5671">
        <v>0</v>
      </c>
      <c r="AL5671">
        <v>0</v>
      </c>
      <c r="AM5671">
        <v>100</v>
      </c>
      <c r="AN5671">
        <v>0</v>
      </c>
      <c r="AO5671">
        <v>0</v>
      </c>
      <c r="AP5671">
        <v>0</v>
      </c>
      <c r="AQ5671">
        <v>0</v>
      </c>
      <c r="AS5671">
        <v>0</v>
      </c>
      <c r="AT5671">
        <v>0</v>
      </c>
      <c r="AV5671">
        <v>0</v>
      </c>
      <c r="AW5671">
        <v>0</v>
      </c>
      <c r="AY5671">
        <v>0</v>
      </c>
      <c r="AZ5671">
        <v>0</v>
      </c>
      <c r="BA5671">
        <v>70</v>
      </c>
      <c r="BE5671" t="str">
        <f>T("9791137014381")</f>
        <v>9791137014381</v>
      </c>
      <c r="BF5671" t="str">
        <f>T("k239525")</f>
        <v>k239525</v>
      </c>
      <c r="BG5671" t="str">
        <f>T("판타지 웹소설 &gt; 퓨전 판타지")</f>
        <v>판타지 웹소설 &gt; 퓨전 판타지</v>
      </c>
    </row>
    <row r="5672" spans="1:59">
      <c r="A5672" t="s">
        <v>60</v>
      </c>
      <c r="B5672" s="1">
        <v>46130</v>
      </c>
      <c r="C5672">
        <v>2378044065</v>
      </c>
      <c r="D5672">
        <v>2378062176</v>
      </c>
      <c r="E5672" t="str">
        <f>T("저승의 왕위를 계승했다 350화")</f>
        <v>저승의 왕위를 계승했다 350화</v>
      </c>
      <c r="F5672">
        <v>351</v>
      </c>
      <c r="G5672" t="str">
        <f>T("신타비")</f>
        <v>신타비</v>
      </c>
      <c r="J5672" t="str">
        <f>T("매드햇")</f>
        <v>매드햇</v>
      </c>
      <c r="K5672" t="str">
        <f>T("저승의 왕위를 계승했다")</f>
        <v>저승의 왕위를 계승했다</v>
      </c>
      <c r="L5672">
        <v>100</v>
      </c>
      <c r="M5672">
        <v>100</v>
      </c>
      <c r="N5672">
        <v>1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>
        <v>0</v>
      </c>
      <c r="V5672">
        <v>0</v>
      </c>
      <c r="W5672">
        <v>0</v>
      </c>
      <c r="X5672">
        <v>0</v>
      </c>
      <c r="Y5672">
        <v>0</v>
      </c>
      <c r="Z5672">
        <v>0</v>
      </c>
      <c r="AA5672">
        <v>0</v>
      </c>
      <c r="AB5672">
        <v>0</v>
      </c>
      <c r="AC5672">
        <v>0</v>
      </c>
      <c r="AD5672">
        <v>0</v>
      </c>
      <c r="AE5672">
        <v>0</v>
      </c>
      <c r="AF5672">
        <v>0</v>
      </c>
      <c r="AG5672">
        <v>0</v>
      </c>
      <c r="AH5672">
        <v>0</v>
      </c>
      <c r="AI5672">
        <v>100</v>
      </c>
      <c r="AJ5672">
        <v>1</v>
      </c>
      <c r="AK5672">
        <v>0</v>
      </c>
      <c r="AL5672">
        <v>0</v>
      </c>
      <c r="AM5672">
        <v>100</v>
      </c>
      <c r="AN5672">
        <v>0</v>
      </c>
      <c r="AO5672">
        <v>0</v>
      </c>
      <c r="AP5672">
        <v>0</v>
      </c>
      <c r="AQ5672">
        <v>0</v>
      </c>
      <c r="AS5672">
        <v>0</v>
      </c>
      <c r="AT5672">
        <v>0</v>
      </c>
      <c r="AV5672">
        <v>0</v>
      </c>
      <c r="AW5672">
        <v>0</v>
      </c>
      <c r="AY5672">
        <v>0</v>
      </c>
      <c r="AZ5672">
        <v>0</v>
      </c>
      <c r="BA5672">
        <v>70</v>
      </c>
      <c r="BE5672" t="str">
        <f>T("9791137014381")</f>
        <v>9791137014381</v>
      </c>
      <c r="BF5672" t="str">
        <f>T("k239526")</f>
        <v>k239526</v>
      </c>
      <c r="BG5672" t="str">
        <f>T("판타지 웹소설 &gt; 퓨전 판타지")</f>
        <v>판타지 웹소설 &gt; 퓨전 판타지</v>
      </c>
    </row>
    <row r="5673" spans="1:59">
      <c r="A5673" t="s">
        <v>60</v>
      </c>
      <c r="B5673" s="1">
        <v>46130</v>
      </c>
      <c r="C5673">
        <v>2378044065</v>
      </c>
      <c r="D5673">
        <v>2378062212</v>
      </c>
      <c r="E5673" t="str">
        <f>T("저승의 왕위를 계승했다 351화")</f>
        <v>저승의 왕위를 계승했다 351화</v>
      </c>
      <c r="F5673">
        <v>352</v>
      </c>
      <c r="G5673" t="str">
        <f>T("신타비")</f>
        <v>신타비</v>
      </c>
      <c r="J5673" t="str">
        <f>T("매드햇")</f>
        <v>매드햇</v>
      </c>
      <c r="K5673" t="str">
        <f>T("저승의 왕위를 계승했다")</f>
        <v>저승의 왕위를 계승했다</v>
      </c>
      <c r="L5673">
        <v>100</v>
      </c>
      <c r="M5673">
        <v>100</v>
      </c>
      <c r="N5673">
        <v>1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>
        <v>0</v>
      </c>
      <c r="V5673">
        <v>0</v>
      </c>
      <c r="W5673">
        <v>0</v>
      </c>
      <c r="X5673">
        <v>0</v>
      </c>
      <c r="Y5673">
        <v>0</v>
      </c>
      <c r="Z5673">
        <v>0</v>
      </c>
      <c r="AA5673">
        <v>0</v>
      </c>
      <c r="AB5673">
        <v>0</v>
      </c>
      <c r="AC5673">
        <v>0</v>
      </c>
      <c r="AD5673">
        <v>0</v>
      </c>
      <c r="AE5673">
        <v>0</v>
      </c>
      <c r="AF5673">
        <v>0</v>
      </c>
      <c r="AG5673">
        <v>0</v>
      </c>
      <c r="AH5673">
        <v>0</v>
      </c>
      <c r="AI5673">
        <v>100</v>
      </c>
      <c r="AJ5673">
        <v>1</v>
      </c>
      <c r="AK5673">
        <v>0</v>
      </c>
      <c r="AL5673">
        <v>0</v>
      </c>
      <c r="AM5673">
        <v>100</v>
      </c>
      <c r="AN5673">
        <v>0</v>
      </c>
      <c r="AO5673">
        <v>0</v>
      </c>
      <c r="AP5673">
        <v>0</v>
      </c>
      <c r="AQ5673">
        <v>0</v>
      </c>
      <c r="AS5673">
        <v>0</v>
      </c>
      <c r="AT5673">
        <v>0</v>
      </c>
      <c r="AV5673">
        <v>0</v>
      </c>
      <c r="AW5673">
        <v>0</v>
      </c>
      <c r="AY5673">
        <v>0</v>
      </c>
      <c r="AZ5673">
        <v>0</v>
      </c>
      <c r="BA5673">
        <v>70</v>
      </c>
      <c r="BE5673" t="str">
        <f>T("9791137014381")</f>
        <v>9791137014381</v>
      </c>
      <c r="BF5673" t="str">
        <f>T("k239960")</f>
        <v>k239960</v>
      </c>
      <c r="BG5673" t="str">
        <f>T("판타지 웹소설 &gt; 퓨전 판타지")</f>
        <v>판타지 웹소설 &gt; 퓨전 판타지</v>
      </c>
    </row>
    <row r="5674" spans="1:59">
      <c r="A5674" t="s">
        <v>60</v>
      </c>
      <c r="B5674" s="1">
        <v>46130</v>
      </c>
      <c r="C5674">
        <v>2378044065</v>
      </c>
      <c r="D5674">
        <v>2378062224</v>
      </c>
      <c r="E5674" t="str">
        <f>T("저승의 왕위를 계승했다 352화")</f>
        <v>저승의 왕위를 계승했다 352화</v>
      </c>
      <c r="F5674">
        <v>353</v>
      </c>
      <c r="G5674" t="str">
        <f>T("신타비")</f>
        <v>신타비</v>
      </c>
      <c r="J5674" t="str">
        <f>T("매드햇")</f>
        <v>매드햇</v>
      </c>
      <c r="K5674" t="str">
        <f>T("저승의 왕위를 계승했다")</f>
        <v>저승의 왕위를 계승했다</v>
      </c>
      <c r="L5674">
        <v>100</v>
      </c>
      <c r="M5674">
        <v>100</v>
      </c>
      <c r="N5674">
        <v>1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0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0</v>
      </c>
      <c r="AE5674">
        <v>0</v>
      </c>
      <c r="AF5674">
        <v>0</v>
      </c>
      <c r="AG5674">
        <v>0</v>
      </c>
      <c r="AH5674">
        <v>0</v>
      </c>
      <c r="AI5674">
        <v>100</v>
      </c>
      <c r="AJ5674">
        <v>1</v>
      </c>
      <c r="AK5674">
        <v>0</v>
      </c>
      <c r="AL5674">
        <v>0</v>
      </c>
      <c r="AM5674">
        <v>100</v>
      </c>
      <c r="AN5674">
        <v>0</v>
      </c>
      <c r="AO5674">
        <v>0</v>
      </c>
      <c r="AP5674">
        <v>0</v>
      </c>
      <c r="AQ5674">
        <v>0</v>
      </c>
      <c r="AS5674">
        <v>0</v>
      </c>
      <c r="AT5674">
        <v>0</v>
      </c>
      <c r="AV5674">
        <v>0</v>
      </c>
      <c r="AW5674">
        <v>0</v>
      </c>
      <c r="AY5674">
        <v>0</v>
      </c>
      <c r="AZ5674">
        <v>0</v>
      </c>
      <c r="BA5674">
        <v>70</v>
      </c>
      <c r="BE5674" t="str">
        <f>T("9791137014381")</f>
        <v>9791137014381</v>
      </c>
      <c r="BF5674" t="str">
        <f>T("k239961")</f>
        <v>k239961</v>
      </c>
      <c r="BG5674" t="str">
        <f>T("판타지 웹소설 &gt; 퓨전 판타지")</f>
        <v>판타지 웹소설 &gt; 퓨전 판타지</v>
      </c>
    </row>
    <row r="5675" spans="1:59">
      <c r="A5675" t="s">
        <v>60</v>
      </c>
      <c r="B5675" s="1">
        <v>46130</v>
      </c>
      <c r="C5675">
        <v>2378044065</v>
      </c>
      <c r="D5675">
        <v>2378062231</v>
      </c>
      <c r="E5675" t="str">
        <f>T("저승의 왕위를 계승했다 353화")</f>
        <v>저승의 왕위를 계승했다 353화</v>
      </c>
      <c r="F5675">
        <v>354</v>
      </c>
      <c r="G5675" t="str">
        <f>T("신타비")</f>
        <v>신타비</v>
      </c>
      <c r="J5675" t="str">
        <f>T("매드햇")</f>
        <v>매드햇</v>
      </c>
      <c r="K5675" t="str">
        <f>T("저승의 왕위를 계승했다")</f>
        <v>저승의 왕위를 계승했다</v>
      </c>
      <c r="L5675">
        <v>100</v>
      </c>
      <c r="M5675">
        <v>100</v>
      </c>
      <c r="N5675">
        <v>1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0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0</v>
      </c>
      <c r="AE5675">
        <v>0</v>
      </c>
      <c r="AF5675">
        <v>0</v>
      </c>
      <c r="AG5675">
        <v>0</v>
      </c>
      <c r="AH5675">
        <v>0</v>
      </c>
      <c r="AI5675">
        <v>100</v>
      </c>
      <c r="AJ5675">
        <v>1</v>
      </c>
      <c r="AK5675">
        <v>0</v>
      </c>
      <c r="AL5675">
        <v>0</v>
      </c>
      <c r="AM5675">
        <v>100</v>
      </c>
      <c r="AN5675">
        <v>0</v>
      </c>
      <c r="AO5675">
        <v>0</v>
      </c>
      <c r="AP5675">
        <v>0</v>
      </c>
      <c r="AQ5675">
        <v>0</v>
      </c>
      <c r="AS5675">
        <v>0</v>
      </c>
      <c r="AT5675">
        <v>0</v>
      </c>
      <c r="AV5675">
        <v>0</v>
      </c>
      <c r="AW5675">
        <v>0</v>
      </c>
      <c r="AY5675">
        <v>0</v>
      </c>
      <c r="AZ5675">
        <v>0</v>
      </c>
      <c r="BA5675">
        <v>70</v>
      </c>
      <c r="BE5675" t="str">
        <f>T("9791137014381")</f>
        <v>9791137014381</v>
      </c>
      <c r="BF5675" t="str">
        <f>T("k239962")</f>
        <v>k239962</v>
      </c>
      <c r="BG5675" t="str">
        <f>T("판타지 웹소설 &gt; 퓨전 판타지")</f>
        <v>판타지 웹소설 &gt; 퓨전 판타지</v>
      </c>
    </row>
    <row r="5676" spans="1:59">
      <c r="A5676" t="s">
        <v>60</v>
      </c>
      <c r="B5676" s="1">
        <v>46130</v>
      </c>
      <c r="C5676">
        <v>2378044065</v>
      </c>
      <c r="D5676">
        <v>2378062554</v>
      </c>
      <c r="E5676" t="str">
        <f>T("저승의 왕위를 계승했다 354화")</f>
        <v>저승의 왕위를 계승했다 354화</v>
      </c>
      <c r="F5676">
        <v>355</v>
      </c>
      <c r="G5676" t="str">
        <f>T("신타비")</f>
        <v>신타비</v>
      </c>
      <c r="J5676" t="str">
        <f>T("매드햇")</f>
        <v>매드햇</v>
      </c>
      <c r="K5676" t="str">
        <f>T("저승의 왕위를 계승했다")</f>
        <v>저승의 왕위를 계승했다</v>
      </c>
      <c r="L5676">
        <v>100</v>
      </c>
      <c r="M5676">
        <v>100</v>
      </c>
      <c r="N5676">
        <v>1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0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0</v>
      </c>
      <c r="AE5676">
        <v>0</v>
      </c>
      <c r="AF5676">
        <v>0</v>
      </c>
      <c r="AG5676">
        <v>0</v>
      </c>
      <c r="AH5676">
        <v>0</v>
      </c>
      <c r="AI5676">
        <v>100</v>
      </c>
      <c r="AJ5676">
        <v>1</v>
      </c>
      <c r="AK5676">
        <v>0</v>
      </c>
      <c r="AL5676">
        <v>0</v>
      </c>
      <c r="AM5676">
        <v>100</v>
      </c>
      <c r="AN5676">
        <v>0</v>
      </c>
      <c r="AO5676">
        <v>0</v>
      </c>
      <c r="AP5676">
        <v>0</v>
      </c>
      <c r="AQ5676">
        <v>0</v>
      </c>
      <c r="AS5676">
        <v>0</v>
      </c>
      <c r="AT5676">
        <v>0</v>
      </c>
      <c r="AV5676">
        <v>0</v>
      </c>
      <c r="AW5676">
        <v>0</v>
      </c>
      <c r="AY5676">
        <v>0</v>
      </c>
      <c r="AZ5676">
        <v>0</v>
      </c>
      <c r="BA5676">
        <v>70</v>
      </c>
      <c r="BE5676" t="str">
        <f>T("9791137014381")</f>
        <v>9791137014381</v>
      </c>
      <c r="BF5676" t="str">
        <f>T("k239963")</f>
        <v>k239963</v>
      </c>
      <c r="BG5676" t="str">
        <f>T("판타지 웹소설 &gt; 퓨전 판타지")</f>
        <v>판타지 웹소설 &gt; 퓨전 판타지</v>
      </c>
    </row>
    <row r="5677" spans="1:59">
      <c r="A5677" t="s">
        <v>60</v>
      </c>
      <c r="B5677" s="1">
        <v>46130</v>
      </c>
      <c r="C5677">
        <v>2378044065</v>
      </c>
      <c r="D5677">
        <v>2378062577</v>
      </c>
      <c r="E5677" t="str">
        <f>T("저승의 왕위를 계승했다 355화")</f>
        <v>저승의 왕위를 계승했다 355화</v>
      </c>
      <c r="F5677">
        <v>356</v>
      </c>
      <c r="G5677" t="str">
        <f>T("신타비")</f>
        <v>신타비</v>
      </c>
      <c r="J5677" t="str">
        <f>T("매드햇")</f>
        <v>매드햇</v>
      </c>
      <c r="K5677" t="str">
        <f>T("저승의 왕위를 계승했다")</f>
        <v>저승의 왕위를 계승했다</v>
      </c>
      <c r="L5677">
        <v>100</v>
      </c>
      <c r="M5677">
        <v>100</v>
      </c>
      <c r="N5677">
        <v>1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0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0</v>
      </c>
      <c r="AE5677">
        <v>0</v>
      </c>
      <c r="AF5677">
        <v>0</v>
      </c>
      <c r="AG5677">
        <v>0</v>
      </c>
      <c r="AH5677">
        <v>0</v>
      </c>
      <c r="AI5677">
        <v>100</v>
      </c>
      <c r="AJ5677">
        <v>1</v>
      </c>
      <c r="AK5677">
        <v>0</v>
      </c>
      <c r="AL5677">
        <v>0</v>
      </c>
      <c r="AM5677">
        <v>100</v>
      </c>
      <c r="AN5677">
        <v>0</v>
      </c>
      <c r="AO5677">
        <v>0</v>
      </c>
      <c r="AP5677">
        <v>0</v>
      </c>
      <c r="AQ5677">
        <v>0</v>
      </c>
      <c r="AS5677">
        <v>0</v>
      </c>
      <c r="AT5677">
        <v>0</v>
      </c>
      <c r="AV5677">
        <v>0</v>
      </c>
      <c r="AW5677">
        <v>0</v>
      </c>
      <c r="AY5677">
        <v>0</v>
      </c>
      <c r="AZ5677">
        <v>0</v>
      </c>
      <c r="BA5677">
        <v>70</v>
      </c>
      <c r="BE5677" t="str">
        <f>T("9791137014381")</f>
        <v>9791137014381</v>
      </c>
      <c r="BF5677" t="str">
        <f>T("k244254")</f>
        <v>k244254</v>
      </c>
      <c r="BG5677" t="str">
        <f>T("판타지 웹소설 &gt; 퓨전 판타지")</f>
        <v>판타지 웹소설 &gt; 퓨전 판타지</v>
      </c>
    </row>
    <row r="5678" spans="1:59">
      <c r="A5678" t="s">
        <v>60</v>
      </c>
      <c r="B5678" s="1">
        <v>46130</v>
      </c>
      <c r="C5678">
        <v>2378044065</v>
      </c>
      <c r="D5678">
        <v>2378062590</v>
      </c>
      <c r="E5678" t="str">
        <f>T("저승의 왕위를 계승했다 356화")</f>
        <v>저승의 왕위를 계승했다 356화</v>
      </c>
      <c r="F5678">
        <v>357</v>
      </c>
      <c r="G5678" t="str">
        <f>T("신타비")</f>
        <v>신타비</v>
      </c>
      <c r="J5678" t="str">
        <f>T("매드햇")</f>
        <v>매드햇</v>
      </c>
      <c r="K5678" t="str">
        <f>T("저승의 왕위를 계승했다")</f>
        <v>저승의 왕위를 계승했다</v>
      </c>
      <c r="L5678">
        <v>100</v>
      </c>
      <c r="M5678">
        <v>100</v>
      </c>
      <c r="N5678">
        <v>1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0</v>
      </c>
      <c r="AE5678">
        <v>0</v>
      </c>
      <c r="AF5678">
        <v>0</v>
      </c>
      <c r="AG5678">
        <v>0</v>
      </c>
      <c r="AH5678">
        <v>0</v>
      </c>
      <c r="AI5678">
        <v>100</v>
      </c>
      <c r="AJ5678">
        <v>1</v>
      </c>
      <c r="AK5678">
        <v>0</v>
      </c>
      <c r="AL5678">
        <v>0</v>
      </c>
      <c r="AM5678">
        <v>100</v>
      </c>
      <c r="AN5678">
        <v>0</v>
      </c>
      <c r="AO5678">
        <v>0</v>
      </c>
      <c r="AP5678">
        <v>0</v>
      </c>
      <c r="AQ5678">
        <v>0</v>
      </c>
      <c r="AS5678">
        <v>0</v>
      </c>
      <c r="AT5678">
        <v>0</v>
      </c>
      <c r="AV5678">
        <v>0</v>
      </c>
      <c r="AW5678">
        <v>0</v>
      </c>
      <c r="AY5678">
        <v>0</v>
      </c>
      <c r="AZ5678">
        <v>0</v>
      </c>
      <c r="BA5678">
        <v>70</v>
      </c>
      <c r="BE5678" t="str">
        <f>T("9791137014381")</f>
        <v>9791137014381</v>
      </c>
      <c r="BF5678" t="str">
        <f>T("k244255")</f>
        <v>k244255</v>
      </c>
      <c r="BG5678" t="str">
        <f>T("판타지 웹소설 &gt; 퓨전 판타지")</f>
        <v>판타지 웹소설 &gt; 퓨전 판타지</v>
      </c>
    </row>
    <row r="5679" spans="1:59">
      <c r="A5679" t="s">
        <v>60</v>
      </c>
      <c r="B5679" s="1">
        <v>46130</v>
      </c>
      <c r="C5679">
        <v>2378044065</v>
      </c>
      <c r="D5679">
        <v>2378062621</v>
      </c>
      <c r="E5679" t="str">
        <f>T("저승의 왕위를 계승했다 357화")</f>
        <v>저승의 왕위를 계승했다 357화</v>
      </c>
      <c r="F5679">
        <v>358</v>
      </c>
      <c r="G5679" t="str">
        <f>T("신타비")</f>
        <v>신타비</v>
      </c>
      <c r="J5679" t="str">
        <f>T("매드햇")</f>
        <v>매드햇</v>
      </c>
      <c r="K5679" t="str">
        <f>T("저승의 왕위를 계승했다")</f>
        <v>저승의 왕위를 계승했다</v>
      </c>
      <c r="L5679">
        <v>100</v>
      </c>
      <c r="M5679">
        <v>100</v>
      </c>
      <c r="N5679">
        <v>1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0</v>
      </c>
      <c r="AE5679">
        <v>0</v>
      </c>
      <c r="AF5679">
        <v>0</v>
      </c>
      <c r="AG5679">
        <v>0</v>
      </c>
      <c r="AH5679">
        <v>0</v>
      </c>
      <c r="AI5679">
        <v>100</v>
      </c>
      <c r="AJ5679">
        <v>1</v>
      </c>
      <c r="AK5679">
        <v>0</v>
      </c>
      <c r="AL5679">
        <v>0</v>
      </c>
      <c r="AM5679">
        <v>100</v>
      </c>
      <c r="AN5679">
        <v>0</v>
      </c>
      <c r="AO5679">
        <v>0</v>
      </c>
      <c r="AP5679">
        <v>0</v>
      </c>
      <c r="AQ5679">
        <v>0</v>
      </c>
      <c r="AS5679">
        <v>0</v>
      </c>
      <c r="AT5679">
        <v>0</v>
      </c>
      <c r="AV5679">
        <v>0</v>
      </c>
      <c r="AW5679">
        <v>0</v>
      </c>
      <c r="AY5679">
        <v>0</v>
      </c>
      <c r="AZ5679">
        <v>0</v>
      </c>
      <c r="BA5679">
        <v>70</v>
      </c>
      <c r="BE5679" t="str">
        <f>T("9791137014381")</f>
        <v>9791137014381</v>
      </c>
      <c r="BF5679" t="str">
        <f>T("k244256")</f>
        <v>k244256</v>
      </c>
      <c r="BG5679" t="str">
        <f>T("판타지 웹소설 &gt; 퓨전 판타지")</f>
        <v>판타지 웹소설 &gt; 퓨전 판타지</v>
      </c>
    </row>
    <row r="5680" spans="1:59">
      <c r="A5680" t="s">
        <v>60</v>
      </c>
      <c r="B5680" s="1">
        <v>46130</v>
      </c>
      <c r="C5680">
        <v>2378044065</v>
      </c>
      <c r="D5680">
        <v>2378062622</v>
      </c>
      <c r="E5680" t="str">
        <f>T("저승의 왕위를 계승했다 358화")</f>
        <v>저승의 왕위를 계승했다 358화</v>
      </c>
      <c r="F5680">
        <v>359</v>
      </c>
      <c r="G5680" t="str">
        <f>T("신타비")</f>
        <v>신타비</v>
      </c>
      <c r="J5680" t="str">
        <f>T("매드햇")</f>
        <v>매드햇</v>
      </c>
      <c r="K5680" t="str">
        <f>T("저승의 왕위를 계승했다")</f>
        <v>저승의 왕위를 계승했다</v>
      </c>
      <c r="L5680">
        <v>100</v>
      </c>
      <c r="M5680">
        <v>100</v>
      </c>
      <c r="N5680">
        <v>1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0</v>
      </c>
      <c r="AE5680">
        <v>0</v>
      </c>
      <c r="AF5680">
        <v>0</v>
      </c>
      <c r="AG5680">
        <v>0</v>
      </c>
      <c r="AH5680">
        <v>0</v>
      </c>
      <c r="AI5680">
        <v>100</v>
      </c>
      <c r="AJ5680">
        <v>1</v>
      </c>
      <c r="AK5680">
        <v>0</v>
      </c>
      <c r="AL5680">
        <v>0</v>
      </c>
      <c r="AM5680">
        <v>100</v>
      </c>
      <c r="AN5680">
        <v>0</v>
      </c>
      <c r="AO5680">
        <v>0</v>
      </c>
      <c r="AP5680">
        <v>0</v>
      </c>
      <c r="AQ5680">
        <v>0</v>
      </c>
      <c r="AS5680">
        <v>0</v>
      </c>
      <c r="AT5680">
        <v>0</v>
      </c>
      <c r="AV5680">
        <v>0</v>
      </c>
      <c r="AW5680">
        <v>0</v>
      </c>
      <c r="AY5680">
        <v>0</v>
      </c>
      <c r="AZ5680">
        <v>0</v>
      </c>
      <c r="BA5680">
        <v>70</v>
      </c>
      <c r="BE5680" t="str">
        <f>T("9791137014381")</f>
        <v>9791137014381</v>
      </c>
      <c r="BF5680" t="str">
        <f>T("k244257")</f>
        <v>k244257</v>
      </c>
      <c r="BG5680" t="str">
        <f>T("판타지 웹소설 &gt; 퓨전 판타지")</f>
        <v>판타지 웹소설 &gt; 퓨전 판타지</v>
      </c>
    </row>
    <row r="5681" spans="1:59">
      <c r="A5681" t="s">
        <v>60</v>
      </c>
      <c r="B5681" s="1">
        <v>46130</v>
      </c>
      <c r="C5681">
        <v>2378044065</v>
      </c>
      <c r="D5681">
        <v>2378062644</v>
      </c>
      <c r="E5681" t="str">
        <f>T("저승의 왕위를 계승했다 359화")</f>
        <v>저승의 왕위를 계승했다 359화</v>
      </c>
      <c r="F5681">
        <v>360</v>
      </c>
      <c r="G5681" t="str">
        <f>T("신타비")</f>
        <v>신타비</v>
      </c>
      <c r="J5681" t="str">
        <f>T("매드햇")</f>
        <v>매드햇</v>
      </c>
      <c r="K5681" t="str">
        <f>T("저승의 왕위를 계승했다")</f>
        <v>저승의 왕위를 계승했다</v>
      </c>
      <c r="L5681">
        <v>100</v>
      </c>
      <c r="M5681">
        <v>100</v>
      </c>
      <c r="N5681">
        <v>1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0</v>
      </c>
      <c r="AE5681">
        <v>0</v>
      </c>
      <c r="AF5681">
        <v>0</v>
      </c>
      <c r="AG5681">
        <v>0</v>
      </c>
      <c r="AH5681">
        <v>0</v>
      </c>
      <c r="AI5681">
        <v>100</v>
      </c>
      <c r="AJ5681">
        <v>1</v>
      </c>
      <c r="AK5681">
        <v>0</v>
      </c>
      <c r="AL5681">
        <v>0</v>
      </c>
      <c r="AM5681">
        <v>100</v>
      </c>
      <c r="AN5681">
        <v>0</v>
      </c>
      <c r="AO5681">
        <v>0</v>
      </c>
      <c r="AP5681">
        <v>0</v>
      </c>
      <c r="AQ5681">
        <v>0</v>
      </c>
      <c r="AS5681">
        <v>0</v>
      </c>
      <c r="AT5681">
        <v>0</v>
      </c>
      <c r="AV5681">
        <v>0</v>
      </c>
      <c r="AW5681">
        <v>0</v>
      </c>
      <c r="AY5681">
        <v>0</v>
      </c>
      <c r="AZ5681">
        <v>0</v>
      </c>
      <c r="BA5681">
        <v>70</v>
      </c>
      <c r="BE5681" t="str">
        <f>T("9791137014381")</f>
        <v>9791137014381</v>
      </c>
      <c r="BF5681" t="str">
        <f>T("k248637")</f>
        <v>k248637</v>
      </c>
      <c r="BG5681" t="str">
        <f>T("판타지 웹소설 &gt; 퓨전 판타지")</f>
        <v>판타지 웹소설 &gt; 퓨전 판타지</v>
      </c>
    </row>
    <row r="5682" spans="1:59">
      <c r="A5682" t="s">
        <v>60</v>
      </c>
      <c r="B5682" s="1">
        <v>46130</v>
      </c>
      <c r="C5682">
        <v>2378044065</v>
      </c>
      <c r="D5682">
        <v>2378062763</v>
      </c>
      <c r="E5682" t="str">
        <f>T("저승의 왕위를 계승했다 360화")</f>
        <v>저승의 왕위를 계승했다 360화</v>
      </c>
      <c r="F5682">
        <v>361</v>
      </c>
      <c r="G5682" t="str">
        <f>T("신타비")</f>
        <v>신타비</v>
      </c>
      <c r="J5682" t="str">
        <f>T("매드햇")</f>
        <v>매드햇</v>
      </c>
      <c r="K5682" t="str">
        <f>T("저승의 왕위를 계승했다")</f>
        <v>저승의 왕위를 계승했다</v>
      </c>
      <c r="L5682">
        <v>100</v>
      </c>
      <c r="M5682">
        <v>100</v>
      </c>
      <c r="N5682">
        <v>1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0</v>
      </c>
      <c r="AE5682">
        <v>0</v>
      </c>
      <c r="AF5682">
        <v>0</v>
      </c>
      <c r="AG5682">
        <v>0</v>
      </c>
      <c r="AH5682">
        <v>0</v>
      </c>
      <c r="AI5682">
        <v>100</v>
      </c>
      <c r="AJ5682">
        <v>1</v>
      </c>
      <c r="AK5682">
        <v>0</v>
      </c>
      <c r="AL5682">
        <v>0</v>
      </c>
      <c r="AM5682">
        <v>100</v>
      </c>
      <c r="AN5682">
        <v>0</v>
      </c>
      <c r="AO5682">
        <v>0</v>
      </c>
      <c r="AP5682">
        <v>0</v>
      </c>
      <c r="AQ5682">
        <v>0</v>
      </c>
      <c r="AS5682">
        <v>0</v>
      </c>
      <c r="AT5682">
        <v>0</v>
      </c>
      <c r="AV5682">
        <v>0</v>
      </c>
      <c r="AW5682">
        <v>0</v>
      </c>
      <c r="AY5682">
        <v>0</v>
      </c>
      <c r="AZ5682">
        <v>0</v>
      </c>
      <c r="BA5682">
        <v>70</v>
      </c>
      <c r="BE5682" t="str">
        <f>T("9791137014381")</f>
        <v>9791137014381</v>
      </c>
      <c r="BF5682" t="str">
        <f>T("k248638")</f>
        <v>k248638</v>
      </c>
      <c r="BG5682" t="str">
        <f>T("판타지 웹소설 &gt; 퓨전 판타지")</f>
        <v>판타지 웹소설 &gt; 퓨전 판타지</v>
      </c>
    </row>
    <row r="5683" spans="1:59">
      <c r="A5683" t="s">
        <v>60</v>
      </c>
      <c r="B5683" s="1">
        <v>46130</v>
      </c>
      <c r="C5683">
        <v>2378044065</v>
      </c>
      <c r="D5683">
        <v>2378063398</v>
      </c>
      <c r="E5683" t="str">
        <f>T("저승의 왕위를 계승했다 361화")</f>
        <v>저승의 왕위를 계승했다 361화</v>
      </c>
      <c r="F5683">
        <v>362</v>
      </c>
      <c r="G5683" t="str">
        <f>T("신타비")</f>
        <v>신타비</v>
      </c>
      <c r="J5683" t="str">
        <f>T("매드햇")</f>
        <v>매드햇</v>
      </c>
      <c r="K5683" t="str">
        <f>T("저승의 왕위를 계승했다")</f>
        <v>저승의 왕위를 계승했다</v>
      </c>
      <c r="L5683">
        <v>100</v>
      </c>
      <c r="M5683">
        <v>100</v>
      </c>
      <c r="N5683">
        <v>1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0</v>
      </c>
      <c r="AE5683">
        <v>0</v>
      </c>
      <c r="AF5683">
        <v>0</v>
      </c>
      <c r="AG5683">
        <v>0</v>
      </c>
      <c r="AH5683">
        <v>0</v>
      </c>
      <c r="AI5683">
        <v>100</v>
      </c>
      <c r="AJ5683">
        <v>1</v>
      </c>
      <c r="AK5683">
        <v>0</v>
      </c>
      <c r="AL5683">
        <v>0</v>
      </c>
      <c r="AM5683">
        <v>100</v>
      </c>
      <c r="AN5683">
        <v>0</v>
      </c>
      <c r="AO5683">
        <v>0</v>
      </c>
      <c r="AP5683">
        <v>0</v>
      </c>
      <c r="AQ5683">
        <v>0</v>
      </c>
      <c r="AS5683">
        <v>0</v>
      </c>
      <c r="AT5683">
        <v>0</v>
      </c>
      <c r="AV5683">
        <v>0</v>
      </c>
      <c r="AW5683">
        <v>0</v>
      </c>
      <c r="AY5683">
        <v>0</v>
      </c>
      <c r="AZ5683">
        <v>0</v>
      </c>
      <c r="BA5683">
        <v>70</v>
      </c>
      <c r="BE5683" t="str">
        <f>T("9791137014381")</f>
        <v>9791137014381</v>
      </c>
      <c r="BF5683" t="str">
        <f>T("k248639")</f>
        <v>k248639</v>
      </c>
      <c r="BG5683" t="str">
        <f>T("판타지 웹소설 &gt; 퓨전 판타지")</f>
        <v>판타지 웹소설 &gt; 퓨전 판타지</v>
      </c>
    </row>
    <row r="5684" spans="1:59">
      <c r="A5684" t="s">
        <v>60</v>
      </c>
      <c r="B5684" s="1">
        <v>46130</v>
      </c>
      <c r="C5684">
        <v>2378044065</v>
      </c>
      <c r="D5684">
        <v>2378063407</v>
      </c>
      <c r="E5684" t="str">
        <f>T("저승의 왕위를 계승했다 362화")</f>
        <v>저승의 왕위를 계승했다 362화</v>
      </c>
      <c r="F5684">
        <v>363</v>
      </c>
      <c r="G5684" t="str">
        <f>T("신타비")</f>
        <v>신타비</v>
      </c>
      <c r="J5684" t="str">
        <f>T("매드햇")</f>
        <v>매드햇</v>
      </c>
      <c r="K5684" t="str">
        <f>T("저승의 왕위를 계승했다")</f>
        <v>저승의 왕위를 계승했다</v>
      </c>
      <c r="L5684">
        <v>100</v>
      </c>
      <c r="M5684">
        <v>100</v>
      </c>
      <c r="N5684">
        <v>1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0</v>
      </c>
      <c r="AE5684">
        <v>0</v>
      </c>
      <c r="AF5684">
        <v>0</v>
      </c>
      <c r="AG5684">
        <v>0</v>
      </c>
      <c r="AH5684">
        <v>0</v>
      </c>
      <c r="AI5684">
        <v>100</v>
      </c>
      <c r="AJ5684">
        <v>1</v>
      </c>
      <c r="AK5684">
        <v>0</v>
      </c>
      <c r="AL5684">
        <v>0</v>
      </c>
      <c r="AM5684">
        <v>100</v>
      </c>
      <c r="AN5684">
        <v>0</v>
      </c>
      <c r="AO5684">
        <v>0</v>
      </c>
      <c r="AP5684">
        <v>0</v>
      </c>
      <c r="AQ5684">
        <v>0</v>
      </c>
      <c r="AS5684">
        <v>0</v>
      </c>
      <c r="AT5684">
        <v>0</v>
      </c>
      <c r="AV5684">
        <v>0</v>
      </c>
      <c r="AW5684">
        <v>0</v>
      </c>
      <c r="AY5684">
        <v>0</v>
      </c>
      <c r="AZ5684">
        <v>0</v>
      </c>
      <c r="BA5684">
        <v>70</v>
      </c>
      <c r="BE5684" t="str">
        <f>T("9791137014381")</f>
        <v>9791137014381</v>
      </c>
      <c r="BF5684" t="str">
        <f>T("k248640")</f>
        <v>k248640</v>
      </c>
      <c r="BG5684" t="str">
        <f>T("판타지 웹소설 &gt; 퓨전 판타지")</f>
        <v>판타지 웹소설 &gt; 퓨전 판타지</v>
      </c>
    </row>
    <row r="5685" spans="1:59">
      <c r="A5685" t="s">
        <v>60</v>
      </c>
      <c r="B5685" s="1">
        <v>46130</v>
      </c>
      <c r="C5685">
        <v>2378044065</v>
      </c>
      <c r="D5685">
        <v>2378063565</v>
      </c>
      <c r="E5685" t="str">
        <f>T("저승의 왕위를 계승했다 363화")</f>
        <v>저승의 왕위를 계승했다 363화</v>
      </c>
      <c r="F5685">
        <v>364</v>
      </c>
      <c r="G5685" t="str">
        <f>T("신타비")</f>
        <v>신타비</v>
      </c>
      <c r="J5685" t="str">
        <f>T("매드햇")</f>
        <v>매드햇</v>
      </c>
      <c r="K5685" t="str">
        <f>T("저승의 왕위를 계승했다")</f>
        <v>저승의 왕위를 계승했다</v>
      </c>
      <c r="L5685">
        <v>100</v>
      </c>
      <c r="M5685">
        <v>100</v>
      </c>
      <c r="N5685">
        <v>1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0</v>
      </c>
      <c r="AE5685">
        <v>0</v>
      </c>
      <c r="AF5685">
        <v>0</v>
      </c>
      <c r="AG5685">
        <v>0</v>
      </c>
      <c r="AH5685">
        <v>0</v>
      </c>
      <c r="AI5685">
        <v>100</v>
      </c>
      <c r="AJ5685">
        <v>1</v>
      </c>
      <c r="AK5685">
        <v>0</v>
      </c>
      <c r="AL5685">
        <v>0</v>
      </c>
      <c r="AM5685">
        <v>100</v>
      </c>
      <c r="AN5685">
        <v>0</v>
      </c>
      <c r="AO5685">
        <v>0</v>
      </c>
      <c r="AP5685">
        <v>0</v>
      </c>
      <c r="AQ5685">
        <v>0</v>
      </c>
      <c r="AS5685">
        <v>0</v>
      </c>
      <c r="AT5685">
        <v>0</v>
      </c>
      <c r="AV5685">
        <v>0</v>
      </c>
      <c r="AW5685">
        <v>0</v>
      </c>
      <c r="AY5685">
        <v>0</v>
      </c>
      <c r="AZ5685">
        <v>0</v>
      </c>
      <c r="BA5685">
        <v>70</v>
      </c>
      <c r="BE5685" t="str">
        <f>T("9791137014381")</f>
        <v>9791137014381</v>
      </c>
      <c r="BF5685" t="str">
        <f>T("k250389")</f>
        <v>k250389</v>
      </c>
      <c r="BG5685" t="str">
        <f>T("판타지 웹소설 &gt; 퓨전 판타지")</f>
        <v>판타지 웹소설 &gt; 퓨전 판타지</v>
      </c>
    </row>
    <row r="5686" spans="1:59">
      <c r="A5686" t="s">
        <v>60</v>
      </c>
      <c r="B5686" s="1">
        <v>46130</v>
      </c>
      <c r="C5686">
        <v>2378044065</v>
      </c>
      <c r="D5686">
        <v>2378063584</v>
      </c>
      <c r="E5686" t="str">
        <f>T("저승의 왕위를 계승했다 364화")</f>
        <v>저승의 왕위를 계승했다 364화</v>
      </c>
      <c r="F5686">
        <v>365</v>
      </c>
      <c r="G5686" t="str">
        <f>T("신타비")</f>
        <v>신타비</v>
      </c>
      <c r="J5686" t="str">
        <f>T("매드햇")</f>
        <v>매드햇</v>
      </c>
      <c r="K5686" t="str">
        <f>T("저승의 왕위를 계승했다")</f>
        <v>저승의 왕위를 계승했다</v>
      </c>
      <c r="L5686">
        <v>100</v>
      </c>
      <c r="M5686">
        <v>100</v>
      </c>
      <c r="N5686">
        <v>1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0</v>
      </c>
      <c r="AE5686">
        <v>0</v>
      </c>
      <c r="AF5686">
        <v>0</v>
      </c>
      <c r="AG5686">
        <v>0</v>
      </c>
      <c r="AH5686">
        <v>0</v>
      </c>
      <c r="AI5686">
        <v>100</v>
      </c>
      <c r="AJ5686">
        <v>1</v>
      </c>
      <c r="AK5686">
        <v>0</v>
      </c>
      <c r="AL5686">
        <v>0</v>
      </c>
      <c r="AM5686">
        <v>100</v>
      </c>
      <c r="AN5686">
        <v>0</v>
      </c>
      <c r="AO5686">
        <v>0</v>
      </c>
      <c r="AP5686">
        <v>0</v>
      </c>
      <c r="AQ5686">
        <v>0</v>
      </c>
      <c r="AS5686">
        <v>0</v>
      </c>
      <c r="AT5686">
        <v>0</v>
      </c>
      <c r="AV5686">
        <v>0</v>
      </c>
      <c r="AW5686">
        <v>0</v>
      </c>
      <c r="AY5686">
        <v>0</v>
      </c>
      <c r="AZ5686">
        <v>0</v>
      </c>
      <c r="BA5686">
        <v>70</v>
      </c>
      <c r="BE5686" t="str">
        <f>T("9791137014381")</f>
        <v>9791137014381</v>
      </c>
      <c r="BF5686" t="str">
        <f>T("k250390")</f>
        <v>k250390</v>
      </c>
      <c r="BG5686" t="str">
        <f>T("판타지 웹소설 &gt; 퓨전 판타지")</f>
        <v>판타지 웹소설 &gt; 퓨전 판타지</v>
      </c>
    </row>
    <row r="5687" spans="1:59">
      <c r="A5687" t="s">
        <v>60</v>
      </c>
      <c r="B5687" s="1">
        <v>46130</v>
      </c>
      <c r="C5687">
        <v>2378044065</v>
      </c>
      <c r="D5687">
        <v>2378063618</v>
      </c>
      <c r="E5687" t="str">
        <f>T("저승의 왕위를 계승했다 365화")</f>
        <v>저승의 왕위를 계승했다 365화</v>
      </c>
      <c r="F5687">
        <v>366</v>
      </c>
      <c r="G5687" t="str">
        <f>T("신타비")</f>
        <v>신타비</v>
      </c>
      <c r="J5687" t="str">
        <f>T("매드햇")</f>
        <v>매드햇</v>
      </c>
      <c r="K5687" t="str">
        <f>T("저승의 왕위를 계승했다")</f>
        <v>저승의 왕위를 계승했다</v>
      </c>
      <c r="L5687">
        <v>100</v>
      </c>
      <c r="M5687">
        <v>100</v>
      </c>
      <c r="N5687">
        <v>1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0</v>
      </c>
      <c r="AE5687">
        <v>0</v>
      </c>
      <c r="AF5687">
        <v>0</v>
      </c>
      <c r="AG5687">
        <v>0</v>
      </c>
      <c r="AH5687">
        <v>0</v>
      </c>
      <c r="AI5687">
        <v>100</v>
      </c>
      <c r="AJ5687">
        <v>1</v>
      </c>
      <c r="AK5687">
        <v>0</v>
      </c>
      <c r="AL5687">
        <v>0</v>
      </c>
      <c r="AM5687">
        <v>100</v>
      </c>
      <c r="AN5687">
        <v>0</v>
      </c>
      <c r="AO5687">
        <v>0</v>
      </c>
      <c r="AP5687">
        <v>0</v>
      </c>
      <c r="AQ5687">
        <v>0</v>
      </c>
      <c r="AS5687">
        <v>0</v>
      </c>
      <c r="AT5687">
        <v>0</v>
      </c>
      <c r="AV5687">
        <v>0</v>
      </c>
      <c r="AW5687">
        <v>0</v>
      </c>
      <c r="AY5687">
        <v>0</v>
      </c>
      <c r="AZ5687">
        <v>0</v>
      </c>
      <c r="BA5687">
        <v>70</v>
      </c>
      <c r="BE5687" t="str">
        <f>T("9791137014381")</f>
        <v>9791137014381</v>
      </c>
      <c r="BF5687" t="str">
        <f>T("k250391")</f>
        <v>k250391</v>
      </c>
      <c r="BG5687" t="str">
        <f>T("판타지 웹소설 &gt; 퓨전 판타지")</f>
        <v>판타지 웹소설 &gt; 퓨전 판타지</v>
      </c>
    </row>
    <row r="5688" spans="1:59">
      <c r="A5688" t="s">
        <v>60</v>
      </c>
      <c r="B5688" s="1">
        <v>46130</v>
      </c>
      <c r="C5688">
        <v>2378044065</v>
      </c>
      <c r="D5688">
        <v>2378063647</v>
      </c>
      <c r="E5688" t="str">
        <f>T("저승의 왕위를 계승했다 366화")</f>
        <v>저승의 왕위를 계승했다 366화</v>
      </c>
      <c r="F5688">
        <v>367</v>
      </c>
      <c r="G5688" t="str">
        <f>T("신타비")</f>
        <v>신타비</v>
      </c>
      <c r="J5688" t="str">
        <f>T("매드햇")</f>
        <v>매드햇</v>
      </c>
      <c r="K5688" t="str">
        <f>T("저승의 왕위를 계승했다")</f>
        <v>저승의 왕위를 계승했다</v>
      </c>
      <c r="L5688">
        <v>100</v>
      </c>
      <c r="M5688">
        <v>100</v>
      </c>
      <c r="N5688">
        <v>1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0</v>
      </c>
      <c r="AE5688">
        <v>0</v>
      </c>
      <c r="AF5688">
        <v>0</v>
      </c>
      <c r="AG5688">
        <v>0</v>
      </c>
      <c r="AH5688">
        <v>0</v>
      </c>
      <c r="AI5688">
        <v>100</v>
      </c>
      <c r="AJ5688">
        <v>1</v>
      </c>
      <c r="AK5688">
        <v>0</v>
      </c>
      <c r="AL5688">
        <v>0</v>
      </c>
      <c r="AM5688">
        <v>100</v>
      </c>
      <c r="AN5688">
        <v>0</v>
      </c>
      <c r="AO5688">
        <v>0</v>
      </c>
      <c r="AP5688">
        <v>0</v>
      </c>
      <c r="AQ5688">
        <v>0</v>
      </c>
      <c r="AS5688">
        <v>0</v>
      </c>
      <c r="AT5688">
        <v>0</v>
      </c>
      <c r="AV5688">
        <v>0</v>
      </c>
      <c r="AW5688">
        <v>0</v>
      </c>
      <c r="AY5688">
        <v>0</v>
      </c>
      <c r="AZ5688">
        <v>0</v>
      </c>
      <c r="BA5688">
        <v>70</v>
      </c>
      <c r="BE5688" t="str">
        <f>T("9791137014381")</f>
        <v>9791137014381</v>
      </c>
      <c r="BF5688" t="str">
        <f>T("k250392")</f>
        <v>k250392</v>
      </c>
      <c r="BG5688" t="str">
        <f>T("판타지 웹소설 &gt; 퓨전 판타지")</f>
        <v>판타지 웹소설 &gt; 퓨전 판타지</v>
      </c>
    </row>
    <row r="5689" spans="1:59">
      <c r="A5689" t="s">
        <v>60</v>
      </c>
      <c r="B5689" s="1">
        <v>46130</v>
      </c>
      <c r="C5689">
        <v>2378044065</v>
      </c>
      <c r="D5689">
        <v>2378063668</v>
      </c>
      <c r="E5689" t="str">
        <f>T("저승의 왕위를 계승했다 367화")</f>
        <v>저승의 왕위를 계승했다 367화</v>
      </c>
      <c r="F5689">
        <v>368</v>
      </c>
      <c r="G5689" t="str">
        <f>T("신타비")</f>
        <v>신타비</v>
      </c>
      <c r="J5689" t="str">
        <f>T("매드햇")</f>
        <v>매드햇</v>
      </c>
      <c r="K5689" t="str">
        <f>T("저승의 왕위를 계승했다")</f>
        <v>저승의 왕위를 계승했다</v>
      </c>
      <c r="L5689">
        <v>100</v>
      </c>
      <c r="M5689">
        <v>100</v>
      </c>
      <c r="N5689">
        <v>1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0</v>
      </c>
      <c r="AE5689">
        <v>0</v>
      </c>
      <c r="AF5689">
        <v>0</v>
      </c>
      <c r="AG5689">
        <v>0</v>
      </c>
      <c r="AH5689">
        <v>0</v>
      </c>
      <c r="AI5689">
        <v>100</v>
      </c>
      <c r="AJ5689">
        <v>1</v>
      </c>
      <c r="AK5689">
        <v>0</v>
      </c>
      <c r="AL5689">
        <v>0</v>
      </c>
      <c r="AM5689">
        <v>100</v>
      </c>
      <c r="AN5689">
        <v>0</v>
      </c>
      <c r="AO5689">
        <v>0</v>
      </c>
      <c r="AP5689">
        <v>0</v>
      </c>
      <c r="AQ5689">
        <v>0</v>
      </c>
      <c r="AS5689">
        <v>0</v>
      </c>
      <c r="AT5689">
        <v>0</v>
      </c>
      <c r="AV5689">
        <v>0</v>
      </c>
      <c r="AW5689">
        <v>0</v>
      </c>
      <c r="AY5689">
        <v>0</v>
      </c>
      <c r="AZ5689">
        <v>0</v>
      </c>
      <c r="BA5689">
        <v>70</v>
      </c>
      <c r="BE5689" t="str">
        <f>T("9791137014381")</f>
        <v>9791137014381</v>
      </c>
      <c r="BF5689" t="str">
        <f>T("k250875")</f>
        <v>k250875</v>
      </c>
      <c r="BG5689" t="str">
        <f>T("판타지 웹소설 &gt; 퓨전 판타지")</f>
        <v>판타지 웹소설 &gt; 퓨전 판타지</v>
      </c>
    </row>
    <row r="5690" spans="1:59">
      <c r="A5690" t="s">
        <v>60</v>
      </c>
      <c r="B5690" s="1">
        <v>46130</v>
      </c>
      <c r="C5690">
        <v>2378044065</v>
      </c>
      <c r="D5690">
        <v>2378063688</v>
      </c>
      <c r="E5690" t="str">
        <f>T("저승의 왕위를 계승했다 368화")</f>
        <v>저승의 왕위를 계승했다 368화</v>
      </c>
      <c r="F5690">
        <v>369</v>
      </c>
      <c r="G5690" t="str">
        <f>T("신타비")</f>
        <v>신타비</v>
      </c>
      <c r="J5690" t="str">
        <f>T("매드햇")</f>
        <v>매드햇</v>
      </c>
      <c r="K5690" t="str">
        <f>T("저승의 왕위를 계승했다")</f>
        <v>저승의 왕위를 계승했다</v>
      </c>
      <c r="L5690">
        <v>100</v>
      </c>
      <c r="M5690">
        <v>100</v>
      </c>
      <c r="N5690">
        <v>1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0</v>
      </c>
      <c r="AE5690">
        <v>0</v>
      </c>
      <c r="AF5690">
        <v>0</v>
      </c>
      <c r="AG5690">
        <v>0</v>
      </c>
      <c r="AH5690">
        <v>0</v>
      </c>
      <c r="AI5690">
        <v>100</v>
      </c>
      <c r="AJ5690">
        <v>1</v>
      </c>
      <c r="AK5690">
        <v>0</v>
      </c>
      <c r="AL5690">
        <v>0</v>
      </c>
      <c r="AM5690">
        <v>100</v>
      </c>
      <c r="AN5690">
        <v>0</v>
      </c>
      <c r="AO5690">
        <v>0</v>
      </c>
      <c r="AP5690">
        <v>0</v>
      </c>
      <c r="AQ5690">
        <v>0</v>
      </c>
      <c r="AS5690">
        <v>0</v>
      </c>
      <c r="AT5690">
        <v>0</v>
      </c>
      <c r="AV5690">
        <v>0</v>
      </c>
      <c r="AW5690">
        <v>0</v>
      </c>
      <c r="AY5690">
        <v>0</v>
      </c>
      <c r="AZ5690">
        <v>0</v>
      </c>
      <c r="BA5690">
        <v>70</v>
      </c>
      <c r="BE5690" t="str">
        <f>T("9791137014381")</f>
        <v>9791137014381</v>
      </c>
      <c r="BF5690" t="str">
        <f>T("k250876")</f>
        <v>k250876</v>
      </c>
      <c r="BG5690" t="str">
        <f>T("판타지 웹소설 &gt; 퓨전 판타지")</f>
        <v>판타지 웹소설 &gt; 퓨전 판타지</v>
      </c>
    </row>
    <row r="5691" spans="1:59">
      <c r="A5691" t="s">
        <v>60</v>
      </c>
      <c r="B5691" s="1">
        <v>46130</v>
      </c>
      <c r="C5691">
        <v>2378044065</v>
      </c>
      <c r="D5691">
        <v>2378063726</v>
      </c>
      <c r="E5691" t="str">
        <f>T("저승의 왕위를 계승했다 369화")</f>
        <v>저승의 왕위를 계승했다 369화</v>
      </c>
      <c r="F5691">
        <v>370</v>
      </c>
      <c r="G5691" t="str">
        <f>T("신타비")</f>
        <v>신타비</v>
      </c>
      <c r="J5691" t="str">
        <f>T("매드햇")</f>
        <v>매드햇</v>
      </c>
      <c r="K5691" t="str">
        <f>T("저승의 왕위를 계승했다")</f>
        <v>저승의 왕위를 계승했다</v>
      </c>
      <c r="L5691">
        <v>100</v>
      </c>
      <c r="M5691">
        <v>100</v>
      </c>
      <c r="N5691">
        <v>1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0</v>
      </c>
      <c r="AE5691">
        <v>0</v>
      </c>
      <c r="AF5691">
        <v>0</v>
      </c>
      <c r="AG5691">
        <v>0</v>
      </c>
      <c r="AH5691">
        <v>0</v>
      </c>
      <c r="AI5691">
        <v>100</v>
      </c>
      <c r="AJ5691">
        <v>1</v>
      </c>
      <c r="AK5691">
        <v>0</v>
      </c>
      <c r="AL5691">
        <v>0</v>
      </c>
      <c r="AM5691">
        <v>100</v>
      </c>
      <c r="AN5691">
        <v>0</v>
      </c>
      <c r="AO5691">
        <v>0</v>
      </c>
      <c r="AP5691">
        <v>0</v>
      </c>
      <c r="AQ5691">
        <v>0</v>
      </c>
      <c r="AS5691">
        <v>0</v>
      </c>
      <c r="AT5691">
        <v>0</v>
      </c>
      <c r="AV5691">
        <v>0</v>
      </c>
      <c r="AW5691">
        <v>0</v>
      </c>
      <c r="AY5691">
        <v>0</v>
      </c>
      <c r="AZ5691">
        <v>0</v>
      </c>
      <c r="BA5691">
        <v>70</v>
      </c>
      <c r="BE5691" t="str">
        <f>T("9791137014381")</f>
        <v>9791137014381</v>
      </c>
      <c r="BF5691" t="str">
        <f>T("k250877")</f>
        <v>k250877</v>
      </c>
      <c r="BG5691" t="str">
        <f>T("판타지 웹소설 &gt; 퓨전 판타지")</f>
        <v>판타지 웹소설 &gt; 퓨전 판타지</v>
      </c>
    </row>
    <row r="5692" spans="1:59">
      <c r="A5692" t="s">
        <v>60</v>
      </c>
      <c r="B5692" s="1">
        <v>46130</v>
      </c>
      <c r="C5692">
        <v>2378044065</v>
      </c>
      <c r="D5692">
        <v>2378063754</v>
      </c>
      <c r="E5692" t="str">
        <f>T("저승의 왕위를 계승했다 370화")</f>
        <v>저승의 왕위를 계승했다 370화</v>
      </c>
      <c r="F5692">
        <v>371</v>
      </c>
      <c r="G5692" t="str">
        <f>T("신타비")</f>
        <v>신타비</v>
      </c>
      <c r="J5692" t="str">
        <f>T("매드햇")</f>
        <v>매드햇</v>
      </c>
      <c r="K5692" t="str">
        <f>T("저승의 왕위를 계승했다")</f>
        <v>저승의 왕위를 계승했다</v>
      </c>
      <c r="L5692">
        <v>100</v>
      </c>
      <c r="M5692">
        <v>100</v>
      </c>
      <c r="N5692">
        <v>1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0</v>
      </c>
      <c r="AE5692">
        <v>0</v>
      </c>
      <c r="AF5692">
        <v>0</v>
      </c>
      <c r="AG5692">
        <v>0</v>
      </c>
      <c r="AH5692">
        <v>0</v>
      </c>
      <c r="AI5692">
        <v>100</v>
      </c>
      <c r="AJ5692">
        <v>1</v>
      </c>
      <c r="AK5692">
        <v>0</v>
      </c>
      <c r="AL5692">
        <v>0</v>
      </c>
      <c r="AM5692">
        <v>100</v>
      </c>
      <c r="AN5692">
        <v>0</v>
      </c>
      <c r="AO5692">
        <v>0</v>
      </c>
      <c r="AP5692">
        <v>0</v>
      </c>
      <c r="AQ5692">
        <v>0</v>
      </c>
      <c r="AS5692">
        <v>0</v>
      </c>
      <c r="AT5692">
        <v>0</v>
      </c>
      <c r="AV5692">
        <v>0</v>
      </c>
      <c r="AW5692">
        <v>0</v>
      </c>
      <c r="AY5692">
        <v>0</v>
      </c>
      <c r="AZ5692">
        <v>0</v>
      </c>
      <c r="BA5692">
        <v>70</v>
      </c>
      <c r="BE5692" t="str">
        <f>T("9791137014381")</f>
        <v>9791137014381</v>
      </c>
      <c r="BF5692" t="str">
        <f>T("k250878")</f>
        <v>k250878</v>
      </c>
      <c r="BG5692" t="str">
        <f>T("판타지 웹소설 &gt; 퓨전 판타지")</f>
        <v>판타지 웹소설 &gt; 퓨전 판타지</v>
      </c>
    </row>
    <row r="5693" spans="1:59">
      <c r="A5693" t="s">
        <v>60</v>
      </c>
      <c r="B5693" s="1">
        <v>46130</v>
      </c>
      <c r="C5693">
        <v>2378044065</v>
      </c>
      <c r="D5693">
        <v>2378063776</v>
      </c>
      <c r="E5693" t="str">
        <f>T("저승의 왕위를 계승했다 371화")</f>
        <v>저승의 왕위를 계승했다 371화</v>
      </c>
      <c r="F5693">
        <v>372</v>
      </c>
      <c r="G5693" t="str">
        <f>T("신타비")</f>
        <v>신타비</v>
      </c>
      <c r="J5693" t="str">
        <f>T("매드햇")</f>
        <v>매드햇</v>
      </c>
      <c r="K5693" t="str">
        <f>T("저승의 왕위를 계승했다")</f>
        <v>저승의 왕위를 계승했다</v>
      </c>
      <c r="L5693">
        <v>100</v>
      </c>
      <c r="M5693">
        <v>100</v>
      </c>
      <c r="N5693">
        <v>1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0</v>
      </c>
      <c r="AE5693">
        <v>0</v>
      </c>
      <c r="AF5693">
        <v>0</v>
      </c>
      <c r="AG5693">
        <v>0</v>
      </c>
      <c r="AH5693">
        <v>0</v>
      </c>
      <c r="AI5693">
        <v>100</v>
      </c>
      <c r="AJ5693">
        <v>1</v>
      </c>
      <c r="AK5693">
        <v>0</v>
      </c>
      <c r="AL5693">
        <v>0</v>
      </c>
      <c r="AM5693">
        <v>100</v>
      </c>
      <c r="AN5693">
        <v>0</v>
      </c>
      <c r="AO5693">
        <v>0</v>
      </c>
      <c r="AP5693">
        <v>0</v>
      </c>
      <c r="AQ5693">
        <v>0</v>
      </c>
      <c r="AS5693">
        <v>0</v>
      </c>
      <c r="AT5693">
        <v>0</v>
      </c>
      <c r="AV5693">
        <v>0</v>
      </c>
      <c r="AW5693">
        <v>0</v>
      </c>
      <c r="AY5693">
        <v>0</v>
      </c>
      <c r="AZ5693">
        <v>0</v>
      </c>
      <c r="BA5693">
        <v>70</v>
      </c>
      <c r="BE5693" t="str">
        <f>T("9791137014381")</f>
        <v>9791137014381</v>
      </c>
      <c r="BF5693" t="str">
        <f>T("k255213")</f>
        <v>k255213</v>
      </c>
      <c r="BG5693" t="str">
        <f>T("판타지 웹소설 &gt; 퓨전 판타지")</f>
        <v>판타지 웹소설 &gt; 퓨전 판타지</v>
      </c>
    </row>
    <row r="5694" spans="1:59">
      <c r="A5694" t="s">
        <v>60</v>
      </c>
      <c r="B5694" s="1">
        <v>46130</v>
      </c>
      <c r="C5694">
        <v>2378044065</v>
      </c>
      <c r="D5694">
        <v>2378063831</v>
      </c>
      <c r="E5694" t="str">
        <f>T("저승의 왕위를 계승했다 372화")</f>
        <v>저승의 왕위를 계승했다 372화</v>
      </c>
      <c r="F5694">
        <v>373</v>
      </c>
      <c r="G5694" t="str">
        <f>T("신타비")</f>
        <v>신타비</v>
      </c>
      <c r="J5694" t="str">
        <f>T("매드햇")</f>
        <v>매드햇</v>
      </c>
      <c r="K5694" t="str">
        <f>T("저승의 왕위를 계승했다")</f>
        <v>저승의 왕위를 계승했다</v>
      </c>
      <c r="L5694">
        <v>100</v>
      </c>
      <c r="M5694">
        <v>100</v>
      </c>
      <c r="N5694">
        <v>1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0</v>
      </c>
      <c r="AE5694">
        <v>0</v>
      </c>
      <c r="AF5694">
        <v>0</v>
      </c>
      <c r="AG5694">
        <v>0</v>
      </c>
      <c r="AH5694">
        <v>0</v>
      </c>
      <c r="AI5694">
        <v>100</v>
      </c>
      <c r="AJ5694">
        <v>1</v>
      </c>
      <c r="AK5694">
        <v>0</v>
      </c>
      <c r="AL5694">
        <v>0</v>
      </c>
      <c r="AM5694">
        <v>100</v>
      </c>
      <c r="AN5694">
        <v>0</v>
      </c>
      <c r="AO5694">
        <v>0</v>
      </c>
      <c r="AP5694">
        <v>0</v>
      </c>
      <c r="AQ5694">
        <v>0</v>
      </c>
      <c r="AS5694">
        <v>0</v>
      </c>
      <c r="AT5694">
        <v>0</v>
      </c>
      <c r="AV5694">
        <v>0</v>
      </c>
      <c r="AW5694">
        <v>0</v>
      </c>
      <c r="AY5694">
        <v>0</v>
      </c>
      <c r="AZ5694">
        <v>0</v>
      </c>
      <c r="BA5694">
        <v>70</v>
      </c>
      <c r="BE5694" t="str">
        <f>T("9791137014381")</f>
        <v>9791137014381</v>
      </c>
      <c r="BF5694" t="str">
        <f>T("k255214")</f>
        <v>k255214</v>
      </c>
      <c r="BG5694" t="str">
        <f>T("판타지 웹소설 &gt; 퓨전 판타지")</f>
        <v>판타지 웹소설 &gt; 퓨전 판타지</v>
      </c>
    </row>
    <row r="5695" spans="1:59">
      <c r="A5695" t="s">
        <v>60</v>
      </c>
      <c r="B5695" s="1">
        <v>46130</v>
      </c>
      <c r="C5695">
        <v>2378044065</v>
      </c>
      <c r="D5695">
        <v>2378063858</v>
      </c>
      <c r="E5695" t="str">
        <f>T("저승의 왕위를 계승했다 373화")</f>
        <v>저승의 왕위를 계승했다 373화</v>
      </c>
      <c r="F5695">
        <v>374</v>
      </c>
      <c r="G5695" t="str">
        <f>T("신타비")</f>
        <v>신타비</v>
      </c>
      <c r="J5695" t="str">
        <f>T("매드햇")</f>
        <v>매드햇</v>
      </c>
      <c r="K5695" t="str">
        <f>T("저승의 왕위를 계승했다")</f>
        <v>저승의 왕위를 계승했다</v>
      </c>
      <c r="L5695">
        <v>100</v>
      </c>
      <c r="M5695">
        <v>100</v>
      </c>
      <c r="N5695">
        <v>1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0</v>
      </c>
      <c r="AE5695">
        <v>0</v>
      </c>
      <c r="AF5695">
        <v>0</v>
      </c>
      <c r="AG5695">
        <v>0</v>
      </c>
      <c r="AH5695">
        <v>0</v>
      </c>
      <c r="AI5695">
        <v>100</v>
      </c>
      <c r="AJ5695">
        <v>1</v>
      </c>
      <c r="AK5695">
        <v>0</v>
      </c>
      <c r="AL5695">
        <v>0</v>
      </c>
      <c r="AM5695">
        <v>100</v>
      </c>
      <c r="AN5695">
        <v>0</v>
      </c>
      <c r="AO5695">
        <v>0</v>
      </c>
      <c r="AP5695">
        <v>0</v>
      </c>
      <c r="AQ5695">
        <v>0</v>
      </c>
      <c r="AS5695">
        <v>0</v>
      </c>
      <c r="AT5695">
        <v>0</v>
      </c>
      <c r="AV5695">
        <v>0</v>
      </c>
      <c r="AW5695">
        <v>0</v>
      </c>
      <c r="AY5695">
        <v>0</v>
      </c>
      <c r="AZ5695">
        <v>0</v>
      </c>
      <c r="BA5695">
        <v>70</v>
      </c>
      <c r="BE5695" t="str">
        <f>T("9791137014381")</f>
        <v>9791137014381</v>
      </c>
      <c r="BF5695" t="str">
        <f>T("k255215")</f>
        <v>k255215</v>
      </c>
      <c r="BG5695" t="str">
        <f>T("판타지 웹소설 &gt; 퓨전 판타지")</f>
        <v>판타지 웹소설 &gt; 퓨전 판타지</v>
      </c>
    </row>
    <row r="5696" spans="1:59">
      <c r="A5696" t="s">
        <v>60</v>
      </c>
      <c r="B5696" s="1">
        <v>46130</v>
      </c>
      <c r="C5696">
        <v>2378044065</v>
      </c>
      <c r="D5696">
        <v>2378063879</v>
      </c>
      <c r="E5696" t="str">
        <f>T("저승의 왕위를 계승했다 374화")</f>
        <v>저승의 왕위를 계승했다 374화</v>
      </c>
      <c r="F5696">
        <v>375</v>
      </c>
      <c r="G5696" t="str">
        <f>T("신타비")</f>
        <v>신타비</v>
      </c>
      <c r="J5696" t="str">
        <f>T("매드햇")</f>
        <v>매드햇</v>
      </c>
      <c r="K5696" t="str">
        <f>T("저승의 왕위를 계승했다")</f>
        <v>저승의 왕위를 계승했다</v>
      </c>
      <c r="L5696">
        <v>100</v>
      </c>
      <c r="M5696">
        <v>100</v>
      </c>
      <c r="N5696">
        <v>1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0</v>
      </c>
      <c r="AE5696">
        <v>0</v>
      </c>
      <c r="AF5696">
        <v>0</v>
      </c>
      <c r="AG5696">
        <v>0</v>
      </c>
      <c r="AH5696">
        <v>0</v>
      </c>
      <c r="AI5696">
        <v>100</v>
      </c>
      <c r="AJ5696">
        <v>1</v>
      </c>
      <c r="AK5696">
        <v>0</v>
      </c>
      <c r="AL5696">
        <v>0</v>
      </c>
      <c r="AM5696">
        <v>100</v>
      </c>
      <c r="AN5696">
        <v>0</v>
      </c>
      <c r="AO5696">
        <v>0</v>
      </c>
      <c r="AP5696">
        <v>0</v>
      </c>
      <c r="AQ5696">
        <v>0</v>
      </c>
      <c r="AS5696">
        <v>0</v>
      </c>
      <c r="AT5696">
        <v>0</v>
      </c>
      <c r="AV5696">
        <v>0</v>
      </c>
      <c r="AW5696">
        <v>0</v>
      </c>
      <c r="AY5696">
        <v>0</v>
      </c>
      <c r="AZ5696">
        <v>0</v>
      </c>
      <c r="BA5696">
        <v>70</v>
      </c>
      <c r="BE5696" t="str">
        <f>T("9791137014381")</f>
        <v>9791137014381</v>
      </c>
      <c r="BF5696" t="str">
        <f>T("k255216")</f>
        <v>k255216</v>
      </c>
      <c r="BG5696" t="str">
        <f>T("판타지 웹소설 &gt; 퓨전 판타지")</f>
        <v>판타지 웹소설 &gt; 퓨전 판타지</v>
      </c>
    </row>
    <row r="5697" spans="1:59">
      <c r="A5697" t="s">
        <v>60</v>
      </c>
      <c r="B5697" s="1">
        <v>46130</v>
      </c>
      <c r="C5697">
        <v>2378044065</v>
      </c>
      <c r="D5697">
        <v>2378063908</v>
      </c>
      <c r="E5697" t="str">
        <f>T("저승의 왕위를 계승했다 375화")</f>
        <v>저승의 왕위를 계승했다 375화</v>
      </c>
      <c r="F5697">
        <v>376</v>
      </c>
      <c r="G5697" t="str">
        <f>T("신타비")</f>
        <v>신타비</v>
      </c>
      <c r="J5697" t="str">
        <f>T("매드햇")</f>
        <v>매드햇</v>
      </c>
      <c r="K5697" t="str">
        <f>T("저승의 왕위를 계승했다")</f>
        <v>저승의 왕위를 계승했다</v>
      </c>
      <c r="L5697">
        <v>100</v>
      </c>
      <c r="M5697">
        <v>100</v>
      </c>
      <c r="N5697">
        <v>1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0</v>
      </c>
      <c r="AE5697">
        <v>0</v>
      </c>
      <c r="AF5697">
        <v>0</v>
      </c>
      <c r="AG5697">
        <v>0</v>
      </c>
      <c r="AH5697">
        <v>0</v>
      </c>
      <c r="AI5697">
        <v>100</v>
      </c>
      <c r="AJ5697">
        <v>1</v>
      </c>
      <c r="AK5697">
        <v>0</v>
      </c>
      <c r="AL5697">
        <v>0</v>
      </c>
      <c r="AM5697">
        <v>100</v>
      </c>
      <c r="AN5697">
        <v>0</v>
      </c>
      <c r="AO5697">
        <v>0</v>
      </c>
      <c r="AP5697">
        <v>0</v>
      </c>
      <c r="AQ5697">
        <v>0</v>
      </c>
      <c r="AS5697">
        <v>0</v>
      </c>
      <c r="AT5697">
        <v>0</v>
      </c>
      <c r="AV5697">
        <v>0</v>
      </c>
      <c r="AW5697">
        <v>0</v>
      </c>
      <c r="AY5697">
        <v>0</v>
      </c>
      <c r="AZ5697">
        <v>0</v>
      </c>
      <c r="BA5697">
        <v>70</v>
      </c>
      <c r="BE5697" t="str">
        <f>T("9791137014381")</f>
        <v>9791137014381</v>
      </c>
      <c r="BF5697" t="str">
        <f>T("k262285")</f>
        <v>k262285</v>
      </c>
      <c r="BG5697" t="str">
        <f>T("판타지 웹소설 &gt; 퓨전 판타지")</f>
        <v>판타지 웹소설 &gt; 퓨전 판타지</v>
      </c>
    </row>
    <row r="5698" spans="1:59">
      <c r="A5698" t="s">
        <v>60</v>
      </c>
      <c r="B5698" s="1">
        <v>46130</v>
      </c>
      <c r="C5698">
        <v>2378044065</v>
      </c>
      <c r="D5698">
        <v>2378063920</v>
      </c>
      <c r="E5698" t="str">
        <f>T("저승의 왕위를 계승했다 376화")</f>
        <v>저승의 왕위를 계승했다 376화</v>
      </c>
      <c r="F5698">
        <v>377</v>
      </c>
      <c r="G5698" t="str">
        <f>T("신타비")</f>
        <v>신타비</v>
      </c>
      <c r="J5698" t="str">
        <f>T("매드햇")</f>
        <v>매드햇</v>
      </c>
      <c r="K5698" t="str">
        <f>T("저승의 왕위를 계승했다")</f>
        <v>저승의 왕위를 계승했다</v>
      </c>
      <c r="L5698">
        <v>100</v>
      </c>
      <c r="M5698">
        <v>100</v>
      </c>
      <c r="N5698">
        <v>1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0</v>
      </c>
      <c r="AE5698">
        <v>0</v>
      </c>
      <c r="AF5698">
        <v>0</v>
      </c>
      <c r="AG5698">
        <v>0</v>
      </c>
      <c r="AH5698">
        <v>0</v>
      </c>
      <c r="AI5698">
        <v>100</v>
      </c>
      <c r="AJ5698">
        <v>1</v>
      </c>
      <c r="AK5698">
        <v>0</v>
      </c>
      <c r="AL5698">
        <v>0</v>
      </c>
      <c r="AM5698">
        <v>100</v>
      </c>
      <c r="AN5698">
        <v>0</v>
      </c>
      <c r="AO5698">
        <v>0</v>
      </c>
      <c r="AP5698">
        <v>0</v>
      </c>
      <c r="AQ5698">
        <v>0</v>
      </c>
      <c r="AS5698">
        <v>0</v>
      </c>
      <c r="AT5698">
        <v>0</v>
      </c>
      <c r="AV5698">
        <v>0</v>
      </c>
      <c r="AW5698">
        <v>0</v>
      </c>
      <c r="AY5698">
        <v>0</v>
      </c>
      <c r="AZ5698">
        <v>0</v>
      </c>
      <c r="BA5698">
        <v>70</v>
      </c>
      <c r="BE5698" t="str">
        <f>T("9791137014381")</f>
        <v>9791137014381</v>
      </c>
      <c r="BF5698" t="str">
        <f>T("k262286")</f>
        <v>k262286</v>
      </c>
      <c r="BG5698" t="str">
        <f>T("판타지 웹소설 &gt; 퓨전 판타지")</f>
        <v>판타지 웹소설 &gt; 퓨전 판타지</v>
      </c>
    </row>
    <row r="5699" spans="1:59">
      <c r="A5699" t="s">
        <v>60</v>
      </c>
      <c r="B5699" s="1">
        <v>46130</v>
      </c>
      <c r="C5699">
        <v>2378044065</v>
      </c>
      <c r="D5699">
        <v>2378063921</v>
      </c>
      <c r="E5699" t="str">
        <f>T("저승의 왕위를 계승했다 377화")</f>
        <v>저승의 왕위를 계승했다 377화</v>
      </c>
      <c r="F5699">
        <v>378</v>
      </c>
      <c r="G5699" t="str">
        <f>T("신타비")</f>
        <v>신타비</v>
      </c>
      <c r="J5699" t="str">
        <f>T("매드햇")</f>
        <v>매드햇</v>
      </c>
      <c r="K5699" t="str">
        <f>T("저승의 왕위를 계승했다")</f>
        <v>저승의 왕위를 계승했다</v>
      </c>
      <c r="L5699">
        <v>100</v>
      </c>
      <c r="M5699">
        <v>100</v>
      </c>
      <c r="N5699">
        <v>1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0</v>
      </c>
      <c r="AE5699">
        <v>0</v>
      </c>
      <c r="AF5699">
        <v>0</v>
      </c>
      <c r="AG5699">
        <v>0</v>
      </c>
      <c r="AH5699">
        <v>0</v>
      </c>
      <c r="AI5699">
        <v>100</v>
      </c>
      <c r="AJ5699">
        <v>1</v>
      </c>
      <c r="AK5699">
        <v>0</v>
      </c>
      <c r="AL5699">
        <v>0</v>
      </c>
      <c r="AM5699">
        <v>100</v>
      </c>
      <c r="AN5699">
        <v>0</v>
      </c>
      <c r="AO5699">
        <v>0</v>
      </c>
      <c r="AP5699">
        <v>0</v>
      </c>
      <c r="AQ5699">
        <v>0</v>
      </c>
      <c r="AS5699">
        <v>0</v>
      </c>
      <c r="AT5699">
        <v>0</v>
      </c>
      <c r="AV5699">
        <v>0</v>
      </c>
      <c r="AW5699">
        <v>0</v>
      </c>
      <c r="AY5699">
        <v>0</v>
      </c>
      <c r="AZ5699">
        <v>0</v>
      </c>
      <c r="BA5699">
        <v>70</v>
      </c>
      <c r="BE5699" t="str">
        <f>T("9791137014381")</f>
        <v>9791137014381</v>
      </c>
      <c r="BF5699" t="str">
        <f>T("k262287")</f>
        <v>k262287</v>
      </c>
      <c r="BG5699" t="str">
        <f>T("판타지 웹소설 &gt; 퓨전 판타지")</f>
        <v>판타지 웹소설 &gt; 퓨전 판타지</v>
      </c>
    </row>
    <row r="5700" spans="1:59">
      <c r="A5700" t="s">
        <v>60</v>
      </c>
      <c r="B5700" s="1">
        <v>46130</v>
      </c>
      <c r="C5700">
        <v>2378044065</v>
      </c>
      <c r="D5700">
        <v>2378063945</v>
      </c>
      <c r="E5700" t="str">
        <f>T("저승의 왕위를 계승했다 378화")</f>
        <v>저승의 왕위를 계승했다 378화</v>
      </c>
      <c r="F5700">
        <v>379</v>
      </c>
      <c r="G5700" t="str">
        <f>T("신타비")</f>
        <v>신타비</v>
      </c>
      <c r="J5700" t="str">
        <f>T("매드햇")</f>
        <v>매드햇</v>
      </c>
      <c r="K5700" t="str">
        <f>T("저승의 왕위를 계승했다")</f>
        <v>저승의 왕위를 계승했다</v>
      </c>
      <c r="L5700">
        <v>100</v>
      </c>
      <c r="M5700">
        <v>100</v>
      </c>
      <c r="N5700">
        <v>1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0</v>
      </c>
      <c r="AE5700">
        <v>0</v>
      </c>
      <c r="AF5700">
        <v>0</v>
      </c>
      <c r="AG5700">
        <v>0</v>
      </c>
      <c r="AH5700">
        <v>0</v>
      </c>
      <c r="AI5700">
        <v>100</v>
      </c>
      <c r="AJ5700">
        <v>1</v>
      </c>
      <c r="AK5700">
        <v>0</v>
      </c>
      <c r="AL5700">
        <v>0</v>
      </c>
      <c r="AM5700">
        <v>100</v>
      </c>
      <c r="AN5700">
        <v>0</v>
      </c>
      <c r="AO5700">
        <v>0</v>
      </c>
      <c r="AP5700">
        <v>0</v>
      </c>
      <c r="AQ5700">
        <v>0</v>
      </c>
      <c r="AS5700">
        <v>0</v>
      </c>
      <c r="AT5700">
        <v>0</v>
      </c>
      <c r="AV5700">
        <v>0</v>
      </c>
      <c r="AW5700">
        <v>0</v>
      </c>
      <c r="AY5700">
        <v>0</v>
      </c>
      <c r="AZ5700">
        <v>0</v>
      </c>
      <c r="BA5700">
        <v>70</v>
      </c>
      <c r="BE5700" t="str">
        <f>T("9791137014381")</f>
        <v>9791137014381</v>
      </c>
      <c r="BF5700" t="str">
        <f>T("k262288")</f>
        <v>k262288</v>
      </c>
      <c r="BG5700" t="str">
        <f>T("판타지 웹소설 &gt; 퓨전 판타지")</f>
        <v>판타지 웹소설 &gt; 퓨전 판타지</v>
      </c>
    </row>
    <row r="5701" spans="1:59">
      <c r="A5701" t="s">
        <v>60</v>
      </c>
      <c r="B5701" s="1">
        <v>46130</v>
      </c>
      <c r="C5701">
        <v>2378044065</v>
      </c>
      <c r="D5701">
        <v>2378064152</v>
      </c>
      <c r="E5701" t="str">
        <f>T("저승의 왕위를 계승했다 379화")</f>
        <v>저승의 왕위를 계승했다 379화</v>
      </c>
      <c r="F5701">
        <v>380</v>
      </c>
      <c r="G5701" t="str">
        <f>T("신타비")</f>
        <v>신타비</v>
      </c>
      <c r="J5701" t="str">
        <f>T("매드햇")</f>
        <v>매드햇</v>
      </c>
      <c r="K5701" t="str">
        <f>T("저승의 왕위를 계승했다")</f>
        <v>저승의 왕위를 계승했다</v>
      </c>
      <c r="L5701">
        <v>100</v>
      </c>
      <c r="M5701">
        <v>100</v>
      </c>
      <c r="N5701">
        <v>1</v>
      </c>
      <c r="O5701">
        <v>0</v>
      </c>
      <c r="P5701">
        <v>0</v>
      </c>
      <c r="Q5701">
        <v>0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0</v>
      </c>
      <c r="AE5701">
        <v>0</v>
      </c>
      <c r="AF5701">
        <v>0</v>
      </c>
      <c r="AG5701">
        <v>0</v>
      </c>
      <c r="AH5701">
        <v>0</v>
      </c>
      <c r="AI5701">
        <v>100</v>
      </c>
      <c r="AJ5701">
        <v>1</v>
      </c>
      <c r="AK5701">
        <v>0</v>
      </c>
      <c r="AL5701">
        <v>0</v>
      </c>
      <c r="AM5701">
        <v>100</v>
      </c>
      <c r="AN5701">
        <v>0</v>
      </c>
      <c r="AO5701">
        <v>0</v>
      </c>
      <c r="AP5701">
        <v>0</v>
      </c>
      <c r="AQ5701">
        <v>0</v>
      </c>
      <c r="AS5701">
        <v>0</v>
      </c>
      <c r="AT5701">
        <v>0</v>
      </c>
      <c r="AV5701">
        <v>0</v>
      </c>
      <c r="AW5701">
        <v>0</v>
      </c>
      <c r="AY5701">
        <v>0</v>
      </c>
      <c r="AZ5701">
        <v>0</v>
      </c>
      <c r="BA5701">
        <v>70</v>
      </c>
      <c r="BE5701" t="str">
        <f>T("9791137014381")</f>
        <v>9791137014381</v>
      </c>
      <c r="BF5701" t="str">
        <f>T("k269853")</f>
        <v>k269853</v>
      </c>
      <c r="BG5701" t="str">
        <f>T("판타지 웹소설 &gt; 퓨전 판타지")</f>
        <v>판타지 웹소설 &gt; 퓨전 판타지</v>
      </c>
    </row>
    <row r="5702" spans="1:59">
      <c r="A5702" t="s">
        <v>60</v>
      </c>
      <c r="B5702" s="1">
        <v>46130</v>
      </c>
      <c r="C5702">
        <v>2378044065</v>
      </c>
      <c r="D5702">
        <v>2378064162</v>
      </c>
      <c r="E5702" t="str">
        <f>T("저승의 왕위를 계승했다 380화")</f>
        <v>저승의 왕위를 계승했다 380화</v>
      </c>
      <c r="F5702">
        <v>381</v>
      </c>
      <c r="G5702" t="str">
        <f>T("신타비")</f>
        <v>신타비</v>
      </c>
      <c r="J5702" t="str">
        <f>T("매드햇")</f>
        <v>매드햇</v>
      </c>
      <c r="K5702" t="str">
        <f>T("저승의 왕위를 계승했다")</f>
        <v>저승의 왕위를 계승했다</v>
      </c>
      <c r="L5702">
        <v>100</v>
      </c>
      <c r="M5702">
        <v>100</v>
      </c>
      <c r="N5702">
        <v>1</v>
      </c>
      <c r="O5702">
        <v>0</v>
      </c>
      <c r="P5702">
        <v>0</v>
      </c>
      <c r="Q5702">
        <v>0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0</v>
      </c>
      <c r="AE5702">
        <v>0</v>
      </c>
      <c r="AF5702">
        <v>0</v>
      </c>
      <c r="AG5702">
        <v>0</v>
      </c>
      <c r="AH5702">
        <v>0</v>
      </c>
      <c r="AI5702">
        <v>100</v>
      </c>
      <c r="AJ5702">
        <v>1</v>
      </c>
      <c r="AK5702">
        <v>0</v>
      </c>
      <c r="AL5702">
        <v>0</v>
      </c>
      <c r="AM5702">
        <v>100</v>
      </c>
      <c r="AN5702">
        <v>0</v>
      </c>
      <c r="AO5702">
        <v>0</v>
      </c>
      <c r="AP5702">
        <v>0</v>
      </c>
      <c r="AQ5702">
        <v>0</v>
      </c>
      <c r="AS5702">
        <v>0</v>
      </c>
      <c r="AT5702">
        <v>0</v>
      </c>
      <c r="AV5702">
        <v>0</v>
      </c>
      <c r="AW5702">
        <v>0</v>
      </c>
      <c r="AY5702">
        <v>0</v>
      </c>
      <c r="AZ5702">
        <v>0</v>
      </c>
      <c r="BA5702">
        <v>70</v>
      </c>
      <c r="BE5702" t="str">
        <f>T("9791137014381")</f>
        <v>9791137014381</v>
      </c>
      <c r="BF5702" t="str">
        <f>T("k269854")</f>
        <v>k269854</v>
      </c>
      <c r="BG5702" t="str">
        <f>T("판타지 웹소설 &gt; 퓨전 판타지")</f>
        <v>판타지 웹소설 &gt; 퓨전 판타지</v>
      </c>
    </row>
    <row r="5703" spans="1:59">
      <c r="A5703" t="s">
        <v>60</v>
      </c>
      <c r="B5703" s="1">
        <v>46130</v>
      </c>
      <c r="C5703">
        <v>2378044065</v>
      </c>
      <c r="D5703">
        <v>2378064192</v>
      </c>
      <c r="E5703" t="str">
        <f>T("저승의 왕위를 계승했다 381화")</f>
        <v>저승의 왕위를 계승했다 381화</v>
      </c>
      <c r="F5703">
        <v>382</v>
      </c>
      <c r="G5703" t="str">
        <f>T("신타비")</f>
        <v>신타비</v>
      </c>
      <c r="J5703" t="str">
        <f>T("매드햇")</f>
        <v>매드햇</v>
      </c>
      <c r="K5703" t="str">
        <f>T("저승의 왕위를 계승했다")</f>
        <v>저승의 왕위를 계승했다</v>
      </c>
      <c r="L5703">
        <v>100</v>
      </c>
      <c r="M5703">
        <v>100</v>
      </c>
      <c r="N5703">
        <v>1</v>
      </c>
      <c r="O5703">
        <v>0</v>
      </c>
      <c r="P5703">
        <v>0</v>
      </c>
      <c r="Q5703">
        <v>0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0</v>
      </c>
      <c r="AE5703">
        <v>0</v>
      </c>
      <c r="AF5703">
        <v>0</v>
      </c>
      <c r="AG5703">
        <v>0</v>
      </c>
      <c r="AH5703">
        <v>0</v>
      </c>
      <c r="AI5703">
        <v>100</v>
      </c>
      <c r="AJ5703">
        <v>1</v>
      </c>
      <c r="AK5703">
        <v>0</v>
      </c>
      <c r="AL5703">
        <v>0</v>
      </c>
      <c r="AM5703">
        <v>100</v>
      </c>
      <c r="AN5703">
        <v>0</v>
      </c>
      <c r="AO5703">
        <v>0</v>
      </c>
      <c r="AP5703">
        <v>0</v>
      </c>
      <c r="AQ5703">
        <v>0</v>
      </c>
      <c r="AS5703">
        <v>0</v>
      </c>
      <c r="AT5703">
        <v>0</v>
      </c>
      <c r="AV5703">
        <v>0</v>
      </c>
      <c r="AW5703">
        <v>0</v>
      </c>
      <c r="AY5703">
        <v>0</v>
      </c>
      <c r="AZ5703">
        <v>0</v>
      </c>
      <c r="BA5703">
        <v>70</v>
      </c>
      <c r="BE5703" t="str">
        <f>T("9791137014381")</f>
        <v>9791137014381</v>
      </c>
      <c r="BF5703" t="str">
        <f>T("k269855")</f>
        <v>k269855</v>
      </c>
      <c r="BG5703" t="str">
        <f>T("판타지 웹소설 &gt; 퓨전 판타지")</f>
        <v>판타지 웹소설 &gt; 퓨전 판타지</v>
      </c>
    </row>
    <row r="5704" spans="1:59">
      <c r="A5704" t="s">
        <v>60</v>
      </c>
      <c r="B5704" s="1">
        <v>46130</v>
      </c>
      <c r="C5704">
        <v>2378044065</v>
      </c>
      <c r="D5704">
        <v>2378064193</v>
      </c>
      <c r="E5704" t="str">
        <f>T("저승의 왕위를 계승했다 382화")</f>
        <v>저승의 왕위를 계승했다 382화</v>
      </c>
      <c r="F5704">
        <v>383</v>
      </c>
      <c r="G5704" t="str">
        <f>T("신타비")</f>
        <v>신타비</v>
      </c>
      <c r="J5704" t="str">
        <f>T("매드햇")</f>
        <v>매드햇</v>
      </c>
      <c r="K5704" t="str">
        <f>T("저승의 왕위를 계승했다")</f>
        <v>저승의 왕위를 계승했다</v>
      </c>
      <c r="L5704">
        <v>100</v>
      </c>
      <c r="M5704">
        <v>100</v>
      </c>
      <c r="N5704">
        <v>1</v>
      </c>
      <c r="O5704">
        <v>0</v>
      </c>
      <c r="P5704">
        <v>0</v>
      </c>
      <c r="Q5704">
        <v>0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0</v>
      </c>
      <c r="AE5704">
        <v>0</v>
      </c>
      <c r="AF5704">
        <v>0</v>
      </c>
      <c r="AG5704">
        <v>0</v>
      </c>
      <c r="AH5704">
        <v>0</v>
      </c>
      <c r="AI5704">
        <v>100</v>
      </c>
      <c r="AJ5704">
        <v>1</v>
      </c>
      <c r="AK5704">
        <v>0</v>
      </c>
      <c r="AL5704">
        <v>0</v>
      </c>
      <c r="AM5704">
        <v>100</v>
      </c>
      <c r="AN5704">
        <v>0</v>
      </c>
      <c r="AO5704">
        <v>0</v>
      </c>
      <c r="AP5704">
        <v>0</v>
      </c>
      <c r="AQ5704">
        <v>0</v>
      </c>
      <c r="AS5704">
        <v>0</v>
      </c>
      <c r="AT5704">
        <v>0</v>
      </c>
      <c r="AV5704">
        <v>0</v>
      </c>
      <c r="AW5704">
        <v>0</v>
      </c>
      <c r="AY5704">
        <v>0</v>
      </c>
      <c r="AZ5704">
        <v>0</v>
      </c>
      <c r="BA5704">
        <v>70</v>
      </c>
      <c r="BE5704" t="str">
        <f>T("9791137014381")</f>
        <v>9791137014381</v>
      </c>
      <c r="BF5704" t="str">
        <f>T("k269856")</f>
        <v>k269856</v>
      </c>
      <c r="BG5704" t="str">
        <f>T("판타지 웹소설 &gt; 퓨전 판타지")</f>
        <v>판타지 웹소설 &gt; 퓨전 판타지</v>
      </c>
    </row>
    <row r="5705" spans="1:59">
      <c r="A5705" t="s">
        <v>60</v>
      </c>
      <c r="B5705" s="1">
        <v>46130</v>
      </c>
      <c r="C5705">
        <v>2378044065</v>
      </c>
      <c r="D5705">
        <v>2378064346</v>
      </c>
      <c r="E5705" t="str">
        <f>T("저승의 왕위를 계승했다 383화")</f>
        <v>저승의 왕위를 계승했다 383화</v>
      </c>
      <c r="F5705">
        <v>384</v>
      </c>
      <c r="G5705" t="str">
        <f>T("신타비")</f>
        <v>신타비</v>
      </c>
      <c r="J5705" t="str">
        <f>T("매드햇")</f>
        <v>매드햇</v>
      </c>
      <c r="K5705" t="str">
        <f>T("저승의 왕위를 계승했다")</f>
        <v>저승의 왕위를 계승했다</v>
      </c>
      <c r="L5705">
        <v>100</v>
      </c>
      <c r="M5705">
        <v>100</v>
      </c>
      <c r="N5705">
        <v>1</v>
      </c>
      <c r="O5705">
        <v>0</v>
      </c>
      <c r="P5705">
        <v>0</v>
      </c>
      <c r="Q5705">
        <v>0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0</v>
      </c>
      <c r="AE5705">
        <v>0</v>
      </c>
      <c r="AF5705">
        <v>0</v>
      </c>
      <c r="AG5705">
        <v>0</v>
      </c>
      <c r="AH5705">
        <v>0</v>
      </c>
      <c r="AI5705">
        <v>100</v>
      </c>
      <c r="AJ5705">
        <v>1</v>
      </c>
      <c r="AK5705">
        <v>0</v>
      </c>
      <c r="AL5705">
        <v>0</v>
      </c>
      <c r="AM5705">
        <v>100</v>
      </c>
      <c r="AN5705">
        <v>0</v>
      </c>
      <c r="AO5705">
        <v>0</v>
      </c>
      <c r="AP5705">
        <v>0</v>
      </c>
      <c r="AQ5705">
        <v>0</v>
      </c>
      <c r="AS5705">
        <v>0</v>
      </c>
      <c r="AT5705">
        <v>0</v>
      </c>
      <c r="AV5705">
        <v>0</v>
      </c>
      <c r="AW5705">
        <v>0</v>
      </c>
      <c r="AY5705">
        <v>0</v>
      </c>
      <c r="AZ5705">
        <v>0</v>
      </c>
      <c r="BA5705">
        <v>70</v>
      </c>
      <c r="BE5705" t="str">
        <f>T("9791137014381")</f>
        <v>9791137014381</v>
      </c>
      <c r="BF5705" t="str">
        <f>T("k275292")</f>
        <v>k275292</v>
      </c>
      <c r="BG5705" t="str">
        <f>T("판타지 웹소설 &gt; 퓨전 판타지")</f>
        <v>판타지 웹소설 &gt; 퓨전 판타지</v>
      </c>
    </row>
    <row r="5706" spans="1:59">
      <c r="A5706" t="s">
        <v>60</v>
      </c>
      <c r="B5706" s="1">
        <v>46130</v>
      </c>
      <c r="C5706">
        <v>2378044065</v>
      </c>
      <c r="D5706">
        <v>2378064378</v>
      </c>
      <c r="E5706" t="str">
        <f>T("저승의 왕위를 계승했다 384화")</f>
        <v>저승의 왕위를 계승했다 384화</v>
      </c>
      <c r="F5706">
        <v>385</v>
      </c>
      <c r="G5706" t="str">
        <f>T("신타비")</f>
        <v>신타비</v>
      </c>
      <c r="J5706" t="str">
        <f>T("매드햇")</f>
        <v>매드햇</v>
      </c>
      <c r="K5706" t="str">
        <f>T("저승의 왕위를 계승했다")</f>
        <v>저승의 왕위를 계승했다</v>
      </c>
      <c r="L5706">
        <v>100</v>
      </c>
      <c r="M5706">
        <v>100</v>
      </c>
      <c r="N5706">
        <v>1</v>
      </c>
      <c r="O5706">
        <v>0</v>
      </c>
      <c r="P5706">
        <v>0</v>
      </c>
      <c r="Q5706">
        <v>0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0</v>
      </c>
      <c r="AE5706">
        <v>0</v>
      </c>
      <c r="AF5706">
        <v>0</v>
      </c>
      <c r="AG5706">
        <v>0</v>
      </c>
      <c r="AH5706">
        <v>0</v>
      </c>
      <c r="AI5706">
        <v>100</v>
      </c>
      <c r="AJ5706">
        <v>1</v>
      </c>
      <c r="AK5706">
        <v>0</v>
      </c>
      <c r="AL5706">
        <v>0</v>
      </c>
      <c r="AM5706">
        <v>100</v>
      </c>
      <c r="AN5706">
        <v>0</v>
      </c>
      <c r="AO5706">
        <v>0</v>
      </c>
      <c r="AP5706">
        <v>0</v>
      </c>
      <c r="AQ5706">
        <v>0</v>
      </c>
      <c r="AS5706">
        <v>0</v>
      </c>
      <c r="AT5706">
        <v>0</v>
      </c>
      <c r="AV5706">
        <v>0</v>
      </c>
      <c r="AW5706">
        <v>0</v>
      </c>
      <c r="AY5706">
        <v>0</v>
      </c>
      <c r="AZ5706">
        <v>0</v>
      </c>
      <c r="BA5706">
        <v>70</v>
      </c>
      <c r="BE5706" t="str">
        <f>T("9791137014381")</f>
        <v>9791137014381</v>
      </c>
      <c r="BF5706" t="str">
        <f>T("k275293")</f>
        <v>k275293</v>
      </c>
      <c r="BG5706" t="str">
        <f>T("판타지 웹소설 &gt; 퓨전 판타지")</f>
        <v>판타지 웹소설 &gt; 퓨전 판타지</v>
      </c>
    </row>
    <row r="5707" spans="1:59">
      <c r="A5707" t="s">
        <v>60</v>
      </c>
      <c r="B5707" s="1">
        <v>46130</v>
      </c>
      <c r="C5707">
        <v>2378044065</v>
      </c>
      <c r="D5707">
        <v>2378064766</v>
      </c>
      <c r="E5707" t="str">
        <f>T("저승의 왕위를 계승했다 385화")</f>
        <v>저승의 왕위를 계승했다 385화</v>
      </c>
      <c r="F5707">
        <v>386</v>
      </c>
      <c r="G5707" t="str">
        <f>T("신타비")</f>
        <v>신타비</v>
      </c>
      <c r="J5707" t="str">
        <f>T("매드햇")</f>
        <v>매드햇</v>
      </c>
      <c r="K5707" t="str">
        <f>T("저승의 왕위를 계승했다")</f>
        <v>저승의 왕위를 계승했다</v>
      </c>
      <c r="L5707">
        <v>100</v>
      </c>
      <c r="M5707">
        <v>100</v>
      </c>
      <c r="N5707">
        <v>1</v>
      </c>
      <c r="O5707">
        <v>0</v>
      </c>
      <c r="P5707">
        <v>0</v>
      </c>
      <c r="Q5707">
        <v>0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0</v>
      </c>
      <c r="AE5707">
        <v>0</v>
      </c>
      <c r="AF5707">
        <v>0</v>
      </c>
      <c r="AG5707">
        <v>0</v>
      </c>
      <c r="AH5707">
        <v>0</v>
      </c>
      <c r="AI5707">
        <v>100</v>
      </c>
      <c r="AJ5707">
        <v>1</v>
      </c>
      <c r="AK5707">
        <v>0</v>
      </c>
      <c r="AL5707">
        <v>0</v>
      </c>
      <c r="AM5707">
        <v>100</v>
      </c>
      <c r="AN5707">
        <v>0</v>
      </c>
      <c r="AO5707">
        <v>0</v>
      </c>
      <c r="AP5707">
        <v>0</v>
      </c>
      <c r="AQ5707">
        <v>0</v>
      </c>
      <c r="AS5707">
        <v>0</v>
      </c>
      <c r="AT5707">
        <v>0</v>
      </c>
      <c r="AV5707">
        <v>0</v>
      </c>
      <c r="AW5707">
        <v>0</v>
      </c>
      <c r="AY5707">
        <v>0</v>
      </c>
      <c r="AZ5707">
        <v>0</v>
      </c>
      <c r="BA5707">
        <v>70</v>
      </c>
      <c r="BE5707" t="str">
        <f>T("9791137014381")</f>
        <v>9791137014381</v>
      </c>
      <c r="BF5707" t="str">
        <f>T("k275294")</f>
        <v>k275294</v>
      </c>
      <c r="BG5707" t="str">
        <f>T("판타지 웹소설 &gt; 퓨전 판타지")</f>
        <v>판타지 웹소설 &gt; 퓨전 판타지</v>
      </c>
    </row>
    <row r="5708" spans="1:59">
      <c r="A5708" t="s">
        <v>60</v>
      </c>
      <c r="B5708" s="1">
        <v>46130</v>
      </c>
      <c r="C5708">
        <v>2378044065</v>
      </c>
      <c r="D5708">
        <v>2378064802</v>
      </c>
      <c r="E5708" t="str">
        <f>T("저승의 왕위를 계승했다 386화")</f>
        <v>저승의 왕위를 계승했다 386화</v>
      </c>
      <c r="F5708">
        <v>387</v>
      </c>
      <c r="G5708" t="str">
        <f>T("신타비")</f>
        <v>신타비</v>
      </c>
      <c r="J5708" t="str">
        <f>T("매드햇")</f>
        <v>매드햇</v>
      </c>
      <c r="K5708" t="str">
        <f>T("저승의 왕위를 계승했다")</f>
        <v>저승의 왕위를 계승했다</v>
      </c>
      <c r="L5708">
        <v>100</v>
      </c>
      <c r="M5708">
        <v>100</v>
      </c>
      <c r="N5708">
        <v>1</v>
      </c>
      <c r="O5708">
        <v>0</v>
      </c>
      <c r="P5708">
        <v>0</v>
      </c>
      <c r="Q5708">
        <v>0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0</v>
      </c>
      <c r="AE5708">
        <v>0</v>
      </c>
      <c r="AF5708">
        <v>0</v>
      </c>
      <c r="AG5708">
        <v>0</v>
      </c>
      <c r="AH5708">
        <v>0</v>
      </c>
      <c r="AI5708">
        <v>100</v>
      </c>
      <c r="AJ5708">
        <v>1</v>
      </c>
      <c r="AK5708">
        <v>0</v>
      </c>
      <c r="AL5708">
        <v>0</v>
      </c>
      <c r="AM5708">
        <v>100</v>
      </c>
      <c r="AN5708">
        <v>0</v>
      </c>
      <c r="AO5708">
        <v>0</v>
      </c>
      <c r="AP5708">
        <v>0</v>
      </c>
      <c r="AQ5708">
        <v>0</v>
      </c>
      <c r="AS5708">
        <v>0</v>
      </c>
      <c r="AT5708">
        <v>0</v>
      </c>
      <c r="AV5708">
        <v>0</v>
      </c>
      <c r="AW5708">
        <v>0</v>
      </c>
      <c r="AY5708">
        <v>0</v>
      </c>
      <c r="AZ5708">
        <v>0</v>
      </c>
      <c r="BA5708">
        <v>70</v>
      </c>
      <c r="BE5708" t="str">
        <f>T("9791137014381")</f>
        <v>9791137014381</v>
      </c>
      <c r="BF5708" t="str">
        <f>T("k275295")</f>
        <v>k275295</v>
      </c>
      <c r="BG5708" t="str">
        <f>T("판타지 웹소설 &gt; 퓨전 판타지")</f>
        <v>판타지 웹소설 &gt; 퓨전 판타지</v>
      </c>
    </row>
    <row r="5709" spans="1:59">
      <c r="A5709" t="s">
        <v>60</v>
      </c>
      <c r="B5709" s="1">
        <v>46130</v>
      </c>
      <c r="C5709">
        <v>2378044065</v>
      </c>
      <c r="D5709">
        <v>2378064803</v>
      </c>
      <c r="E5709" t="str">
        <f>T("저승의 왕위를 계승했다 387화")</f>
        <v>저승의 왕위를 계승했다 387화</v>
      </c>
      <c r="F5709">
        <v>388</v>
      </c>
      <c r="G5709" t="str">
        <f>T("신타비")</f>
        <v>신타비</v>
      </c>
      <c r="J5709" t="str">
        <f>T("매드햇")</f>
        <v>매드햇</v>
      </c>
      <c r="K5709" t="str">
        <f>T("저승의 왕위를 계승했다")</f>
        <v>저승의 왕위를 계승했다</v>
      </c>
      <c r="L5709">
        <v>100</v>
      </c>
      <c r="M5709">
        <v>100</v>
      </c>
      <c r="N5709">
        <v>1</v>
      </c>
      <c r="O5709">
        <v>0</v>
      </c>
      <c r="P5709">
        <v>0</v>
      </c>
      <c r="Q5709">
        <v>0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0</v>
      </c>
      <c r="AE5709">
        <v>0</v>
      </c>
      <c r="AF5709">
        <v>0</v>
      </c>
      <c r="AG5709">
        <v>0</v>
      </c>
      <c r="AH5709">
        <v>0</v>
      </c>
      <c r="AI5709">
        <v>100</v>
      </c>
      <c r="AJ5709">
        <v>1</v>
      </c>
      <c r="AK5709">
        <v>0</v>
      </c>
      <c r="AL5709">
        <v>0</v>
      </c>
      <c r="AM5709">
        <v>100</v>
      </c>
      <c r="AN5709">
        <v>0</v>
      </c>
      <c r="AO5709">
        <v>0</v>
      </c>
      <c r="AP5709">
        <v>0</v>
      </c>
      <c r="AQ5709">
        <v>0</v>
      </c>
      <c r="AS5709">
        <v>0</v>
      </c>
      <c r="AT5709">
        <v>0</v>
      </c>
      <c r="AV5709">
        <v>0</v>
      </c>
      <c r="AW5709">
        <v>0</v>
      </c>
      <c r="AY5709">
        <v>0</v>
      </c>
      <c r="AZ5709">
        <v>0</v>
      </c>
      <c r="BA5709">
        <v>70</v>
      </c>
      <c r="BE5709" t="str">
        <f>T("9791137014381")</f>
        <v>9791137014381</v>
      </c>
      <c r="BF5709" t="str">
        <f>T("k284341")</f>
        <v>k284341</v>
      </c>
      <c r="BG5709" t="str">
        <f>T("판타지 웹소설 &gt; 퓨전 판타지")</f>
        <v>판타지 웹소설 &gt; 퓨전 판타지</v>
      </c>
    </row>
    <row r="5710" spans="1:59">
      <c r="A5710" t="s">
        <v>60</v>
      </c>
      <c r="B5710" s="1">
        <v>46130</v>
      </c>
      <c r="C5710">
        <v>2378044065</v>
      </c>
      <c r="D5710">
        <v>2378064832</v>
      </c>
      <c r="E5710" t="str">
        <f>T("저승의 왕위를 계승했다 388화")</f>
        <v>저승의 왕위를 계승했다 388화</v>
      </c>
      <c r="F5710">
        <v>389</v>
      </c>
      <c r="G5710" t="str">
        <f>T("신타비")</f>
        <v>신타비</v>
      </c>
      <c r="J5710" t="str">
        <f>T("매드햇")</f>
        <v>매드햇</v>
      </c>
      <c r="K5710" t="str">
        <f>T("저승의 왕위를 계승했다")</f>
        <v>저승의 왕위를 계승했다</v>
      </c>
      <c r="L5710">
        <v>100</v>
      </c>
      <c r="M5710">
        <v>100</v>
      </c>
      <c r="N5710">
        <v>1</v>
      </c>
      <c r="O5710">
        <v>0</v>
      </c>
      <c r="P5710">
        <v>0</v>
      </c>
      <c r="Q5710">
        <v>0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0</v>
      </c>
      <c r="AE5710">
        <v>0</v>
      </c>
      <c r="AF5710">
        <v>0</v>
      </c>
      <c r="AG5710">
        <v>0</v>
      </c>
      <c r="AH5710">
        <v>0</v>
      </c>
      <c r="AI5710">
        <v>100</v>
      </c>
      <c r="AJ5710">
        <v>1</v>
      </c>
      <c r="AK5710">
        <v>0</v>
      </c>
      <c r="AL5710">
        <v>0</v>
      </c>
      <c r="AM5710">
        <v>100</v>
      </c>
      <c r="AN5710">
        <v>0</v>
      </c>
      <c r="AO5710">
        <v>0</v>
      </c>
      <c r="AP5710">
        <v>0</v>
      </c>
      <c r="AQ5710">
        <v>0</v>
      </c>
      <c r="AS5710">
        <v>0</v>
      </c>
      <c r="AT5710">
        <v>0</v>
      </c>
      <c r="AV5710">
        <v>0</v>
      </c>
      <c r="AW5710">
        <v>0</v>
      </c>
      <c r="AY5710">
        <v>0</v>
      </c>
      <c r="AZ5710">
        <v>0</v>
      </c>
      <c r="BA5710">
        <v>70</v>
      </c>
      <c r="BE5710" t="str">
        <f>T("9791137014381")</f>
        <v>9791137014381</v>
      </c>
      <c r="BF5710" t="str">
        <f>T("k284342")</f>
        <v>k284342</v>
      </c>
      <c r="BG5710" t="str">
        <f>T("판타지 웹소설 &gt; 퓨전 판타지")</f>
        <v>판타지 웹소설 &gt; 퓨전 판타지</v>
      </c>
    </row>
    <row r="5711" spans="1:59">
      <c r="A5711" t="s">
        <v>60</v>
      </c>
      <c r="B5711" s="1">
        <v>46130</v>
      </c>
      <c r="C5711">
        <v>2378044065</v>
      </c>
      <c r="D5711">
        <v>2378064875</v>
      </c>
      <c r="E5711" t="str">
        <f>T("저승의 왕위를 계승했다 389화")</f>
        <v>저승의 왕위를 계승했다 389화</v>
      </c>
      <c r="F5711">
        <v>390</v>
      </c>
      <c r="G5711" t="str">
        <f>T("신타비")</f>
        <v>신타비</v>
      </c>
      <c r="J5711" t="str">
        <f>T("매드햇")</f>
        <v>매드햇</v>
      </c>
      <c r="K5711" t="str">
        <f>T("저승의 왕위를 계승했다")</f>
        <v>저승의 왕위를 계승했다</v>
      </c>
      <c r="L5711">
        <v>100</v>
      </c>
      <c r="M5711">
        <v>100</v>
      </c>
      <c r="N5711">
        <v>1</v>
      </c>
      <c r="O5711">
        <v>0</v>
      </c>
      <c r="P5711">
        <v>0</v>
      </c>
      <c r="Q5711">
        <v>0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0</v>
      </c>
      <c r="AE5711">
        <v>0</v>
      </c>
      <c r="AF5711">
        <v>0</v>
      </c>
      <c r="AG5711">
        <v>0</v>
      </c>
      <c r="AH5711">
        <v>0</v>
      </c>
      <c r="AI5711">
        <v>100</v>
      </c>
      <c r="AJ5711">
        <v>1</v>
      </c>
      <c r="AK5711">
        <v>0</v>
      </c>
      <c r="AL5711">
        <v>0</v>
      </c>
      <c r="AM5711">
        <v>100</v>
      </c>
      <c r="AN5711">
        <v>0</v>
      </c>
      <c r="AO5711">
        <v>0</v>
      </c>
      <c r="AP5711">
        <v>0</v>
      </c>
      <c r="AQ5711">
        <v>0</v>
      </c>
      <c r="AS5711">
        <v>0</v>
      </c>
      <c r="AT5711">
        <v>0</v>
      </c>
      <c r="AV5711">
        <v>0</v>
      </c>
      <c r="AW5711">
        <v>0</v>
      </c>
      <c r="AY5711">
        <v>0</v>
      </c>
      <c r="AZ5711">
        <v>0</v>
      </c>
      <c r="BA5711">
        <v>70</v>
      </c>
      <c r="BE5711" t="str">
        <f>T("9791137014381")</f>
        <v>9791137014381</v>
      </c>
      <c r="BF5711" t="str">
        <f>T("k284343")</f>
        <v>k284343</v>
      </c>
      <c r="BG5711" t="str">
        <f>T("판타지 웹소설 &gt; 퓨전 판타지")</f>
        <v>판타지 웹소설 &gt; 퓨전 판타지</v>
      </c>
    </row>
    <row r="5712" spans="1:59">
      <c r="A5712" t="s">
        <v>60</v>
      </c>
      <c r="B5712" s="1">
        <v>46130</v>
      </c>
      <c r="C5712">
        <v>2378044065</v>
      </c>
      <c r="D5712">
        <v>2378065313</v>
      </c>
      <c r="E5712" t="str">
        <f>T("저승의 왕위를 계승했다 390화")</f>
        <v>저승의 왕위를 계승했다 390화</v>
      </c>
      <c r="F5712">
        <v>391</v>
      </c>
      <c r="G5712" t="str">
        <f>T("신타비")</f>
        <v>신타비</v>
      </c>
      <c r="J5712" t="str">
        <f>T("매드햇")</f>
        <v>매드햇</v>
      </c>
      <c r="K5712" t="str">
        <f>T("저승의 왕위를 계승했다")</f>
        <v>저승의 왕위를 계승했다</v>
      </c>
      <c r="L5712">
        <v>100</v>
      </c>
      <c r="M5712">
        <v>100</v>
      </c>
      <c r="N5712">
        <v>1</v>
      </c>
      <c r="O5712">
        <v>0</v>
      </c>
      <c r="P5712">
        <v>0</v>
      </c>
      <c r="Q5712">
        <v>0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0</v>
      </c>
      <c r="AE5712">
        <v>0</v>
      </c>
      <c r="AF5712">
        <v>0</v>
      </c>
      <c r="AG5712">
        <v>0</v>
      </c>
      <c r="AH5712">
        <v>0</v>
      </c>
      <c r="AI5712">
        <v>100</v>
      </c>
      <c r="AJ5712">
        <v>1</v>
      </c>
      <c r="AK5712">
        <v>0</v>
      </c>
      <c r="AL5712">
        <v>0</v>
      </c>
      <c r="AM5712">
        <v>100</v>
      </c>
      <c r="AN5712">
        <v>0</v>
      </c>
      <c r="AO5712">
        <v>0</v>
      </c>
      <c r="AP5712">
        <v>0</v>
      </c>
      <c r="AQ5712">
        <v>0</v>
      </c>
      <c r="AS5712">
        <v>0</v>
      </c>
      <c r="AT5712">
        <v>0</v>
      </c>
      <c r="AV5712">
        <v>0</v>
      </c>
      <c r="AW5712">
        <v>0</v>
      </c>
      <c r="AY5712">
        <v>0</v>
      </c>
      <c r="AZ5712">
        <v>0</v>
      </c>
      <c r="BA5712">
        <v>70</v>
      </c>
      <c r="BE5712" t="str">
        <f>T("9791137014381")</f>
        <v>9791137014381</v>
      </c>
      <c r="BF5712" t="str">
        <f>T("k284344")</f>
        <v>k284344</v>
      </c>
      <c r="BG5712" t="str">
        <f>T("판타지 웹소설 &gt; 퓨전 판타지")</f>
        <v>판타지 웹소설 &gt; 퓨전 판타지</v>
      </c>
    </row>
    <row r="5713" spans="1:59">
      <c r="A5713" t="s">
        <v>60</v>
      </c>
      <c r="B5713" s="1">
        <v>46130</v>
      </c>
      <c r="C5713">
        <v>2378044065</v>
      </c>
      <c r="D5713">
        <v>2378065339</v>
      </c>
      <c r="E5713" t="str">
        <f>T("저승의 왕위를 계승했다 391화")</f>
        <v>저승의 왕위를 계승했다 391화</v>
      </c>
      <c r="F5713">
        <v>392</v>
      </c>
      <c r="G5713" t="str">
        <f>T("신타비")</f>
        <v>신타비</v>
      </c>
      <c r="J5713" t="str">
        <f>T("매드햇")</f>
        <v>매드햇</v>
      </c>
      <c r="K5713" t="str">
        <f>T("저승의 왕위를 계승했다")</f>
        <v>저승의 왕위를 계승했다</v>
      </c>
      <c r="L5713">
        <v>100</v>
      </c>
      <c r="M5713">
        <v>100</v>
      </c>
      <c r="N5713">
        <v>1</v>
      </c>
      <c r="O5713">
        <v>0</v>
      </c>
      <c r="P5713">
        <v>0</v>
      </c>
      <c r="Q5713">
        <v>0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0</v>
      </c>
      <c r="AE5713">
        <v>0</v>
      </c>
      <c r="AF5713">
        <v>0</v>
      </c>
      <c r="AG5713">
        <v>0</v>
      </c>
      <c r="AH5713">
        <v>0</v>
      </c>
      <c r="AI5713">
        <v>100</v>
      </c>
      <c r="AJ5713">
        <v>1</v>
      </c>
      <c r="AK5713">
        <v>0</v>
      </c>
      <c r="AL5713">
        <v>0</v>
      </c>
      <c r="AM5713">
        <v>100</v>
      </c>
      <c r="AN5713">
        <v>0</v>
      </c>
      <c r="AO5713">
        <v>0</v>
      </c>
      <c r="AP5713">
        <v>0</v>
      </c>
      <c r="AQ5713">
        <v>0</v>
      </c>
      <c r="AS5713">
        <v>0</v>
      </c>
      <c r="AT5713">
        <v>0</v>
      </c>
      <c r="AV5713">
        <v>0</v>
      </c>
      <c r="AW5713">
        <v>0</v>
      </c>
      <c r="AY5713">
        <v>0</v>
      </c>
      <c r="AZ5713">
        <v>0</v>
      </c>
      <c r="BA5713">
        <v>70</v>
      </c>
      <c r="BE5713" t="str">
        <f>T("9791137014381")</f>
        <v>9791137014381</v>
      </c>
      <c r="BF5713" t="str">
        <f>T("k288607")</f>
        <v>k288607</v>
      </c>
      <c r="BG5713" t="str">
        <f>T("판타지 웹소설 &gt; 퓨전 판타지")</f>
        <v>판타지 웹소설 &gt; 퓨전 판타지</v>
      </c>
    </row>
    <row r="5714" spans="1:59">
      <c r="A5714" t="s">
        <v>60</v>
      </c>
      <c r="B5714" s="1">
        <v>46130</v>
      </c>
      <c r="C5714">
        <v>2378044065</v>
      </c>
      <c r="D5714">
        <v>2378065385</v>
      </c>
      <c r="E5714" t="str">
        <f>T("저승의 왕위를 계승했다 392화")</f>
        <v>저승의 왕위를 계승했다 392화</v>
      </c>
      <c r="F5714">
        <v>393</v>
      </c>
      <c r="G5714" t="str">
        <f>T("신타비")</f>
        <v>신타비</v>
      </c>
      <c r="J5714" t="str">
        <f>T("매드햇")</f>
        <v>매드햇</v>
      </c>
      <c r="K5714" t="str">
        <f>T("저승의 왕위를 계승했다")</f>
        <v>저승의 왕위를 계승했다</v>
      </c>
      <c r="L5714">
        <v>100</v>
      </c>
      <c r="M5714">
        <v>100</v>
      </c>
      <c r="N5714">
        <v>1</v>
      </c>
      <c r="O5714">
        <v>0</v>
      </c>
      <c r="P5714">
        <v>0</v>
      </c>
      <c r="Q5714">
        <v>0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0</v>
      </c>
      <c r="AE5714">
        <v>0</v>
      </c>
      <c r="AF5714">
        <v>0</v>
      </c>
      <c r="AG5714">
        <v>0</v>
      </c>
      <c r="AH5714">
        <v>0</v>
      </c>
      <c r="AI5714">
        <v>100</v>
      </c>
      <c r="AJ5714">
        <v>1</v>
      </c>
      <c r="AK5714">
        <v>0</v>
      </c>
      <c r="AL5714">
        <v>0</v>
      </c>
      <c r="AM5714">
        <v>100</v>
      </c>
      <c r="AN5714">
        <v>0</v>
      </c>
      <c r="AO5714">
        <v>0</v>
      </c>
      <c r="AP5714">
        <v>0</v>
      </c>
      <c r="AQ5714">
        <v>0</v>
      </c>
      <c r="AS5714">
        <v>0</v>
      </c>
      <c r="AT5714">
        <v>0</v>
      </c>
      <c r="AV5714">
        <v>0</v>
      </c>
      <c r="AW5714">
        <v>0</v>
      </c>
      <c r="AY5714">
        <v>0</v>
      </c>
      <c r="AZ5714">
        <v>0</v>
      </c>
      <c r="BA5714">
        <v>70</v>
      </c>
      <c r="BE5714" t="str">
        <f>T("9791137014381")</f>
        <v>9791137014381</v>
      </c>
      <c r="BF5714" t="str">
        <f>T("k288608")</f>
        <v>k288608</v>
      </c>
      <c r="BG5714" t="str">
        <f>T("판타지 웹소설 &gt; 퓨전 판타지")</f>
        <v>판타지 웹소설 &gt; 퓨전 판타지</v>
      </c>
    </row>
    <row r="5715" spans="1:59">
      <c r="A5715" t="s">
        <v>60</v>
      </c>
      <c r="B5715" s="1">
        <v>46130</v>
      </c>
      <c r="C5715">
        <v>2378044065</v>
      </c>
      <c r="D5715">
        <v>2378065561</v>
      </c>
      <c r="E5715" t="str">
        <f>T("저승의 왕위를 계승했다 393화")</f>
        <v>저승의 왕위를 계승했다 393화</v>
      </c>
      <c r="F5715">
        <v>394</v>
      </c>
      <c r="G5715" t="str">
        <f>T("신타비")</f>
        <v>신타비</v>
      </c>
      <c r="J5715" t="str">
        <f>T("매드햇")</f>
        <v>매드햇</v>
      </c>
      <c r="K5715" t="str">
        <f>T("저승의 왕위를 계승했다")</f>
        <v>저승의 왕위를 계승했다</v>
      </c>
      <c r="L5715">
        <v>100</v>
      </c>
      <c r="M5715">
        <v>100</v>
      </c>
      <c r="N5715">
        <v>1</v>
      </c>
      <c r="O5715">
        <v>0</v>
      </c>
      <c r="P5715">
        <v>0</v>
      </c>
      <c r="Q5715">
        <v>0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0</v>
      </c>
      <c r="AE5715">
        <v>0</v>
      </c>
      <c r="AF5715">
        <v>0</v>
      </c>
      <c r="AG5715">
        <v>0</v>
      </c>
      <c r="AH5715">
        <v>0</v>
      </c>
      <c r="AI5715">
        <v>100</v>
      </c>
      <c r="AJ5715">
        <v>1</v>
      </c>
      <c r="AK5715">
        <v>0</v>
      </c>
      <c r="AL5715">
        <v>0</v>
      </c>
      <c r="AM5715">
        <v>100</v>
      </c>
      <c r="AN5715">
        <v>0</v>
      </c>
      <c r="AO5715">
        <v>0</v>
      </c>
      <c r="AP5715">
        <v>0</v>
      </c>
      <c r="AQ5715">
        <v>0</v>
      </c>
      <c r="AS5715">
        <v>0</v>
      </c>
      <c r="AT5715">
        <v>0</v>
      </c>
      <c r="AV5715">
        <v>0</v>
      </c>
      <c r="AW5715">
        <v>0</v>
      </c>
      <c r="AY5715">
        <v>0</v>
      </c>
      <c r="AZ5715">
        <v>0</v>
      </c>
      <c r="BA5715">
        <v>70</v>
      </c>
      <c r="BE5715" t="str">
        <f>T("9791137014381")</f>
        <v>9791137014381</v>
      </c>
      <c r="BF5715" t="str">
        <f>T("k288609")</f>
        <v>k288609</v>
      </c>
      <c r="BG5715" t="str">
        <f>T("판타지 웹소설 &gt; 퓨전 판타지")</f>
        <v>판타지 웹소설 &gt; 퓨전 판타지</v>
      </c>
    </row>
    <row r="5716" spans="1:59">
      <c r="A5716" t="s">
        <v>60</v>
      </c>
      <c r="B5716" s="1">
        <v>46130</v>
      </c>
      <c r="C5716">
        <v>2378044065</v>
      </c>
      <c r="D5716">
        <v>2378065589</v>
      </c>
      <c r="E5716" t="str">
        <f>T("저승의 왕위를 계승했다 394화")</f>
        <v>저승의 왕위를 계승했다 394화</v>
      </c>
      <c r="F5716">
        <v>395</v>
      </c>
      <c r="G5716" t="str">
        <f>T("신타비")</f>
        <v>신타비</v>
      </c>
      <c r="J5716" t="str">
        <f>T("매드햇")</f>
        <v>매드햇</v>
      </c>
      <c r="K5716" t="str">
        <f>T("저승의 왕위를 계승했다")</f>
        <v>저승의 왕위를 계승했다</v>
      </c>
      <c r="L5716">
        <v>100</v>
      </c>
      <c r="M5716">
        <v>100</v>
      </c>
      <c r="N5716">
        <v>1</v>
      </c>
      <c r="O5716">
        <v>0</v>
      </c>
      <c r="P5716">
        <v>0</v>
      </c>
      <c r="Q5716">
        <v>0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0</v>
      </c>
      <c r="AE5716">
        <v>0</v>
      </c>
      <c r="AF5716">
        <v>0</v>
      </c>
      <c r="AG5716">
        <v>0</v>
      </c>
      <c r="AH5716">
        <v>0</v>
      </c>
      <c r="AI5716">
        <v>100</v>
      </c>
      <c r="AJ5716">
        <v>1</v>
      </c>
      <c r="AK5716">
        <v>0</v>
      </c>
      <c r="AL5716">
        <v>0</v>
      </c>
      <c r="AM5716">
        <v>100</v>
      </c>
      <c r="AN5716">
        <v>0</v>
      </c>
      <c r="AO5716">
        <v>0</v>
      </c>
      <c r="AP5716">
        <v>0</v>
      </c>
      <c r="AQ5716">
        <v>0</v>
      </c>
      <c r="AS5716">
        <v>0</v>
      </c>
      <c r="AT5716">
        <v>0</v>
      </c>
      <c r="AV5716">
        <v>0</v>
      </c>
      <c r="AW5716">
        <v>0</v>
      </c>
      <c r="AY5716">
        <v>0</v>
      </c>
      <c r="AZ5716">
        <v>0</v>
      </c>
      <c r="BA5716">
        <v>70</v>
      </c>
      <c r="BE5716" t="str">
        <f>T("9791137014381")</f>
        <v>9791137014381</v>
      </c>
      <c r="BF5716" t="str">
        <f>T("k288610")</f>
        <v>k288610</v>
      </c>
      <c r="BG5716" t="str">
        <f>T("판타지 웹소설 &gt; 퓨전 판타지")</f>
        <v>판타지 웹소설 &gt; 퓨전 판타지</v>
      </c>
    </row>
    <row r="5717" spans="1:59">
      <c r="A5717" t="s">
        <v>60</v>
      </c>
      <c r="B5717" s="1">
        <v>46130</v>
      </c>
      <c r="C5717">
        <v>2378044065</v>
      </c>
      <c r="D5717">
        <v>2378065590</v>
      </c>
      <c r="E5717" t="str">
        <f>T("저승의 왕위를 계승했다 395화")</f>
        <v>저승의 왕위를 계승했다 395화</v>
      </c>
      <c r="F5717">
        <v>396</v>
      </c>
      <c r="G5717" t="str">
        <f>T("신타비")</f>
        <v>신타비</v>
      </c>
      <c r="J5717" t="str">
        <f>T("매드햇")</f>
        <v>매드햇</v>
      </c>
      <c r="K5717" t="str">
        <f>T("저승의 왕위를 계승했다")</f>
        <v>저승의 왕위를 계승했다</v>
      </c>
      <c r="L5717">
        <v>100</v>
      </c>
      <c r="M5717">
        <v>100</v>
      </c>
      <c r="N5717">
        <v>1</v>
      </c>
      <c r="O5717">
        <v>0</v>
      </c>
      <c r="P5717">
        <v>0</v>
      </c>
      <c r="Q5717">
        <v>0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0</v>
      </c>
      <c r="AE5717">
        <v>0</v>
      </c>
      <c r="AF5717">
        <v>0</v>
      </c>
      <c r="AG5717">
        <v>0</v>
      </c>
      <c r="AH5717">
        <v>0</v>
      </c>
      <c r="AI5717">
        <v>100</v>
      </c>
      <c r="AJ5717">
        <v>1</v>
      </c>
      <c r="AK5717">
        <v>0</v>
      </c>
      <c r="AL5717">
        <v>0</v>
      </c>
      <c r="AM5717">
        <v>100</v>
      </c>
      <c r="AN5717">
        <v>0</v>
      </c>
      <c r="AO5717">
        <v>0</v>
      </c>
      <c r="AP5717">
        <v>0</v>
      </c>
      <c r="AQ5717">
        <v>0</v>
      </c>
      <c r="AS5717">
        <v>0</v>
      </c>
      <c r="AT5717">
        <v>0</v>
      </c>
      <c r="AV5717">
        <v>0</v>
      </c>
      <c r="AW5717">
        <v>0</v>
      </c>
      <c r="AY5717">
        <v>0</v>
      </c>
      <c r="AZ5717">
        <v>0</v>
      </c>
      <c r="BA5717">
        <v>70</v>
      </c>
      <c r="BE5717" t="str">
        <f>T("9791137014381")</f>
        <v>9791137014381</v>
      </c>
      <c r="BF5717" t="str">
        <f>T("k289900")</f>
        <v>k289900</v>
      </c>
      <c r="BG5717" t="str">
        <f>T("판타지 웹소설 &gt; 퓨전 판타지")</f>
        <v>판타지 웹소설 &gt; 퓨전 판타지</v>
      </c>
    </row>
    <row r="5718" spans="1:59">
      <c r="A5718" t="s">
        <v>60</v>
      </c>
      <c r="B5718" s="1">
        <v>46130</v>
      </c>
      <c r="C5718">
        <v>2378044065</v>
      </c>
      <c r="D5718">
        <v>2378065616</v>
      </c>
      <c r="E5718" t="str">
        <f>T("저승의 왕위를 계승했다 396화")</f>
        <v>저승의 왕위를 계승했다 396화</v>
      </c>
      <c r="F5718">
        <v>397</v>
      </c>
      <c r="G5718" t="str">
        <f>T("신타비")</f>
        <v>신타비</v>
      </c>
      <c r="J5718" t="str">
        <f>T("매드햇")</f>
        <v>매드햇</v>
      </c>
      <c r="K5718" t="str">
        <f>T("저승의 왕위를 계승했다")</f>
        <v>저승의 왕위를 계승했다</v>
      </c>
      <c r="L5718">
        <v>100</v>
      </c>
      <c r="M5718">
        <v>100</v>
      </c>
      <c r="N5718">
        <v>1</v>
      </c>
      <c r="O5718">
        <v>0</v>
      </c>
      <c r="P5718">
        <v>0</v>
      </c>
      <c r="Q5718">
        <v>0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0</v>
      </c>
      <c r="AE5718">
        <v>0</v>
      </c>
      <c r="AF5718">
        <v>0</v>
      </c>
      <c r="AG5718">
        <v>0</v>
      </c>
      <c r="AH5718">
        <v>0</v>
      </c>
      <c r="AI5718">
        <v>100</v>
      </c>
      <c r="AJ5718">
        <v>1</v>
      </c>
      <c r="AK5718">
        <v>0</v>
      </c>
      <c r="AL5718">
        <v>0</v>
      </c>
      <c r="AM5718">
        <v>100</v>
      </c>
      <c r="AN5718">
        <v>0</v>
      </c>
      <c r="AO5718">
        <v>0</v>
      </c>
      <c r="AP5718">
        <v>0</v>
      </c>
      <c r="AQ5718">
        <v>0</v>
      </c>
      <c r="AS5718">
        <v>0</v>
      </c>
      <c r="AT5718">
        <v>0</v>
      </c>
      <c r="AV5718">
        <v>0</v>
      </c>
      <c r="AW5718">
        <v>0</v>
      </c>
      <c r="AY5718">
        <v>0</v>
      </c>
      <c r="AZ5718">
        <v>0</v>
      </c>
      <c r="BA5718">
        <v>70</v>
      </c>
      <c r="BE5718" t="str">
        <f>T("9791137014381")</f>
        <v>9791137014381</v>
      </c>
      <c r="BF5718" t="str">
        <f>T("k289901")</f>
        <v>k289901</v>
      </c>
      <c r="BG5718" t="str">
        <f>T("판타지 웹소설 &gt; 퓨전 판타지")</f>
        <v>판타지 웹소설 &gt; 퓨전 판타지</v>
      </c>
    </row>
    <row r="5719" spans="1:59">
      <c r="A5719" t="s">
        <v>60</v>
      </c>
      <c r="B5719" s="1">
        <v>46130</v>
      </c>
      <c r="C5719">
        <v>2378044065</v>
      </c>
      <c r="D5719">
        <v>2378065651</v>
      </c>
      <c r="E5719" t="str">
        <f>T("저승의 왕위를 계승했다 397화")</f>
        <v>저승의 왕위를 계승했다 397화</v>
      </c>
      <c r="F5719">
        <v>398</v>
      </c>
      <c r="G5719" t="str">
        <f>T("신타비")</f>
        <v>신타비</v>
      </c>
      <c r="J5719" t="str">
        <f>T("매드햇")</f>
        <v>매드햇</v>
      </c>
      <c r="K5719" t="str">
        <f>T("저승의 왕위를 계승했다")</f>
        <v>저승의 왕위를 계승했다</v>
      </c>
      <c r="L5719">
        <v>100</v>
      </c>
      <c r="M5719">
        <v>100</v>
      </c>
      <c r="N5719">
        <v>1</v>
      </c>
      <c r="O5719">
        <v>0</v>
      </c>
      <c r="P5719">
        <v>0</v>
      </c>
      <c r="Q5719">
        <v>0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0</v>
      </c>
      <c r="AC5719">
        <v>0</v>
      </c>
      <c r="AD5719">
        <v>0</v>
      </c>
      <c r="AE5719">
        <v>0</v>
      </c>
      <c r="AF5719">
        <v>0</v>
      </c>
      <c r="AG5719">
        <v>0</v>
      </c>
      <c r="AH5719">
        <v>0</v>
      </c>
      <c r="AI5719">
        <v>100</v>
      </c>
      <c r="AJ5719">
        <v>1</v>
      </c>
      <c r="AK5719">
        <v>0</v>
      </c>
      <c r="AL5719">
        <v>0</v>
      </c>
      <c r="AM5719">
        <v>100</v>
      </c>
      <c r="AN5719">
        <v>0</v>
      </c>
      <c r="AO5719">
        <v>0</v>
      </c>
      <c r="AP5719">
        <v>0</v>
      </c>
      <c r="AQ5719">
        <v>0</v>
      </c>
      <c r="AS5719">
        <v>0</v>
      </c>
      <c r="AT5719">
        <v>0</v>
      </c>
      <c r="AV5719">
        <v>0</v>
      </c>
      <c r="AW5719">
        <v>0</v>
      </c>
      <c r="AY5719">
        <v>0</v>
      </c>
      <c r="AZ5719">
        <v>0</v>
      </c>
      <c r="BA5719">
        <v>70</v>
      </c>
      <c r="BE5719" t="str">
        <f>T("9791137014381")</f>
        <v>9791137014381</v>
      </c>
      <c r="BF5719" t="str">
        <f>T("k289902")</f>
        <v>k289902</v>
      </c>
      <c r="BG5719" t="str">
        <f>T("판타지 웹소설 &gt; 퓨전 판타지")</f>
        <v>판타지 웹소설 &gt; 퓨전 판타지</v>
      </c>
    </row>
    <row r="5720" spans="1:59">
      <c r="A5720" t="s">
        <v>60</v>
      </c>
      <c r="B5720" s="1">
        <v>46130</v>
      </c>
      <c r="C5720">
        <v>2378044065</v>
      </c>
      <c r="D5720">
        <v>2378065685</v>
      </c>
      <c r="E5720" t="str">
        <f>T("저승의 왕위를 계승했다 398화")</f>
        <v>저승의 왕위를 계승했다 398화</v>
      </c>
      <c r="F5720">
        <v>399</v>
      </c>
      <c r="G5720" t="str">
        <f>T("신타비")</f>
        <v>신타비</v>
      </c>
      <c r="J5720" t="str">
        <f>T("매드햇")</f>
        <v>매드햇</v>
      </c>
      <c r="K5720" t="str">
        <f>T("저승의 왕위를 계승했다")</f>
        <v>저승의 왕위를 계승했다</v>
      </c>
      <c r="L5720">
        <v>100</v>
      </c>
      <c r="M5720">
        <v>100</v>
      </c>
      <c r="N5720">
        <v>1</v>
      </c>
      <c r="O5720">
        <v>0</v>
      </c>
      <c r="P5720">
        <v>0</v>
      </c>
      <c r="Q5720">
        <v>0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0</v>
      </c>
      <c r="AC5720">
        <v>0</v>
      </c>
      <c r="AD5720">
        <v>0</v>
      </c>
      <c r="AE5720">
        <v>0</v>
      </c>
      <c r="AF5720">
        <v>0</v>
      </c>
      <c r="AG5720">
        <v>0</v>
      </c>
      <c r="AH5720">
        <v>0</v>
      </c>
      <c r="AI5720">
        <v>100</v>
      </c>
      <c r="AJ5720">
        <v>1</v>
      </c>
      <c r="AK5720">
        <v>0</v>
      </c>
      <c r="AL5720">
        <v>0</v>
      </c>
      <c r="AM5720">
        <v>100</v>
      </c>
      <c r="AN5720">
        <v>0</v>
      </c>
      <c r="AO5720">
        <v>0</v>
      </c>
      <c r="AP5720">
        <v>0</v>
      </c>
      <c r="AQ5720">
        <v>0</v>
      </c>
      <c r="AS5720">
        <v>0</v>
      </c>
      <c r="AT5720">
        <v>0</v>
      </c>
      <c r="AV5720">
        <v>0</v>
      </c>
      <c r="AW5720">
        <v>0</v>
      </c>
      <c r="AY5720">
        <v>0</v>
      </c>
      <c r="AZ5720">
        <v>0</v>
      </c>
      <c r="BA5720">
        <v>70</v>
      </c>
      <c r="BE5720" t="str">
        <f>T("9791137014381")</f>
        <v>9791137014381</v>
      </c>
      <c r="BF5720" t="str">
        <f>T("k289903")</f>
        <v>k289903</v>
      </c>
      <c r="BG5720" t="str">
        <f>T("판타지 웹소설 &gt; 퓨전 판타지")</f>
        <v>판타지 웹소설 &gt; 퓨전 판타지</v>
      </c>
    </row>
    <row r="5721" spans="1:59">
      <c r="A5721" t="s">
        <v>60</v>
      </c>
      <c r="B5721" s="1">
        <v>46130</v>
      </c>
      <c r="C5721">
        <v>2378044065</v>
      </c>
      <c r="D5721">
        <v>2378065715</v>
      </c>
      <c r="E5721" t="str">
        <f>T("저승의 왕위를 계승했다 399화")</f>
        <v>저승의 왕위를 계승했다 399화</v>
      </c>
      <c r="F5721">
        <v>400</v>
      </c>
      <c r="G5721" t="str">
        <f>T("신타비")</f>
        <v>신타비</v>
      </c>
      <c r="J5721" t="str">
        <f>T("매드햇")</f>
        <v>매드햇</v>
      </c>
      <c r="K5721" t="str">
        <f>T("저승의 왕위를 계승했다")</f>
        <v>저승의 왕위를 계승했다</v>
      </c>
      <c r="L5721">
        <v>100</v>
      </c>
      <c r="M5721">
        <v>100</v>
      </c>
      <c r="N5721">
        <v>1</v>
      </c>
      <c r="O5721">
        <v>0</v>
      </c>
      <c r="P5721">
        <v>0</v>
      </c>
      <c r="Q5721">
        <v>0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0</v>
      </c>
      <c r="AC5721">
        <v>0</v>
      </c>
      <c r="AD5721">
        <v>0</v>
      </c>
      <c r="AE5721">
        <v>0</v>
      </c>
      <c r="AF5721">
        <v>0</v>
      </c>
      <c r="AG5721">
        <v>0</v>
      </c>
      <c r="AH5721">
        <v>0</v>
      </c>
      <c r="AI5721">
        <v>100</v>
      </c>
      <c r="AJ5721">
        <v>1</v>
      </c>
      <c r="AK5721">
        <v>0</v>
      </c>
      <c r="AL5721">
        <v>0</v>
      </c>
      <c r="AM5721">
        <v>100</v>
      </c>
      <c r="AN5721">
        <v>0</v>
      </c>
      <c r="AO5721">
        <v>0</v>
      </c>
      <c r="AP5721">
        <v>0</v>
      </c>
      <c r="AQ5721">
        <v>0</v>
      </c>
      <c r="AS5721">
        <v>0</v>
      </c>
      <c r="AT5721">
        <v>0</v>
      </c>
      <c r="AV5721">
        <v>0</v>
      </c>
      <c r="AW5721">
        <v>0</v>
      </c>
      <c r="AY5721">
        <v>0</v>
      </c>
      <c r="AZ5721">
        <v>0</v>
      </c>
      <c r="BA5721">
        <v>70</v>
      </c>
      <c r="BE5721" t="str">
        <f>T("9791137014381")</f>
        <v>9791137014381</v>
      </c>
      <c r="BF5721" t="str">
        <f>T("k294811")</f>
        <v>k294811</v>
      </c>
      <c r="BG5721" t="str">
        <f>T("판타지 웹소설 &gt; 퓨전 판타지")</f>
        <v>판타지 웹소설 &gt; 퓨전 판타지</v>
      </c>
    </row>
    <row r="5722" spans="1:59">
      <c r="A5722" t="s">
        <v>60</v>
      </c>
      <c r="B5722" s="1">
        <v>46130</v>
      </c>
      <c r="C5722">
        <v>2378044065</v>
      </c>
      <c r="D5722">
        <v>2378065733</v>
      </c>
      <c r="E5722" t="str">
        <f>T("저승의 왕위를 계승했다 400화")</f>
        <v>저승의 왕위를 계승했다 400화</v>
      </c>
      <c r="F5722">
        <v>401</v>
      </c>
      <c r="G5722" t="str">
        <f>T("신타비")</f>
        <v>신타비</v>
      </c>
      <c r="J5722" t="str">
        <f>T("매드햇")</f>
        <v>매드햇</v>
      </c>
      <c r="K5722" t="str">
        <f>T("저승의 왕위를 계승했다")</f>
        <v>저승의 왕위를 계승했다</v>
      </c>
      <c r="L5722">
        <v>100</v>
      </c>
      <c r="M5722">
        <v>100</v>
      </c>
      <c r="N5722">
        <v>1</v>
      </c>
      <c r="O5722">
        <v>0</v>
      </c>
      <c r="P5722">
        <v>0</v>
      </c>
      <c r="Q5722">
        <v>0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0</v>
      </c>
      <c r="AC5722">
        <v>0</v>
      </c>
      <c r="AD5722">
        <v>0</v>
      </c>
      <c r="AE5722">
        <v>0</v>
      </c>
      <c r="AF5722">
        <v>0</v>
      </c>
      <c r="AG5722">
        <v>0</v>
      </c>
      <c r="AH5722">
        <v>0</v>
      </c>
      <c r="AI5722">
        <v>100</v>
      </c>
      <c r="AJ5722">
        <v>1</v>
      </c>
      <c r="AK5722">
        <v>0</v>
      </c>
      <c r="AL5722">
        <v>0</v>
      </c>
      <c r="AM5722">
        <v>100</v>
      </c>
      <c r="AN5722">
        <v>0</v>
      </c>
      <c r="AO5722">
        <v>0</v>
      </c>
      <c r="AP5722">
        <v>0</v>
      </c>
      <c r="AQ5722">
        <v>0</v>
      </c>
      <c r="AS5722">
        <v>0</v>
      </c>
      <c r="AT5722">
        <v>0</v>
      </c>
      <c r="AV5722">
        <v>0</v>
      </c>
      <c r="AW5722">
        <v>0</v>
      </c>
      <c r="AY5722">
        <v>0</v>
      </c>
      <c r="AZ5722">
        <v>0</v>
      </c>
      <c r="BA5722">
        <v>70</v>
      </c>
      <c r="BE5722" t="str">
        <f>T("9791137014381")</f>
        <v>9791137014381</v>
      </c>
      <c r="BF5722" t="str">
        <f>T("k294812")</f>
        <v>k294812</v>
      </c>
      <c r="BG5722" t="str">
        <f>T("판타지 웹소설 &gt; 퓨전 판타지")</f>
        <v>판타지 웹소설 &gt; 퓨전 판타지</v>
      </c>
    </row>
    <row r="5723" spans="1:59">
      <c r="A5723" t="s">
        <v>60</v>
      </c>
      <c r="B5723" s="1">
        <v>46130</v>
      </c>
      <c r="C5723">
        <v>2378044065</v>
      </c>
      <c r="D5723">
        <v>2378065916</v>
      </c>
      <c r="E5723" t="str">
        <f>T("저승의 왕위를 계승했다 401화")</f>
        <v>저승의 왕위를 계승했다 401화</v>
      </c>
      <c r="F5723">
        <v>402</v>
      </c>
      <c r="G5723" t="str">
        <f>T("신타비")</f>
        <v>신타비</v>
      </c>
      <c r="J5723" t="str">
        <f>T("매드햇")</f>
        <v>매드햇</v>
      </c>
      <c r="K5723" t="str">
        <f>T("저승의 왕위를 계승했다")</f>
        <v>저승의 왕위를 계승했다</v>
      </c>
      <c r="L5723">
        <v>100</v>
      </c>
      <c r="M5723">
        <v>100</v>
      </c>
      <c r="N5723">
        <v>1</v>
      </c>
      <c r="O5723">
        <v>0</v>
      </c>
      <c r="P5723">
        <v>0</v>
      </c>
      <c r="Q5723">
        <v>0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0</v>
      </c>
      <c r="AC5723">
        <v>0</v>
      </c>
      <c r="AD5723">
        <v>0</v>
      </c>
      <c r="AE5723">
        <v>0</v>
      </c>
      <c r="AF5723">
        <v>0</v>
      </c>
      <c r="AG5723">
        <v>0</v>
      </c>
      <c r="AH5723">
        <v>0</v>
      </c>
      <c r="AI5723">
        <v>100</v>
      </c>
      <c r="AJ5723">
        <v>1</v>
      </c>
      <c r="AK5723">
        <v>0</v>
      </c>
      <c r="AL5723">
        <v>0</v>
      </c>
      <c r="AM5723">
        <v>100</v>
      </c>
      <c r="AN5723">
        <v>0</v>
      </c>
      <c r="AO5723">
        <v>0</v>
      </c>
      <c r="AP5723">
        <v>0</v>
      </c>
      <c r="AQ5723">
        <v>0</v>
      </c>
      <c r="AS5723">
        <v>0</v>
      </c>
      <c r="AT5723">
        <v>0</v>
      </c>
      <c r="AV5723">
        <v>0</v>
      </c>
      <c r="AW5723">
        <v>0</v>
      </c>
      <c r="AY5723">
        <v>0</v>
      </c>
      <c r="AZ5723">
        <v>0</v>
      </c>
      <c r="BA5723">
        <v>70</v>
      </c>
      <c r="BE5723" t="str">
        <f>T("9791137014381")</f>
        <v>9791137014381</v>
      </c>
      <c r="BF5723" t="str">
        <f>T("k294813")</f>
        <v>k294813</v>
      </c>
      <c r="BG5723" t="str">
        <f>T("판타지 웹소설 &gt; 퓨전 판타지")</f>
        <v>판타지 웹소설 &gt; 퓨전 판타지</v>
      </c>
    </row>
    <row r="5724" spans="1:59">
      <c r="A5724" t="s">
        <v>60</v>
      </c>
      <c r="B5724" s="1">
        <v>46130</v>
      </c>
      <c r="C5724">
        <v>2378044065</v>
      </c>
      <c r="D5724">
        <v>2378065930</v>
      </c>
      <c r="E5724" t="str">
        <f>T("저승의 왕위를 계승했다 402화")</f>
        <v>저승의 왕위를 계승했다 402화</v>
      </c>
      <c r="F5724">
        <v>403</v>
      </c>
      <c r="G5724" t="str">
        <f>T("신타비")</f>
        <v>신타비</v>
      </c>
      <c r="J5724" t="str">
        <f>T("매드햇")</f>
        <v>매드햇</v>
      </c>
      <c r="K5724" t="str">
        <f>T("저승의 왕위를 계승했다")</f>
        <v>저승의 왕위를 계승했다</v>
      </c>
      <c r="L5724">
        <v>100</v>
      </c>
      <c r="M5724">
        <v>100</v>
      </c>
      <c r="N5724">
        <v>1</v>
      </c>
      <c r="O5724">
        <v>0</v>
      </c>
      <c r="P5724">
        <v>0</v>
      </c>
      <c r="Q5724">
        <v>0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0</v>
      </c>
      <c r="AC5724">
        <v>0</v>
      </c>
      <c r="AD5724">
        <v>0</v>
      </c>
      <c r="AE5724">
        <v>0</v>
      </c>
      <c r="AF5724">
        <v>0</v>
      </c>
      <c r="AG5724">
        <v>0</v>
      </c>
      <c r="AH5724">
        <v>0</v>
      </c>
      <c r="AI5724">
        <v>100</v>
      </c>
      <c r="AJ5724">
        <v>1</v>
      </c>
      <c r="AK5724">
        <v>0</v>
      </c>
      <c r="AL5724">
        <v>0</v>
      </c>
      <c r="AM5724">
        <v>100</v>
      </c>
      <c r="AN5724">
        <v>0</v>
      </c>
      <c r="AO5724">
        <v>0</v>
      </c>
      <c r="AP5724">
        <v>0</v>
      </c>
      <c r="AQ5724">
        <v>0</v>
      </c>
      <c r="AS5724">
        <v>0</v>
      </c>
      <c r="AT5724">
        <v>0</v>
      </c>
      <c r="AV5724">
        <v>0</v>
      </c>
      <c r="AW5724">
        <v>0</v>
      </c>
      <c r="AY5724">
        <v>0</v>
      </c>
      <c r="AZ5724">
        <v>0</v>
      </c>
      <c r="BA5724">
        <v>70</v>
      </c>
      <c r="BE5724" t="str">
        <f>T("9791137014381")</f>
        <v>9791137014381</v>
      </c>
      <c r="BF5724" t="str">
        <f>T("k294814")</f>
        <v>k294814</v>
      </c>
      <c r="BG5724" t="str">
        <f>T("판타지 웹소설 &gt; 퓨전 판타지")</f>
        <v>판타지 웹소설 &gt; 퓨전 판타지</v>
      </c>
    </row>
    <row r="5725" spans="1:59">
      <c r="A5725" t="s">
        <v>60</v>
      </c>
      <c r="B5725" s="1">
        <v>46130</v>
      </c>
      <c r="C5725">
        <v>2378044065</v>
      </c>
      <c r="D5725">
        <v>2378065966</v>
      </c>
      <c r="E5725" t="str">
        <f>T("저승의 왕위를 계승했다 403화")</f>
        <v>저승의 왕위를 계승했다 403화</v>
      </c>
      <c r="F5725">
        <v>404</v>
      </c>
      <c r="G5725" t="str">
        <f>T("신타비")</f>
        <v>신타비</v>
      </c>
      <c r="J5725" t="str">
        <f>T("매드햇")</f>
        <v>매드햇</v>
      </c>
      <c r="K5725" t="str">
        <f>T("저승의 왕위를 계승했다")</f>
        <v>저승의 왕위를 계승했다</v>
      </c>
      <c r="L5725">
        <v>100</v>
      </c>
      <c r="M5725">
        <v>100</v>
      </c>
      <c r="N5725">
        <v>1</v>
      </c>
      <c r="O5725">
        <v>0</v>
      </c>
      <c r="P5725">
        <v>0</v>
      </c>
      <c r="Q5725">
        <v>0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0</v>
      </c>
      <c r="AC5725">
        <v>0</v>
      </c>
      <c r="AD5725">
        <v>0</v>
      </c>
      <c r="AE5725">
        <v>0</v>
      </c>
      <c r="AF5725">
        <v>0</v>
      </c>
      <c r="AG5725">
        <v>0</v>
      </c>
      <c r="AH5725">
        <v>0</v>
      </c>
      <c r="AI5725">
        <v>100</v>
      </c>
      <c r="AJ5725">
        <v>1</v>
      </c>
      <c r="AK5725">
        <v>0</v>
      </c>
      <c r="AL5725">
        <v>0</v>
      </c>
      <c r="AM5725">
        <v>100</v>
      </c>
      <c r="AN5725">
        <v>0</v>
      </c>
      <c r="AO5725">
        <v>0</v>
      </c>
      <c r="AP5725">
        <v>0</v>
      </c>
      <c r="AQ5725">
        <v>0</v>
      </c>
      <c r="AS5725">
        <v>0</v>
      </c>
      <c r="AT5725">
        <v>0</v>
      </c>
      <c r="AV5725">
        <v>0</v>
      </c>
      <c r="AW5725">
        <v>0</v>
      </c>
      <c r="AY5725">
        <v>0</v>
      </c>
      <c r="AZ5725">
        <v>0</v>
      </c>
      <c r="BA5725">
        <v>70</v>
      </c>
      <c r="BE5725" t="str">
        <f>T("9791137014381")</f>
        <v>9791137014381</v>
      </c>
      <c r="BF5725" t="str">
        <f>T("k296858")</f>
        <v>k296858</v>
      </c>
      <c r="BG5725" t="str">
        <f>T("판타지 웹소설 &gt; 퓨전 판타지")</f>
        <v>판타지 웹소설 &gt; 퓨전 판타지</v>
      </c>
    </row>
    <row r="5726" spans="1:59">
      <c r="A5726" t="s">
        <v>60</v>
      </c>
      <c r="B5726" s="1">
        <v>46130</v>
      </c>
      <c r="C5726">
        <v>2378044065</v>
      </c>
      <c r="D5726">
        <v>2378066137</v>
      </c>
      <c r="E5726" t="str">
        <f>T("저승의 왕위를 계승했다 404화")</f>
        <v>저승의 왕위를 계승했다 404화</v>
      </c>
      <c r="F5726">
        <v>405</v>
      </c>
      <c r="G5726" t="str">
        <f>T("신타비")</f>
        <v>신타비</v>
      </c>
      <c r="J5726" t="str">
        <f>T("매드햇")</f>
        <v>매드햇</v>
      </c>
      <c r="K5726" t="str">
        <f>T("저승의 왕위를 계승했다")</f>
        <v>저승의 왕위를 계승했다</v>
      </c>
      <c r="L5726">
        <v>100</v>
      </c>
      <c r="M5726">
        <v>100</v>
      </c>
      <c r="N5726">
        <v>1</v>
      </c>
      <c r="O5726">
        <v>0</v>
      </c>
      <c r="P5726">
        <v>0</v>
      </c>
      <c r="Q5726">
        <v>0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0</v>
      </c>
      <c r="AC5726">
        <v>0</v>
      </c>
      <c r="AD5726">
        <v>0</v>
      </c>
      <c r="AE5726">
        <v>0</v>
      </c>
      <c r="AF5726">
        <v>0</v>
      </c>
      <c r="AG5726">
        <v>0</v>
      </c>
      <c r="AH5726">
        <v>0</v>
      </c>
      <c r="AI5726">
        <v>100</v>
      </c>
      <c r="AJ5726">
        <v>1</v>
      </c>
      <c r="AK5726">
        <v>0</v>
      </c>
      <c r="AL5726">
        <v>0</v>
      </c>
      <c r="AM5726">
        <v>100</v>
      </c>
      <c r="AN5726">
        <v>0</v>
      </c>
      <c r="AO5726">
        <v>0</v>
      </c>
      <c r="AP5726">
        <v>0</v>
      </c>
      <c r="AQ5726">
        <v>0</v>
      </c>
      <c r="AS5726">
        <v>0</v>
      </c>
      <c r="AT5726">
        <v>0</v>
      </c>
      <c r="AV5726">
        <v>0</v>
      </c>
      <c r="AW5726">
        <v>0</v>
      </c>
      <c r="AY5726">
        <v>0</v>
      </c>
      <c r="AZ5726">
        <v>0</v>
      </c>
      <c r="BA5726">
        <v>70</v>
      </c>
      <c r="BE5726" t="str">
        <f>T("9791137014381")</f>
        <v>9791137014381</v>
      </c>
      <c r="BF5726" t="str">
        <f>T("k296859")</f>
        <v>k296859</v>
      </c>
      <c r="BG5726" t="str">
        <f>T("판타지 웹소설 &gt; 퓨전 판타지")</f>
        <v>판타지 웹소설 &gt; 퓨전 판타지</v>
      </c>
    </row>
    <row r="5727" spans="1:59">
      <c r="A5727" t="s">
        <v>60</v>
      </c>
      <c r="B5727" s="1">
        <v>46130</v>
      </c>
      <c r="C5727">
        <v>2378044065</v>
      </c>
      <c r="D5727">
        <v>2378066154</v>
      </c>
      <c r="E5727" t="str">
        <f>T("저승의 왕위를 계승했다 405화")</f>
        <v>저승의 왕위를 계승했다 405화</v>
      </c>
      <c r="F5727">
        <v>406</v>
      </c>
      <c r="G5727" t="str">
        <f>T("신타비")</f>
        <v>신타비</v>
      </c>
      <c r="J5727" t="str">
        <f>T("매드햇")</f>
        <v>매드햇</v>
      </c>
      <c r="K5727" t="str">
        <f>T("저승의 왕위를 계승했다")</f>
        <v>저승의 왕위를 계승했다</v>
      </c>
      <c r="L5727">
        <v>100</v>
      </c>
      <c r="M5727">
        <v>100</v>
      </c>
      <c r="N5727">
        <v>1</v>
      </c>
      <c r="O5727">
        <v>0</v>
      </c>
      <c r="P5727">
        <v>0</v>
      </c>
      <c r="Q5727">
        <v>0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0</v>
      </c>
      <c r="AC5727">
        <v>0</v>
      </c>
      <c r="AD5727">
        <v>0</v>
      </c>
      <c r="AE5727">
        <v>0</v>
      </c>
      <c r="AF5727">
        <v>0</v>
      </c>
      <c r="AG5727">
        <v>0</v>
      </c>
      <c r="AH5727">
        <v>0</v>
      </c>
      <c r="AI5727">
        <v>100</v>
      </c>
      <c r="AJ5727">
        <v>1</v>
      </c>
      <c r="AK5727">
        <v>0</v>
      </c>
      <c r="AL5727">
        <v>0</v>
      </c>
      <c r="AM5727">
        <v>100</v>
      </c>
      <c r="AN5727">
        <v>0</v>
      </c>
      <c r="AO5727">
        <v>0</v>
      </c>
      <c r="AP5727">
        <v>0</v>
      </c>
      <c r="AQ5727">
        <v>0</v>
      </c>
      <c r="AS5727">
        <v>0</v>
      </c>
      <c r="AT5727">
        <v>0</v>
      </c>
      <c r="AV5727">
        <v>0</v>
      </c>
      <c r="AW5727">
        <v>0</v>
      </c>
      <c r="AY5727">
        <v>0</v>
      </c>
      <c r="AZ5727">
        <v>0</v>
      </c>
      <c r="BA5727">
        <v>70</v>
      </c>
      <c r="BE5727" t="str">
        <f>T("9791137014381")</f>
        <v>9791137014381</v>
      </c>
      <c r="BF5727" t="str">
        <f>T("k296860")</f>
        <v>k296860</v>
      </c>
      <c r="BG5727" t="str">
        <f>T("판타지 웹소설 &gt; 퓨전 판타지")</f>
        <v>판타지 웹소설 &gt; 퓨전 판타지</v>
      </c>
    </row>
    <row r="5728" spans="1:59">
      <c r="A5728" t="s">
        <v>60</v>
      </c>
      <c r="B5728" s="1">
        <v>46130</v>
      </c>
      <c r="C5728">
        <v>2378044065</v>
      </c>
      <c r="D5728">
        <v>2378066175</v>
      </c>
      <c r="E5728" t="str">
        <f>T("저승의 왕위를 계승했다 406화")</f>
        <v>저승의 왕위를 계승했다 406화</v>
      </c>
      <c r="F5728">
        <v>407</v>
      </c>
      <c r="G5728" t="str">
        <f>T("신타비")</f>
        <v>신타비</v>
      </c>
      <c r="J5728" t="str">
        <f>T("매드햇")</f>
        <v>매드햇</v>
      </c>
      <c r="K5728" t="str">
        <f>T("저승의 왕위를 계승했다")</f>
        <v>저승의 왕위를 계승했다</v>
      </c>
      <c r="L5728">
        <v>100</v>
      </c>
      <c r="M5728">
        <v>100</v>
      </c>
      <c r="N5728">
        <v>1</v>
      </c>
      <c r="O5728">
        <v>0</v>
      </c>
      <c r="P5728">
        <v>0</v>
      </c>
      <c r="Q5728">
        <v>0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0</v>
      </c>
      <c r="AC5728">
        <v>0</v>
      </c>
      <c r="AD5728">
        <v>0</v>
      </c>
      <c r="AE5728">
        <v>0</v>
      </c>
      <c r="AF5728">
        <v>0</v>
      </c>
      <c r="AG5728">
        <v>0</v>
      </c>
      <c r="AH5728">
        <v>0</v>
      </c>
      <c r="AI5728">
        <v>100</v>
      </c>
      <c r="AJ5728">
        <v>1</v>
      </c>
      <c r="AK5728">
        <v>0</v>
      </c>
      <c r="AL5728">
        <v>0</v>
      </c>
      <c r="AM5728">
        <v>100</v>
      </c>
      <c r="AN5728">
        <v>0</v>
      </c>
      <c r="AO5728">
        <v>0</v>
      </c>
      <c r="AP5728">
        <v>0</v>
      </c>
      <c r="AQ5728">
        <v>0</v>
      </c>
      <c r="AS5728">
        <v>0</v>
      </c>
      <c r="AT5728">
        <v>0</v>
      </c>
      <c r="AV5728">
        <v>0</v>
      </c>
      <c r="AW5728">
        <v>0</v>
      </c>
      <c r="AY5728">
        <v>0</v>
      </c>
      <c r="AZ5728">
        <v>0</v>
      </c>
      <c r="BA5728">
        <v>70</v>
      </c>
      <c r="BE5728" t="str">
        <f>T("9791137014381")</f>
        <v>9791137014381</v>
      </c>
      <c r="BF5728" t="str">
        <f>T("k296861")</f>
        <v>k296861</v>
      </c>
      <c r="BG5728" t="str">
        <f>T("판타지 웹소설 &gt; 퓨전 판타지")</f>
        <v>판타지 웹소설 &gt; 퓨전 판타지</v>
      </c>
    </row>
    <row r="5729" spans="1:59">
      <c r="A5729" t="s">
        <v>60</v>
      </c>
      <c r="B5729" s="1">
        <v>46130</v>
      </c>
      <c r="C5729">
        <v>2378044065</v>
      </c>
      <c r="D5729">
        <v>2378066189</v>
      </c>
      <c r="E5729" t="str">
        <f>T("저승의 왕위를 계승했다 407화")</f>
        <v>저승의 왕위를 계승했다 407화</v>
      </c>
      <c r="F5729">
        <v>408</v>
      </c>
      <c r="G5729" t="str">
        <f>T("신타비")</f>
        <v>신타비</v>
      </c>
      <c r="J5729" t="str">
        <f>T("매드햇")</f>
        <v>매드햇</v>
      </c>
      <c r="K5729" t="str">
        <f>T("저승의 왕위를 계승했다")</f>
        <v>저승의 왕위를 계승했다</v>
      </c>
      <c r="L5729">
        <v>100</v>
      </c>
      <c r="M5729">
        <v>100</v>
      </c>
      <c r="N5729">
        <v>1</v>
      </c>
      <c r="O5729">
        <v>0</v>
      </c>
      <c r="P5729">
        <v>0</v>
      </c>
      <c r="Q5729">
        <v>0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0</v>
      </c>
      <c r="AC5729">
        <v>0</v>
      </c>
      <c r="AD5729">
        <v>0</v>
      </c>
      <c r="AE5729">
        <v>0</v>
      </c>
      <c r="AF5729">
        <v>0</v>
      </c>
      <c r="AG5729">
        <v>0</v>
      </c>
      <c r="AH5729">
        <v>0</v>
      </c>
      <c r="AI5729">
        <v>100</v>
      </c>
      <c r="AJ5729">
        <v>1</v>
      </c>
      <c r="AK5729">
        <v>0</v>
      </c>
      <c r="AL5729">
        <v>0</v>
      </c>
      <c r="AM5729">
        <v>100</v>
      </c>
      <c r="AN5729">
        <v>0</v>
      </c>
      <c r="AO5729">
        <v>0</v>
      </c>
      <c r="AP5729">
        <v>0</v>
      </c>
      <c r="AQ5729">
        <v>0</v>
      </c>
      <c r="AS5729">
        <v>0</v>
      </c>
      <c r="AT5729">
        <v>0</v>
      </c>
      <c r="AV5729">
        <v>0</v>
      </c>
      <c r="AW5729">
        <v>0</v>
      </c>
      <c r="AY5729">
        <v>0</v>
      </c>
      <c r="AZ5729">
        <v>0</v>
      </c>
      <c r="BA5729">
        <v>70</v>
      </c>
      <c r="BE5729" t="str">
        <f>T("9791137014381")</f>
        <v>9791137014381</v>
      </c>
      <c r="BF5729" t="str">
        <f>T("k298296")</f>
        <v>k298296</v>
      </c>
      <c r="BG5729" t="str">
        <f>T("판타지 웹소설 &gt; 퓨전 판타지")</f>
        <v>판타지 웹소설 &gt; 퓨전 판타지</v>
      </c>
    </row>
    <row r="5730" spans="1:59">
      <c r="A5730" t="s">
        <v>60</v>
      </c>
      <c r="B5730" s="1">
        <v>46130</v>
      </c>
      <c r="C5730">
        <v>2378044065</v>
      </c>
      <c r="D5730">
        <v>2378066380</v>
      </c>
      <c r="E5730" t="str">
        <f>T("저승의 왕위를 계승했다 408화")</f>
        <v>저승의 왕위를 계승했다 408화</v>
      </c>
      <c r="F5730">
        <v>409</v>
      </c>
      <c r="G5730" t="str">
        <f>T("신타비")</f>
        <v>신타비</v>
      </c>
      <c r="J5730" t="str">
        <f>T("매드햇")</f>
        <v>매드햇</v>
      </c>
      <c r="K5730" t="str">
        <f>T("저승의 왕위를 계승했다")</f>
        <v>저승의 왕위를 계승했다</v>
      </c>
      <c r="L5730">
        <v>100</v>
      </c>
      <c r="M5730">
        <v>100</v>
      </c>
      <c r="N5730">
        <v>1</v>
      </c>
      <c r="O5730">
        <v>0</v>
      </c>
      <c r="P5730">
        <v>0</v>
      </c>
      <c r="Q5730">
        <v>0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0</v>
      </c>
      <c r="AC5730">
        <v>0</v>
      </c>
      <c r="AD5730">
        <v>0</v>
      </c>
      <c r="AE5730">
        <v>0</v>
      </c>
      <c r="AF5730">
        <v>0</v>
      </c>
      <c r="AG5730">
        <v>0</v>
      </c>
      <c r="AH5730">
        <v>0</v>
      </c>
      <c r="AI5730">
        <v>100</v>
      </c>
      <c r="AJ5730">
        <v>1</v>
      </c>
      <c r="AK5730">
        <v>0</v>
      </c>
      <c r="AL5730">
        <v>0</v>
      </c>
      <c r="AM5730">
        <v>100</v>
      </c>
      <c r="AN5730">
        <v>0</v>
      </c>
      <c r="AO5730">
        <v>0</v>
      </c>
      <c r="AP5730">
        <v>0</v>
      </c>
      <c r="AQ5730">
        <v>0</v>
      </c>
      <c r="AS5730">
        <v>0</v>
      </c>
      <c r="AT5730">
        <v>0</v>
      </c>
      <c r="AV5730">
        <v>0</v>
      </c>
      <c r="AW5730">
        <v>0</v>
      </c>
      <c r="AY5730">
        <v>0</v>
      </c>
      <c r="AZ5730">
        <v>0</v>
      </c>
      <c r="BA5730">
        <v>70</v>
      </c>
      <c r="BE5730" t="str">
        <f>T("9791137014381")</f>
        <v>9791137014381</v>
      </c>
      <c r="BF5730" t="str">
        <f>T("k298297")</f>
        <v>k298297</v>
      </c>
      <c r="BG5730" t="str">
        <f>T("판타지 웹소설 &gt; 퓨전 판타지")</f>
        <v>판타지 웹소설 &gt; 퓨전 판타지</v>
      </c>
    </row>
    <row r="5731" spans="1:59">
      <c r="A5731" t="s">
        <v>60</v>
      </c>
      <c r="B5731" s="1">
        <v>46130</v>
      </c>
      <c r="C5731">
        <v>2378044065</v>
      </c>
      <c r="D5731">
        <v>2378066453</v>
      </c>
      <c r="E5731" t="str">
        <f>T("저승의 왕위를 계승했다 409화")</f>
        <v>저승의 왕위를 계승했다 409화</v>
      </c>
      <c r="F5731">
        <v>410</v>
      </c>
      <c r="G5731" t="str">
        <f>T("신타비")</f>
        <v>신타비</v>
      </c>
      <c r="J5731" t="str">
        <f>T("매드햇")</f>
        <v>매드햇</v>
      </c>
      <c r="K5731" t="str">
        <f>T("저승의 왕위를 계승했다")</f>
        <v>저승의 왕위를 계승했다</v>
      </c>
      <c r="L5731">
        <v>100</v>
      </c>
      <c r="M5731">
        <v>100</v>
      </c>
      <c r="N5731">
        <v>1</v>
      </c>
      <c r="O5731">
        <v>0</v>
      </c>
      <c r="P5731">
        <v>0</v>
      </c>
      <c r="Q5731">
        <v>0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0</v>
      </c>
      <c r="AC5731">
        <v>0</v>
      </c>
      <c r="AD5731">
        <v>0</v>
      </c>
      <c r="AE5731">
        <v>0</v>
      </c>
      <c r="AF5731">
        <v>0</v>
      </c>
      <c r="AG5731">
        <v>0</v>
      </c>
      <c r="AH5731">
        <v>0</v>
      </c>
      <c r="AI5731">
        <v>100</v>
      </c>
      <c r="AJ5731">
        <v>1</v>
      </c>
      <c r="AK5731">
        <v>0</v>
      </c>
      <c r="AL5731">
        <v>0</v>
      </c>
      <c r="AM5731">
        <v>100</v>
      </c>
      <c r="AN5731">
        <v>0</v>
      </c>
      <c r="AO5731">
        <v>0</v>
      </c>
      <c r="AP5731">
        <v>0</v>
      </c>
      <c r="AQ5731">
        <v>0</v>
      </c>
      <c r="AS5731">
        <v>0</v>
      </c>
      <c r="AT5731">
        <v>0</v>
      </c>
      <c r="AV5731">
        <v>0</v>
      </c>
      <c r="AW5731">
        <v>0</v>
      </c>
      <c r="AY5731">
        <v>0</v>
      </c>
      <c r="AZ5731">
        <v>0</v>
      </c>
      <c r="BA5731">
        <v>70</v>
      </c>
      <c r="BE5731" t="str">
        <f>T("9791137014381")</f>
        <v>9791137014381</v>
      </c>
      <c r="BF5731" t="str">
        <f>T("k298298")</f>
        <v>k298298</v>
      </c>
      <c r="BG5731" t="str">
        <f>T("판타지 웹소설 &gt; 퓨전 판타지")</f>
        <v>판타지 웹소설 &gt; 퓨전 판타지</v>
      </c>
    </row>
    <row r="5732" spans="1:59">
      <c r="A5732" t="s">
        <v>60</v>
      </c>
      <c r="B5732" s="1">
        <v>46130</v>
      </c>
      <c r="C5732">
        <v>2378044065</v>
      </c>
      <c r="D5732">
        <v>2378066454</v>
      </c>
      <c r="E5732" t="str">
        <f>T("저승의 왕위를 계승했다 410화")</f>
        <v>저승의 왕위를 계승했다 410화</v>
      </c>
      <c r="F5732">
        <v>411</v>
      </c>
      <c r="G5732" t="str">
        <f>T("신타비")</f>
        <v>신타비</v>
      </c>
      <c r="J5732" t="str">
        <f>T("매드햇")</f>
        <v>매드햇</v>
      </c>
      <c r="K5732" t="str">
        <f>T("저승의 왕위를 계승했다")</f>
        <v>저승의 왕위를 계승했다</v>
      </c>
      <c r="L5732">
        <v>100</v>
      </c>
      <c r="M5732">
        <v>100</v>
      </c>
      <c r="N5732">
        <v>1</v>
      </c>
      <c r="O5732">
        <v>0</v>
      </c>
      <c r="P5732">
        <v>0</v>
      </c>
      <c r="Q5732">
        <v>0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0</v>
      </c>
      <c r="AC5732">
        <v>0</v>
      </c>
      <c r="AD5732">
        <v>0</v>
      </c>
      <c r="AE5732">
        <v>0</v>
      </c>
      <c r="AF5732">
        <v>0</v>
      </c>
      <c r="AG5732">
        <v>0</v>
      </c>
      <c r="AH5732">
        <v>0</v>
      </c>
      <c r="AI5732">
        <v>100</v>
      </c>
      <c r="AJ5732">
        <v>1</v>
      </c>
      <c r="AK5732">
        <v>0</v>
      </c>
      <c r="AL5732">
        <v>0</v>
      </c>
      <c r="AM5732">
        <v>100</v>
      </c>
      <c r="AN5732">
        <v>0</v>
      </c>
      <c r="AO5732">
        <v>0</v>
      </c>
      <c r="AP5732">
        <v>0</v>
      </c>
      <c r="AQ5732">
        <v>0</v>
      </c>
      <c r="AS5732">
        <v>0</v>
      </c>
      <c r="AT5732">
        <v>0</v>
      </c>
      <c r="AV5732">
        <v>0</v>
      </c>
      <c r="AW5732">
        <v>0</v>
      </c>
      <c r="AY5732">
        <v>0</v>
      </c>
      <c r="AZ5732">
        <v>0</v>
      </c>
      <c r="BA5732">
        <v>70</v>
      </c>
      <c r="BE5732" t="str">
        <f>T("9791137014381")</f>
        <v>9791137014381</v>
      </c>
      <c r="BF5732" t="str">
        <f>T("k298299")</f>
        <v>k298299</v>
      </c>
      <c r="BG5732" t="str">
        <f>T("판타지 웹소설 &gt; 퓨전 판타지")</f>
        <v>판타지 웹소설 &gt; 퓨전 판타지</v>
      </c>
    </row>
    <row r="5733" spans="1:59">
      <c r="A5733" t="s">
        <v>60</v>
      </c>
      <c r="B5733" s="1">
        <v>46130</v>
      </c>
      <c r="C5733">
        <v>2378044065</v>
      </c>
      <c r="D5733">
        <v>2378066520</v>
      </c>
      <c r="E5733" t="str">
        <f>T("저승의 왕위를 계승했다 411화")</f>
        <v>저승의 왕위를 계승했다 411화</v>
      </c>
      <c r="F5733">
        <v>412</v>
      </c>
      <c r="G5733" t="str">
        <f>T("신타비")</f>
        <v>신타비</v>
      </c>
      <c r="J5733" t="str">
        <f>T("매드햇")</f>
        <v>매드햇</v>
      </c>
      <c r="K5733" t="str">
        <f>T("저승의 왕위를 계승했다")</f>
        <v>저승의 왕위를 계승했다</v>
      </c>
      <c r="L5733">
        <v>100</v>
      </c>
      <c r="M5733">
        <v>100</v>
      </c>
      <c r="N5733">
        <v>1</v>
      </c>
      <c r="O5733">
        <v>0</v>
      </c>
      <c r="P5733">
        <v>0</v>
      </c>
      <c r="Q5733">
        <v>0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0</v>
      </c>
      <c r="AC5733">
        <v>0</v>
      </c>
      <c r="AD5733">
        <v>0</v>
      </c>
      <c r="AE5733">
        <v>0</v>
      </c>
      <c r="AF5733">
        <v>0</v>
      </c>
      <c r="AG5733">
        <v>0</v>
      </c>
      <c r="AH5733">
        <v>0</v>
      </c>
      <c r="AI5733">
        <v>100</v>
      </c>
      <c r="AJ5733">
        <v>1</v>
      </c>
      <c r="AK5733">
        <v>0</v>
      </c>
      <c r="AL5733">
        <v>0</v>
      </c>
      <c r="AM5733">
        <v>100</v>
      </c>
      <c r="AN5733">
        <v>0</v>
      </c>
      <c r="AO5733">
        <v>0</v>
      </c>
      <c r="AP5733">
        <v>0</v>
      </c>
      <c r="AQ5733">
        <v>0</v>
      </c>
      <c r="AS5733">
        <v>0</v>
      </c>
      <c r="AT5733">
        <v>0</v>
      </c>
      <c r="AV5733">
        <v>0</v>
      </c>
      <c r="AW5733">
        <v>0</v>
      </c>
      <c r="AY5733">
        <v>0</v>
      </c>
      <c r="AZ5733">
        <v>0</v>
      </c>
      <c r="BA5733">
        <v>70</v>
      </c>
      <c r="BE5733" t="str">
        <f>T("9791137014381")</f>
        <v>9791137014381</v>
      </c>
      <c r="BF5733" t="str">
        <f>T("k300855")</f>
        <v>k300855</v>
      </c>
      <c r="BG5733" t="str">
        <f>T("판타지 웹소설 &gt; 퓨전 판타지")</f>
        <v>판타지 웹소설 &gt; 퓨전 판타지</v>
      </c>
    </row>
    <row r="5734" spans="1:59">
      <c r="A5734" t="s">
        <v>60</v>
      </c>
      <c r="B5734" s="1">
        <v>46130</v>
      </c>
      <c r="C5734">
        <v>2378044065</v>
      </c>
      <c r="D5734">
        <v>2378066521</v>
      </c>
      <c r="E5734" t="str">
        <f>T("저승의 왕위를 계승했다 412화")</f>
        <v>저승의 왕위를 계승했다 412화</v>
      </c>
      <c r="F5734">
        <v>413</v>
      </c>
      <c r="G5734" t="str">
        <f>T("신타비")</f>
        <v>신타비</v>
      </c>
      <c r="J5734" t="str">
        <f>T("매드햇")</f>
        <v>매드햇</v>
      </c>
      <c r="K5734" t="str">
        <f>T("저승의 왕위를 계승했다")</f>
        <v>저승의 왕위를 계승했다</v>
      </c>
      <c r="L5734">
        <v>100</v>
      </c>
      <c r="M5734">
        <v>100</v>
      </c>
      <c r="N5734">
        <v>1</v>
      </c>
      <c r="O5734">
        <v>0</v>
      </c>
      <c r="P5734">
        <v>0</v>
      </c>
      <c r="Q5734">
        <v>0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0</v>
      </c>
      <c r="AC5734">
        <v>0</v>
      </c>
      <c r="AD5734">
        <v>0</v>
      </c>
      <c r="AE5734">
        <v>0</v>
      </c>
      <c r="AF5734">
        <v>0</v>
      </c>
      <c r="AG5734">
        <v>0</v>
      </c>
      <c r="AH5734">
        <v>0</v>
      </c>
      <c r="AI5734">
        <v>100</v>
      </c>
      <c r="AJ5734">
        <v>1</v>
      </c>
      <c r="AK5734">
        <v>0</v>
      </c>
      <c r="AL5734">
        <v>0</v>
      </c>
      <c r="AM5734">
        <v>100</v>
      </c>
      <c r="AN5734">
        <v>0</v>
      </c>
      <c r="AO5734">
        <v>0</v>
      </c>
      <c r="AP5734">
        <v>0</v>
      </c>
      <c r="AQ5734">
        <v>0</v>
      </c>
      <c r="AS5734">
        <v>0</v>
      </c>
      <c r="AT5734">
        <v>0</v>
      </c>
      <c r="AV5734">
        <v>0</v>
      </c>
      <c r="AW5734">
        <v>0</v>
      </c>
      <c r="AY5734">
        <v>0</v>
      </c>
      <c r="AZ5734">
        <v>0</v>
      </c>
      <c r="BA5734">
        <v>70</v>
      </c>
      <c r="BE5734" t="str">
        <f>T("9791137014381")</f>
        <v>9791137014381</v>
      </c>
      <c r="BF5734" t="str">
        <f>T("k300856")</f>
        <v>k300856</v>
      </c>
      <c r="BG5734" t="str">
        <f>T("판타지 웹소설 &gt; 퓨전 판타지")</f>
        <v>판타지 웹소설 &gt; 퓨전 판타지</v>
      </c>
    </row>
    <row r="5735" spans="1:59">
      <c r="A5735" t="s">
        <v>60</v>
      </c>
      <c r="B5735" s="1">
        <v>46130</v>
      </c>
      <c r="C5735">
        <v>2378044065</v>
      </c>
      <c r="D5735">
        <v>2378066542</v>
      </c>
      <c r="E5735" t="str">
        <f>T("저승의 왕위를 계승했다 413화")</f>
        <v>저승의 왕위를 계승했다 413화</v>
      </c>
      <c r="F5735">
        <v>414</v>
      </c>
      <c r="G5735" t="str">
        <f>T("신타비")</f>
        <v>신타비</v>
      </c>
      <c r="J5735" t="str">
        <f>T("매드햇")</f>
        <v>매드햇</v>
      </c>
      <c r="K5735" t="str">
        <f>T("저승의 왕위를 계승했다")</f>
        <v>저승의 왕위를 계승했다</v>
      </c>
      <c r="L5735">
        <v>100</v>
      </c>
      <c r="M5735">
        <v>100</v>
      </c>
      <c r="N5735">
        <v>1</v>
      </c>
      <c r="O5735">
        <v>0</v>
      </c>
      <c r="P5735">
        <v>0</v>
      </c>
      <c r="Q5735">
        <v>0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0</v>
      </c>
      <c r="AC5735">
        <v>0</v>
      </c>
      <c r="AD5735">
        <v>0</v>
      </c>
      <c r="AE5735">
        <v>0</v>
      </c>
      <c r="AF5735">
        <v>0</v>
      </c>
      <c r="AG5735">
        <v>0</v>
      </c>
      <c r="AH5735">
        <v>0</v>
      </c>
      <c r="AI5735">
        <v>100</v>
      </c>
      <c r="AJ5735">
        <v>1</v>
      </c>
      <c r="AK5735">
        <v>0</v>
      </c>
      <c r="AL5735">
        <v>0</v>
      </c>
      <c r="AM5735">
        <v>100</v>
      </c>
      <c r="AN5735">
        <v>0</v>
      </c>
      <c r="AO5735">
        <v>0</v>
      </c>
      <c r="AP5735">
        <v>0</v>
      </c>
      <c r="AQ5735">
        <v>0</v>
      </c>
      <c r="AS5735">
        <v>0</v>
      </c>
      <c r="AT5735">
        <v>0</v>
      </c>
      <c r="AV5735">
        <v>0</v>
      </c>
      <c r="AW5735">
        <v>0</v>
      </c>
      <c r="AY5735">
        <v>0</v>
      </c>
      <c r="AZ5735">
        <v>0</v>
      </c>
      <c r="BA5735">
        <v>70</v>
      </c>
      <c r="BE5735" t="str">
        <f>T("9791137014381")</f>
        <v>9791137014381</v>
      </c>
      <c r="BF5735" t="str">
        <f>T("k300857")</f>
        <v>k300857</v>
      </c>
      <c r="BG5735" t="str">
        <f>T("판타지 웹소설 &gt; 퓨전 판타지")</f>
        <v>판타지 웹소설 &gt; 퓨전 판타지</v>
      </c>
    </row>
    <row r="5736" spans="1:59">
      <c r="A5736" t="s">
        <v>60</v>
      </c>
      <c r="B5736" s="1">
        <v>46130</v>
      </c>
      <c r="C5736">
        <v>2378044065</v>
      </c>
      <c r="D5736">
        <v>2378066575</v>
      </c>
      <c r="E5736" t="str">
        <f>T("저승의 왕위를 계승했다 414화")</f>
        <v>저승의 왕위를 계승했다 414화</v>
      </c>
      <c r="F5736">
        <v>415</v>
      </c>
      <c r="G5736" t="str">
        <f>T("신타비")</f>
        <v>신타비</v>
      </c>
      <c r="J5736" t="str">
        <f>T("매드햇")</f>
        <v>매드햇</v>
      </c>
      <c r="K5736" t="str">
        <f>T("저승의 왕위를 계승했다")</f>
        <v>저승의 왕위를 계승했다</v>
      </c>
      <c r="L5736">
        <v>100</v>
      </c>
      <c r="M5736">
        <v>100</v>
      </c>
      <c r="N5736">
        <v>1</v>
      </c>
      <c r="O5736">
        <v>0</v>
      </c>
      <c r="P5736">
        <v>0</v>
      </c>
      <c r="Q5736">
        <v>0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0</v>
      </c>
      <c r="AC5736">
        <v>0</v>
      </c>
      <c r="AD5736">
        <v>0</v>
      </c>
      <c r="AE5736">
        <v>0</v>
      </c>
      <c r="AF5736">
        <v>0</v>
      </c>
      <c r="AG5736">
        <v>0</v>
      </c>
      <c r="AH5736">
        <v>0</v>
      </c>
      <c r="AI5736">
        <v>100</v>
      </c>
      <c r="AJ5736">
        <v>1</v>
      </c>
      <c r="AK5736">
        <v>0</v>
      </c>
      <c r="AL5736">
        <v>0</v>
      </c>
      <c r="AM5736">
        <v>100</v>
      </c>
      <c r="AN5736">
        <v>0</v>
      </c>
      <c r="AO5736">
        <v>0</v>
      </c>
      <c r="AP5736">
        <v>0</v>
      </c>
      <c r="AQ5736">
        <v>0</v>
      </c>
      <c r="AS5736">
        <v>0</v>
      </c>
      <c r="AT5736">
        <v>0</v>
      </c>
      <c r="AV5736">
        <v>0</v>
      </c>
      <c r="AW5736">
        <v>0</v>
      </c>
      <c r="AY5736">
        <v>0</v>
      </c>
      <c r="AZ5736">
        <v>0</v>
      </c>
      <c r="BA5736">
        <v>70</v>
      </c>
      <c r="BE5736" t="str">
        <f>T("9791137014381")</f>
        <v>9791137014381</v>
      </c>
      <c r="BF5736" t="str">
        <f>T("k300858")</f>
        <v>k300858</v>
      </c>
      <c r="BG5736" t="str">
        <f>T("판타지 웹소설 &gt; 퓨전 판타지")</f>
        <v>판타지 웹소설 &gt; 퓨전 판타지</v>
      </c>
    </row>
    <row r="5737" spans="1:59">
      <c r="A5737" t="s">
        <v>60</v>
      </c>
      <c r="B5737" s="1">
        <v>46130</v>
      </c>
      <c r="C5737">
        <v>2378044065</v>
      </c>
      <c r="D5737">
        <v>2378066600</v>
      </c>
      <c r="E5737" t="str">
        <f>T("저승의 왕위를 계승했다 415화")</f>
        <v>저승의 왕위를 계승했다 415화</v>
      </c>
      <c r="F5737">
        <v>416</v>
      </c>
      <c r="G5737" t="str">
        <f>T("신타비")</f>
        <v>신타비</v>
      </c>
      <c r="J5737" t="str">
        <f>T("매드햇")</f>
        <v>매드햇</v>
      </c>
      <c r="K5737" t="str">
        <f>T("저승의 왕위를 계승했다")</f>
        <v>저승의 왕위를 계승했다</v>
      </c>
      <c r="L5737">
        <v>100</v>
      </c>
      <c r="M5737">
        <v>100</v>
      </c>
      <c r="N5737">
        <v>1</v>
      </c>
      <c r="O5737">
        <v>0</v>
      </c>
      <c r="P5737">
        <v>0</v>
      </c>
      <c r="Q5737">
        <v>0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0</v>
      </c>
      <c r="AC5737">
        <v>0</v>
      </c>
      <c r="AD5737">
        <v>0</v>
      </c>
      <c r="AE5737">
        <v>0</v>
      </c>
      <c r="AF5737">
        <v>0</v>
      </c>
      <c r="AG5737">
        <v>0</v>
      </c>
      <c r="AH5737">
        <v>0</v>
      </c>
      <c r="AI5737">
        <v>100</v>
      </c>
      <c r="AJ5737">
        <v>1</v>
      </c>
      <c r="AK5737">
        <v>0</v>
      </c>
      <c r="AL5737">
        <v>0</v>
      </c>
      <c r="AM5737">
        <v>100</v>
      </c>
      <c r="AN5737">
        <v>0</v>
      </c>
      <c r="AO5737">
        <v>0</v>
      </c>
      <c r="AP5737">
        <v>0</v>
      </c>
      <c r="AQ5737">
        <v>0</v>
      </c>
      <c r="AS5737">
        <v>0</v>
      </c>
      <c r="AT5737">
        <v>0</v>
      </c>
      <c r="AV5737">
        <v>0</v>
      </c>
      <c r="AW5737">
        <v>0</v>
      </c>
      <c r="AY5737">
        <v>0</v>
      </c>
      <c r="AZ5737">
        <v>0</v>
      </c>
      <c r="BA5737">
        <v>70</v>
      </c>
      <c r="BE5737" t="str">
        <f>T("9791137014381")</f>
        <v>9791137014381</v>
      </c>
      <c r="BF5737" t="str">
        <f>T("k307475")</f>
        <v>k307475</v>
      </c>
      <c r="BG5737" t="str">
        <f>T("판타지 웹소설 &gt; 퓨전 판타지")</f>
        <v>판타지 웹소설 &gt; 퓨전 판타지</v>
      </c>
    </row>
    <row r="5738" spans="1:59">
      <c r="A5738" t="s">
        <v>60</v>
      </c>
      <c r="B5738" s="1">
        <v>46130</v>
      </c>
      <c r="C5738">
        <v>2378044065</v>
      </c>
      <c r="D5738">
        <v>2378066632</v>
      </c>
      <c r="E5738" t="str">
        <f>T("저승의 왕위를 계승했다 416화")</f>
        <v>저승의 왕위를 계승했다 416화</v>
      </c>
      <c r="F5738">
        <v>417</v>
      </c>
      <c r="G5738" t="str">
        <f>T("신타비")</f>
        <v>신타비</v>
      </c>
      <c r="J5738" t="str">
        <f>T("매드햇")</f>
        <v>매드햇</v>
      </c>
      <c r="K5738" t="str">
        <f>T("저승의 왕위를 계승했다")</f>
        <v>저승의 왕위를 계승했다</v>
      </c>
      <c r="L5738">
        <v>100</v>
      </c>
      <c r="M5738">
        <v>100</v>
      </c>
      <c r="N5738">
        <v>1</v>
      </c>
      <c r="O5738">
        <v>0</v>
      </c>
      <c r="P5738">
        <v>0</v>
      </c>
      <c r="Q5738">
        <v>0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0</v>
      </c>
      <c r="AC5738">
        <v>0</v>
      </c>
      <c r="AD5738">
        <v>0</v>
      </c>
      <c r="AE5738">
        <v>0</v>
      </c>
      <c r="AF5738">
        <v>0</v>
      </c>
      <c r="AG5738">
        <v>0</v>
      </c>
      <c r="AH5738">
        <v>0</v>
      </c>
      <c r="AI5738">
        <v>100</v>
      </c>
      <c r="AJ5738">
        <v>1</v>
      </c>
      <c r="AK5738">
        <v>0</v>
      </c>
      <c r="AL5738">
        <v>0</v>
      </c>
      <c r="AM5738">
        <v>100</v>
      </c>
      <c r="AN5738">
        <v>0</v>
      </c>
      <c r="AO5738">
        <v>0</v>
      </c>
      <c r="AP5738">
        <v>0</v>
      </c>
      <c r="AQ5738">
        <v>0</v>
      </c>
      <c r="AS5738">
        <v>0</v>
      </c>
      <c r="AT5738">
        <v>0</v>
      </c>
      <c r="AV5738">
        <v>0</v>
      </c>
      <c r="AW5738">
        <v>0</v>
      </c>
      <c r="AY5738">
        <v>0</v>
      </c>
      <c r="AZ5738">
        <v>0</v>
      </c>
      <c r="BA5738">
        <v>70</v>
      </c>
      <c r="BE5738" t="str">
        <f>T("9791137014381")</f>
        <v>9791137014381</v>
      </c>
      <c r="BF5738" t="str">
        <f>T("k307476")</f>
        <v>k307476</v>
      </c>
      <c r="BG5738" t="str">
        <f>T("판타지 웹소설 &gt; 퓨전 판타지")</f>
        <v>판타지 웹소설 &gt; 퓨전 판타지</v>
      </c>
    </row>
    <row r="5739" spans="1:59">
      <c r="A5739" t="s">
        <v>60</v>
      </c>
      <c r="B5739" s="1">
        <v>46130</v>
      </c>
      <c r="C5739">
        <v>2378044065</v>
      </c>
      <c r="D5739">
        <v>2378066672</v>
      </c>
      <c r="E5739" t="str">
        <f>T("저승의 왕위를 계승했다 417화")</f>
        <v>저승의 왕위를 계승했다 417화</v>
      </c>
      <c r="F5739">
        <v>418</v>
      </c>
      <c r="G5739" t="str">
        <f>T("신타비")</f>
        <v>신타비</v>
      </c>
      <c r="J5739" t="str">
        <f>T("매드햇")</f>
        <v>매드햇</v>
      </c>
      <c r="K5739" t="str">
        <f>T("저승의 왕위를 계승했다")</f>
        <v>저승의 왕위를 계승했다</v>
      </c>
      <c r="L5739">
        <v>100</v>
      </c>
      <c r="M5739">
        <v>100</v>
      </c>
      <c r="N5739">
        <v>1</v>
      </c>
      <c r="O5739">
        <v>0</v>
      </c>
      <c r="P5739">
        <v>0</v>
      </c>
      <c r="Q5739">
        <v>0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0</v>
      </c>
      <c r="AC5739">
        <v>0</v>
      </c>
      <c r="AD5739">
        <v>0</v>
      </c>
      <c r="AE5739">
        <v>0</v>
      </c>
      <c r="AF5739">
        <v>0</v>
      </c>
      <c r="AG5739">
        <v>0</v>
      </c>
      <c r="AH5739">
        <v>0</v>
      </c>
      <c r="AI5739">
        <v>100</v>
      </c>
      <c r="AJ5739">
        <v>1</v>
      </c>
      <c r="AK5739">
        <v>0</v>
      </c>
      <c r="AL5739">
        <v>0</v>
      </c>
      <c r="AM5739">
        <v>100</v>
      </c>
      <c r="AN5739">
        <v>0</v>
      </c>
      <c r="AO5739">
        <v>0</v>
      </c>
      <c r="AP5739">
        <v>0</v>
      </c>
      <c r="AQ5739">
        <v>0</v>
      </c>
      <c r="AS5739">
        <v>0</v>
      </c>
      <c r="AT5739">
        <v>0</v>
      </c>
      <c r="AV5739">
        <v>0</v>
      </c>
      <c r="AW5739">
        <v>0</v>
      </c>
      <c r="AY5739">
        <v>0</v>
      </c>
      <c r="AZ5739">
        <v>0</v>
      </c>
      <c r="BA5739">
        <v>70</v>
      </c>
      <c r="BE5739" t="str">
        <f>T("9791137014381")</f>
        <v>9791137014381</v>
      </c>
      <c r="BF5739" t="str">
        <f>T("k307477")</f>
        <v>k307477</v>
      </c>
      <c r="BG5739" t="str">
        <f>T("판타지 웹소설 &gt; 퓨전 판타지")</f>
        <v>판타지 웹소설 &gt; 퓨전 판타지</v>
      </c>
    </row>
    <row r="5740" spans="1:59">
      <c r="A5740" t="s">
        <v>60</v>
      </c>
      <c r="B5740" s="1">
        <v>46130</v>
      </c>
      <c r="C5740">
        <v>2378044065</v>
      </c>
      <c r="D5740">
        <v>2378066691</v>
      </c>
      <c r="E5740" t="str">
        <f>T("저승의 왕위를 계승했다 418화")</f>
        <v>저승의 왕위를 계승했다 418화</v>
      </c>
      <c r="F5740">
        <v>419</v>
      </c>
      <c r="G5740" t="str">
        <f>T("신타비")</f>
        <v>신타비</v>
      </c>
      <c r="J5740" t="str">
        <f>T("매드햇")</f>
        <v>매드햇</v>
      </c>
      <c r="K5740" t="str">
        <f>T("저승의 왕위를 계승했다")</f>
        <v>저승의 왕위를 계승했다</v>
      </c>
      <c r="L5740">
        <v>100</v>
      </c>
      <c r="M5740">
        <v>100</v>
      </c>
      <c r="N5740">
        <v>1</v>
      </c>
      <c r="O5740">
        <v>0</v>
      </c>
      <c r="P5740">
        <v>0</v>
      </c>
      <c r="Q5740">
        <v>0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0</v>
      </c>
      <c r="AC5740">
        <v>0</v>
      </c>
      <c r="AD5740">
        <v>0</v>
      </c>
      <c r="AE5740">
        <v>0</v>
      </c>
      <c r="AF5740">
        <v>0</v>
      </c>
      <c r="AG5740">
        <v>0</v>
      </c>
      <c r="AH5740">
        <v>0</v>
      </c>
      <c r="AI5740">
        <v>100</v>
      </c>
      <c r="AJ5740">
        <v>1</v>
      </c>
      <c r="AK5740">
        <v>0</v>
      </c>
      <c r="AL5740">
        <v>0</v>
      </c>
      <c r="AM5740">
        <v>100</v>
      </c>
      <c r="AN5740">
        <v>0</v>
      </c>
      <c r="AO5740">
        <v>0</v>
      </c>
      <c r="AP5740">
        <v>0</v>
      </c>
      <c r="AQ5740">
        <v>0</v>
      </c>
      <c r="AS5740">
        <v>0</v>
      </c>
      <c r="AT5740">
        <v>0</v>
      </c>
      <c r="AV5740">
        <v>0</v>
      </c>
      <c r="AW5740">
        <v>0</v>
      </c>
      <c r="AY5740">
        <v>0</v>
      </c>
      <c r="AZ5740">
        <v>0</v>
      </c>
      <c r="BA5740">
        <v>70</v>
      </c>
      <c r="BE5740" t="str">
        <f>T("9791137014381")</f>
        <v>9791137014381</v>
      </c>
      <c r="BF5740" t="str">
        <f>T("k307478")</f>
        <v>k307478</v>
      </c>
      <c r="BG5740" t="str">
        <f>T("판타지 웹소설 &gt; 퓨전 판타지")</f>
        <v>판타지 웹소설 &gt; 퓨전 판타지</v>
      </c>
    </row>
    <row r="5741" spans="1:59">
      <c r="A5741" t="s">
        <v>60</v>
      </c>
      <c r="B5741" s="1">
        <v>46130</v>
      </c>
      <c r="C5741">
        <v>2378044065</v>
      </c>
      <c r="D5741">
        <v>2378066703</v>
      </c>
      <c r="E5741" t="str">
        <f>T("저승의 왕위를 계승했다 419화")</f>
        <v>저승의 왕위를 계승했다 419화</v>
      </c>
      <c r="F5741">
        <v>420</v>
      </c>
      <c r="G5741" t="str">
        <f>T("신타비")</f>
        <v>신타비</v>
      </c>
      <c r="J5741" t="str">
        <f>T("매드햇")</f>
        <v>매드햇</v>
      </c>
      <c r="K5741" t="str">
        <f>T("저승의 왕위를 계승했다")</f>
        <v>저승의 왕위를 계승했다</v>
      </c>
      <c r="L5741">
        <v>100</v>
      </c>
      <c r="M5741">
        <v>100</v>
      </c>
      <c r="N5741">
        <v>1</v>
      </c>
      <c r="O5741">
        <v>0</v>
      </c>
      <c r="P5741">
        <v>0</v>
      </c>
      <c r="Q5741">
        <v>0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0</v>
      </c>
      <c r="AC5741">
        <v>0</v>
      </c>
      <c r="AD5741">
        <v>0</v>
      </c>
      <c r="AE5741">
        <v>0</v>
      </c>
      <c r="AF5741">
        <v>0</v>
      </c>
      <c r="AG5741">
        <v>0</v>
      </c>
      <c r="AH5741">
        <v>0</v>
      </c>
      <c r="AI5741">
        <v>100</v>
      </c>
      <c r="AJ5741">
        <v>1</v>
      </c>
      <c r="AK5741">
        <v>0</v>
      </c>
      <c r="AL5741">
        <v>0</v>
      </c>
      <c r="AM5741">
        <v>100</v>
      </c>
      <c r="AN5741">
        <v>0</v>
      </c>
      <c r="AO5741">
        <v>0</v>
      </c>
      <c r="AP5741">
        <v>0</v>
      </c>
      <c r="AQ5741">
        <v>0</v>
      </c>
      <c r="AS5741">
        <v>0</v>
      </c>
      <c r="AT5741">
        <v>0</v>
      </c>
      <c r="AV5741">
        <v>0</v>
      </c>
      <c r="AW5741">
        <v>0</v>
      </c>
      <c r="AY5741">
        <v>0</v>
      </c>
      <c r="AZ5741">
        <v>0</v>
      </c>
      <c r="BA5741">
        <v>70</v>
      </c>
      <c r="BE5741" t="str">
        <f>T("9791137014381")</f>
        <v>9791137014381</v>
      </c>
      <c r="BF5741" t="str">
        <f>T("k307936")</f>
        <v>k307936</v>
      </c>
      <c r="BG5741" t="str">
        <f>T("판타지 웹소설 &gt; 퓨전 판타지")</f>
        <v>판타지 웹소설 &gt; 퓨전 판타지</v>
      </c>
    </row>
    <row r="5742" spans="1:59">
      <c r="A5742" t="s">
        <v>60</v>
      </c>
      <c r="B5742" s="1">
        <v>46130</v>
      </c>
      <c r="C5742">
        <v>2378044065</v>
      </c>
      <c r="D5742">
        <v>2378066729</v>
      </c>
      <c r="E5742" t="str">
        <f>T("저승의 왕위를 계승했다 420화")</f>
        <v>저승의 왕위를 계승했다 420화</v>
      </c>
      <c r="F5742">
        <v>421</v>
      </c>
      <c r="G5742" t="str">
        <f>T("신타비")</f>
        <v>신타비</v>
      </c>
      <c r="J5742" t="str">
        <f>T("매드햇")</f>
        <v>매드햇</v>
      </c>
      <c r="K5742" t="str">
        <f>T("저승의 왕위를 계승했다")</f>
        <v>저승의 왕위를 계승했다</v>
      </c>
      <c r="L5742">
        <v>100</v>
      </c>
      <c r="M5742">
        <v>100</v>
      </c>
      <c r="N5742">
        <v>1</v>
      </c>
      <c r="O5742">
        <v>0</v>
      </c>
      <c r="P5742">
        <v>0</v>
      </c>
      <c r="Q5742">
        <v>0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0</v>
      </c>
      <c r="AC5742">
        <v>0</v>
      </c>
      <c r="AD5742">
        <v>0</v>
      </c>
      <c r="AE5742">
        <v>0</v>
      </c>
      <c r="AF5742">
        <v>0</v>
      </c>
      <c r="AG5742">
        <v>0</v>
      </c>
      <c r="AH5742">
        <v>0</v>
      </c>
      <c r="AI5742">
        <v>100</v>
      </c>
      <c r="AJ5742">
        <v>1</v>
      </c>
      <c r="AK5742">
        <v>0</v>
      </c>
      <c r="AL5742">
        <v>0</v>
      </c>
      <c r="AM5742">
        <v>100</v>
      </c>
      <c r="AN5742">
        <v>0</v>
      </c>
      <c r="AO5742">
        <v>0</v>
      </c>
      <c r="AP5742">
        <v>0</v>
      </c>
      <c r="AQ5742">
        <v>0</v>
      </c>
      <c r="AS5742">
        <v>0</v>
      </c>
      <c r="AT5742">
        <v>0</v>
      </c>
      <c r="AV5742">
        <v>0</v>
      </c>
      <c r="AW5742">
        <v>0</v>
      </c>
      <c r="AY5742">
        <v>0</v>
      </c>
      <c r="AZ5742">
        <v>0</v>
      </c>
      <c r="BA5742">
        <v>70</v>
      </c>
      <c r="BE5742" t="str">
        <f>T("9791137014381")</f>
        <v>9791137014381</v>
      </c>
      <c r="BF5742" t="str">
        <f>T("k307937")</f>
        <v>k307937</v>
      </c>
      <c r="BG5742" t="str">
        <f>T("판타지 웹소설 &gt; 퓨전 판타지")</f>
        <v>판타지 웹소설 &gt; 퓨전 판타지</v>
      </c>
    </row>
    <row r="5743" spans="1:59">
      <c r="A5743" t="s">
        <v>60</v>
      </c>
      <c r="B5743" s="1">
        <v>46130</v>
      </c>
      <c r="C5743">
        <v>2378044065</v>
      </c>
      <c r="D5743">
        <v>2378066751</v>
      </c>
      <c r="E5743" t="str">
        <f>T("저승의 왕위를 계승했다 421화")</f>
        <v>저승의 왕위를 계승했다 421화</v>
      </c>
      <c r="F5743">
        <v>422</v>
      </c>
      <c r="G5743" t="str">
        <f>T("신타비")</f>
        <v>신타비</v>
      </c>
      <c r="J5743" t="str">
        <f>T("매드햇")</f>
        <v>매드햇</v>
      </c>
      <c r="K5743" t="str">
        <f>T("저승의 왕위를 계승했다")</f>
        <v>저승의 왕위를 계승했다</v>
      </c>
      <c r="L5743">
        <v>100</v>
      </c>
      <c r="M5743">
        <v>100</v>
      </c>
      <c r="N5743">
        <v>1</v>
      </c>
      <c r="O5743">
        <v>0</v>
      </c>
      <c r="P5743">
        <v>0</v>
      </c>
      <c r="Q5743">
        <v>0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0</v>
      </c>
      <c r="AC5743">
        <v>0</v>
      </c>
      <c r="AD5743">
        <v>0</v>
      </c>
      <c r="AE5743">
        <v>0</v>
      </c>
      <c r="AF5743">
        <v>0</v>
      </c>
      <c r="AG5743">
        <v>0</v>
      </c>
      <c r="AH5743">
        <v>0</v>
      </c>
      <c r="AI5743">
        <v>100</v>
      </c>
      <c r="AJ5743">
        <v>1</v>
      </c>
      <c r="AK5743">
        <v>0</v>
      </c>
      <c r="AL5743">
        <v>0</v>
      </c>
      <c r="AM5743">
        <v>100</v>
      </c>
      <c r="AN5743">
        <v>0</v>
      </c>
      <c r="AO5743">
        <v>0</v>
      </c>
      <c r="AP5743">
        <v>0</v>
      </c>
      <c r="AQ5743">
        <v>0</v>
      </c>
      <c r="AS5743">
        <v>0</v>
      </c>
      <c r="AT5743">
        <v>0</v>
      </c>
      <c r="AV5743">
        <v>0</v>
      </c>
      <c r="AW5743">
        <v>0</v>
      </c>
      <c r="AY5743">
        <v>0</v>
      </c>
      <c r="AZ5743">
        <v>0</v>
      </c>
      <c r="BA5743">
        <v>70</v>
      </c>
      <c r="BE5743" t="str">
        <f>T("9791137014381")</f>
        <v>9791137014381</v>
      </c>
      <c r="BF5743" t="str">
        <f>T("k307938")</f>
        <v>k307938</v>
      </c>
      <c r="BG5743" t="str">
        <f>T("판타지 웹소설 &gt; 퓨전 판타지")</f>
        <v>판타지 웹소설 &gt; 퓨전 판타지</v>
      </c>
    </row>
    <row r="5744" spans="1:59">
      <c r="A5744" t="s">
        <v>60</v>
      </c>
      <c r="B5744" s="1">
        <v>46130</v>
      </c>
      <c r="C5744">
        <v>2378044065</v>
      </c>
      <c r="D5744">
        <v>2378066769</v>
      </c>
      <c r="E5744" t="str">
        <f>T("저승의 왕위를 계승했다 422화")</f>
        <v>저승의 왕위를 계승했다 422화</v>
      </c>
      <c r="F5744">
        <v>423</v>
      </c>
      <c r="G5744" t="str">
        <f>T("신타비")</f>
        <v>신타비</v>
      </c>
      <c r="J5744" t="str">
        <f>T("매드햇")</f>
        <v>매드햇</v>
      </c>
      <c r="K5744" t="str">
        <f>T("저승의 왕위를 계승했다")</f>
        <v>저승의 왕위를 계승했다</v>
      </c>
      <c r="L5744">
        <v>100</v>
      </c>
      <c r="M5744">
        <v>100</v>
      </c>
      <c r="N5744">
        <v>1</v>
      </c>
      <c r="O5744">
        <v>0</v>
      </c>
      <c r="P5744">
        <v>0</v>
      </c>
      <c r="Q5744">
        <v>0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0</v>
      </c>
      <c r="AC5744">
        <v>0</v>
      </c>
      <c r="AD5744">
        <v>0</v>
      </c>
      <c r="AE5744">
        <v>0</v>
      </c>
      <c r="AF5744">
        <v>0</v>
      </c>
      <c r="AG5744">
        <v>0</v>
      </c>
      <c r="AH5744">
        <v>0</v>
      </c>
      <c r="AI5744">
        <v>100</v>
      </c>
      <c r="AJ5744">
        <v>1</v>
      </c>
      <c r="AK5744">
        <v>0</v>
      </c>
      <c r="AL5744">
        <v>0</v>
      </c>
      <c r="AM5744">
        <v>100</v>
      </c>
      <c r="AN5744">
        <v>0</v>
      </c>
      <c r="AO5744">
        <v>0</v>
      </c>
      <c r="AP5744">
        <v>0</v>
      </c>
      <c r="AQ5744">
        <v>0</v>
      </c>
      <c r="AS5744">
        <v>0</v>
      </c>
      <c r="AT5744">
        <v>0</v>
      </c>
      <c r="AV5744">
        <v>0</v>
      </c>
      <c r="AW5744">
        <v>0</v>
      </c>
      <c r="AY5744">
        <v>0</v>
      </c>
      <c r="AZ5744">
        <v>0</v>
      </c>
      <c r="BA5744">
        <v>70</v>
      </c>
      <c r="BE5744" t="str">
        <f>T("9791137014381")</f>
        <v>9791137014381</v>
      </c>
      <c r="BF5744" t="str">
        <f>T("k307939")</f>
        <v>k307939</v>
      </c>
      <c r="BG5744" t="str">
        <f>T("판타지 웹소설 &gt; 퓨전 판타지")</f>
        <v>판타지 웹소설 &gt; 퓨전 판타지</v>
      </c>
    </row>
    <row r="5745" spans="1:59">
      <c r="A5745" t="s">
        <v>60</v>
      </c>
      <c r="B5745" s="1">
        <v>46130</v>
      </c>
      <c r="C5745">
        <v>2378044065</v>
      </c>
      <c r="D5745">
        <v>2378066793</v>
      </c>
      <c r="E5745" t="str">
        <f>T("저승의 왕위를 계승했다 423화")</f>
        <v>저승의 왕위를 계승했다 423화</v>
      </c>
      <c r="F5745">
        <v>424</v>
      </c>
      <c r="G5745" t="str">
        <f>T("신타비")</f>
        <v>신타비</v>
      </c>
      <c r="J5745" t="str">
        <f>T("매드햇")</f>
        <v>매드햇</v>
      </c>
      <c r="K5745" t="str">
        <f>T("저승의 왕위를 계승했다")</f>
        <v>저승의 왕위를 계승했다</v>
      </c>
      <c r="L5745">
        <v>100</v>
      </c>
      <c r="M5745">
        <v>100</v>
      </c>
      <c r="N5745">
        <v>1</v>
      </c>
      <c r="O5745">
        <v>0</v>
      </c>
      <c r="P5745">
        <v>0</v>
      </c>
      <c r="Q5745">
        <v>0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0</v>
      </c>
      <c r="AC5745">
        <v>0</v>
      </c>
      <c r="AD5745">
        <v>0</v>
      </c>
      <c r="AE5745">
        <v>0</v>
      </c>
      <c r="AF5745">
        <v>0</v>
      </c>
      <c r="AG5745">
        <v>0</v>
      </c>
      <c r="AH5745">
        <v>0</v>
      </c>
      <c r="AI5745">
        <v>100</v>
      </c>
      <c r="AJ5745">
        <v>1</v>
      </c>
      <c r="AK5745">
        <v>0</v>
      </c>
      <c r="AL5745">
        <v>0</v>
      </c>
      <c r="AM5745">
        <v>100</v>
      </c>
      <c r="AN5745">
        <v>0</v>
      </c>
      <c r="AO5745">
        <v>0</v>
      </c>
      <c r="AP5745">
        <v>0</v>
      </c>
      <c r="AQ5745">
        <v>0</v>
      </c>
      <c r="AS5745">
        <v>0</v>
      </c>
      <c r="AT5745">
        <v>0</v>
      </c>
      <c r="AV5745">
        <v>0</v>
      </c>
      <c r="AW5745">
        <v>0</v>
      </c>
      <c r="AY5745">
        <v>0</v>
      </c>
      <c r="AZ5745">
        <v>0</v>
      </c>
      <c r="BA5745">
        <v>70</v>
      </c>
      <c r="BE5745" t="str">
        <f>T("9791137014381")</f>
        <v>9791137014381</v>
      </c>
      <c r="BF5745" t="str">
        <f>T("k313584")</f>
        <v>k313584</v>
      </c>
      <c r="BG5745" t="str">
        <f>T("판타지 웹소설 &gt; 퓨전 판타지")</f>
        <v>판타지 웹소설 &gt; 퓨전 판타지</v>
      </c>
    </row>
    <row r="5746" spans="1:59">
      <c r="A5746" t="s">
        <v>60</v>
      </c>
      <c r="B5746" s="1">
        <v>46130</v>
      </c>
      <c r="C5746">
        <v>2378044065</v>
      </c>
      <c r="D5746">
        <v>2378066814</v>
      </c>
      <c r="E5746" t="str">
        <f>T("저승의 왕위를 계승했다 424화")</f>
        <v>저승의 왕위를 계승했다 424화</v>
      </c>
      <c r="F5746">
        <v>425</v>
      </c>
      <c r="G5746" t="str">
        <f>T("신타비")</f>
        <v>신타비</v>
      </c>
      <c r="J5746" t="str">
        <f>T("매드햇")</f>
        <v>매드햇</v>
      </c>
      <c r="K5746" t="str">
        <f>T("저승의 왕위를 계승했다")</f>
        <v>저승의 왕위를 계승했다</v>
      </c>
      <c r="L5746">
        <v>100</v>
      </c>
      <c r="M5746">
        <v>100</v>
      </c>
      <c r="N5746">
        <v>1</v>
      </c>
      <c r="O5746">
        <v>0</v>
      </c>
      <c r="P5746">
        <v>0</v>
      </c>
      <c r="Q5746">
        <v>0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0</v>
      </c>
      <c r="AC5746">
        <v>0</v>
      </c>
      <c r="AD5746">
        <v>0</v>
      </c>
      <c r="AE5746">
        <v>0</v>
      </c>
      <c r="AF5746">
        <v>0</v>
      </c>
      <c r="AG5746">
        <v>0</v>
      </c>
      <c r="AH5746">
        <v>0</v>
      </c>
      <c r="AI5746">
        <v>100</v>
      </c>
      <c r="AJ5746">
        <v>1</v>
      </c>
      <c r="AK5746">
        <v>0</v>
      </c>
      <c r="AL5746">
        <v>0</v>
      </c>
      <c r="AM5746">
        <v>100</v>
      </c>
      <c r="AN5746">
        <v>0</v>
      </c>
      <c r="AO5746">
        <v>0</v>
      </c>
      <c r="AP5746">
        <v>0</v>
      </c>
      <c r="AQ5746">
        <v>0</v>
      </c>
      <c r="AS5746">
        <v>0</v>
      </c>
      <c r="AT5746">
        <v>0</v>
      </c>
      <c r="AV5746">
        <v>0</v>
      </c>
      <c r="AW5746">
        <v>0</v>
      </c>
      <c r="AY5746">
        <v>0</v>
      </c>
      <c r="AZ5746">
        <v>0</v>
      </c>
      <c r="BA5746">
        <v>70</v>
      </c>
      <c r="BE5746" t="str">
        <f>T("9791137014381")</f>
        <v>9791137014381</v>
      </c>
      <c r="BF5746" t="str">
        <f>T("k313585")</f>
        <v>k313585</v>
      </c>
      <c r="BG5746" t="str">
        <f>T("판타지 웹소설 &gt; 퓨전 판타지")</f>
        <v>판타지 웹소설 &gt; 퓨전 판타지</v>
      </c>
    </row>
    <row r="5747" spans="1:59">
      <c r="A5747" t="s">
        <v>60</v>
      </c>
      <c r="B5747" s="1">
        <v>46130</v>
      </c>
      <c r="C5747">
        <v>2378044065</v>
      </c>
      <c r="D5747">
        <v>2378066836</v>
      </c>
      <c r="E5747" t="str">
        <f>T("저승의 왕위를 계승했다 425화")</f>
        <v>저승의 왕위를 계승했다 425화</v>
      </c>
      <c r="F5747">
        <v>426</v>
      </c>
      <c r="G5747" t="str">
        <f>T("신타비")</f>
        <v>신타비</v>
      </c>
      <c r="J5747" t="str">
        <f>T("매드햇")</f>
        <v>매드햇</v>
      </c>
      <c r="K5747" t="str">
        <f>T("저승의 왕위를 계승했다")</f>
        <v>저승의 왕위를 계승했다</v>
      </c>
      <c r="L5747">
        <v>100</v>
      </c>
      <c r="M5747">
        <v>100</v>
      </c>
      <c r="N5747">
        <v>1</v>
      </c>
      <c r="O5747">
        <v>0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0</v>
      </c>
      <c r="AC5747">
        <v>0</v>
      </c>
      <c r="AD5747">
        <v>0</v>
      </c>
      <c r="AE5747">
        <v>0</v>
      </c>
      <c r="AF5747">
        <v>0</v>
      </c>
      <c r="AG5747">
        <v>0</v>
      </c>
      <c r="AH5747">
        <v>0</v>
      </c>
      <c r="AI5747">
        <v>100</v>
      </c>
      <c r="AJ5747">
        <v>1</v>
      </c>
      <c r="AK5747">
        <v>0</v>
      </c>
      <c r="AL5747">
        <v>0</v>
      </c>
      <c r="AM5747">
        <v>100</v>
      </c>
      <c r="AN5747">
        <v>0</v>
      </c>
      <c r="AO5747">
        <v>0</v>
      </c>
      <c r="AP5747">
        <v>0</v>
      </c>
      <c r="AQ5747">
        <v>0</v>
      </c>
      <c r="AS5747">
        <v>0</v>
      </c>
      <c r="AT5747">
        <v>0</v>
      </c>
      <c r="AV5747">
        <v>0</v>
      </c>
      <c r="AW5747">
        <v>0</v>
      </c>
      <c r="AY5747">
        <v>0</v>
      </c>
      <c r="AZ5747">
        <v>0</v>
      </c>
      <c r="BA5747">
        <v>70</v>
      </c>
      <c r="BE5747" t="str">
        <f>T("9791137014381")</f>
        <v>9791137014381</v>
      </c>
      <c r="BF5747" t="str">
        <f>T("k313586")</f>
        <v>k313586</v>
      </c>
      <c r="BG5747" t="str">
        <f>T("판타지 웹소설 &gt; 퓨전 판타지")</f>
        <v>판타지 웹소설 &gt; 퓨전 판타지</v>
      </c>
    </row>
    <row r="5748" spans="1:59">
      <c r="A5748" t="s">
        <v>60</v>
      </c>
      <c r="B5748" s="1">
        <v>46130</v>
      </c>
      <c r="C5748">
        <v>2378044065</v>
      </c>
      <c r="D5748">
        <v>2378066858</v>
      </c>
      <c r="E5748" t="str">
        <f>T("저승의 왕위를 계승했다 426화")</f>
        <v>저승의 왕위를 계승했다 426화</v>
      </c>
      <c r="F5748">
        <v>427</v>
      </c>
      <c r="G5748" t="str">
        <f>T("신타비")</f>
        <v>신타비</v>
      </c>
      <c r="J5748" t="str">
        <f>T("매드햇")</f>
        <v>매드햇</v>
      </c>
      <c r="K5748" t="str">
        <f>T("저승의 왕위를 계승했다")</f>
        <v>저승의 왕위를 계승했다</v>
      </c>
      <c r="L5748">
        <v>100</v>
      </c>
      <c r="M5748">
        <v>100</v>
      </c>
      <c r="N5748">
        <v>1</v>
      </c>
      <c r="O5748">
        <v>0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0</v>
      </c>
      <c r="AC5748">
        <v>0</v>
      </c>
      <c r="AD5748">
        <v>0</v>
      </c>
      <c r="AE5748">
        <v>0</v>
      </c>
      <c r="AF5748">
        <v>0</v>
      </c>
      <c r="AG5748">
        <v>0</v>
      </c>
      <c r="AH5748">
        <v>0</v>
      </c>
      <c r="AI5748">
        <v>100</v>
      </c>
      <c r="AJ5748">
        <v>1</v>
      </c>
      <c r="AK5748">
        <v>0</v>
      </c>
      <c r="AL5748">
        <v>0</v>
      </c>
      <c r="AM5748">
        <v>100</v>
      </c>
      <c r="AN5748">
        <v>0</v>
      </c>
      <c r="AO5748">
        <v>0</v>
      </c>
      <c r="AP5748">
        <v>0</v>
      </c>
      <c r="AQ5748">
        <v>0</v>
      </c>
      <c r="AS5748">
        <v>0</v>
      </c>
      <c r="AT5748">
        <v>0</v>
      </c>
      <c r="AV5748">
        <v>0</v>
      </c>
      <c r="AW5748">
        <v>0</v>
      </c>
      <c r="AY5748">
        <v>0</v>
      </c>
      <c r="AZ5748">
        <v>0</v>
      </c>
      <c r="BA5748">
        <v>70</v>
      </c>
      <c r="BE5748" t="str">
        <f>T("9791137014381")</f>
        <v>9791137014381</v>
      </c>
      <c r="BF5748" t="str">
        <f>T("k313587")</f>
        <v>k313587</v>
      </c>
      <c r="BG5748" t="str">
        <f>T("판타지 웹소설 &gt; 퓨전 판타지")</f>
        <v>판타지 웹소설 &gt; 퓨전 판타지</v>
      </c>
    </row>
    <row r="5749" spans="1:59">
      <c r="A5749" t="s">
        <v>60</v>
      </c>
      <c r="B5749" s="1">
        <v>46130</v>
      </c>
      <c r="C5749">
        <v>2378044065</v>
      </c>
      <c r="D5749">
        <v>2378067002</v>
      </c>
      <c r="E5749" t="str">
        <f>T("저승의 왕위를 계승했다 427화")</f>
        <v>저승의 왕위를 계승했다 427화</v>
      </c>
      <c r="F5749">
        <v>428</v>
      </c>
      <c r="G5749" t="str">
        <f>T("신타비")</f>
        <v>신타비</v>
      </c>
      <c r="J5749" t="str">
        <f>T("매드햇")</f>
        <v>매드햇</v>
      </c>
      <c r="K5749" t="str">
        <f>T("저승의 왕위를 계승했다")</f>
        <v>저승의 왕위를 계승했다</v>
      </c>
      <c r="L5749">
        <v>100</v>
      </c>
      <c r="M5749">
        <v>100</v>
      </c>
      <c r="N5749">
        <v>1</v>
      </c>
      <c r="O5749">
        <v>0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0</v>
      </c>
      <c r="AC5749">
        <v>0</v>
      </c>
      <c r="AD5749">
        <v>0</v>
      </c>
      <c r="AE5749">
        <v>0</v>
      </c>
      <c r="AF5749">
        <v>0</v>
      </c>
      <c r="AG5749">
        <v>0</v>
      </c>
      <c r="AH5749">
        <v>0</v>
      </c>
      <c r="AI5749">
        <v>100</v>
      </c>
      <c r="AJ5749">
        <v>1</v>
      </c>
      <c r="AK5749">
        <v>0</v>
      </c>
      <c r="AL5749">
        <v>0</v>
      </c>
      <c r="AM5749">
        <v>100</v>
      </c>
      <c r="AN5749">
        <v>0</v>
      </c>
      <c r="AO5749">
        <v>0</v>
      </c>
      <c r="AP5749">
        <v>0</v>
      </c>
      <c r="AQ5749">
        <v>0</v>
      </c>
      <c r="AS5749">
        <v>0</v>
      </c>
      <c r="AT5749">
        <v>0</v>
      </c>
      <c r="AV5749">
        <v>0</v>
      </c>
      <c r="AW5749">
        <v>0</v>
      </c>
      <c r="AY5749">
        <v>0</v>
      </c>
      <c r="AZ5749">
        <v>0</v>
      </c>
      <c r="BA5749">
        <v>70</v>
      </c>
      <c r="BE5749" t="str">
        <f>T("9791137014381")</f>
        <v>9791137014381</v>
      </c>
      <c r="BF5749" t="str">
        <f>T("k316669")</f>
        <v>k316669</v>
      </c>
      <c r="BG5749" t="str">
        <f>T("판타지 웹소설 &gt; 퓨전 판타지")</f>
        <v>판타지 웹소설 &gt; 퓨전 판타지</v>
      </c>
    </row>
    <row r="5750" spans="1:59">
      <c r="A5750" t="s">
        <v>60</v>
      </c>
      <c r="B5750" s="1">
        <v>46130</v>
      </c>
      <c r="C5750">
        <v>2378044065</v>
      </c>
      <c r="D5750">
        <v>2378067043</v>
      </c>
      <c r="E5750" t="str">
        <f>T("저승의 왕위를 계승했다 428화")</f>
        <v>저승의 왕위를 계승했다 428화</v>
      </c>
      <c r="F5750">
        <v>429</v>
      </c>
      <c r="G5750" t="str">
        <f>T("신타비")</f>
        <v>신타비</v>
      </c>
      <c r="J5750" t="str">
        <f>T("매드햇")</f>
        <v>매드햇</v>
      </c>
      <c r="K5750" t="str">
        <f>T("저승의 왕위를 계승했다")</f>
        <v>저승의 왕위를 계승했다</v>
      </c>
      <c r="L5750">
        <v>100</v>
      </c>
      <c r="M5750">
        <v>100</v>
      </c>
      <c r="N5750">
        <v>1</v>
      </c>
      <c r="O5750">
        <v>0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0</v>
      </c>
      <c r="AC5750">
        <v>0</v>
      </c>
      <c r="AD5750">
        <v>0</v>
      </c>
      <c r="AE5750">
        <v>0</v>
      </c>
      <c r="AF5750">
        <v>0</v>
      </c>
      <c r="AG5750">
        <v>0</v>
      </c>
      <c r="AH5750">
        <v>0</v>
      </c>
      <c r="AI5750">
        <v>100</v>
      </c>
      <c r="AJ5750">
        <v>1</v>
      </c>
      <c r="AK5750">
        <v>0</v>
      </c>
      <c r="AL5750">
        <v>0</v>
      </c>
      <c r="AM5750">
        <v>100</v>
      </c>
      <c r="AN5750">
        <v>0</v>
      </c>
      <c r="AO5750">
        <v>0</v>
      </c>
      <c r="AP5750">
        <v>0</v>
      </c>
      <c r="AQ5750">
        <v>0</v>
      </c>
      <c r="AS5750">
        <v>0</v>
      </c>
      <c r="AT5750">
        <v>0</v>
      </c>
      <c r="AV5750">
        <v>0</v>
      </c>
      <c r="AW5750">
        <v>0</v>
      </c>
      <c r="AY5750">
        <v>0</v>
      </c>
      <c r="AZ5750">
        <v>0</v>
      </c>
      <c r="BA5750">
        <v>70</v>
      </c>
      <c r="BE5750" t="str">
        <f>T("9791137014381")</f>
        <v>9791137014381</v>
      </c>
      <c r="BF5750" t="str">
        <f>T("k316670")</f>
        <v>k316670</v>
      </c>
      <c r="BG5750" t="str">
        <f>T("판타지 웹소설 &gt; 퓨전 판타지")</f>
        <v>판타지 웹소설 &gt; 퓨전 판타지</v>
      </c>
    </row>
    <row r="5751" spans="1:59">
      <c r="A5751" t="s">
        <v>60</v>
      </c>
      <c r="B5751" s="1">
        <v>46130</v>
      </c>
      <c r="C5751">
        <v>2378044065</v>
      </c>
      <c r="D5751">
        <v>2378067168</v>
      </c>
      <c r="E5751" t="str">
        <f>T("저승의 왕위를 계승했다 429화")</f>
        <v>저승의 왕위를 계승했다 429화</v>
      </c>
      <c r="F5751">
        <v>430</v>
      </c>
      <c r="G5751" t="str">
        <f>T("신타비")</f>
        <v>신타비</v>
      </c>
      <c r="J5751" t="str">
        <f>T("매드햇")</f>
        <v>매드햇</v>
      </c>
      <c r="K5751" t="str">
        <f>T("저승의 왕위를 계승했다")</f>
        <v>저승의 왕위를 계승했다</v>
      </c>
      <c r="L5751">
        <v>100</v>
      </c>
      <c r="M5751">
        <v>100</v>
      </c>
      <c r="N5751">
        <v>1</v>
      </c>
      <c r="O5751">
        <v>0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0</v>
      </c>
      <c r="AC5751">
        <v>0</v>
      </c>
      <c r="AD5751">
        <v>0</v>
      </c>
      <c r="AE5751">
        <v>0</v>
      </c>
      <c r="AF5751">
        <v>0</v>
      </c>
      <c r="AG5751">
        <v>0</v>
      </c>
      <c r="AH5751">
        <v>0</v>
      </c>
      <c r="AI5751">
        <v>100</v>
      </c>
      <c r="AJ5751">
        <v>1</v>
      </c>
      <c r="AK5751">
        <v>0</v>
      </c>
      <c r="AL5751">
        <v>0</v>
      </c>
      <c r="AM5751">
        <v>100</v>
      </c>
      <c r="AN5751">
        <v>0</v>
      </c>
      <c r="AO5751">
        <v>0</v>
      </c>
      <c r="AP5751">
        <v>0</v>
      </c>
      <c r="AQ5751">
        <v>0</v>
      </c>
      <c r="AS5751">
        <v>0</v>
      </c>
      <c r="AT5751">
        <v>0</v>
      </c>
      <c r="AV5751">
        <v>0</v>
      </c>
      <c r="AW5751">
        <v>0</v>
      </c>
      <c r="AY5751">
        <v>0</v>
      </c>
      <c r="AZ5751">
        <v>0</v>
      </c>
      <c r="BA5751">
        <v>70</v>
      </c>
      <c r="BE5751" t="str">
        <f>T("9791137014381")</f>
        <v>9791137014381</v>
      </c>
      <c r="BF5751" t="str">
        <f>T("k316671")</f>
        <v>k316671</v>
      </c>
      <c r="BG5751" t="str">
        <f>T("판타지 웹소설 &gt; 퓨전 판타지")</f>
        <v>판타지 웹소설 &gt; 퓨전 판타지</v>
      </c>
    </row>
    <row r="5752" spans="1:59">
      <c r="A5752" t="s">
        <v>60</v>
      </c>
      <c r="B5752" s="1">
        <v>46130</v>
      </c>
      <c r="C5752">
        <v>2378044065</v>
      </c>
      <c r="D5752">
        <v>2378067176</v>
      </c>
      <c r="E5752" t="str">
        <f>T("저승의 왕위를 계승했다 430화")</f>
        <v>저승의 왕위를 계승했다 430화</v>
      </c>
      <c r="F5752">
        <v>431</v>
      </c>
      <c r="G5752" t="str">
        <f>T("신타비")</f>
        <v>신타비</v>
      </c>
      <c r="J5752" t="str">
        <f>T("매드햇")</f>
        <v>매드햇</v>
      </c>
      <c r="K5752" t="str">
        <f>T("저승의 왕위를 계승했다")</f>
        <v>저승의 왕위를 계승했다</v>
      </c>
      <c r="L5752">
        <v>100</v>
      </c>
      <c r="M5752">
        <v>100</v>
      </c>
      <c r="N5752">
        <v>1</v>
      </c>
      <c r="O5752">
        <v>0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0</v>
      </c>
      <c r="AC5752">
        <v>0</v>
      </c>
      <c r="AD5752">
        <v>0</v>
      </c>
      <c r="AE5752">
        <v>0</v>
      </c>
      <c r="AF5752">
        <v>0</v>
      </c>
      <c r="AG5752">
        <v>0</v>
      </c>
      <c r="AH5752">
        <v>0</v>
      </c>
      <c r="AI5752">
        <v>100</v>
      </c>
      <c r="AJ5752">
        <v>1</v>
      </c>
      <c r="AK5752">
        <v>0</v>
      </c>
      <c r="AL5752">
        <v>0</v>
      </c>
      <c r="AM5752">
        <v>100</v>
      </c>
      <c r="AN5752">
        <v>0</v>
      </c>
      <c r="AO5752">
        <v>0</v>
      </c>
      <c r="AP5752">
        <v>0</v>
      </c>
      <c r="AQ5752">
        <v>0</v>
      </c>
      <c r="AS5752">
        <v>0</v>
      </c>
      <c r="AT5752">
        <v>0</v>
      </c>
      <c r="AV5752">
        <v>0</v>
      </c>
      <c r="AW5752">
        <v>0</v>
      </c>
      <c r="AY5752">
        <v>0</v>
      </c>
      <c r="AZ5752">
        <v>0</v>
      </c>
      <c r="BA5752">
        <v>70</v>
      </c>
      <c r="BE5752" t="str">
        <f>T("9791137014381")</f>
        <v>9791137014381</v>
      </c>
      <c r="BF5752" t="str">
        <f>T("k316672")</f>
        <v>k316672</v>
      </c>
      <c r="BG5752" t="str">
        <f>T("판타지 웹소설 &gt; 퓨전 판타지")</f>
        <v>판타지 웹소설 &gt; 퓨전 판타지</v>
      </c>
    </row>
    <row r="5753" spans="1:59">
      <c r="A5753" t="s">
        <v>60</v>
      </c>
      <c r="B5753" s="1">
        <v>46130</v>
      </c>
      <c r="C5753">
        <v>2378044065</v>
      </c>
      <c r="D5753">
        <v>2378067200</v>
      </c>
      <c r="E5753" t="str">
        <f>T("저승의 왕위를 계승했다 431화")</f>
        <v>저승의 왕위를 계승했다 431화</v>
      </c>
      <c r="F5753">
        <v>432</v>
      </c>
      <c r="G5753" t="str">
        <f>T("신타비")</f>
        <v>신타비</v>
      </c>
      <c r="J5753" t="str">
        <f>T("매드햇")</f>
        <v>매드햇</v>
      </c>
      <c r="K5753" t="str">
        <f>T("저승의 왕위를 계승했다")</f>
        <v>저승의 왕위를 계승했다</v>
      </c>
      <c r="L5753">
        <v>100</v>
      </c>
      <c r="M5753">
        <v>100</v>
      </c>
      <c r="N5753">
        <v>1</v>
      </c>
      <c r="O5753">
        <v>0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0</v>
      </c>
      <c r="AC5753">
        <v>0</v>
      </c>
      <c r="AD5753">
        <v>0</v>
      </c>
      <c r="AE5753">
        <v>0</v>
      </c>
      <c r="AF5753">
        <v>0</v>
      </c>
      <c r="AG5753">
        <v>0</v>
      </c>
      <c r="AH5753">
        <v>0</v>
      </c>
      <c r="AI5753">
        <v>100</v>
      </c>
      <c r="AJ5753">
        <v>1</v>
      </c>
      <c r="AK5753">
        <v>0</v>
      </c>
      <c r="AL5753">
        <v>0</v>
      </c>
      <c r="AM5753">
        <v>100</v>
      </c>
      <c r="AN5753">
        <v>0</v>
      </c>
      <c r="AO5753">
        <v>0</v>
      </c>
      <c r="AP5753">
        <v>0</v>
      </c>
      <c r="AQ5753">
        <v>0</v>
      </c>
      <c r="AS5753">
        <v>0</v>
      </c>
      <c r="AT5753">
        <v>0</v>
      </c>
      <c r="AV5753">
        <v>0</v>
      </c>
      <c r="AW5753">
        <v>0</v>
      </c>
      <c r="AY5753">
        <v>0</v>
      </c>
      <c r="AZ5753">
        <v>0</v>
      </c>
      <c r="BA5753">
        <v>70</v>
      </c>
      <c r="BE5753" t="str">
        <f>T("9791137014381")</f>
        <v>9791137014381</v>
      </c>
      <c r="BF5753" t="str">
        <f>T("k319407")</f>
        <v>k319407</v>
      </c>
      <c r="BG5753" t="str">
        <f>T("판타지 웹소설 &gt; 퓨전 판타지")</f>
        <v>판타지 웹소설 &gt; 퓨전 판타지</v>
      </c>
    </row>
    <row r="5754" spans="1:59">
      <c r="A5754" t="s">
        <v>60</v>
      </c>
      <c r="B5754" s="1">
        <v>46130</v>
      </c>
      <c r="C5754">
        <v>2378044065</v>
      </c>
      <c r="D5754">
        <v>2378067221</v>
      </c>
      <c r="E5754" t="str">
        <f>T("저승의 왕위를 계승했다 432화")</f>
        <v>저승의 왕위를 계승했다 432화</v>
      </c>
      <c r="F5754">
        <v>433</v>
      </c>
      <c r="G5754" t="str">
        <f>T("신타비")</f>
        <v>신타비</v>
      </c>
      <c r="J5754" t="str">
        <f>T("매드햇")</f>
        <v>매드햇</v>
      </c>
      <c r="K5754" t="str">
        <f>T("저승의 왕위를 계승했다")</f>
        <v>저승의 왕위를 계승했다</v>
      </c>
      <c r="L5754">
        <v>100</v>
      </c>
      <c r="M5754">
        <v>100</v>
      </c>
      <c r="N5754">
        <v>1</v>
      </c>
      <c r="O5754">
        <v>0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0</v>
      </c>
      <c r="AC5754">
        <v>0</v>
      </c>
      <c r="AD5754">
        <v>0</v>
      </c>
      <c r="AE5754">
        <v>0</v>
      </c>
      <c r="AF5754">
        <v>0</v>
      </c>
      <c r="AG5754">
        <v>0</v>
      </c>
      <c r="AH5754">
        <v>0</v>
      </c>
      <c r="AI5754">
        <v>100</v>
      </c>
      <c r="AJ5754">
        <v>1</v>
      </c>
      <c r="AK5754">
        <v>0</v>
      </c>
      <c r="AL5754">
        <v>0</v>
      </c>
      <c r="AM5754">
        <v>100</v>
      </c>
      <c r="AN5754">
        <v>0</v>
      </c>
      <c r="AO5754">
        <v>0</v>
      </c>
      <c r="AP5754">
        <v>0</v>
      </c>
      <c r="AQ5754">
        <v>0</v>
      </c>
      <c r="AS5754">
        <v>0</v>
      </c>
      <c r="AT5754">
        <v>0</v>
      </c>
      <c r="AV5754">
        <v>0</v>
      </c>
      <c r="AW5754">
        <v>0</v>
      </c>
      <c r="AY5754">
        <v>0</v>
      </c>
      <c r="AZ5754">
        <v>0</v>
      </c>
      <c r="BA5754">
        <v>70</v>
      </c>
      <c r="BE5754" t="str">
        <f>T("9791137014381")</f>
        <v>9791137014381</v>
      </c>
      <c r="BF5754" t="str">
        <f>T("k319408")</f>
        <v>k319408</v>
      </c>
      <c r="BG5754" t="str">
        <f>T("판타지 웹소설 &gt; 퓨전 판타지")</f>
        <v>판타지 웹소설 &gt; 퓨전 판타지</v>
      </c>
    </row>
    <row r="5755" spans="1:59">
      <c r="A5755" t="s">
        <v>60</v>
      </c>
      <c r="B5755" s="1">
        <v>46130</v>
      </c>
      <c r="C5755">
        <v>2378044065</v>
      </c>
      <c r="D5755">
        <v>2378067246</v>
      </c>
      <c r="E5755" t="str">
        <f>T("저승의 왕위를 계승했다 433화")</f>
        <v>저승의 왕위를 계승했다 433화</v>
      </c>
      <c r="F5755">
        <v>434</v>
      </c>
      <c r="G5755" t="str">
        <f>T("신타비")</f>
        <v>신타비</v>
      </c>
      <c r="J5755" t="str">
        <f>T("매드햇")</f>
        <v>매드햇</v>
      </c>
      <c r="K5755" t="str">
        <f>T("저승의 왕위를 계승했다")</f>
        <v>저승의 왕위를 계승했다</v>
      </c>
      <c r="L5755">
        <v>100</v>
      </c>
      <c r="M5755">
        <v>100</v>
      </c>
      <c r="N5755">
        <v>1</v>
      </c>
      <c r="O5755">
        <v>0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0</v>
      </c>
      <c r="AC5755">
        <v>0</v>
      </c>
      <c r="AD5755">
        <v>0</v>
      </c>
      <c r="AE5755">
        <v>0</v>
      </c>
      <c r="AF5755">
        <v>0</v>
      </c>
      <c r="AG5755">
        <v>0</v>
      </c>
      <c r="AH5755">
        <v>0</v>
      </c>
      <c r="AI5755">
        <v>100</v>
      </c>
      <c r="AJ5755">
        <v>1</v>
      </c>
      <c r="AK5755">
        <v>0</v>
      </c>
      <c r="AL5755">
        <v>0</v>
      </c>
      <c r="AM5755">
        <v>100</v>
      </c>
      <c r="AN5755">
        <v>0</v>
      </c>
      <c r="AO5755">
        <v>0</v>
      </c>
      <c r="AP5755">
        <v>0</v>
      </c>
      <c r="AQ5755">
        <v>0</v>
      </c>
      <c r="AS5755">
        <v>0</v>
      </c>
      <c r="AT5755">
        <v>0</v>
      </c>
      <c r="AV5755">
        <v>0</v>
      </c>
      <c r="AW5755">
        <v>0</v>
      </c>
      <c r="AY5755">
        <v>0</v>
      </c>
      <c r="AZ5755">
        <v>0</v>
      </c>
      <c r="BA5755">
        <v>70</v>
      </c>
      <c r="BE5755" t="str">
        <f>T("9791137014381")</f>
        <v>9791137014381</v>
      </c>
      <c r="BF5755" t="str">
        <f>T("k319409")</f>
        <v>k319409</v>
      </c>
      <c r="BG5755" t="str">
        <f>T("판타지 웹소설 &gt; 퓨전 판타지")</f>
        <v>판타지 웹소설 &gt; 퓨전 판타지</v>
      </c>
    </row>
    <row r="5756" spans="1:59">
      <c r="A5756" t="s">
        <v>60</v>
      </c>
      <c r="B5756" s="1">
        <v>46130</v>
      </c>
      <c r="C5756">
        <v>2378044065</v>
      </c>
      <c r="D5756">
        <v>2378067276</v>
      </c>
      <c r="E5756" t="str">
        <f>T("저승의 왕위를 계승했다 434화")</f>
        <v>저승의 왕위를 계승했다 434화</v>
      </c>
      <c r="F5756">
        <v>435</v>
      </c>
      <c r="G5756" t="str">
        <f>T("신타비")</f>
        <v>신타비</v>
      </c>
      <c r="J5756" t="str">
        <f>T("매드햇")</f>
        <v>매드햇</v>
      </c>
      <c r="K5756" t="str">
        <f>T("저승의 왕위를 계승했다")</f>
        <v>저승의 왕위를 계승했다</v>
      </c>
      <c r="L5756">
        <v>100</v>
      </c>
      <c r="M5756">
        <v>100</v>
      </c>
      <c r="N5756">
        <v>1</v>
      </c>
      <c r="O5756">
        <v>0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0</v>
      </c>
      <c r="AC5756">
        <v>0</v>
      </c>
      <c r="AD5756">
        <v>0</v>
      </c>
      <c r="AE5756">
        <v>0</v>
      </c>
      <c r="AF5756">
        <v>0</v>
      </c>
      <c r="AG5756">
        <v>0</v>
      </c>
      <c r="AH5756">
        <v>0</v>
      </c>
      <c r="AI5756">
        <v>100</v>
      </c>
      <c r="AJ5756">
        <v>1</v>
      </c>
      <c r="AK5756">
        <v>0</v>
      </c>
      <c r="AL5756">
        <v>0</v>
      </c>
      <c r="AM5756">
        <v>100</v>
      </c>
      <c r="AN5756">
        <v>0</v>
      </c>
      <c r="AO5756">
        <v>0</v>
      </c>
      <c r="AP5756">
        <v>0</v>
      </c>
      <c r="AQ5756">
        <v>0</v>
      </c>
      <c r="AS5756">
        <v>0</v>
      </c>
      <c r="AT5756">
        <v>0</v>
      </c>
      <c r="AV5756">
        <v>0</v>
      </c>
      <c r="AW5756">
        <v>0</v>
      </c>
      <c r="AY5756">
        <v>0</v>
      </c>
      <c r="AZ5756">
        <v>0</v>
      </c>
      <c r="BA5756">
        <v>70</v>
      </c>
      <c r="BE5756" t="str">
        <f>T("9791137014381")</f>
        <v>9791137014381</v>
      </c>
      <c r="BF5756" t="str">
        <f>T("k319410")</f>
        <v>k319410</v>
      </c>
      <c r="BG5756" t="str">
        <f>T("판타지 웹소설 &gt; 퓨전 판타지")</f>
        <v>판타지 웹소설 &gt; 퓨전 판타지</v>
      </c>
    </row>
    <row r="5757" spans="1:59">
      <c r="A5757" t="s">
        <v>60</v>
      </c>
      <c r="B5757" s="1">
        <v>46130</v>
      </c>
      <c r="C5757">
        <v>2378044065</v>
      </c>
      <c r="D5757">
        <v>2378067309</v>
      </c>
      <c r="E5757" t="str">
        <f>T("저승의 왕위를 계승했다 435화")</f>
        <v>저승의 왕위를 계승했다 435화</v>
      </c>
      <c r="F5757">
        <v>436</v>
      </c>
      <c r="G5757" t="str">
        <f>T("신타비")</f>
        <v>신타비</v>
      </c>
      <c r="J5757" t="str">
        <f>T("매드햇")</f>
        <v>매드햇</v>
      </c>
      <c r="K5757" t="str">
        <f>T("저승의 왕위를 계승했다")</f>
        <v>저승의 왕위를 계승했다</v>
      </c>
      <c r="L5757">
        <v>100</v>
      </c>
      <c r="M5757">
        <v>100</v>
      </c>
      <c r="N5757">
        <v>1</v>
      </c>
      <c r="O5757">
        <v>0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0</v>
      </c>
      <c r="AC5757">
        <v>0</v>
      </c>
      <c r="AD5757">
        <v>0</v>
      </c>
      <c r="AE5757">
        <v>0</v>
      </c>
      <c r="AF5757">
        <v>0</v>
      </c>
      <c r="AG5757">
        <v>0</v>
      </c>
      <c r="AH5757">
        <v>0</v>
      </c>
      <c r="AI5757">
        <v>100</v>
      </c>
      <c r="AJ5757">
        <v>1</v>
      </c>
      <c r="AK5757">
        <v>0</v>
      </c>
      <c r="AL5757">
        <v>0</v>
      </c>
      <c r="AM5757">
        <v>100</v>
      </c>
      <c r="AN5757">
        <v>0</v>
      </c>
      <c r="AO5757">
        <v>0</v>
      </c>
      <c r="AP5757">
        <v>0</v>
      </c>
      <c r="AQ5757">
        <v>0</v>
      </c>
      <c r="AS5757">
        <v>0</v>
      </c>
      <c r="AT5757">
        <v>0</v>
      </c>
      <c r="AV5757">
        <v>0</v>
      </c>
      <c r="AW5757">
        <v>0</v>
      </c>
      <c r="AY5757">
        <v>0</v>
      </c>
      <c r="AZ5757">
        <v>0</v>
      </c>
      <c r="BA5757">
        <v>70</v>
      </c>
      <c r="BE5757" t="str">
        <f>T("9791137014381")</f>
        <v>9791137014381</v>
      </c>
      <c r="BF5757" t="str">
        <f>T("k326638")</f>
        <v>k326638</v>
      </c>
      <c r="BG5757" t="str">
        <f>T("판타지 웹소설 &gt; 퓨전 판타지")</f>
        <v>판타지 웹소설 &gt; 퓨전 판타지</v>
      </c>
    </row>
    <row r="5758" spans="1:59">
      <c r="A5758" t="s">
        <v>60</v>
      </c>
      <c r="B5758" s="1">
        <v>46130</v>
      </c>
      <c r="C5758">
        <v>2378044065</v>
      </c>
      <c r="D5758">
        <v>2378067320</v>
      </c>
      <c r="E5758" t="str">
        <f>T("저승의 왕위를 계승했다 436화")</f>
        <v>저승의 왕위를 계승했다 436화</v>
      </c>
      <c r="F5758">
        <v>437</v>
      </c>
      <c r="G5758" t="str">
        <f>T("신타비")</f>
        <v>신타비</v>
      </c>
      <c r="J5758" t="str">
        <f>T("매드햇")</f>
        <v>매드햇</v>
      </c>
      <c r="K5758" t="str">
        <f>T("저승의 왕위를 계승했다")</f>
        <v>저승의 왕위를 계승했다</v>
      </c>
      <c r="L5758">
        <v>100</v>
      </c>
      <c r="M5758">
        <v>100</v>
      </c>
      <c r="N5758">
        <v>1</v>
      </c>
      <c r="O5758">
        <v>0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0</v>
      </c>
      <c r="AC5758">
        <v>0</v>
      </c>
      <c r="AD5758">
        <v>0</v>
      </c>
      <c r="AE5758">
        <v>0</v>
      </c>
      <c r="AF5758">
        <v>0</v>
      </c>
      <c r="AG5758">
        <v>0</v>
      </c>
      <c r="AH5758">
        <v>0</v>
      </c>
      <c r="AI5758">
        <v>100</v>
      </c>
      <c r="AJ5758">
        <v>1</v>
      </c>
      <c r="AK5758">
        <v>0</v>
      </c>
      <c r="AL5758">
        <v>0</v>
      </c>
      <c r="AM5758">
        <v>100</v>
      </c>
      <c r="AN5758">
        <v>0</v>
      </c>
      <c r="AO5758">
        <v>0</v>
      </c>
      <c r="AP5758">
        <v>0</v>
      </c>
      <c r="AQ5758">
        <v>0</v>
      </c>
      <c r="AS5758">
        <v>0</v>
      </c>
      <c r="AT5758">
        <v>0</v>
      </c>
      <c r="AV5758">
        <v>0</v>
      </c>
      <c r="AW5758">
        <v>0</v>
      </c>
      <c r="AY5758">
        <v>0</v>
      </c>
      <c r="AZ5758">
        <v>0</v>
      </c>
      <c r="BA5758">
        <v>70</v>
      </c>
      <c r="BE5758" t="str">
        <f>T("9791137014381")</f>
        <v>9791137014381</v>
      </c>
      <c r="BF5758" t="str">
        <f>T("k326639")</f>
        <v>k326639</v>
      </c>
      <c r="BG5758" t="str">
        <f>T("판타지 웹소설 &gt; 퓨전 판타지")</f>
        <v>판타지 웹소설 &gt; 퓨전 판타지</v>
      </c>
    </row>
    <row r="5759" spans="1:59">
      <c r="A5759" t="s">
        <v>60</v>
      </c>
      <c r="B5759" s="1">
        <v>46130</v>
      </c>
      <c r="C5759">
        <v>2378044065</v>
      </c>
      <c r="D5759">
        <v>2378067388</v>
      </c>
      <c r="E5759" t="str">
        <f>T("저승의 왕위를 계승했다 437화")</f>
        <v>저승의 왕위를 계승했다 437화</v>
      </c>
      <c r="F5759">
        <v>438</v>
      </c>
      <c r="G5759" t="str">
        <f>T("신타비")</f>
        <v>신타비</v>
      </c>
      <c r="J5759" t="str">
        <f>T("매드햇")</f>
        <v>매드햇</v>
      </c>
      <c r="K5759" t="str">
        <f>T("저승의 왕위를 계승했다")</f>
        <v>저승의 왕위를 계승했다</v>
      </c>
      <c r="L5759">
        <v>100</v>
      </c>
      <c r="M5759">
        <v>100</v>
      </c>
      <c r="N5759">
        <v>1</v>
      </c>
      <c r="O5759">
        <v>0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0</v>
      </c>
      <c r="AC5759">
        <v>0</v>
      </c>
      <c r="AD5759">
        <v>0</v>
      </c>
      <c r="AE5759">
        <v>0</v>
      </c>
      <c r="AF5759">
        <v>0</v>
      </c>
      <c r="AG5759">
        <v>0</v>
      </c>
      <c r="AH5759">
        <v>0</v>
      </c>
      <c r="AI5759">
        <v>100</v>
      </c>
      <c r="AJ5759">
        <v>1</v>
      </c>
      <c r="AK5759">
        <v>0</v>
      </c>
      <c r="AL5759">
        <v>0</v>
      </c>
      <c r="AM5759">
        <v>100</v>
      </c>
      <c r="AN5759">
        <v>0</v>
      </c>
      <c r="AO5759">
        <v>0</v>
      </c>
      <c r="AP5759">
        <v>0</v>
      </c>
      <c r="AQ5759">
        <v>0</v>
      </c>
      <c r="AS5759">
        <v>0</v>
      </c>
      <c r="AT5759">
        <v>0</v>
      </c>
      <c r="AV5759">
        <v>0</v>
      </c>
      <c r="AW5759">
        <v>0</v>
      </c>
      <c r="AY5759">
        <v>0</v>
      </c>
      <c r="AZ5759">
        <v>0</v>
      </c>
      <c r="BA5759">
        <v>70</v>
      </c>
      <c r="BE5759" t="str">
        <f>T("9791137014381")</f>
        <v>9791137014381</v>
      </c>
      <c r="BF5759" t="str">
        <f>T("k326640")</f>
        <v>k326640</v>
      </c>
      <c r="BG5759" t="str">
        <f>T("판타지 웹소설 &gt; 퓨전 판타지")</f>
        <v>판타지 웹소설 &gt; 퓨전 판타지</v>
      </c>
    </row>
    <row r="5760" spans="1:59">
      <c r="A5760" t="s">
        <v>60</v>
      </c>
      <c r="B5760" s="1">
        <v>46130</v>
      </c>
      <c r="C5760">
        <v>2378044065</v>
      </c>
      <c r="D5760">
        <v>2378067422</v>
      </c>
      <c r="E5760" t="str">
        <f>T("저승의 왕위를 계승했다 438화")</f>
        <v>저승의 왕위를 계승했다 438화</v>
      </c>
      <c r="F5760">
        <v>439</v>
      </c>
      <c r="G5760" t="str">
        <f>T("신타비")</f>
        <v>신타비</v>
      </c>
      <c r="J5760" t="str">
        <f>T("매드햇")</f>
        <v>매드햇</v>
      </c>
      <c r="K5760" t="str">
        <f>T("저승의 왕위를 계승했다")</f>
        <v>저승의 왕위를 계승했다</v>
      </c>
      <c r="L5760">
        <v>100</v>
      </c>
      <c r="M5760">
        <v>100</v>
      </c>
      <c r="N5760">
        <v>1</v>
      </c>
      <c r="O5760">
        <v>0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0</v>
      </c>
      <c r="AC5760">
        <v>0</v>
      </c>
      <c r="AD5760">
        <v>0</v>
      </c>
      <c r="AE5760">
        <v>0</v>
      </c>
      <c r="AF5760">
        <v>0</v>
      </c>
      <c r="AG5760">
        <v>0</v>
      </c>
      <c r="AH5760">
        <v>0</v>
      </c>
      <c r="AI5760">
        <v>100</v>
      </c>
      <c r="AJ5760">
        <v>1</v>
      </c>
      <c r="AK5760">
        <v>0</v>
      </c>
      <c r="AL5760">
        <v>0</v>
      </c>
      <c r="AM5760">
        <v>100</v>
      </c>
      <c r="AN5760">
        <v>0</v>
      </c>
      <c r="AO5760">
        <v>0</v>
      </c>
      <c r="AP5760">
        <v>0</v>
      </c>
      <c r="AQ5760">
        <v>0</v>
      </c>
      <c r="AS5760">
        <v>0</v>
      </c>
      <c r="AT5760">
        <v>0</v>
      </c>
      <c r="AV5760">
        <v>0</v>
      </c>
      <c r="AW5760">
        <v>0</v>
      </c>
      <c r="AY5760">
        <v>0</v>
      </c>
      <c r="AZ5760">
        <v>0</v>
      </c>
      <c r="BA5760">
        <v>70</v>
      </c>
      <c r="BE5760" t="str">
        <f>T("9791137014381")</f>
        <v>9791137014381</v>
      </c>
      <c r="BF5760" t="str">
        <f>T("k326641")</f>
        <v>k326641</v>
      </c>
      <c r="BG5760" t="str">
        <f>T("판타지 웹소설 &gt; 퓨전 판타지")</f>
        <v>판타지 웹소설 &gt; 퓨전 판타지</v>
      </c>
    </row>
    <row r="5761" spans="1:59">
      <c r="A5761" t="s">
        <v>60</v>
      </c>
      <c r="B5761" s="1">
        <v>46130</v>
      </c>
      <c r="C5761">
        <v>2378044065</v>
      </c>
      <c r="D5761">
        <v>2378067434</v>
      </c>
      <c r="E5761" t="str">
        <f>T("저승의 왕위를 계승했다 439화")</f>
        <v>저승의 왕위를 계승했다 439화</v>
      </c>
      <c r="F5761">
        <v>440</v>
      </c>
      <c r="G5761" t="str">
        <f>T("신타비")</f>
        <v>신타비</v>
      </c>
      <c r="J5761" t="str">
        <f>T("매드햇")</f>
        <v>매드햇</v>
      </c>
      <c r="K5761" t="str">
        <f>T("저승의 왕위를 계승했다")</f>
        <v>저승의 왕위를 계승했다</v>
      </c>
      <c r="L5761">
        <v>100</v>
      </c>
      <c r="M5761">
        <v>100</v>
      </c>
      <c r="N5761">
        <v>1</v>
      </c>
      <c r="O5761">
        <v>0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0</v>
      </c>
      <c r="AC5761">
        <v>0</v>
      </c>
      <c r="AD5761">
        <v>0</v>
      </c>
      <c r="AE5761">
        <v>0</v>
      </c>
      <c r="AF5761">
        <v>0</v>
      </c>
      <c r="AG5761">
        <v>0</v>
      </c>
      <c r="AH5761">
        <v>0</v>
      </c>
      <c r="AI5761">
        <v>100</v>
      </c>
      <c r="AJ5761">
        <v>1</v>
      </c>
      <c r="AK5761">
        <v>0</v>
      </c>
      <c r="AL5761">
        <v>0</v>
      </c>
      <c r="AM5761">
        <v>100</v>
      </c>
      <c r="AN5761">
        <v>0</v>
      </c>
      <c r="AO5761">
        <v>0</v>
      </c>
      <c r="AP5761">
        <v>0</v>
      </c>
      <c r="AQ5761">
        <v>0</v>
      </c>
      <c r="AS5761">
        <v>0</v>
      </c>
      <c r="AT5761">
        <v>0</v>
      </c>
      <c r="AV5761">
        <v>0</v>
      </c>
      <c r="AW5761">
        <v>0</v>
      </c>
      <c r="AY5761">
        <v>0</v>
      </c>
      <c r="AZ5761">
        <v>0</v>
      </c>
      <c r="BA5761">
        <v>70</v>
      </c>
      <c r="BE5761" t="str">
        <f>T("9791137014381")</f>
        <v>9791137014381</v>
      </c>
      <c r="BF5761" t="str">
        <f>T("k328885")</f>
        <v>k328885</v>
      </c>
      <c r="BG5761" t="str">
        <f>T("판타지 웹소설 &gt; 퓨전 판타지")</f>
        <v>판타지 웹소설 &gt; 퓨전 판타지</v>
      </c>
    </row>
    <row r="5762" spans="1:59">
      <c r="A5762" t="s">
        <v>60</v>
      </c>
      <c r="B5762" s="1">
        <v>46130</v>
      </c>
      <c r="C5762">
        <v>2378044065</v>
      </c>
      <c r="D5762">
        <v>2378067449</v>
      </c>
      <c r="E5762" t="str">
        <f>T("저승의 왕위를 계승했다 440화")</f>
        <v>저승의 왕위를 계승했다 440화</v>
      </c>
      <c r="F5762">
        <v>441</v>
      </c>
      <c r="G5762" t="str">
        <f>T("신타비")</f>
        <v>신타비</v>
      </c>
      <c r="J5762" t="str">
        <f>T("매드햇")</f>
        <v>매드햇</v>
      </c>
      <c r="K5762" t="str">
        <f>T("저승의 왕위를 계승했다")</f>
        <v>저승의 왕위를 계승했다</v>
      </c>
      <c r="L5762">
        <v>100</v>
      </c>
      <c r="M5762">
        <v>100</v>
      </c>
      <c r="N5762">
        <v>1</v>
      </c>
      <c r="O5762">
        <v>0</v>
      </c>
      <c r="P5762">
        <v>0</v>
      </c>
      <c r="Q5762">
        <v>0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0</v>
      </c>
      <c r="AC5762">
        <v>0</v>
      </c>
      <c r="AD5762">
        <v>0</v>
      </c>
      <c r="AE5762">
        <v>0</v>
      </c>
      <c r="AF5762">
        <v>0</v>
      </c>
      <c r="AG5762">
        <v>0</v>
      </c>
      <c r="AH5762">
        <v>0</v>
      </c>
      <c r="AI5762">
        <v>100</v>
      </c>
      <c r="AJ5762">
        <v>1</v>
      </c>
      <c r="AK5762">
        <v>0</v>
      </c>
      <c r="AL5762">
        <v>0</v>
      </c>
      <c r="AM5762">
        <v>100</v>
      </c>
      <c r="AN5762">
        <v>0</v>
      </c>
      <c r="AO5762">
        <v>0</v>
      </c>
      <c r="AP5762">
        <v>0</v>
      </c>
      <c r="AQ5762">
        <v>0</v>
      </c>
      <c r="AS5762">
        <v>0</v>
      </c>
      <c r="AT5762">
        <v>0</v>
      </c>
      <c r="AV5762">
        <v>0</v>
      </c>
      <c r="AW5762">
        <v>0</v>
      </c>
      <c r="AY5762">
        <v>0</v>
      </c>
      <c r="AZ5762">
        <v>0</v>
      </c>
      <c r="BA5762">
        <v>70</v>
      </c>
      <c r="BE5762" t="str">
        <f>T("9791137014381")</f>
        <v>9791137014381</v>
      </c>
      <c r="BF5762" t="str">
        <f>T("k328886")</f>
        <v>k328886</v>
      </c>
      <c r="BG5762" t="str">
        <f>T("판타지 웹소설 &gt; 퓨전 판타지")</f>
        <v>판타지 웹소설 &gt; 퓨전 판타지</v>
      </c>
    </row>
    <row r="5763" spans="1:59">
      <c r="A5763" t="s">
        <v>60</v>
      </c>
      <c r="B5763" s="1">
        <v>46130</v>
      </c>
      <c r="C5763">
        <v>2378044065</v>
      </c>
      <c r="D5763">
        <v>2378067458</v>
      </c>
      <c r="E5763" t="str">
        <f>T("저승의 왕위를 계승했다 441화")</f>
        <v>저승의 왕위를 계승했다 441화</v>
      </c>
      <c r="F5763">
        <v>442</v>
      </c>
      <c r="G5763" t="str">
        <f>T("신타비")</f>
        <v>신타비</v>
      </c>
      <c r="J5763" t="str">
        <f>T("매드햇")</f>
        <v>매드햇</v>
      </c>
      <c r="K5763" t="str">
        <f>T("저승의 왕위를 계승했다")</f>
        <v>저승의 왕위를 계승했다</v>
      </c>
      <c r="L5763">
        <v>100</v>
      </c>
      <c r="M5763">
        <v>100</v>
      </c>
      <c r="N5763">
        <v>1</v>
      </c>
      <c r="O5763">
        <v>0</v>
      </c>
      <c r="P5763">
        <v>0</v>
      </c>
      <c r="Q5763">
        <v>0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0</v>
      </c>
      <c r="AC5763">
        <v>0</v>
      </c>
      <c r="AD5763">
        <v>0</v>
      </c>
      <c r="AE5763">
        <v>0</v>
      </c>
      <c r="AF5763">
        <v>0</v>
      </c>
      <c r="AG5763">
        <v>0</v>
      </c>
      <c r="AH5763">
        <v>0</v>
      </c>
      <c r="AI5763">
        <v>100</v>
      </c>
      <c r="AJ5763">
        <v>1</v>
      </c>
      <c r="AK5763">
        <v>0</v>
      </c>
      <c r="AL5763">
        <v>0</v>
      </c>
      <c r="AM5763">
        <v>100</v>
      </c>
      <c r="AN5763">
        <v>0</v>
      </c>
      <c r="AO5763">
        <v>0</v>
      </c>
      <c r="AP5763">
        <v>0</v>
      </c>
      <c r="AQ5763">
        <v>0</v>
      </c>
      <c r="AS5763">
        <v>0</v>
      </c>
      <c r="AT5763">
        <v>0</v>
      </c>
      <c r="AV5763">
        <v>0</v>
      </c>
      <c r="AW5763">
        <v>0</v>
      </c>
      <c r="AY5763">
        <v>0</v>
      </c>
      <c r="AZ5763">
        <v>0</v>
      </c>
      <c r="BA5763">
        <v>70</v>
      </c>
      <c r="BE5763" t="str">
        <f>T("9791137014381")</f>
        <v>9791137014381</v>
      </c>
      <c r="BF5763" t="str">
        <f>T("k328887")</f>
        <v>k328887</v>
      </c>
      <c r="BG5763" t="str">
        <f>T("판타지 웹소설 &gt; 퓨전 판타지")</f>
        <v>판타지 웹소설 &gt; 퓨전 판타지</v>
      </c>
    </row>
    <row r="5764" spans="1:59">
      <c r="A5764" t="s">
        <v>60</v>
      </c>
      <c r="B5764" s="1">
        <v>46130</v>
      </c>
      <c r="C5764">
        <v>2378044065</v>
      </c>
      <c r="D5764">
        <v>2378067598</v>
      </c>
      <c r="E5764" t="str">
        <f>T("저승의 왕위를 계승했다 442화")</f>
        <v>저승의 왕위를 계승했다 442화</v>
      </c>
      <c r="F5764">
        <v>443</v>
      </c>
      <c r="G5764" t="str">
        <f>T("신타비")</f>
        <v>신타비</v>
      </c>
      <c r="J5764" t="str">
        <f>T("매드햇")</f>
        <v>매드햇</v>
      </c>
      <c r="K5764" t="str">
        <f>T("저승의 왕위를 계승했다")</f>
        <v>저승의 왕위를 계승했다</v>
      </c>
      <c r="L5764">
        <v>100</v>
      </c>
      <c r="M5764">
        <v>100</v>
      </c>
      <c r="N5764">
        <v>1</v>
      </c>
      <c r="O5764">
        <v>0</v>
      </c>
      <c r="P5764">
        <v>0</v>
      </c>
      <c r="Q5764">
        <v>0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0</v>
      </c>
      <c r="AC5764">
        <v>0</v>
      </c>
      <c r="AD5764">
        <v>0</v>
      </c>
      <c r="AE5764">
        <v>0</v>
      </c>
      <c r="AF5764">
        <v>0</v>
      </c>
      <c r="AG5764">
        <v>0</v>
      </c>
      <c r="AH5764">
        <v>0</v>
      </c>
      <c r="AI5764">
        <v>100</v>
      </c>
      <c r="AJ5764">
        <v>1</v>
      </c>
      <c r="AK5764">
        <v>0</v>
      </c>
      <c r="AL5764">
        <v>0</v>
      </c>
      <c r="AM5764">
        <v>100</v>
      </c>
      <c r="AN5764">
        <v>0</v>
      </c>
      <c r="AO5764">
        <v>0</v>
      </c>
      <c r="AP5764">
        <v>0</v>
      </c>
      <c r="AQ5764">
        <v>0</v>
      </c>
      <c r="AS5764">
        <v>0</v>
      </c>
      <c r="AT5764">
        <v>0</v>
      </c>
      <c r="AV5764">
        <v>0</v>
      </c>
      <c r="AW5764">
        <v>0</v>
      </c>
      <c r="AY5764">
        <v>0</v>
      </c>
      <c r="AZ5764">
        <v>0</v>
      </c>
      <c r="BA5764">
        <v>70</v>
      </c>
      <c r="BE5764" t="str">
        <f>T("9791137014381")</f>
        <v>9791137014381</v>
      </c>
      <c r="BF5764" t="str">
        <f>T("k328888")</f>
        <v>k328888</v>
      </c>
      <c r="BG5764" t="str">
        <f>T("판타지 웹소설 &gt; 퓨전 판타지")</f>
        <v>판타지 웹소설 &gt; 퓨전 판타지</v>
      </c>
    </row>
    <row r="5765" spans="1:59">
      <c r="A5765" t="s">
        <v>60</v>
      </c>
      <c r="B5765" s="1">
        <v>46130</v>
      </c>
      <c r="C5765">
        <v>2378044065</v>
      </c>
      <c r="D5765">
        <v>2378067636</v>
      </c>
      <c r="E5765" t="str">
        <f>T("저승의 왕위를 계승했다 444화")</f>
        <v>저승의 왕위를 계승했다 444화</v>
      </c>
      <c r="F5765">
        <v>445</v>
      </c>
      <c r="G5765" t="str">
        <f>T("신타비")</f>
        <v>신타비</v>
      </c>
      <c r="J5765" t="str">
        <f>T("매드햇")</f>
        <v>매드햇</v>
      </c>
      <c r="K5765" t="str">
        <f>T("저승의 왕위를 계승했다")</f>
        <v>저승의 왕위를 계승했다</v>
      </c>
      <c r="L5765">
        <v>100</v>
      </c>
      <c r="M5765">
        <v>100</v>
      </c>
      <c r="N5765">
        <v>1</v>
      </c>
      <c r="O5765">
        <v>0</v>
      </c>
      <c r="P5765">
        <v>0</v>
      </c>
      <c r="Q5765">
        <v>0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0</v>
      </c>
      <c r="AC5765">
        <v>0</v>
      </c>
      <c r="AD5765">
        <v>0</v>
      </c>
      <c r="AE5765">
        <v>0</v>
      </c>
      <c r="AF5765">
        <v>0</v>
      </c>
      <c r="AG5765">
        <v>0</v>
      </c>
      <c r="AH5765">
        <v>0</v>
      </c>
      <c r="AI5765">
        <v>100</v>
      </c>
      <c r="AJ5765">
        <v>1</v>
      </c>
      <c r="AK5765">
        <v>0</v>
      </c>
      <c r="AL5765">
        <v>0</v>
      </c>
      <c r="AM5765">
        <v>100</v>
      </c>
      <c r="AN5765">
        <v>0</v>
      </c>
      <c r="AO5765">
        <v>0</v>
      </c>
      <c r="AP5765">
        <v>0</v>
      </c>
      <c r="AQ5765">
        <v>0</v>
      </c>
      <c r="AS5765">
        <v>0</v>
      </c>
      <c r="AT5765">
        <v>0</v>
      </c>
      <c r="AV5765">
        <v>0</v>
      </c>
      <c r="AW5765">
        <v>0</v>
      </c>
      <c r="AY5765">
        <v>0</v>
      </c>
      <c r="AZ5765">
        <v>0</v>
      </c>
      <c r="BA5765">
        <v>70</v>
      </c>
      <c r="BE5765" t="str">
        <f>T("9791137014381")</f>
        <v>9791137014381</v>
      </c>
      <c r="BF5765" t="str">
        <f>T("k332733")</f>
        <v>k332733</v>
      </c>
      <c r="BG5765" t="str">
        <f>T("판타지 웹소설 &gt; 퓨전 판타지")</f>
        <v>판타지 웹소설 &gt; 퓨전 판타지</v>
      </c>
    </row>
    <row r="5766" spans="1:59">
      <c r="A5766" t="s">
        <v>60</v>
      </c>
      <c r="B5766" s="1">
        <v>46130</v>
      </c>
      <c r="C5766">
        <v>2378044065</v>
      </c>
      <c r="D5766">
        <v>2378067805</v>
      </c>
      <c r="E5766" t="str">
        <f>T("저승의 왕위를 계승했다 445화")</f>
        <v>저승의 왕위를 계승했다 445화</v>
      </c>
      <c r="F5766">
        <v>446</v>
      </c>
      <c r="G5766" t="str">
        <f>T("신타비")</f>
        <v>신타비</v>
      </c>
      <c r="J5766" t="str">
        <f>T("매드햇")</f>
        <v>매드햇</v>
      </c>
      <c r="K5766" t="str">
        <f>T("저승의 왕위를 계승했다")</f>
        <v>저승의 왕위를 계승했다</v>
      </c>
      <c r="L5766">
        <v>100</v>
      </c>
      <c r="M5766">
        <v>100</v>
      </c>
      <c r="N5766">
        <v>1</v>
      </c>
      <c r="O5766">
        <v>0</v>
      </c>
      <c r="P5766">
        <v>0</v>
      </c>
      <c r="Q5766">
        <v>0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0</v>
      </c>
      <c r="AC5766">
        <v>0</v>
      </c>
      <c r="AD5766">
        <v>0</v>
      </c>
      <c r="AE5766">
        <v>0</v>
      </c>
      <c r="AF5766">
        <v>0</v>
      </c>
      <c r="AG5766">
        <v>0</v>
      </c>
      <c r="AH5766">
        <v>0</v>
      </c>
      <c r="AI5766">
        <v>100</v>
      </c>
      <c r="AJ5766">
        <v>1</v>
      </c>
      <c r="AK5766">
        <v>0</v>
      </c>
      <c r="AL5766">
        <v>0</v>
      </c>
      <c r="AM5766">
        <v>100</v>
      </c>
      <c r="AN5766">
        <v>0</v>
      </c>
      <c r="AO5766">
        <v>0</v>
      </c>
      <c r="AP5766">
        <v>0</v>
      </c>
      <c r="AQ5766">
        <v>0</v>
      </c>
      <c r="AS5766">
        <v>0</v>
      </c>
      <c r="AT5766">
        <v>0</v>
      </c>
      <c r="AV5766">
        <v>0</v>
      </c>
      <c r="AW5766">
        <v>0</v>
      </c>
      <c r="AY5766">
        <v>0</v>
      </c>
      <c r="AZ5766">
        <v>0</v>
      </c>
      <c r="BA5766">
        <v>70</v>
      </c>
      <c r="BE5766" t="str">
        <f>T("9791137014381")</f>
        <v>9791137014381</v>
      </c>
      <c r="BF5766" t="str">
        <f>T("k332734")</f>
        <v>k332734</v>
      </c>
      <c r="BG5766" t="str">
        <f>T("판타지 웹소설 &gt; 퓨전 판타지")</f>
        <v>판타지 웹소설 &gt; 퓨전 판타지</v>
      </c>
    </row>
    <row r="5767" spans="1:59">
      <c r="A5767" t="s">
        <v>60</v>
      </c>
      <c r="B5767" s="1">
        <v>46130</v>
      </c>
      <c r="C5767">
        <v>2378044065</v>
      </c>
      <c r="D5767">
        <v>2378067822</v>
      </c>
      <c r="E5767" t="str">
        <f>T("저승의 왕위를 계승했다 446화")</f>
        <v>저승의 왕위를 계승했다 446화</v>
      </c>
      <c r="F5767">
        <v>447</v>
      </c>
      <c r="G5767" t="str">
        <f>T("신타비")</f>
        <v>신타비</v>
      </c>
      <c r="J5767" t="str">
        <f>T("매드햇")</f>
        <v>매드햇</v>
      </c>
      <c r="K5767" t="str">
        <f>T("저승의 왕위를 계승했다")</f>
        <v>저승의 왕위를 계승했다</v>
      </c>
      <c r="L5767">
        <v>100</v>
      </c>
      <c r="M5767">
        <v>100</v>
      </c>
      <c r="N5767">
        <v>1</v>
      </c>
      <c r="O5767">
        <v>0</v>
      </c>
      <c r="P5767">
        <v>0</v>
      </c>
      <c r="Q5767">
        <v>0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0</v>
      </c>
      <c r="AC5767">
        <v>0</v>
      </c>
      <c r="AD5767">
        <v>0</v>
      </c>
      <c r="AE5767">
        <v>0</v>
      </c>
      <c r="AF5767">
        <v>0</v>
      </c>
      <c r="AG5767">
        <v>0</v>
      </c>
      <c r="AH5767">
        <v>0</v>
      </c>
      <c r="AI5767">
        <v>100</v>
      </c>
      <c r="AJ5767">
        <v>1</v>
      </c>
      <c r="AK5767">
        <v>0</v>
      </c>
      <c r="AL5767">
        <v>0</v>
      </c>
      <c r="AM5767">
        <v>100</v>
      </c>
      <c r="AN5767">
        <v>0</v>
      </c>
      <c r="AO5767">
        <v>0</v>
      </c>
      <c r="AP5767">
        <v>0</v>
      </c>
      <c r="AQ5767">
        <v>0</v>
      </c>
      <c r="AS5767">
        <v>0</v>
      </c>
      <c r="AT5767">
        <v>0</v>
      </c>
      <c r="AV5767">
        <v>0</v>
      </c>
      <c r="AW5767">
        <v>0</v>
      </c>
      <c r="AY5767">
        <v>0</v>
      </c>
      <c r="AZ5767">
        <v>0</v>
      </c>
      <c r="BA5767">
        <v>70</v>
      </c>
      <c r="BE5767" t="str">
        <f>T("9791137014381")</f>
        <v>9791137014381</v>
      </c>
      <c r="BF5767" t="str">
        <f>T("k332735")</f>
        <v>k332735</v>
      </c>
      <c r="BG5767" t="str">
        <f>T("판타지 웹소설 &gt; 퓨전 판타지")</f>
        <v>판타지 웹소설 &gt; 퓨전 판타지</v>
      </c>
    </row>
    <row r="5768" spans="1:59">
      <c r="A5768" t="s">
        <v>60</v>
      </c>
      <c r="B5768" s="1">
        <v>46130</v>
      </c>
      <c r="C5768">
        <v>2378044065</v>
      </c>
      <c r="D5768">
        <v>2378067832</v>
      </c>
      <c r="E5768" t="str">
        <f>T("저승의 왕위를 계승했다 447화")</f>
        <v>저승의 왕위를 계승했다 447화</v>
      </c>
      <c r="F5768">
        <v>448</v>
      </c>
      <c r="G5768" t="str">
        <f>T("신타비")</f>
        <v>신타비</v>
      </c>
      <c r="J5768" t="str">
        <f>T("매드햇")</f>
        <v>매드햇</v>
      </c>
      <c r="K5768" t="str">
        <f>T("저승의 왕위를 계승했다")</f>
        <v>저승의 왕위를 계승했다</v>
      </c>
      <c r="L5768">
        <v>100</v>
      </c>
      <c r="M5768">
        <v>100</v>
      </c>
      <c r="N5768">
        <v>1</v>
      </c>
      <c r="O5768">
        <v>0</v>
      </c>
      <c r="P5768">
        <v>0</v>
      </c>
      <c r="Q5768">
        <v>0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0</v>
      </c>
      <c r="AC5768">
        <v>0</v>
      </c>
      <c r="AD5768">
        <v>0</v>
      </c>
      <c r="AE5768">
        <v>0</v>
      </c>
      <c r="AF5768">
        <v>0</v>
      </c>
      <c r="AG5768">
        <v>0</v>
      </c>
      <c r="AH5768">
        <v>0</v>
      </c>
      <c r="AI5768">
        <v>100</v>
      </c>
      <c r="AJ5768">
        <v>1</v>
      </c>
      <c r="AK5768">
        <v>0</v>
      </c>
      <c r="AL5768">
        <v>0</v>
      </c>
      <c r="AM5768">
        <v>100</v>
      </c>
      <c r="AN5768">
        <v>0</v>
      </c>
      <c r="AO5768">
        <v>0</v>
      </c>
      <c r="AP5768">
        <v>0</v>
      </c>
      <c r="AQ5768">
        <v>0</v>
      </c>
      <c r="AS5768">
        <v>0</v>
      </c>
      <c r="AT5768">
        <v>0</v>
      </c>
      <c r="AV5768">
        <v>0</v>
      </c>
      <c r="AW5768">
        <v>0</v>
      </c>
      <c r="AY5768">
        <v>0</v>
      </c>
      <c r="AZ5768">
        <v>0</v>
      </c>
      <c r="BA5768">
        <v>70</v>
      </c>
      <c r="BE5768" t="str">
        <f>T("9791137014381")</f>
        <v>9791137014381</v>
      </c>
      <c r="BF5768" t="str">
        <f>T("k340017")</f>
        <v>k340017</v>
      </c>
      <c r="BG5768" t="str">
        <f>T("판타지 웹소설 &gt; 퓨전 판타지")</f>
        <v>판타지 웹소설 &gt; 퓨전 판타지</v>
      </c>
    </row>
    <row r="5769" spans="1:59">
      <c r="A5769" t="s">
        <v>60</v>
      </c>
      <c r="B5769" s="1">
        <v>46130</v>
      </c>
      <c r="C5769">
        <v>2378044065</v>
      </c>
      <c r="D5769">
        <v>2378067857</v>
      </c>
      <c r="E5769" t="str">
        <f>T("저승의 왕위를 계승했다 448화")</f>
        <v>저승의 왕위를 계승했다 448화</v>
      </c>
      <c r="F5769">
        <v>449</v>
      </c>
      <c r="G5769" t="str">
        <f>T("신타비")</f>
        <v>신타비</v>
      </c>
      <c r="J5769" t="str">
        <f>T("매드햇")</f>
        <v>매드햇</v>
      </c>
      <c r="K5769" t="str">
        <f>T("저승의 왕위를 계승했다")</f>
        <v>저승의 왕위를 계승했다</v>
      </c>
      <c r="L5769">
        <v>100</v>
      </c>
      <c r="M5769">
        <v>100</v>
      </c>
      <c r="N5769">
        <v>1</v>
      </c>
      <c r="O5769">
        <v>0</v>
      </c>
      <c r="P5769">
        <v>0</v>
      </c>
      <c r="Q5769">
        <v>0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0</v>
      </c>
      <c r="AC5769">
        <v>0</v>
      </c>
      <c r="AD5769">
        <v>0</v>
      </c>
      <c r="AE5769">
        <v>0</v>
      </c>
      <c r="AF5769">
        <v>0</v>
      </c>
      <c r="AG5769">
        <v>0</v>
      </c>
      <c r="AH5769">
        <v>0</v>
      </c>
      <c r="AI5769">
        <v>100</v>
      </c>
      <c r="AJ5769">
        <v>1</v>
      </c>
      <c r="AK5769">
        <v>0</v>
      </c>
      <c r="AL5769">
        <v>0</v>
      </c>
      <c r="AM5769">
        <v>100</v>
      </c>
      <c r="AN5769">
        <v>0</v>
      </c>
      <c r="AO5769">
        <v>0</v>
      </c>
      <c r="AP5769">
        <v>0</v>
      </c>
      <c r="AQ5769">
        <v>0</v>
      </c>
      <c r="AS5769">
        <v>0</v>
      </c>
      <c r="AT5769">
        <v>0</v>
      </c>
      <c r="AV5769">
        <v>0</v>
      </c>
      <c r="AW5769">
        <v>0</v>
      </c>
      <c r="AY5769">
        <v>0</v>
      </c>
      <c r="AZ5769">
        <v>0</v>
      </c>
      <c r="BA5769">
        <v>70</v>
      </c>
      <c r="BE5769" t="str">
        <f>T("9791137014381")</f>
        <v>9791137014381</v>
      </c>
      <c r="BF5769" t="str">
        <f>T("k340018")</f>
        <v>k340018</v>
      </c>
      <c r="BG5769" t="str">
        <f>T("판타지 웹소설 &gt; 퓨전 판타지")</f>
        <v>판타지 웹소설 &gt; 퓨전 판타지</v>
      </c>
    </row>
    <row r="5770" spans="1:59">
      <c r="A5770" t="s">
        <v>60</v>
      </c>
      <c r="B5770" s="1">
        <v>46130</v>
      </c>
      <c r="C5770">
        <v>2378044065</v>
      </c>
      <c r="D5770">
        <v>2378067863</v>
      </c>
      <c r="E5770" t="str">
        <f>T("저승의 왕위를 계승했다 449화")</f>
        <v>저승의 왕위를 계승했다 449화</v>
      </c>
      <c r="F5770">
        <v>450</v>
      </c>
      <c r="G5770" t="str">
        <f>T("신타비")</f>
        <v>신타비</v>
      </c>
      <c r="J5770" t="str">
        <f>T("매드햇")</f>
        <v>매드햇</v>
      </c>
      <c r="K5770" t="str">
        <f>T("저승의 왕위를 계승했다")</f>
        <v>저승의 왕위를 계승했다</v>
      </c>
      <c r="L5770">
        <v>100</v>
      </c>
      <c r="M5770">
        <v>100</v>
      </c>
      <c r="N5770">
        <v>1</v>
      </c>
      <c r="O5770">
        <v>0</v>
      </c>
      <c r="P5770">
        <v>0</v>
      </c>
      <c r="Q5770">
        <v>0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0</v>
      </c>
      <c r="AC5770">
        <v>0</v>
      </c>
      <c r="AD5770">
        <v>0</v>
      </c>
      <c r="AE5770">
        <v>0</v>
      </c>
      <c r="AF5770">
        <v>0</v>
      </c>
      <c r="AG5770">
        <v>0</v>
      </c>
      <c r="AH5770">
        <v>0</v>
      </c>
      <c r="AI5770">
        <v>100</v>
      </c>
      <c r="AJ5770">
        <v>1</v>
      </c>
      <c r="AK5770">
        <v>0</v>
      </c>
      <c r="AL5770">
        <v>0</v>
      </c>
      <c r="AM5770">
        <v>100</v>
      </c>
      <c r="AN5770">
        <v>0</v>
      </c>
      <c r="AO5770">
        <v>0</v>
      </c>
      <c r="AP5770">
        <v>0</v>
      </c>
      <c r="AQ5770">
        <v>0</v>
      </c>
      <c r="AS5770">
        <v>0</v>
      </c>
      <c r="AT5770">
        <v>0</v>
      </c>
      <c r="AV5770">
        <v>0</v>
      </c>
      <c r="AW5770">
        <v>0</v>
      </c>
      <c r="AY5770">
        <v>0</v>
      </c>
      <c r="AZ5770">
        <v>0</v>
      </c>
      <c r="BA5770">
        <v>70</v>
      </c>
      <c r="BE5770" t="str">
        <f>T("9791137014381")</f>
        <v>9791137014381</v>
      </c>
      <c r="BF5770" t="str">
        <f>T("k340019")</f>
        <v>k340019</v>
      </c>
      <c r="BG5770" t="str">
        <f>T("판타지 웹소설 &gt; 퓨전 판타지")</f>
        <v>판타지 웹소설 &gt; 퓨전 판타지</v>
      </c>
    </row>
    <row r="5771" spans="1:59">
      <c r="A5771" t="s">
        <v>60</v>
      </c>
      <c r="B5771" s="1">
        <v>46130</v>
      </c>
      <c r="C5771">
        <v>2378044065</v>
      </c>
      <c r="D5771">
        <v>2378067883</v>
      </c>
      <c r="E5771" t="str">
        <f>T("저승의 왕위를 계승했다 450화")</f>
        <v>저승의 왕위를 계승했다 450화</v>
      </c>
      <c r="F5771">
        <v>451</v>
      </c>
      <c r="G5771" t="str">
        <f>T("신타비")</f>
        <v>신타비</v>
      </c>
      <c r="J5771" t="str">
        <f>T("매드햇")</f>
        <v>매드햇</v>
      </c>
      <c r="K5771" t="str">
        <f>T("저승의 왕위를 계승했다")</f>
        <v>저승의 왕위를 계승했다</v>
      </c>
      <c r="L5771">
        <v>100</v>
      </c>
      <c r="M5771">
        <v>100</v>
      </c>
      <c r="N5771">
        <v>1</v>
      </c>
      <c r="O5771">
        <v>0</v>
      </c>
      <c r="P5771">
        <v>0</v>
      </c>
      <c r="Q5771">
        <v>0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0</v>
      </c>
      <c r="AC5771">
        <v>0</v>
      </c>
      <c r="AD5771">
        <v>0</v>
      </c>
      <c r="AE5771">
        <v>0</v>
      </c>
      <c r="AF5771">
        <v>0</v>
      </c>
      <c r="AG5771">
        <v>0</v>
      </c>
      <c r="AH5771">
        <v>0</v>
      </c>
      <c r="AI5771">
        <v>100</v>
      </c>
      <c r="AJ5771">
        <v>1</v>
      </c>
      <c r="AK5771">
        <v>0</v>
      </c>
      <c r="AL5771">
        <v>0</v>
      </c>
      <c r="AM5771">
        <v>100</v>
      </c>
      <c r="AN5771">
        <v>0</v>
      </c>
      <c r="AO5771">
        <v>0</v>
      </c>
      <c r="AP5771">
        <v>0</v>
      </c>
      <c r="AQ5771">
        <v>0</v>
      </c>
      <c r="AS5771">
        <v>0</v>
      </c>
      <c r="AT5771">
        <v>0</v>
      </c>
      <c r="AV5771">
        <v>0</v>
      </c>
      <c r="AW5771">
        <v>0</v>
      </c>
      <c r="AY5771">
        <v>0</v>
      </c>
      <c r="AZ5771">
        <v>0</v>
      </c>
      <c r="BA5771">
        <v>70</v>
      </c>
      <c r="BE5771" t="str">
        <f>T("9791137014381")</f>
        <v>9791137014381</v>
      </c>
      <c r="BF5771" t="str">
        <f>T("k340020")</f>
        <v>k340020</v>
      </c>
      <c r="BG5771" t="str">
        <f>T("판타지 웹소설 &gt; 퓨전 판타지")</f>
        <v>판타지 웹소설 &gt; 퓨전 판타지</v>
      </c>
    </row>
    <row r="5772" spans="1:59">
      <c r="A5772" t="s">
        <v>60</v>
      </c>
      <c r="B5772" s="1">
        <v>46130</v>
      </c>
      <c r="C5772">
        <v>2378044065</v>
      </c>
      <c r="D5772">
        <v>2378067893</v>
      </c>
      <c r="E5772" t="str">
        <f>T("저승의 왕위를 계승했다 451화")</f>
        <v>저승의 왕위를 계승했다 451화</v>
      </c>
      <c r="F5772">
        <v>452</v>
      </c>
      <c r="G5772" t="str">
        <f>T("신타비")</f>
        <v>신타비</v>
      </c>
      <c r="J5772" t="str">
        <f>T("매드햇")</f>
        <v>매드햇</v>
      </c>
      <c r="K5772" t="str">
        <f>T("저승의 왕위를 계승했다")</f>
        <v>저승의 왕위를 계승했다</v>
      </c>
      <c r="L5772">
        <v>100</v>
      </c>
      <c r="M5772">
        <v>100</v>
      </c>
      <c r="N5772">
        <v>1</v>
      </c>
      <c r="O5772">
        <v>0</v>
      </c>
      <c r="P5772">
        <v>0</v>
      </c>
      <c r="Q5772">
        <v>0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0</v>
      </c>
      <c r="AC5772">
        <v>0</v>
      </c>
      <c r="AD5772">
        <v>0</v>
      </c>
      <c r="AE5772">
        <v>0</v>
      </c>
      <c r="AF5772">
        <v>0</v>
      </c>
      <c r="AG5772">
        <v>0</v>
      </c>
      <c r="AH5772">
        <v>0</v>
      </c>
      <c r="AI5772">
        <v>100</v>
      </c>
      <c r="AJ5772">
        <v>1</v>
      </c>
      <c r="AK5772">
        <v>0</v>
      </c>
      <c r="AL5772">
        <v>0</v>
      </c>
      <c r="AM5772">
        <v>100</v>
      </c>
      <c r="AN5772">
        <v>0</v>
      </c>
      <c r="AO5772">
        <v>0</v>
      </c>
      <c r="AP5772">
        <v>0</v>
      </c>
      <c r="AQ5772">
        <v>0</v>
      </c>
      <c r="AS5772">
        <v>0</v>
      </c>
      <c r="AT5772">
        <v>0</v>
      </c>
      <c r="AV5772">
        <v>0</v>
      </c>
      <c r="AW5772">
        <v>0</v>
      </c>
      <c r="AY5772">
        <v>0</v>
      </c>
      <c r="AZ5772">
        <v>0</v>
      </c>
      <c r="BA5772">
        <v>70</v>
      </c>
      <c r="BE5772" t="str">
        <f>T("9791137014381")</f>
        <v>9791137014381</v>
      </c>
      <c r="BF5772" t="str">
        <f>T("k345102")</f>
        <v>k345102</v>
      </c>
      <c r="BG5772" t="str">
        <f>T("판타지 웹소설 &gt; 퓨전 판타지")</f>
        <v>판타지 웹소설 &gt; 퓨전 판타지</v>
      </c>
    </row>
    <row r="5773" spans="1:59">
      <c r="A5773" t="s">
        <v>60</v>
      </c>
      <c r="B5773" s="1">
        <v>46130</v>
      </c>
      <c r="C5773">
        <v>2378044065</v>
      </c>
      <c r="D5773">
        <v>2378067926</v>
      </c>
      <c r="E5773" t="str">
        <f>T("저승의 왕위를 계승했다 452화")</f>
        <v>저승의 왕위를 계승했다 452화</v>
      </c>
      <c r="F5773">
        <v>453</v>
      </c>
      <c r="G5773" t="str">
        <f>T("신타비")</f>
        <v>신타비</v>
      </c>
      <c r="J5773" t="str">
        <f>T("매드햇")</f>
        <v>매드햇</v>
      </c>
      <c r="K5773" t="str">
        <f>T("저승의 왕위를 계승했다")</f>
        <v>저승의 왕위를 계승했다</v>
      </c>
      <c r="L5773">
        <v>100</v>
      </c>
      <c r="M5773">
        <v>100</v>
      </c>
      <c r="N5773">
        <v>1</v>
      </c>
      <c r="O5773">
        <v>0</v>
      </c>
      <c r="P5773">
        <v>0</v>
      </c>
      <c r="Q5773">
        <v>0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0</v>
      </c>
      <c r="AC5773">
        <v>0</v>
      </c>
      <c r="AD5773">
        <v>0</v>
      </c>
      <c r="AE5773">
        <v>0</v>
      </c>
      <c r="AF5773">
        <v>0</v>
      </c>
      <c r="AG5773">
        <v>0</v>
      </c>
      <c r="AH5773">
        <v>0</v>
      </c>
      <c r="AI5773">
        <v>100</v>
      </c>
      <c r="AJ5773">
        <v>1</v>
      </c>
      <c r="AK5773">
        <v>0</v>
      </c>
      <c r="AL5773">
        <v>0</v>
      </c>
      <c r="AM5773">
        <v>100</v>
      </c>
      <c r="AN5773">
        <v>0</v>
      </c>
      <c r="AO5773">
        <v>0</v>
      </c>
      <c r="AP5773">
        <v>0</v>
      </c>
      <c r="AQ5773">
        <v>0</v>
      </c>
      <c r="AS5773">
        <v>0</v>
      </c>
      <c r="AT5773">
        <v>0</v>
      </c>
      <c r="AV5773">
        <v>0</v>
      </c>
      <c r="AW5773">
        <v>0</v>
      </c>
      <c r="AY5773">
        <v>0</v>
      </c>
      <c r="AZ5773">
        <v>0</v>
      </c>
      <c r="BA5773">
        <v>70</v>
      </c>
      <c r="BE5773" t="str">
        <f>T("9791137014381")</f>
        <v>9791137014381</v>
      </c>
      <c r="BF5773" t="str">
        <f>T("k345103")</f>
        <v>k345103</v>
      </c>
      <c r="BG5773" t="str">
        <f>T("판타지 웹소설 &gt; 퓨전 판타지")</f>
        <v>판타지 웹소설 &gt; 퓨전 판타지</v>
      </c>
    </row>
    <row r="5774" spans="1:59">
      <c r="A5774" t="s">
        <v>60</v>
      </c>
      <c r="B5774" s="1">
        <v>46130</v>
      </c>
      <c r="C5774">
        <v>2378044065</v>
      </c>
      <c r="D5774">
        <v>2378067944</v>
      </c>
      <c r="E5774" t="str">
        <f>T("저승의 왕위를 계승했다 453화")</f>
        <v>저승의 왕위를 계승했다 453화</v>
      </c>
      <c r="F5774">
        <v>454</v>
      </c>
      <c r="G5774" t="str">
        <f>T("신타비")</f>
        <v>신타비</v>
      </c>
      <c r="J5774" t="str">
        <f>T("매드햇")</f>
        <v>매드햇</v>
      </c>
      <c r="K5774" t="str">
        <f>T("저승의 왕위를 계승했다")</f>
        <v>저승의 왕위를 계승했다</v>
      </c>
      <c r="L5774">
        <v>100</v>
      </c>
      <c r="M5774">
        <v>100</v>
      </c>
      <c r="N5774">
        <v>1</v>
      </c>
      <c r="O5774">
        <v>0</v>
      </c>
      <c r="P5774">
        <v>0</v>
      </c>
      <c r="Q5774">
        <v>0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0</v>
      </c>
      <c r="AC5774">
        <v>0</v>
      </c>
      <c r="AD5774">
        <v>0</v>
      </c>
      <c r="AE5774">
        <v>0</v>
      </c>
      <c r="AF5774">
        <v>0</v>
      </c>
      <c r="AG5774">
        <v>0</v>
      </c>
      <c r="AH5774">
        <v>0</v>
      </c>
      <c r="AI5774">
        <v>100</v>
      </c>
      <c r="AJ5774">
        <v>1</v>
      </c>
      <c r="AK5774">
        <v>0</v>
      </c>
      <c r="AL5774">
        <v>0</v>
      </c>
      <c r="AM5774">
        <v>100</v>
      </c>
      <c r="AN5774">
        <v>0</v>
      </c>
      <c r="AO5774">
        <v>0</v>
      </c>
      <c r="AP5774">
        <v>0</v>
      </c>
      <c r="AQ5774">
        <v>0</v>
      </c>
      <c r="AS5774">
        <v>0</v>
      </c>
      <c r="AT5774">
        <v>0</v>
      </c>
      <c r="AV5774">
        <v>0</v>
      </c>
      <c r="AW5774">
        <v>0</v>
      </c>
      <c r="AY5774">
        <v>0</v>
      </c>
      <c r="AZ5774">
        <v>0</v>
      </c>
      <c r="BA5774">
        <v>70</v>
      </c>
      <c r="BE5774" t="str">
        <f>T("9791137014381")</f>
        <v>9791137014381</v>
      </c>
      <c r="BF5774" t="str">
        <f>T("k345104")</f>
        <v>k345104</v>
      </c>
      <c r="BG5774" t="str">
        <f>T("판타지 웹소설 &gt; 퓨전 판타지")</f>
        <v>판타지 웹소설 &gt; 퓨전 판타지</v>
      </c>
    </row>
    <row r="5775" spans="1:59">
      <c r="A5775" t="s">
        <v>60</v>
      </c>
      <c r="B5775" s="1">
        <v>46131</v>
      </c>
      <c r="C5775">
        <v>2378044065</v>
      </c>
      <c r="D5775">
        <v>2378044065</v>
      </c>
      <c r="E5775" t="str">
        <f>T("저승의 왕위를 계승했다 1화")</f>
        <v>저승의 왕위를 계승했다 1화</v>
      </c>
      <c r="F5775">
        <v>1</v>
      </c>
      <c r="G5775" t="str">
        <f>T("신타비")</f>
        <v>신타비</v>
      </c>
      <c r="J5775" t="str">
        <f>T("매드햇")</f>
        <v>매드햇</v>
      </c>
      <c r="K5775" t="str">
        <f>T("저승의 왕위를 계승했다")</f>
        <v>저승의 왕위를 계승했다</v>
      </c>
      <c r="L5775">
        <v>0</v>
      </c>
      <c r="M5775">
        <v>0</v>
      </c>
      <c r="N5775">
        <v>0</v>
      </c>
      <c r="O5775">
        <v>8</v>
      </c>
      <c r="P5775">
        <v>0</v>
      </c>
      <c r="Q5775">
        <v>0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0</v>
      </c>
      <c r="AC5775">
        <v>0</v>
      </c>
      <c r="AD5775">
        <v>0</v>
      </c>
      <c r="AE5775">
        <v>0</v>
      </c>
      <c r="AF5775">
        <v>0</v>
      </c>
      <c r="AG5775">
        <v>0</v>
      </c>
      <c r="AH5775">
        <v>0</v>
      </c>
      <c r="AI5775">
        <v>0</v>
      </c>
      <c r="AJ5775">
        <v>8</v>
      </c>
      <c r="AK5775">
        <v>0</v>
      </c>
      <c r="AL5775">
        <v>0</v>
      </c>
      <c r="AM5775">
        <v>0</v>
      </c>
      <c r="AN5775">
        <v>0</v>
      </c>
      <c r="AO5775">
        <v>0</v>
      </c>
      <c r="AP5775">
        <v>0</v>
      </c>
      <c r="AQ5775">
        <v>0</v>
      </c>
      <c r="AS5775">
        <v>0</v>
      </c>
      <c r="AT5775">
        <v>0</v>
      </c>
      <c r="AV5775">
        <v>0</v>
      </c>
      <c r="AW5775">
        <v>0</v>
      </c>
      <c r="AY5775">
        <v>0</v>
      </c>
      <c r="AZ5775">
        <v>0</v>
      </c>
      <c r="BA5775">
        <v>0</v>
      </c>
      <c r="BE5775" t="str">
        <f>T("9791137014381")</f>
        <v>9791137014381</v>
      </c>
      <c r="BF5775" t="str">
        <f>T("N218749")</f>
        <v>N218749</v>
      </c>
      <c r="BG5775" t="str">
        <f>T("판타지 웹소설 &gt; 퓨전 판타지")</f>
        <v>판타지 웹소설 &gt; 퓨전 판타지</v>
      </c>
    </row>
    <row r="5776" spans="1:59">
      <c r="A5776" t="s">
        <v>60</v>
      </c>
      <c r="B5776" s="1">
        <v>46131</v>
      </c>
      <c r="C5776">
        <v>2378044065</v>
      </c>
      <c r="D5776">
        <v>2378044066</v>
      </c>
      <c r="E5776" t="str">
        <f>T("저승의 왕위를 계승했다 2화")</f>
        <v>저승의 왕위를 계승했다 2화</v>
      </c>
      <c r="F5776">
        <v>2</v>
      </c>
      <c r="G5776" t="str">
        <f>T("신타비")</f>
        <v>신타비</v>
      </c>
      <c r="J5776" t="str">
        <f>T("매드햇")</f>
        <v>매드햇</v>
      </c>
      <c r="K5776" t="str">
        <f>T("저승의 왕위를 계승했다")</f>
        <v>저승의 왕위를 계승했다</v>
      </c>
      <c r="L5776">
        <v>0</v>
      </c>
      <c r="M5776">
        <v>0</v>
      </c>
      <c r="N5776">
        <v>0</v>
      </c>
      <c r="O5776">
        <v>5</v>
      </c>
      <c r="P5776">
        <v>0</v>
      </c>
      <c r="Q5776">
        <v>0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0</v>
      </c>
      <c r="AC5776">
        <v>0</v>
      </c>
      <c r="AD5776">
        <v>0</v>
      </c>
      <c r="AE5776">
        <v>0</v>
      </c>
      <c r="AF5776">
        <v>0</v>
      </c>
      <c r="AG5776">
        <v>0</v>
      </c>
      <c r="AH5776">
        <v>0</v>
      </c>
      <c r="AI5776">
        <v>0</v>
      </c>
      <c r="AJ5776">
        <v>5</v>
      </c>
      <c r="AK5776">
        <v>0</v>
      </c>
      <c r="AL5776">
        <v>0</v>
      </c>
      <c r="AM5776">
        <v>0</v>
      </c>
      <c r="AN5776">
        <v>0</v>
      </c>
      <c r="AO5776">
        <v>0</v>
      </c>
      <c r="AP5776">
        <v>0</v>
      </c>
      <c r="AQ5776">
        <v>0</v>
      </c>
      <c r="AS5776">
        <v>0</v>
      </c>
      <c r="AT5776">
        <v>0</v>
      </c>
      <c r="AV5776">
        <v>0</v>
      </c>
      <c r="AW5776">
        <v>0</v>
      </c>
      <c r="AY5776">
        <v>0</v>
      </c>
      <c r="AZ5776">
        <v>0</v>
      </c>
      <c r="BA5776">
        <v>0</v>
      </c>
      <c r="BE5776" t="str">
        <f>T("9791137014381")</f>
        <v>9791137014381</v>
      </c>
      <c r="BF5776" t="str">
        <f>T("N218750")</f>
        <v>N218750</v>
      </c>
      <c r="BG5776" t="str">
        <f>T("판타지 웹소설 &gt; 퓨전 판타지")</f>
        <v>판타지 웹소설 &gt; 퓨전 판타지</v>
      </c>
    </row>
    <row r="5777" spans="1:59">
      <c r="A5777" t="s">
        <v>60</v>
      </c>
      <c r="B5777" s="1">
        <v>46131</v>
      </c>
      <c r="C5777">
        <v>2378044065</v>
      </c>
      <c r="D5777">
        <v>2378044067</v>
      </c>
      <c r="E5777" t="str">
        <f>T("저승의 왕위를 계승했다 3화")</f>
        <v>저승의 왕위를 계승했다 3화</v>
      </c>
      <c r="F5777">
        <v>3</v>
      </c>
      <c r="G5777" t="str">
        <f>T("신타비")</f>
        <v>신타비</v>
      </c>
      <c r="J5777" t="str">
        <f>T("매드햇")</f>
        <v>매드햇</v>
      </c>
      <c r="K5777" t="str">
        <f>T("저승의 왕위를 계승했다")</f>
        <v>저승의 왕위를 계승했다</v>
      </c>
      <c r="L5777">
        <v>0</v>
      </c>
      <c r="M5777">
        <v>0</v>
      </c>
      <c r="N5777">
        <v>0</v>
      </c>
      <c r="O5777">
        <v>4</v>
      </c>
      <c r="P5777">
        <v>0</v>
      </c>
      <c r="Q5777">
        <v>0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0</v>
      </c>
      <c r="AC5777">
        <v>0</v>
      </c>
      <c r="AD5777">
        <v>0</v>
      </c>
      <c r="AE5777">
        <v>0</v>
      </c>
      <c r="AF5777">
        <v>0</v>
      </c>
      <c r="AG5777">
        <v>0</v>
      </c>
      <c r="AH5777">
        <v>0</v>
      </c>
      <c r="AI5777">
        <v>0</v>
      </c>
      <c r="AJ5777">
        <v>4</v>
      </c>
      <c r="AK5777">
        <v>0</v>
      </c>
      <c r="AL5777">
        <v>0</v>
      </c>
      <c r="AM5777">
        <v>0</v>
      </c>
      <c r="AN5777">
        <v>0</v>
      </c>
      <c r="AO5777">
        <v>0</v>
      </c>
      <c r="AP5777">
        <v>0</v>
      </c>
      <c r="AQ5777">
        <v>0</v>
      </c>
      <c r="AS5777">
        <v>0</v>
      </c>
      <c r="AT5777">
        <v>0</v>
      </c>
      <c r="AV5777">
        <v>0</v>
      </c>
      <c r="AW5777">
        <v>0</v>
      </c>
      <c r="AY5777">
        <v>0</v>
      </c>
      <c r="AZ5777">
        <v>0</v>
      </c>
      <c r="BA5777">
        <v>0</v>
      </c>
      <c r="BE5777" t="str">
        <f>T("9791137014381")</f>
        <v>9791137014381</v>
      </c>
      <c r="BF5777" t="str">
        <f>T("N218751")</f>
        <v>N218751</v>
      </c>
      <c r="BG5777" t="str">
        <f>T("판타지 웹소설 &gt; 퓨전 판타지")</f>
        <v>판타지 웹소설 &gt; 퓨전 판타지</v>
      </c>
    </row>
    <row r="5778" spans="1:59">
      <c r="A5778" t="s">
        <v>60</v>
      </c>
      <c r="B5778" s="1">
        <v>46131</v>
      </c>
      <c r="C5778">
        <v>2378044065</v>
      </c>
      <c r="D5778">
        <v>2378069449</v>
      </c>
      <c r="E5778" t="str">
        <f>T("저승의 왕위를 계승했다 502화")</f>
        <v>저승의 왕위를 계승했다 502화</v>
      </c>
      <c r="F5778">
        <v>503</v>
      </c>
      <c r="G5778" t="str">
        <f>T("신타비")</f>
        <v>신타비</v>
      </c>
      <c r="J5778" t="str">
        <f>T("매드햇")</f>
        <v>매드햇</v>
      </c>
      <c r="K5778" t="str">
        <f>T("저승의 왕위를 계승했다")</f>
        <v>저승의 왕위를 계승했다</v>
      </c>
      <c r="L5778">
        <v>100</v>
      </c>
      <c r="M5778">
        <v>100</v>
      </c>
      <c r="N5778">
        <v>1</v>
      </c>
      <c r="O5778">
        <v>0</v>
      </c>
      <c r="P5778">
        <v>0</v>
      </c>
      <c r="Q5778">
        <v>0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0</v>
      </c>
      <c r="AC5778">
        <v>0</v>
      </c>
      <c r="AD5778">
        <v>0</v>
      </c>
      <c r="AE5778">
        <v>0</v>
      </c>
      <c r="AF5778">
        <v>0</v>
      </c>
      <c r="AG5778">
        <v>0</v>
      </c>
      <c r="AH5778">
        <v>0</v>
      </c>
      <c r="AI5778">
        <v>100</v>
      </c>
      <c r="AJ5778">
        <v>1</v>
      </c>
      <c r="AK5778">
        <v>0</v>
      </c>
      <c r="AL5778">
        <v>0</v>
      </c>
      <c r="AM5778">
        <v>100</v>
      </c>
      <c r="AN5778">
        <v>0</v>
      </c>
      <c r="AO5778">
        <v>0</v>
      </c>
      <c r="AP5778">
        <v>0</v>
      </c>
      <c r="AQ5778">
        <v>0</v>
      </c>
      <c r="AS5778">
        <v>0</v>
      </c>
      <c r="AT5778">
        <v>0</v>
      </c>
      <c r="AV5778">
        <v>0</v>
      </c>
      <c r="AW5778">
        <v>0</v>
      </c>
      <c r="AY5778">
        <v>0</v>
      </c>
      <c r="AZ5778">
        <v>0</v>
      </c>
      <c r="BA5778">
        <v>70</v>
      </c>
      <c r="BE5778" t="str">
        <f>T("9791137014381")</f>
        <v>9791137014381</v>
      </c>
      <c r="BF5778" t="str">
        <f>T("k407428")</f>
        <v>k407428</v>
      </c>
      <c r="BG5778" t="str">
        <f>T("판타지 웹소설 &gt; 퓨전 판타지")</f>
        <v>판타지 웹소설 &gt; 퓨전 판타지</v>
      </c>
    </row>
    <row r="5779" spans="1:59">
      <c r="A5779" t="s">
        <v>60</v>
      </c>
      <c r="B5779" s="1">
        <v>46131</v>
      </c>
      <c r="C5779">
        <v>2378044065</v>
      </c>
      <c r="D5779">
        <v>2378044068</v>
      </c>
      <c r="E5779" t="str">
        <f>T("저승의 왕위를 계승했다 4화")</f>
        <v>저승의 왕위를 계승했다 4화</v>
      </c>
      <c r="F5779">
        <v>4</v>
      </c>
      <c r="G5779" t="str">
        <f>T("신타비")</f>
        <v>신타비</v>
      </c>
      <c r="J5779" t="str">
        <f>T("매드햇")</f>
        <v>매드햇</v>
      </c>
      <c r="K5779" t="str">
        <f>T("저승의 왕위를 계승했다")</f>
        <v>저승의 왕위를 계승했다</v>
      </c>
      <c r="L5779">
        <v>0</v>
      </c>
      <c r="M5779">
        <v>0</v>
      </c>
      <c r="N5779">
        <v>0</v>
      </c>
      <c r="O5779">
        <v>4</v>
      </c>
      <c r="P5779">
        <v>0</v>
      </c>
      <c r="Q5779">
        <v>0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0</v>
      </c>
      <c r="AC5779">
        <v>0</v>
      </c>
      <c r="AD5779">
        <v>0</v>
      </c>
      <c r="AE5779">
        <v>0</v>
      </c>
      <c r="AF5779">
        <v>0</v>
      </c>
      <c r="AG5779">
        <v>0</v>
      </c>
      <c r="AH5779">
        <v>0</v>
      </c>
      <c r="AI5779">
        <v>0</v>
      </c>
      <c r="AJ5779">
        <v>4</v>
      </c>
      <c r="AK5779">
        <v>0</v>
      </c>
      <c r="AL5779">
        <v>0</v>
      </c>
      <c r="AM5779">
        <v>0</v>
      </c>
      <c r="AN5779">
        <v>0</v>
      </c>
      <c r="AO5779">
        <v>0</v>
      </c>
      <c r="AP5779">
        <v>0</v>
      </c>
      <c r="AQ5779">
        <v>0</v>
      </c>
      <c r="AS5779">
        <v>0</v>
      </c>
      <c r="AT5779">
        <v>0</v>
      </c>
      <c r="AV5779">
        <v>0</v>
      </c>
      <c r="AW5779">
        <v>0</v>
      </c>
      <c r="AY5779">
        <v>0</v>
      </c>
      <c r="AZ5779">
        <v>0</v>
      </c>
      <c r="BA5779">
        <v>0</v>
      </c>
      <c r="BE5779" t="str">
        <f>T("9791137014381")</f>
        <v>9791137014381</v>
      </c>
      <c r="BF5779" t="str">
        <f>T("N218752")</f>
        <v>N218752</v>
      </c>
      <c r="BG5779" t="str">
        <f>T("판타지 웹소설 &gt; 퓨전 판타지")</f>
        <v>판타지 웹소설 &gt; 퓨전 판타지</v>
      </c>
    </row>
    <row r="5780" spans="1:59">
      <c r="A5780" t="s">
        <v>60</v>
      </c>
      <c r="B5780" s="1">
        <v>46131</v>
      </c>
      <c r="C5780">
        <v>2378044065</v>
      </c>
      <c r="D5780">
        <v>2378044069</v>
      </c>
      <c r="E5780" t="str">
        <f>T("저승의 왕위를 계승했다 5화")</f>
        <v>저승의 왕위를 계승했다 5화</v>
      </c>
      <c r="F5780">
        <v>5</v>
      </c>
      <c r="G5780" t="str">
        <f>T("신타비")</f>
        <v>신타비</v>
      </c>
      <c r="J5780" t="str">
        <f>T("매드햇")</f>
        <v>매드햇</v>
      </c>
      <c r="K5780" t="str">
        <f>T("저승의 왕위를 계승했다")</f>
        <v>저승의 왕위를 계승했다</v>
      </c>
      <c r="L5780">
        <v>0</v>
      </c>
      <c r="M5780">
        <v>0</v>
      </c>
      <c r="N5780">
        <v>0</v>
      </c>
      <c r="O5780">
        <v>3</v>
      </c>
      <c r="P5780">
        <v>0</v>
      </c>
      <c r="Q5780">
        <v>0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0</v>
      </c>
      <c r="AE5780">
        <v>0</v>
      </c>
      <c r="AF5780">
        <v>0</v>
      </c>
      <c r="AG5780">
        <v>0</v>
      </c>
      <c r="AH5780">
        <v>0</v>
      </c>
      <c r="AI5780">
        <v>0</v>
      </c>
      <c r="AJ5780">
        <v>3</v>
      </c>
      <c r="AK5780">
        <v>0</v>
      </c>
      <c r="AL5780">
        <v>0</v>
      </c>
      <c r="AM5780">
        <v>0</v>
      </c>
      <c r="AN5780">
        <v>0</v>
      </c>
      <c r="AO5780">
        <v>0</v>
      </c>
      <c r="AP5780">
        <v>0</v>
      </c>
      <c r="AQ5780">
        <v>0</v>
      </c>
      <c r="AS5780">
        <v>0</v>
      </c>
      <c r="AT5780">
        <v>0</v>
      </c>
      <c r="AV5780">
        <v>0</v>
      </c>
      <c r="AW5780">
        <v>0</v>
      </c>
      <c r="AY5780">
        <v>0</v>
      </c>
      <c r="AZ5780">
        <v>0</v>
      </c>
      <c r="BA5780">
        <v>0</v>
      </c>
      <c r="BE5780" t="str">
        <f>T("9791137014381")</f>
        <v>9791137014381</v>
      </c>
      <c r="BF5780" t="str">
        <f>T("N218753")</f>
        <v>N218753</v>
      </c>
      <c r="BG5780" t="str">
        <f>T("판타지 웹소설 &gt; 퓨전 판타지")</f>
        <v>판타지 웹소설 &gt; 퓨전 판타지</v>
      </c>
    </row>
    <row r="5781" spans="1:59">
      <c r="A5781" t="s">
        <v>60</v>
      </c>
      <c r="B5781" s="1">
        <v>46131</v>
      </c>
      <c r="C5781">
        <v>2378044065</v>
      </c>
      <c r="D5781">
        <v>2378044070</v>
      </c>
      <c r="E5781" t="str">
        <f>T("저승의 왕위를 계승했다 6화")</f>
        <v>저승의 왕위를 계승했다 6화</v>
      </c>
      <c r="F5781">
        <v>6</v>
      </c>
      <c r="G5781" t="str">
        <f>T("신타비")</f>
        <v>신타비</v>
      </c>
      <c r="J5781" t="str">
        <f>T("매드햇")</f>
        <v>매드햇</v>
      </c>
      <c r="K5781" t="str">
        <f>T("저승의 왕위를 계승했다")</f>
        <v>저승의 왕위를 계승했다</v>
      </c>
      <c r="L5781">
        <v>0</v>
      </c>
      <c r="M5781">
        <v>0</v>
      </c>
      <c r="N5781">
        <v>0</v>
      </c>
      <c r="O5781">
        <v>3</v>
      </c>
      <c r="P5781">
        <v>0</v>
      </c>
      <c r="Q5781">
        <v>0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0</v>
      </c>
      <c r="AE5781">
        <v>0</v>
      </c>
      <c r="AF5781">
        <v>0</v>
      </c>
      <c r="AG5781">
        <v>0</v>
      </c>
      <c r="AH5781">
        <v>0</v>
      </c>
      <c r="AI5781">
        <v>0</v>
      </c>
      <c r="AJ5781">
        <v>3</v>
      </c>
      <c r="AK5781">
        <v>0</v>
      </c>
      <c r="AL5781">
        <v>0</v>
      </c>
      <c r="AM5781">
        <v>0</v>
      </c>
      <c r="AN5781">
        <v>0</v>
      </c>
      <c r="AO5781">
        <v>0</v>
      </c>
      <c r="AP5781">
        <v>0</v>
      </c>
      <c r="AQ5781">
        <v>0</v>
      </c>
      <c r="AS5781">
        <v>0</v>
      </c>
      <c r="AT5781">
        <v>0</v>
      </c>
      <c r="AV5781">
        <v>0</v>
      </c>
      <c r="AW5781">
        <v>0</v>
      </c>
      <c r="AY5781">
        <v>0</v>
      </c>
      <c r="AZ5781">
        <v>0</v>
      </c>
      <c r="BA5781">
        <v>0</v>
      </c>
      <c r="BE5781" t="str">
        <f>T("9791137014381")</f>
        <v>9791137014381</v>
      </c>
      <c r="BF5781" t="str">
        <f>T("N218754")</f>
        <v>N218754</v>
      </c>
      <c r="BG5781" t="str">
        <f>T("판타지 웹소설 &gt; 퓨전 판타지")</f>
        <v>판타지 웹소설 &gt; 퓨전 판타지</v>
      </c>
    </row>
    <row r="5782" spans="1:59">
      <c r="A5782" t="s">
        <v>60</v>
      </c>
      <c r="B5782" s="1">
        <v>46131</v>
      </c>
      <c r="C5782">
        <v>2378044065</v>
      </c>
      <c r="D5782">
        <v>2378044071</v>
      </c>
      <c r="E5782" t="str">
        <f>T("저승의 왕위를 계승했다 7화")</f>
        <v>저승의 왕위를 계승했다 7화</v>
      </c>
      <c r="F5782">
        <v>7</v>
      </c>
      <c r="G5782" t="str">
        <f>T("신타비")</f>
        <v>신타비</v>
      </c>
      <c r="J5782" t="str">
        <f>T("매드햇")</f>
        <v>매드햇</v>
      </c>
      <c r="K5782" t="str">
        <f>T("저승의 왕위를 계승했다")</f>
        <v>저승의 왕위를 계승했다</v>
      </c>
      <c r="L5782">
        <v>0</v>
      </c>
      <c r="M5782">
        <v>0</v>
      </c>
      <c r="N5782">
        <v>0</v>
      </c>
      <c r="O5782">
        <v>3</v>
      </c>
      <c r="P5782">
        <v>0</v>
      </c>
      <c r="Q5782">
        <v>0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0</v>
      </c>
      <c r="AE5782">
        <v>0</v>
      </c>
      <c r="AF5782">
        <v>0</v>
      </c>
      <c r="AG5782">
        <v>0</v>
      </c>
      <c r="AH5782">
        <v>0</v>
      </c>
      <c r="AI5782">
        <v>0</v>
      </c>
      <c r="AJ5782">
        <v>3</v>
      </c>
      <c r="AK5782">
        <v>0</v>
      </c>
      <c r="AL5782">
        <v>0</v>
      </c>
      <c r="AM5782">
        <v>0</v>
      </c>
      <c r="AN5782">
        <v>0</v>
      </c>
      <c r="AO5782">
        <v>0</v>
      </c>
      <c r="AP5782">
        <v>0</v>
      </c>
      <c r="AQ5782">
        <v>0</v>
      </c>
      <c r="AS5782">
        <v>0</v>
      </c>
      <c r="AT5782">
        <v>0</v>
      </c>
      <c r="AV5782">
        <v>0</v>
      </c>
      <c r="AW5782">
        <v>0</v>
      </c>
      <c r="AY5782">
        <v>0</v>
      </c>
      <c r="AZ5782">
        <v>0</v>
      </c>
      <c r="BA5782">
        <v>0</v>
      </c>
      <c r="BE5782" t="str">
        <f>T("9791137014381")</f>
        <v>9791137014381</v>
      </c>
      <c r="BF5782" t="str">
        <f>T("N218755")</f>
        <v>N218755</v>
      </c>
      <c r="BG5782" t="str">
        <f>T("판타지 웹소설 &gt; 퓨전 판타지")</f>
        <v>판타지 웹소설 &gt; 퓨전 판타지</v>
      </c>
    </row>
    <row r="5783" spans="1:59">
      <c r="A5783" t="s">
        <v>60</v>
      </c>
      <c r="B5783" s="1">
        <v>46131</v>
      </c>
      <c r="C5783">
        <v>2378044065</v>
      </c>
      <c r="D5783">
        <v>2378044072</v>
      </c>
      <c r="E5783" t="str">
        <f>T("저승의 왕위를 계승했다 8화")</f>
        <v>저승의 왕위를 계승했다 8화</v>
      </c>
      <c r="F5783">
        <v>8</v>
      </c>
      <c r="G5783" t="str">
        <f>T("신타비")</f>
        <v>신타비</v>
      </c>
      <c r="J5783" t="str">
        <f>T("매드햇")</f>
        <v>매드햇</v>
      </c>
      <c r="K5783" t="str">
        <f>T("저승의 왕위를 계승했다")</f>
        <v>저승의 왕위를 계승했다</v>
      </c>
      <c r="L5783">
        <v>0</v>
      </c>
      <c r="M5783">
        <v>0</v>
      </c>
      <c r="N5783">
        <v>0</v>
      </c>
      <c r="O5783">
        <v>3</v>
      </c>
      <c r="P5783">
        <v>0</v>
      </c>
      <c r="Q5783">
        <v>0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0</v>
      </c>
      <c r="AE5783">
        <v>0</v>
      </c>
      <c r="AF5783">
        <v>0</v>
      </c>
      <c r="AG5783">
        <v>0</v>
      </c>
      <c r="AH5783">
        <v>0</v>
      </c>
      <c r="AI5783">
        <v>0</v>
      </c>
      <c r="AJ5783">
        <v>3</v>
      </c>
      <c r="AK5783">
        <v>0</v>
      </c>
      <c r="AL5783">
        <v>0</v>
      </c>
      <c r="AM5783">
        <v>0</v>
      </c>
      <c r="AN5783">
        <v>0</v>
      </c>
      <c r="AO5783">
        <v>0</v>
      </c>
      <c r="AP5783">
        <v>0</v>
      </c>
      <c r="AQ5783">
        <v>0</v>
      </c>
      <c r="AS5783">
        <v>0</v>
      </c>
      <c r="AT5783">
        <v>0</v>
      </c>
      <c r="AV5783">
        <v>0</v>
      </c>
      <c r="AW5783">
        <v>0</v>
      </c>
      <c r="AY5783">
        <v>0</v>
      </c>
      <c r="AZ5783">
        <v>0</v>
      </c>
      <c r="BA5783">
        <v>0</v>
      </c>
      <c r="BE5783" t="str">
        <f>T("9791137014381")</f>
        <v>9791137014381</v>
      </c>
      <c r="BF5783" t="str">
        <f>T("N218756")</f>
        <v>N218756</v>
      </c>
      <c r="BG5783" t="str">
        <f>T("판타지 웹소설 &gt; 퓨전 판타지")</f>
        <v>판타지 웹소설 &gt; 퓨전 판타지</v>
      </c>
    </row>
    <row r="5784" spans="1:59">
      <c r="A5784" t="s">
        <v>60</v>
      </c>
      <c r="B5784" s="1">
        <v>46131</v>
      </c>
      <c r="C5784">
        <v>2378044065</v>
      </c>
      <c r="D5784">
        <v>2378044073</v>
      </c>
      <c r="E5784" t="str">
        <f>T("저승의 왕위를 계승했다 9화")</f>
        <v>저승의 왕위를 계승했다 9화</v>
      </c>
      <c r="F5784">
        <v>9</v>
      </c>
      <c r="G5784" t="str">
        <f>T("신타비")</f>
        <v>신타비</v>
      </c>
      <c r="J5784" t="str">
        <f>T("매드햇")</f>
        <v>매드햇</v>
      </c>
      <c r="K5784" t="str">
        <f>T("저승의 왕위를 계승했다")</f>
        <v>저승의 왕위를 계승했다</v>
      </c>
      <c r="L5784">
        <v>0</v>
      </c>
      <c r="M5784">
        <v>0</v>
      </c>
      <c r="N5784">
        <v>0</v>
      </c>
      <c r="O5784">
        <v>3</v>
      </c>
      <c r="P5784">
        <v>0</v>
      </c>
      <c r="Q5784">
        <v>0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0</v>
      </c>
      <c r="AE5784">
        <v>0</v>
      </c>
      <c r="AF5784">
        <v>0</v>
      </c>
      <c r="AG5784">
        <v>0</v>
      </c>
      <c r="AH5784">
        <v>0</v>
      </c>
      <c r="AI5784">
        <v>0</v>
      </c>
      <c r="AJ5784">
        <v>3</v>
      </c>
      <c r="AK5784">
        <v>0</v>
      </c>
      <c r="AL5784">
        <v>0</v>
      </c>
      <c r="AM5784">
        <v>0</v>
      </c>
      <c r="AN5784">
        <v>0</v>
      </c>
      <c r="AO5784">
        <v>0</v>
      </c>
      <c r="AP5784">
        <v>0</v>
      </c>
      <c r="AQ5784">
        <v>0</v>
      </c>
      <c r="AS5784">
        <v>0</v>
      </c>
      <c r="AT5784">
        <v>0</v>
      </c>
      <c r="AV5784">
        <v>0</v>
      </c>
      <c r="AW5784">
        <v>0</v>
      </c>
      <c r="AY5784">
        <v>0</v>
      </c>
      <c r="AZ5784">
        <v>0</v>
      </c>
      <c r="BA5784">
        <v>0</v>
      </c>
      <c r="BE5784" t="str">
        <f>T("9791137014381")</f>
        <v>9791137014381</v>
      </c>
      <c r="BF5784" t="str">
        <f>T("N218757")</f>
        <v>N218757</v>
      </c>
      <c r="BG5784" t="str">
        <f>T("판타지 웹소설 &gt; 퓨전 판타지")</f>
        <v>판타지 웹소설 &gt; 퓨전 판타지</v>
      </c>
    </row>
    <row r="5785" spans="1:59">
      <c r="A5785" t="s">
        <v>60</v>
      </c>
      <c r="B5785" s="1">
        <v>46131</v>
      </c>
      <c r="C5785">
        <v>2378044065</v>
      </c>
      <c r="D5785">
        <v>2378064192</v>
      </c>
      <c r="E5785" t="str">
        <f>T("저승의 왕위를 계승했다 381화")</f>
        <v>저승의 왕위를 계승했다 381화</v>
      </c>
      <c r="F5785">
        <v>382</v>
      </c>
      <c r="G5785" t="str">
        <f>T("신타비")</f>
        <v>신타비</v>
      </c>
      <c r="J5785" t="str">
        <f>T("매드햇")</f>
        <v>매드햇</v>
      </c>
      <c r="K5785" t="str">
        <f>T("저승의 왕위를 계승했다")</f>
        <v>저승의 왕위를 계승했다</v>
      </c>
      <c r="L5785">
        <v>100</v>
      </c>
      <c r="M5785">
        <v>100</v>
      </c>
      <c r="N5785">
        <v>1</v>
      </c>
      <c r="O5785">
        <v>0</v>
      </c>
      <c r="P5785">
        <v>0</v>
      </c>
      <c r="Q5785">
        <v>0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0</v>
      </c>
      <c r="AE5785">
        <v>0</v>
      </c>
      <c r="AF5785">
        <v>0</v>
      </c>
      <c r="AG5785">
        <v>0</v>
      </c>
      <c r="AH5785">
        <v>0</v>
      </c>
      <c r="AI5785">
        <v>100</v>
      </c>
      <c r="AJ5785">
        <v>1</v>
      </c>
      <c r="AK5785">
        <v>0</v>
      </c>
      <c r="AL5785">
        <v>0</v>
      </c>
      <c r="AM5785">
        <v>100</v>
      </c>
      <c r="AN5785">
        <v>0</v>
      </c>
      <c r="AO5785">
        <v>0</v>
      </c>
      <c r="AP5785">
        <v>0</v>
      </c>
      <c r="AQ5785">
        <v>0</v>
      </c>
      <c r="AS5785">
        <v>0</v>
      </c>
      <c r="AT5785">
        <v>0</v>
      </c>
      <c r="AV5785">
        <v>0</v>
      </c>
      <c r="AW5785">
        <v>0</v>
      </c>
      <c r="AY5785">
        <v>0</v>
      </c>
      <c r="AZ5785">
        <v>0</v>
      </c>
      <c r="BA5785">
        <v>70</v>
      </c>
      <c r="BE5785" t="str">
        <f>T("9791137014381")</f>
        <v>9791137014381</v>
      </c>
      <c r="BF5785" t="str">
        <f>T("k269855")</f>
        <v>k269855</v>
      </c>
      <c r="BG5785" t="str">
        <f>T("판타지 웹소설 &gt; 퓨전 판타지")</f>
        <v>판타지 웹소설 &gt; 퓨전 판타지</v>
      </c>
    </row>
    <row r="5786" spans="1:59">
      <c r="A5786" t="s">
        <v>60</v>
      </c>
      <c r="B5786" s="1">
        <v>46131</v>
      </c>
      <c r="C5786">
        <v>2378044065</v>
      </c>
      <c r="D5786">
        <v>2378064162</v>
      </c>
      <c r="E5786" t="str">
        <f>T("저승의 왕위를 계승했다 380화")</f>
        <v>저승의 왕위를 계승했다 380화</v>
      </c>
      <c r="F5786">
        <v>381</v>
      </c>
      <c r="G5786" t="str">
        <f>T("신타비")</f>
        <v>신타비</v>
      </c>
      <c r="J5786" t="str">
        <f>T("매드햇")</f>
        <v>매드햇</v>
      </c>
      <c r="K5786" t="str">
        <f>T("저승의 왕위를 계승했다")</f>
        <v>저승의 왕위를 계승했다</v>
      </c>
      <c r="L5786">
        <v>100</v>
      </c>
      <c r="M5786">
        <v>100</v>
      </c>
      <c r="N5786">
        <v>1</v>
      </c>
      <c r="O5786">
        <v>0</v>
      </c>
      <c r="P5786">
        <v>0</v>
      </c>
      <c r="Q5786">
        <v>0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0</v>
      </c>
      <c r="AE5786">
        <v>0</v>
      </c>
      <c r="AF5786">
        <v>0</v>
      </c>
      <c r="AG5786">
        <v>0</v>
      </c>
      <c r="AH5786">
        <v>0</v>
      </c>
      <c r="AI5786">
        <v>100</v>
      </c>
      <c r="AJ5786">
        <v>1</v>
      </c>
      <c r="AK5786">
        <v>0</v>
      </c>
      <c r="AL5786">
        <v>0</v>
      </c>
      <c r="AM5786">
        <v>100</v>
      </c>
      <c r="AN5786">
        <v>0</v>
      </c>
      <c r="AO5786">
        <v>0</v>
      </c>
      <c r="AP5786">
        <v>0</v>
      </c>
      <c r="AQ5786">
        <v>0</v>
      </c>
      <c r="AS5786">
        <v>0</v>
      </c>
      <c r="AT5786">
        <v>0</v>
      </c>
      <c r="AV5786">
        <v>0</v>
      </c>
      <c r="AW5786">
        <v>0</v>
      </c>
      <c r="AY5786">
        <v>0</v>
      </c>
      <c r="AZ5786">
        <v>0</v>
      </c>
      <c r="BA5786">
        <v>70</v>
      </c>
      <c r="BE5786" t="str">
        <f>T("9791137014381")</f>
        <v>9791137014381</v>
      </c>
      <c r="BF5786" t="str">
        <f>T("k269854")</f>
        <v>k269854</v>
      </c>
      <c r="BG5786" t="str">
        <f>T("판타지 웹소설 &gt; 퓨전 판타지")</f>
        <v>판타지 웹소설 &gt; 퓨전 판타지</v>
      </c>
    </row>
    <row r="5787" spans="1:59">
      <c r="A5787" t="s">
        <v>60</v>
      </c>
      <c r="B5787" s="1">
        <v>46131</v>
      </c>
      <c r="C5787">
        <v>2378044065</v>
      </c>
      <c r="D5787">
        <v>2378064152</v>
      </c>
      <c r="E5787" t="str">
        <f>T("저승의 왕위를 계승했다 379화")</f>
        <v>저승의 왕위를 계승했다 379화</v>
      </c>
      <c r="F5787">
        <v>380</v>
      </c>
      <c r="G5787" t="str">
        <f>T("신타비")</f>
        <v>신타비</v>
      </c>
      <c r="J5787" t="str">
        <f>T("매드햇")</f>
        <v>매드햇</v>
      </c>
      <c r="K5787" t="str">
        <f>T("저승의 왕위를 계승했다")</f>
        <v>저승의 왕위를 계승했다</v>
      </c>
      <c r="L5787">
        <v>100</v>
      </c>
      <c r="M5787">
        <v>100</v>
      </c>
      <c r="N5787">
        <v>1</v>
      </c>
      <c r="O5787">
        <v>0</v>
      </c>
      <c r="P5787">
        <v>0</v>
      </c>
      <c r="Q5787">
        <v>0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0</v>
      </c>
      <c r="AE5787">
        <v>0</v>
      </c>
      <c r="AF5787">
        <v>0</v>
      </c>
      <c r="AG5787">
        <v>0</v>
      </c>
      <c r="AH5787">
        <v>0</v>
      </c>
      <c r="AI5787">
        <v>100</v>
      </c>
      <c r="AJ5787">
        <v>1</v>
      </c>
      <c r="AK5787">
        <v>0</v>
      </c>
      <c r="AL5787">
        <v>0</v>
      </c>
      <c r="AM5787">
        <v>100</v>
      </c>
      <c r="AN5787">
        <v>0</v>
      </c>
      <c r="AO5787">
        <v>0</v>
      </c>
      <c r="AP5787">
        <v>0</v>
      </c>
      <c r="AQ5787">
        <v>0</v>
      </c>
      <c r="AS5787">
        <v>0</v>
      </c>
      <c r="AT5787">
        <v>0</v>
      </c>
      <c r="AV5787">
        <v>0</v>
      </c>
      <c r="AW5787">
        <v>0</v>
      </c>
      <c r="AY5787">
        <v>0</v>
      </c>
      <c r="AZ5787">
        <v>0</v>
      </c>
      <c r="BA5787">
        <v>70</v>
      </c>
      <c r="BE5787" t="str">
        <f>T("9791137014381")</f>
        <v>9791137014381</v>
      </c>
      <c r="BF5787" t="str">
        <f>T("k269853")</f>
        <v>k269853</v>
      </c>
      <c r="BG5787" t="str">
        <f>T("판타지 웹소설 &gt; 퓨전 판타지")</f>
        <v>판타지 웹소설 &gt; 퓨전 판타지</v>
      </c>
    </row>
    <row r="5788" spans="1:59">
      <c r="A5788" t="s">
        <v>60</v>
      </c>
      <c r="B5788" s="1">
        <v>46131</v>
      </c>
      <c r="C5788">
        <v>2378044065</v>
      </c>
      <c r="D5788">
        <v>2378063945</v>
      </c>
      <c r="E5788" t="str">
        <f>T("저승의 왕위를 계승했다 378화")</f>
        <v>저승의 왕위를 계승했다 378화</v>
      </c>
      <c r="F5788">
        <v>379</v>
      </c>
      <c r="G5788" t="str">
        <f>T("신타비")</f>
        <v>신타비</v>
      </c>
      <c r="J5788" t="str">
        <f>T("매드햇")</f>
        <v>매드햇</v>
      </c>
      <c r="K5788" t="str">
        <f>T("저승의 왕위를 계승했다")</f>
        <v>저승의 왕위를 계승했다</v>
      </c>
      <c r="L5788">
        <v>100</v>
      </c>
      <c r="M5788">
        <v>100</v>
      </c>
      <c r="N5788">
        <v>1</v>
      </c>
      <c r="O5788">
        <v>0</v>
      </c>
      <c r="P5788">
        <v>0</v>
      </c>
      <c r="Q5788">
        <v>0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0</v>
      </c>
      <c r="AE5788">
        <v>0</v>
      </c>
      <c r="AF5788">
        <v>0</v>
      </c>
      <c r="AG5788">
        <v>0</v>
      </c>
      <c r="AH5788">
        <v>0</v>
      </c>
      <c r="AI5788">
        <v>100</v>
      </c>
      <c r="AJ5788">
        <v>1</v>
      </c>
      <c r="AK5788">
        <v>0</v>
      </c>
      <c r="AL5788">
        <v>0</v>
      </c>
      <c r="AM5788">
        <v>100</v>
      </c>
      <c r="AN5788">
        <v>0</v>
      </c>
      <c r="AO5788">
        <v>0</v>
      </c>
      <c r="AP5788">
        <v>0</v>
      </c>
      <c r="AQ5788">
        <v>0</v>
      </c>
      <c r="AS5788">
        <v>0</v>
      </c>
      <c r="AT5788">
        <v>0</v>
      </c>
      <c r="AV5788">
        <v>0</v>
      </c>
      <c r="AW5788">
        <v>0</v>
      </c>
      <c r="AY5788">
        <v>0</v>
      </c>
      <c r="AZ5788">
        <v>0</v>
      </c>
      <c r="BA5788">
        <v>70</v>
      </c>
      <c r="BE5788" t="str">
        <f>T("9791137014381")</f>
        <v>9791137014381</v>
      </c>
      <c r="BF5788" t="str">
        <f>T("k262288")</f>
        <v>k262288</v>
      </c>
      <c r="BG5788" t="str">
        <f>T("판타지 웹소설 &gt; 퓨전 판타지")</f>
        <v>판타지 웹소설 &gt; 퓨전 판타지</v>
      </c>
    </row>
    <row r="5789" spans="1:59">
      <c r="A5789" t="s">
        <v>60</v>
      </c>
      <c r="B5789" s="1">
        <v>46131</v>
      </c>
      <c r="C5789">
        <v>2378044065</v>
      </c>
      <c r="D5789">
        <v>2378063921</v>
      </c>
      <c r="E5789" t="str">
        <f>T("저승의 왕위를 계승했다 377화")</f>
        <v>저승의 왕위를 계승했다 377화</v>
      </c>
      <c r="F5789">
        <v>378</v>
      </c>
      <c r="G5789" t="str">
        <f>T("신타비")</f>
        <v>신타비</v>
      </c>
      <c r="J5789" t="str">
        <f>T("매드햇")</f>
        <v>매드햇</v>
      </c>
      <c r="K5789" t="str">
        <f>T("저승의 왕위를 계승했다")</f>
        <v>저승의 왕위를 계승했다</v>
      </c>
      <c r="L5789">
        <v>100</v>
      </c>
      <c r="M5789">
        <v>100</v>
      </c>
      <c r="N5789">
        <v>1</v>
      </c>
      <c r="O5789">
        <v>0</v>
      </c>
      <c r="P5789">
        <v>0</v>
      </c>
      <c r="Q5789">
        <v>0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0</v>
      </c>
      <c r="AE5789">
        <v>0</v>
      </c>
      <c r="AF5789">
        <v>0</v>
      </c>
      <c r="AG5789">
        <v>0</v>
      </c>
      <c r="AH5789">
        <v>0</v>
      </c>
      <c r="AI5789">
        <v>100</v>
      </c>
      <c r="AJ5789">
        <v>1</v>
      </c>
      <c r="AK5789">
        <v>0</v>
      </c>
      <c r="AL5789">
        <v>0</v>
      </c>
      <c r="AM5789">
        <v>100</v>
      </c>
      <c r="AN5789">
        <v>0</v>
      </c>
      <c r="AO5789">
        <v>0</v>
      </c>
      <c r="AP5789">
        <v>0</v>
      </c>
      <c r="AQ5789">
        <v>0</v>
      </c>
      <c r="AS5789">
        <v>0</v>
      </c>
      <c r="AT5789">
        <v>0</v>
      </c>
      <c r="AV5789">
        <v>0</v>
      </c>
      <c r="AW5789">
        <v>0</v>
      </c>
      <c r="AY5789">
        <v>0</v>
      </c>
      <c r="AZ5789">
        <v>0</v>
      </c>
      <c r="BA5789">
        <v>70</v>
      </c>
      <c r="BE5789" t="str">
        <f>T("9791137014381")</f>
        <v>9791137014381</v>
      </c>
      <c r="BF5789" t="str">
        <f>T("k262287")</f>
        <v>k262287</v>
      </c>
      <c r="BG5789" t="str">
        <f>T("판타지 웹소설 &gt; 퓨전 판타지")</f>
        <v>판타지 웹소설 &gt; 퓨전 판타지</v>
      </c>
    </row>
    <row r="5790" spans="1:59">
      <c r="A5790" t="s">
        <v>60</v>
      </c>
      <c r="B5790" s="1">
        <v>46131</v>
      </c>
      <c r="C5790">
        <v>2378044065</v>
      </c>
      <c r="D5790">
        <v>2378063920</v>
      </c>
      <c r="E5790" t="str">
        <f>T("저승의 왕위를 계승했다 376화")</f>
        <v>저승의 왕위를 계승했다 376화</v>
      </c>
      <c r="F5790">
        <v>377</v>
      </c>
      <c r="G5790" t="str">
        <f>T("신타비")</f>
        <v>신타비</v>
      </c>
      <c r="J5790" t="str">
        <f>T("매드햇")</f>
        <v>매드햇</v>
      </c>
      <c r="K5790" t="str">
        <f>T("저승의 왕위를 계승했다")</f>
        <v>저승의 왕위를 계승했다</v>
      </c>
      <c r="L5790">
        <v>100</v>
      </c>
      <c r="M5790">
        <v>100</v>
      </c>
      <c r="N5790">
        <v>1</v>
      </c>
      <c r="O5790">
        <v>0</v>
      </c>
      <c r="P5790">
        <v>0</v>
      </c>
      <c r="Q5790">
        <v>0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0</v>
      </c>
      <c r="AE5790">
        <v>0</v>
      </c>
      <c r="AF5790">
        <v>0</v>
      </c>
      <c r="AG5790">
        <v>0</v>
      </c>
      <c r="AH5790">
        <v>0</v>
      </c>
      <c r="AI5790">
        <v>100</v>
      </c>
      <c r="AJ5790">
        <v>1</v>
      </c>
      <c r="AK5790">
        <v>0</v>
      </c>
      <c r="AL5790">
        <v>0</v>
      </c>
      <c r="AM5790">
        <v>100</v>
      </c>
      <c r="AN5790">
        <v>0</v>
      </c>
      <c r="AO5790">
        <v>0</v>
      </c>
      <c r="AP5790">
        <v>0</v>
      </c>
      <c r="AQ5790">
        <v>0</v>
      </c>
      <c r="AS5790">
        <v>0</v>
      </c>
      <c r="AT5790">
        <v>0</v>
      </c>
      <c r="AV5790">
        <v>0</v>
      </c>
      <c r="AW5790">
        <v>0</v>
      </c>
      <c r="AY5790">
        <v>0</v>
      </c>
      <c r="AZ5790">
        <v>0</v>
      </c>
      <c r="BA5790">
        <v>70</v>
      </c>
      <c r="BE5790" t="str">
        <f>T("9791137014381")</f>
        <v>9791137014381</v>
      </c>
      <c r="BF5790" t="str">
        <f>T("k262286")</f>
        <v>k262286</v>
      </c>
      <c r="BG5790" t="str">
        <f>T("판타지 웹소설 &gt; 퓨전 판타지")</f>
        <v>판타지 웹소설 &gt; 퓨전 판타지</v>
      </c>
    </row>
    <row r="5791" spans="1:59">
      <c r="A5791" t="s">
        <v>60</v>
      </c>
      <c r="B5791" s="1">
        <v>46131</v>
      </c>
      <c r="C5791">
        <v>2378044065</v>
      </c>
      <c r="D5791">
        <v>2378063908</v>
      </c>
      <c r="E5791" t="str">
        <f>T("저승의 왕위를 계승했다 375화")</f>
        <v>저승의 왕위를 계승했다 375화</v>
      </c>
      <c r="F5791">
        <v>376</v>
      </c>
      <c r="G5791" t="str">
        <f>T("신타비")</f>
        <v>신타비</v>
      </c>
      <c r="J5791" t="str">
        <f>T("매드햇")</f>
        <v>매드햇</v>
      </c>
      <c r="K5791" t="str">
        <f>T("저승의 왕위를 계승했다")</f>
        <v>저승의 왕위를 계승했다</v>
      </c>
      <c r="L5791">
        <v>100</v>
      </c>
      <c r="M5791">
        <v>100</v>
      </c>
      <c r="N5791">
        <v>1</v>
      </c>
      <c r="O5791">
        <v>0</v>
      </c>
      <c r="P5791">
        <v>0</v>
      </c>
      <c r="Q5791">
        <v>0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0</v>
      </c>
      <c r="AE5791">
        <v>0</v>
      </c>
      <c r="AF5791">
        <v>0</v>
      </c>
      <c r="AG5791">
        <v>0</v>
      </c>
      <c r="AH5791">
        <v>0</v>
      </c>
      <c r="AI5791">
        <v>100</v>
      </c>
      <c r="AJ5791">
        <v>1</v>
      </c>
      <c r="AK5791">
        <v>0</v>
      </c>
      <c r="AL5791">
        <v>0</v>
      </c>
      <c r="AM5791">
        <v>100</v>
      </c>
      <c r="AN5791">
        <v>0</v>
      </c>
      <c r="AO5791">
        <v>0</v>
      </c>
      <c r="AP5791">
        <v>0</v>
      </c>
      <c r="AQ5791">
        <v>0</v>
      </c>
      <c r="AS5791">
        <v>0</v>
      </c>
      <c r="AT5791">
        <v>0</v>
      </c>
      <c r="AV5791">
        <v>0</v>
      </c>
      <c r="AW5791">
        <v>0</v>
      </c>
      <c r="AY5791">
        <v>0</v>
      </c>
      <c r="AZ5791">
        <v>0</v>
      </c>
      <c r="BA5791">
        <v>70</v>
      </c>
      <c r="BE5791" t="str">
        <f>T("9791137014381")</f>
        <v>9791137014381</v>
      </c>
      <c r="BF5791" t="str">
        <f>T("k262285")</f>
        <v>k262285</v>
      </c>
      <c r="BG5791" t="str">
        <f>T("판타지 웹소설 &gt; 퓨전 판타지")</f>
        <v>판타지 웹소설 &gt; 퓨전 판타지</v>
      </c>
    </row>
    <row r="5792" spans="1:59">
      <c r="A5792" t="s">
        <v>60</v>
      </c>
      <c r="B5792" s="1">
        <v>46131</v>
      </c>
      <c r="C5792">
        <v>2378044065</v>
      </c>
      <c r="D5792">
        <v>2378063879</v>
      </c>
      <c r="E5792" t="str">
        <f>T("저승의 왕위를 계승했다 374화")</f>
        <v>저승의 왕위를 계승했다 374화</v>
      </c>
      <c r="F5792">
        <v>375</v>
      </c>
      <c r="G5792" t="str">
        <f>T("신타비")</f>
        <v>신타비</v>
      </c>
      <c r="J5792" t="str">
        <f>T("매드햇")</f>
        <v>매드햇</v>
      </c>
      <c r="K5792" t="str">
        <f>T("저승의 왕위를 계승했다")</f>
        <v>저승의 왕위를 계승했다</v>
      </c>
      <c r="L5792">
        <v>100</v>
      </c>
      <c r="M5792">
        <v>100</v>
      </c>
      <c r="N5792">
        <v>1</v>
      </c>
      <c r="O5792">
        <v>0</v>
      </c>
      <c r="P5792">
        <v>0</v>
      </c>
      <c r="Q5792">
        <v>0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0</v>
      </c>
      <c r="AE5792">
        <v>0</v>
      </c>
      <c r="AF5792">
        <v>0</v>
      </c>
      <c r="AG5792">
        <v>0</v>
      </c>
      <c r="AH5792">
        <v>0</v>
      </c>
      <c r="AI5792">
        <v>100</v>
      </c>
      <c r="AJ5792">
        <v>1</v>
      </c>
      <c r="AK5792">
        <v>0</v>
      </c>
      <c r="AL5792">
        <v>0</v>
      </c>
      <c r="AM5792">
        <v>100</v>
      </c>
      <c r="AN5792">
        <v>0</v>
      </c>
      <c r="AO5792">
        <v>0</v>
      </c>
      <c r="AP5792">
        <v>0</v>
      </c>
      <c r="AQ5792">
        <v>0</v>
      </c>
      <c r="AS5792">
        <v>0</v>
      </c>
      <c r="AT5792">
        <v>0</v>
      </c>
      <c r="AV5792">
        <v>0</v>
      </c>
      <c r="AW5792">
        <v>0</v>
      </c>
      <c r="AY5792">
        <v>0</v>
      </c>
      <c r="AZ5792">
        <v>0</v>
      </c>
      <c r="BA5792">
        <v>70</v>
      </c>
      <c r="BE5792" t="str">
        <f>T("9791137014381")</f>
        <v>9791137014381</v>
      </c>
      <c r="BF5792" t="str">
        <f>T("k255216")</f>
        <v>k255216</v>
      </c>
      <c r="BG5792" t="str">
        <f>T("판타지 웹소설 &gt; 퓨전 판타지")</f>
        <v>판타지 웹소설 &gt; 퓨전 판타지</v>
      </c>
    </row>
    <row r="5793" spans="1:59">
      <c r="A5793" t="s">
        <v>60</v>
      </c>
      <c r="B5793" s="1">
        <v>46131</v>
      </c>
      <c r="C5793">
        <v>2378044065</v>
      </c>
      <c r="D5793">
        <v>2378063858</v>
      </c>
      <c r="E5793" t="str">
        <f>T("저승의 왕위를 계승했다 373화")</f>
        <v>저승의 왕위를 계승했다 373화</v>
      </c>
      <c r="F5793">
        <v>374</v>
      </c>
      <c r="G5793" t="str">
        <f>T("신타비")</f>
        <v>신타비</v>
      </c>
      <c r="J5793" t="str">
        <f>T("매드햇")</f>
        <v>매드햇</v>
      </c>
      <c r="K5793" t="str">
        <f>T("저승의 왕위를 계승했다")</f>
        <v>저승의 왕위를 계승했다</v>
      </c>
      <c r="L5793">
        <v>100</v>
      </c>
      <c r="M5793">
        <v>100</v>
      </c>
      <c r="N5793">
        <v>1</v>
      </c>
      <c r="O5793">
        <v>0</v>
      </c>
      <c r="P5793">
        <v>0</v>
      </c>
      <c r="Q5793">
        <v>0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0</v>
      </c>
      <c r="AE5793">
        <v>0</v>
      </c>
      <c r="AF5793">
        <v>0</v>
      </c>
      <c r="AG5793">
        <v>0</v>
      </c>
      <c r="AH5793">
        <v>0</v>
      </c>
      <c r="AI5793">
        <v>100</v>
      </c>
      <c r="AJ5793">
        <v>1</v>
      </c>
      <c r="AK5793">
        <v>0</v>
      </c>
      <c r="AL5793">
        <v>0</v>
      </c>
      <c r="AM5793">
        <v>100</v>
      </c>
      <c r="AN5793">
        <v>0</v>
      </c>
      <c r="AO5793">
        <v>0</v>
      </c>
      <c r="AP5793">
        <v>0</v>
      </c>
      <c r="AQ5793">
        <v>0</v>
      </c>
      <c r="AS5793">
        <v>0</v>
      </c>
      <c r="AT5793">
        <v>0</v>
      </c>
      <c r="AV5793">
        <v>0</v>
      </c>
      <c r="AW5793">
        <v>0</v>
      </c>
      <c r="AY5793">
        <v>0</v>
      </c>
      <c r="AZ5793">
        <v>0</v>
      </c>
      <c r="BA5793">
        <v>70</v>
      </c>
      <c r="BE5793" t="str">
        <f>T("9791137014381")</f>
        <v>9791137014381</v>
      </c>
      <c r="BF5793" t="str">
        <f>T("k255215")</f>
        <v>k255215</v>
      </c>
      <c r="BG5793" t="str">
        <f>T("판타지 웹소설 &gt; 퓨전 판타지")</f>
        <v>판타지 웹소설 &gt; 퓨전 판타지</v>
      </c>
    </row>
    <row r="5794" spans="1:59">
      <c r="A5794" t="s">
        <v>60</v>
      </c>
      <c r="B5794" s="1">
        <v>46131</v>
      </c>
      <c r="C5794">
        <v>2378044065</v>
      </c>
      <c r="D5794">
        <v>2378063831</v>
      </c>
      <c r="E5794" t="str">
        <f>T("저승의 왕위를 계승했다 372화")</f>
        <v>저승의 왕위를 계승했다 372화</v>
      </c>
      <c r="F5794">
        <v>373</v>
      </c>
      <c r="G5794" t="str">
        <f>T("신타비")</f>
        <v>신타비</v>
      </c>
      <c r="J5794" t="str">
        <f>T("매드햇")</f>
        <v>매드햇</v>
      </c>
      <c r="K5794" t="str">
        <f>T("저승의 왕위를 계승했다")</f>
        <v>저승의 왕위를 계승했다</v>
      </c>
      <c r="L5794">
        <v>100</v>
      </c>
      <c r="M5794">
        <v>100</v>
      </c>
      <c r="N5794">
        <v>1</v>
      </c>
      <c r="O5794">
        <v>0</v>
      </c>
      <c r="P5794">
        <v>0</v>
      </c>
      <c r="Q5794">
        <v>0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0</v>
      </c>
      <c r="AE5794">
        <v>0</v>
      </c>
      <c r="AF5794">
        <v>0</v>
      </c>
      <c r="AG5794">
        <v>0</v>
      </c>
      <c r="AH5794">
        <v>0</v>
      </c>
      <c r="AI5794">
        <v>100</v>
      </c>
      <c r="AJ5794">
        <v>1</v>
      </c>
      <c r="AK5794">
        <v>0</v>
      </c>
      <c r="AL5794">
        <v>0</v>
      </c>
      <c r="AM5794">
        <v>100</v>
      </c>
      <c r="AN5794">
        <v>0</v>
      </c>
      <c r="AO5794">
        <v>0</v>
      </c>
      <c r="AP5794">
        <v>0</v>
      </c>
      <c r="AQ5794">
        <v>0</v>
      </c>
      <c r="AS5794">
        <v>0</v>
      </c>
      <c r="AT5794">
        <v>0</v>
      </c>
      <c r="AV5794">
        <v>0</v>
      </c>
      <c r="AW5794">
        <v>0</v>
      </c>
      <c r="AY5794">
        <v>0</v>
      </c>
      <c r="AZ5794">
        <v>0</v>
      </c>
      <c r="BA5794">
        <v>70</v>
      </c>
      <c r="BE5794" t="str">
        <f>T("9791137014381")</f>
        <v>9791137014381</v>
      </c>
      <c r="BF5794" t="str">
        <f>T("k255214")</f>
        <v>k255214</v>
      </c>
      <c r="BG5794" t="str">
        <f>T("판타지 웹소설 &gt; 퓨전 판타지")</f>
        <v>판타지 웹소설 &gt; 퓨전 판타지</v>
      </c>
    </row>
    <row r="5795" spans="1:59">
      <c r="A5795" t="s">
        <v>60</v>
      </c>
      <c r="B5795" s="1">
        <v>46131</v>
      </c>
      <c r="C5795">
        <v>2378044065</v>
      </c>
      <c r="D5795">
        <v>2378063776</v>
      </c>
      <c r="E5795" t="str">
        <f>T("저승의 왕위를 계승했다 371화")</f>
        <v>저승의 왕위를 계승했다 371화</v>
      </c>
      <c r="F5795">
        <v>372</v>
      </c>
      <c r="G5795" t="str">
        <f>T("신타비")</f>
        <v>신타비</v>
      </c>
      <c r="J5795" t="str">
        <f>T("매드햇")</f>
        <v>매드햇</v>
      </c>
      <c r="K5795" t="str">
        <f>T("저승의 왕위를 계승했다")</f>
        <v>저승의 왕위를 계승했다</v>
      </c>
      <c r="L5795">
        <v>100</v>
      </c>
      <c r="M5795">
        <v>100</v>
      </c>
      <c r="N5795">
        <v>1</v>
      </c>
      <c r="O5795">
        <v>0</v>
      </c>
      <c r="P5795">
        <v>0</v>
      </c>
      <c r="Q5795">
        <v>0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0</v>
      </c>
      <c r="AE5795">
        <v>0</v>
      </c>
      <c r="AF5795">
        <v>0</v>
      </c>
      <c r="AG5795">
        <v>0</v>
      </c>
      <c r="AH5795">
        <v>0</v>
      </c>
      <c r="AI5795">
        <v>100</v>
      </c>
      <c r="AJ5795">
        <v>1</v>
      </c>
      <c r="AK5795">
        <v>0</v>
      </c>
      <c r="AL5795">
        <v>0</v>
      </c>
      <c r="AM5795">
        <v>100</v>
      </c>
      <c r="AN5795">
        <v>0</v>
      </c>
      <c r="AO5795">
        <v>0</v>
      </c>
      <c r="AP5795">
        <v>0</v>
      </c>
      <c r="AQ5795">
        <v>0</v>
      </c>
      <c r="AS5795">
        <v>0</v>
      </c>
      <c r="AT5795">
        <v>0</v>
      </c>
      <c r="AV5795">
        <v>0</v>
      </c>
      <c r="AW5795">
        <v>0</v>
      </c>
      <c r="AY5795">
        <v>0</v>
      </c>
      <c r="AZ5795">
        <v>0</v>
      </c>
      <c r="BA5795">
        <v>70</v>
      </c>
      <c r="BE5795" t="str">
        <f>T("9791137014381")</f>
        <v>9791137014381</v>
      </c>
      <c r="BF5795" t="str">
        <f>T("k255213")</f>
        <v>k255213</v>
      </c>
      <c r="BG5795" t="str">
        <f>T("판타지 웹소설 &gt; 퓨전 판타지")</f>
        <v>판타지 웹소설 &gt; 퓨전 판타지</v>
      </c>
    </row>
    <row r="5796" spans="1:59">
      <c r="A5796" t="s">
        <v>60</v>
      </c>
      <c r="B5796" s="1">
        <v>46131</v>
      </c>
      <c r="C5796">
        <v>2378044065</v>
      </c>
      <c r="D5796">
        <v>2378044130</v>
      </c>
      <c r="E5796" t="str">
        <f>T("저승의 왕위를 계승했다 66화")</f>
        <v>저승의 왕위를 계승했다 66화</v>
      </c>
      <c r="F5796">
        <v>66</v>
      </c>
      <c r="G5796" t="str">
        <f>T("신타비")</f>
        <v>신타비</v>
      </c>
      <c r="J5796" t="str">
        <f>T("매드햇")</f>
        <v>매드햇</v>
      </c>
      <c r="K5796" t="str">
        <f>T("저승의 왕위를 계승했다")</f>
        <v>저승의 왕위를 계승했다</v>
      </c>
      <c r="L5796">
        <v>100</v>
      </c>
      <c r="M5796">
        <v>100</v>
      </c>
      <c r="N5796">
        <v>1</v>
      </c>
      <c r="O5796">
        <v>0</v>
      </c>
      <c r="P5796">
        <v>0</v>
      </c>
      <c r="Q5796">
        <v>0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0</v>
      </c>
      <c r="AE5796">
        <v>0</v>
      </c>
      <c r="AF5796">
        <v>0</v>
      </c>
      <c r="AG5796">
        <v>0</v>
      </c>
      <c r="AH5796">
        <v>0</v>
      </c>
      <c r="AI5796">
        <v>100</v>
      </c>
      <c r="AJ5796">
        <v>1</v>
      </c>
      <c r="AK5796">
        <v>0</v>
      </c>
      <c r="AL5796">
        <v>0</v>
      </c>
      <c r="AM5796">
        <v>100</v>
      </c>
      <c r="AN5796">
        <v>0</v>
      </c>
      <c r="AO5796">
        <v>0</v>
      </c>
      <c r="AP5796">
        <v>0</v>
      </c>
      <c r="AQ5796">
        <v>0</v>
      </c>
      <c r="AS5796">
        <v>0</v>
      </c>
      <c r="AT5796">
        <v>0</v>
      </c>
      <c r="AV5796">
        <v>0</v>
      </c>
      <c r="AW5796">
        <v>0</v>
      </c>
      <c r="AY5796">
        <v>0</v>
      </c>
      <c r="AZ5796">
        <v>0</v>
      </c>
      <c r="BA5796">
        <v>70</v>
      </c>
      <c r="BE5796" t="str">
        <f>T("9791137014381")</f>
        <v>9791137014381</v>
      </c>
      <c r="BF5796" t="str">
        <f>T("N218814")</f>
        <v>N218814</v>
      </c>
      <c r="BG5796" t="str">
        <f>T("판타지 웹소설 &gt; 퓨전 판타지")</f>
        <v>판타지 웹소설 &gt; 퓨전 판타지</v>
      </c>
    </row>
    <row r="5797" spans="1:59">
      <c r="A5797" t="s">
        <v>60</v>
      </c>
      <c r="B5797" s="1">
        <v>46131</v>
      </c>
      <c r="C5797">
        <v>2378044065</v>
      </c>
      <c r="D5797">
        <v>2378044089</v>
      </c>
      <c r="E5797" t="str">
        <f>T("저승의 왕위를 계승했다 25화")</f>
        <v>저승의 왕위를 계승했다 25화</v>
      </c>
      <c r="F5797">
        <v>25</v>
      </c>
      <c r="G5797" t="str">
        <f>T("신타비")</f>
        <v>신타비</v>
      </c>
      <c r="J5797" t="str">
        <f>T("매드햇")</f>
        <v>매드햇</v>
      </c>
      <c r="K5797" t="str">
        <f>T("저승의 왕위를 계승했다")</f>
        <v>저승의 왕위를 계승했다</v>
      </c>
      <c r="L5797">
        <v>0</v>
      </c>
      <c r="M5797">
        <v>0</v>
      </c>
      <c r="N5797">
        <v>0</v>
      </c>
      <c r="O5797">
        <v>2</v>
      </c>
      <c r="P5797">
        <v>0</v>
      </c>
      <c r="Q5797">
        <v>0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0</v>
      </c>
      <c r="AE5797">
        <v>0</v>
      </c>
      <c r="AF5797">
        <v>0</v>
      </c>
      <c r="AG5797">
        <v>0</v>
      </c>
      <c r="AH5797">
        <v>0</v>
      </c>
      <c r="AI5797">
        <v>0</v>
      </c>
      <c r="AJ5797">
        <v>2</v>
      </c>
      <c r="AK5797">
        <v>0</v>
      </c>
      <c r="AL5797">
        <v>0</v>
      </c>
      <c r="AM5797">
        <v>0</v>
      </c>
      <c r="AN5797">
        <v>0</v>
      </c>
      <c r="AO5797">
        <v>0</v>
      </c>
      <c r="AP5797">
        <v>0</v>
      </c>
      <c r="AQ5797">
        <v>0</v>
      </c>
      <c r="AS5797">
        <v>0</v>
      </c>
      <c r="AT5797">
        <v>0</v>
      </c>
      <c r="AV5797">
        <v>0</v>
      </c>
      <c r="AW5797">
        <v>0</v>
      </c>
      <c r="AY5797">
        <v>0</v>
      </c>
      <c r="AZ5797">
        <v>0</v>
      </c>
      <c r="BA5797">
        <v>0</v>
      </c>
      <c r="BE5797" t="str">
        <f>T("9791137014381")</f>
        <v>9791137014381</v>
      </c>
      <c r="BF5797" t="str">
        <f>T("N218773")</f>
        <v>N218773</v>
      </c>
      <c r="BG5797" t="str">
        <f>T("판타지 웹소설 &gt; 퓨전 판타지")</f>
        <v>판타지 웹소설 &gt; 퓨전 판타지</v>
      </c>
    </row>
    <row r="5798" spans="1:59">
      <c r="A5798" t="s">
        <v>60</v>
      </c>
      <c r="B5798" s="1">
        <v>46131</v>
      </c>
      <c r="C5798">
        <v>2378044065</v>
      </c>
      <c r="D5798">
        <v>2378044131</v>
      </c>
      <c r="E5798" t="str">
        <f>T("저승의 왕위를 계승했다 67화")</f>
        <v>저승의 왕위를 계승했다 67화</v>
      </c>
      <c r="F5798">
        <v>67</v>
      </c>
      <c r="G5798" t="str">
        <f>T("신타비")</f>
        <v>신타비</v>
      </c>
      <c r="J5798" t="str">
        <f>T("매드햇")</f>
        <v>매드햇</v>
      </c>
      <c r="K5798" t="str">
        <f>T("저승의 왕위를 계승했다")</f>
        <v>저승의 왕위를 계승했다</v>
      </c>
      <c r="L5798">
        <v>100</v>
      </c>
      <c r="M5798">
        <v>100</v>
      </c>
      <c r="N5798">
        <v>1</v>
      </c>
      <c r="O5798">
        <v>0</v>
      </c>
      <c r="P5798">
        <v>0</v>
      </c>
      <c r="Q5798">
        <v>0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0</v>
      </c>
      <c r="AE5798">
        <v>0</v>
      </c>
      <c r="AF5798">
        <v>0</v>
      </c>
      <c r="AG5798">
        <v>0</v>
      </c>
      <c r="AH5798">
        <v>0</v>
      </c>
      <c r="AI5798">
        <v>100</v>
      </c>
      <c r="AJ5798">
        <v>1</v>
      </c>
      <c r="AK5798">
        <v>0</v>
      </c>
      <c r="AL5798">
        <v>0</v>
      </c>
      <c r="AM5798">
        <v>100</v>
      </c>
      <c r="AN5798">
        <v>0</v>
      </c>
      <c r="AO5798">
        <v>0</v>
      </c>
      <c r="AP5798">
        <v>0</v>
      </c>
      <c r="AQ5798">
        <v>0</v>
      </c>
      <c r="AS5798">
        <v>0</v>
      </c>
      <c r="AT5798">
        <v>0</v>
      </c>
      <c r="AV5798">
        <v>0</v>
      </c>
      <c r="AW5798">
        <v>0</v>
      </c>
      <c r="AY5798">
        <v>0</v>
      </c>
      <c r="AZ5798">
        <v>0</v>
      </c>
      <c r="BA5798">
        <v>70</v>
      </c>
      <c r="BE5798" t="str">
        <f>T("9791137014381")</f>
        <v>9791137014381</v>
      </c>
      <c r="BF5798" t="str">
        <f>T("N218815")</f>
        <v>N218815</v>
      </c>
      <c r="BG5798" t="str">
        <f>T("판타지 웹소설 &gt; 퓨전 판타지")</f>
        <v>판타지 웹소설 &gt; 퓨전 판타지</v>
      </c>
    </row>
    <row r="5799" spans="1:59">
      <c r="A5799" t="s">
        <v>60</v>
      </c>
      <c r="B5799" s="1">
        <v>46131</v>
      </c>
      <c r="C5799">
        <v>2378044065</v>
      </c>
      <c r="D5799">
        <v>2378044132</v>
      </c>
      <c r="E5799" t="str">
        <f>T("저승의 왕위를 계승했다 68화")</f>
        <v>저승의 왕위를 계승했다 68화</v>
      </c>
      <c r="F5799">
        <v>68</v>
      </c>
      <c r="G5799" t="str">
        <f>T("신타비")</f>
        <v>신타비</v>
      </c>
      <c r="J5799" t="str">
        <f>T("매드햇")</f>
        <v>매드햇</v>
      </c>
      <c r="K5799" t="str">
        <f>T("저승의 왕위를 계승했다")</f>
        <v>저승의 왕위를 계승했다</v>
      </c>
      <c r="L5799">
        <v>100</v>
      </c>
      <c r="M5799">
        <v>100</v>
      </c>
      <c r="N5799">
        <v>1</v>
      </c>
      <c r="O5799">
        <v>0</v>
      </c>
      <c r="P5799">
        <v>0</v>
      </c>
      <c r="Q5799">
        <v>0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0</v>
      </c>
      <c r="AE5799">
        <v>0</v>
      </c>
      <c r="AF5799">
        <v>0</v>
      </c>
      <c r="AG5799">
        <v>0</v>
      </c>
      <c r="AH5799">
        <v>0</v>
      </c>
      <c r="AI5799">
        <v>100</v>
      </c>
      <c r="AJ5799">
        <v>1</v>
      </c>
      <c r="AK5799">
        <v>0</v>
      </c>
      <c r="AL5799">
        <v>0</v>
      </c>
      <c r="AM5799">
        <v>100</v>
      </c>
      <c r="AN5799">
        <v>0</v>
      </c>
      <c r="AO5799">
        <v>0</v>
      </c>
      <c r="AP5799">
        <v>0</v>
      </c>
      <c r="AQ5799">
        <v>0</v>
      </c>
      <c r="AS5799">
        <v>0</v>
      </c>
      <c r="AT5799">
        <v>0</v>
      </c>
      <c r="AV5799">
        <v>0</v>
      </c>
      <c r="AW5799">
        <v>0</v>
      </c>
      <c r="AY5799">
        <v>0</v>
      </c>
      <c r="AZ5799">
        <v>0</v>
      </c>
      <c r="BA5799">
        <v>70</v>
      </c>
      <c r="BE5799" t="str">
        <f>T("9791137014381")</f>
        <v>9791137014381</v>
      </c>
      <c r="BF5799" t="str">
        <f>T("N218816")</f>
        <v>N218816</v>
      </c>
      <c r="BG5799" t="str">
        <f>T("판타지 웹소설 &gt; 퓨전 판타지")</f>
        <v>판타지 웹소설 &gt; 퓨전 판타지</v>
      </c>
    </row>
    <row r="5800" spans="1:59">
      <c r="A5800" t="s">
        <v>60</v>
      </c>
      <c r="B5800" s="1">
        <v>46131</v>
      </c>
      <c r="C5800">
        <v>2378044065</v>
      </c>
      <c r="D5800">
        <v>2378044133</v>
      </c>
      <c r="E5800" t="str">
        <f>T("저승의 왕위를 계승했다 69화")</f>
        <v>저승의 왕위를 계승했다 69화</v>
      </c>
      <c r="F5800">
        <v>69</v>
      </c>
      <c r="G5800" t="str">
        <f>T("신타비")</f>
        <v>신타비</v>
      </c>
      <c r="J5800" t="str">
        <f>T("매드햇")</f>
        <v>매드햇</v>
      </c>
      <c r="K5800" t="str">
        <f>T("저승의 왕위를 계승했다")</f>
        <v>저승의 왕위를 계승했다</v>
      </c>
      <c r="L5800">
        <v>100</v>
      </c>
      <c r="M5800">
        <v>100</v>
      </c>
      <c r="N5800">
        <v>1</v>
      </c>
      <c r="O5800">
        <v>0</v>
      </c>
      <c r="P5800">
        <v>0</v>
      </c>
      <c r="Q5800">
        <v>0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0</v>
      </c>
      <c r="AE5800">
        <v>0</v>
      </c>
      <c r="AF5800">
        <v>0</v>
      </c>
      <c r="AG5800">
        <v>0</v>
      </c>
      <c r="AH5800">
        <v>0</v>
      </c>
      <c r="AI5800">
        <v>100</v>
      </c>
      <c r="AJ5800">
        <v>1</v>
      </c>
      <c r="AK5800">
        <v>0</v>
      </c>
      <c r="AL5800">
        <v>0</v>
      </c>
      <c r="AM5800">
        <v>100</v>
      </c>
      <c r="AN5800">
        <v>0</v>
      </c>
      <c r="AO5800">
        <v>0</v>
      </c>
      <c r="AP5800">
        <v>0</v>
      </c>
      <c r="AQ5800">
        <v>0</v>
      </c>
      <c r="AS5800">
        <v>0</v>
      </c>
      <c r="AT5800">
        <v>0</v>
      </c>
      <c r="AV5800">
        <v>0</v>
      </c>
      <c r="AW5800">
        <v>0</v>
      </c>
      <c r="AY5800">
        <v>0</v>
      </c>
      <c r="AZ5800">
        <v>0</v>
      </c>
      <c r="BA5800">
        <v>70</v>
      </c>
      <c r="BE5800" t="str">
        <f>T("9791137014381")</f>
        <v>9791137014381</v>
      </c>
      <c r="BF5800" t="str">
        <f>T("N218817")</f>
        <v>N218817</v>
      </c>
      <c r="BG5800" t="str">
        <f>T("판타지 웹소설 &gt; 퓨전 판타지")</f>
        <v>판타지 웹소설 &gt; 퓨전 판타지</v>
      </c>
    </row>
    <row r="5801" spans="1:59">
      <c r="A5801" t="s">
        <v>60</v>
      </c>
      <c r="B5801" s="1">
        <v>46131</v>
      </c>
      <c r="C5801">
        <v>2378044065</v>
      </c>
      <c r="D5801">
        <v>2378044134</v>
      </c>
      <c r="E5801" t="str">
        <f>T("저승의 왕위를 계승했다 70화")</f>
        <v>저승의 왕위를 계승했다 70화</v>
      </c>
      <c r="F5801">
        <v>70</v>
      </c>
      <c r="G5801" t="str">
        <f>T("신타비")</f>
        <v>신타비</v>
      </c>
      <c r="J5801" t="str">
        <f>T("매드햇")</f>
        <v>매드햇</v>
      </c>
      <c r="K5801" t="str">
        <f>T("저승의 왕위를 계승했다")</f>
        <v>저승의 왕위를 계승했다</v>
      </c>
      <c r="L5801">
        <v>100</v>
      </c>
      <c r="M5801">
        <v>100</v>
      </c>
      <c r="N5801">
        <v>1</v>
      </c>
      <c r="O5801">
        <v>0</v>
      </c>
      <c r="P5801">
        <v>0</v>
      </c>
      <c r="Q5801">
        <v>0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0</v>
      </c>
      <c r="AE5801">
        <v>0</v>
      </c>
      <c r="AF5801">
        <v>0</v>
      </c>
      <c r="AG5801">
        <v>0</v>
      </c>
      <c r="AH5801">
        <v>0</v>
      </c>
      <c r="AI5801">
        <v>100</v>
      </c>
      <c r="AJ5801">
        <v>1</v>
      </c>
      <c r="AK5801">
        <v>0</v>
      </c>
      <c r="AL5801">
        <v>0</v>
      </c>
      <c r="AM5801">
        <v>100</v>
      </c>
      <c r="AN5801">
        <v>0</v>
      </c>
      <c r="AO5801">
        <v>0</v>
      </c>
      <c r="AP5801">
        <v>0</v>
      </c>
      <c r="AQ5801">
        <v>0</v>
      </c>
      <c r="AS5801">
        <v>0</v>
      </c>
      <c r="AT5801">
        <v>0</v>
      </c>
      <c r="AV5801">
        <v>0</v>
      </c>
      <c r="AW5801">
        <v>0</v>
      </c>
      <c r="AY5801">
        <v>0</v>
      </c>
      <c r="AZ5801">
        <v>0</v>
      </c>
      <c r="BA5801">
        <v>70</v>
      </c>
      <c r="BE5801" t="str">
        <f>T("9791137014381")</f>
        <v>9791137014381</v>
      </c>
      <c r="BF5801" t="str">
        <f>T("N218818")</f>
        <v>N218818</v>
      </c>
      <c r="BG5801" t="str">
        <f>T("판타지 웹소설 &gt; 퓨전 판타지")</f>
        <v>판타지 웹소설 &gt; 퓨전 판타지</v>
      </c>
    </row>
    <row r="5802" spans="1:59">
      <c r="A5802" t="s">
        <v>60</v>
      </c>
      <c r="B5802" s="1">
        <v>46131</v>
      </c>
      <c r="C5802">
        <v>2378044065</v>
      </c>
      <c r="D5802">
        <v>2378044150</v>
      </c>
      <c r="E5802" t="str">
        <f>T("저승의 왕위를 계승했다 86화")</f>
        <v>저승의 왕위를 계승했다 86화</v>
      </c>
      <c r="F5802">
        <v>86</v>
      </c>
      <c r="G5802" t="str">
        <f>T("신타비")</f>
        <v>신타비</v>
      </c>
      <c r="J5802" t="str">
        <f>T("매드햇")</f>
        <v>매드햇</v>
      </c>
      <c r="K5802" t="str">
        <f>T("저승의 왕위를 계승했다")</f>
        <v>저승의 왕위를 계승했다</v>
      </c>
      <c r="L5802">
        <v>100</v>
      </c>
      <c r="M5802">
        <v>100</v>
      </c>
      <c r="N5802">
        <v>1</v>
      </c>
      <c r="O5802">
        <v>0</v>
      </c>
      <c r="P5802">
        <v>0</v>
      </c>
      <c r="Q5802">
        <v>0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0</v>
      </c>
      <c r="AE5802">
        <v>0</v>
      </c>
      <c r="AF5802">
        <v>0</v>
      </c>
      <c r="AG5802">
        <v>0</v>
      </c>
      <c r="AH5802">
        <v>0</v>
      </c>
      <c r="AI5802">
        <v>100</v>
      </c>
      <c r="AJ5802">
        <v>1</v>
      </c>
      <c r="AK5802">
        <v>0</v>
      </c>
      <c r="AL5802">
        <v>0</v>
      </c>
      <c r="AM5802">
        <v>100</v>
      </c>
      <c r="AN5802">
        <v>0</v>
      </c>
      <c r="AO5802">
        <v>0</v>
      </c>
      <c r="AP5802">
        <v>0</v>
      </c>
      <c r="AQ5802">
        <v>0</v>
      </c>
      <c r="AS5802">
        <v>0</v>
      </c>
      <c r="AT5802">
        <v>0</v>
      </c>
      <c r="AV5802">
        <v>0</v>
      </c>
      <c r="AW5802">
        <v>0</v>
      </c>
      <c r="AY5802">
        <v>0</v>
      </c>
      <c r="AZ5802">
        <v>0</v>
      </c>
      <c r="BA5802">
        <v>70</v>
      </c>
      <c r="BE5802" t="str">
        <f>T("9791137014381")</f>
        <v>9791137014381</v>
      </c>
      <c r="BF5802" t="str">
        <f>T("N218834")</f>
        <v>N218834</v>
      </c>
      <c r="BG5802" t="str">
        <f>T("판타지 웹소설 &gt; 퓨전 판타지")</f>
        <v>판타지 웹소설 &gt; 퓨전 판타지</v>
      </c>
    </row>
    <row r="5803" spans="1:59">
      <c r="A5803" t="s">
        <v>60</v>
      </c>
      <c r="B5803" s="1">
        <v>46131</v>
      </c>
      <c r="C5803">
        <v>2378044065</v>
      </c>
      <c r="D5803">
        <v>2378069610</v>
      </c>
      <c r="E5803" t="str">
        <f>T("저승의 왕위를 계승했다 507화")</f>
        <v>저승의 왕위를 계승했다 507화</v>
      </c>
      <c r="F5803">
        <v>508</v>
      </c>
      <c r="G5803" t="str">
        <f>T("신타비")</f>
        <v>신타비</v>
      </c>
      <c r="J5803" t="str">
        <f>T("매드햇")</f>
        <v>매드햇</v>
      </c>
      <c r="K5803" t="str">
        <f>T("저승의 왕위를 계승했다")</f>
        <v>저승의 왕위를 계승했다</v>
      </c>
      <c r="L5803">
        <v>100</v>
      </c>
      <c r="M5803">
        <v>100</v>
      </c>
      <c r="N5803">
        <v>1</v>
      </c>
      <c r="O5803">
        <v>0</v>
      </c>
      <c r="P5803">
        <v>0</v>
      </c>
      <c r="Q5803">
        <v>0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0</v>
      </c>
      <c r="AE5803">
        <v>0</v>
      </c>
      <c r="AF5803">
        <v>0</v>
      </c>
      <c r="AG5803">
        <v>0</v>
      </c>
      <c r="AH5803">
        <v>0</v>
      </c>
      <c r="AI5803">
        <v>100</v>
      </c>
      <c r="AJ5803">
        <v>1</v>
      </c>
      <c r="AK5803">
        <v>0</v>
      </c>
      <c r="AL5803">
        <v>0</v>
      </c>
      <c r="AM5803">
        <v>100</v>
      </c>
      <c r="AN5803">
        <v>0</v>
      </c>
      <c r="AO5803">
        <v>0</v>
      </c>
      <c r="AP5803">
        <v>0</v>
      </c>
      <c r="AQ5803">
        <v>0</v>
      </c>
      <c r="AS5803">
        <v>0</v>
      </c>
      <c r="AT5803">
        <v>0</v>
      </c>
      <c r="AV5803">
        <v>0</v>
      </c>
      <c r="AW5803">
        <v>0</v>
      </c>
      <c r="AY5803">
        <v>0</v>
      </c>
      <c r="AZ5803">
        <v>0</v>
      </c>
      <c r="BA5803">
        <v>70</v>
      </c>
      <c r="BE5803" t="str">
        <f>T("9791137014381")</f>
        <v>9791137014381</v>
      </c>
      <c r="BF5803" t="str">
        <f>T("k410843")</f>
        <v>k410843</v>
      </c>
      <c r="BG5803" t="str">
        <f>T("판타지 웹소설 &gt; 퓨전 판타지")</f>
        <v>판타지 웹소설 &gt; 퓨전 판타지</v>
      </c>
    </row>
    <row r="5804" spans="1:59">
      <c r="A5804" t="s">
        <v>60</v>
      </c>
      <c r="B5804" s="1">
        <v>46131</v>
      </c>
      <c r="C5804">
        <v>2378044065</v>
      </c>
      <c r="D5804">
        <v>2378069611</v>
      </c>
      <c r="E5804" t="str">
        <f>T("저승의 왕위를 계승했다 508화")</f>
        <v>저승의 왕위를 계승했다 508화</v>
      </c>
      <c r="F5804">
        <v>509</v>
      </c>
      <c r="G5804" t="str">
        <f>T("신타비")</f>
        <v>신타비</v>
      </c>
      <c r="J5804" t="str">
        <f>T("매드햇")</f>
        <v>매드햇</v>
      </c>
      <c r="K5804" t="str">
        <f>T("저승의 왕위를 계승했다")</f>
        <v>저승의 왕위를 계승했다</v>
      </c>
      <c r="L5804">
        <v>100</v>
      </c>
      <c r="M5804">
        <v>100</v>
      </c>
      <c r="N5804">
        <v>1</v>
      </c>
      <c r="O5804">
        <v>0</v>
      </c>
      <c r="P5804">
        <v>0</v>
      </c>
      <c r="Q5804">
        <v>0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0</v>
      </c>
      <c r="AC5804">
        <v>0</v>
      </c>
      <c r="AD5804">
        <v>0</v>
      </c>
      <c r="AE5804">
        <v>0</v>
      </c>
      <c r="AF5804">
        <v>0</v>
      </c>
      <c r="AG5804">
        <v>0</v>
      </c>
      <c r="AH5804">
        <v>0</v>
      </c>
      <c r="AI5804">
        <v>100</v>
      </c>
      <c r="AJ5804">
        <v>1</v>
      </c>
      <c r="AK5804">
        <v>0</v>
      </c>
      <c r="AL5804">
        <v>0</v>
      </c>
      <c r="AM5804">
        <v>100</v>
      </c>
      <c r="AN5804">
        <v>0</v>
      </c>
      <c r="AO5804">
        <v>0</v>
      </c>
      <c r="AP5804">
        <v>0</v>
      </c>
      <c r="AQ5804">
        <v>0</v>
      </c>
      <c r="AS5804">
        <v>0</v>
      </c>
      <c r="AT5804">
        <v>0</v>
      </c>
      <c r="AV5804">
        <v>0</v>
      </c>
      <c r="AW5804">
        <v>0</v>
      </c>
      <c r="AY5804">
        <v>0</v>
      </c>
      <c r="AZ5804">
        <v>0</v>
      </c>
      <c r="BA5804">
        <v>70</v>
      </c>
      <c r="BE5804" t="str">
        <f>T("9791137014381")</f>
        <v>9791137014381</v>
      </c>
      <c r="BF5804" t="str">
        <f>T("k410844")</f>
        <v>k410844</v>
      </c>
      <c r="BG5804" t="str">
        <f>T("판타지 웹소설 &gt; 퓨전 판타지")</f>
        <v>판타지 웹소설 &gt; 퓨전 판타지</v>
      </c>
    </row>
    <row r="5805" spans="1:59">
      <c r="A5805" t="s">
        <v>60</v>
      </c>
      <c r="B5805" s="1">
        <v>46131</v>
      </c>
      <c r="C5805">
        <v>2378044065</v>
      </c>
      <c r="D5805">
        <v>2378054857</v>
      </c>
      <c r="E5805" t="str">
        <f>T("저승의 왕위를 계승했다 236화")</f>
        <v>저승의 왕위를 계승했다 236화</v>
      </c>
      <c r="F5805">
        <v>236</v>
      </c>
      <c r="G5805" t="str">
        <f>T("신타비")</f>
        <v>신타비</v>
      </c>
      <c r="J5805" t="str">
        <f>T("매드햇")</f>
        <v>매드햇</v>
      </c>
      <c r="K5805" t="str">
        <f>T("저승의 왕위를 계승했다")</f>
        <v>저승의 왕위를 계승했다</v>
      </c>
      <c r="L5805">
        <v>100</v>
      </c>
      <c r="M5805">
        <v>100</v>
      </c>
      <c r="N5805">
        <v>1</v>
      </c>
      <c r="O5805">
        <v>0</v>
      </c>
      <c r="P5805">
        <v>0</v>
      </c>
      <c r="Q5805">
        <v>0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0</v>
      </c>
      <c r="AC5805">
        <v>0</v>
      </c>
      <c r="AD5805">
        <v>0</v>
      </c>
      <c r="AE5805">
        <v>0</v>
      </c>
      <c r="AF5805">
        <v>0</v>
      </c>
      <c r="AG5805">
        <v>0</v>
      </c>
      <c r="AH5805">
        <v>0</v>
      </c>
      <c r="AI5805">
        <v>100</v>
      </c>
      <c r="AJ5805">
        <v>1</v>
      </c>
      <c r="AK5805">
        <v>0</v>
      </c>
      <c r="AL5805">
        <v>0</v>
      </c>
      <c r="AM5805">
        <v>100</v>
      </c>
      <c r="AN5805">
        <v>0</v>
      </c>
      <c r="AO5805">
        <v>0</v>
      </c>
      <c r="AP5805">
        <v>0</v>
      </c>
      <c r="AQ5805">
        <v>0</v>
      </c>
      <c r="AS5805">
        <v>0</v>
      </c>
      <c r="AT5805">
        <v>0</v>
      </c>
      <c r="AV5805">
        <v>0</v>
      </c>
      <c r="AW5805">
        <v>0</v>
      </c>
      <c r="AY5805">
        <v>0</v>
      </c>
      <c r="AZ5805">
        <v>0</v>
      </c>
      <c r="BA5805">
        <v>70</v>
      </c>
      <c r="BE5805" t="str">
        <f>T("9791137014381")</f>
        <v>9791137014381</v>
      </c>
      <c r="BF5805" t="str">
        <f>T("k124808")</f>
        <v>k124808</v>
      </c>
      <c r="BG5805" t="str">
        <f>T("판타지 웹소설 &gt; 퓨전 판타지")</f>
        <v>판타지 웹소설 &gt; 퓨전 판타지</v>
      </c>
    </row>
    <row r="5806" spans="1:59">
      <c r="A5806" t="s">
        <v>60</v>
      </c>
      <c r="B5806" s="1">
        <v>46131</v>
      </c>
      <c r="C5806">
        <v>2378044065</v>
      </c>
      <c r="D5806">
        <v>2378069641</v>
      </c>
      <c r="E5806" t="str">
        <f>T("저승의 왕위를 계승했다 509화")</f>
        <v>저승의 왕위를 계승했다 509화</v>
      </c>
      <c r="F5806">
        <v>510</v>
      </c>
      <c r="G5806" t="str">
        <f>T("신타비")</f>
        <v>신타비</v>
      </c>
      <c r="J5806" t="str">
        <f>T("매드햇")</f>
        <v>매드햇</v>
      </c>
      <c r="K5806" t="str">
        <f>T("저승의 왕위를 계승했다")</f>
        <v>저승의 왕위를 계승했다</v>
      </c>
      <c r="L5806">
        <v>100</v>
      </c>
      <c r="M5806">
        <v>100</v>
      </c>
      <c r="N5806">
        <v>1</v>
      </c>
      <c r="O5806">
        <v>0</v>
      </c>
      <c r="P5806">
        <v>0</v>
      </c>
      <c r="Q5806">
        <v>0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0</v>
      </c>
      <c r="AC5806">
        <v>0</v>
      </c>
      <c r="AD5806">
        <v>0</v>
      </c>
      <c r="AE5806">
        <v>0</v>
      </c>
      <c r="AF5806">
        <v>0</v>
      </c>
      <c r="AG5806">
        <v>0</v>
      </c>
      <c r="AH5806">
        <v>0</v>
      </c>
      <c r="AI5806">
        <v>100</v>
      </c>
      <c r="AJ5806">
        <v>1</v>
      </c>
      <c r="AK5806">
        <v>0</v>
      </c>
      <c r="AL5806">
        <v>0</v>
      </c>
      <c r="AM5806">
        <v>100</v>
      </c>
      <c r="AN5806">
        <v>0</v>
      </c>
      <c r="AO5806">
        <v>0</v>
      </c>
      <c r="AP5806">
        <v>0</v>
      </c>
      <c r="AQ5806">
        <v>0</v>
      </c>
      <c r="AS5806">
        <v>0</v>
      </c>
      <c r="AT5806">
        <v>0</v>
      </c>
      <c r="AV5806">
        <v>0</v>
      </c>
      <c r="AW5806">
        <v>0</v>
      </c>
      <c r="AY5806">
        <v>0</v>
      </c>
      <c r="AZ5806">
        <v>0</v>
      </c>
      <c r="BA5806">
        <v>70</v>
      </c>
      <c r="BE5806" t="str">
        <f>T("9791137014381")</f>
        <v>9791137014381</v>
      </c>
      <c r="BF5806" t="str">
        <f>T("k410845")</f>
        <v>k410845</v>
      </c>
      <c r="BG5806" t="str">
        <f>T("판타지 웹소설 &gt; 퓨전 판타지")</f>
        <v>판타지 웹소설 &gt; 퓨전 판타지</v>
      </c>
    </row>
    <row r="5807" spans="1:59">
      <c r="A5807" t="s">
        <v>60</v>
      </c>
      <c r="B5807" s="1">
        <v>46131</v>
      </c>
      <c r="C5807">
        <v>2378044065</v>
      </c>
      <c r="D5807">
        <v>2378069642</v>
      </c>
      <c r="E5807" t="str">
        <f>T("저승의 왕위를 계승했다 510화")</f>
        <v>저승의 왕위를 계승했다 510화</v>
      </c>
      <c r="F5807">
        <v>511</v>
      </c>
      <c r="G5807" t="str">
        <f>T("신타비")</f>
        <v>신타비</v>
      </c>
      <c r="J5807" t="str">
        <f>T("매드햇")</f>
        <v>매드햇</v>
      </c>
      <c r="K5807" t="str">
        <f>T("저승의 왕위를 계승했다")</f>
        <v>저승의 왕위를 계승했다</v>
      </c>
      <c r="L5807">
        <v>100</v>
      </c>
      <c r="M5807">
        <v>100</v>
      </c>
      <c r="N5807">
        <v>1</v>
      </c>
      <c r="O5807">
        <v>0</v>
      </c>
      <c r="P5807">
        <v>0</v>
      </c>
      <c r="Q5807">
        <v>0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0</v>
      </c>
      <c r="AC5807">
        <v>0</v>
      </c>
      <c r="AD5807">
        <v>0</v>
      </c>
      <c r="AE5807">
        <v>0</v>
      </c>
      <c r="AF5807">
        <v>0</v>
      </c>
      <c r="AG5807">
        <v>0</v>
      </c>
      <c r="AH5807">
        <v>0</v>
      </c>
      <c r="AI5807">
        <v>100</v>
      </c>
      <c r="AJ5807">
        <v>1</v>
      </c>
      <c r="AK5807">
        <v>0</v>
      </c>
      <c r="AL5807">
        <v>0</v>
      </c>
      <c r="AM5807">
        <v>100</v>
      </c>
      <c r="AN5807">
        <v>0</v>
      </c>
      <c r="AO5807">
        <v>0</v>
      </c>
      <c r="AP5807">
        <v>0</v>
      </c>
      <c r="AQ5807">
        <v>0</v>
      </c>
      <c r="AS5807">
        <v>0</v>
      </c>
      <c r="AT5807">
        <v>0</v>
      </c>
      <c r="AV5807">
        <v>0</v>
      </c>
      <c r="AW5807">
        <v>0</v>
      </c>
      <c r="AY5807">
        <v>0</v>
      </c>
      <c r="AZ5807">
        <v>0</v>
      </c>
      <c r="BA5807">
        <v>70</v>
      </c>
      <c r="BE5807" t="str">
        <f>T("9791137014381")</f>
        <v>9791137014381</v>
      </c>
      <c r="BF5807" t="str">
        <f>T("k410846")</f>
        <v>k410846</v>
      </c>
      <c r="BG5807" t="str">
        <f>T("판타지 웹소설 &gt; 퓨전 판타지")</f>
        <v>판타지 웹소설 &gt; 퓨전 판타지</v>
      </c>
    </row>
    <row r="5808" spans="1:59">
      <c r="A5808" t="s">
        <v>60</v>
      </c>
      <c r="B5808" s="1">
        <v>46131</v>
      </c>
      <c r="C5808">
        <v>2378044065</v>
      </c>
      <c r="D5808">
        <v>2378069666</v>
      </c>
      <c r="E5808" t="str">
        <f>T("저승의 왕위를 계승했다 511화")</f>
        <v>저승의 왕위를 계승했다 511화</v>
      </c>
      <c r="F5808">
        <v>512</v>
      </c>
      <c r="G5808" t="str">
        <f>T("신타비")</f>
        <v>신타비</v>
      </c>
      <c r="J5808" t="str">
        <f>T("매드햇")</f>
        <v>매드햇</v>
      </c>
      <c r="K5808" t="str">
        <f>T("저승의 왕위를 계승했다")</f>
        <v>저승의 왕위를 계승했다</v>
      </c>
      <c r="L5808">
        <v>100</v>
      </c>
      <c r="M5808">
        <v>100</v>
      </c>
      <c r="N5808">
        <v>1</v>
      </c>
      <c r="O5808">
        <v>0</v>
      </c>
      <c r="P5808">
        <v>0</v>
      </c>
      <c r="Q5808">
        <v>0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0</v>
      </c>
      <c r="AC5808">
        <v>0</v>
      </c>
      <c r="AD5808">
        <v>0</v>
      </c>
      <c r="AE5808">
        <v>0</v>
      </c>
      <c r="AF5808">
        <v>0</v>
      </c>
      <c r="AG5808">
        <v>0</v>
      </c>
      <c r="AH5808">
        <v>0</v>
      </c>
      <c r="AI5808">
        <v>100</v>
      </c>
      <c r="AJ5808">
        <v>1</v>
      </c>
      <c r="AK5808">
        <v>0</v>
      </c>
      <c r="AL5808">
        <v>0</v>
      </c>
      <c r="AM5808">
        <v>100</v>
      </c>
      <c r="AN5808">
        <v>0</v>
      </c>
      <c r="AO5808">
        <v>0</v>
      </c>
      <c r="AP5808">
        <v>0</v>
      </c>
      <c r="AQ5808">
        <v>0</v>
      </c>
      <c r="AS5808">
        <v>0</v>
      </c>
      <c r="AT5808">
        <v>0</v>
      </c>
      <c r="AV5808">
        <v>0</v>
      </c>
      <c r="AW5808">
        <v>0</v>
      </c>
      <c r="AY5808">
        <v>0</v>
      </c>
      <c r="AZ5808">
        <v>0</v>
      </c>
      <c r="BA5808">
        <v>70</v>
      </c>
      <c r="BE5808" t="str">
        <f>T("9791137014381")</f>
        <v>9791137014381</v>
      </c>
      <c r="BF5808" t="str">
        <f>T("k416013")</f>
        <v>k416013</v>
      </c>
      <c r="BG5808" t="str">
        <f>T("판타지 웹소설 &gt; 퓨전 판타지")</f>
        <v>판타지 웹소설 &gt; 퓨전 판타지</v>
      </c>
    </row>
    <row r="5809" spans="1:59">
      <c r="A5809" t="s">
        <v>60</v>
      </c>
      <c r="B5809" s="1">
        <v>46131</v>
      </c>
      <c r="C5809">
        <v>2378044065</v>
      </c>
      <c r="D5809">
        <v>2378069667</v>
      </c>
      <c r="E5809" t="str">
        <f>T("저승의 왕위를 계승했다 512화")</f>
        <v>저승의 왕위를 계승했다 512화</v>
      </c>
      <c r="F5809">
        <v>513</v>
      </c>
      <c r="G5809" t="str">
        <f>T("신타비")</f>
        <v>신타비</v>
      </c>
      <c r="J5809" t="str">
        <f>T("매드햇")</f>
        <v>매드햇</v>
      </c>
      <c r="K5809" t="str">
        <f>T("저승의 왕위를 계승했다")</f>
        <v>저승의 왕위를 계승했다</v>
      </c>
      <c r="L5809">
        <v>100</v>
      </c>
      <c r="M5809">
        <v>100</v>
      </c>
      <c r="N5809">
        <v>1</v>
      </c>
      <c r="O5809">
        <v>0</v>
      </c>
      <c r="P5809">
        <v>0</v>
      </c>
      <c r="Q5809">
        <v>0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0</v>
      </c>
      <c r="AC5809">
        <v>0</v>
      </c>
      <c r="AD5809">
        <v>0</v>
      </c>
      <c r="AE5809">
        <v>0</v>
      </c>
      <c r="AF5809">
        <v>0</v>
      </c>
      <c r="AG5809">
        <v>0</v>
      </c>
      <c r="AH5809">
        <v>0</v>
      </c>
      <c r="AI5809">
        <v>100</v>
      </c>
      <c r="AJ5809">
        <v>1</v>
      </c>
      <c r="AK5809">
        <v>0</v>
      </c>
      <c r="AL5809">
        <v>0</v>
      </c>
      <c r="AM5809">
        <v>100</v>
      </c>
      <c r="AN5809">
        <v>0</v>
      </c>
      <c r="AO5809">
        <v>0</v>
      </c>
      <c r="AP5809">
        <v>0</v>
      </c>
      <c r="AQ5809">
        <v>0</v>
      </c>
      <c r="AS5809">
        <v>0</v>
      </c>
      <c r="AT5809">
        <v>0</v>
      </c>
      <c r="AV5809">
        <v>0</v>
      </c>
      <c r="AW5809">
        <v>0</v>
      </c>
      <c r="AY5809">
        <v>0</v>
      </c>
      <c r="AZ5809">
        <v>0</v>
      </c>
      <c r="BA5809">
        <v>70</v>
      </c>
      <c r="BE5809" t="str">
        <f>T("9791137014381")</f>
        <v>9791137014381</v>
      </c>
      <c r="BF5809" t="str">
        <f>T("k416014")</f>
        <v>k416014</v>
      </c>
      <c r="BG5809" t="str">
        <f>T("판타지 웹소설 &gt; 퓨전 판타지")</f>
        <v>판타지 웹소설 &gt; 퓨전 판타지</v>
      </c>
    </row>
    <row r="5810" spans="1:59">
      <c r="A5810" t="s">
        <v>60</v>
      </c>
      <c r="B5810" s="1">
        <v>46131</v>
      </c>
      <c r="C5810">
        <v>2378044065</v>
      </c>
      <c r="D5810">
        <v>2378044074</v>
      </c>
      <c r="E5810" t="str">
        <f>T("저승의 왕위를 계승했다 10화")</f>
        <v>저승의 왕위를 계승했다 10화</v>
      </c>
      <c r="F5810">
        <v>10</v>
      </c>
      <c r="G5810" t="str">
        <f>T("신타비")</f>
        <v>신타비</v>
      </c>
      <c r="J5810" t="str">
        <f>T("매드햇")</f>
        <v>매드햇</v>
      </c>
      <c r="K5810" t="str">
        <f>T("저승의 왕위를 계승했다")</f>
        <v>저승의 왕위를 계승했다</v>
      </c>
      <c r="L5810">
        <v>0</v>
      </c>
      <c r="M5810">
        <v>0</v>
      </c>
      <c r="N5810">
        <v>0</v>
      </c>
      <c r="O5810">
        <v>4</v>
      </c>
      <c r="P5810">
        <v>0</v>
      </c>
      <c r="Q5810">
        <v>0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0</v>
      </c>
      <c r="AC5810">
        <v>0</v>
      </c>
      <c r="AD5810">
        <v>0</v>
      </c>
      <c r="AE5810">
        <v>0</v>
      </c>
      <c r="AF5810">
        <v>0</v>
      </c>
      <c r="AG5810">
        <v>0</v>
      </c>
      <c r="AH5810">
        <v>0</v>
      </c>
      <c r="AI5810">
        <v>0</v>
      </c>
      <c r="AJ5810">
        <v>4</v>
      </c>
      <c r="AK5810">
        <v>0</v>
      </c>
      <c r="AL5810">
        <v>0</v>
      </c>
      <c r="AM5810">
        <v>0</v>
      </c>
      <c r="AN5810">
        <v>0</v>
      </c>
      <c r="AO5810">
        <v>0</v>
      </c>
      <c r="AP5810">
        <v>0</v>
      </c>
      <c r="AQ5810">
        <v>0</v>
      </c>
      <c r="AS5810">
        <v>0</v>
      </c>
      <c r="AT5810">
        <v>0</v>
      </c>
      <c r="AV5810">
        <v>0</v>
      </c>
      <c r="AW5810">
        <v>0</v>
      </c>
      <c r="AY5810">
        <v>0</v>
      </c>
      <c r="AZ5810">
        <v>0</v>
      </c>
      <c r="BA5810">
        <v>0</v>
      </c>
      <c r="BE5810" t="str">
        <f>T("9791137014381")</f>
        <v>9791137014381</v>
      </c>
      <c r="BF5810" t="str">
        <f>T("N218758")</f>
        <v>N218758</v>
      </c>
      <c r="BG5810" t="str">
        <f>T("판타지 웹소설 &gt; 퓨전 판타지")</f>
        <v>판타지 웹소설 &gt; 퓨전 판타지</v>
      </c>
    </row>
    <row r="5811" spans="1:59">
      <c r="A5811" t="s">
        <v>60</v>
      </c>
      <c r="B5811" s="1">
        <v>46131</v>
      </c>
      <c r="C5811">
        <v>2378044065</v>
      </c>
      <c r="D5811">
        <v>2378044075</v>
      </c>
      <c r="E5811" t="str">
        <f>T("저승의 왕위를 계승했다 11화")</f>
        <v>저승의 왕위를 계승했다 11화</v>
      </c>
      <c r="F5811">
        <v>11</v>
      </c>
      <c r="G5811" t="str">
        <f>T("신타비")</f>
        <v>신타비</v>
      </c>
      <c r="J5811" t="str">
        <f>T("매드햇")</f>
        <v>매드햇</v>
      </c>
      <c r="K5811" t="str">
        <f>T("저승의 왕위를 계승했다")</f>
        <v>저승의 왕위를 계승했다</v>
      </c>
      <c r="L5811">
        <v>0</v>
      </c>
      <c r="M5811">
        <v>0</v>
      </c>
      <c r="N5811">
        <v>0</v>
      </c>
      <c r="O5811">
        <v>4</v>
      </c>
      <c r="P5811">
        <v>0</v>
      </c>
      <c r="Q5811">
        <v>0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0</v>
      </c>
      <c r="AC5811">
        <v>0</v>
      </c>
      <c r="AD5811">
        <v>0</v>
      </c>
      <c r="AE5811">
        <v>0</v>
      </c>
      <c r="AF5811">
        <v>0</v>
      </c>
      <c r="AG5811">
        <v>0</v>
      </c>
      <c r="AH5811">
        <v>0</v>
      </c>
      <c r="AI5811">
        <v>0</v>
      </c>
      <c r="AJ5811">
        <v>4</v>
      </c>
      <c r="AK5811">
        <v>0</v>
      </c>
      <c r="AL5811">
        <v>0</v>
      </c>
      <c r="AM5811">
        <v>0</v>
      </c>
      <c r="AN5811">
        <v>0</v>
      </c>
      <c r="AO5811">
        <v>0</v>
      </c>
      <c r="AP5811">
        <v>0</v>
      </c>
      <c r="AQ5811">
        <v>0</v>
      </c>
      <c r="AS5811">
        <v>0</v>
      </c>
      <c r="AT5811">
        <v>0</v>
      </c>
      <c r="AV5811">
        <v>0</v>
      </c>
      <c r="AW5811">
        <v>0</v>
      </c>
      <c r="AY5811">
        <v>0</v>
      </c>
      <c r="AZ5811">
        <v>0</v>
      </c>
      <c r="BA5811">
        <v>0</v>
      </c>
      <c r="BE5811" t="str">
        <f>T("9791137014381")</f>
        <v>9791137014381</v>
      </c>
      <c r="BF5811" t="str">
        <f>T("N218759")</f>
        <v>N218759</v>
      </c>
      <c r="BG5811" t="str">
        <f>T("판타지 웹소설 &gt; 퓨전 판타지")</f>
        <v>판타지 웹소설 &gt; 퓨전 판타지</v>
      </c>
    </row>
    <row r="5812" spans="1:59">
      <c r="A5812" t="s">
        <v>60</v>
      </c>
      <c r="B5812" s="1">
        <v>46131</v>
      </c>
      <c r="C5812">
        <v>2378044065</v>
      </c>
      <c r="D5812">
        <v>2378044076</v>
      </c>
      <c r="E5812" t="str">
        <f>T("저승의 왕위를 계승했다 12화")</f>
        <v>저승의 왕위를 계승했다 12화</v>
      </c>
      <c r="F5812">
        <v>12</v>
      </c>
      <c r="G5812" t="str">
        <f>T("신타비")</f>
        <v>신타비</v>
      </c>
      <c r="J5812" t="str">
        <f>T("매드햇")</f>
        <v>매드햇</v>
      </c>
      <c r="K5812" t="str">
        <f>T("저승의 왕위를 계승했다")</f>
        <v>저승의 왕위를 계승했다</v>
      </c>
      <c r="L5812">
        <v>0</v>
      </c>
      <c r="M5812">
        <v>0</v>
      </c>
      <c r="N5812">
        <v>0</v>
      </c>
      <c r="O5812">
        <v>3</v>
      </c>
      <c r="P5812">
        <v>0</v>
      </c>
      <c r="Q5812">
        <v>0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0</v>
      </c>
      <c r="AC5812">
        <v>0</v>
      </c>
      <c r="AD5812">
        <v>0</v>
      </c>
      <c r="AE5812">
        <v>0</v>
      </c>
      <c r="AF5812">
        <v>0</v>
      </c>
      <c r="AG5812">
        <v>0</v>
      </c>
      <c r="AH5812">
        <v>0</v>
      </c>
      <c r="AI5812">
        <v>0</v>
      </c>
      <c r="AJ5812">
        <v>3</v>
      </c>
      <c r="AK5812">
        <v>0</v>
      </c>
      <c r="AL5812">
        <v>0</v>
      </c>
      <c r="AM5812">
        <v>0</v>
      </c>
      <c r="AN5812">
        <v>0</v>
      </c>
      <c r="AO5812">
        <v>0</v>
      </c>
      <c r="AP5812">
        <v>0</v>
      </c>
      <c r="AQ5812">
        <v>0</v>
      </c>
      <c r="AS5812">
        <v>0</v>
      </c>
      <c r="AT5812">
        <v>0</v>
      </c>
      <c r="AV5812">
        <v>0</v>
      </c>
      <c r="AW5812">
        <v>0</v>
      </c>
      <c r="AY5812">
        <v>0</v>
      </c>
      <c r="AZ5812">
        <v>0</v>
      </c>
      <c r="BA5812">
        <v>0</v>
      </c>
      <c r="BE5812" t="str">
        <f>T("9791137014381")</f>
        <v>9791137014381</v>
      </c>
      <c r="BF5812" t="str">
        <f>T("N218760")</f>
        <v>N218760</v>
      </c>
      <c r="BG5812" t="str">
        <f>T("판타지 웹소설 &gt; 퓨전 판타지")</f>
        <v>판타지 웹소설 &gt; 퓨전 판타지</v>
      </c>
    </row>
    <row r="5813" spans="1:59">
      <c r="A5813" t="s">
        <v>60</v>
      </c>
      <c r="B5813" s="1">
        <v>46131</v>
      </c>
      <c r="C5813">
        <v>2378044065</v>
      </c>
      <c r="D5813">
        <v>2378044077</v>
      </c>
      <c r="E5813" t="str">
        <f>T("저승의 왕위를 계승했다 13화")</f>
        <v>저승의 왕위를 계승했다 13화</v>
      </c>
      <c r="F5813">
        <v>13</v>
      </c>
      <c r="G5813" t="str">
        <f>T("신타비")</f>
        <v>신타비</v>
      </c>
      <c r="J5813" t="str">
        <f>T("매드햇")</f>
        <v>매드햇</v>
      </c>
      <c r="K5813" t="str">
        <f>T("저승의 왕위를 계승했다")</f>
        <v>저승의 왕위를 계승했다</v>
      </c>
      <c r="L5813">
        <v>0</v>
      </c>
      <c r="M5813">
        <v>0</v>
      </c>
      <c r="N5813">
        <v>0</v>
      </c>
      <c r="O5813">
        <v>3</v>
      </c>
      <c r="P5813">
        <v>0</v>
      </c>
      <c r="Q5813">
        <v>0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0</v>
      </c>
      <c r="AE5813">
        <v>0</v>
      </c>
      <c r="AF5813">
        <v>0</v>
      </c>
      <c r="AG5813">
        <v>0</v>
      </c>
      <c r="AH5813">
        <v>0</v>
      </c>
      <c r="AI5813">
        <v>0</v>
      </c>
      <c r="AJ5813">
        <v>3</v>
      </c>
      <c r="AK5813">
        <v>0</v>
      </c>
      <c r="AL5813">
        <v>0</v>
      </c>
      <c r="AM5813">
        <v>0</v>
      </c>
      <c r="AN5813">
        <v>0</v>
      </c>
      <c r="AO5813">
        <v>0</v>
      </c>
      <c r="AP5813">
        <v>0</v>
      </c>
      <c r="AQ5813">
        <v>0</v>
      </c>
      <c r="AS5813">
        <v>0</v>
      </c>
      <c r="AT5813">
        <v>0</v>
      </c>
      <c r="AV5813">
        <v>0</v>
      </c>
      <c r="AW5813">
        <v>0</v>
      </c>
      <c r="AY5813">
        <v>0</v>
      </c>
      <c r="AZ5813">
        <v>0</v>
      </c>
      <c r="BA5813">
        <v>0</v>
      </c>
      <c r="BE5813" t="str">
        <f>T("9791137014381")</f>
        <v>9791137014381</v>
      </c>
      <c r="BF5813" t="str">
        <f>T("N218761")</f>
        <v>N218761</v>
      </c>
      <c r="BG5813" t="str">
        <f>T("판타지 웹소설 &gt; 퓨전 판타지")</f>
        <v>판타지 웹소설 &gt; 퓨전 판타지</v>
      </c>
    </row>
    <row r="5814" spans="1:59">
      <c r="A5814" t="s">
        <v>60</v>
      </c>
      <c r="B5814" s="1">
        <v>46131</v>
      </c>
      <c r="C5814">
        <v>2378044065</v>
      </c>
      <c r="D5814">
        <v>2378044078</v>
      </c>
      <c r="E5814" t="str">
        <f>T("저승의 왕위를 계승했다 14화")</f>
        <v>저승의 왕위를 계승했다 14화</v>
      </c>
      <c r="F5814">
        <v>14</v>
      </c>
      <c r="G5814" t="str">
        <f>T("신타비")</f>
        <v>신타비</v>
      </c>
      <c r="J5814" t="str">
        <f>T("매드햇")</f>
        <v>매드햇</v>
      </c>
      <c r="K5814" t="str">
        <f>T("저승의 왕위를 계승했다")</f>
        <v>저승의 왕위를 계승했다</v>
      </c>
      <c r="L5814">
        <v>0</v>
      </c>
      <c r="M5814">
        <v>0</v>
      </c>
      <c r="N5814">
        <v>0</v>
      </c>
      <c r="O5814">
        <v>4</v>
      </c>
      <c r="P5814">
        <v>0</v>
      </c>
      <c r="Q5814">
        <v>0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0</v>
      </c>
      <c r="AE5814">
        <v>0</v>
      </c>
      <c r="AF5814">
        <v>0</v>
      </c>
      <c r="AG5814">
        <v>0</v>
      </c>
      <c r="AH5814">
        <v>0</v>
      </c>
      <c r="AI5814">
        <v>0</v>
      </c>
      <c r="AJ5814">
        <v>4</v>
      </c>
      <c r="AK5814">
        <v>0</v>
      </c>
      <c r="AL5814">
        <v>0</v>
      </c>
      <c r="AM5814">
        <v>0</v>
      </c>
      <c r="AN5814">
        <v>0</v>
      </c>
      <c r="AO5814">
        <v>0</v>
      </c>
      <c r="AP5814">
        <v>0</v>
      </c>
      <c r="AQ5814">
        <v>0</v>
      </c>
      <c r="AS5814">
        <v>0</v>
      </c>
      <c r="AT5814">
        <v>0</v>
      </c>
      <c r="AV5814">
        <v>0</v>
      </c>
      <c r="AW5814">
        <v>0</v>
      </c>
      <c r="AY5814">
        <v>0</v>
      </c>
      <c r="AZ5814">
        <v>0</v>
      </c>
      <c r="BA5814">
        <v>0</v>
      </c>
      <c r="BE5814" t="str">
        <f>T("9791137014381")</f>
        <v>9791137014381</v>
      </c>
      <c r="BF5814" t="str">
        <f>T("N218762")</f>
        <v>N218762</v>
      </c>
      <c r="BG5814" t="str">
        <f>T("판타지 웹소설 &gt; 퓨전 판타지")</f>
        <v>판타지 웹소설 &gt; 퓨전 판타지</v>
      </c>
    </row>
    <row r="5815" spans="1:59">
      <c r="A5815" t="s">
        <v>60</v>
      </c>
      <c r="B5815" s="1">
        <v>46131</v>
      </c>
      <c r="C5815">
        <v>2378044065</v>
      </c>
      <c r="D5815">
        <v>2378044079</v>
      </c>
      <c r="E5815" t="str">
        <f>T("저승의 왕위를 계승했다 15화")</f>
        <v>저승의 왕위를 계승했다 15화</v>
      </c>
      <c r="F5815">
        <v>15</v>
      </c>
      <c r="G5815" t="str">
        <f>T("신타비")</f>
        <v>신타비</v>
      </c>
      <c r="J5815" t="str">
        <f>T("매드햇")</f>
        <v>매드햇</v>
      </c>
      <c r="K5815" t="str">
        <f>T("저승의 왕위를 계승했다")</f>
        <v>저승의 왕위를 계승했다</v>
      </c>
      <c r="L5815">
        <v>0</v>
      </c>
      <c r="M5815">
        <v>0</v>
      </c>
      <c r="N5815">
        <v>0</v>
      </c>
      <c r="O5815">
        <v>4</v>
      </c>
      <c r="P5815">
        <v>0</v>
      </c>
      <c r="Q5815">
        <v>0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0</v>
      </c>
      <c r="AE5815">
        <v>0</v>
      </c>
      <c r="AF5815">
        <v>0</v>
      </c>
      <c r="AG5815">
        <v>0</v>
      </c>
      <c r="AH5815">
        <v>0</v>
      </c>
      <c r="AI5815">
        <v>0</v>
      </c>
      <c r="AJ5815">
        <v>4</v>
      </c>
      <c r="AK5815">
        <v>0</v>
      </c>
      <c r="AL5815">
        <v>0</v>
      </c>
      <c r="AM5815">
        <v>0</v>
      </c>
      <c r="AN5815">
        <v>0</v>
      </c>
      <c r="AO5815">
        <v>0</v>
      </c>
      <c r="AP5815">
        <v>0</v>
      </c>
      <c r="AQ5815">
        <v>0</v>
      </c>
      <c r="AS5815">
        <v>0</v>
      </c>
      <c r="AT5815">
        <v>0</v>
      </c>
      <c r="AV5815">
        <v>0</v>
      </c>
      <c r="AW5815">
        <v>0</v>
      </c>
      <c r="AY5815">
        <v>0</v>
      </c>
      <c r="AZ5815">
        <v>0</v>
      </c>
      <c r="BA5815">
        <v>0</v>
      </c>
      <c r="BE5815" t="str">
        <f>T("9791137014381")</f>
        <v>9791137014381</v>
      </c>
      <c r="BF5815" t="str">
        <f>T("N218763")</f>
        <v>N218763</v>
      </c>
      <c r="BG5815" t="str">
        <f>T("판타지 웹소설 &gt; 퓨전 판타지")</f>
        <v>판타지 웹소설 &gt; 퓨전 판타지</v>
      </c>
    </row>
    <row r="5816" spans="1:59">
      <c r="A5816" t="s">
        <v>60</v>
      </c>
      <c r="B5816" s="1">
        <v>46131</v>
      </c>
      <c r="C5816">
        <v>2378044065</v>
      </c>
      <c r="D5816">
        <v>2378044080</v>
      </c>
      <c r="E5816" t="str">
        <f>T("저승의 왕위를 계승했다 16화")</f>
        <v>저승의 왕위를 계승했다 16화</v>
      </c>
      <c r="F5816">
        <v>16</v>
      </c>
      <c r="G5816" t="str">
        <f>T("신타비")</f>
        <v>신타비</v>
      </c>
      <c r="J5816" t="str">
        <f>T("매드햇")</f>
        <v>매드햇</v>
      </c>
      <c r="K5816" t="str">
        <f>T("저승의 왕위를 계승했다")</f>
        <v>저승의 왕위를 계승했다</v>
      </c>
      <c r="L5816">
        <v>0</v>
      </c>
      <c r="M5816">
        <v>0</v>
      </c>
      <c r="N5816">
        <v>0</v>
      </c>
      <c r="O5816">
        <v>3</v>
      </c>
      <c r="P5816">
        <v>0</v>
      </c>
      <c r="Q5816">
        <v>0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0</v>
      </c>
      <c r="AE5816">
        <v>0</v>
      </c>
      <c r="AF5816">
        <v>0</v>
      </c>
      <c r="AG5816">
        <v>0</v>
      </c>
      <c r="AH5816">
        <v>0</v>
      </c>
      <c r="AI5816">
        <v>0</v>
      </c>
      <c r="AJ5816">
        <v>3</v>
      </c>
      <c r="AK5816">
        <v>0</v>
      </c>
      <c r="AL5816">
        <v>0</v>
      </c>
      <c r="AM5816">
        <v>0</v>
      </c>
      <c r="AN5816">
        <v>0</v>
      </c>
      <c r="AO5816">
        <v>0</v>
      </c>
      <c r="AP5816">
        <v>0</v>
      </c>
      <c r="AQ5816">
        <v>0</v>
      </c>
      <c r="AS5816">
        <v>0</v>
      </c>
      <c r="AT5816">
        <v>0</v>
      </c>
      <c r="AV5816">
        <v>0</v>
      </c>
      <c r="AW5816">
        <v>0</v>
      </c>
      <c r="AY5816">
        <v>0</v>
      </c>
      <c r="AZ5816">
        <v>0</v>
      </c>
      <c r="BA5816">
        <v>0</v>
      </c>
      <c r="BE5816" t="str">
        <f>T("9791137014381")</f>
        <v>9791137014381</v>
      </c>
      <c r="BF5816" t="str">
        <f>T("N218764")</f>
        <v>N218764</v>
      </c>
      <c r="BG5816" t="str">
        <f>T("판타지 웹소설 &gt; 퓨전 판타지")</f>
        <v>판타지 웹소설 &gt; 퓨전 판타지</v>
      </c>
    </row>
    <row r="5817" spans="1:59">
      <c r="A5817" t="s">
        <v>60</v>
      </c>
      <c r="B5817" s="1">
        <v>46131</v>
      </c>
      <c r="C5817">
        <v>2378044065</v>
      </c>
      <c r="D5817">
        <v>2378044081</v>
      </c>
      <c r="E5817" t="str">
        <f>T("저승의 왕위를 계승했다 17화")</f>
        <v>저승의 왕위를 계승했다 17화</v>
      </c>
      <c r="F5817">
        <v>17</v>
      </c>
      <c r="G5817" t="str">
        <f>T("신타비")</f>
        <v>신타비</v>
      </c>
      <c r="J5817" t="str">
        <f>T("매드햇")</f>
        <v>매드햇</v>
      </c>
      <c r="K5817" t="str">
        <f>T("저승의 왕위를 계승했다")</f>
        <v>저승의 왕위를 계승했다</v>
      </c>
      <c r="L5817">
        <v>0</v>
      </c>
      <c r="M5817">
        <v>0</v>
      </c>
      <c r="N5817">
        <v>0</v>
      </c>
      <c r="O5817">
        <v>3</v>
      </c>
      <c r="P5817">
        <v>0</v>
      </c>
      <c r="Q5817">
        <v>0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0</v>
      </c>
      <c r="AE5817">
        <v>0</v>
      </c>
      <c r="AF5817">
        <v>0</v>
      </c>
      <c r="AG5817">
        <v>0</v>
      </c>
      <c r="AH5817">
        <v>0</v>
      </c>
      <c r="AI5817">
        <v>0</v>
      </c>
      <c r="AJ5817">
        <v>3</v>
      </c>
      <c r="AK5817">
        <v>0</v>
      </c>
      <c r="AL5817">
        <v>0</v>
      </c>
      <c r="AM5817">
        <v>0</v>
      </c>
      <c r="AN5817">
        <v>0</v>
      </c>
      <c r="AO5817">
        <v>0</v>
      </c>
      <c r="AP5817">
        <v>0</v>
      </c>
      <c r="AQ5817">
        <v>0</v>
      </c>
      <c r="AS5817">
        <v>0</v>
      </c>
      <c r="AT5817">
        <v>0</v>
      </c>
      <c r="AV5817">
        <v>0</v>
      </c>
      <c r="AW5817">
        <v>0</v>
      </c>
      <c r="AY5817">
        <v>0</v>
      </c>
      <c r="AZ5817">
        <v>0</v>
      </c>
      <c r="BA5817">
        <v>0</v>
      </c>
      <c r="BE5817" t="str">
        <f>T("9791137014381")</f>
        <v>9791137014381</v>
      </c>
      <c r="BF5817" t="str">
        <f>T("N218765")</f>
        <v>N218765</v>
      </c>
      <c r="BG5817" t="str">
        <f>T("판타지 웹소설 &gt; 퓨전 판타지")</f>
        <v>판타지 웹소설 &gt; 퓨전 판타지</v>
      </c>
    </row>
    <row r="5818" spans="1:59">
      <c r="A5818" t="s">
        <v>60</v>
      </c>
      <c r="B5818" s="1">
        <v>46131</v>
      </c>
      <c r="C5818">
        <v>2378044065</v>
      </c>
      <c r="D5818">
        <v>2378044082</v>
      </c>
      <c r="E5818" t="str">
        <f>T("저승의 왕위를 계승했다 18화")</f>
        <v>저승의 왕위를 계승했다 18화</v>
      </c>
      <c r="F5818">
        <v>18</v>
      </c>
      <c r="G5818" t="str">
        <f>T("신타비")</f>
        <v>신타비</v>
      </c>
      <c r="J5818" t="str">
        <f>T("매드햇")</f>
        <v>매드햇</v>
      </c>
      <c r="K5818" t="str">
        <f>T("저승의 왕위를 계승했다")</f>
        <v>저승의 왕위를 계승했다</v>
      </c>
      <c r="L5818">
        <v>0</v>
      </c>
      <c r="M5818">
        <v>0</v>
      </c>
      <c r="N5818">
        <v>0</v>
      </c>
      <c r="O5818">
        <v>3</v>
      </c>
      <c r="P5818">
        <v>0</v>
      </c>
      <c r="Q5818">
        <v>0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0</v>
      </c>
      <c r="AE5818">
        <v>0</v>
      </c>
      <c r="AF5818">
        <v>0</v>
      </c>
      <c r="AG5818">
        <v>0</v>
      </c>
      <c r="AH5818">
        <v>0</v>
      </c>
      <c r="AI5818">
        <v>0</v>
      </c>
      <c r="AJ5818">
        <v>3</v>
      </c>
      <c r="AK5818">
        <v>0</v>
      </c>
      <c r="AL5818">
        <v>0</v>
      </c>
      <c r="AM5818">
        <v>0</v>
      </c>
      <c r="AN5818">
        <v>0</v>
      </c>
      <c r="AO5818">
        <v>0</v>
      </c>
      <c r="AP5818">
        <v>0</v>
      </c>
      <c r="AQ5818">
        <v>0</v>
      </c>
      <c r="AS5818">
        <v>0</v>
      </c>
      <c r="AT5818">
        <v>0</v>
      </c>
      <c r="AV5818">
        <v>0</v>
      </c>
      <c r="AW5818">
        <v>0</v>
      </c>
      <c r="AY5818">
        <v>0</v>
      </c>
      <c r="AZ5818">
        <v>0</v>
      </c>
      <c r="BA5818">
        <v>0</v>
      </c>
      <c r="BE5818" t="str">
        <f>T("9791137014381")</f>
        <v>9791137014381</v>
      </c>
      <c r="BF5818" t="str">
        <f>T("N218766")</f>
        <v>N218766</v>
      </c>
      <c r="BG5818" t="str">
        <f>T("판타지 웹소설 &gt; 퓨전 판타지")</f>
        <v>판타지 웹소설 &gt; 퓨전 판타지</v>
      </c>
    </row>
    <row r="5819" spans="1:59">
      <c r="A5819" t="s">
        <v>60</v>
      </c>
      <c r="B5819" s="1">
        <v>46131</v>
      </c>
      <c r="C5819">
        <v>2378044065</v>
      </c>
      <c r="D5819">
        <v>2378044083</v>
      </c>
      <c r="E5819" t="str">
        <f>T("저승의 왕위를 계승했다 19화")</f>
        <v>저승의 왕위를 계승했다 19화</v>
      </c>
      <c r="F5819">
        <v>19</v>
      </c>
      <c r="G5819" t="str">
        <f>T("신타비")</f>
        <v>신타비</v>
      </c>
      <c r="J5819" t="str">
        <f>T("매드햇")</f>
        <v>매드햇</v>
      </c>
      <c r="K5819" t="str">
        <f>T("저승의 왕위를 계승했다")</f>
        <v>저승의 왕위를 계승했다</v>
      </c>
      <c r="L5819">
        <v>0</v>
      </c>
      <c r="M5819">
        <v>0</v>
      </c>
      <c r="N5819">
        <v>0</v>
      </c>
      <c r="O5819">
        <v>3</v>
      </c>
      <c r="P5819">
        <v>0</v>
      </c>
      <c r="Q5819">
        <v>0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0</v>
      </c>
      <c r="AE5819">
        <v>0</v>
      </c>
      <c r="AF5819">
        <v>0</v>
      </c>
      <c r="AG5819">
        <v>0</v>
      </c>
      <c r="AH5819">
        <v>0</v>
      </c>
      <c r="AI5819">
        <v>0</v>
      </c>
      <c r="AJ5819">
        <v>3</v>
      </c>
      <c r="AK5819">
        <v>0</v>
      </c>
      <c r="AL5819">
        <v>0</v>
      </c>
      <c r="AM5819">
        <v>0</v>
      </c>
      <c r="AN5819">
        <v>0</v>
      </c>
      <c r="AO5819">
        <v>0</v>
      </c>
      <c r="AP5819">
        <v>0</v>
      </c>
      <c r="AQ5819">
        <v>0</v>
      </c>
      <c r="AS5819">
        <v>0</v>
      </c>
      <c r="AT5819">
        <v>0</v>
      </c>
      <c r="AV5819">
        <v>0</v>
      </c>
      <c r="AW5819">
        <v>0</v>
      </c>
      <c r="AY5819">
        <v>0</v>
      </c>
      <c r="AZ5819">
        <v>0</v>
      </c>
      <c r="BA5819">
        <v>0</v>
      </c>
      <c r="BE5819" t="str">
        <f>T("9791137014381")</f>
        <v>9791137014381</v>
      </c>
      <c r="BF5819" t="str">
        <f>T("N218767")</f>
        <v>N218767</v>
      </c>
      <c r="BG5819" t="str">
        <f>T("판타지 웹소설 &gt; 퓨전 판타지")</f>
        <v>판타지 웹소설 &gt; 퓨전 판타지</v>
      </c>
    </row>
    <row r="5820" spans="1:59">
      <c r="A5820" t="s">
        <v>60</v>
      </c>
      <c r="B5820" s="1">
        <v>46131</v>
      </c>
      <c r="C5820">
        <v>2378044065</v>
      </c>
      <c r="D5820">
        <v>2378044084</v>
      </c>
      <c r="E5820" t="str">
        <f>T("저승의 왕위를 계승했다 20화")</f>
        <v>저승의 왕위를 계승했다 20화</v>
      </c>
      <c r="F5820">
        <v>20</v>
      </c>
      <c r="G5820" t="str">
        <f>T("신타비")</f>
        <v>신타비</v>
      </c>
      <c r="J5820" t="str">
        <f>T("매드햇")</f>
        <v>매드햇</v>
      </c>
      <c r="K5820" t="str">
        <f>T("저승의 왕위를 계승했다")</f>
        <v>저승의 왕위를 계승했다</v>
      </c>
      <c r="L5820">
        <v>0</v>
      </c>
      <c r="M5820">
        <v>0</v>
      </c>
      <c r="N5820">
        <v>0</v>
      </c>
      <c r="O5820">
        <v>4</v>
      </c>
      <c r="P5820">
        <v>0</v>
      </c>
      <c r="Q5820">
        <v>0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0</v>
      </c>
      <c r="AE5820">
        <v>0</v>
      </c>
      <c r="AF5820">
        <v>0</v>
      </c>
      <c r="AG5820">
        <v>0</v>
      </c>
      <c r="AH5820">
        <v>0</v>
      </c>
      <c r="AI5820">
        <v>0</v>
      </c>
      <c r="AJ5820">
        <v>4</v>
      </c>
      <c r="AK5820">
        <v>0</v>
      </c>
      <c r="AL5820">
        <v>0</v>
      </c>
      <c r="AM5820">
        <v>0</v>
      </c>
      <c r="AN5820">
        <v>0</v>
      </c>
      <c r="AO5820">
        <v>0</v>
      </c>
      <c r="AP5820">
        <v>0</v>
      </c>
      <c r="AQ5820">
        <v>0</v>
      </c>
      <c r="AS5820">
        <v>0</v>
      </c>
      <c r="AT5820">
        <v>0</v>
      </c>
      <c r="AV5820">
        <v>0</v>
      </c>
      <c r="AW5820">
        <v>0</v>
      </c>
      <c r="AY5820">
        <v>0</v>
      </c>
      <c r="AZ5820">
        <v>0</v>
      </c>
      <c r="BA5820">
        <v>0</v>
      </c>
      <c r="BE5820" t="str">
        <f>T("9791137014381")</f>
        <v>9791137014381</v>
      </c>
      <c r="BF5820" t="str">
        <f>T("N218768")</f>
        <v>N218768</v>
      </c>
      <c r="BG5820" t="str">
        <f>T("판타지 웹소설 &gt; 퓨전 판타지")</f>
        <v>판타지 웹소설 &gt; 퓨전 판타지</v>
      </c>
    </row>
    <row r="5821" spans="1:59">
      <c r="A5821" t="s">
        <v>60</v>
      </c>
      <c r="B5821" s="1">
        <v>46131</v>
      </c>
      <c r="C5821">
        <v>2378044065</v>
      </c>
      <c r="D5821">
        <v>2378044085</v>
      </c>
      <c r="E5821" t="str">
        <f>T("저승의 왕위를 계승했다 21화")</f>
        <v>저승의 왕위를 계승했다 21화</v>
      </c>
      <c r="F5821">
        <v>21</v>
      </c>
      <c r="G5821" t="str">
        <f>T("신타비")</f>
        <v>신타비</v>
      </c>
      <c r="J5821" t="str">
        <f>T("매드햇")</f>
        <v>매드햇</v>
      </c>
      <c r="K5821" t="str">
        <f>T("저승의 왕위를 계승했다")</f>
        <v>저승의 왕위를 계승했다</v>
      </c>
      <c r="L5821">
        <v>0</v>
      </c>
      <c r="M5821">
        <v>0</v>
      </c>
      <c r="N5821">
        <v>0</v>
      </c>
      <c r="O5821">
        <v>4</v>
      </c>
      <c r="P5821">
        <v>0</v>
      </c>
      <c r="Q5821">
        <v>0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0</v>
      </c>
      <c r="AE5821">
        <v>0</v>
      </c>
      <c r="AF5821">
        <v>0</v>
      </c>
      <c r="AG5821">
        <v>0</v>
      </c>
      <c r="AH5821">
        <v>0</v>
      </c>
      <c r="AI5821">
        <v>0</v>
      </c>
      <c r="AJ5821">
        <v>4</v>
      </c>
      <c r="AK5821">
        <v>0</v>
      </c>
      <c r="AL5821">
        <v>0</v>
      </c>
      <c r="AM5821">
        <v>0</v>
      </c>
      <c r="AN5821">
        <v>0</v>
      </c>
      <c r="AO5821">
        <v>0</v>
      </c>
      <c r="AP5821">
        <v>0</v>
      </c>
      <c r="AQ5821">
        <v>0</v>
      </c>
      <c r="AS5821">
        <v>0</v>
      </c>
      <c r="AT5821">
        <v>0</v>
      </c>
      <c r="AV5821">
        <v>0</v>
      </c>
      <c r="AW5821">
        <v>0</v>
      </c>
      <c r="AY5821">
        <v>0</v>
      </c>
      <c r="AZ5821">
        <v>0</v>
      </c>
      <c r="BA5821">
        <v>0</v>
      </c>
      <c r="BE5821" t="str">
        <f>T("9791137014381")</f>
        <v>9791137014381</v>
      </c>
      <c r="BF5821" t="str">
        <f>T("N218769")</f>
        <v>N218769</v>
      </c>
      <c r="BG5821" t="str">
        <f>T("판타지 웹소설 &gt; 퓨전 판타지")</f>
        <v>판타지 웹소설 &gt; 퓨전 판타지</v>
      </c>
    </row>
    <row r="5822" spans="1:59">
      <c r="A5822" t="s">
        <v>60</v>
      </c>
      <c r="B5822" s="1">
        <v>46131</v>
      </c>
      <c r="C5822">
        <v>2378044065</v>
      </c>
      <c r="D5822">
        <v>2378075076</v>
      </c>
      <c r="E5822" t="str">
        <f>T("저승의 왕위를 계승했다 캐릭터 프로필")</f>
        <v>저승의 왕위를 계승했다 캐릭터 프로필</v>
      </c>
      <c r="F5822">
        <v>608</v>
      </c>
      <c r="G5822" t="str">
        <f>T("신타비")</f>
        <v>신타비</v>
      </c>
      <c r="J5822" t="str">
        <f>T("매드햇")</f>
        <v>매드햇</v>
      </c>
      <c r="K5822" t="str">
        <f>T("저승의 왕위를 계승했다")</f>
        <v>저승의 왕위를 계승했다</v>
      </c>
      <c r="L5822">
        <v>0</v>
      </c>
      <c r="M5822">
        <v>0</v>
      </c>
      <c r="N5822">
        <v>0</v>
      </c>
      <c r="O5822">
        <v>1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0</v>
      </c>
      <c r="AE5822">
        <v>0</v>
      </c>
      <c r="AF5822">
        <v>0</v>
      </c>
      <c r="AG5822">
        <v>0</v>
      </c>
      <c r="AH5822">
        <v>0</v>
      </c>
      <c r="AI5822">
        <v>0</v>
      </c>
      <c r="AJ5822">
        <v>1</v>
      </c>
      <c r="AK5822">
        <v>0</v>
      </c>
      <c r="AL5822">
        <v>0</v>
      </c>
      <c r="AM5822">
        <v>0</v>
      </c>
      <c r="AN5822">
        <v>0</v>
      </c>
      <c r="AO5822">
        <v>0</v>
      </c>
      <c r="AP5822">
        <v>0</v>
      </c>
      <c r="AQ5822">
        <v>0</v>
      </c>
      <c r="AS5822">
        <v>0</v>
      </c>
      <c r="AT5822">
        <v>0</v>
      </c>
      <c r="AV5822">
        <v>0</v>
      </c>
      <c r="AW5822">
        <v>0</v>
      </c>
      <c r="AY5822">
        <v>0</v>
      </c>
      <c r="AZ5822">
        <v>0</v>
      </c>
      <c r="BA5822">
        <v>0</v>
      </c>
      <c r="BE5822" t="str">
        <f>T("9791137014381")</f>
        <v>9791137014381</v>
      </c>
      <c r="BG5822" t="str">
        <f>T("판타지 웹소설 &gt; 퓨전 판타지")</f>
        <v>판타지 웹소설 &gt; 퓨전 판타지</v>
      </c>
    </row>
    <row r="5823" spans="1:59">
      <c r="A5823" t="s">
        <v>60</v>
      </c>
      <c r="B5823" s="1">
        <v>46131</v>
      </c>
      <c r="C5823">
        <v>2378044065</v>
      </c>
      <c r="D5823">
        <v>2378070122</v>
      </c>
      <c r="E5823" t="str">
        <f>T("저승의 왕위를 계승했다 513화")</f>
        <v>저승의 왕위를 계승했다 513화</v>
      </c>
      <c r="F5823">
        <v>514</v>
      </c>
      <c r="G5823" t="str">
        <f>T("신타비")</f>
        <v>신타비</v>
      </c>
      <c r="J5823" t="str">
        <f>T("매드햇")</f>
        <v>매드햇</v>
      </c>
      <c r="K5823" t="str">
        <f>T("저승의 왕위를 계승했다")</f>
        <v>저승의 왕위를 계승했다</v>
      </c>
      <c r="L5823">
        <v>100</v>
      </c>
      <c r="M5823">
        <v>100</v>
      </c>
      <c r="N5823">
        <v>1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0</v>
      </c>
      <c r="AE5823">
        <v>0</v>
      </c>
      <c r="AF5823">
        <v>0</v>
      </c>
      <c r="AG5823">
        <v>0</v>
      </c>
      <c r="AH5823">
        <v>0</v>
      </c>
      <c r="AI5823">
        <v>100</v>
      </c>
      <c r="AJ5823">
        <v>1</v>
      </c>
      <c r="AK5823">
        <v>0</v>
      </c>
      <c r="AL5823">
        <v>0</v>
      </c>
      <c r="AM5823">
        <v>100</v>
      </c>
      <c r="AN5823">
        <v>0</v>
      </c>
      <c r="AO5823">
        <v>0</v>
      </c>
      <c r="AP5823">
        <v>0</v>
      </c>
      <c r="AQ5823">
        <v>0</v>
      </c>
      <c r="AS5823">
        <v>0</v>
      </c>
      <c r="AT5823">
        <v>0</v>
      </c>
      <c r="AV5823">
        <v>0</v>
      </c>
      <c r="AW5823">
        <v>0</v>
      </c>
      <c r="AY5823">
        <v>0</v>
      </c>
      <c r="AZ5823">
        <v>0</v>
      </c>
      <c r="BA5823">
        <v>70</v>
      </c>
      <c r="BE5823" t="str">
        <f>T("9791137014381")</f>
        <v>9791137014381</v>
      </c>
      <c r="BF5823" t="str">
        <f>T("k418904")</f>
        <v>k418904</v>
      </c>
      <c r="BG5823" t="str">
        <f>T("판타지 웹소설 &gt; 퓨전 판타지")</f>
        <v>판타지 웹소설 &gt; 퓨전 판타지</v>
      </c>
    </row>
    <row r="5824" spans="1:59">
      <c r="A5824" t="s">
        <v>60</v>
      </c>
      <c r="B5824" s="1">
        <v>46131</v>
      </c>
      <c r="C5824">
        <v>2378044065</v>
      </c>
      <c r="D5824">
        <v>2378070123</v>
      </c>
      <c r="E5824" t="str">
        <f>T("저승의 왕위를 계승했다 514화")</f>
        <v>저승의 왕위를 계승했다 514화</v>
      </c>
      <c r="F5824">
        <v>515</v>
      </c>
      <c r="G5824" t="str">
        <f>T("신타비")</f>
        <v>신타비</v>
      </c>
      <c r="J5824" t="str">
        <f>T("매드햇")</f>
        <v>매드햇</v>
      </c>
      <c r="K5824" t="str">
        <f>T("저승의 왕위를 계승했다")</f>
        <v>저승의 왕위를 계승했다</v>
      </c>
      <c r="L5824">
        <v>100</v>
      </c>
      <c r="M5824">
        <v>100</v>
      </c>
      <c r="N5824">
        <v>1</v>
      </c>
      <c r="O5824">
        <v>0</v>
      </c>
      <c r="P5824">
        <v>0</v>
      </c>
      <c r="Q5824">
        <v>0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0</v>
      </c>
      <c r="AE5824">
        <v>0</v>
      </c>
      <c r="AF5824">
        <v>0</v>
      </c>
      <c r="AG5824">
        <v>0</v>
      </c>
      <c r="AH5824">
        <v>0</v>
      </c>
      <c r="AI5824">
        <v>100</v>
      </c>
      <c r="AJ5824">
        <v>1</v>
      </c>
      <c r="AK5824">
        <v>0</v>
      </c>
      <c r="AL5824">
        <v>0</v>
      </c>
      <c r="AM5824">
        <v>100</v>
      </c>
      <c r="AN5824">
        <v>0</v>
      </c>
      <c r="AO5824">
        <v>0</v>
      </c>
      <c r="AP5824">
        <v>0</v>
      </c>
      <c r="AQ5824">
        <v>0</v>
      </c>
      <c r="AS5824">
        <v>0</v>
      </c>
      <c r="AT5824">
        <v>0</v>
      </c>
      <c r="AV5824">
        <v>0</v>
      </c>
      <c r="AW5824">
        <v>0</v>
      </c>
      <c r="AY5824">
        <v>0</v>
      </c>
      <c r="AZ5824">
        <v>0</v>
      </c>
      <c r="BA5824">
        <v>70</v>
      </c>
      <c r="BE5824" t="str">
        <f>T("9791137014381")</f>
        <v>9791137014381</v>
      </c>
      <c r="BF5824" t="str">
        <f>T("k418905")</f>
        <v>k418905</v>
      </c>
      <c r="BG5824" t="str">
        <f>T("판타지 웹소설 &gt; 퓨전 판타지")</f>
        <v>판타지 웹소설 &gt; 퓨전 판타지</v>
      </c>
    </row>
    <row r="5825" spans="1:59">
      <c r="A5825" t="s">
        <v>60</v>
      </c>
      <c r="B5825" s="1">
        <v>46131</v>
      </c>
      <c r="C5825">
        <v>2378044065</v>
      </c>
      <c r="D5825">
        <v>2378070131</v>
      </c>
      <c r="E5825" t="str">
        <f>T("저승의 왕위를 계승했다 515화")</f>
        <v>저승의 왕위를 계승했다 515화</v>
      </c>
      <c r="F5825">
        <v>516</v>
      </c>
      <c r="G5825" t="str">
        <f>T("신타비")</f>
        <v>신타비</v>
      </c>
      <c r="J5825" t="str">
        <f>T("매드햇")</f>
        <v>매드햇</v>
      </c>
      <c r="K5825" t="str">
        <f>T("저승의 왕위를 계승했다")</f>
        <v>저승의 왕위를 계승했다</v>
      </c>
      <c r="L5825">
        <v>100</v>
      </c>
      <c r="M5825">
        <v>100</v>
      </c>
      <c r="N5825">
        <v>1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0</v>
      </c>
      <c r="AE5825">
        <v>0</v>
      </c>
      <c r="AF5825">
        <v>0</v>
      </c>
      <c r="AG5825">
        <v>0</v>
      </c>
      <c r="AH5825">
        <v>0</v>
      </c>
      <c r="AI5825">
        <v>100</v>
      </c>
      <c r="AJ5825">
        <v>1</v>
      </c>
      <c r="AK5825">
        <v>0</v>
      </c>
      <c r="AL5825">
        <v>0</v>
      </c>
      <c r="AM5825">
        <v>100</v>
      </c>
      <c r="AN5825">
        <v>0</v>
      </c>
      <c r="AO5825">
        <v>0</v>
      </c>
      <c r="AP5825">
        <v>0</v>
      </c>
      <c r="AQ5825">
        <v>0</v>
      </c>
      <c r="AS5825">
        <v>0</v>
      </c>
      <c r="AT5825">
        <v>0</v>
      </c>
      <c r="AV5825">
        <v>0</v>
      </c>
      <c r="AW5825">
        <v>0</v>
      </c>
      <c r="AY5825">
        <v>0</v>
      </c>
      <c r="AZ5825">
        <v>0</v>
      </c>
      <c r="BA5825">
        <v>70</v>
      </c>
      <c r="BE5825" t="str">
        <f>T("9791137014381")</f>
        <v>9791137014381</v>
      </c>
      <c r="BF5825" t="str">
        <f>T("k418906")</f>
        <v>k418906</v>
      </c>
      <c r="BG5825" t="str">
        <f>T("판타지 웹소설 &gt; 퓨전 판타지")</f>
        <v>판타지 웹소설 &gt; 퓨전 판타지</v>
      </c>
    </row>
    <row r="5826" spans="1:59">
      <c r="A5826" t="s">
        <v>60</v>
      </c>
      <c r="B5826" s="1">
        <v>46131</v>
      </c>
      <c r="C5826">
        <v>2378044065</v>
      </c>
      <c r="D5826">
        <v>2378077962</v>
      </c>
      <c r="E5826" t="str">
        <f>T("저승의 왕위를 계승했다 691화")</f>
        <v>저승의 왕위를 계승했다 691화</v>
      </c>
      <c r="F5826">
        <v>693</v>
      </c>
      <c r="G5826" t="str">
        <f>T("신타비")</f>
        <v>신타비</v>
      </c>
      <c r="J5826" t="str">
        <f>T("매드햇")</f>
        <v>매드햇</v>
      </c>
      <c r="K5826" t="str">
        <f>T("저승의 왕위를 계승했다")</f>
        <v>저승의 왕위를 계승했다</v>
      </c>
      <c r="L5826">
        <v>100</v>
      </c>
      <c r="M5826">
        <v>170</v>
      </c>
      <c r="N5826">
        <v>2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0</v>
      </c>
      <c r="AE5826">
        <v>0</v>
      </c>
      <c r="AF5826">
        <v>0</v>
      </c>
      <c r="AG5826">
        <v>0</v>
      </c>
      <c r="AH5826">
        <v>0</v>
      </c>
      <c r="AI5826">
        <v>170</v>
      </c>
      <c r="AJ5826">
        <v>2</v>
      </c>
      <c r="AK5826">
        <v>0</v>
      </c>
      <c r="AL5826">
        <v>0</v>
      </c>
      <c r="AM5826">
        <v>170</v>
      </c>
      <c r="AN5826">
        <v>0</v>
      </c>
      <c r="AO5826">
        <v>0</v>
      </c>
      <c r="AP5826">
        <v>0</v>
      </c>
      <c r="AQ5826">
        <v>0</v>
      </c>
      <c r="AS5826">
        <v>0</v>
      </c>
      <c r="AT5826">
        <v>0</v>
      </c>
      <c r="AV5826">
        <v>0</v>
      </c>
      <c r="AW5826">
        <v>0</v>
      </c>
      <c r="AY5826">
        <v>0</v>
      </c>
      <c r="AZ5826">
        <v>0</v>
      </c>
      <c r="BA5826">
        <v>119</v>
      </c>
      <c r="BE5826" t="str">
        <f>T("9791137014381")</f>
        <v>9791137014381</v>
      </c>
      <c r="BF5826" t="str">
        <f>T("D126941")</f>
        <v>D126941</v>
      </c>
      <c r="BG5826" t="str">
        <f>T("판타지 웹소설 &gt; 퓨전 판타지")</f>
        <v>판타지 웹소설 &gt; 퓨전 판타지</v>
      </c>
    </row>
    <row r="5827" spans="1:59">
      <c r="A5827" t="s">
        <v>60</v>
      </c>
      <c r="B5827" s="1">
        <v>46131</v>
      </c>
      <c r="C5827">
        <v>2378044065</v>
      </c>
      <c r="D5827">
        <v>2378071444</v>
      </c>
      <c r="E5827" t="str">
        <f>T("저승의 왕위를 계승했다 548화")</f>
        <v>저승의 왕위를 계승했다 548화</v>
      </c>
      <c r="F5827">
        <v>549</v>
      </c>
      <c r="G5827" t="str">
        <f>T("신타비")</f>
        <v>신타비</v>
      </c>
      <c r="J5827" t="str">
        <f>T("매드햇")</f>
        <v>매드햇</v>
      </c>
      <c r="K5827" t="str">
        <f>T("저승의 왕위를 계승했다")</f>
        <v>저승의 왕위를 계승했다</v>
      </c>
      <c r="L5827">
        <v>100</v>
      </c>
      <c r="M5827">
        <v>100</v>
      </c>
      <c r="N5827">
        <v>1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0</v>
      </c>
      <c r="AE5827">
        <v>0</v>
      </c>
      <c r="AF5827">
        <v>0</v>
      </c>
      <c r="AG5827">
        <v>0</v>
      </c>
      <c r="AH5827">
        <v>0</v>
      </c>
      <c r="AI5827">
        <v>100</v>
      </c>
      <c r="AJ5827">
        <v>1</v>
      </c>
      <c r="AK5827">
        <v>0</v>
      </c>
      <c r="AL5827">
        <v>0</v>
      </c>
      <c r="AM5827">
        <v>100</v>
      </c>
      <c r="AN5827">
        <v>0</v>
      </c>
      <c r="AO5827">
        <v>0</v>
      </c>
      <c r="AP5827">
        <v>0</v>
      </c>
      <c r="AQ5827">
        <v>0</v>
      </c>
      <c r="AS5827">
        <v>0</v>
      </c>
      <c r="AT5827">
        <v>0</v>
      </c>
      <c r="AV5827">
        <v>0</v>
      </c>
      <c r="AW5827">
        <v>0</v>
      </c>
      <c r="AY5827">
        <v>0</v>
      </c>
      <c r="AZ5827">
        <v>0</v>
      </c>
      <c r="BA5827">
        <v>70</v>
      </c>
      <c r="BE5827" t="str">
        <f>T("9791137014381")</f>
        <v>9791137014381</v>
      </c>
      <c r="BF5827" t="str">
        <f>T("k447778")</f>
        <v>k447778</v>
      </c>
      <c r="BG5827" t="str">
        <f>T("판타지 웹소설 &gt; 퓨전 판타지")</f>
        <v>판타지 웹소설 &gt; 퓨전 판타지</v>
      </c>
    </row>
    <row r="5828" spans="1:59">
      <c r="A5828" t="s">
        <v>60</v>
      </c>
      <c r="B5828" s="1">
        <v>46131</v>
      </c>
      <c r="C5828">
        <v>2378044065</v>
      </c>
      <c r="D5828">
        <v>2378081103</v>
      </c>
      <c r="E5828" t="str">
        <f>T("저승의 왕위를 계승했다 802화")</f>
        <v>저승의 왕위를 계승했다 802화</v>
      </c>
      <c r="F5828">
        <v>804</v>
      </c>
      <c r="G5828" t="str">
        <f>T("신타비")</f>
        <v>신타비</v>
      </c>
      <c r="J5828" t="str">
        <f>T("매드햇")</f>
        <v>매드햇</v>
      </c>
      <c r="K5828" t="str">
        <f>T("저승의 왕위를 계승했다")</f>
        <v>저승의 왕위를 계승했다</v>
      </c>
      <c r="L5828">
        <v>100</v>
      </c>
      <c r="M5828">
        <v>272</v>
      </c>
      <c r="N5828">
        <v>3</v>
      </c>
      <c r="O5828">
        <v>0</v>
      </c>
      <c r="P5828">
        <v>0</v>
      </c>
      <c r="Q5828">
        <v>0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0</v>
      </c>
      <c r="AE5828">
        <v>0</v>
      </c>
      <c r="AF5828">
        <v>0</v>
      </c>
      <c r="AG5828">
        <v>0</v>
      </c>
      <c r="AH5828">
        <v>0</v>
      </c>
      <c r="AI5828">
        <v>272</v>
      </c>
      <c r="AJ5828">
        <v>3</v>
      </c>
      <c r="AK5828">
        <v>0</v>
      </c>
      <c r="AL5828">
        <v>0</v>
      </c>
      <c r="AM5828">
        <v>272</v>
      </c>
      <c r="AN5828">
        <v>0</v>
      </c>
      <c r="AO5828">
        <v>0</v>
      </c>
      <c r="AP5828">
        <v>0</v>
      </c>
      <c r="AQ5828">
        <v>0</v>
      </c>
      <c r="AS5828">
        <v>0</v>
      </c>
      <c r="AT5828">
        <v>0</v>
      </c>
      <c r="AV5828">
        <v>0</v>
      </c>
      <c r="AW5828">
        <v>0</v>
      </c>
      <c r="AY5828">
        <v>0</v>
      </c>
      <c r="AZ5828">
        <v>0</v>
      </c>
      <c r="BA5828">
        <v>190.4</v>
      </c>
      <c r="BE5828" t="str">
        <f>T("9791137014381")</f>
        <v>9791137014381</v>
      </c>
      <c r="BF5828" t="str">
        <f>T("D227239")</f>
        <v>D227239</v>
      </c>
      <c r="BG5828" t="str">
        <f>T("판타지 웹소설 &gt; 퓨전 판타지")</f>
        <v>판타지 웹소설 &gt; 퓨전 판타지</v>
      </c>
    </row>
    <row r="5829" spans="1:59">
      <c r="A5829" t="s">
        <v>60</v>
      </c>
      <c r="B5829" s="1">
        <v>46131</v>
      </c>
      <c r="C5829">
        <v>2378044065</v>
      </c>
      <c r="D5829">
        <v>2378081104</v>
      </c>
      <c r="E5829" t="str">
        <f>T("저승의 왕위를 계승했다 803화")</f>
        <v>저승의 왕위를 계승했다 803화</v>
      </c>
      <c r="F5829">
        <v>805</v>
      </c>
      <c r="G5829" t="str">
        <f>T("신타비")</f>
        <v>신타비</v>
      </c>
      <c r="J5829" t="str">
        <f>T("매드햇")</f>
        <v>매드햇</v>
      </c>
      <c r="K5829" t="str">
        <f>T("저승의 왕위를 계승했다")</f>
        <v>저승의 왕위를 계승했다</v>
      </c>
      <c r="L5829">
        <v>100</v>
      </c>
      <c r="M5829">
        <v>272</v>
      </c>
      <c r="N5829">
        <v>3</v>
      </c>
      <c r="O5829">
        <v>0</v>
      </c>
      <c r="P5829">
        <v>0</v>
      </c>
      <c r="Q5829">
        <v>0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0</v>
      </c>
      <c r="AE5829">
        <v>0</v>
      </c>
      <c r="AF5829">
        <v>0</v>
      </c>
      <c r="AG5829">
        <v>0</v>
      </c>
      <c r="AH5829">
        <v>0</v>
      </c>
      <c r="AI5829">
        <v>272</v>
      </c>
      <c r="AJ5829">
        <v>3</v>
      </c>
      <c r="AK5829">
        <v>0</v>
      </c>
      <c r="AL5829">
        <v>0</v>
      </c>
      <c r="AM5829">
        <v>272</v>
      </c>
      <c r="AN5829">
        <v>0</v>
      </c>
      <c r="AO5829">
        <v>0</v>
      </c>
      <c r="AP5829">
        <v>0</v>
      </c>
      <c r="AQ5829">
        <v>0</v>
      </c>
      <c r="AS5829">
        <v>0</v>
      </c>
      <c r="AT5829">
        <v>0</v>
      </c>
      <c r="AV5829">
        <v>0</v>
      </c>
      <c r="AW5829">
        <v>0</v>
      </c>
      <c r="AY5829">
        <v>0</v>
      </c>
      <c r="AZ5829">
        <v>0</v>
      </c>
      <c r="BA5829">
        <v>190.4</v>
      </c>
      <c r="BE5829" t="str">
        <f>T("9791137014381")</f>
        <v>9791137014381</v>
      </c>
      <c r="BF5829" t="str">
        <f>T("D227240")</f>
        <v>D227240</v>
      </c>
      <c r="BG5829" t="str">
        <f>T("판타지 웹소설 &gt; 퓨전 판타지")</f>
        <v>판타지 웹소설 &gt; 퓨전 판타지</v>
      </c>
    </row>
    <row r="5830" spans="1:59">
      <c r="A5830" t="s">
        <v>60</v>
      </c>
      <c r="B5830" s="1">
        <v>46131</v>
      </c>
      <c r="C5830">
        <v>2378044065</v>
      </c>
      <c r="D5830">
        <v>2378081105</v>
      </c>
      <c r="E5830" t="str">
        <f>T("저승의 왕위를 계승했다 804화")</f>
        <v>저승의 왕위를 계승했다 804화</v>
      </c>
      <c r="F5830">
        <v>806</v>
      </c>
      <c r="G5830" t="str">
        <f>T("신타비")</f>
        <v>신타비</v>
      </c>
      <c r="J5830" t="str">
        <f>T("매드햇")</f>
        <v>매드햇</v>
      </c>
      <c r="K5830" t="str">
        <f>T("저승의 왕위를 계승했다")</f>
        <v>저승의 왕위를 계승했다</v>
      </c>
      <c r="L5830">
        <v>100</v>
      </c>
      <c r="M5830">
        <v>272</v>
      </c>
      <c r="N5830">
        <v>3</v>
      </c>
      <c r="O5830">
        <v>0</v>
      </c>
      <c r="P5830">
        <v>0</v>
      </c>
      <c r="Q5830">
        <v>0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0</v>
      </c>
      <c r="AE5830">
        <v>0</v>
      </c>
      <c r="AF5830">
        <v>0</v>
      </c>
      <c r="AG5830">
        <v>0</v>
      </c>
      <c r="AH5830">
        <v>0</v>
      </c>
      <c r="AI5830">
        <v>272</v>
      </c>
      <c r="AJ5830">
        <v>3</v>
      </c>
      <c r="AK5830">
        <v>0</v>
      </c>
      <c r="AL5830">
        <v>0</v>
      </c>
      <c r="AM5830">
        <v>272</v>
      </c>
      <c r="AN5830">
        <v>0</v>
      </c>
      <c r="AO5830">
        <v>0</v>
      </c>
      <c r="AP5830">
        <v>0</v>
      </c>
      <c r="AQ5830">
        <v>0</v>
      </c>
      <c r="AS5830">
        <v>0</v>
      </c>
      <c r="AT5830">
        <v>0</v>
      </c>
      <c r="AV5830">
        <v>0</v>
      </c>
      <c r="AW5830">
        <v>0</v>
      </c>
      <c r="AY5830">
        <v>0</v>
      </c>
      <c r="AZ5830">
        <v>0</v>
      </c>
      <c r="BA5830">
        <v>190.4</v>
      </c>
      <c r="BE5830" t="str">
        <f>T("9791137014381")</f>
        <v>9791137014381</v>
      </c>
      <c r="BF5830" t="str">
        <f>T("D227241")</f>
        <v>D227241</v>
      </c>
      <c r="BG5830" t="str">
        <f>T("판타지 웹소설 &gt; 퓨전 판타지")</f>
        <v>판타지 웹소설 &gt; 퓨전 판타지</v>
      </c>
    </row>
    <row r="5831" spans="1:59">
      <c r="A5831" t="s">
        <v>60</v>
      </c>
      <c r="B5831" s="1">
        <v>46131</v>
      </c>
      <c r="C5831">
        <v>2378044065</v>
      </c>
      <c r="D5831">
        <v>2378081201</v>
      </c>
      <c r="E5831" t="str">
        <f>T("저승의 왕위를 계승했다 805화")</f>
        <v>저승의 왕위를 계승했다 805화</v>
      </c>
      <c r="F5831">
        <v>807</v>
      </c>
      <c r="G5831" t="str">
        <f>T("신타비")</f>
        <v>신타비</v>
      </c>
      <c r="J5831" t="str">
        <f>T("매드햇")</f>
        <v>매드햇</v>
      </c>
      <c r="K5831" t="str">
        <f>T("저승의 왕위를 계승했다")</f>
        <v>저승의 왕위를 계승했다</v>
      </c>
      <c r="L5831">
        <v>100</v>
      </c>
      <c r="M5831">
        <v>272</v>
      </c>
      <c r="N5831">
        <v>3</v>
      </c>
      <c r="O5831">
        <v>0</v>
      </c>
      <c r="P5831">
        <v>0</v>
      </c>
      <c r="Q5831">
        <v>0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0</v>
      </c>
      <c r="AE5831">
        <v>0</v>
      </c>
      <c r="AF5831">
        <v>0</v>
      </c>
      <c r="AG5831">
        <v>0</v>
      </c>
      <c r="AH5831">
        <v>0</v>
      </c>
      <c r="AI5831">
        <v>272</v>
      </c>
      <c r="AJ5831">
        <v>3</v>
      </c>
      <c r="AK5831">
        <v>0</v>
      </c>
      <c r="AL5831">
        <v>0</v>
      </c>
      <c r="AM5831">
        <v>272</v>
      </c>
      <c r="AN5831">
        <v>0</v>
      </c>
      <c r="AO5831">
        <v>0</v>
      </c>
      <c r="AP5831">
        <v>0</v>
      </c>
      <c r="AQ5831">
        <v>0</v>
      </c>
      <c r="AS5831">
        <v>0</v>
      </c>
      <c r="AT5831">
        <v>0</v>
      </c>
      <c r="AV5831">
        <v>0</v>
      </c>
      <c r="AW5831">
        <v>0</v>
      </c>
      <c r="AY5831">
        <v>0</v>
      </c>
      <c r="AZ5831">
        <v>0</v>
      </c>
      <c r="BA5831">
        <v>190.4</v>
      </c>
      <c r="BE5831" t="str">
        <f>T("9791137014381")</f>
        <v>9791137014381</v>
      </c>
      <c r="BF5831" t="str">
        <f>T("D227242")</f>
        <v>D227242</v>
      </c>
      <c r="BG5831" t="str">
        <f>T("판타지 웹소설 &gt; 퓨전 판타지")</f>
        <v>판타지 웹소설 &gt; 퓨전 판타지</v>
      </c>
    </row>
    <row r="5832" spans="1:59">
      <c r="A5832" t="s">
        <v>60</v>
      </c>
      <c r="B5832" s="1">
        <v>46131</v>
      </c>
      <c r="C5832">
        <v>2378044065</v>
      </c>
      <c r="D5832">
        <v>2378081202</v>
      </c>
      <c r="E5832" t="str">
        <f>T("저승의 왕위를 계승했다 806화")</f>
        <v>저승의 왕위를 계승했다 806화</v>
      </c>
      <c r="F5832">
        <v>808</v>
      </c>
      <c r="G5832" t="str">
        <f>T("신타비")</f>
        <v>신타비</v>
      </c>
      <c r="J5832" t="str">
        <f>T("매드햇")</f>
        <v>매드햇</v>
      </c>
      <c r="K5832" t="str">
        <f>T("저승의 왕위를 계승했다")</f>
        <v>저승의 왕위를 계승했다</v>
      </c>
      <c r="L5832">
        <v>100</v>
      </c>
      <c r="M5832">
        <v>272</v>
      </c>
      <c r="N5832">
        <v>3</v>
      </c>
      <c r="O5832">
        <v>0</v>
      </c>
      <c r="P5832">
        <v>0</v>
      </c>
      <c r="Q5832">
        <v>0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0</v>
      </c>
      <c r="AE5832">
        <v>0</v>
      </c>
      <c r="AF5832">
        <v>0</v>
      </c>
      <c r="AG5832">
        <v>0</v>
      </c>
      <c r="AH5832">
        <v>0</v>
      </c>
      <c r="AI5832">
        <v>272</v>
      </c>
      <c r="AJ5832">
        <v>3</v>
      </c>
      <c r="AK5832">
        <v>0</v>
      </c>
      <c r="AL5832">
        <v>0</v>
      </c>
      <c r="AM5832">
        <v>272</v>
      </c>
      <c r="AN5832">
        <v>0</v>
      </c>
      <c r="AO5832">
        <v>0</v>
      </c>
      <c r="AP5832">
        <v>0</v>
      </c>
      <c r="AQ5832">
        <v>0</v>
      </c>
      <c r="AS5832">
        <v>0</v>
      </c>
      <c r="AT5832">
        <v>0</v>
      </c>
      <c r="AV5832">
        <v>0</v>
      </c>
      <c r="AW5832">
        <v>0</v>
      </c>
      <c r="AY5832">
        <v>0</v>
      </c>
      <c r="AZ5832">
        <v>0</v>
      </c>
      <c r="BA5832">
        <v>190.4</v>
      </c>
      <c r="BE5832" t="str">
        <f>T("9791137014381")</f>
        <v>9791137014381</v>
      </c>
      <c r="BF5832" t="str">
        <f>T("D227243")</f>
        <v>D227243</v>
      </c>
      <c r="BG5832" t="str">
        <f>T("판타지 웹소설 &gt; 퓨전 판타지")</f>
        <v>판타지 웹소설 &gt; 퓨전 판타지</v>
      </c>
    </row>
    <row r="5833" spans="1:59">
      <c r="A5833" t="s">
        <v>60</v>
      </c>
      <c r="B5833" s="1">
        <v>46131</v>
      </c>
      <c r="C5833">
        <v>2378044065</v>
      </c>
      <c r="D5833">
        <v>2378061754</v>
      </c>
      <c r="E5833" t="str">
        <f>T("저승의 왕위를 계승했다 340화")</f>
        <v>저승의 왕위를 계승했다 340화</v>
      </c>
      <c r="F5833">
        <v>341</v>
      </c>
      <c r="G5833" t="str">
        <f>T("신타비")</f>
        <v>신타비</v>
      </c>
      <c r="J5833" t="str">
        <f>T("매드햇")</f>
        <v>매드햇</v>
      </c>
      <c r="K5833" t="str">
        <f>T("저승의 왕위를 계승했다")</f>
        <v>저승의 왕위를 계승했다</v>
      </c>
      <c r="L5833">
        <v>100</v>
      </c>
      <c r="M5833">
        <v>100</v>
      </c>
      <c r="N5833">
        <v>1</v>
      </c>
      <c r="O5833">
        <v>0</v>
      </c>
      <c r="P5833">
        <v>0</v>
      </c>
      <c r="Q5833">
        <v>0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0</v>
      </c>
      <c r="AE5833">
        <v>0</v>
      </c>
      <c r="AF5833">
        <v>0</v>
      </c>
      <c r="AG5833">
        <v>0</v>
      </c>
      <c r="AH5833">
        <v>0</v>
      </c>
      <c r="AI5833">
        <v>100</v>
      </c>
      <c r="AJ5833">
        <v>1</v>
      </c>
      <c r="AK5833">
        <v>0</v>
      </c>
      <c r="AL5833">
        <v>0</v>
      </c>
      <c r="AM5833">
        <v>100</v>
      </c>
      <c r="AN5833">
        <v>0</v>
      </c>
      <c r="AO5833">
        <v>0</v>
      </c>
      <c r="AP5833">
        <v>0</v>
      </c>
      <c r="AQ5833">
        <v>0</v>
      </c>
      <c r="AS5833">
        <v>0</v>
      </c>
      <c r="AT5833">
        <v>0</v>
      </c>
      <c r="AV5833">
        <v>0</v>
      </c>
      <c r="AW5833">
        <v>0</v>
      </c>
      <c r="AY5833">
        <v>0</v>
      </c>
      <c r="AZ5833">
        <v>0</v>
      </c>
      <c r="BA5833">
        <v>70</v>
      </c>
      <c r="BE5833" t="str">
        <f>T("9791137014381")</f>
        <v>9791137014381</v>
      </c>
      <c r="BF5833" t="str">
        <f>T("k217753")</f>
        <v>k217753</v>
      </c>
      <c r="BG5833" t="str">
        <f>T("판타지 웹소설 &gt; 퓨전 판타지")</f>
        <v>판타지 웹소설 &gt; 퓨전 판타지</v>
      </c>
    </row>
    <row r="5834" spans="1:59">
      <c r="A5834" t="s">
        <v>60</v>
      </c>
      <c r="B5834" s="1">
        <v>46131</v>
      </c>
      <c r="C5834">
        <v>2378044065</v>
      </c>
      <c r="D5834">
        <v>2378069458</v>
      </c>
      <c r="E5834" t="str">
        <f>T("저승의 왕위를 계승했다 503화")</f>
        <v>저승의 왕위를 계승했다 503화</v>
      </c>
      <c r="F5834">
        <v>504</v>
      </c>
      <c r="G5834" t="str">
        <f>T("신타비")</f>
        <v>신타비</v>
      </c>
      <c r="J5834" t="str">
        <f>T("매드햇")</f>
        <v>매드햇</v>
      </c>
      <c r="K5834" t="str">
        <f>T("저승의 왕위를 계승했다")</f>
        <v>저승의 왕위를 계승했다</v>
      </c>
      <c r="L5834">
        <v>100</v>
      </c>
      <c r="M5834">
        <v>100</v>
      </c>
      <c r="N5834">
        <v>1</v>
      </c>
      <c r="O5834">
        <v>0</v>
      </c>
      <c r="P5834">
        <v>0</v>
      </c>
      <c r="Q5834">
        <v>0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0</v>
      </c>
      <c r="AE5834">
        <v>0</v>
      </c>
      <c r="AF5834">
        <v>0</v>
      </c>
      <c r="AG5834">
        <v>0</v>
      </c>
      <c r="AH5834">
        <v>0</v>
      </c>
      <c r="AI5834">
        <v>100</v>
      </c>
      <c r="AJ5834">
        <v>1</v>
      </c>
      <c r="AK5834">
        <v>0</v>
      </c>
      <c r="AL5834">
        <v>0</v>
      </c>
      <c r="AM5834">
        <v>100</v>
      </c>
      <c r="AN5834">
        <v>0</v>
      </c>
      <c r="AO5834">
        <v>0</v>
      </c>
      <c r="AP5834">
        <v>0</v>
      </c>
      <c r="AQ5834">
        <v>0</v>
      </c>
      <c r="AS5834">
        <v>0</v>
      </c>
      <c r="AT5834">
        <v>0</v>
      </c>
      <c r="AV5834">
        <v>0</v>
      </c>
      <c r="AW5834">
        <v>0</v>
      </c>
      <c r="AY5834">
        <v>0</v>
      </c>
      <c r="AZ5834">
        <v>0</v>
      </c>
      <c r="BA5834">
        <v>70</v>
      </c>
      <c r="BE5834" t="str">
        <f>T("9791137014381")</f>
        <v>9791137014381</v>
      </c>
      <c r="BF5834" t="str">
        <f>T("k407467")</f>
        <v>k407467</v>
      </c>
      <c r="BG5834" t="str">
        <f>T("판타지 웹소설 &gt; 퓨전 판타지")</f>
        <v>판타지 웹소설 &gt; 퓨전 판타지</v>
      </c>
    </row>
    <row r="5835" spans="1:59">
      <c r="A5835" t="s">
        <v>60</v>
      </c>
      <c r="B5835" s="1">
        <v>46131</v>
      </c>
      <c r="C5835">
        <v>2378044065</v>
      </c>
      <c r="D5835">
        <v>2378044086</v>
      </c>
      <c r="E5835" t="str">
        <f>T("저승의 왕위를 계승했다 22화")</f>
        <v>저승의 왕위를 계승했다 22화</v>
      </c>
      <c r="F5835">
        <v>22</v>
      </c>
      <c r="G5835" t="str">
        <f>T("신타비")</f>
        <v>신타비</v>
      </c>
      <c r="J5835" t="str">
        <f>T("매드햇")</f>
        <v>매드햇</v>
      </c>
      <c r="K5835" t="str">
        <f>T("저승의 왕위를 계승했다")</f>
        <v>저승의 왕위를 계승했다</v>
      </c>
      <c r="L5835">
        <v>0</v>
      </c>
      <c r="M5835">
        <v>0</v>
      </c>
      <c r="N5835">
        <v>0</v>
      </c>
      <c r="O5835">
        <v>4</v>
      </c>
      <c r="P5835">
        <v>0</v>
      </c>
      <c r="Q5835">
        <v>0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0</v>
      </c>
      <c r="AE5835">
        <v>0</v>
      </c>
      <c r="AF5835">
        <v>0</v>
      </c>
      <c r="AG5835">
        <v>0</v>
      </c>
      <c r="AH5835">
        <v>0</v>
      </c>
      <c r="AI5835">
        <v>0</v>
      </c>
      <c r="AJ5835">
        <v>4</v>
      </c>
      <c r="AK5835">
        <v>0</v>
      </c>
      <c r="AL5835">
        <v>0</v>
      </c>
      <c r="AM5835">
        <v>0</v>
      </c>
      <c r="AN5835">
        <v>0</v>
      </c>
      <c r="AO5835">
        <v>0</v>
      </c>
      <c r="AP5835">
        <v>0</v>
      </c>
      <c r="AQ5835">
        <v>0</v>
      </c>
      <c r="AS5835">
        <v>0</v>
      </c>
      <c r="AT5835">
        <v>0</v>
      </c>
      <c r="AV5835">
        <v>0</v>
      </c>
      <c r="AW5835">
        <v>0</v>
      </c>
      <c r="AY5835">
        <v>0</v>
      </c>
      <c r="AZ5835">
        <v>0</v>
      </c>
      <c r="BA5835">
        <v>0</v>
      </c>
      <c r="BE5835" t="str">
        <f>T("9791137014381")</f>
        <v>9791137014381</v>
      </c>
      <c r="BF5835" t="str">
        <f>T("N218770")</f>
        <v>N218770</v>
      </c>
      <c r="BG5835" t="str">
        <f>T("판타지 웹소설 &gt; 퓨전 판타지")</f>
        <v>판타지 웹소설 &gt; 퓨전 판타지</v>
      </c>
    </row>
    <row r="5836" spans="1:59">
      <c r="A5836" t="s">
        <v>60</v>
      </c>
      <c r="B5836" s="1">
        <v>46131</v>
      </c>
      <c r="C5836">
        <v>2378044065</v>
      </c>
      <c r="D5836">
        <v>2378044087</v>
      </c>
      <c r="E5836" t="str">
        <f>T("저승의 왕위를 계승했다 23화")</f>
        <v>저승의 왕위를 계승했다 23화</v>
      </c>
      <c r="F5836">
        <v>23</v>
      </c>
      <c r="G5836" t="str">
        <f>T("신타비")</f>
        <v>신타비</v>
      </c>
      <c r="J5836" t="str">
        <f>T("매드햇")</f>
        <v>매드햇</v>
      </c>
      <c r="K5836" t="str">
        <f>T("저승의 왕위를 계승했다")</f>
        <v>저승의 왕위를 계승했다</v>
      </c>
      <c r="L5836">
        <v>0</v>
      </c>
      <c r="M5836">
        <v>0</v>
      </c>
      <c r="N5836">
        <v>0</v>
      </c>
      <c r="O5836">
        <v>3</v>
      </c>
      <c r="P5836">
        <v>0</v>
      </c>
      <c r="Q5836">
        <v>0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0</v>
      </c>
      <c r="AE5836">
        <v>0</v>
      </c>
      <c r="AF5836">
        <v>0</v>
      </c>
      <c r="AG5836">
        <v>0</v>
      </c>
      <c r="AH5836">
        <v>0</v>
      </c>
      <c r="AI5836">
        <v>0</v>
      </c>
      <c r="AJ5836">
        <v>3</v>
      </c>
      <c r="AK5836">
        <v>0</v>
      </c>
      <c r="AL5836">
        <v>0</v>
      </c>
      <c r="AM5836">
        <v>0</v>
      </c>
      <c r="AN5836">
        <v>0</v>
      </c>
      <c r="AO5836">
        <v>0</v>
      </c>
      <c r="AP5836">
        <v>0</v>
      </c>
      <c r="AQ5836">
        <v>0</v>
      </c>
      <c r="AS5836">
        <v>0</v>
      </c>
      <c r="AT5836">
        <v>0</v>
      </c>
      <c r="AV5836">
        <v>0</v>
      </c>
      <c r="AW5836">
        <v>0</v>
      </c>
      <c r="AY5836">
        <v>0</v>
      </c>
      <c r="AZ5836">
        <v>0</v>
      </c>
      <c r="BA5836">
        <v>0</v>
      </c>
      <c r="BE5836" t="str">
        <f>T("9791137014381")</f>
        <v>9791137014381</v>
      </c>
      <c r="BF5836" t="str">
        <f>T("N218771")</f>
        <v>N218771</v>
      </c>
      <c r="BG5836" t="str">
        <f>T("판타지 웹소설 &gt; 퓨전 판타지")</f>
        <v>판타지 웹소설 &gt; 퓨전 판타지</v>
      </c>
    </row>
    <row r="5837" spans="1:59">
      <c r="A5837" t="s">
        <v>60</v>
      </c>
      <c r="B5837" s="1">
        <v>46131</v>
      </c>
      <c r="C5837">
        <v>2378044065</v>
      </c>
      <c r="D5837">
        <v>2378044088</v>
      </c>
      <c r="E5837" t="str">
        <f>T("저승의 왕위를 계승했다 24화")</f>
        <v>저승의 왕위를 계승했다 24화</v>
      </c>
      <c r="F5837">
        <v>24</v>
      </c>
      <c r="G5837" t="str">
        <f>T("신타비")</f>
        <v>신타비</v>
      </c>
      <c r="J5837" t="str">
        <f>T("매드햇")</f>
        <v>매드햇</v>
      </c>
      <c r="K5837" t="str">
        <f>T("저승의 왕위를 계승했다")</f>
        <v>저승의 왕위를 계승했다</v>
      </c>
      <c r="L5837">
        <v>0</v>
      </c>
      <c r="M5837">
        <v>0</v>
      </c>
      <c r="N5837">
        <v>0</v>
      </c>
      <c r="O5837">
        <v>3</v>
      </c>
      <c r="P5837">
        <v>0</v>
      </c>
      <c r="Q5837">
        <v>0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0</v>
      </c>
      <c r="AE5837">
        <v>0</v>
      </c>
      <c r="AF5837">
        <v>0</v>
      </c>
      <c r="AG5837">
        <v>0</v>
      </c>
      <c r="AH5837">
        <v>0</v>
      </c>
      <c r="AI5837">
        <v>0</v>
      </c>
      <c r="AJ5837">
        <v>3</v>
      </c>
      <c r="AK5837">
        <v>0</v>
      </c>
      <c r="AL5837">
        <v>0</v>
      </c>
      <c r="AM5837">
        <v>0</v>
      </c>
      <c r="AN5837">
        <v>0</v>
      </c>
      <c r="AO5837">
        <v>0</v>
      </c>
      <c r="AP5837">
        <v>0</v>
      </c>
      <c r="AQ5837">
        <v>0</v>
      </c>
      <c r="AS5837">
        <v>0</v>
      </c>
      <c r="AT5837">
        <v>0</v>
      </c>
      <c r="AV5837">
        <v>0</v>
      </c>
      <c r="AW5837">
        <v>0</v>
      </c>
      <c r="AY5837">
        <v>0</v>
      </c>
      <c r="AZ5837">
        <v>0</v>
      </c>
      <c r="BA5837">
        <v>0</v>
      </c>
      <c r="BE5837" t="str">
        <f>T("9791137014381")</f>
        <v>9791137014381</v>
      </c>
      <c r="BF5837" t="str">
        <f>T("N218772")</f>
        <v>N218772</v>
      </c>
      <c r="BG5837" t="str">
        <f>T("판타지 웹소설 &gt; 퓨전 판타지")</f>
        <v>판타지 웹소설 &gt; 퓨전 판타지</v>
      </c>
    </row>
    <row r="5838" spans="1:59">
      <c r="A5838" t="s">
        <v>60</v>
      </c>
      <c r="B5838" s="1">
        <v>46131</v>
      </c>
      <c r="C5838">
        <v>2378044065</v>
      </c>
      <c r="D5838">
        <v>2378044105</v>
      </c>
      <c r="E5838" t="str">
        <f>T("저승의 왕위를 계승했다 41화")</f>
        <v>저승의 왕위를 계승했다 41화</v>
      </c>
      <c r="F5838">
        <v>41</v>
      </c>
      <c r="G5838" t="str">
        <f>T("신타비")</f>
        <v>신타비</v>
      </c>
      <c r="J5838" t="str">
        <f>T("매드햇")</f>
        <v>매드햇</v>
      </c>
      <c r="K5838" t="str">
        <f>T("저승의 왕위를 계승했다")</f>
        <v>저승의 왕위를 계승했다</v>
      </c>
      <c r="L5838">
        <v>100</v>
      </c>
      <c r="M5838">
        <v>100</v>
      </c>
      <c r="N5838">
        <v>1</v>
      </c>
      <c r="O5838">
        <v>0</v>
      </c>
      <c r="P5838">
        <v>0</v>
      </c>
      <c r="Q5838">
        <v>0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0</v>
      </c>
      <c r="AE5838">
        <v>0</v>
      </c>
      <c r="AF5838">
        <v>0</v>
      </c>
      <c r="AG5838">
        <v>0</v>
      </c>
      <c r="AH5838">
        <v>0</v>
      </c>
      <c r="AI5838">
        <v>100</v>
      </c>
      <c r="AJ5838">
        <v>1</v>
      </c>
      <c r="AK5838">
        <v>0</v>
      </c>
      <c r="AL5838">
        <v>0</v>
      </c>
      <c r="AM5838">
        <v>100</v>
      </c>
      <c r="AN5838">
        <v>0</v>
      </c>
      <c r="AO5838">
        <v>0</v>
      </c>
      <c r="AP5838">
        <v>0</v>
      </c>
      <c r="AQ5838">
        <v>0</v>
      </c>
      <c r="AS5838">
        <v>0</v>
      </c>
      <c r="AT5838">
        <v>0</v>
      </c>
      <c r="AV5838">
        <v>0</v>
      </c>
      <c r="AW5838">
        <v>0</v>
      </c>
      <c r="AY5838">
        <v>0</v>
      </c>
      <c r="AZ5838">
        <v>0</v>
      </c>
      <c r="BA5838">
        <v>70</v>
      </c>
      <c r="BE5838" t="str">
        <f>T("9791137014381")</f>
        <v>9791137014381</v>
      </c>
      <c r="BF5838" t="str">
        <f>T("N218789")</f>
        <v>N218789</v>
      </c>
      <c r="BG5838" t="str">
        <f>T("판타지 웹소설 &gt; 퓨전 판타지")</f>
        <v>판타지 웹소설 &gt; 퓨전 판타지</v>
      </c>
    </row>
    <row r="5839" spans="1:59">
      <c r="A5839" t="s">
        <v>60</v>
      </c>
      <c r="B5839" s="1">
        <v>46131</v>
      </c>
      <c r="C5839">
        <v>2378044065</v>
      </c>
      <c r="D5839">
        <v>2378044106</v>
      </c>
      <c r="E5839" t="str">
        <f>T("저승의 왕위를 계승했다 42화")</f>
        <v>저승의 왕위를 계승했다 42화</v>
      </c>
      <c r="F5839">
        <v>42</v>
      </c>
      <c r="G5839" t="str">
        <f>T("신타비")</f>
        <v>신타비</v>
      </c>
      <c r="J5839" t="str">
        <f>T("매드햇")</f>
        <v>매드햇</v>
      </c>
      <c r="K5839" t="str">
        <f>T("저승의 왕위를 계승했다")</f>
        <v>저승의 왕위를 계승했다</v>
      </c>
      <c r="L5839">
        <v>100</v>
      </c>
      <c r="M5839">
        <v>100</v>
      </c>
      <c r="N5839">
        <v>1</v>
      </c>
      <c r="O5839">
        <v>0</v>
      </c>
      <c r="P5839">
        <v>0</v>
      </c>
      <c r="Q5839">
        <v>0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0</v>
      </c>
      <c r="AE5839">
        <v>0</v>
      </c>
      <c r="AF5839">
        <v>0</v>
      </c>
      <c r="AG5839">
        <v>0</v>
      </c>
      <c r="AH5839">
        <v>0</v>
      </c>
      <c r="AI5839">
        <v>100</v>
      </c>
      <c r="AJ5839">
        <v>1</v>
      </c>
      <c r="AK5839">
        <v>0</v>
      </c>
      <c r="AL5839">
        <v>0</v>
      </c>
      <c r="AM5839">
        <v>100</v>
      </c>
      <c r="AN5839">
        <v>0</v>
      </c>
      <c r="AO5839">
        <v>0</v>
      </c>
      <c r="AP5839">
        <v>0</v>
      </c>
      <c r="AQ5839">
        <v>0</v>
      </c>
      <c r="AS5839">
        <v>0</v>
      </c>
      <c r="AT5839">
        <v>0</v>
      </c>
      <c r="AV5839">
        <v>0</v>
      </c>
      <c r="AW5839">
        <v>0</v>
      </c>
      <c r="AY5839">
        <v>0</v>
      </c>
      <c r="AZ5839">
        <v>0</v>
      </c>
      <c r="BA5839">
        <v>70</v>
      </c>
      <c r="BE5839" t="str">
        <f>T("9791137014381")</f>
        <v>9791137014381</v>
      </c>
      <c r="BF5839" t="str">
        <f>T("N218790")</f>
        <v>N218790</v>
      </c>
      <c r="BG5839" t="str">
        <f>T("판타지 웹소설 &gt; 퓨전 판타지")</f>
        <v>판타지 웹소설 &gt; 퓨전 판타지</v>
      </c>
    </row>
    <row r="5840" spans="1:59">
      <c r="A5840" t="s">
        <v>60</v>
      </c>
      <c r="B5840" s="1">
        <v>46131</v>
      </c>
      <c r="C5840">
        <v>2378044065</v>
      </c>
      <c r="D5840">
        <v>2378044107</v>
      </c>
      <c r="E5840" t="str">
        <f>T("저승의 왕위를 계승했다 43화")</f>
        <v>저승의 왕위를 계승했다 43화</v>
      </c>
      <c r="F5840">
        <v>43</v>
      </c>
      <c r="G5840" t="str">
        <f>T("신타비")</f>
        <v>신타비</v>
      </c>
      <c r="J5840" t="str">
        <f>T("매드햇")</f>
        <v>매드햇</v>
      </c>
      <c r="K5840" t="str">
        <f>T("저승의 왕위를 계승했다")</f>
        <v>저승의 왕위를 계승했다</v>
      </c>
      <c r="L5840">
        <v>100</v>
      </c>
      <c r="M5840">
        <v>100</v>
      </c>
      <c r="N5840">
        <v>1</v>
      </c>
      <c r="O5840">
        <v>0</v>
      </c>
      <c r="P5840">
        <v>0</v>
      </c>
      <c r="Q5840">
        <v>0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0</v>
      </c>
      <c r="AE5840">
        <v>0</v>
      </c>
      <c r="AF5840">
        <v>0</v>
      </c>
      <c r="AG5840">
        <v>0</v>
      </c>
      <c r="AH5840">
        <v>0</v>
      </c>
      <c r="AI5840">
        <v>100</v>
      </c>
      <c r="AJ5840">
        <v>1</v>
      </c>
      <c r="AK5840">
        <v>0</v>
      </c>
      <c r="AL5840">
        <v>0</v>
      </c>
      <c r="AM5840">
        <v>100</v>
      </c>
      <c r="AN5840">
        <v>0</v>
      </c>
      <c r="AO5840">
        <v>0</v>
      </c>
      <c r="AP5840">
        <v>0</v>
      </c>
      <c r="AQ5840">
        <v>0</v>
      </c>
      <c r="AS5840">
        <v>0</v>
      </c>
      <c r="AT5840">
        <v>0</v>
      </c>
      <c r="AV5840">
        <v>0</v>
      </c>
      <c r="AW5840">
        <v>0</v>
      </c>
      <c r="AY5840">
        <v>0</v>
      </c>
      <c r="AZ5840">
        <v>0</v>
      </c>
      <c r="BA5840">
        <v>70</v>
      </c>
      <c r="BE5840" t="str">
        <f>T("9791137014381")</f>
        <v>9791137014381</v>
      </c>
      <c r="BF5840" t="str">
        <f>T("N218791")</f>
        <v>N218791</v>
      </c>
      <c r="BG5840" t="str">
        <f>T("판타지 웹소설 &gt; 퓨전 판타지")</f>
        <v>판타지 웹소설 &gt; 퓨전 판타지</v>
      </c>
    </row>
    <row r="5841" spans="1:59">
      <c r="A5841" t="s">
        <v>60</v>
      </c>
      <c r="B5841" s="1">
        <v>46131</v>
      </c>
      <c r="C5841">
        <v>2378044065</v>
      </c>
      <c r="D5841">
        <v>2378069459</v>
      </c>
      <c r="E5841" t="str">
        <f>T("저승의 왕위를 계승했다 504화")</f>
        <v>저승의 왕위를 계승했다 504화</v>
      </c>
      <c r="F5841">
        <v>505</v>
      </c>
      <c r="G5841" t="str">
        <f>T("신타비")</f>
        <v>신타비</v>
      </c>
      <c r="J5841" t="str">
        <f>T("매드햇")</f>
        <v>매드햇</v>
      </c>
      <c r="K5841" t="str">
        <f>T("저승의 왕위를 계승했다")</f>
        <v>저승의 왕위를 계승했다</v>
      </c>
      <c r="L5841">
        <v>100</v>
      </c>
      <c r="M5841">
        <v>100</v>
      </c>
      <c r="N5841">
        <v>1</v>
      </c>
      <c r="O5841">
        <v>0</v>
      </c>
      <c r="P5841">
        <v>0</v>
      </c>
      <c r="Q5841">
        <v>0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0</v>
      </c>
      <c r="AE5841">
        <v>0</v>
      </c>
      <c r="AF5841">
        <v>0</v>
      </c>
      <c r="AG5841">
        <v>0</v>
      </c>
      <c r="AH5841">
        <v>0</v>
      </c>
      <c r="AI5841">
        <v>100</v>
      </c>
      <c r="AJ5841">
        <v>1</v>
      </c>
      <c r="AK5841">
        <v>0</v>
      </c>
      <c r="AL5841">
        <v>0</v>
      </c>
      <c r="AM5841">
        <v>100</v>
      </c>
      <c r="AN5841">
        <v>0</v>
      </c>
      <c r="AO5841">
        <v>0</v>
      </c>
      <c r="AP5841">
        <v>0</v>
      </c>
      <c r="AQ5841">
        <v>0</v>
      </c>
      <c r="AS5841">
        <v>0</v>
      </c>
      <c r="AT5841">
        <v>0</v>
      </c>
      <c r="AV5841">
        <v>0</v>
      </c>
      <c r="AW5841">
        <v>0</v>
      </c>
      <c r="AY5841">
        <v>0</v>
      </c>
      <c r="AZ5841">
        <v>0</v>
      </c>
      <c r="BA5841">
        <v>70</v>
      </c>
      <c r="BE5841" t="str">
        <f>T("9791137014381")</f>
        <v>9791137014381</v>
      </c>
      <c r="BF5841" t="str">
        <f>T("k407468")</f>
        <v>k407468</v>
      </c>
      <c r="BG5841" t="str">
        <f>T("판타지 웹소설 &gt; 퓨전 판타지")</f>
        <v>판타지 웹소설 &gt; 퓨전 판타지</v>
      </c>
    </row>
    <row r="5842" spans="1:59">
      <c r="A5842" t="s">
        <v>60</v>
      </c>
      <c r="B5842" s="1">
        <v>46131</v>
      </c>
      <c r="C5842">
        <v>2378044065</v>
      </c>
      <c r="D5842">
        <v>2378044108</v>
      </c>
      <c r="E5842" t="str">
        <f>T("저승의 왕위를 계승했다 44화")</f>
        <v>저승의 왕위를 계승했다 44화</v>
      </c>
      <c r="F5842">
        <v>44</v>
      </c>
      <c r="G5842" t="str">
        <f>T("신타비")</f>
        <v>신타비</v>
      </c>
      <c r="J5842" t="str">
        <f>T("매드햇")</f>
        <v>매드햇</v>
      </c>
      <c r="K5842" t="str">
        <f>T("저승의 왕위를 계승했다")</f>
        <v>저승의 왕위를 계승했다</v>
      </c>
      <c r="L5842">
        <v>100</v>
      </c>
      <c r="M5842">
        <v>100</v>
      </c>
      <c r="N5842">
        <v>1</v>
      </c>
      <c r="O5842">
        <v>0</v>
      </c>
      <c r="P5842">
        <v>0</v>
      </c>
      <c r="Q5842">
        <v>0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0</v>
      </c>
      <c r="AC5842">
        <v>0</v>
      </c>
      <c r="AD5842">
        <v>0</v>
      </c>
      <c r="AE5842">
        <v>0</v>
      </c>
      <c r="AF5842">
        <v>0</v>
      </c>
      <c r="AG5842">
        <v>0</v>
      </c>
      <c r="AH5842">
        <v>0</v>
      </c>
      <c r="AI5842">
        <v>100</v>
      </c>
      <c r="AJ5842">
        <v>1</v>
      </c>
      <c r="AK5842">
        <v>0</v>
      </c>
      <c r="AL5842">
        <v>0</v>
      </c>
      <c r="AM5842">
        <v>100</v>
      </c>
      <c r="AN5842">
        <v>0</v>
      </c>
      <c r="AO5842">
        <v>0</v>
      </c>
      <c r="AP5842">
        <v>0</v>
      </c>
      <c r="AQ5842">
        <v>0</v>
      </c>
      <c r="AS5842">
        <v>0</v>
      </c>
      <c r="AT5842">
        <v>0</v>
      </c>
      <c r="AV5842">
        <v>0</v>
      </c>
      <c r="AW5842">
        <v>0</v>
      </c>
      <c r="AY5842">
        <v>0</v>
      </c>
      <c r="AZ5842">
        <v>0</v>
      </c>
      <c r="BA5842">
        <v>70</v>
      </c>
      <c r="BE5842" t="str">
        <f>T("9791137014381")</f>
        <v>9791137014381</v>
      </c>
      <c r="BF5842" t="str">
        <f>T("N218792")</f>
        <v>N218792</v>
      </c>
      <c r="BG5842" t="str">
        <f>T("판타지 웹소설 &gt; 퓨전 판타지")</f>
        <v>판타지 웹소설 &gt; 퓨전 판타지</v>
      </c>
    </row>
    <row r="5843" spans="1:59">
      <c r="A5843" t="s">
        <v>60</v>
      </c>
      <c r="B5843" s="1">
        <v>46131</v>
      </c>
      <c r="C5843">
        <v>2378044065</v>
      </c>
      <c r="D5843">
        <v>2378044109</v>
      </c>
      <c r="E5843" t="str">
        <f>T("저승의 왕위를 계승했다 45화")</f>
        <v>저승의 왕위를 계승했다 45화</v>
      </c>
      <c r="F5843">
        <v>45</v>
      </c>
      <c r="G5843" t="str">
        <f>T("신타비")</f>
        <v>신타비</v>
      </c>
      <c r="J5843" t="str">
        <f>T("매드햇")</f>
        <v>매드햇</v>
      </c>
      <c r="K5843" t="str">
        <f>T("저승의 왕위를 계승했다")</f>
        <v>저승의 왕위를 계승했다</v>
      </c>
      <c r="L5843">
        <v>100</v>
      </c>
      <c r="M5843">
        <v>100</v>
      </c>
      <c r="N5843">
        <v>1</v>
      </c>
      <c r="O5843">
        <v>0</v>
      </c>
      <c r="P5843">
        <v>0</v>
      </c>
      <c r="Q5843">
        <v>0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0</v>
      </c>
      <c r="AC5843">
        <v>0</v>
      </c>
      <c r="AD5843">
        <v>0</v>
      </c>
      <c r="AE5843">
        <v>0</v>
      </c>
      <c r="AF5843">
        <v>0</v>
      </c>
      <c r="AG5843">
        <v>0</v>
      </c>
      <c r="AH5843">
        <v>0</v>
      </c>
      <c r="AI5843">
        <v>100</v>
      </c>
      <c r="AJ5843">
        <v>1</v>
      </c>
      <c r="AK5843">
        <v>0</v>
      </c>
      <c r="AL5843">
        <v>0</v>
      </c>
      <c r="AM5843">
        <v>100</v>
      </c>
      <c r="AN5843">
        <v>0</v>
      </c>
      <c r="AO5843">
        <v>0</v>
      </c>
      <c r="AP5843">
        <v>0</v>
      </c>
      <c r="AQ5843">
        <v>0</v>
      </c>
      <c r="AS5843">
        <v>0</v>
      </c>
      <c r="AT5843">
        <v>0</v>
      </c>
      <c r="AV5843">
        <v>0</v>
      </c>
      <c r="AW5843">
        <v>0</v>
      </c>
      <c r="AY5843">
        <v>0</v>
      </c>
      <c r="AZ5843">
        <v>0</v>
      </c>
      <c r="BA5843">
        <v>70</v>
      </c>
      <c r="BE5843" t="str">
        <f>T("9791137014381")</f>
        <v>9791137014381</v>
      </c>
      <c r="BF5843" t="str">
        <f>T("N218793")</f>
        <v>N218793</v>
      </c>
      <c r="BG5843" t="str">
        <f>T("판타지 웹소설 &gt; 퓨전 판타지")</f>
        <v>판타지 웹소설 &gt; 퓨전 판타지</v>
      </c>
    </row>
    <row r="5844" spans="1:59">
      <c r="A5844" t="s">
        <v>60</v>
      </c>
      <c r="B5844" s="1">
        <v>46131</v>
      </c>
      <c r="C5844">
        <v>2378044065</v>
      </c>
      <c r="D5844">
        <v>2378044110</v>
      </c>
      <c r="E5844" t="str">
        <f>T("저승의 왕위를 계승했다 46화")</f>
        <v>저승의 왕위를 계승했다 46화</v>
      </c>
      <c r="F5844">
        <v>46</v>
      </c>
      <c r="G5844" t="str">
        <f>T("신타비")</f>
        <v>신타비</v>
      </c>
      <c r="J5844" t="str">
        <f>T("매드햇")</f>
        <v>매드햇</v>
      </c>
      <c r="K5844" t="str">
        <f>T("저승의 왕위를 계승했다")</f>
        <v>저승의 왕위를 계승했다</v>
      </c>
      <c r="L5844">
        <v>100</v>
      </c>
      <c r="M5844">
        <v>100</v>
      </c>
      <c r="N5844">
        <v>1</v>
      </c>
      <c r="O5844">
        <v>0</v>
      </c>
      <c r="P5844">
        <v>0</v>
      </c>
      <c r="Q5844">
        <v>0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0</v>
      </c>
      <c r="AC5844">
        <v>0</v>
      </c>
      <c r="AD5844">
        <v>0</v>
      </c>
      <c r="AE5844">
        <v>0</v>
      </c>
      <c r="AF5844">
        <v>0</v>
      </c>
      <c r="AG5844">
        <v>0</v>
      </c>
      <c r="AH5844">
        <v>0</v>
      </c>
      <c r="AI5844">
        <v>100</v>
      </c>
      <c r="AJ5844">
        <v>1</v>
      </c>
      <c r="AK5844">
        <v>0</v>
      </c>
      <c r="AL5844">
        <v>0</v>
      </c>
      <c r="AM5844">
        <v>100</v>
      </c>
      <c r="AN5844">
        <v>0</v>
      </c>
      <c r="AO5844">
        <v>0</v>
      </c>
      <c r="AP5844">
        <v>0</v>
      </c>
      <c r="AQ5844">
        <v>0</v>
      </c>
      <c r="AS5844">
        <v>0</v>
      </c>
      <c r="AT5844">
        <v>0</v>
      </c>
      <c r="AV5844">
        <v>0</v>
      </c>
      <c r="AW5844">
        <v>0</v>
      </c>
      <c r="AY5844">
        <v>0</v>
      </c>
      <c r="AZ5844">
        <v>0</v>
      </c>
      <c r="BA5844">
        <v>70</v>
      </c>
      <c r="BE5844" t="str">
        <f>T("9791137014381")</f>
        <v>9791137014381</v>
      </c>
      <c r="BF5844" t="str">
        <f>T("N218794")</f>
        <v>N218794</v>
      </c>
      <c r="BG5844" t="str">
        <f>T("판타지 웹소설 &gt; 퓨전 판타지")</f>
        <v>판타지 웹소설 &gt; 퓨전 판타지</v>
      </c>
    </row>
    <row r="5845" spans="1:59">
      <c r="A5845" t="s">
        <v>60</v>
      </c>
      <c r="B5845" s="1">
        <v>46131</v>
      </c>
      <c r="C5845">
        <v>2378044065</v>
      </c>
      <c r="D5845">
        <v>2378044111</v>
      </c>
      <c r="E5845" t="str">
        <f>T("저승의 왕위를 계승했다 47화")</f>
        <v>저승의 왕위를 계승했다 47화</v>
      </c>
      <c r="F5845">
        <v>47</v>
      </c>
      <c r="G5845" t="str">
        <f>T("신타비")</f>
        <v>신타비</v>
      </c>
      <c r="J5845" t="str">
        <f>T("매드햇")</f>
        <v>매드햇</v>
      </c>
      <c r="K5845" t="str">
        <f>T("저승의 왕위를 계승했다")</f>
        <v>저승의 왕위를 계승했다</v>
      </c>
      <c r="L5845">
        <v>100</v>
      </c>
      <c r="M5845">
        <v>100</v>
      </c>
      <c r="N5845">
        <v>1</v>
      </c>
      <c r="O5845">
        <v>0</v>
      </c>
      <c r="P5845">
        <v>0</v>
      </c>
      <c r="Q5845">
        <v>0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0</v>
      </c>
      <c r="AE5845">
        <v>0</v>
      </c>
      <c r="AF5845">
        <v>0</v>
      </c>
      <c r="AG5845">
        <v>0</v>
      </c>
      <c r="AH5845">
        <v>0</v>
      </c>
      <c r="AI5845">
        <v>100</v>
      </c>
      <c r="AJ5845">
        <v>1</v>
      </c>
      <c r="AK5845">
        <v>0</v>
      </c>
      <c r="AL5845">
        <v>0</v>
      </c>
      <c r="AM5845">
        <v>100</v>
      </c>
      <c r="AN5845">
        <v>0</v>
      </c>
      <c r="AO5845">
        <v>0</v>
      </c>
      <c r="AP5845">
        <v>0</v>
      </c>
      <c r="AQ5845">
        <v>0</v>
      </c>
      <c r="AS5845">
        <v>0</v>
      </c>
      <c r="AT5845">
        <v>0</v>
      </c>
      <c r="AV5845">
        <v>0</v>
      </c>
      <c r="AW5845">
        <v>0</v>
      </c>
      <c r="AY5845">
        <v>0</v>
      </c>
      <c r="AZ5845">
        <v>0</v>
      </c>
      <c r="BA5845">
        <v>70</v>
      </c>
      <c r="BE5845" t="str">
        <f>T("9791137014381")</f>
        <v>9791137014381</v>
      </c>
      <c r="BF5845" t="str">
        <f>T("N218795")</f>
        <v>N218795</v>
      </c>
      <c r="BG5845" t="str">
        <f>T("판타지 웹소설 &gt; 퓨전 판타지")</f>
        <v>판타지 웹소설 &gt; 퓨전 판타지</v>
      </c>
    </row>
    <row r="5846" spans="1:59">
      <c r="A5846" t="s">
        <v>60</v>
      </c>
      <c r="B5846" s="1">
        <v>46131</v>
      </c>
      <c r="C5846">
        <v>2378044065</v>
      </c>
      <c r="D5846">
        <v>2378044112</v>
      </c>
      <c r="E5846" t="str">
        <f>T("저승의 왕위를 계승했다 48화")</f>
        <v>저승의 왕위를 계승했다 48화</v>
      </c>
      <c r="F5846">
        <v>48</v>
      </c>
      <c r="G5846" t="str">
        <f>T("신타비")</f>
        <v>신타비</v>
      </c>
      <c r="J5846" t="str">
        <f>T("매드햇")</f>
        <v>매드햇</v>
      </c>
      <c r="K5846" t="str">
        <f>T("저승의 왕위를 계승했다")</f>
        <v>저승의 왕위를 계승했다</v>
      </c>
      <c r="L5846">
        <v>100</v>
      </c>
      <c r="M5846">
        <v>100</v>
      </c>
      <c r="N5846">
        <v>1</v>
      </c>
      <c r="O5846">
        <v>0</v>
      </c>
      <c r="P5846">
        <v>0</v>
      </c>
      <c r="Q5846">
        <v>0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0</v>
      </c>
      <c r="AE5846">
        <v>0</v>
      </c>
      <c r="AF5846">
        <v>0</v>
      </c>
      <c r="AG5846">
        <v>0</v>
      </c>
      <c r="AH5846">
        <v>0</v>
      </c>
      <c r="AI5846">
        <v>100</v>
      </c>
      <c r="AJ5846">
        <v>1</v>
      </c>
      <c r="AK5846">
        <v>0</v>
      </c>
      <c r="AL5846">
        <v>0</v>
      </c>
      <c r="AM5846">
        <v>100</v>
      </c>
      <c r="AN5846">
        <v>0</v>
      </c>
      <c r="AO5846">
        <v>0</v>
      </c>
      <c r="AP5846">
        <v>0</v>
      </c>
      <c r="AQ5846">
        <v>0</v>
      </c>
      <c r="AS5846">
        <v>0</v>
      </c>
      <c r="AT5846">
        <v>0</v>
      </c>
      <c r="AV5846">
        <v>0</v>
      </c>
      <c r="AW5846">
        <v>0</v>
      </c>
      <c r="AY5846">
        <v>0</v>
      </c>
      <c r="AZ5846">
        <v>0</v>
      </c>
      <c r="BA5846">
        <v>70</v>
      </c>
      <c r="BE5846" t="str">
        <f>T("9791137014381")</f>
        <v>9791137014381</v>
      </c>
      <c r="BF5846" t="str">
        <f>T("N218796")</f>
        <v>N218796</v>
      </c>
      <c r="BG5846" t="str">
        <f>T("판타지 웹소설 &gt; 퓨전 판타지")</f>
        <v>판타지 웹소설 &gt; 퓨전 판타지</v>
      </c>
    </row>
    <row r="5847" spans="1:59">
      <c r="A5847" t="s">
        <v>60</v>
      </c>
      <c r="B5847" s="1">
        <v>46131</v>
      </c>
      <c r="C5847">
        <v>2378044065</v>
      </c>
      <c r="D5847">
        <v>2378044116</v>
      </c>
      <c r="E5847" t="str">
        <f>T("저승의 왕위를 계승했다 52화")</f>
        <v>저승의 왕위를 계승했다 52화</v>
      </c>
      <c r="F5847">
        <v>52</v>
      </c>
      <c r="G5847" t="str">
        <f>T("신타비")</f>
        <v>신타비</v>
      </c>
      <c r="J5847" t="str">
        <f>T("매드햇")</f>
        <v>매드햇</v>
      </c>
      <c r="K5847" t="str">
        <f>T("저승의 왕위를 계승했다")</f>
        <v>저승의 왕위를 계승했다</v>
      </c>
      <c r="L5847">
        <v>100</v>
      </c>
      <c r="M5847">
        <v>100</v>
      </c>
      <c r="N5847">
        <v>1</v>
      </c>
      <c r="O5847">
        <v>0</v>
      </c>
      <c r="P5847">
        <v>0</v>
      </c>
      <c r="Q5847">
        <v>0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0</v>
      </c>
      <c r="AE5847">
        <v>0</v>
      </c>
      <c r="AF5847">
        <v>0</v>
      </c>
      <c r="AG5847">
        <v>0</v>
      </c>
      <c r="AH5847">
        <v>0</v>
      </c>
      <c r="AI5847">
        <v>100</v>
      </c>
      <c r="AJ5847">
        <v>1</v>
      </c>
      <c r="AK5847">
        <v>0</v>
      </c>
      <c r="AL5847">
        <v>0</v>
      </c>
      <c r="AM5847">
        <v>100</v>
      </c>
      <c r="AN5847">
        <v>0</v>
      </c>
      <c r="AO5847">
        <v>0</v>
      </c>
      <c r="AP5847">
        <v>0</v>
      </c>
      <c r="AQ5847">
        <v>0</v>
      </c>
      <c r="AS5847">
        <v>0</v>
      </c>
      <c r="AT5847">
        <v>0</v>
      </c>
      <c r="AV5847">
        <v>0</v>
      </c>
      <c r="AW5847">
        <v>0</v>
      </c>
      <c r="AY5847">
        <v>0</v>
      </c>
      <c r="AZ5847">
        <v>0</v>
      </c>
      <c r="BA5847">
        <v>70</v>
      </c>
      <c r="BE5847" t="str">
        <f>T("9791137014381")</f>
        <v>9791137014381</v>
      </c>
      <c r="BF5847" t="str">
        <f>T("N218800")</f>
        <v>N218800</v>
      </c>
      <c r="BG5847" t="str">
        <f>T("판타지 웹소설 &gt; 퓨전 판타지")</f>
        <v>판타지 웹소설 &gt; 퓨전 판타지</v>
      </c>
    </row>
    <row r="5848" spans="1:59">
      <c r="A5848" t="s">
        <v>60</v>
      </c>
      <c r="B5848" s="1">
        <v>46131</v>
      </c>
      <c r="C5848">
        <v>2378044065</v>
      </c>
      <c r="D5848">
        <v>2378044115</v>
      </c>
      <c r="E5848" t="str">
        <f>T("저승의 왕위를 계승했다 51화")</f>
        <v>저승의 왕위를 계승했다 51화</v>
      </c>
      <c r="F5848">
        <v>51</v>
      </c>
      <c r="G5848" t="str">
        <f>T("신타비")</f>
        <v>신타비</v>
      </c>
      <c r="J5848" t="str">
        <f>T("매드햇")</f>
        <v>매드햇</v>
      </c>
      <c r="K5848" t="str">
        <f>T("저승의 왕위를 계승했다")</f>
        <v>저승의 왕위를 계승했다</v>
      </c>
      <c r="L5848">
        <v>100</v>
      </c>
      <c r="M5848">
        <v>100</v>
      </c>
      <c r="N5848">
        <v>1</v>
      </c>
      <c r="O5848">
        <v>0</v>
      </c>
      <c r="P5848">
        <v>0</v>
      </c>
      <c r="Q5848">
        <v>0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0</v>
      </c>
      <c r="AE5848">
        <v>0</v>
      </c>
      <c r="AF5848">
        <v>0</v>
      </c>
      <c r="AG5848">
        <v>0</v>
      </c>
      <c r="AH5848">
        <v>0</v>
      </c>
      <c r="AI5848">
        <v>100</v>
      </c>
      <c r="AJ5848">
        <v>1</v>
      </c>
      <c r="AK5848">
        <v>0</v>
      </c>
      <c r="AL5848">
        <v>0</v>
      </c>
      <c r="AM5848">
        <v>100</v>
      </c>
      <c r="AN5848">
        <v>0</v>
      </c>
      <c r="AO5848">
        <v>0</v>
      </c>
      <c r="AP5848">
        <v>0</v>
      </c>
      <c r="AQ5848">
        <v>0</v>
      </c>
      <c r="AS5848">
        <v>0</v>
      </c>
      <c r="AT5848">
        <v>0</v>
      </c>
      <c r="AV5848">
        <v>0</v>
      </c>
      <c r="AW5848">
        <v>0</v>
      </c>
      <c r="AY5848">
        <v>0</v>
      </c>
      <c r="AZ5848">
        <v>0</v>
      </c>
      <c r="BA5848">
        <v>70</v>
      </c>
      <c r="BE5848" t="str">
        <f>T("9791137014381")</f>
        <v>9791137014381</v>
      </c>
      <c r="BF5848" t="str">
        <f>T("N218799")</f>
        <v>N218799</v>
      </c>
      <c r="BG5848" t="str">
        <f>T("판타지 웹소설 &gt; 퓨전 판타지")</f>
        <v>판타지 웹소설 &gt; 퓨전 판타지</v>
      </c>
    </row>
    <row r="5849" spans="1:59">
      <c r="A5849" t="s">
        <v>60</v>
      </c>
      <c r="B5849" s="1">
        <v>46131</v>
      </c>
      <c r="C5849">
        <v>2378044065</v>
      </c>
      <c r="D5849">
        <v>2378069603</v>
      </c>
      <c r="E5849" t="str">
        <f>T("저승의 왕위를 계승했다 505화")</f>
        <v>저승의 왕위를 계승했다 505화</v>
      </c>
      <c r="F5849">
        <v>506</v>
      </c>
      <c r="G5849" t="str">
        <f>T("신타비")</f>
        <v>신타비</v>
      </c>
      <c r="J5849" t="str">
        <f>T("매드햇")</f>
        <v>매드햇</v>
      </c>
      <c r="K5849" t="str">
        <f>T("저승의 왕위를 계승했다")</f>
        <v>저승의 왕위를 계승했다</v>
      </c>
      <c r="L5849">
        <v>100</v>
      </c>
      <c r="M5849">
        <v>100</v>
      </c>
      <c r="N5849">
        <v>1</v>
      </c>
      <c r="O5849">
        <v>0</v>
      </c>
      <c r="P5849">
        <v>0</v>
      </c>
      <c r="Q5849">
        <v>0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0</v>
      </c>
      <c r="AE5849">
        <v>0</v>
      </c>
      <c r="AF5849">
        <v>0</v>
      </c>
      <c r="AG5849">
        <v>0</v>
      </c>
      <c r="AH5849">
        <v>0</v>
      </c>
      <c r="AI5849">
        <v>100</v>
      </c>
      <c r="AJ5849">
        <v>1</v>
      </c>
      <c r="AK5849">
        <v>0</v>
      </c>
      <c r="AL5849">
        <v>0</v>
      </c>
      <c r="AM5849">
        <v>100</v>
      </c>
      <c r="AN5849">
        <v>0</v>
      </c>
      <c r="AO5849">
        <v>0</v>
      </c>
      <c r="AP5849">
        <v>0</v>
      </c>
      <c r="AQ5849">
        <v>0</v>
      </c>
      <c r="AS5849">
        <v>0</v>
      </c>
      <c r="AT5849">
        <v>0</v>
      </c>
      <c r="AV5849">
        <v>0</v>
      </c>
      <c r="AW5849">
        <v>0</v>
      </c>
      <c r="AY5849">
        <v>0</v>
      </c>
      <c r="AZ5849">
        <v>0</v>
      </c>
      <c r="BA5849">
        <v>70</v>
      </c>
      <c r="BE5849" t="str">
        <f>T("9791137014381")</f>
        <v>9791137014381</v>
      </c>
      <c r="BF5849" t="str">
        <f>T("k410841")</f>
        <v>k410841</v>
      </c>
      <c r="BG5849" t="str">
        <f>T("판타지 웹소설 &gt; 퓨전 판타지")</f>
        <v>판타지 웹소설 &gt; 퓨전 판타지</v>
      </c>
    </row>
    <row r="5850" spans="1:59">
      <c r="A5850" t="s">
        <v>60</v>
      </c>
      <c r="B5850" s="1">
        <v>46131</v>
      </c>
      <c r="C5850">
        <v>2378044065</v>
      </c>
      <c r="D5850">
        <v>2378044117</v>
      </c>
      <c r="E5850" t="str">
        <f>T("저승의 왕위를 계승했다 53화")</f>
        <v>저승의 왕위를 계승했다 53화</v>
      </c>
      <c r="F5850">
        <v>53</v>
      </c>
      <c r="G5850" t="str">
        <f>T("신타비")</f>
        <v>신타비</v>
      </c>
      <c r="J5850" t="str">
        <f>T("매드햇")</f>
        <v>매드햇</v>
      </c>
      <c r="K5850" t="str">
        <f>T("저승의 왕위를 계승했다")</f>
        <v>저승의 왕위를 계승했다</v>
      </c>
      <c r="L5850">
        <v>100</v>
      </c>
      <c r="M5850">
        <v>100</v>
      </c>
      <c r="N5850">
        <v>1</v>
      </c>
      <c r="O5850">
        <v>0</v>
      </c>
      <c r="P5850">
        <v>0</v>
      </c>
      <c r="Q5850">
        <v>0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0</v>
      </c>
      <c r="AE5850">
        <v>0</v>
      </c>
      <c r="AF5850">
        <v>0</v>
      </c>
      <c r="AG5850">
        <v>0</v>
      </c>
      <c r="AH5850">
        <v>0</v>
      </c>
      <c r="AI5850">
        <v>100</v>
      </c>
      <c r="AJ5850">
        <v>1</v>
      </c>
      <c r="AK5850">
        <v>0</v>
      </c>
      <c r="AL5850">
        <v>0</v>
      </c>
      <c r="AM5850">
        <v>100</v>
      </c>
      <c r="AN5850">
        <v>0</v>
      </c>
      <c r="AO5850">
        <v>0</v>
      </c>
      <c r="AP5850">
        <v>0</v>
      </c>
      <c r="AQ5850">
        <v>0</v>
      </c>
      <c r="AS5850">
        <v>0</v>
      </c>
      <c r="AT5850">
        <v>0</v>
      </c>
      <c r="AV5850">
        <v>0</v>
      </c>
      <c r="AW5850">
        <v>0</v>
      </c>
      <c r="AY5850">
        <v>0</v>
      </c>
      <c r="AZ5850">
        <v>0</v>
      </c>
      <c r="BA5850">
        <v>70</v>
      </c>
      <c r="BE5850" t="str">
        <f>T("9791137014381")</f>
        <v>9791137014381</v>
      </c>
      <c r="BF5850" t="str">
        <f>T("N218801")</f>
        <v>N218801</v>
      </c>
      <c r="BG5850" t="str">
        <f>T("판타지 웹소설 &gt; 퓨전 판타지")</f>
        <v>판타지 웹소설 &gt; 퓨전 판타지</v>
      </c>
    </row>
    <row r="5851" spans="1:59">
      <c r="A5851" t="s">
        <v>60</v>
      </c>
      <c r="B5851" s="1">
        <v>46131</v>
      </c>
      <c r="C5851">
        <v>2378044065</v>
      </c>
      <c r="D5851">
        <v>2378044118</v>
      </c>
      <c r="E5851" t="str">
        <f>T("저승의 왕위를 계승했다 54화")</f>
        <v>저승의 왕위를 계승했다 54화</v>
      </c>
      <c r="F5851">
        <v>54</v>
      </c>
      <c r="G5851" t="str">
        <f>T("신타비")</f>
        <v>신타비</v>
      </c>
      <c r="J5851" t="str">
        <f>T("매드햇")</f>
        <v>매드햇</v>
      </c>
      <c r="K5851" t="str">
        <f>T("저승의 왕위를 계승했다")</f>
        <v>저승의 왕위를 계승했다</v>
      </c>
      <c r="L5851">
        <v>100</v>
      </c>
      <c r="M5851">
        <v>100</v>
      </c>
      <c r="N5851">
        <v>1</v>
      </c>
      <c r="O5851">
        <v>0</v>
      </c>
      <c r="P5851">
        <v>0</v>
      </c>
      <c r="Q5851">
        <v>0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0</v>
      </c>
      <c r="AE5851">
        <v>0</v>
      </c>
      <c r="AF5851">
        <v>0</v>
      </c>
      <c r="AG5851">
        <v>0</v>
      </c>
      <c r="AH5851">
        <v>0</v>
      </c>
      <c r="AI5851">
        <v>100</v>
      </c>
      <c r="AJ5851">
        <v>1</v>
      </c>
      <c r="AK5851">
        <v>0</v>
      </c>
      <c r="AL5851">
        <v>0</v>
      </c>
      <c r="AM5851">
        <v>100</v>
      </c>
      <c r="AN5851">
        <v>0</v>
      </c>
      <c r="AO5851">
        <v>0</v>
      </c>
      <c r="AP5851">
        <v>0</v>
      </c>
      <c r="AQ5851">
        <v>0</v>
      </c>
      <c r="AS5851">
        <v>0</v>
      </c>
      <c r="AT5851">
        <v>0</v>
      </c>
      <c r="AV5851">
        <v>0</v>
      </c>
      <c r="AW5851">
        <v>0</v>
      </c>
      <c r="AY5851">
        <v>0</v>
      </c>
      <c r="AZ5851">
        <v>0</v>
      </c>
      <c r="BA5851">
        <v>70</v>
      </c>
      <c r="BE5851" t="str">
        <f>T("9791137014381")</f>
        <v>9791137014381</v>
      </c>
      <c r="BF5851" t="str">
        <f>T("N218802")</f>
        <v>N218802</v>
      </c>
      <c r="BG5851" t="str">
        <f>T("판타지 웹소설 &gt; 퓨전 판타지")</f>
        <v>판타지 웹소설 &gt; 퓨전 판타지</v>
      </c>
    </row>
    <row r="5852" spans="1:59">
      <c r="A5852" t="s">
        <v>60</v>
      </c>
      <c r="B5852" s="1">
        <v>46131</v>
      </c>
      <c r="C5852">
        <v>2378044065</v>
      </c>
      <c r="D5852">
        <v>2378044119</v>
      </c>
      <c r="E5852" t="str">
        <f>T("저승의 왕위를 계승했다 55화")</f>
        <v>저승의 왕위를 계승했다 55화</v>
      </c>
      <c r="F5852">
        <v>55</v>
      </c>
      <c r="G5852" t="str">
        <f>T("신타비")</f>
        <v>신타비</v>
      </c>
      <c r="J5852" t="str">
        <f>T("매드햇")</f>
        <v>매드햇</v>
      </c>
      <c r="K5852" t="str">
        <f>T("저승의 왕위를 계승했다")</f>
        <v>저승의 왕위를 계승했다</v>
      </c>
      <c r="L5852">
        <v>100</v>
      </c>
      <c r="M5852">
        <v>100</v>
      </c>
      <c r="N5852">
        <v>1</v>
      </c>
      <c r="O5852">
        <v>0</v>
      </c>
      <c r="P5852">
        <v>0</v>
      </c>
      <c r="Q5852">
        <v>0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0</v>
      </c>
      <c r="AE5852">
        <v>0</v>
      </c>
      <c r="AF5852">
        <v>0</v>
      </c>
      <c r="AG5852">
        <v>0</v>
      </c>
      <c r="AH5852">
        <v>0</v>
      </c>
      <c r="AI5852">
        <v>100</v>
      </c>
      <c r="AJ5852">
        <v>1</v>
      </c>
      <c r="AK5852">
        <v>0</v>
      </c>
      <c r="AL5852">
        <v>0</v>
      </c>
      <c r="AM5852">
        <v>100</v>
      </c>
      <c r="AN5852">
        <v>0</v>
      </c>
      <c r="AO5852">
        <v>0</v>
      </c>
      <c r="AP5852">
        <v>0</v>
      </c>
      <c r="AQ5852">
        <v>0</v>
      </c>
      <c r="AS5852">
        <v>0</v>
      </c>
      <c r="AT5852">
        <v>0</v>
      </c>
      <c r="AV5852">
        <v>0</v>
      </c>
      <c r="AW5852">
        <v>0</v>
      </c>
      <c r="AY5852">
        <v>0</v>
      </c>
      <c r="AZ5852">
        <v>0</v>
      </c>
      <c r="BA5852">
        <v>70</v>
      </c>
      <c r="BE5852" t="str">
        <f>T("9791137014381")</f>
        <v>9791137014381</v>
      </c>
      <c r="BF5852" t="str">
        <f>T("N218803")</f>
        <v>N218803</v>
      </c>
      <c r="BG5852" t="str">
        <f>T("판타지 웹소설 &gt; 퓨전 판타지")</f>
        <v>판타지 웹소설 &gt; 퓨전 판타지</v>
      </c>
    </row>
    <row r="5853" spans="1:59">
      <c r="A5853" t="s">
        <v>60</v>
      </c>
      <c r="B5853" s="1">
        <v>46131</v>
      </c>
      <c r="C5853">
        <v>2378044065</v>
      </c>
      <c r="D5853">
        <v>2378044120</v>
      </c>
      <c r="E5853" t="str">
        <f>T("저승의 왕위를 계승했다 56화")</f>
        <v>저승의 왕위를 계승했다 56화</v>
      </c>
      <c r="F5853">
        <v>56</v>
      </c>
      <c r="G5853" t="str">
        <f>T("신타비")</f>
        <v>신타비</v>
      </c>
      <c r="J5853" t="str">
        <f>T("매드햇")</f>
        <v>매드햇</v>
      </c>
      <c r="K5853" t="str">
        <f>T("저승의 왕위를 계승했다")</f>
        <v>저승의 왕위를 계승했다</v>
      </c>
      <c r="L5853">
        <v>100</v>
      </c>
      <c r="M5853">
        <v>100</v>
      </c>
      <c r="N5853">
        <v>1</v>
      </c>
      <c r="O5853">
        <v>0</v>
      </c>
      <c r="P5853">
        <v>0</v>
      </c>
      <c r="Q5853">
        <v>0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0</v>
      </c>
      <c r="AE5853">
        <v>0</v>
      </c>
      <c r="AF5853">
        <v>0</v>
      </c>
      <c r="AG5853">
        <v>0</v>
      </c>
      <c r="AH5853">
        <v>0</v>
      </c>
      <c r="AI5853">
        <v>100</v>
      </c>
      <c r="AJ5853">
        <v>1</v>
      </c>
      <c r="AK5853">
        <v>0</v>
      </c>
      <c r="AL5853">
        <v>0</v>
      </c>
      <c r="AM5853">
        <v>100</v>
      </c>
      <c r="AN5853">
        <v>0</v>
      </c>
      <c r="AO5853">
        <v>0</v>
      </c>
      <c r="AP5853">
        <v>0</v>
      </c>
      <c r="AQ5853">
        <v>0</v>
      </c>
      <c r="AS5853">
        <v>0</v>
      </c>
      <c r="AT5853">
        <v>0</v>
      </c>
      <c r="AV5853">
        <v>0</v>
      </c>
      <c r="AW5853">
        <v>0</v>
      </c>
      <c r="AY5853">
        <v>0</v>
      </c>
      <c r="AZ5853">
        <v>0</v>
      </c>
      <c r="BA5853">
        <v>70</v>
      </c>
      <c r="BE5853" t="str">
        <f>T("9791137014381")</f>
        <v>9791137014381</v>
      </c>
      <c r="BF5853" t="str">
        <f>T("N218804")</f>
        <v>N218804</v>
      </c>
      <c r="BG5853" t="str">
        <f>T("판타지 웹소설 &gt; 퓨전 판타지")</f>
        <v>판타지 웹소설 &gt; 퓨전 판타지</v>
      </c>
    </row>
    <row r="5854" spans="1:59">
      <c r="A5854" t="s">
        <v>60</v>
      </c>
      <c r="B5854" s="1">
        <v>46131</v>
      </c>
      <c r="C5854">
        <v>2378044065</v>
      </c>
      <c r="D5854">
        <v>2378044121</v>
      </c>
      <c r="E5854" t="str">
        <f>T("저승의 왕위를 계승했다 57화")</f>
        <v>저승의 왕위를 계승했다 57화</v>
      </c>
      <c r="F5854">
        <v>57</v>
      </c>
      <c r="G5854" t="str">
        <f>T("신타비")</f>
        <v>신타비</v>
      </c>
      <c r="J5854" t="str">
        <f>T("매드햇")</f>
        <v>매드햇</v>
      </c>
      <c r="K5854" t="str">
        <f>T("저승의 왕위를 계승했다")</f>
        <v>저승의 왕위를 계승했다</v>
      </c>
      <c r="L5854">
        <v>100</v>
      </c>
      <c r="M5854">
        <v>100</v>
      </c>
      <c r="N5854">
        <v>1</v>
      </c>
      <c r="O5854">
        <v>0</v>
      </c>
      <c r="P5854">
        <v>0</v>
      </c>
      <c r="Q5854">
        <v>0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0</v>
      </c>
      <c r="AE5854">
        <v>0</v>
      </c>
      <c r="AF5854">
        <v>0</v>
      </c>
      <c r="AG5854">
        <v>0</v>
      </c>
      <c r="AH5854">
        <v>0</v>
      </c>
      <c r="AI5854">
        <v>100</v>
      </c>
      <c r="AJ5854">
        <v>1</v>
      </c>
      <c r="AK5854">
        <v>0</v>
      </c>
      <c r="AL5854">
        <v>0</v>
      </c>
      <c r="AM5854">
        <v>100</v>
      </c>
      <c r="AN5854">
        <v>0</v>
      </c>
      <c r="AO5854">
        <v>0</v>
      </c>
      <c r="AP5854">
        <v>0</v>
      </c>
      <c r="AQ5854">
        <v>0</v>
      </c>
      <c r="AS5854">
        <v>0</v>
      </c>
      <c r="AT5854">
        <v>0</v>
      </c>
      <c r="AV5854">
        <v>0</v>
      </c>
      <c r="AW5854">
        <v>0</v>
      </c>
      <c r="AY5854">
        <v>0</v>
      </c>
      <c r="AZ5854">
        <v>0</v>
      </c>
      <c r="BA5854">
        <v>70</v>
      </c>
      <c r="BE5854" t="str">
        <f>T("9791137014381")</f>
        <v>9791137014381</v>
      </c>
      <c r="BF5854" t="str">
        <f>T("N218805")</f>
        <v>N218805</v>
      </c>
      <c r="BG5854" t="str">
        <f>T("판타지 웹소설 &gt; 퓨전 판타지")</f>
        <v>판타지 웹소설 &gt; 퓨전 판타지</v>
      </c>
    </row>
    <row r="5855" spans="1:59">
      <c r="A5855" t="s">
        <v>60</v>
      </c>
      <c r="B5855" s="1">
        <v>46131</v>
      </c>
      <c r="C5855">
        <v>2378044065</v>
      </c>
      <c r="D5855">
        <v>2378044122</v>
      </c>
      <c r="E5855" t="str">
        <f>T("저승의 왕위를 계승했다 58화")</f>
        <v>저승의 왕위를 계승했다 58화</v>
      </c>
      <c r="F5855">
        <v>58</v>
      </c>
      <c r="G5855" t="str">
        <f>T("신타비")</f>
        <v>신타비</v>
      </c>
      <c r="J5855" t="str">
        <f>T("매드햇")</f>
        <v>매드햇</v>
      </c>
      <c r="K5855" t="str">
        <f>T("저승의 왕위를 계승했다")</f>
        <v>저승의 왕위를 계승했다</v>
      </c>
      <c r="L5855">
        <v>100</v>
      </c>
      <c r="M5855">
        <v>100</v>
      </c>
      <c r="N5855">
        <v>1</v>
      </c>
      <c r="O5855">
        <v>0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0</v>
      </c>
      <c r="AE5855">
        <v>0</v>
      </c>
      <c r="AF5855">
        <v>0</v>
      </c>
      <c r="AG5855">
        <v>0</v>
      </c>
      <c r="AH5855">
        <v>0</v>
      </c>
      <c r="AI5855">
        <v>100</v>
      </c>
      <c r="AJ5855">
        <v>1</v>
      </c>
      <c r="AK5855">
        <v>0</v>
      </c>
      <c r="AL5855">
        <v>0</v>
      </c>
      <c r="AM5855">
        <v>100</v>
      </c>
      <c r="AN5855">
        <v>0</v>
      </c>
      <c r="AO5855">
        <v>0</v>
      </c>
      <c r="AP5855">
        <v>0</v>
      </c>
      <c r="AQ5855">
        <v>0</v>
      </c>
      <c r="AS5855">
        <v>0</v>
      </c>
      <c r="AT5855">
        <v>0</v>
      </c>
      <c r="AV5855">
        <v>0</v>
      </c>
      <c r="AW5855">
        <v>0</v>
      </c>
      <c r="AY5855">
        <v>0</v>
      </c>
      <c r="AZ5855">
        <v>0</v>
      </c>
      <c r="BA5855">
        <v>70</v>
      </c>
      <c r="BE5855" t="str">
        <f>T("9791137014381")</f>
        <v>9791137014381</v>
      </c>
      <c r="BF5855" t="str">
        <f>T("N218806")</f>
        <v>N218806</v>
      </c>
      <c r="BG5855" t="str">
        <f>T("판타지 웹소설 &gt; 퓨전 판타지")</f>
        <v>판타지 웹소설 &gt; 퓨전 판타지</v>
      </c>
    </row>
    <row r="5856" spans="1:59">
      <c r="A5856" t="s">
        <v>60</v>
      </c>
      <c r="B5856" s="1">
        <v>46131</v>
      </c>
      <c r="C5856">
        <v>2378044065</v>
      </c>
      <c r="D5856">
        <v>2378044123</v>
      </c>
      <c r="E5856" t="str">
        <f>T("저승의 왕위를 계승했다 59화")</f>
        <v>저승의 왕위를 계승했다 59화</v>
      </c>
      <c r="F5856">
        <v>59</v>
      </c>
      <c r="G5856" t="str">
        <f>T("신타비")</f>
        <v>신타비</v>
      </c>
      <c r="J5856" t="str">
        <f>T("매드햇")</f>
        <v>매드햇</v>
      </c>
      <c r="K5856" t="str">
        <f>T("저승의 왕위를 계승했다")</f>
        <v>저승의 왕위를 계승했다</v>
      </c>
      <c r="L5856">
        <v>100</v>
      </c>
      <c r="M5856">
        <v>100</v>
      </c>
      <c r="N5856">
        <v>1</v>
      </c>
      <c r="O5856">
        <v>0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0</v>
      </c>
      <c r="AE5856">
        <v>0</v>
      </c>
      <c r="AF5856">
        <v>0</v>
      </c>
      <c r="AG5856">
        <v>0</v>
      </c>
      <c r="AH5856">
        <v>0</v>
      </c>
      <c r="AI5856">
        <v>100</v>
      </c>
      <c r="AJ5856">
        <v>1</v>
      </c>
      <c r="AK5856">
        <v>0</v>
      </c>
      <c r="AL5856">
        <v>0</v>
      </c>
      <c r="AM5856">
        <v>100</v>
      </c>
      <c r="AN5856">
        <v>0</v>
      </c>
      <c r="AO5856">
        <v>0</v>
      </c>
      <c r="AP5856">
        <v>0</v>
      </c>
      <c r="AQ5856">
        <v>0</v>
      </c>
      <c r="AS5856">
        <v>0</v>
      </c>
      <c r="AT5856">
        <v>0</v>
      </c>
      <c r="AV5856">
        <v>0</v>
      </c>
      <c r="AW5856">
        <v>0</v>
      </c>
      <c r="AY5856">
        <v>0</v>
      </c>
      <c r="AZ5856">
        <v>0</v>
      </c>
      <c r="BA5856">
        <v>70</v>
      </c>
      <c r="BE5856" t="str">
        <f>T("9791137014381")</f>
        <v>9791137014381</v>
      </c>
      <c r="BF5856" t="str">
        <f>T("N218807")</f>
        <v>N218807</v>
      </c>
      <c r="BG5856" t="str">
        <f>T("판타지 웹소설 &gt; 퓨전 판타지")</f>
        <v>판타지 웹소설 &gt; 퓨전 판타지</v>
      </c>
    </row>
    <row r="5857" spans="1:59">
      <c r="A5857" t="s">
        <v>60</v>
      </c>
      <c r="B5857" s="1">
        <v>46131</v>
      </c>
      <c r="C5857">
        <v>2378044065</v>
      </c>
      <c r="D5857">
        <v>2378044124</v>
      </c>
      <c r="E5857" t="str">
        <f>T("저승의 왕위를 계승했다 60화")</f>
        <v>저승의 왕위를 계승했다 60화</v>
      </c>
      <c r="F5857">
        <v>60</v>
      </c>
      <c r="G5857" t="str">
        <f>T("신타비")</f>
        <v>신타비</v>
      </c>
      <c r="J5857" t="str">
        <f>T("매드햇")</f>
        <v>매드햇</v>
      </c>
      <c r="K5857" t="str">
        <f>T("저승의 왕위를 계승했다")</f>
        <v>저승의 왕위를 계승했다</v>
      </c>
      <c r="L5857">
        <v>100</v>
      </c>
      <c r="M5857">
        <v>100</v>
      </c>
      <c r="N5857">
        <v>1</v>
      </c>
      <c r="O5857">
        <v>0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0</v>
      </c>
      <c r="AE5857">
        <v>0</v>
      </c>
      <c r="AF5857">
        <v>0</v>
      </c>
      <c r="AG5857">
        <v>0</v>
      </c>
      <c r="AH5857">
        <v>0</v>
      </c>
      <c r="AI5857">
        <v>100</v>
      </c>
      <c r="AJ5857">
        <v>1</v>
      </c>
      <c r="AK5857">
        <v>0</v>
      </c>
      <c r="AL5857">
        <v>0</v>
      </c>
      <c r="AM5857">
        <v>100</v>
      </c>
      <c r="AN5857">
        <v>0</v>
      </c>
      <c r="AO5857">
        <v>0</v>
      </c>
      <c r="AP5857">
        <v>0</v>
      </c>
      <c r="AQ5857">
        <v>0</v>
      </c>
      <c r="AS5857">
        <v>0</v>
      </c>
      <c r="AT5857">
        <v>0</v>
      </c>
      <c r="AV5857">
        <v>0</v>
      </c>
      <c r="AW5857">
        <v>0</v>
      </c>
      <c r="AY5857">
        <v>0</v>
      </c>
      <c r="AZ5857">
        <v>0</v>
      </c>
      <c r="BA5857">
        <v>70</v>
      </c>
      <c r="BE5857" t="str">
        <f>T("9791137014381")</f>
        <v>9791137014381</v>
      </c>
      <c r="BF5857" t="str">
        <f>T("N218808")</f>
        <v>N218808</v>
      </c>
      <c r="BG5857" t="str">
        <f>T("판타지 웹소설 &gt; 퓨전 판타지")</f>
        <v>판타지 웹소설 &gt; 퓨전 판타지</v>
      </c>
    </row>
    <row r="5858" spans="1:59">
      <c r="A5858" t="s">
        <v>60</v>
      </c>
      <c r="B5858" s="1">
        <v>46131</v>
      </c>
      <c r="C5858">
        <v>2378044065</v>
      </c>
      <c r="D5858">
        <v>2378044125</v>
      </c>
      <c r="E5858" t="str">
        <f>T("저승의 왕위를 계승했다 61화")</f>
        <v>저승의 왕위를 계승했다 61화</v>
      </c>
      <c r="F5858">
        <v>61</v>
      </c>
      <c r="G5858" t="str">
        <f>T("신타비")</f>
        <v>신타비</v>
      </c>
      <c r="J5858" t="str">
        <f>T("매드햇")</f>
        <v>매드햇</v>
      </c>
      <c r="K5858" t="str">
        <f>T("저승의 왕위를 계승했다")</f>
        <v>저승의 왕위를 계승했다</v>
      </c>
      <c r="L5858">
        <v>100</v>
      </c>
      <c r="M5858">
        <v>100</v>
      </c>
      <c r="N5858">
        <v>1</v>
      </c>
      <c r="O5858">
        <v>0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0</v>
      </c>
      <c r="AE5858">
        <v>0</v>
      </c>
      <c r="AF5858">
        <v>0</v>
      </c>
      <c r="AG5858">
        <v>0</v>
      </c>
      <c r="AH5858">
        <v>0</v>
      </c>
      <c r="AI5858">
        <v>100</v>
      </c>
      <c r="AJ5858">
        <v>1</v>
      </c>
      <c r="AK5858">
        <v>0</v>
      </c>
      <c r="AL5858">
        <v>0</v>
      </c>
      <c r="AM5858">
        <v>100</v>
      </c>
      <c r="AN5858">
        <v>0</v>
      </c>
      <c r="AO5858">
        <v>0</v>
      </c>
      <c r="AP5858">
        <v>0</v>
      </c>
      <c r="AQ5858">
        <v>0</v>
      </c>
      <c r="AS5858">
        <v>0</v>
      </c>
      <c r="AT5858">
        <v>0</v>
      </c>
      <c r="AV5858">
        <v>0</v>
      </c>
      <c r="AW5858">
        <v>0</v>
      </c>
      <c r="AY5858">
        <v>0</v>
      </c>
      <c r="AZ5858">
        <v>0</v>
      </c>
      <c r="BA5858">
        <v>70</v>
      </c>
      <c r="BE5858" t="str">
        <f>T("9791137014381")</f>
        <v>9791137014381</v>
      </c>
      <c r="BF5858" t="str">
        <f>T("N218809")</f>
        <v>N218809</v>
      </c>
      <c r="BG5858" t="str">
        <f>T("판타지 웹소설 &gt; 퓨전 판타지")</f>
        <v>판타지 웹소설 &gt; 퓨전 판타지</v>
      </c>
    </row>
    <row r="5859" spans="1:59">
      <c r="A5859" t="s">
        <v>60</v>
      </c>
      <c r="B5859" s="1">
        <v>46131</v>
      </c>
      <c r="C5859">
        <v>2378044065</v>
      </c>
      <c r="D5859">
        <v>2378044126</v>
      </c>
      <c r="E5859" t="str">
        <f>T("저승의 왕위를 계승했다 62화")</f>
        <v>저승의 왕위를 계승했다 62화</v>
      </c>
      <c r="F5859">
        <v>62</v>
      </c>
      <c r="G5859" t="str">
        <f>T("신타비")</f>
        <v>신타비</v>
      </c>
      <c r="J5859" t="str">
        <f>T("매드햇")</f>
        <v>매드햇</v>
      </c>
      <c r="K5859" t="str">
        <f>T("저승의 왕위를 계승했다")</f>
        <v>저승의 왕위를 계승했다</v>
      </c>
      <c r="L5859">
        <v>100</v>
      </c>
      <c r="M5859">
        <v>100</v>
      </c>
      <c r="N5859">
        <v>1</v>
      </c>
      <c r="O5859">
        <v>0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0</v>
      </c>
      <c r="AE5859">
        <v>0</v>
      </c>
      <c r="AF5859">
        <v>0</v>
      </c>
      <c r="AG5859">
        <v>0</v>
      </c>
      <c r="AH5859">
        <v>0</v>
      </c>
      <c r="AI5859">
        <v>100</v>
      </c>
      <c r="AJ5859">
        <v>1</v>
      </c>
      <c r="AK5859">
        <v>0</v>
      </c>
      <c r="AL5859">
        <v>0</v>
      </c>
      <c r="AM5859">
        <v>100</v>
      </c>
      <c r="AN5859">
        <v>0</v>
      </c>
      <c r="AO5859">
        <v>0</v>
      </c>
      <c r="AP5859">
        <v>0</v>
      </c>
      <c r="AQ5859">
        <v>0</v>
      </c>
      <c r="AS5859">
        <v>0</v>
      </c>
      <c r="AT5859">
        <v>0</v>
      </c>
      <c r="AV5859">
        <v>0</v>
      </c>
      <c r="AW5859">
        <v>0</v>
      </c>
      <c r="AY5859">
        <v>0</v>
      </c>
      <c r="AZ5859">
        <v>0</v>
      </c>
      <c r="BA5859">
        <v>70</v>
      </c>
      <c r="BE5859" t="str">
        <f>T("9791137014381")</f>
        <v>9791137014381</v>
      </c>
      <c r="BF5859" t="str">
        <f>T("N218810")</f>
        <v>N218810</v>
      </c>
      <c r="BG5859" t="str">
        <f>T("판타지 웹소설 &gt; 퓨전 판타지")</f>
        <v>판타지 웹소설 &gt; 퓨전 판타지</v>
      </c>
    </row>
    <row r="5860" spans="1:59">
      <c r="A5860" t="s">
        <v>60</v>
      </c>
      <c r="B5860" s="1">
        <v>46131</v>
      </c>
      <c r="C5860">
        <v>2378044065</v>
      </c>
      <c r="D5860">
        <v>2378044127</v>
      </c>
      <c r="E5860" t="str">
        <f>T("저승의 왕위를 계승했다 63화")</f>
        <v>저승의 왕위를 계승했다 63화</v>
      </c>
      <c r="F5860">
        <v>63</v>
      </c>
      <c r="G5860" t="str">
        <f>T("신타비")</f>
        <v>신타비</v>
      </c>
      <c r="J5860" t="str">
        <f>T("매드햇")</f>
        <v>매드햇</v>
      </c>
      <c r="K5860" t="str">
        <f>T("저승의 왕위를 계승했다")</f>
        <v>저승의 왕위를 계승했다</v>
      </c>
      <c r="L5860">
        <v>100</v>
      </c>
      <c r="M5860">
        <v>100</v>
      </c>
      <c r="N5860">
        <v>1</v>
      </c>
      <c r="O5860">
        <v>0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0</v>
      </c>
      <c r="AE5860">
        <v>0</v>
      </c>
      <c r="AF5860">
        <v>0</v>
      </c>
      <c r="AG5860">
        <v>0</v>
      </c>
      <c r="AH5860">
        <v>0</v>
      </c>
      <c r="AI5860">
        <v>100</v>
      </c>
      <c r="AJ5860">
        <v>1</v>
      </c>
      <c r="AK5860">
        <v>0</v>
      </c>
      <c r="AL5860">
        <v>0</v>
      </c>
      <c r="AM5860">
        <v>100</v>
      </c>
      <c r="AN5860">
        <v>0</v>
      </c>
      <c r="AO5860">
        <v>0</v>
      </c>
      <c r="AP5860">
        <v>0</v>
      </c>
      <c r="AQ5860">
        <v>0</v>
      </c>
      <c r="AS5860">
        <v>0</v>
      </c>
      <c r="AT5860">
        <v>0</v>
      </c>
      <c r="AV5860">
        <v>0</v>
      </c>
      <c r="AW5860">
        <v>0</v>
      </c>
      <c r="AY5860">
        <v>0</v>
      </c>
      <c r="AZ5860">
        <v>0</v>
      </c>
      <c r="BA5860">
        <v>70</v>
      </c>
      <c r="BE5860" t="str">
        <f>T("9791137014381")</f>
        <v>9791137014381</v>
      </c>
      <c r="BF5860" t="str">
        <f>T("N218811")</f>
        <v>N218811</v>
      </c>
      <c r="BG5860" t="str">
        <f>T("판타지 웹소설 &gt; 퓨전 판타지")</f>
        <v>판타지 웹소설 &gt; 퓨전 판타지</v>
      </c>
    </row>
    <row r="5861" spans="1:59">
      <c r="A5861" t="s">
        <v>60</v>
      </c>
      <c r="B5861" s="1">
        <v>46131</v>
      </c>
      <c r="C5861">
        <v>2378044065</v>
      </c>
      <c r="D5861">
        <v>2378044128</v>
      </c>
      <c r="E5861" t="str">
        <f>T("저승의 왕위를 계승했다 64화")</f>
        <v>저승의 왕위를 계승했다 64화</v>
      </c>
      <c r="F5861">
        <v>64</v>
      </c>
      <c r="G5861" t="str">
        <f>T("신타비")</f>
        <v>신타비</v>
      </c>
      <c r="J5861" t="str">
        <f>T("매드햇")</f>
        <v>매드햇</v>
      </c>
      <c r="K5861" t="str">
        <f>T("저승의 왕위를 계승했다")</f>
        <v>저승의 왕위를 계승했다</v>
      </c>
      <c r="L5861">
        <v>100</v>
      </c>
      <c r="M5861">
        <v>100</v>
      </c>
      <c r="N5861">
        <v>1</v>
      </c>
      <c r="O5861">
        <v>0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0</v>
      </c>
      <c r="AE5861">
        <v>0</v>
      </c>
      <c r="AF5861">
        <v>0</v>
      </c>
      <c r="AG5861">
        <v>0</v>
      </c>
      <c r="AH5861">
        <v>0</v>
      </c>
      <c r="AI5861">
        <v>100</v>
      </c>
      <c r="AJ5861">
        <v>1</v>
      </c>
      <c r="AK5861">
        <v>0</v>
      </c>
      <c r="AL5861">
        <v>0</v>
      </c>
      <c r="AM5861">
        <v>100</v>
      </c>
      <c r="AN5861">
        <v>0</v>
      </c>
      <c r="AO5861">
        <v>0</v>
      </c>
      <c r="AP5861">
        <v>0</v>
      </c>
      <c r="AQ5861">
        <v>0</v>
      </c>
      <c r="AS5861">
        <v>0</v>
      </c>
      <c r="AT5861">
        <v>0</v>
      </c>
      <c r="AV5861">
        <v>0</v>
      </c>
      <c r="AW5861">
        <v>0</v>
      </c>
      <c r="AY5861">
        <v>0</v>
      </c>
      <c r="AZ5861">
        <v>0</v>
      </c>
      <c r="BA5861">
        <v>70</v>
      </c>
      <c r="BE5861" t="str">
        <f>T("9791137014381")</f>
        <v>9791137014381</v>
      </c>
      <c r="BF5861" t="str">
        <f>T("N218812")</f>
        <v>N218812</v>
      </c>
      <c r="BG5861" t="str">
        <f>T("판타지 웹소설 &gt; 퓨전 판타지")</f>
        <v>판타지 웹소설 &gt; 퓨전 판타지</v>
      </c>
    </row>
    <row r="5862" spans="1:59">
      <c r="A5862" t="s">
        <v>60</v>
      </c>
      <c r="B5862" s="1">
        <v>46131</v>
      </c>
      <c r="C5862">
        <v>2378044065</v>
      </c>
      <c r="D5862">
        <v>2378069604</v>
      </c>
      <c r="E5862" t="str">
        <f>T("저승의 왕위를 계승했다 506화")</f>
        <v>저승의 왕위를 계승했다 506화</v>
      </c>
      <c r="F5862">
        <v>507</v>
      </c>
      <c r="G5862" t="str">
        <f>T("신타비")</f>
        <v>신타비</v>
      </c>
      <c r="J5862" t="str">
        <f>T("매드햇")</f>
        <v>매드햇</v>
      </c>
      <c r="K5862" t="str">
        <f>T("저승의 왕위를 계승했다")</f>
        <v>저승의 왕위를 계승했다</v>
      </c>
      <c r="L5862">
        <v>100</v>
      </c>
      <c r="M5862">
        <v>100</v>
      </c>
      <c r="N5862">
        <v>1</v>
      </c>
      <c r="O5862">
        <v>0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0</v>
      </c>
      <c r="AE5862">
        <v>0</v>
      </c>
      <c r="AF5862">
        <v>0</v>
      </c>
      <c r="AG5862">
        <v>0</v>
      </c>
      <c r="AH5862">
        <v>0</v>
      </c>
      <c r="AI5862">
        <v>100</v>
      </c>
      <c r="AJ5862">
        <v>1</v>
      </c>
      <c r="AK5862">
        <v>0</v>
      </c>
      <c r="AL5862">
        <v>0</v>
      </c>
      <c r="AM5862">
        <v>100</v>
      </c>
      <c r="AN5862">
        <v>0</v>
      </c>
      <c r="AO5862">
        <v>0</v>
      </c>
      <c r="AP5862">
        <v>0</v>
      </c>
      <c r="AQ5862">
        <v>0</v>
      </c>
      <c r="AS5862">
        <v>0</v>
      </c>
      <c r="AT5862">
        <v>0</v>
      </c>
      <c r="AV5862">
        <v>0</v>
      </c>
      <c r="AW5862">
        <v>0</v>
      </c>
      <c r="AY5862">
        <v>0</v>
      </c>
      <c r="AZ5862">
        <v>0</v>
      </c>
      <c r="BA5862">
        <v>70</v>
      </c>
      <c r="BE5862" t="str">
        <f>T("9791137014381")</f>
        <v>9791137014381</v>
      </c>
      <c r="BF5862" t="str">
        <f>T("k410842")</f>
        <v>k410842</v>
      </c>
      <c r="BG5862" t="str">
        <f>T("판타지 웹소설 &gt; 퓨전 판타지")</f>
        <v>판타지 웹소설 &gt; 퓨전 판타지</v>
      </c>
    </row>
    <row r="5863" spans="1:59">
      <c r="A5863" t="s">
        <v>60</v>
      </c>
      <c r="B5863" s="1">
        <v>46131</v>
      </c>
      <c r="C5863">
        <v>2378044065</v>
      </c>
      <c r="D5863">
        <v>2378044129</v>
      </c>
      <c r="E5863" t="str">
        <f>T("저승의 왕위를 계승했다 65화")</f>
        <v>저승의 왕위를 계승했다 65화</v>
      </c>
      <c r="F5863">
        <v>65</v>
      </c>
      <c r="G5863" t="str">
        <f>T("신타비")</f>
        <v>신타비</v>
      </c>
      <c r="J5863" t="str">
        <f>T("매드햇")</f>
        <v>매드햇</v>
      </c>
      <c r="K5863" t="str">
        <f>T("저승의 왕위를 계승했다")</f>
        <v>저승의 왕위를 계승했다</v>
      </c>
      <c r="L5863">
        <v>100</v>
      </c>
      <c r="M5863">
        <v>100</v>
      </c>
      <c r="N5863">
        <v>1</v>
      </c>
      <c r="O5863">
        <v>0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0</v>
      </c>
      <c r="AE5863">
        <v>0</v>
      </c>
      <c r="AF5863">
        <v>0</v>
      </c>
      <c r="AG5863">
        <v>0</v>
      </c>
      <c r="AH5863">
        <v>0</v>
      </c>
      <c r="AI5863">
        <v>100</v>
      </c>
      <c r="AJ5863">
        <v>1</v>
      </c>
      <c r="AK5863">
        <v>0</v>
      </c>
      <c r="AL5863">
        <v>0</v>
      </c>
      <c r="AM5863">
        <v>100</v>
      </c>
      <c r="AN5863">
        <v>0</v>
      </c>
      <c r="AO5863">
        <v>0</v>
      </c>
      <c r="AP5863">
        <v>0</v>
      </c>
      <c r="AQ5863">
        <v>0</v>
      </c>
      <c r="AS5863">
        <v>0</v>
      </c>
      <c r="AT5863">
        <v>0</v>
      </c>
      <c r="AV5863">
        <v>0</v>
      </c>
      <c r="AW5863">
        <v>0</v>
      </c>
      <c r="AY5863">
        <v>0</v>
      </c>
      <c r="AZ5863">
        <v>0</v>
      </c>
      <c r="BA5863">
        <v>70</v>
      </c>
      <c r="BE5863" t="str">
        <f>T("9791137014381")</f>
        <v>9791137014381</v>
      </c>
      <c r="BF5863" t="str">
        <f>T("N218813")</f>
        <v>N218813</v>
      </c>
      <c r="BG5863" t="str">
        <f>T("판타지 웹소설 &gt; 퓨전 판타지")</f>
        <v>판타지 웹소설 &gt; 퓨전 판타지</v>
      </c>
    </row>
    <row r="5864" spans="1:59">
      <c r="A5864" t="s">
        <v>60</v>
      </c>
      <c r="B5864" s="1">
        <v>46131</v>
      </c>
      <c r="C5864">
        <v>2378044065</v>
      </c>
      <c r="D5864">
        <v>2378070167</v>
      </c>
      <c r="E5864" t="str">
        <f>T("저승의 왕위를 계승했다 518화")</f>
        <v>저승의 왕위를 계승했다 518화</v>
      </c>
      <c r="F5864">
        <v>519</v>
      </c>
      <c r="G5864" t="str">
        <f>T("신타비")</f>
        <v>신타비</v>
      </c>
      <c r="J5864" t="str">
        <f>T("매드햇")</f>
        <v>매드햇</v>
      </c>
      <c r="K5864" t="str">
        <f>T("저승의 왕위를 계승했다")</f>
        <v>저승의 왕위를 계승했다</v>
      </c>
      <c r="L5864">
        <v>100</v>
      </c>
      <c r="M5864">
        <v>100</v>
      </c>
      <c r="N5864">
        <v>1</v>
      </c>
      <c r="O5864">
        <v>0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0</v>
      </c>
      <c r="AE5864">
        <v>0</v>
      </c>
      <c r="AF5864">
        <v>0</v>
      </c>
      <c r="AG5864">
        <v>0</v>
      </c>
      <c r="AH5864">
        <v>0</v>
      </c>
      <c r="AI5864">
        <v>100</v>
      </c>
      <c r="AJ5864">
        <v>1</v>
      </c>
      <c r="AK5864">
        <v>0</v>
      </c>
      <c r="AL5864">
        <v>0</v>
      </c>
      <c r="AM5864">
        <v>100</v>
      </c>
      <c r="AN5864">
        <v>0</v>
      </c>
      <c r="AO5864">
        <v>0</v>
      </c>
      <c r="AP5864">
        <v>0</v>
      </c>
      <c r="AQ5864">
        <v>0</v>
      </c>
      <c r="AS5864">
        <v>0</v>
      </c>
      <c r="AT5864">
        <v>0</v>
      </c>
      <c r="AV5864">
        <v>0</v>
      </c>
      <c r="AW5864">
        <v>0</v>
      </c>
      <c r="AY5864">
        <v>0</v>
      </c>
      <c r="AZ5864">
        <v>0</v>
      </c>
      <c r="BA5864">
        <v>70</v>
      </c>
      <c r="BE5864" t="str">
        <f>T("9791137014381")</f>
        <v>9791137014381</v>
      </c>
      <c r="BF5864" t="str">
        <f>T("k418909")</f>
        <v>k418909</v>
      </c>
      <c r="BG5864" t="str">
        <f>T("판타지 웹소설 &gt; 퓨전 판타지")</f>
        <v>판타지 웹소설 &gt; 퓨전 판타지</v>
      </c>
    </row>
    <row r="5865" spans="1:59">
      <c r="A5865" t="s">
        <v>60</v>
      </c>
      <c r="B5865" s="1">
        <v>46131</v>
      </c>
      <c r="C5865">
        <v>2378044065</v>
      </c>
      <c r="D5865">
        <v>2378070177</v>
      </c>
      <c r="E5865" t="str">
        <f>T("저승의 왕위를 계승했다 519화")</f>
        <v>저승의 왕위를 계승했다 519화</v>
      </c>
      <c r="F5865">
        <v>520</v>
      </c>
      <c r="G5865" t="str">
        <f>T("신타비")</f>
        <v>신타비</v>
      </c>
      <c r="J5865" t="str">
        <f>T("매드햇")</f>
        <v>매드햇</v>
      </c>
      <c r="K5865" t="str">
        <f>T("저승의 왕위를 계승했다")</f>
        <v>저승의 왕위를 계승했다</v>
      </c>
      <c r="L5865">
        <v>100</v>
      </c>
      <c r="M5865">
        <v>100</v>
      </c>
      <c r="N5865">
        <v>1</v>
      </c>
      <c r="O5865">
        <v>0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0</v>
      </c>
      <c r="AE5865">
        <v>0</v>
      </c>
      <c r="AF5865">
        <v>0</v>
      </c>
      <c r="AG5865">
        <v>0</v>
      </c>
      <c r="AH5865">
        <v>0</v>
      </c>
      <c r="AI5865">
        <v>100</v>
      </c>
      <c r="AJ5865">
        <v>1</v>
      </c>
      <c r="AK5865">
        <v>0</v>
      </c>
      <c r="AL5865">
        <v>0</v>
      </c>
      <c r="AM5865">
        <v>100</v>
      </c>
      <c r="AN5865">
        <v>0</v>
      </c>
      <c r="AO5865">
        <v>0</v>
      </c>
      <c r="AP5865">
        <v>0</v>
      </c>
      <c r="AQ5865">
        <v>0</v>
      </c>
      <c r="AS5865">
        <v>0</v>
      </c>
      <c r="AT5865">
        <v>0</v>
      </c>
      <c r="AV5865">
        <v>0</v>
      </c>
      <c r="AW5865">
        <v>0</v>
      </c>
      <c r="AY5865">
        <v>0</v>
      </c>
      <c r="AZ5865">
        <v>0</v>
      </c>
      <c r="BA5865">
        <v>70</v>
      </c>
      <c r="BE5865" t="str">
        <f>T("9791137014381")</f>
        <v>9791137014381</v>
      </c>
      <c r="BF5865" t="str">
        <f>T("k422123")</f>
        <v>k422123</v>
      </c>
      <c r="BG5865" t="str">
        <f>T("판타지 웹소설 &gt; 퓨전 판타지")</f>
        <v>판타지 웹소설 &gt; 퓨전 판타지</v>
      </c>
    </row>
    <row r="5866" spans="1:59">
      <c r="A5866" t="s">
        <v>60</v>
      </c>
      <c r="B5866" s="1">
        <v>46131</v>
      </c>
      <c r="C5866">
        <v>2378044065</v>
      </c>
      <c r="D5866">
        <v>2378077961</v>
      </c>
      <c r="E5866" t="str">
        <f>T("저승의 왕위를 계승했다 690화")</f>
        <v>저승의 왕위를 계승했다 690화</v>
      </c>
      <c r="F5866">
        <v>692</v>
      </c>
      <c r="G5866" t="str">
        <f>T("신타비")</f>
        <v>신타비</v>
      </c>
      <c r="J5866" t="str">
        <f>T("매드햇")</f>
        <v>매드햇</v>
      </c>
      <c r="K5866" t="str">
        <f>T("저승의 왕위를 계승했다")</f>
        <v>저승의 왕위를 계승했다</v>
      </c>
      <c r="L5866">
        <v>100</v>
      </c>
      <c r="M5866">
        <v>70</v>
      </c>
      <c r="N5866">
        <v>1</v>
      </c>
      <c r="O5866">
        <v>0</v>
      </c>
      <c r="P5866">
        <v>0</v>
      </c>
      <c r="Q5866">
        <v>0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0</v>
      </c>
      <c r="AE5866">
        <v>0</v>
      </c>
      <c r="AF5866">
        <v>0</v>
      </c>
      <c r="AG5866">
        <v>0</v>
      </c>
      <c r="AH5866">
        <v>0</v>
      </c>
      <c r="AI5866">
        <v>70</v>
      </c>
      <c r="AJ5866">
        <v>1</v>
      </c>
      <c r="AK5866">
        <v>0</v>
      </c>
      <c r="AL5866">
        <v>0</v>
      </c>
      <c r="AM5866">
        <v>70</v>
      </c>
      <c r="AN5866">
        <v>0</v>
      </c>
      <c r="AO5866">
        <v>0</v>
      </c>
      <c r="AP5866">
        <v>0</v>
      </c>
      <c r="AQ5866">
        <v>0</v>
      </c>
      <c r="AS5866">
        <v>0</v>
      </c>
      <c r="AT5866">
        <v>0</v>
      </c>
      <c r="AV5866">
        <v>0</v>
      </c>
      <c r="AW5866">
        <v>0</v>
      </c>
      <c r="AY5866">
        <v>0</v>
      </c>
      <c r="AZ5866">
        <v>0</v>
      </c>
      <c r="BA5866">
        <v>49</v>
      </c>
      <c r="BE5866" t="str">
        <f>T("9791137014381")</f>
        <v>9791137014381</v>
      </c>
      <c r="BF5866" t="str">
        <f>T("D088760")</f>
        <v>D088760</v>
      </c>
      <c r="BG5866" t="str">
        <f>T("판타지 웹소설 &gt; 퓨전 판타지")</f>
        <v>판타지 웹소설 &gt; 퓨전 판타지</v>
      </c>
    </row>
    <row r="5867" spans="1:59">
      <c r="A5867" t="s">
        <v>60</v>
      </c>
      <c r="B5867" s="1">
        <v>46131</v>
      </c>
      <c r="C5867">
        <v>2378044065</v>
      </c>
      <c r="D5867">
        <v>2378078224</v>
      </c>
      <c r="E5867" t="str">
        <f>T("저승의 왕위를 계승했다 692화")</f>
        <v>저승의 왕위를 계승했다 692화</v>
      </c>
      <c r="F5867">
        <v>694</v>
      </c>
      <c r="G5867" t="str">
        <f>T("신타비")</f>
        <v>신타비</v>
      </c>
      <c r="J5867" t="str">
        <f>T("매드햇")</f>
        <v>매드햇</v>
      </c>
      <c r="K5867" t="str">
        <f>T("저승의 왕위를 계승했다")</f>
        <v>저승의 왕위를 계승했다</v>
      </c>
      <c r="L5867">
        <v>100</v>
      </c>
      <c r="M5867">
        <v>70</v>
      </c>
      <c r="N5867">
        <v>1</v>
      </c>
      <c r="O5867">
        <v>0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0</v>
      </c>
      <c r="AE5867">
        <v>0</v>
      </c>
      <c r="AF5867">
        <v>0</v>
      </c>
      <c r="AG5867">
        <v>0</v>
      </c>
      <c r="AH5867">
        <v>0</v>
      </c>
      <c r="AI5867">
        <v>70</v>
      </c>
      <c r="AJ5867">
        <v>1</v>
      </c>
      <c r="AK5867">
        <v>0</v>
      </c>
      <c r="AL5867">
        <v>0</v>
      </c>
      <c r="AM5867">
        <v>70</v>
      </c>
      <c r="AN5867">
        <v>0</v>
      </c>
      <c r="AO5867">
        <v>0</v>
      </c>
      <c r="AP5867">
        <v>0</v>
      </c>
      <c r="AQ5867">
        <v>0</v>
      </c>
      <c r="AS5867">
        <v>0</v>
      </c>
      <c r="AT5867">
        <v>0</v>
      </c>
      <c r="AV5867">
        <v>0</v>
      </c>
      <c r="AW5867">
        <v>0</v>
      </c>
      <c r="AY5867">
        <v>0</v>
      </c>
      <c r="AZ5867">
        <v>0</v>
      </c>
      <c r="BA5867">
        <v>49</v>
      </c>
      <c r="BE5867" t="str">
        <f>T("9791137014381")</f>
        <v>9791137014381</v>
      </c>
      <c r="BF5867" t="str">
        <f>T("D126942")</f>
        <v>D126942</v>
      </c>
      <c r="BG5867" t="str">
        <f>T("판타지 웹소설 &gt; 퓨전 판타지")</f>
        <v>판타지 웹소설 &gt; 퓨전 판타지</v>
      </c>
    </row>
    <row r="5868" spans="1:59">
      <c r="A5868" t="s">
        <v>60</v>
      </c>
      <c r="B5868" s="1">
        <v>46131</v>
      </c>
      <c r="C5868">
        <v>2378044065</v>
      </c>
      <c r="D5868">
        <v>2378078231</v>
      </c>
      <c r="E5868" t="str">
        <f>T("저승의 왕위를 계승했다 693화")</f>
        <v>저승의 왕위를 계승했다 693화</v>
      </c>
      <c r="F5868">
        <v>695</v>
      </c>
      <c r="G5868" t="str">
        <f>T("신타비")</f>
        <v>신타비</v>
      </c>
      <c r="J5868" t="str">
        <f>T("매드햇")</f>
        <v>매드햇</v>
      </c>
      <c r="K5868" t="str">
        <f>T("저승의 왕위를 계승했다")</f>
        <v>저승의 왕위를 계승했다</v>
      </c>
      <c r="L5868">
        <v>100</v>
      </c>
      <c r="M5868">
        <v>70</v>
      </c>
      <c r="N5868">
        <v>1</v>
      </c>
      <c r="O5868">
        <v>0</v>
      </c>
      <c r="P5868">
        <v>0</v>
      </c>
      <c r="Q5868">
        <v>0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0</v>
      </c>
      <c r="AE5868">
        <v>0</v>
      </c>
      <c r="AF5868">
        <v>0</v>
      </c>
      <c r="AG5868">
        <v>0</v>
      </c>
      <c r="AH5868">
        <v>0</v>
      </c>
      <c r="AI5868">
        <v>70</v>
      </c>
      <c r="AJ5868">
        <v>1</v>
      </c>
      <c r="AK5868">
        <v>0</v>
      </c>
      <c r="AL5868">
        <v>0</v>
      </c>
      <c r="AM5868">
        <v>70</v>
      </c>
      <c r="AN5868">
        <v>0</v>
      </c>
      <c r="AO5868">
        <v>0</v>
      </c>
      <c r="AP5868">
        <v>0</v>
      </c>
      <c r="AQ5868">
        <v>0</v>
      </c>
      <c r="AS5868">
        <v>0</v>
      </c>
      <c r="AT5868">
        <v>0</v>
      </c>
      <c r="AV5868">
        <v>0</v>
      </c>
      <c r="AW5868">
        <v>0</v>
      </c>
      <c r="AY5868">
        <v>0</v>
      </c>
      <c r="AZ5868">
        <v>0</v>
      </c>
      <c r="BA5868">
        <v>49</v>
      </c>
      <c r="BE5868" t="str">
        <f>T("9791137014381")</f>
        <v>9791137014381</v>
      </c>
      <c r="BF5868" t="str">
        <f>T("D126943")</f>
        <v>D126943</v>
      </c>
      <c r="BG5868" t="str">
        <f>T("판타지 웹소설 &gt; 퓨전 판타지")</f>
        <v>판타지 웹소설 &gt; 퓨전 판타지</v>
      </c>
    </row>
    <row r="5869" spans="1:59">
      <c r="A5869" t="s">
        <v>60</v>
      </c>
      <c r="B5869" s="1">
        <v>46131</v>
      </c>
      <c r="C5869">
        <v>2378044065</v>
      </c>
      <c r="D5869">
        <v>2378078232</v>
      </c>
      <c r="E5869" t="str">
        <f>T("저승의 왕위를 계승했다 694화")</f>
        <v>저승의 왕위를 계승했다 694화</v>
      </c>
      <c r="F5869">
        <v>696</v>
      </c>
      <c r="G5869" t="str">
        <f>T("신타비")</f>
        <v>신타비</v>
      </c>
      <c r="J5869" t="str">
        <f>T("매드햇")</f>
        <v>매드햇</v>
      </c>
      <c r="K5869" t="str">
        <f>T("저승의 왕위를 계승했다")</f>
        <v>저승의 왕위를 계승했다</v>
      </c>
      <c r="L5869">
        <v>100</v>
      </c>
      <c r="M5869">
        <v>70</v>
      </c>
      <c r="N5869">
        <v>1</v>
      </c>
      <c r="O5869">
        <v>0</v>
      </c>
      <c r="P5869">
        <v>0</v>
      </c>
      <c r="Q5869">
        <v>0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0</v>
      </c>
      <c r="AE5869">
        <v>0</v>
      </c>
      <c r="AF5869">
        <v>0</v>
      </c>
      <c r="AG5869">
        <v>0</v>
      </c>
      <c r="AH5869">
        <v>0</v>
      </c>
      <c r="AI5869">
        <v>70</v>
      </c>
      <c r="AJ5869">
        <v>1</v>
      </c>
      <c r="AK5869">
        <v>0</v>
      </c>
      <c r="AL5869">
        <v>0</v>
      </c>
      <c r="AM5869">
        <v>70</v>
      </c>
      <c r="AN5869">
        <v>0</v>
      </c>
      <c r="AO5869">
        <v>0</v>
      </c>
      <c r="AP5869">
        <v>0</v>
      </c>
      <c r="AQ5869">
        <v>0</v>
      </c>
      <c r="AS5869">
        <v>0</v>
      </c>
      <c r="AT5869">
        <v>0</v>
      </c>
      <c r="AV5869">
        <v>0</v>
      </c>
      <c r="AW5869">
        <v>0</v>
      </c>
      <c r="AY5869">
        <v>0</v>
      </c>
      <c r="AZ5869">
        <v>0</v>
      </c>
      <c r="BA5869">
        <v>49</v>
      </c>
      <c r="BE5869" t="str">
        <f>T("9791137014381")</f>
        <v>9791137014381</v>
      </c>
      <c r="BF5869" t="str">
        <f>T("D126944")</f>
        <v>D126944</v>
      </c>
      <c r="BG5869" t="str">
        <f>T("판타지 웹소설 &gt; 퓨전 판타지")</f>
        <v>판타지 웹소설 &gt; 퓨전 판타지</v>
      </c>
    </row>
    <row r="5870" spans="1:59">
      <c r="A5870" t="s">
        <v>60</v>
      </c>
      <c r="B5870" s="1">
        <v>46131</v>
      </c>
      <c r="C5870">
        <v>2378044065</v>
      </c>
      <c r="D5870">
        <v>2378078233</v>
      </c>
      <c r="E5870" t="str">
        <f>T("저승의 왕위를 계승했다 695화")</f>
        <v>저승의 왕위를 계승했다 695화</v>
      </c>
      <c r="F5870">
        <v>697</v>
      </c>
      <c r="G5870" t="str">
        <f>T("신타비")</f>
        <v>신타비</v>
      </c>
      <c r="J5870" t="str">
        <f>T("매드햇")</f>
        <v>매드햇</v>
      </c>
      <c r="K5870" t="str">
        <f>T("저승의 왕위를 계승했다")</f>
        <v>저승의 왕위를 계승했다</v>
      </c>
      <c r="L5870">
        <v>100</v>
      </c>
      <c r="M5870">
        <v>70</v>
      </c>
      <c r="N5870">
        <v>1</v>
      </c>
      <c r="O5870">
        <v>0</v>
      </c>
      <c r="P5870">
        <v>0</v>
      </c>
      <c r="Q5870">
        <v>0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0</v>
      </c>
      <c r="AE5870">
        <v>0</v>
      </c>
      <c r="AF5870">
        <v>0</v>
      </c>
      <c r="AG5870">
        <v>0</v>
      </c>
      <c r="AH5870">
        <v>0</v>
      </c>
      <c r="AI5870">
        <v>70</v>
      </c>
      <c r="AJ5870">
        <v>1</v>
      </c>
      <c r="AK5870">
        <v>0</v>
      </c>
      <c r="AL5870">
        <v>0</v>
      </c>
      <c r="AM5870">
        <v>70</v>
      </c>
      <c r="AN5870">
        <v>0</v>
      </c>
      <c r="AO5870">
        <v>0</v>
      </c>
      <c r="AP5870">
        <v>0</v>
      </c>
      <c r="AQ5870">
        <v>0</v>
      </c>
      <c r="AS5870">
        <v>0</v>
      </c>
      <c r="AT5870">
        <v>0</v>
      </c>
      <c r="AV5870">
        <v>0</v>
      </c>
      <c r="AW5870">
        <v>0</v>
      </c>
      <c r="AY5870">
        <v>0</v>
      </c>
      <c r="AZ5870">
        <v>0</v>
      </c>
      <c r="BA5870">
        <v>49</v>
      </c>
      <c r="BE5870" t="str">
        <f>T("9791137014381")</f>
        <v>9791137014381</v>
      </c>
      <c r="BF5870" t="str">
        <f>T("D126945")</f>
        <v>D126945</v>
      </c>
      <c r="BG5870" t="str">
        <f>T("판타지 웹소설 &gt; 퓨전 판타지")</f>
        <v>판타지 웹소설 &gt; 퓨전 판타지</v>
      </c>
    </row>
    <row r="5871" spans="1:59">
      <c r="A5871" t="s">
        <v>60</v>
      </c>
      <c r="B5871" s="1">
        <v>46131</v>
      </c>
      <c r="C5871">
        <v>2378044065</v>
      </c>
      <c r="D5871">
        <v>2378078234</v>
      </c>
      <c r="E5871" t="str">
        <f>T("저승의 왕위를 계승했다 696화")</f>
        <v>저승의 왕위를 계승했다 696화</v>
      </c>
      <c r="F5871">
        <v>698</v>
      </c>
      <c r="G5871" t="str">
        <f>T("신타비")</f>
        <v>신타비</v>
      </c>
      <c r="J5871" t="str">
        <f>T("매드햇")</f>
        <v>매드햇</v>
      </c>
      <c r="K5871" t="str">
        <f>T("저승의 왕위를 계승했다")</f>
        <v>저승의 왕위를 계승했다</v>
      </c>
      <c r="L5871">
        <v>100</v>
      </c>
      <c r="M5871">
        <v>70</v>
      </c>
      <c r="N5871">
        <v>1</v>
      </c>
      <c r="O5871">
        <v>0</v>
      </c>
      <c r="P5871">
        <v>0</v>
      </c>
      <c r="Q5871">
        <v>0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0</v>
      </c>
      <c r="AC5871">
        <v>0</v>
      </c>
      <c r="AD5871">
        <v>0</v>
      </c>
      <c r="AE5871">
        <v>0</v>
      </c>
      <c r="AF5871">
        <v>0</v>
      </c>
      <c r="AG5871">
        <v>0</v>
      </c>
      <c r="AH5871">
        <v>0</v>
      </c>
      <c r="AI5871">
        <v>70</v>
      </c>
      <c r="AJ5871">
        <v>1</v>
      </c>
      <c r="AK5871">
        <v>0</v>
      </c>
      <c r="AL5871">
        <v>0</v>
      </c>
      <c r="AM5871">
        <v>70</v>
      </c>
      <c r="AN5871">
        <v>0</v>
      </c>
      <c r="AO5871">
        <v>0</v>
      </c>
      <c r="AP5871">
        <v>0</v>
      </c>
      <c r="AQ5871">
        <v>0</v>
      </c>
      <c r="AS5871">
        <v>0</v>
      </c>
      <c r="AT5871">
        <v>0</v>
      </c>
      <c r="AV5871">
        <v>0</v>
      </c>
      <c r="AW5871">
        <v>0</v>
      </c>
      <c r="AY5871">
        <v>0</v>
      </c>
      <c r="AZ5871">
        <v>0</v>
      </c>
      <c r="BA5871">
        <v>49</v>
      </c>
      <c r="BE5871" t="str">
        <f>T("9791137014381")</f>
        <v>9791137014381</v>
      </c>
      <c r="BF5871" t="str">
        <f>T("D126946")</f>
        <v>D126946</v>
      </c>
      <c r="BG5871" t="str">
        <f>T("판타지 웹소설 &gt; 퓨전 판타지")</f>
        <v>판타지 웹소설 &gt; 퓨전 판타지</v>
      </c>
    </row>
    <row r="5872" spans="1:59">
      <c r="A5872" t="s">
        <v>60</v>
      </c>
      <c r="B5872" s="1">
        <v>46131</v>
      </c>
      <c r="C5872">
        <v>2378044065</v>
      </c>
      <c r="D5872">
        <v>2378078324</v>
      </c>
      <c r="E5872" t="str">
        <f>T("저승의 왕위를 계승했다 697화")</f>
        <v>저승의 왕위를 계승했다 697화</v>
      </c>
      <c r="F5872">
        <v>699</v>
      </c>
      <c r="G5872" t="str">
        <f>T("신타비")</f>
        <v>신타비</v>
      </c>
      <c r="J5872" t="str">
        <f>T("매드햇")</f>
        <v>매드햇</v>
      </c>
      <c r="K5872" t="str">
        <f>T("저승의 왕위를 계승했다")</f>
        <v>저승의 왕위를 계승했다</v>
      </c>
      <c r="L5872">
        <v>100</v>
      </c>
      <c r="M5872">
        <v>70</v>
      </c>
      <c r="N5872">
        <v>1</v>
      </c>
      <c r="O5872">
        <v>0</v>
      </c>
      <c r="P5872">
        <v>0</v>
      </c>
      <c r="Q5872">
        <v>0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0</v>
      </c>
      <c r="AC5872">
        <v>0</v>
      </c>
      <c r="AD5872">
        <v>0</v>
      </c>
      <c r="AE5872">
        <v>0</v>
      </c>
      <c r="AF5872">
        <v>0</v>
      </c>
      <c r="AG5872">
        <v>0</v>
      </c>
      <c r="AH5872">
        <v>0</v>
      </c>
      <c r="AI5872">
        <v>70</v>
      </c>
      <c r="AJ5872">
        <v>1</v>
      </c>
      <c r="AK5872">
        <v>0</v>
      </c>
      <c r="AL5872">
        <v>0</v>
      </c>
      <c r="AM5872">
        <v>70</v>
      </c>
      <c r="AN5872">
        <v>0</v>
      </c>
      <c r="AO5872">
        <v>0</v>
      </c>
      <c r="AP5872">
        <v>0</v>
      </c>
      <c r="AQ5872">
        <v>0</v>
      </c>
      <c r="AS5872">
        <v>0</v>
      </c>
      <c r="AT5872">
        <v>0</v>
      </c>
      <c r="AV5872">
        <v>0</v>
      </c>
      <c r="AW5872">
        <v>0</v>
      </c>
      <c r="AY5872">
        <v>0</v>
      </c>
      <c r="AZ5872">
        <v>0</v>
      </c>
      <c r="BA5872">
        <v>49</v>
      </c>
      <c r="BE5872" t="str">
        <f>T("9791137014381")</f>
        <v>9791137014381</v>
      </c>
      <c r="BF5872" t="str">
        <f>T("D126947")</f>
        <v>D126947</v>
      </c>
      <c r="BG5872" t="str">
        <f>T("판타지 웹소설 &gt; 퓨전 판타지")</f>
        <v>판타지 웹소설 &gt; 퓨전 판타지</v>
      </c>
    </row>
    <row r="5873" spans="1:59">
      <c r="A5873" t="s">
        <v>60</v>
      </c>
      <c r="B5873" s="1">
        <v>46131</v>
      </c>
      <c r="C5873">
        <v>2378044065</v>
      </c>
      <c r="D5873">
        <v>2378078325</v>
      </c>
      <c r="E5873" t="str">
        <f>T("저승의 왕위를 계승했다 698화")</f>
        <v>저승의 왕위를 계승했다 698화</v>
      </c>
      <c r="F5873">
        <v>700</v>
      </c>
      <c r="G5873" t="str">
        <f>T("신타비")</f>
        <v>신타비</v>
      </c>
      <c r="J5873" t="str">
        <f>T("매드햇")</f>
        <v>매드햇</v>
      </c>
      <c r="K5873" t="str">
        <f>T("저승의 왕위를 계승했다")</f>
        <v>저승의 왕위를 계승했다</v>
      </c>
      <c r="L5873">
        <v>100</v>
      </c>
      <c r="M5873">
        <v>70</v>
      </c>
      <c r="N5873">
        <v>1</v>
      </c>
      <c r="O5873">
        <v>0</v>
      </c>
      <c r="P5873">
        <v>0</v>
      </c>
      <c r="Q5873">
        <v>0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0</v>
      </c>
      <c r="AC5873">
        <v>0</v>
      </c>
      <c r="AD5873">
        <v>0</v>
      </c>
      <c r="AE5873">
        <v>0</v>
      </c>
      <c r="AF5873">
        <v>0</v>
      </c>
      <c r="AG5873">
        <v>0</v>
      </c>
      <c r="AH5873">
        <v>0</v>
      </c>
      <c r="AI5873">
        <v>70</v>
      </c>
      <c r="AJ5873">
        <v>1</v>
      </c>
      <c r="AK5873">
        <v>0</v>
      </c>
      <c r="AL5873">
        <v>0</v>
      </c>
      <c r="AM5873">
        <v>70</v>
      </c>
      <c r="AN5873">
        <v>0</v>
      </c>
      <c r="AO5873">
        <v>0</v>
      </c>
      <c r="AP5873">
        <v>0</v>
      </c>
      <c r="AQ5873">
        <v>0</v>
      </c>
      <c r="AS5873">
        <v>0</v>
      </c>
      <c r="AT5873">
        <v>0</v>
      </c>
      <c r="AV5873">
        <v>0</v>
      </c>
      <c r="AW5873">
        <v>0</v>
      </c>
      <c r="AY5873">
        <v>0</v>
      </c>
      <c r="AZ5873">
        <v>0</v>
      </c>
      <c r="BA5873">
        <v>49</v>
      </c>
      <c r="BE5873" t="str">
        <f>T("9791137014381")</f>
        <v>9791137014381</v>
      </c>
      <c r="BF5873" t="str">
        <f>T("D126948")</f>
        <v>D126948</v>
      </c>
      <c r="BG5873" t="str">
        <f>T("판타지 웹소설 &gt; 퓨전 판타지")</f>
        <v>판타지 웹소설 &gt; 퓨전 판타지</v>
      </c>
    </row>
    <row r="5874" spans="1:59">
      <c r="A5874" t="s">
        <v>60</v>
      </c>
      <c r="B5874" s="1">
        <v>46131</v>
      </c>
      <c r="C5874">
        <v>2378044065</v>
      </c>
      <c r="D5874">
        <v>2378078326</v>
      </c>
      <c r="E5874" t="str">
        <f>T("저승의 왕위를 계승했다 699화")</f>
        <v>저승의 왕위를 계승했다 699화</v>
      </c>
      <c r="F5874">
        <v>701</v>
      </c>
      <c r="G5874" t="str">
        <f>T("신타비")</f>
        <v>신타비</v>
      </c>
      <c r="J5874" t="str">
        <f>T("매드햇")</f>
        <v>매드햇</v>
      </c>
      <c r="K5874" t="str">
        <f>T("저승의 왕위를 계승했다")</f>
        <v>저승의 왕위를 계승했다</v>
      </c>
      <c r="L5874">
        <v>100</v>
      </c>
      <c r="M5874">
        <v>70</v>
      </c>
      <c r="N5874">
        <v>1</v>
      </c>
      <c r="O5874">
        <v>0</v>
      </c>
      <c r="P5874">
        <v>0</v>
      </c>
      <c r="Q5874">
        <v>0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0</v>
      </c>
      <c r="AC5874">
        <v>0</v>
      </c>
      <c r="AD5874">
        <v>0</v>
      </c>
      <c r="AE5874">
        <v>0</v>
      </c>
      <c r="AF5874">
        <v>0</v>
      </c>
      <c r="AG5874">
        <v>0</v>
      </c>
      <c r="AH5874">
        <v>0</v>
      </c>
      <c r="AI5874">
        <v>70</v>
      </c>
      <c r="AJ5874">
        <v>1</v>
      </c>
      <c r="AK5874">
        <v>0</v>
      </c>
      <c r="AL5874">
        <v>0</v>
      </c>
      <c r="AM5874">
        <v>70</v>
      </c>
      <c r="AN5874">
        <v>0</v>
      </c>
      <c r="AO5874">
        <v>0</v>
      </c>
      <c r="AP5874">
        <v>0</v>
      </c>
      <c r="AQ5874">
        <v>0</v>
      </c>
      <c r="AS5874">
        <v>0</v>
      </c>
      <c r="AT5874">
        <v>0</v>
      </c>
      <c r="AV5874">
        <v>0</v>
      </c>
      <c r="AW5874">
        <v>0</v>
      </c>
      <c r="AY5874">
        <v>0</v>
      </c>
      <c r="AZ5874">
        <v>0</v>
      </c>
      <c r="BA5874">
        <v>49</v>
      </c>
      <c r="BE5874" t="str">
        <f>T("9791137014381")</f>
        <v>9791137014381</v>
      </c>
      <c r="BF5874" t="str">
        <f>T("D126949")</f>
        <v>D126949</v>
      </c>
      <c r="BG5874" t="str">
        <f>T("판타지 웹소설 &gt; 퓨전 판타지")</f>
        <v>판타지 웹소설 &gt; 퓨전 판타지</v>
      </c>
    </row>
    <row r="5875" spans="1:59">
      <c r="A5875" t="s">
        <v>60</v>
      </c>
      <c r="B5875" s="1">
        <v>46131</v>
      </c>
      <c r="C5875">
        <v>2378044065</v>
      </c>
      <c r="D5875">
        <v>2378078327</v>
      </c>
      <c r="E5875" t="str">
        <f>T("저승의 왕위를 계승했다 700화")</f>
        <v>저승의 왕위를 계승했다 700화</v>
      </c>
      <c r="F5875">
        <v>702</v>
      </c>
      <c r="G5875" t="str">
        <f>T("신타비")</f>
        <v>신타비</v>
      </c>
      <c r="J5875" t="str">
        <f>T("매드햇")</f>
        <v>매드햇</v>
      </c>
      <c r="K5875" t="str">
        <f>T("저승의 왕위를 계승했다")</f>
        <v>저승의 왕위를 계승했다</v>
      </c>
      <c r="L5875">
        <v>100</v>
      </c>
      <c r="M5875">
        <v>70</v>
      </c>
      <c r="N5875">
        <v>1</v>
      </c>
      <c r="O5875">
        <v>0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0</v>
      </c>
      <c r="AC5875">
        <v>0</v>
      </c>
      <c r="AD5875">
        <v>0</v>
      </c>
      <c r="AE5875">
        <v>0</v>
      </c>
      <c r="AF5875">
        <v>0</v>
      </c>
      <c r="AG5875">
        <v>0</v>
      </c>
      <c r="AH5875">
        <v>0</v>
      </c>
      <c r="AI5875">
        <v>70</v>
      </c>
      <c r="AJ5875">
        <v>1</v>
      </c>
      <c r="AK5875">
        <v>0</v>
      </c>
      <c r="AL5875">
        <v>0</v>
      </c>
      <c r="AM5875">
        <v>70</v>
      </c>
      <c r="AN5875">
        <v>0</v>
      </c>
      <c r="AO5875">
        <v>0</v>
      </c>
      <c r="AP5875">
        <v>0</v>
      </c>
      <c r="AQ5875">
        <v>0</v>
      </c>
      <c r="AS5875">
        <v>0</v>
      </c>
      <c r="AT5875">
        <v>0</v>
      </c>
      <c r="AV5875">
        <v>0</v>
      </c>
      <c r="AW5875">
        <v>0</v>
      </c>
      <c r="AY5875">
        <v>0</v>
      </c>
      <c r="AZ5875">
        <v>0</v>
      </c>
      <c r="BA5875">
        <v>49</v>
      </c>
      <c r="BE5875" t="str">
        <f>T("9791137014381")</f>
        <v>9791137014381</v>
      </c>
      <c r="BF5875" t="str">
        <f>T("D126950")</f>
        <v>D126950</v>
      </c>
      <c r="BG5875" t="str">
        <f>T("판타지 웹소설 &gt; 퓨전 판타지")</f>
        <v>판타지 웹소설 &gt; 퓨전 판타지</v>
      </c>
    </row>
    <row r="5876" spans="1:59">
      <c r="A5876" t="s">
        <v>60</v>
      </c>
      <c r="B5876" s="1">
        <v>46131</v>
      </c>
      <c r="C5876">
        <v>2378044065</v>
      </c>
      <c r="D5876">
        <v>2378078369</v>
      </c>
      <c r="E5876" t="str">
        <f>T("저승의 왕위를 계승했다 701화")</f>
        <v>저승의 왕위를 계승했다 701화</v>
      </c>
      <c r="F5876">
        <v>703</v>
      </c>
      <c r="G5876" t="str">
        <f>T("신타비")</f>
        <v>신타비</v>
      </c>
      <c r="J5876" t="str">
        <f>T("매드햇")</f>
        <v>매드햇</v>
      </c>
      <c r="K5876" t="str">
        <f>T("저승의 왕위를 계승했다")</f>
        <v>저승의 왕위를 계승했다</v>
      </c>
      <c r="L5876">
        <v>100</v>
      </c>
      <c r="M5876">
        <v>70</v>
      </c>
      <c r="N5876">
        <v>1</v>
      </c>
      <c r="O5876">
        <v>0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0</v>
      </c>
      <c r="AC5876">
        <v>0</v>
      </c>
      <c r="AD5876">
        <v>0</v>
      </c>
      <c r="AE5876">
        <v>0</v>
      </c>
      <c r="AF5876">
        <v>0</v>
      </c>
      <c r="AG5876">
        <v>0</v>
      </c>
      <c r="AH5876">
        <v>0</v>
      </c>
      <c r="AI5876">
        <v>70</v>
      </c>
      <c r="AJ5876">
        <v>1</v>
      </c>
      <c r="AK5876">
        <v>0</v>
      </c>
      <c r="AL5876">
        <v>0</v>
      </c>
      <c r="AM5876">
        <v>70</v>
      </c>
      <c r="AN5876">
        <v>0</v>
      </c>
      <c r="AO5876">
        <v>0</v>
      </c>
      <c r="AP5876">
        <v>0</v>
      </c>
      <c r="AQ5876">
        <v>0</v>
      </c>
      <c r="AS5876">
        <v>0</v>
      </c>
      <c r="AT5876">
        <v>0</v>
      </c>
      <c r="AV5876">
        <v>0</v>
      </c>
      <c r="AW5876">
        <v>0</v>
      </c>
      <c r="AY5876">
        <v>0</v>
      </c>
      <c r="AZ5876">
        <v>0</v>
      </c>
      <c r="BA5876">
        <v>49</v>
      </c>
      <c r="BE5876" t="str">
        <f>T("9791137014381")</f>
        <v>9791137014381</v>
      </c>
      <c r="BF5876" t="str">
        <f>T("D126951")</f>
        <v>D126951</v>
      </c>
      <c r="BG5876" t="str">
        <f>T("판타지 웹소설 &gt; 퓨전 판타지")</f>
        <v>판타지 웹소설 &gt; 퓨전 판타지</v>
      </c>
    </row>
    <row r="5877" spans="1:59">
      <c r="A5877" t="s">
        <v>60</v>
      </c>
      <c r="B5877" s="1">
        <v>46131</v>
      </c>
      <c r="C5877">
        <v>2378044065</v>
      </c>
      <c r="D5877">
        <v>2378078370</v>
      </c>
      <c r="E5877" t="str">
        <f>T("저승의 왕위를 계승했다 702화")</f>
        <v>저승의 왕위를 계승했다 702화</v>
      </c>
      <c r="F5877">
        <v>704</v>
      </c>
      <c r="G5877" t="str">
        <f>T("신타비")</f>
        <v>신타비</v>
      </c>
      <c r="J5877" t="str">
        <f>T("매드햇")</f>
        <v>매드햇</v>
      </c>
      <c r="K5877" t="str">
        <f>T("저승의 왕위를 계승했다")</f>
        <v>저승의 왕위를 계승했다</v>
      </c>
      <c r="L5877">
        <v>100</v>
      </c>
      <c r="M5877">
        <v>70</v>
      </c>
      <c r="N5877">
        <v>1</v>
      </c>
      <c r="O5877">
        <v>0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0</v>
      </c>
      <c r="AC5877">
        <v>0</v>
      </c>
      <c r="AD5877">
        <v>0</v>
      </c>
      <c r="AE5877">
        <v>0</v>
      </c>
      <c r="AF5877">
        <v>0</v>
      </c>
      <c r="AG5877">
        <v>0</v>
      </c>
      <c r="AH5877">
        <v>0</v>
      </c>
      <c r="AI5877">
        <v>70</v>
      </c>
      <c r="AJ5877">
        <v>1</v>
      </c>
      <c r="AK5877">
        <v>0</v>
      </c>
      <c r="AL5877">
        <v>0</v>
      </c>
      <c r="AM5877">
        <v>70</v>
      </c>
      <c r="AN5877">
        <v>0</v>
      </c>
      <c r="AO5877">
        <v>0</v>
      </c>
      <c r="AP5877">
        <v>0</v>
      </c>
      <c r="AQ5877">
        <v>0</v>
      </c>
      <c r="AS5877">
        <v>0</v>
      </c>
      <c r="AT5877">
        <v>0</v>
      </c>
      <c r="AV5877">
        <v>0</v>
      </c>
      <c r="AW5877">
        <v>0</v>
      </c>
      <c r="AY5877">
        <v>0</v>
      </c>
      <c r="AZ5877">
        <v>0</v>
      </c>
      <c r="BA5877">
        <v>49</v>
      </c>
      <c r="BE5877" t="str">
        <f>T("9791137014381")</f>
        <v>9791137014381</v>
      </c>
      <c r="BF5877" t="str">
        <f>T("D126952")</f>
        <v>D126952</v>
      </c>
      <c r="BG5877" t="str">
        <f>T("판타지 웹소설 &gt; 퓨전 판타지")</f>
        <v>판타지 웹소설 &gt; 퓨전 판타지</v>
      </c>
    </row>
    <row r="5878" spans="1:59">
      <c r="A5878" t="s">
        <v>60</v>
      </c>
      <c r="B5878" s="1">
        <v>46131</v>
      </c>
      <c r="C5878">
        <v>2378044065</v>
      </c>
      <c r="D5878">
        <v>2378078371</v>
      </c>
      <c r="E5878" t="str">
        <f>T("저승의 왕위를 계승했다 703화")</f>
        <v>저승의 왕위를 계승했다 703화</v>
      </c>
      <c r="F5878">
        <v>705</v>
      </c>
      <c r="G5878" t="str">
        <f>T("신타비")</f>
        <v>신타비</v>
      </c>
      <c r="J5878" t="str">
        <f>T("매드햇")</f>
        <v>매드햇</v>
      </c>
      <c r="K5878" t="str">
        <f>T("저승의 왕위를 계승했다")</f>
        <v>저승의 왕위를 계승했다</v>
      </c>
      <c r="L5878">
        <v>100</v>
      </c>
      <c r="M5878">
        <v>70</v>
      </c>
      <c r="N5878">
        <v>1</v>
      </c>
      <c r="O5878">
        <v>0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0</v>
      </c>
      <c r="AC5878">
        <v>0</v>
      </c>
      <c r="AD5878">
        <v>0</v>
      </c>
      <c r="AE5878">
        <v>0</v>
      </c>
      <c r="AF5878">
        <v>0</v>
      </c>
      <c r="AG5878">
        <v>0</v>
      </c>
      <c r="AH5878">
        <v>0</v>
      </c>
      <c r="AI5878">
        <v>70</v>
      </c>
      <c r="AJ5878">
        <v>1</v>
      </c>
      <c r="AK5878">
        <v>0</v>
      </c>
      <c r="AL5878">
        <v>0</v>
      </c>
      <c r="AM5878">
        <v>70</v>
      </c>
      <c r="AN5878">
        <v>0</v>
      </c>
      <c r="AO5878">
        <v>0</v>
      </c>
      <c r="AP5878">
        <v>0</v>
      </c>
      <c r="AQ5878">
        <v>0</v>
      </c>
      <c r="AS5878">
        <v>0</v>
      </c>
      <c r="AT5878">
        <v>0</v>
      </c>
      <c r="AV5878">
        <v>0</v>
      </c>
      <c r="AW5878">
        <v>0</v>
      </c>
      <c r="AY5878">
        <v>0</v>
      </c>
      <c r="AZ5878">
        <v>0</v>
      </c>
      <c r="BA5878">
        <v>49</v>
      </c>
      <c r="BE5878" t="str">
        <f>T("9791137014381")</f>
        <v>9791137014381</v>
      </c>
      <c r="BF5878" t="str">
        <f>T("D126953")</f>
        <v>D126953</v>
      </c>
      <c r="BG5878" t="str">
        <f>T("판타지 웹소설 &gt; 퓨전 판타지")</f>
        <v>판타지 웹소설 &gt; 퓨전 판타지</v>
      </c>
    </row>
    <row r="5879" spans="1:59">
      <c r="A5879" t="s">
        <v>60</v>
      </c>
      <c r="B5879" s="1">
        <v>46131</v>
      </c>
      <c r="C5879">
        <v>2378044065</v>
      </c>
      <c r="D5879">
        <v>2378078372</v>
      </c>
      <c r="E5879" t="str">
        <f>T("저승의 왕위를 계승했다 704화")</f>
        <v>저승의 왕위를 계승했다 704화</v>
      </c>
      <c r="F5879">
        <v>706</v>
      </c>
      <c r="G5879" t="str">
        <f>T("신타비")</f>
        <v>신타비</v>
      </c>
      <c r="J5879" t="str">
        <f>T("매드햇")</f>
        <v>매드햇</v>
      </c>
      <c r="K5879" t="str">
        <f>T("저승의 왕위를 계승했다")</f>
        <v>저승의 왕위를 계승했다</v>
      </c>
      <c r="L5879">
        <v>100</v>
      </c>
      <c r="M5879">
        <v>70</v>
      </c>
      <c r="N5879">
        <v>1</v>
      </c>
      <c r="O5879">
        <v>0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0</v>
      </c>
      <c r="AC5879">
        <v>0</v>
      </c>
      <c r="AD5879">
        <v>0</v>
      </c>
      <c r="AE5879">
        <v>0</v>
      </c>
      <c r="AF5879">
        <v>0</v>
      </c>
      <c r="AG5879">
        <v>0</v>
      </c>
      <c r="AH5879">
        <v>0</v>
      </c>
      <c r="AI5879">
        <v>70</v>
      </c>
      <c r="AJ5879">
        <v>1</v>
      </c>
      <c r="AK5879">
        <v>0</v>
      </c>
      <c r="AL5879">
        <v>0</v>
      </c>
      <c r="AM5879">
        <v>70</v>
      </c>
      <c r="AN5879">
        <v>0</v>
      </c>
      <c r="AO5879">
        <v>0</v>
      </c>
      <c r="AP5879">
        <v>0</v>
      </c>
      <c r="AQ5879">
        <v>0</v>
      </c>
      <c r="AS5879">
        <v>0</v>
      </c>
      <c r="AT5879">
        <v>0</v>
      </c>
      <c r="AV5879">
        <v>0</v>
      </c>
      <c r="AW5879">
        <v>0</v>
      </c>
      <c r="AY5879">
        <v>0</v>
      </c>
      <c r="AZ5879">
        <v>0</v>
      </c>
      <c r="BA5879">
        <v>49</v>
      </c>
      <c r="BE5879" t="str">
        <f>T("9791137014381")</f>
        <v>9791137014381</v>
      </c>
      <c r="BF5879" t="str">
        <f>T("D126954")</f>
        <v>D126954</v>
      </c>
      <c r="BG5879" t="str">
        <f>T("판타지 웹소설 &gt; 퓨전 판타지")</f>
        <v>판타지 웹소설 &gt; 퓨전 판타지</v>
      </c>
    </row>
    <row r="5880" spans="1:59">
      <c r="A5880" t="s">
        <v>60</v>
      </c>
      <c r="B5880" s="1">
        <v>46131</v>
      </c>
      <c r="C5880">
        <v>2378044065</v>
      </c>
      <c r="D5880">
        <v>2378078373</v>
      </c>
      <c r="E5880" t="str">
        <f>T("저승의 왕위를 계승했다 705화")</f>
        <v>저승의 왕위를 계승했다 705화</v>
      </c>
      <c r="F5880">
        <v>707</v>
      </c>
      <c r="G5880" t="str">
        <f>T("신타비")</f>
        <v>신타비</v>
      </c>
      <c r="J5880" t="str">
        <f>T("매드햇")</f>
        <v>매드햇</v>
      </c>
      <c r="K5880" t="str">
        <f>T("저승의 왕위를 계승했다")</f>
        <v>저승의 왕위를 계승했다</v>
      </c>
      <c r="L5880">
        <v>100</v>
      </c>
      <c r="M5880">
        <v>70</v>
      </c>
      <c r="N5880">
        <v>1</v>
      </c>
      <c r="O5880">
        <v>0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0</v>
      </c>
      <c r="AC5880">
        <v>0</v>
      </c>
      <c r="AD5880">
        <v>0</v>
      </c>
      <c r="AE5880">
        <v>0</v>
      </c>
      <c r="AF5880">
        <v>0</v>
      </c>
      <c r="AG5880">
        <v>0</v>
      </c>
      <c r="AH5880">
        <v>0</v>
      </c>
      <c r="AI5880">
        <v>70</v>
      </c>
      <c r="AJ5880">
        <v>1</v>
      </c>
      <c r="AK5880">
        <v>0</v>
      </c>
      <c r="AL5880">
        <v>0</v>
      </c>
      <c r="AM5880">
        <v>70</v>
      </c>
      <c r="AN5880">
        <v>0</v>
      </c>
      <c r="AO5880">
        <v>0</v>
      </c>
      <c r="AP5880">
        <v>0</v>
      </c>
      <c r="AQ5880">
        <v>0</v>
      </c>
      <c r="AS5880">
        <v>0</v>
      </c>
      <c r="AT5880">
        <v>0</v>
      </c>
      <c r="AV5880">
        <v>0</v>
      </c>
      <c r="AW5880">
        <v>0</v>
      </c>
      <c r="AY5880">
        <v>0</v>
      </c>
      <c r="AZ5880">
        <v>0</v>
      </c>
      <c r="BA5880">
        <v>49</v>
      </c>
      <c r="BE5880" t="str">
        <f>T("9791137014381")</f>
        <v>9791137014381</v>
      </c>
      <c r="BF5880" t="str">
        <f>T("D126955")</f>
        <v>D126955</v>
      </c>
      <c r="BG5880" t="str">
        <f>T("판타지 웹소설 &gt; 퓨전 판타지")</f>
        <v>판타지 웹소설 &gt; 퓨전 판타지</v>
      </c>
    </row>
    <row r="5881" spans="1:59">
      <c r="A5881" t="s">
        <v>60</v>
      </c>
      <c r="B5881" s="1">
        <v>46131</v>
      </c>
      <c r="C5881">
        <v>2378044065</v>
      </c>
      <c r="D5881">
        <v>2378078374</v>
      </c>
      <c r="E5881" t="str">
        <f>T("저승의 왕위를 계승했다 706화")</f>
        <v>저승의 왕위를 계승했다 706화</v>
      </c>
      <c r="F5881">
        <v>708</v>
      </c>
      <c r="G5881" t="str">
        <f>T("신타비")</f>
        <v>신타비</v>
      </c>
      <c r="J5881" t="str">
        <f>T("매드햇")</f>
        <v>매드햇</v>
      </c>
      <c r="K5881" t="str">
        <f>T("저승의 왕위를 계승했다")</f>
        <v>저승의 왕위를 계승했다</v>
      </c>
      <c r="L5881">
        <v>100</v>
      </c>
      <c r="M5881">
        <v>70</v>
      </c>
      <c r="N5881">
        <v>1</v>
      </c>
      <c r="O5881">
        <v>0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0</v>
      </c>
      <c r="AE5881">
        <v>0</v>
      </c>
      <c r="AF5881">
        <v>0</v>
      </c>
      <c r="AG5881">
        <v>0</v>
      </c>
      <c r="AH5881">
        <v>0</v>
      </c>
      <c r="AI5881">
        <v>70</v>
      </c>
      <c r="AJ5881">
        <v>1</v>
      </c>
      <c r="AK5881">
        <v>0</v>
      </c>
      <c r="AL5881">
        <v>0</v>
      </c>
      <c r="AM5881">
        <v>70</v>
      </c>
      <c r="AN5881">
        <v>0</v>
      </c>
      <c r="AO5881">
        <v>0</v>
      </c>
      <c r="AP5881">
        <v>0</v>
      </c>
      <c r="AQ5881">
        <v>0</v>
      </c>
      <c r="AS5881">
        <v>0</v>
      </c>
      <c r="AT5881">
        <v>0</v>
      </c>
      <c r="AV5881">
        <v>0</v>
      </c>
      <c r="AW5881">
        <v>0</v>
      </c>
      <c r="AY5881">
        <v>0</v>
      </c>
      <c r="AZ5881">
        <v>0</v>
      </c>
      <c r="BA5881">
        <v>49</v>
      </c>
      <c r="BE5881" t="str">
        <f>T("9791137014381")</f>
        <v>9791137014381</v>
      </c>
      <c r="BF5881" t="str">
        <f>T("D126956")</f>
        <v>D126956</v>
      </c>
      <c r="BG5881" t="str">
        <f>T("판타지 웹소설 &gt; 퓨전 판타지")</f>
        <v>판타지 웹소설 &gt; 퓨전 판타지</v>
      </c>
    </row>
    <row r="5882" spans="1:59">
      <c r="A5882" t="s">
        <v>60</v>
      </c>
      <c r="B5882" s="1">
        <v>46131</v>
      </c>
      <c r="C5882">
        <v>2378044065</v>
      </c>
      <c r="D5882">
        <v>2378078434</v>
      </c>
      <c r="E5882" t="str">
        <f>T("저승의 왕위를 계승했다 707화")</f>
        <v>저승의 왕위를 계승했다 707화</v>
      </c>
      <c r="F5882">
        <v>709</v>
      </c>
      <c r="G5882" t="str">
        <f>T("신타비")</f>
        <v>신타비</v>
      </c>
      <c r="J5882" t="str">
        <f>T("매드햇")</f>
        <v>매드햇</v>
      </c>
      <c r="K5882" t="str">
        <f>T("저승의 왕위를 계승했다")</f>
        <v>저승의 왕위를 계승했다</v>
      </c>
      <c r="L5882">
        <v>100</v>
      </c>
      <c r="M5882">
        <v>70</v>
      </c>
      <c r="N5882">
        <v>1</v>
      </c>
      <c r="O5882">
        <v>0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0</v>
      </c>
      <c r="AE5882">
        <v>0</v>
      </c>
      <c r="AF5882">
        <v>0</v>
      </c>
      <c r="AG5882">
        <v>0</v>
      </c>
      <c r="AH5882">
        <v>0</v>
      </c>
      <c r="AI5882">
        <v>70</v>
      </c>
      <c r="AJ5882">
        <v>1</v>
      </c>
      <c r="AK5882">
        <v>0</v>
      </c>
      <c r="AL5882">
        <v>0</v>
      </c>
      <c r="AM5882">
        <v>70</v>
      </c>
      <c r="AN5882">
        <v>0</v>
      </c>
      <c r="AO5882">
        <v>0</v>
      </c>
      <c r="AP5882">
        <v>0</v>
      </c>
      <c r="AQ5882">
        <v>0</v>
      </c>
      <c r="AS5882">
        <v>0</v>
      </c>
      <c r="AT5882">
        <v>0</v>
      </c>
      <c r="AV5882">
        <v>0</v>
      </c>
      <c r="AW5882">
        <v>0</v>
      </c>
      <c r="AY5882">
        <v>0</v>
      </c>
      <c r="AZ5882">
        <v>0</v>
      </c>
      <c r="BA5882">
        <v>49</v>
      </c>
      <c r="BE5882" t="str">
        <f>T("9791137014381")</f>
        <v>9791137014381</v>
      </c>
      <c r="BF5882" t="str">
        <f>T("D126957")</f>
        <v>D126957</v>
      </c>
      <c r="BG5882" t="str">
        <f>T("판타지 웹소설 &gt; 퓨전 판타지")</f>
        <v>판타지 웹소설 &gt; 퓨전 판타지</v>
      </c>
    </row>
    <row r="5883" spans="1:59">
      <c r="A5883" t="s">
        <v>60</v>
      </c>
      <c r="B5883" s="1">
        <v>46131</v>
      </c>
      <c r="C5883">
        <v>2378044065</v>
      </c>
      <c r="D5883">
        <v>2378078435</v>
      </c>
      <c r="E5883" t="str">
        <f>T("저승의 왕위를 계승했다 708화")</f>
        <v>저승의 왕위를 계승했다 708화</v>
      </c>
      <c r="F5883">
        <v>710</v>
      </c>
      <c r="G5883" t="str">
        <f>T("신타비")</f>
        <v>신타비</v>
      </c>
      <c r="J5883" t="str">
        <f>T("매드햇")</f>
        <v>매드햇</v>
      </c>
      <c r="K5883" t="str">
        <f>T("저승의 왕위를 계승했다")</f>
        <v>저승의 왕위를 계승했다</v>
      </c>
      <c r="L5883">
        <v>100</v>
      </c>
      <c r="M5883">
        <v>70</v>
      </c>
      <c r="N5883">
        <v>1</v>
      </c>
      <c r="O5883">
        <v>0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0</v>
      </c>
      <c r="AE5883">
        <v>0</v>
      </c>
      <c r="AF5883">
        <v>0</v>
      </c>
      <c r="AG5883">
        <v>0</v>
      </c>
      <c r="AH5883">
        <v>0</v>
      </c>
      <c r="AI5883">
        <v>70</v>
      </c>
      <c r="AJ5883">
        <v>1</v>
      </c>
      <c r="AK5883">
        <v>0</v>
      </c>
      <c r="AL5883">
        <v>0</v>
      </c>
      <c r="AM5883">
        <v>70</v>
      </c>
      <c r="AN5883">
        <v>0</v>
      </c>
      <c r="AO5883">
        <v>0</v>
      </c>
      <c r="AP5883">
        <v>0</v>
      </c>
      <c r="AQ5883">
        <v>0</v>
      </c>
      <c r="AS5883">
        <v>0</v>
      </c>
      <c r="AT5883">
        <v>0</v>
      </c>
      <c r="AV5883">
        <v>0</v>
      </c>
      <c r="AW5883">
        <v>0</v>
      </c>
      <c r="AY5883">
        <v>0</v>
      </c>
      <c r="AZ5883">
        <v>0</v>
      </c>
      <c r="BA5883">
        <v>49</v>
      </c>
      <c r="BE5883" t="str">
        <f>T("9791137014381")</f>
        <v>9791137014381</v>
      </c>
      <c r="BF5883" t="str">
        <f>T("D126958")</f>
        <v>D126958</v>
      </c>
      <c r="BG5883" t="str">
        <f>T("판타지 웹소설 &gt; 퓨전 판타지")</f>
        <v>판타지 웹소설 &gt; 퓨전 판타지</v>
      </c>
    </row>
    <row r="5884" spans="1:59">
      <c r="A5884" t="s">
        <v>60</v>
      </c>
      <c r="B5884" s="1">
        <v>46131</v>
      </c>
      <c r="C5884">
        <v>2378044065</v>
      </c>
      <c r="D5884">
        <v>2378078455</v>
      </c>
      <c r="E5884" t="str">
        <f>T("저승의 왕위를 계승했다 709화")</f>
        <v>저승의 왕위를 계승했다 709화</v>
      </c>
      <c r="F5884">
        <v>711</v>
      </c>
      <c r="G5884" t="str">
        <f>T("신타비")</f>
        <v>신타비</v>
      </c>
      <c r="J5884" t="str">
        <f>T("매드햇")</f>
        <v>매드햇</v>
      </c>
      <c r="K5884" t="str">
        <f>T("저승의 왕위를 계승했다")</f>
        <v>저승의 왕위를 계승했다</v>
      </c>
      <c r="L5884">
        <v>100</v>
      </c>
      <c r="M5884">
        <v>70</v>
      </c>
      <c r="N5884">
        <v>1</v>
      </c>
      <c r="O5884">
        <v>0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0</v>
      </c>
      <c r="AE5884">
        <v>0</v>
      </c>
      <c r="AF5884">
        <v>0</v>
      </c>
      <c r="AG5884">
        <v>0</v>
      </c>
      <c r="AH5884">
        <v>0</v>
      </c>
      <c r="AI5884">
        <v>70</v>
      </c>
      <c r="AJ5884">
        <v>1</v>
      </c>
      <c r="AK5884">
        <v>0</v>
      </c>
      <c r="AL5884">
        <v>0</v>
      </c>
      <c r="AM5884">
        <v>70</v>
      </c>
      <c r="AN5884">
        <v>0</v>
      </c>
      <c r="AO5884">
        <v>0</v>
      </c>
      <c r="AP5884">
        <v>0</v>
      </c>
      <c r="AQ5884">
        <v>0</v>
      </c>
      <c r="AS5884">
        <v>0</v>
      </c>
      <c r="AT5884">
        <v>0</v>
      </c>
      <c r="AV5884">
        <v>0</v>
      </c>
      <c r="AW5884">
        <v>0</v>
      </c>
      <c r="AY5884">
        <v>0</v>
      </c>
      <c r="AZ5884">
        <v>0</v>
      </c>
      <c r="BA5884">
        <v>49</v>
      </c>
      <c r="BE5884" t="str">
        <f>T("9791137014381")</f>
        <v>9791137014381</v>
      </c>
      <c r="BF5884" t="str">
        <f>T("D126959")</f>
        <v>D126959</v>
      </c>
      <c r="BG5884" t="str">
        <f>T("판타지 웹소설 &gt; 퓨전 판타지")</f>
        <v>판타지 웹소설 &gt; 퓨전 판타지</v>
      </c>
    </row>
    <row r="5885" spans="1:59">
      <c r="A5885" t="s">
        <v>60</v>
      </c>
      <c r="B5885" s="1">
        <v>46131</v>
      </c>
      <c r="C5885">
        <v>2378044065</v>
      </c>
      <c r="D5885">
        <v>2378078456</v>
      </c>
      <c r="E5885" t="str">
        <f>T("저승의 왕위를 계승했다 710화")</f>
        <v>저승의 왕위를 계승했다 710화</v>
      </c>
      <c r="F5885">
        <v>712</v>
      </c>
      <c r="G5885" t="str">
        <f>T("신타비")</f>
        <v>신타비</v>
      </c>
      <c r="J5885" t="str">
        <f>T("매드햇")</f>
        <v>매드햇</v>
      </c>
      <c r="K5885" t="str">
        <f>T("저승의 왕위를 계승했다")</f>
        <v>저승의 왕위를 계승했다</v>
      </c>
      <c r="L5885">
        <v>100</v>
      </c>
      <c r="M5885">
        <v>70</v>
      </c>
      <c r="N5885">
        <v>1</v>
      </c>
      <c r="O5885">
        <v>0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0</v>
      </c>
      <c r="AE5885">
        <v>0</v>
      </c>
      <c r="AF5885">
        <v>0</v>
      </c>
      <c r="AG5885">
        <v>0</v>
      </c>
      <c r="AH5885">
        <v>0</v>
      </c>
      <c r="AI5885">
        <v>70</v>
      </c>
      <c r="AJ5885">
        <v>1</v>
      </c>
      <c r="AK5885">
        <v>0</v>
      </c>
      <c r="AL5885">
        <v>0</v>
      </c>
      <c r="AM5885">
        <v>70</v>
      </c>
      <c r="AN5885">
        <v>0</v>
      </c>
      <c r="AO5885">
        <v>0</v>
      </c>
      <c r="AP5885">
        <v>0</v>
      </c>
      <c r="AQ5885">
        <v>0</v>
      </c>
      <c r="AS5885">
        <v>0</v>
      </c>
      <c r="AT5885">
        <v>0</v>
      </c>
      <c r="AV5885">
        <v>0</v>
      </c>
      <c r="AW5885">
        <v>0</v>
      </c>
      <c r="AY5885">
        <v>0</v>
      </c>
      <c r="AZ5885">
        <v>0</v>
      </c>
      <c r="BA5885">
        <v>49</v>
      </c>
      <c r="BE5885" t="str">
        <f>T("9791137014381")</f>
        <v>9791137014381</v>
      </c>
      <c r="BF5885" t="str">
        <f>T("D126960")</f>
        <v>D126960</v>
      </c>
      <c r="BG5885" t="str">
        <f>T("판타지 웹소설 &gt; 퓨전 판타지")</f>
        <v>판타지 웹소설 &gt; 퓨전 판타지</v>
      </c>
    </row>
    <row r="5886" spans="1:59">
      <c r="A5886" t="s">
        <v>60</v>
      </c>
      <c r="B5886" s="1">
        <v>46131</v>
      </c>
      <c r="C5886">
        <v>2378044065</v>
      </c>
      <c r="D5886">
        <v>2378078457</v>
      </c>
      <c r="E5886" t="str">
        <f>T("저승의 왕위를 계승했다 711화")</f>
        <v>저승의 왕위를 계승했다 711화</v>
      </c>
      <c r="F5886">
        <v>713</v>
      </c>
      <c r="G5886" t="str">
        <f>T("신타비")</f>
        <v>신타비</v>
      </c>
      <c r="J5886" t="str">
        <f>T("매드햇")</f>
        <v>매드햇</v>
      </c>
      <c r="K5886" t="str">
        <f>T("저승의 왕위를 계승했다")</f>
        <v>저승의 왕위를 계승했다</v>
      </c>
      <c r="L5886">
        <v>100</v>
      </c>
      <c r="M5886">
        <v>70</v>
      </c>
      <c r="N5886">
        <v>1</v>
      </c>
      <c r="O5886">
        <v>0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0</v>
      </c>
      <c r="AE5886">
        <v>0</v>
      </c>
      <c r="AF5886">
        <v>0</v>
      </c>
      <c r="AG5886">
        <v>0</v>
      </c>
      <c r="AH5886">
        <v>0</v>
      </c>
      <c r="AI5886">
        <v>70</v>
      </c>
      <c r="AJ5886">
        <v>1</v>
      </c>
      <c r="AK5886">
        <v>0</v>
      </c>
      <c r="AL5886">
        <v>0</v>
      </c>
      <c r="AM5886">
        <v>70</v>
      </c>
      <c r="AN5886">
        <v>0</v>
      </c>
      <c r="AO5886">
        <v>0</v>
      </c>
      <c r="AP5886">
        <v>0</v>
      </c>
      <c r="AQ5886">
        <v>0</v>
      </c>
      <c r="AS5886">
        <v>0</v>
      </c>
      <c r="AT5886">
        <v>0</v>
      </c>
      <c r="AV5886">
        <v>0</v>
      </c>
      <c r="AW5886">
        <v>0</v>
      </c>
      <c r="AY5886">
        <v>0</v>
      </c>
      <c r="AZ5886">
        <v>0</v>
      </c>
      <c r="BA5886">
        <v>49</v>
      </c>
      <c r="BE5886" t="str">
        <f>T("9791137014381")</f>
        <v>9791137014381</v>
      </c>
      <c r="BF5886" t="str">
        <f>T("D147791")</f>
        <v>D147791</v>
      </c>
      <c r="BG5886" t="str">
        <f>T("판타지 웹소설 &gt; 퓨전 판타지")</f>
        <v>판타지 웹소설 &gt; 퓨전 판타지</v>
      </c>
    </row>
    <row r="5887" spans="1:59">
      <c r="A5887" t="s">
        <v>60</v>
      </c>
      <c r="B5887" s="1">
        <v>46131</v>
      </c>
      <c r="C5887">
        <v>2378044065</v>
      </c>
      <c r="D5887">
        <v>2378078477</v>
      </c>
      <c r="E5887" t="str">
        <f>T("저승의 왕위를 계승했다 712화")</f>
        <v>저승의 왕위를 계승했다 712화</v>
      </c>
      <c r="F5887">
        <v>714</v>
      </c>
      <c r="G5887" t="str">
        <f>T("신타비")</f>
        <v>신타비</v>
      </c>
      <c r="J5887" t="str">
        <f>T("매드햇")</f>
        <v>매드햇</v>
      </c>
      <c r="K5887" t="str">
        <f>T("저승의 왕위를 계승했다")</f>
        <v>저승의 왕위를 계승했다</v>
      </c>
      <c r="L5887">
        <v>100</v>
      </c>
      <c r="M5887">
        <v>70</v>
      </c>
      <c r="N5887">
        <v>1</v>
      </c>
      <c r="O5887">
        <v>0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0</v>
      </c>
      <c r="AE5887">
        <v>0</v>
      </c>
      <c r="AF5887">
        <v>0</v>
      </c>
      <c r="AG5887">
        <v>0</v>
      </c>
      <c r="AH5887">
        <v>0</v>
      </c>
      <c r="AI5887">
        <v>70</v>
      </c>
      <c r="AJ5887">
        <v>1</v>
      </c>
      <c r="AK5887">
        <v>0</v>
      </c>
      <c r="AL5887">
        <v>0</v>
      </c>
      <c r="AM5887">
        <v>70</v>
      </c>
      <c r="AN5887">
        <v>0</v>
      </c>
      <c r="AO5887">
        <v>0</v>
      </c>
      <c r="AP5887">
        <v>0</v>
      </c>
      <c r="AQ5887">
        <v>0</v>
      </c>
      <c r="AS5887">
        <v>0</v>
      </c>
      <c r="AT5887">
        <v>0</v>
      </c>
      <c r="AV5887">
        <v>0</v>
      </c>
      <c r="AW5887">
        <v>0</v>
      </c>
      <c r="AY5887">
        <v>0</v>
      </c>
      <c r="AZ5887">
        <v>0</v>
      </c>
      <c r="BA5887">
        <v>49</v>
      </c>
      <c r="BE5887" t="str">
        <f>T("9791137014381")</f>
        <v>9791137014381</v>
      </c>
      <c r="BF5887" t="str">
        <f>T("D147792")</f>
        <v>D147792</v>
      </c>
      <c r="BG5887" t="str">
        <f>T("판타지 웹소설 &gt; 퓨전 판타지")</f>
        <v>판타지 웹소설 &gt; 퓨전 판타지</v>
      </c>
    </row>
    <row r="5888" spans="1:59">
      <c r="A5888" t="s">
        <v>60</v>
      </c>
      <c r="B5888" s="1">
        <v>46131</v>
      </c>
      <c r="C5888">
        <v>2378044065</v>
      </c>
      <c r="D5888">
        <v>2378078603</v>
      </c>
      <c r="E5888" t="str">
        <f>T("저승의 왕위를 계승했다 713화")</f>
        <v>저승의 왕위를 계승했다 713화</v>
      </c>
      <c r="F5888">
        <v>715</v>
      </c>
      <c r="G5888" t="str">
        <f>T("신타비")</f>
        <v>신타비</v>
      </c>
      <c r="J5888" t="str">
        <f>T("매드햇")</f>
        <v>매드햇</v>
      </c>
      <c r="K5888" t="str">
        <f>T("저승의 왕위를 계승했다")</f>
        <v>저승의 왕위를 계승했다</v>
      </c>
      <c r="L5888">
        <v>100</v>
      </c>
      <c r="M5888">
        <v>70</v>
      </c>
      <c r="N5888">
        <v>1</v>
      </c>
      <c r="O5888">
        <v>0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0</v>
      </c>
      <c r="AE5888">
        <v>0</v>
      </c>
      <c r="AF5888">
        <v>0</v>
      </c>
      <c r="AG5888">
        <v>0</v>
      </c>
      <c r="AH5888">
        <v>0</v>
      </c>
      <c r="AI5888">
        <v>70</v>
      </c>
      <c r="AJ5888">
        <v>1</v>
      </c>
      <c r="AK5888">
        <v>0</v>
      </c>
      <c r="AL5888">
        <v>0</v>
      </c>
      <c r="AM5888">
        <v>70</v>
      </c>
      <c r="AN5888">
        <v>0</v>
      </c>
      <c r="AO5888">
        <v>0</v>
      </c>
      <c r="AP5888">
        <v>0</v>
      </c>
      <c r="AQ5888">
        <v>0</v>
      </c>
      <c r="AS5888">
        <v>0</v>
      </c>
      <c r="AT5888">
        <v>0</v>
      </c>
      <c r="AV5888">
        <v>0</v>
      </c>
      <c r="AW5888">
        <v>0</v>
      </c>
      <c r="AY5888">
        <v>0</v>
      </c>
      <c r="AZ5888">
        <v>0</v>
      </c>
      <c r="BA5888">
        <v>49</v>
      </c>
      <c r="BE5888" t="str">
        <f>T("9791137014381")</f>
        <v>9791137014381</v>
      </c>
      <c r="BF5888" t="str">
        <f>T("D147793")</f>
        <v>D147793</v>
      </c>
      <c r="BG5888" t="str">
        <f>T("판타지 웹소설 &gt; 퓨전 판타지")</f>
        <v>판타지 웹소설 &gt; 퓨전 판타지</v>
      </c>
    </row>
    <row r="5889" spans="1:59">
      <c r="A5889" t="s">
        <v>60</v>
      </c>
      <c r="B5889" s="1">
        <v>46131</v>
      </c>
      <c r="C5889">
        <v>2378044065</v>
      </c>
      <c r="D5889">
        <v>2378078604</v>
      </c>
      <c r="E5889" t="str">
        <f>T("저승의 왕위를 계승했다 714화")</f>
        <v>저승의 왕위를 계승했다 714화</v>
      </c>
      <c r="F5889">
        <v>716</v>
      </c>
      <c r="G5889" t="str">
        <f>T("신타비")</f>
        <v>신타비</v>
      </c>
      <c r="J5889" t="str">
        <f>T("매드햇")</f>
        <v>매드햇</v>
      </c>
      <c r="K5889" t="str">
        <f>T("저승의 왕위를 계승했다")</f>
        <v>저승의 왕위를 계승했다</v>
      </c>
      <c r="L5889">
        <v>100</v>
      </c>
      <c r="M5889">
        <v>70</v>
      </c>
      <c r="N5889">
        <v>1</v>
      </c>
      <c r="O5889">
        <v>0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0</v>
      </c>
      <c r="AE5889">
        <v>0</v>
      </c>
      <c r="AF5889">
        <v>0</v>
      </c>
      <c r="AG5889">
        <v>0</v>
      </c>
      <c r="AH5889">
        <v>0</v>
      </c>
      <c r="AI5889">
        <v>70</v>
      </c>
      <c r="AJ5889">
        <v>1</v>
      </c>
      <c r="AK5889">
        <v>0</v>
      </c>
      <c r="AL5889">
        <v>0</v>
      </c>
      <c r="AM5889">
        <v>70</v>
      </c>
      <c r="AN5889">
        <v>0</v>
      </c>
      <c r="AO5889">
        <v>0</v>
      </c>
      <c r="AP5889">
        <v>0</v>
      </c>
      <c r="AQ5889">
        <v>0</v>
      </c>
      <c r="AS5889">
        <v>0</v>
      </c>
      <c r="AT5889">
        <v>0</v>
      </c>
      <c r="AV5889">
        <v>0</v>
      </c>
      <c r="AW5889">
        <v>0</v>
      </c>
      <c r="AY5889">
        <v>0</v>
      </c>
      <c r="AZ5889">
        <v>0</v>
      </c>
      <c r="BA5889">
        <v>49</v>
      </c>
      <c r="BE5889" t="str">
        <f>T("9791137014381")</f>
        <v>9791137014381</v>
      </c>
      <c r="BF5889" t="str">
        <f>T("D147794")</f>
        <v>D147794</v>
      </c>
      <c r="BG5889" t="str">
        <f>T("판타지 웹소설 &gt; 퓨전 판타지")</f>
        <v>판타지 웹소설 &gt; 퓨전 판타지</v>
      </c>
    </row>
    <row r="5890" spans="1:59">
      <c r="A5890" t="s">
        <v>60</v>
      </c>
      <c r="B5890" s="1">
        <v>46131</v>
      </c>
      <c r="C5890">
        <v>2378044065</v>
      </c>
      <c r="D5890">
        <v>2378078630</v>
      </c>
      <c r="E5890" t="str">
        <f>T("저승의 왕위를 계승했다 715화")</f>
        <v>저승의 왕위를 계승했다 715화</v>
      </c>
      <c r="F5890">
        <v>717</v>
      </c>
      <c r="G5890" t="str">
        <f>T("신타비")</f>
        <v>신타비</v>
      </c>
      <c r="J5890" t="str">
        <f>T("매드햇")</f>
        <v>매드햇</v>
      </c>
      <c r="K5890" t="str">
        <f>T("저승의 왕위를 계승했다")</f>
        <v>저승의 왕위를 계승했다</v>
      </c>
      <c r="L5890">
        <v>100</v>
      </c>
      <c r="M5890">
        <v>70</v>
      </c>
      <c r="N5890">
        <v>1</v>
      </c>
      <c r="O5890">
        <v>0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0</v>
      </c>
      <c r="AE5890">
        <v>0</v>
      </c>
      <c r="AF5890">
        <v>0</v>
      </c>
      <c r="AG5890">
        <v>0</v>
      </c>
      <c r="AH5890">
        <v>0</v>
      </c>
      <c r="AI5890">
        <v>70</v>
      </c>
      <c r="AJ5890">
        <v>1</v>
      </c>
      <c r="AK5890">
        <v>0</v>
      </c>
      <c r="AL5890">
        <v>0</v>
      </c>
      <c r="AM5890">
        <v>70</v>
      </c>
      <c r="AN5890">
        <v>0</v>
      </c>
      <c r="AO5890">
        <v>0</v>
      </c>
      <c r="AP5890">
        <v>0</v>
      </c>
      <c r="AQ5890">
        <v>0</v>
      </c>
      <c r="AS5890">
        <v>0</v>
      </c>
      <c r="AT5890">
        <v>0</v>
      </c>
      <c r="AV5890">
        <v>0</v>
      </c>
      <c r="AW5890">
        <v>0</v>
      </c>
      <c r="AY5890">
        <v>0</v>
      </c>
      <c r="AZ5890">
        <v>0</v>
      </c>
      <c r="BA5890">
        <v>49</v>
      </c>
      <c r="BE5890" t="str">
        <f>T("9791137014381")</f>
        <v>9791137014381</v>
      </c>
      <c r="BF5890" t="str">
        <f>T("D147795")</f>
        <v>D147795</v>
      </c>
      <c r="BG5890" t="str">
        <f>T("판타지 웹소설 &gt; 퓨전 판타지")</f>
        <v>판타지 웹소설 &gt; 퓨전 판타지</v>
      </c>
    </row>
    <row r="5891" spans="1:59">
      <c r="A5891" t="s">
        <v>60</v>
      </c>
      <c r="B5891" s="1">
        <v>46131</v>
      </c>
      <c r="C5891">
        <v>2378044065</v>
      </c>
      <c r="D5891">
        <v>2378078631</v>
      </c>
      <c r="E5891" t="str">
        <f>T("저승의 왕위를 계승했다 716화")</f>
        <v>저승의 왕위를 계승했다 716화</v>
      </c>
      <c r="F5891">
        <v>718</v>
      </c>
      <c r="G5891" t="str">
        <f>T("신타비")</f>
        <v>신타비</v>
      </c>
      <c r="J5891" t="str">
        <f>T("매드햇")</f>
        <v>매드햇</v>
      </c>
      <c r="K5891" t="str">
        <f>T("저승의 왕위를 계승했다")</f>
        <v>저승의 왕위를 계승했다</v>
      </c>
      <c r="L5891">
        <v>100</v>
      </c>
      <c r="M5891">
        <v>70</v>
      </c>
      <c r="N5891">
        <v>1</v>
      </c>
      <c r="O5891">
        <v>0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0</v>
      </c>
      <c r="AE5891">
        <v>0</v>
      </c>
      <c r="AF5891">
        <v>0</v>
      </c>
      <c r="AG5891">
        <v>0</v>
      </c>
      <c r="AH5891">
        <v>0</v>
      </c>
      <c r="AI5891">
        <v>70</v>
      </c>
      <c r="AJ5891">
        <v>1</v>
      </c>
      <c r="AK5891">
        <v>0</v>
      </c>
      <c r="AL5891">
        <v>0</v>
      </c>
      <c r="AM5891">
        <v>70</v>
      </c>
      <c r="AN5891">
        <v>0</v>
      </c>
      <c r="AO5891">
        <v>0</v>
      </c>
      <c r="AP5891">
        <v>0</v>
      </c>
      <c r="AQ5891">
        <v>0</v>
      </c>
      <c r="AS5891">
        <v>0</v>
      </c>
      <c r="AT5891">
        <v>0</v>
      </c>
      <c r="AV5891">
        <v>0</v>
      </c>
      <c r="AW5891">
        <v>0</v>
      </c>
      <c r="AY5891">
        <v>0</v>
      </c>
      <c r="AZ5891">
        <v>0</v>
      </c>
      <c r="BA5891">
        <v>49</v>
      </c>
      <c r="BE5891" t="str">
        <f>T("9791137014381")</f>
        <v>9791137014381</v>
      </c>
      <c r="BF5891" t="str">
        <f>T("D147796")</f>
        <v>D147796</v>
      </c>
      <c r="BG5891" t="str">
        <f>T("판타지 웹소설 &gt; 퓨전 판타지")</f>
        <v>판타지 웹소설 &gt; 퓨전 판타지</v>
      </c>
    </row>
    <row r="5892" spans="1:59">
      <c r="A5892" t="s">
        <v>60</v>
      </c>
      <c r="B5892" s="1">
        <v>46131</v>
      </c>
      <c r="C5892">
        <v>2378044065</v>
      </c>
      <c r="D5892">
        <v>2378078644</v>
      </c>
      <c r="E5892" t="str">
        <f>T("저승의 왕위를 계승했다 717화")</f>
        <v>저승의 왕위를 계승했다 717화</v>
      </c>
      <c r="F5892">
        <v>719</v>
      </c>
      <c r="G5892" t="str">
        <f>T("신타비")</f>
        <v>신타비</v>
      </c>
      <c r="J5892" t="str">
        <f>T("매드햇")</f>
        <v>매드햇</v>
      </c>
      <c r="K5892" t="str">
        <f>T("저승의 왕위를 계승했다")</f>
        <v>저승의 왕위를 계승했다</v>
      </c>
      <c r="L5892">
        <v>100</v>
      </c>
      <c r="M5892">
        <v>70</v>
      </c>
      <c r="N5892">
        <v>1</v>
      </c>
      <c r="O5892">
        <v>0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0</v>
      </c>
      <c r="AE5892">
        <v>0</v>
      </c>
      <c r="AF5892">
        <v>0</v>
      </c>
      <c r="AG5892">
        <v>0</v>
      </c>
      <c r="AH5892">
        <v>0</v>
      </c>
      <c r="AI5892">
        <v>70</v>
      </c>
      <c r="AJ5892">
        <v>1</v>
      </c>
      <c r="AK5892">
        <v>0</v>
      </c>
      <c r="AL5892">
        <v>0</v>
      </c>
      <c r="AM5892">
        <v>70</v>
      </c>
      <c r="AN5892">
        <v>0</v>
      </c>
      <c r="AO5892">
        <v>0</v>
      </c>
      <c r="AP5892">
        <v>0</v>
      </c>
      <c r="AQ5892">
        <v>0</v>
      </c>
      <c r="AS5892">
        <v>0</v>
      </c>
      <c r="AT5892">
        <v>0</v>
      </c>
      <c r="AV5892">
        <v>0</v>
      </c>
      <c r="AW5892">
        <v>0</v>
      </c>
      <c r="AY5892">
        <v>0</v>
      </c>
      <c r="AZ5892">
        <v>0</v>
      </c>
      <c r="BA5892">
        <v>49</v>
      </c>
      <c r="BE5892" t="str">
        <f>T("9791137014381")</f>
        <v>9791137014381</v>
      </c>
      <c r="BF5892" t="str">
        <f>T("D147797")</f>
        <v>D147797</v>
      </c>
      <c r="BG5892" t="str">
        <f>T("판타지 웹소설 &gt; 퓨전 판타지")</f>
        <v>판타지 웹소설 &gt; 퓨전 판타지</v>
      </c>
    </row>
    <row r="5893" spans="1:59">
      <c r="A5893" t="s">
        <v>60</v>
      </c>
      <c r="B5893" s="1">
        <v>46131</v>
      </c>
      <c r="C5893">
        <v>2378044065</v>
      </c>
      <c r="D5893">
        <v>2378078645</v>
      </c>
      <c r="E5893" t="str">
        <f>T("저승의 왕위를 계승했다 718화")</f>
        <v>저승의 왕위를 계승했다 718화</v>
      </c>
      <c r="F5893">
        <v>720</v>
      </c>
      <c r="G5893" t="str">
        <f>T("신타비")</f>
        <v>신타비</v>
      </c>
      <c r="J5893" t="str">
        <f>T("매드햇")</f>
        <v>매드햇</v>
      </c>
      <c r="K5893" t="str">
        <f>T("저승의 왕위를 계승했다")</f>
        <v>저승의 왕위를 계승했다</v>
      </c>
      <c r="L5893">
        <v>100</v>
      </c>
      <c r="M5893">
        <v>70</v>
      </c>
      <c r="N5893">
        <v>1</v>
      </c>
      <c r="O5893">
        <v>0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0</v>
      </c>
      <c r="AE5893">
        <v>0</v>
      </c>
      <c r="AF5893">
        <v>0</v>
      </c>
      <c r="AG5893">
        <v>0</v>
      </c>
      <c r="AH5893">
        <v>0</v>
      </c>
      <c r="AI5893">
        <v>70</v>
      </c>
      <c r="AJ5893">
        <v>1</v>
      </c>
      <c r="AK5893">
        <v>0</v>
      </c>
      <c r="AL5893">
        <v>0</v>
      </c>
      <c r="AM5893">
        <v>70</v>
      </c>
      <c r="AN5893">
        <v>0</v>
      </c>
      <c r="AO5893">
        <v>0</v>
      </c>
      <c r="AP5893">
        <v>0</v>
      </c>
      <c r="AQ5893">
        <v>0</v>
      </c>
      <c r="AS5893">
        <v>0</v>
      </c>
      <c r="AT5893">
        <v>0</v>
      </c>
      <c r="AV5893">
        <v>0</v>
      </c>
      <c r="AW5893">
        <v>0</v>
      </c>
      <c r="AY5893">
        <v>0</v>
      </c>
      <c r="AZ5893">
        <v>0</v>
      </c>
      <c r="BA5893">
        <v>49</v>
      </c>
      <c r="BE5893" t="str">
        <f>T("9791137014381")</f>
        <v>9791137014381</v>
      </c>
      <c r="BF5893" t="str">
        <f>T("D147798")</f>
        <v>D147798</v>
      </c>
      <c r="BG5893" t="str">
        <f>T("판타지 웹소설 &gt; 퓨전 판타지")</f>
        <v>판타지 웹소설 &gt; 퓨전 판타지</v>
      </c>
    </row>
    <row r="5894" spans="1:59">
      <c r="A5894" t="s">
        <v>60</v>
      </c>
      <c r="B5894" s="1">
        <v>46131</v>
      </c>
      <c r="C5894">
        <v>2378044065</v>
      </c>
      <c r="D5894">
        <v>2378078667</v>
      </c>
      <c r="E5894" t="str">
        <f>T("저승의 왕위를 계승했다 719화")</f>
        <v>저승의 왕위를 계승했다 719화</v>
      </c>
      <c r="F5894">
        <v>721</v>
      </c>
      <c r="G5894" t="str">
        <f>T("신타비")</f>
        <v>신타비</v>
      </c>
      <c r="J5894" t="str">
        <f>T("매드햇")</f>
        <v>매드햇</v>
      </c>
      <c r="K5894" t="str">
        <f>T("저승의 왕위를 계승했다")</f>
        <v>저승의 왕위를 계승했다</v>
      </c>
      <c r="L5894">
        <v>100</v>
      </c>
      <c r="M5894">
        <v>70</v>
      </c>
      <c r="N5894">
        <v>1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0</v>
      </c>
      <c r="AE5894">
        <v>0</v>
      </c>
      <c r="AF5894">
        <v>0</v>
      </c>
      <c r="AG5894">
        <v>0</v>
      </c>
      <c r="AH5894">
        <v>0</v>
      </c>
      <c r="AI5894">
        <v>70</v>
      </c>
      <c r="AJ5894">
        <v>1</v>
      </c>
      <c r="AK5894">
        <v>0</v>
      </c>
      <c r="AL5894">
        <v>0</v>
      </c>
      <c r="AM5894">
        <v>70</v>
      </c>
      <c r="AN5894">
        <v>0</v>
      </c>
      <c r="AO5894">
        <v>0</v>
      </c>
      <c r="AP5894">
        <v>0</v>
      </c>
      <c r="AQ5894">
        <v>0</v>
      </c>
      <c r="AS5894">
        <v>0</v>
      </c>
      <c r="AT5894">
        <v>0</v>
      </c>
      <c r="AV5894">
        <v>0</v>
      </c>
      <c r="AW5894">
        <v>0</v>
      </c>
      <c r="AY5894">
        <v>0</v>
      </c>
      <c r="AZ5894">
        <v>0</v>
      </c>
      <c r="BA5894">
        <v>49</v>
      </c>
      <c r="BE5894" t="str">
        <f>T("9791137014381")</f>
        <v>9791137014381</v>
      </c>
      <c r="BF5894" t="str">
        <f>T("D147799")</f>
        <v>D147799</v>
      </c>
      <c r="BG5894" t="str">
        <f>T("판타지 웹소설 &gt; 퓨전 판타지")</f>
        <v>판타지 웹소설 &gt; 퓨전 판타지</v>
      </c>
    </row>
    <row r="5895" spans="1:59">
      <c r="A5895" t="s">
        <v>60</v>
      </c>
      <c r="B5895" s="1">
        <v>46131</v>
      </c>
      <c r="C5895">
        <v>2378044065</v>
      </c>
      <c r="D5895">
        <v>2378078668</v>
      </c>
      <c r="E5895" t="str">
        <f>T("저승의 왕위를 계승했다 720화")</f>
        <v>저승의 왕위를 계승했다 720화</v>
      </c>
      <c r="F5895">
        <v>722</v>
      </c>
      <c r="G5895" t="str">
        <f>T("신타비")</f>
        <v>신타비</v>
      </c>
      <c r="J5895" t="str">
        <f>T("매드햇")</f>
        <v>매드햇</v>
      </c>
      <c r="K5895" t="str">
        <f>T("저승의 왕위를 계승했다")</f>
        <v>저승의 왕위를 계승했다</v>
      </c>
      <c r="L5895">
        <v>100</v>
      </c>
      <c r="M5895">
        <v>70</v>
      </c>
      <c r="N5895">
        <v>1</v>
      </c>
      <c r="O5895">
        <v>0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0</v>
      </c>
      <c r="AE5895">
        <v>0</v>
      </c>
      <c r="AF5895">
        <v>0</v>
      </c>
      <c r="AG5895">
        <v>0</v>
      </c>
      <c r="AH5895">
        <v>0</v>
      </c>
      <c r="AI5895">
        <v>70</v>
      </c>
      <c r="AJ5895">
        <v>1</v>
      </c>
      <c r="AK5895">
        <v>0</v>
      </c>
      <c r="AL5895">
        <v>0</v>
      </c>
      <c r="AM5895">
        <v>70</v>
      </c>
      <c r="AN5895">
        <v>0</v>
      </c>
      <c r="AO5895">
        <v>0</v>
      </c>
      <c r="AP5895">
        <v>0</v>
      </c>
      <c r="AQ5895">
        <v>0</v>
      </c>
      <c r="AS5895">
        <v>0</v>
      </c>
      <c r="AT5895">
        <v>0</v>
      </c>
      <c r="AV5895">
        <v>0</v>
      </c>
      <c r="AW5895">
        <v>0</v>
      </c>
      <c r="AY5895">
        <v>0</v>
      </c>
      <c r="AZ5895">
        <v>0</v>
      </c>
      <c r="BA5895">
        <v>49</v>
      </c>
      <c r="BE5895" t="str">
        <f>T("9791137014381")</f>
        <v>9791137014381</v>
      </c>
      <c r="BF5895" t="str">
        <f>T("D147800")</f>
        <v>D147800</v>
      </c>
      <c r="BG5895" t="str">
        <f>T("판타지 웹소설 &gt; 퓨전 판타지")</f>
        <v>판타지 웹소설 &gt; 퓨전 판타지</v>
      </c>
    </row>
    <row r="5896" spans="1:59">
      <c r="A5896" t="s">
        <v>60</v>
      </c>
      <c r="B5896" s="1">
        <v>46131</v>
      </c>
      <c r="C5896">
        <v>2378044065</v>
      </c>
      <c r="D5896">
        <v>2378078687</v>
      </c>
      <c r="E5896" t="str">
        <f>T("저승의 왕위를 계승했다 721화")</f>
        <v>저승의 왕위를 계승했다 721화</v>
      </c>
      <c r="F5896">
        <v>723</v>
      </c>
      <c r="G5896" t="str">
        <f>T("신타비")</f>
        <v>신타비</v>
      </c>
      <c r="J5896" t="str">
        <f>T("매드햇")</f>
        <v>매드햇</v>
      </c>
      <c r="K5896" t="str">
        <f>T("저승의 왕위를 계승했다")</f>
        <v>저승의 왕위를 계승했다</v>
      </c>
      <c r="L5896">
        <v>100</v>
      </c>
      <c r="M5896">
        <v>70</v>
      </c>
      <c r="N5896">
        <v>1</v>
      </c>
      <c r="O5896">
        <v>0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0</v>
      </c>
      <c r="AE5896">
        <v>0</v>
      </c>
      <c r="AF5896">
        <v>0</v>
      </c>
      <c r="AG5896">
        <v>0</v>
      </c>
      <c r="AH5896">
        <v>0</v>
      </c>
      <c r="AI5896">
        <v>70</v>
      </c>
      <c r="AJ5896">
        <v>1</v>
      </c>
      <c r="AK5896">
        <v>0</v>
      </c>
      <c r="AL5896">
        <v>0</v>
      </c>
      <c r="AM5896">
        <v>70</v>
      </c>
      <c r="AN5896">
        <v>0</v>
      </c>
      <c r="AO5896">
        <v>0</v>
      </c>
      <c r="AP5896">
        <v>0</v>
      </c>
      <c r="AQ5896">
        <v>0</v>
      </c>
      <c r="AS5896">
        <v>0</v>
      </c>
      <c r="AT5896">
        <v>0</v>
      </c>
      <c r="AV5896">
        <v>0</v>
      </c>
      <c r="AW5896">
        <v>0</v>
      </c>
      <c r="AY5896">
        <v>0</v>
      </c>
      <c r="AZ5896">
        <v>0</v>
      </c>
      <c r="BA5896">
        <v>49</v>
      </c>
      <c r="BE5896" t="str">
        <f>T("9791137014381")</f>
        <v>9791137014381</v>
      </c>
      <c r="BF5896" t="str">
        <f>T("D147801")</f>
        <v>D147801</v>
      </c>
      <c r="BG5896" t="str">
        <f>T("판타지 웹소설 &gt; 퓨전 판타지")</f>
        <v>판타지 웹소설 &gt; 퓨전 판타지</v>
      </c>
    </row>
    <row r="5897" spans="1:59">
      <c r="A5897" t="s">
        <v>60</v>
      </c>
      <c r="B5897" s="1">
        <v>46131</v>
      </c>
      <c r="C5897">
        <v>2378044065</v>
      </c>
      <c r="D5897">
        <v>2378078688</v>
      </c>
      <c r="E5897" t="str">
        <f>T("저승의 왕위를 계승했다 722화")</f>
        <v>저승의 왕위를 계승했다 722화</v>
      </c>
      <c r="F5897">
        <v>724</v>
      </c>
      <c r="G5897" t="str">
        <f>T("신타비")</f>
        <v>신타비</v>
      </c>
      <c r="J5897" t="str">
        <f>T("매드햇")</f>
        <v>매드햇</v>
      </c>
      <c r="K5897" t="str">
        <f>T("저승의 왕위를 계승했다")</f>
        <v>저승의 왕위를 계승했다</v>
      </c>
      <c r="L5897">
        <v>100</v>
      </c>
      <c r="M5897">
        <v>70</v>
      </c>
      <c r="N5897">
        <v>1</v>
      </c>
      <c r="O5897">
        <v>0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0</v>
      </c>
      <c r="AE5897">
        <v>0</v>
      </c>
      <c r="AF5897">
        <v>0</v>
      </c>
      <c r="AG5897">
        <v>0</v>
      </c>
      <c r="AH5897">
        <v>0</v>
      </c>
      <c r="AI5897">
        <v>70</v>
      </c>
      <c r="AJ5897">
        <v>1</v>
      </c>
      <c r="AK5897">
        <v>0</v>
      </c>
      <c r="AL5897">
        <v>0</v>
      </c>
      <c r="AM5897">
        <v>70</v>
      </c>
      <c r="AN5897">
        <v>0</v>
      </c>
      <c r="AO5897">
        <v>0</v>
      </c>
      <c r="AP5897">
        <v>0</v>
      </c>
      <c r="AQ5897">
        <v>0</v>
      </c>
      <c r="AS5897">
        <v>0</v>
      </c>
      <c r="AT5897">
        <v>0</v>
      </c>
      <c r="AV5897">
        <v>0</v>
      </c>
      <c r="AW5897">
        <v>0</v>
      </c>
      <c r="AY5897">
        <v>0</v>
      </c>
      <c r="AZ5897">
        <v>0</v>
      </c>
      <c r="BA5897">
        <v>49</v>
      </c>
      <c r="BE5897" t="str">
        <f>T("9791137014381")</f>
        <v>9791137014381</v>
      </c>
      <c r="BF5897" t="str">
        <f>T("D147802")</f>
        <v>D147802</v>
      </c>
      <c r="BG5897" t="str">
        <f>T("판타지 웹소설 &gt; 퓨전 판타지")</f>
        <v>판타지 웹소설 &gt; 퓨전 판타지</v>
      </c>
    </row>
    <row r="5898" spans="1:59">
      <c r="A5898" t="s">
        <v>60</v>
      </c>
      <c r="B5898" s="1">
        <v>46131</v>
      </c>
      <c r="C5898">
        <v>2378044065</v>
      </c>
      <c r="D5898">
        <v>2378078689</v>
      </c>
      <c r="E5898" t="str">
        <f>T("저승의 왕위를 계승했다 723화")</f>
        <v>저승의 왕위를 계승했다 723화</v>
      </c>
      <c r="F5898">
        <v>725</v>
      </c>
      <c r="G5898" t="str">
        <f>T("신타비")</f>
        <v>신타비</v>
      </c>
      <c r="J5898" t="str">
        <f>T("매드햇")</f>
        <v>매드햇</v>
      </c>
      <c r="K5898" t="str">
        <f>T("저승의 왕위를 계승했다")</f>
        <v>저승의 왕위를 계승했다</v>
      </c>
      <c r="L5898">
        <v>100</v>
      </c>
      <c r="M5898">
        <v>70</v>
      </c>
      <c r="N5898">
        <v>1</v>
      </c>
      <c r="O5898">
        <v>0</v>
      </c>
      <c r="P5898">
        <v>0</v>
      </c>
      <c r="Q5898">
        <v>0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0</v>
      </c>
      <c r="AE5898">
        <v>0</v>
      </c>
      <c r="AF5898">
        <v>0</v>
      </c>
      <c r="AG5898">
        <v>0</v>
      </c>
      <c r="AH5898">
        <v>0</v>
      </c>
      <c r="AI5898">
        <v>70</v>
      </c>
      <c r="AJ5898">
        <v>1</v>
      </c>
      <c r="AK5898">
        <v>0</v>
      </c>
      <c r="AL5898">
        <v>0</v>
      </c>
      <c r="AM5898">
        <v>70</v>
      </c>
      <c r="AN5898">
        <v>0</v>
      </c>
      <c r="AO5898">
        <v>0</v>
      </c>
      <c r="AP5898">
        <v>0</v>
      </c>
      <c r="AQ5898">
        <v>0</v>
      </c>
      <c r="AS5898">
        <v>0</v>
      </c>
      <c r="AT5898">
        <v>0</v>
      </c>
      <c r="AV5898">
        <v>0</v>
      </c>
      <c r="AW5898">
        <v>0</v>
      </c>
      <c r="AY5898">
        <v>0</v>
      </c>
      <c r="AZ5898">
        <v>0</v>
      </c>
      <c r="BA5898">
        <v>49</v>
      </c>
      <c r="BE5898" t="str">
        <f>T("9791137014381")</f>
        <v>9791137014381</v>
      </c>
      <c r="BF5898" t="str">
        <f>T("D147803")</f>
        <v>D147803</v>
      </c>
      <c r="BG5898" t="str">
        <f>T("판타지 웹소설 &gt; 퓨전 판타지")</f>
        <v>판타지 웹소설 &gt; 퓨전 판타지</v>
      </c>
    </row>
    <row r="5899" spans="1:59">
      <c r="A5899" t="s">
        <v>60</v>
      </c>
      <c r="B5899" s="1">
        <v>46131</v>
      </c>
      <c r="C5899">
        <v>2378044065</v>
      </c>
      <c r="D5899">
        <v>2378078785</v>
      </c>
      <c r="E5899" t="str">
        <f>T("저승의 왕위를 계승했다 724화")</f>
        <v>저승의 왕위를 계승했다 724화</v>
      </c>
      <c r="F5899">
        <v>726</v>
      </c>
      <c r="G5899" t="str">
        <f>T("신타비")</f>
        <v>신타비</v>
      </c>
      <c r="J5899" t="str">
        <f>T("매드햇")</f>
        <v>매드햇</v>
      </c>
      <c r="K5899" t="str">
        <f>T("저승의 왕위를 계승했다")</f>
        <v>저승의 왕위를 계승했다</v>
      </c>
      <c r="L5899">
        <v>100</v>
      </c>
      <c r="M5899">
        <v>70</v>
      </c>
      <c r="N5899">
        <v>1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0</v>
      </c>
      <c r="AE5899">
        <v>0</v>
      </c>
      <c r="AF5899">
        <v>0</v>
      </c>
      <c r="AG5899">
        <v>0</v>
      </c>
      <c r="AH5899">
        <v>0</v>
      </c>
      <c r="AI5899">
        <v>70</v>
      </c>
      <c r="AJ5899">
        <v>1</v>
      </c>
      <c r="AK5899">
        <v>0</v>
      </c>
      <c r="AL5899">
        <v>0</v>
      </c>
      <c r="AM5899">
        <v>70</v>
      </c>
      <c r="AN5899">
        <v>0</v>
      </c>
      <c r="AO5899">
        <v>0</v>
      </c>
      <c r="AP5899">
        <v>0</v>
      </c>
      <c r="AQ5899">
        <v>0</v>
      </c>
      <c r="AS5899">
        <v>0</v>
      </c>
      <c r="AT5899">
        <v>0</v>
      </c>
      <c r="AV5899">
        <v>0</v>
      </c>
      <c r="AW5899">
        <v>0</v>
      </c>
      <c r="AY5899">
        <v>0</v>
      </c>
      <c r="AZ5899">
        <v>0</v>
      </c>
      <c r="BA5899">
        <v>49</v>
      </c>
      <c r="BE5899" t="str">
        <f>T("9791137014381")</f>
        <v>9791137014381</v>
      </c>
      <c r="BF5899" t="str">
        <f>T("D147804")</f>
        <v>D147804</v>
      </c>
      <c r="BG5899" t="str">
        <f>T("판타지 웹소설 &gt; 퓨전 판타지")</f>
        <v>판타지 웹소설 &gt; 퓨전 판타지</v>
      </c>
    </row>
    <row r="5900" spans="1:59">
      <c r="A5900" t="s">
        <v>60</v>
      </c>
      <c r="B5900" s="1">
        <v>46131</v>
      </c>
      <c r="C5900">
        <v>2378044065</v>
      </c>
      <c r="D5900">
        <v>2378078797</v>
      </c>
      <c r="E5900" t="str">
        <f>T("저승의 왕위를 계승했다 725화")</f>
        <v>저승의 왕위를 계승했다 725화</v>
      </c>
      <c r="F5900">
        <v>727</v>
      </c>
      <c r="G5900" t="str">
        <f>T("신타비")</f>
        <v>신타비</v>
      </c>
      <c r="J5900" t="str">
        <f>T("매드햇")</f>
        <v>매드햇</v>
      </c>
      <c r="K5900" t="str">
        <f>T("저승의 왕위를 계승했다")</f>
        <v>저승의 왕위를 계승했다</v>
      </c>
      <c r="L5900">
        <v>100</v>
      </c>
      <c r="M5900">
        <v>70</v>
      </c>
      <c r="N5900">
        <v>1</v>
      </c>
      <c r="O5900">
        <v>0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0</v>
      </c>
      <c r="AE5900">
        <v>0</v>
      </c>
      <c r="AF5900">
        <v>0</v>
      </c>
      <c r="AG5900">
        <v>0</v>
      </c>
      <c r="AH5900">
        <v>0</v>
      </c>
      <c r="AI5900">
        <v>70</v>
      </c>
      <c r="AJ5900">
        <v>1</v>
      </c>
      <c r="AK5900">
        <v>0</v>
      </c>
      <c r="AL5900">
        <v>0</v>
      </c>
      <c r="AM5900">
        <v>70</v>
      </c>
      <c r="AN5900">
        <v>0</v>
      </c>
      <c r="AO5900">
        <v>0</v>
      </c>
      <c r="AP5900">
        <v>0</v>
      </c>
      <c r="AQ5900">
        <v>0</v>
      </c>
      <c r="AS5900">
        <v>0</v>
      </c>
      <c r="AT5900">
        <v>0</v>
      </c>
      <c r="AV5900">
        <v>0</v>
      </c>
      <c r="AW5900">
        <v>0</v>
      </c>
      <c r="AY5900">
        <v>0</v>
      </c>
      <c r="AZ5900">
        <v>0</v>
      </c>
      <c r="BA5900">
        <v>49</v>
      </c>
      <c r="BE5900" t="str">
        <f>T("9791137014381")</f>
        <v>9791137014381</v>
      </c>
      <c r="BF5900" t="str">
        <f>T("D147805")</f>
        <v>D147805</v>
      </c>
      <c r="BG5900" t="str">
        <f>T("판타지 웹소설 &gt; 퓨전 판타지")</f>
        <v>판타지 웹소설 &gt; 퓨전 판타지</v>
      </c>
    </row>
    <row r="5901" spans="1:59">
      <c r="A5901" t="s">
        <v>60</v>
      </c>
      <c r="B5901" s="1">
        <v>46131</v>
      </c>
      <c r="C5901">
        <v>2378044065</v>
      </c>
      <c r="D5901">
        <v>2378078798</v>
      </c>
      <c r="E5901" t="str">
        <f>T("저승의 왕위를 계승했다 726화")</f>
        <v>저승의 왕위를 계승했다 726화</v>
      </c>
      <c r="F5901">
        <v>728</v>
      </c>
      <c r="G5901" t="str">
        <f>T("신타비")</f>
        <v>신타비</v>
      </c>
      <c r="J5901" t="str">
        <f>T("매드햇")</f>
        <v>매드햇</v>
      </c>
      <c r="K5901" t="str">
        <f>T("저승의 왕위를 계승했다")</f>
        <v>저승의 왕위를 계승했다</v>
      </c>
      <c r="L5901">
        <v>100</v>
      </c>
      <c r="M5901">
        <v>70</v>
      </c>
      <c r="N5901">
        <v>1</v>
      </c>
      <c r="O5901">
        <v>0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0</v>
      </c>
      <c r="AE5901">
        <v>0</v>
      </c>
      <c r="AF5901">
        <v>0</v>
      </c>
      <c r="AG5901">
        <v>0</v>
      </c>
      <c r="AH5901">
        <v>0</v>
      </c>
      <c r="AI5901">
        <v>70</v>
      </c>
      <c r="AJ5901">
        <v>1</v>
      </c>
      <c r="AK5901">
        <v>0</v>
      </c>
      <c r="AL5901">
        <v>0</v>
      </c>
      <c r="AM5901">
        <v>70</v>
      </c>
      <c r="AN5901">
        <v>0</v>
      </c>
      <c r="AO5901">
        <v>0</v>
      </c>
      <c r="AP5901">
        <v>0</v>
      </c>
      <c r="AQ5901">
        <v>0</v>
      </c>
      <c r="AS5901">
        <v>0</v>
      </c>
      <c r="AT5901">
        <v>0</v>
      </c>
      <c r="AV5901">
        <v>0</v>
      </c>
      <c r="AW5901">
        <v>0</v>
      </c>
      <c r="AY5901">
        <v>0</v>
      </c>
      <c r="AZ5901">
        <v>0</v>
      </c>
      <c r="BA5901">
        <v>49</v>
      </c>
      <c r="BE5901" t="str">
        <f>T("9791137014381")</f>
        <v>9791137014381</v>
      </c>
      <c r="BF5901" t="str">
        <f>T("D147806")</f>
        <v>D147806</v>
      </c>
      <c r="BG5901" t="str">
        <f>T("판타지 웹소설 &gt; 퓨전 판타지")</f>
        <v>판타지 웹소설 &gt; 퓨전 판타지</v>
      </c>
    </row>
    <row r="5902" spans="1:59">
      <c r="A5902" t="s">
        <v>60</v>
      </c>
      <c r="B5902" s="1">
        <v>46131</v>
      </c>
      <c r="C5902">
        <v>2378044065</v>
      </c>
      <c r="D5902">
        <v>2378078799</v>
      </c>
      <c r="E5902" t="str">
        <f>T("저승의 왕위를 계승했다 727화")</f>
        <v>저승의 왕위를 계승했다 727화</v>
      </c>
      <c r="F5902">
        <v>729</v>
      </c>
      <c r="G5902" t="str">
        <f>T("신타비")</f>
        <v>신타비</v>
      </c>
      <c r="J5902" t="str">
        <f>T("매드햇")</f>
        <v>매드햇</v>
      </c>
      <c r="K5902" t="str">
        <f>T("저승의 왕위를 계승했다")</f>
        <v>저승의 왕위를 계승했다</v>
      </c>
      <c r="L5902">
        <v>100</v>
      </c>
      <c r="M5902">
        <v>70</v>
      </c>
      <c r="N5902">
        <v>1</v>
      </c>
      <c r="O5902">
        <v>0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0</v>
      </c>
      <c r="AE5902">
        <v>0</v>
      </c>
      <c r="AF5902">
        <v>0</v>
      </c>
      <c r="AG5902">
        <v>0</v>
      </c>
      <c r="AH5902">
        <v>0</v>
      </c>
      <c r="AI5902">
        <v>70</v>
      </c>
      <c r="AJ5902">
        <v>1</v>
      </c>
      <c r="AK5902">
        <v>0</v>
      </c>
      <c r="AL5902">
        <v>0</v>
      </c>
      <c r="AM5902">
        <v>70</v>
      </c>
      <c r="AN5902">
        <v>0</v>
      </c>
      <c r="AO5902">
        <v>0</v>
      </c>
      <c r="AP5902">
        <v>0</v>
      </c>
      <c r="AQ5902">
        <v>0</v>
      </c>
      <c r="AS5902">
        <v>0</v>
      </c>
      <c r="AT5902">
        <v>0</v>
      </c>
      <c r="AV5902">
        <v>0</v>
      </c>
      <c r="AW5902">
        <v>0</v>
      </c>
      <c r="AY5902">
        <v>0</v>
      </c>
      <c r="AZ5902">
        <v>0</v>
      </c>
      <c r="BA5902">
        <v>49</v>
      </c>
      <c r="BE5902" t="str">
        <f>T("9791137014381")</f>
        <v>9791137014381</v>
      </c>
      <c r="BF5902" t="str">
        <f>T("D147807")</f>
        <v>D147807</v>
      </c>
      <c r="BG5902" t="str">
        <f>T("판타지 웹소설 &gt; 퓨전 판타지")</f>
        <v>판타지 웹소설 &gt; 퓨전 판타지</v>
      </c>
    </row>
    <row r="5903" spans="1:59">
      <c r="A5903" t="s">
        <v>60</v>
      </c>
      <c r="B5903" s="1">
        <v>46131</v>
      </c>
      <c r="C5903">
        <v>2378044065</v>
      </c>
      <c r="D5903">
        <v>2378078800</v>
      </c>
      <c r="E5903" t="str">
        <f>T("저승의 왕위를 계승했다 728화")</f>
        <v>저승의 왕위를 계승했다 728화</v>
      </c>
      <c r="F5903">
        <v>730</v>
      </c>
      <c r="G5903" t="str">
        <f>T("신타비")</f>
        <v>신타비</v>
      </c>
      <c r="J5903" t="str">
        <f>T("매드햇")</f>
        <v>매드햇</v>
      </c>
      <c r="K5903" t="str">
        <f>T("저승의 왕위를 계승했다")</f>
        <v>저승의 왕위를 계승했다</v>
      </c>
      <c r="L5903">
        <v>100</v>
      </c>
      <c r="M5903">
        <v>70</v>
      </c>
      <c r="N5903">
        <v>1</v>
      </c>
      <c r="O5903">
        <v>0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0</v>
      </c>
      <c r="AE5903">
        <v>0</v>
      </c>
      <c r="AF5903">
        <v>0</v>
      </c>
      <c r="AG5903">
        <v>0</v>
      </c>
      <c r="AH5903">
        <v>0</v>
      </c>
      <c r="AI5903">
        <v>70</v>
      </c>
      <c r="AJ5903">
        <v>1</v>
      </c>
      <c r="AK5903">
        <v>0</v>
      </c>
      <c r="AL5903">
        <v>0</v>
      </c>
      <c r="AM5903">
        <v>70</v>
      </c>
      <c r="AN5903">
        <v>0</v>
      </c>
      <c r="AO5903">
        <v>0</v>
      </c>
      <c r="AP5903">
        <v>0</v>
      </c>
      <c r="AQ5903">
        <v>0</v>
      </c>
      <c r="AS5903">
        <v>0</v>
      </c>
      <c r="AT5903">
        <v>0</v>
      </c>
      <c r="AV5903">
        <v>0</v>
      </c>
      <c r="AW5903">
        <v>0</v>
      </c>
      <c r="AY5903">
        <v>0</v>
      </c>
      <c r="AZ5903">
        <v>0</v>
      </c>
      <c r="BA5903">
        <v>49</v>
      </c>
      <c r="BE5903" t="str">
        <f>T("9791137014381")</f>
        <v>9791137014381</v>
      </c>
      <c r="BF5903" t="str">
        <f>T("D147808")</f>
        <v>D147808</v>
      </c>
      <c r="BG5903" t="str">
        <f>T("판타지 웹소설 &gt; 퓨전 판타지")</f>
        <v>판타지 웹소설 &gt; 퓨전 판타지</v>
      </c>
    </row>
    <row r="5904" spans="1:59">
      <c r="A5904" t="s">
        <v>60</v>
      </c>
      <c r="B5904" s="1">
        <v>46131</v>
      </c>
      <c r="C5904">
        <v>2378044065</v>
      </c>
      <c r="D5904">
        <v>2378079014</v>
      </c>
      <c r="E5904" t="str">
        <f>T("저승의 왕위를 계승했다 729화")</f>
        <v>저승의 왕위를 계승했다 729화</v>
      </c>
      <c r="F5904">
        <v>731</v>
      </c>
      <c r="G5904" t="str">
        <f>T("신타비")</f>
        <v>신타비</v>
      </c>
      <c r="J5904" t="str">
        <f>T("매드햇")</f>
        <v>매드햇</v>
      </c>
      <c r="K5904" t="str">
        <f>T("저승의 왕위를 계승했다")</f>
        <v>저승의 왕위를 계승했다</v>
      </c>
      <c r="L5904">
        <v>100</v>
      </c>
      <c r="M5904">
        <v>70</v>
      </c>
      <c r="N5904">
        <v>1</v>
      </c>
      <c r="O5904">
        <v>0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0</v>
      </c>
      <c r="AE5904">
        <v>0</v>
      </c>
      <c r="AF5904">
        <v>0</v>
      </c>
      <c r="AG5904">
        <v>0</v>
      </c>
      <c r="AH5904">
        <v>0</v>
      </c>
      <c r="AI5904">
        <v>70</v>
      </c>
      <c r="AJ5904">
        <v>1</v>
      </c>
      <c r="AK5904">
        <v>0</v>
      </c>
      <c r="AL5904">
        <v>0</v>
      </c>
      <c r="AM5904">
        <v>70</v>
      </c>
      <c r="AN5904">
        <v>0</v>
      </c>
      <c r="AO5904">
        <v>0</v>
      </c>
      <c r="AP5904">
        <v>0</v>
      </c>
      <c r="AQ5904">
        <v>0</v>
      </c>
      <c r="AS5904">
        <v>0</v>
      </c>
      <c r="AT5904">
        <v>0</v>
      </c>
      <c r="AV5904">
        <v>0</v>
      </c>
      <c r="AW5904">
        <v>0</v>
      </c>
      <c r="AY5904">
        <v>0</v>
      </c>
      <c r="AZ5904">
        <v>0</v>
      </c>
      <c r="BA5904">
        <v>49</v>
      </c>
      <c r="BE5904" t="str">
        <f>T("9791137014381")</f>
        <v>9791137014381</v>
      </c>
      <c r="BF5904" t="str">
        <f>T("D147809")</f>
        <v>D147809</v>
      </c>
      <c r="BG5904" t="str">
        <f>T("판타지 웹소설 &gt; 퓨전 판타지")</f>
        <v>판타지 웹소설 &gt; 퓨전 판타지</v>
      </c>
    </row>
    <row r="5905" spans="1:59">
      <c r="A5905" t="s">
        <v>60</v>
      </c>
      <c r="B5905" s="1">
        <v>46131</v>
      </c>
      <c r="C5905">
        <v>2378044065</v>
      </c>
      <c r="D5905">
        <v>2378079015</v>
      </c>
      <c r="E5905" t="str">
        <f>T("저승의 왕위를 계승했다 730화")</f>
        <v>저승의 왕위를 계승했다 730화</v>
      </c>
      <c r="F5905">
        <v>732</v>
      </c>
      <c r="G5905" t="str">
        <f>T("신타비")</f>
        <v>신타비</v>
      </c>
      <c r="J5905" t="str">
        <f>T("매드햇")</f>
        <v>매드햇</v>
      </c>
      <c r="K5905" t="str">
        <f>T("저승의 왕위를 계승했다")</f>
        <v>저승의 왕위를 계승했다</v>
      </c>
      <c r="L5905">
        <v>100</v>
      </c>
      <c r="M5905">
        <v>70</v>
      </c>
      <c r="N5905">
        <v>1</v>
      </c>
      <c r="O5905">
        <v>0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0</v>
      </c>
      <c r="AE5905">
        <v>0</v>
      </c>
      <c r="AF5905">
        <v>0</v>
      </c>
      <c r="AG5905">
        <v>0</v>
      </c>
      <c r="AH5905">
        <v>0</v>
      </c>
      <c r="AI5905">
        <v>70</v>
      </c>
      <c r="AJ5905">
        <v>1</v>
      </c>
      <c r="AK5905">
        <v>0</v>
      </c>
      <c r="AL5905">
        <v>0</v>
      </c>
      <c r="AM5905">
        <v>70</v>
      </c>
      <c r="AN5905">
        <v>0</v>
      </c>
      <c r="AO5905">
        <v>0</v>
      </c>
      <c r="AP5905">
        <v>0</v>
      </c>
      <c r="AQ5905">
        <v>0</v>
      </c>
      <c r="AS5905">
        <v>0</v>
      </c>
      <c r="AT5905">
        <v>0</v>
      </c>
      <c r="AV5905">
        <v>0</v>
      </c>
      <c r="AW5905">
        <v>0</v>
      </c>
      <c r="AY5905">
        <v>0</v>
      </c>
      <c r="AZ5905">
        <v>0</v>
      </c>
      <c r="BA5905">
        <v>49</v>
      </c>
      <c r="BE5905" t="str">
        <f>T("9791137014381")</f>
        <v>9791137014381</v>
      </c>
      <c r="BF5905" t="str">
        <f>T("D147810")</f>
        <v>D147810</v>
      </c>
      <c r="BG5905" t="str">
        <f>T("판타지 웹소설 &gt; 퓨전 판타지")</f>
        <v>판타지 웹소설 &gt; 퓨전 판타지</v>
      </c>
    </row>
    <row r="5906" spans="1:59">
      <c r="A5906" t="s">
        <v>60</v>
      </c>
      <c r="B5906" s="1">
        <v>46131</v>
      </c>
      <c r="C5906">
        <v>2378044065</v>
      </c>
      <c r="D5906">
        <v>2378079016</v>
      </c>
      <c r="E5906" t="str">
        <f>T("저승의 왕위를 계승했다 731화")</f>
        <v>저승의 왕위를 계승했다 731화</v>
      </c>
      <c r="F5906">
        <v>733</v>
      </c>
      <c r="G5906" t="str">
        <f>T("신타비")</f>
        <v>신타비</v>
      </c>
      <c r="J5906" t="str">
        <f>T("매드햇")</f>
        <v>매드햇</v>
      </c>
      <c r="K5906" t="str">
        <f>T("저승의 왕위를 계승했다")</f>
        <v>저승의 왕위를 계승했다</v>
      </c>
      <c r="L5906">
        <v>100</v>
      </c>
      <c r="M5906">
        <v>70</v>
      </c>
      <c r="N5906">
        <v>1</v>
      </c>
      <c r="O5906">
        <v>0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0</v>
      </c>
      <c r="AE5906">
        <v>0</v>
      </c>
      <c r="AF5906">
        <v>0</v>
      </c>
      <c r="AG5906">
        <v>0</v>
      </c>
      <c r="AH5906">
        <v>0</v>
      </c>
      <c r="AI5906">
        <v>70</v>
      </c>
      <c r="AJ5906">
        <v>1</v>
      </c>
      <c r="AK5906">
        <v>0</v>
      </c>
      <c r="AL5906">
        <v>0</v>
      </c>
      <c r="AM5906">
        <v>70</v>
      </c>
      <c r="AN5906">
        <v>0</v>
      </c>
      <c r="AO5906">
        <v>0</v>
      </c>
      <c r="AP5906">
        <v>0</v>
      </c>
      <c r="AQ5906">
        <v>0</v>
      </c>
      <c r="AS5906">
        <v>0</v>
      </c>
      <c r="AT5906">
        <v>0</v>
      </c>
      <c r="AV5906">
        <v>0</v>
      </c>
      <c r="AW5906">
        <v>0</v>
      </c>
      <c r="AY5906">
        <v>0</v>
      </c>
      <c r="AZ5906">
        <v>0</v>
      </c>
      <c r="BA5906">
        <v>49</v>
      </c>
      <c r="BE5906" t="str">
        <f>T("9791137014381")</f>
        <v>9791137014381</v>
      </c>
      <c r="BF5906" t="str">
        <f>T("D168240")</f>
        <v>D168240</v>
      </c>
      <c r="BG5906" t="str">
        <f>T("판타지 웹소설 &gt; 퓨전 판타지")</f>
        <v>판타지 웹소설 &gt; 퓨전 판타지</v>
      </c>
    </row>
    <row r="5907" spans="1:59">
      <c r="A5907" t="s">
        <v>60</v>
      </c>
      <c r="B5907" s="1">
        <v>46131</v>
      </c>
      <c r="C5907">
        <v>2378044065</v>
      </c>
      <c r="D5907">
        <v>2378079017</v>
      </c>
      <c r="E5907" t="str">
        <f>T("저승의 왕위를 계승했다 732화")</f>
        <v>저승의 왕위를 계승했다 732화</v>
      </c>
      <c r="F5907">
        <v>734</v>
      </c>
      <c r="G5907" t="str">
        <f>T("신타비")</f>
        <v>신타비</v>
      </c>
      <c r="J5907" t="str">
        <f>T("매드햇")</f>
        <v>매드햇</v>
      </c>
      <c r="K5907" t="str">
        <f>T("저승의 왕위를 계승했다")</f>
        <v>저승의 왕위를 계승했다</v>
      </c>
      <c r="L5907">
        <v>100</v>
      </c>
      <c r="M5907">
        <v>70</v>
      </c>
      <c r="N5907">
        <v>1</v>
      </c>
      <c r="O5907">
        <v>0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0</v>
      </c>
      <c r="AE5907">
        <v>0</v>
      </c>
      <c r="AF5907">
        <v>0</v>
      </c>
      <c r="AG5907">
        <v>0</v>
      </c>
      <c r="AH5907">
        <v>0</v>
      </c>
      <c r="AI5907">
        <v>70</v>
      </c>
      <c r="AJ5907">
        <v>1</v>
      </c>
      <c r="AK5907">
        <v>0</v>
      </c>
      <c r="AL5907">
        <v>0</v>
      </c>
      <c r="AM5907">
        <v>70</v>
      </c>
      <c r="AN5907">
        <v>0</v>
      </c>
      <c r="AO5907">
        <v>0</v>
      </c>
      <c r="AP5907">
        <v>0</v>
      </c>
      <c r="AQ5907">
        <v>0</v>
      </c>
      <c r="AS5907">
        <v>0</v>
      </c>
      <c r="AT5907">
        <v>0</v>
      </c>
      <c r="AV5907">
        <v>0</v>
      </c>
      <c r="AW5907">
        <v>0</v>
      </c>
      <c r="AY5907">
        <v>0</v>
      </c>
      <c r="AZ5907">
        <v>0</v>
      </c>
      <c r="BA5907">
        <v>49</v>
      </c>
      <c r="BE5907" t="str">
        <f>T("9791137014381")</f>
        <v>9791137014381</v>
      </c>
      <c r="BF5907" t="str">
        <f>T("D168241")</f>
        <v>D168241</v>
      </c>
      <c r="BG5907" t="str">
        <f>T("판타지 웹소설 &gt; 퓨전 판타지")</f>
        <v>판타지 웹소설 &gt; 퓨전 판타지</v>
      </c>
    </row>
    <row r="5908" spans="1:59">
      <c r="A5908" t="s">
        <v>60</v>
      </c>
      <c r="B5908" s="1">
        <v>46131</v>
      </c>
      <c r="C5908">
        <v>2378044065</v>
      </c>
      <c r="D5908">
        <v>2378079031</v>
      </c>
      <c r="E5908" t="str">
        <f>T("저승의 왕위를 계승했다 733화")</f>
        <v>저승의 왕위를 계승했다 733화</v>
      </c>
      <c r="F5908">
        <v>735</v>
      </c>
      <c r="G5908" t="str">
        <f>T("신타비")</f>
        <v>신타비</v>
      </c>
      <c r="J5908" t="str">
        <f>T("매드햇")</f>
        <v>매드햇</v>
      </c>
      <c r="K5908" t="str">
        <f>T("저승의 왕위를 계승했다")</f>
        <v>저승의 왕위를 계승했다</v>
      </c>
      <c r="L5908">
        <v>100</v>
      </c>
      <c r="M5908">
        <v>70</v>
      </c>
      <c r="N5908">
        <v>1</v>
      </c>
      <c r="O5908">
        <v>0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0</v>
      </c>
      <c r="AE5908">
        <v>0</v>
      </c>
      <c r="AF5908">
        <v>0</v>
      </c>
      <c r="AG5908">
        <v>0</v>
      </c>
      <c r="AH5908">
        <v>0</v>
      </c>
      <c r="AI5908">
        <v>70</v>
      </c>
      <c r="AJ5908">
        <v>1</v>
      </c>
      <c r="AK5908">
        <v>0</v>
      </c>
      <c r="AL5908">
        <v>0</v>
      </c>
      <c r="AM5908">
        <v>70</v>
      </c>
      <c r="AN5908">
        <v>0</v>
      </c>
      <c r="AO5908">
        <v>0</v>
      </c>
      <c r="AP5908">
        <v>0</v>
      </c>
      <c r="AQ5908">
        <v>0</v>
      </c>
      <c r="AS5908">
        <v>0</v>
      </c>
      <c r="AT5908">
        <v>0</v>
      </c>
      <c r="AV5908">
        <v>0</v>
      </c>
      <c r="AW5908">
        <v>0</v>
      </c>
      <c r="AY5908">
        <v>0</v>
      </c>
      <c r="AZ5908">
        <v>0</v>
      </c>
      <c r="BA5908">
        <v>49</v>
      </c>
      <c r="BE5908" t="str">
        <f>T("9791137014381")</f>
        <v>9791137014381</v>
      </c>
      <c r="BF5908" t="str">
        <f>T("D168242")</f>
        <v>D168242</v>
      </c>
      <c r="BG5908" t="str">
        <f>T("판타지 웹소설 &gt; 퓨전 판타지")</f>
        <v>판타지 웹소설 &gt; 퓨전 판타지</v>
      </c>
    </row>
    <row r="5909" spans="1:59">
      <c r="A5909" t="s">
        <v>60</v>
      </c>
      <c r="B5909" s="1">
        <v>46131</v>
      </c>
      <c r="C5909">
        <v>2378044065</v>
      </c>
      <c r="D5909">
        <v>2378079032</v>
      </c>
      <c r="E5909" t="str">
        <f>T("저승의 왕위를 계승했다 734화")</f>
        <v>저승의 왕위를 계승했다 734화</v>
      </c>
      <c r="F5909">
        <v>736</v>
      </c>
      <c r="G5909" t="str">
        <f>T("신타비")</f>
        <v>신타비</v>
      </c>
      <c r="J5909" t="str">
        <f>T("매드햇")</f>
        <v>매드햇</v>
      </c>
      <c r="K5909" t="str">
        <f>T("저승의 왕위를 계승했다")</f>
        <v>저승의 왕위를 계승했다</v>
      </c>
      <c r="L5909">
        <v>100</v>
      </c>
      <c r="M5909">
        <v>70</v>
      </c>
      <c r="N5909">
        <v>1</v>
      </c>
      <c r="O5909">
        <v>0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0</v>
      </c>
      <c r="AE5909">
        <v>0</v>
      </c>
      <c r="AF5909">
        <v>0</v>
      </c>
      <c r="AG5909">
        <v>0</v>
      </c>
      <c r="AH5909">
        <v>0</v>
      </c>
      <c r="AI5909">
        <v>70</v>
      </c>
      <c r="AJ5909">
        <v>1</v>
      </c>
      <c r="AK5909">
        <v>0</v>
      </c>
      <c r="AL5909">
        <v>0</v>
      </c>
      <c r="AM5909">
        <v>70</v>
      </c>
      <c r="AN5909">
        <v>0</v>
      </c>
      <c r="AO5909">
        <v>0</v>
      </c>
      <c r="AP5909">
        <v>0</v>
      </c>
      <c r="AQ5909">
        <v>0</v>
      </c>
      <c r="AS5909">
        <v>0</v>
      </c>
      <c r="AT5909">
        <v>0</v>
      </c>
      <c r="AV5909">
        <v>0</v>
      </c>
      <c r="AW5909">
        <v>0</v>
      </c>
      <c r="AY5909">
        <v>0</v>
      </c>
      <c r="AZ5909">
        <v>0</v>
      </c>
      <c r="BA5909">
        <v>49</v>
      </c>
      <c r="BE5909" t="str">
        <f>T("9791137014381")</f>
        <v>9791137014381</v>
      </c>
      <c r="BF5909" t="str">
        <f>T("D168243")</f>
        <v>D168243</v>
      </c>
      <c r="BG5909" t="str">
        <f>T("판타지 웹소설 &gt; 퓨전 판타지")</f>
        <v>판타지 웹소설 &gt; 퓨전 판타지</v>
      </c>
    </row>
    <row r="5910" spans="1:59">
      <c r="A5910" t="s">
        <v>60</v>
      </c>
      <c r="B5910" s="1">
        <v>46131</v>
      </c>
      <c r="C5910">
        <v>2378044065</v>
      </c>
      <c r="D5910">
        <v>2378079042</v>
      </c>
      <c r="E5910" t="str">
        <f>T("저승의 왕위를 계승했다 735화")</f>
        <v>저승의 왕위를 계승했다 735화</v>
      </c>
      <c r="F5910">
        <v>737</v>
      </c>
      <c r="G5910" t="str">
        <f>T("신타비")</f>
        <v>신타비</v>
      </c>
      <c r="J5910" t="str">
        <f>T("매드햇")</f>
        <v>매드햇</v>
      </c>
      <c r="K5910" t="str">
        <f>T("저승의 왕위를 계승했다")</f>
        <v>저승의 왕위를 계승했다</v>
      </c>
      <c r="L5910">
        <v>100</v>
      </c>
      <c r="M5910">
        <v>70</v>
      </c>
      <c r="N5910">
        <v>1</v>
      </c>
      <c r="O5910">
        <v>0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0</v>
      </c>
      <c r="AE5910">
        <v>0</v>
      </c>
      <c r="AF5910">
        <v>0</v>
      </c>
      <c r="AG5910">
        <v>0</v>
      </c>
      <c r="AH5910">
        <v>0</v>
      </c>
      <c r="AI5910">
        <v>70</v>
      </c>
      <c r="AJ5910">
        <v>1</v>
      </c>
      <c r="AK5910">
        <v>0</v>
      </c>
      <c r="AL5910">
        <v>0</v>
      </c>
      <c r="AM5910">
        <v>70</v>
      </c>
      <c r="AN5910">
        <v>0</v>
      </c>
      <c r="AO5910">
        <v>0</v>
      </c>
      <c r="AP5910">
        <v>0</v>
      </c>
      <c r="AQ5910">
        <v>0</v>
      </c>
      <c r="AS5910">
        <v>0</v>
      </c>
      <c r="AT5910">
        <v>0</v>
      </c>
      <c r="AV5910">
        <v>0</v>
      </c>
      <c r="AW5910">
        <v>0</v>
      </c>
      <c r="AY5910">
        <v>0</v>
      </c>
      <c r="AZ5910">
        <v>0</v>
      </c>
      <c r="BA5910">
        <v>49</v>
      </c>
      <c r="BE5910" t="str">
        <f>T("9791137014381")</f>
        <v>9791137014381</v>
      </c>
      <c r="BF5910" t="str">
        <f>T("D168244")</f>
        <v>D168244</v>
      </c>
      <c r="BG5910" t="str">
        <f>T("판타지 웹소설 &gt; 퓨전 판타지")</f>
        <v>판타지 웹소설 &gt; 퓨전 판타지</v>
      </c>
    </row>
    <row r="5911" spans="1:59">
      <c r="A5911" t="s">
        <v>60</v>
      </c>
      <c r="B5911" s="1">
        <v>46131</v>
      </c>
      <c r="C5911">
        <v>2378044065</v>
      </c>
      <c r="D5911">
        <v>2378079043</v>
      </c>
      <c r="E5911" t="str">
        <f>T("저승의 왕위를 계승했다 736화")</f>
        <v>저승의 왕위를 계승했다 736화</v>
      </c>
      <c r="F5911">
        <v>738</v>
      </c>
      <c r="G5911" t="str">
        <f>T("신타비")</f>
        <v>신타비</v>
      </c>
      <c r="J5911" t="str">
        <f>T("매드햇")</f>
        <v>매드햇</v>
      </c>
      <c r="K5911" t="str">
        <f>T("저승의 왕위를 계승했다")</f>
        <v>저승의 왕위를 계승했다</v>
      </c>
      <c r="L5911">
        <v>100</v>
      </c>
      <c r="M5911">
        <v>70</v>
      </c>
      <c r="N5911">
        <v>1</v>
      </c>
      <c r="O5911">
        <v>0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0</v>
      </c>
      <c r="AE5911">
        <v>0</v>
      </c>
      <c r="AF5911">
        <v>0</v>
      </c>
      <c r="AG5911">
        <v>0</v>
      </c>
      <c r="AH5911">
        <v>0</v>
      </c>
      <c r="AI5911">
        <v>70</v>
      </c>
      <c r="AJ5911">
        <v>1</v>
      </c>
      <c r="AK5911">
        <v>0</v>
      </c>
      <c r="AL5911">
        <v>0</v>
      </c>
      <c r="AM5911">
        <v>70</v>
      </c>
      <c r="AN5911">
        <v>0</v>
      </c>
      <c r="AO5911">
        <v>0</v>
      </c>
      <c r="AP5911">
        <v>0</v>
      </c>
      <c r="AQ5911">
        <v>0</v>
      </c>
      <c r="AS5911">
        <v>0</v>
      </c>
      <c r="AT5911">
        <v>0</v>
      </c>
      <c r="AV5911">
        <v>0</v>
      </c>
      <c r="AW5911">
        <v>0</v>
      </c>
      <c r="AY5911">
        <v>0</v>
      </c>
      <c r="AZ5911">
        <v>0</v>
      </c>
      <c r="BA5911">
        <v>49</v>
      </c>
      <c r="BE5911" t="str">
        <f>T("9791137014381")</f>
        <v>9791137014381</v>
      </c>
      <c r="BF5911" t="str">
        <f>T("D168245")</f>
        <v>D168245</v>
      </c>
      <c r="BG5911" t="str">
        <f>T("판타지 웹소설 &gt; 퓨전 판타지")</f>
        <v>판타지 웹소설 &gt; 퓨전 판타지</v>
      </c>
    </row>
    <row r="5912" spans="1:59">
      <c r="A5912" t="s">
        <v>60</v>
      </c>
      <c r="B5912" s="1">
        <v>46131</v>
      </c>
      <c r="C5912">
        <v>2378044065</v>
      </c>
      <c r="D5912">
        <v>2378079044</v>
      </c>
      <c r="E5912" t="str">
        <f>T("저승의 왕위를 계승했다 737화")</f>
        <v>저승의 왕위를 계승했다 737화</v>
      </c>
      <c r="F5912">
        <v>739</v>
      </c>
      <c r="G5912" t="str">
        <f>T("신타비")</f>
        <v>신타비</v>
      </c>
      <c r="J5912" t="str">
        <f>T("매드햇")</f>
        <v>매드햇</v>
      </c>
      <c r="K5912" t="str">
        <f>T("저승의 왕위를 계승했다")</f>
        <v>저승의 왕위를 계승했다</v>
      </c>
      <c r="L5912">
        <v>100</v>
      </c>
      <c r="M5912">
        <v>70</v>
      </c>
      <c r="N5912">
        <v>1</v>
      </c>
      <c r="O5912">
        <v>0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0</v>
      </c>
      <c r="AE5912">
        <v>0</v>
      </c>
      <c r="AF5912">
        <v>0</v>
      </c>
      <c r="AG5912">
        <v>0</v>
      </c>
      <c r="AH5912">
        <v>0</v>
      </c>
      <c r="AI5912">
        <v>70</v>
      </c>
      <c r="AJ5912">
        <v>1</v>
      </c>
      <c r="AK5912">
        <v>0</v>
      </c>
      <c r="AL5912">
        <v>0</v>
      </c>
      <c r="AM5912">
        <v>70</v>
      </c>
      <c r="AN5912">
        <v>0</v>
      </c>
      <c r="AO5912">
        <v>0</v>
      </c>
      <c r="AP5912">
        <v>0</v>
      </c>
      <c r="AQ5912">
        <v>0</v>
      </c>
      <c r="AS5912">
        <v>0</v>
      </c>
      <c r="AT5912">
        <v>0</v>
      </c>
      <c r="AV5912">
        <v>0</v>
      </c>
      <c r="AW5912">
        <v>0</v>
      </c>
      <c r="AY5912">
        <v>0</v>
      </c>
      <c r="AZ5912">
        <v>0</v>
      </c>
      <c r="BA5912">
        <v>49</v>
      </c>
      <c r="BE5912" t="str">
        <f>T("9791137014381")</f>
        <v>9791137014381</v>
      </c>
      <c r="BF5912" t="str">
        <f>T("D168246")</f>
        <v>D168246</v>
      </c>
      <c r="BG5912" t="str">
        <f>T("판타지 웹소설 &gt; 퓨전 판타지")</f>
        <v>판타지 웹소설 &gt; 퓨전 판타지</v>
      </c>
    </row>
    <row r="5913" spans="1:59">
      <c r="A5913" t="s">
        <v>60</v>
      </c>
      <c r="B5913" s="1">
        <v>46131</v>
      </c>
      <c r="C5913">
        <v>2378044065</v>
      </c>
      <c r="D5913">
        <v>2378079059</v>
      </c>
      <c r="E5913" t="str">
        <f>T("저승의 왕위를 계승했다 738화")</f>
        <v>저승의 왕위를 계승했다 738화</v>
      </c>
      <c r="F5913">
        <v>740</v>
      </c>
      <c r="G5913" t="str">
        <f>T("신타비")</f>
        <v>신타비</v>
      </c>
      <c r="J5913" t="str">
        <f>T("매드햇")</f>
        <v>매드햇</v>
      </c>
      <c r="K5913" t="str">
        <f>T("저승의 왕위를 계승했다")</f>
        <v>저승의 왕위를 계승했다</v>
      </c>
      <c r="L5913">
        <v>100</v>
      </c>
      <c r="M5913">
        <v>70</v>
      </c>
      <c r="N5913">
        <v>1</v>
      </c>
      <c r="O5913">
        <v>0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0</v>
      </c>
      <c r="AE5913">
        <v>0</v>
      </c>
      <c r="AF5913">
        <v>0</v>
      </c>
      <c r="AG5913">
        <v>0</v>
      </c>
      <c r="AH5913">
        <v>0</v>
      </c>
      <c r="AI5913">
        <v>70</v>
      </c>
      <c r="AJ5913">
        <v>1</v>
      </c>
      <c r="AK5913">
        <v>0</v>
      </c>
      <c r="AL5913">
        <v>0</v>
      </c>
      <c r="AM5913">
        <v>70</v>
      </c>
      <c r="AN5913">
        <v>0</v>
      </c>
      <c r="AO5913">
        <v>0</v>
      </c>
      <c r="AP5913">
        <v>0</v>
      </c>
      <c r="AQ5913">
        <v>0</v>
      </c>
      <c r="AS5913">
        <v>0</v>
      </c>
      <c r="AT5913">
        <v>0</v>
      </c>
      <c r="AV5913">
        <v>0</v>
      </c>
      <c r="AW5913">
        <v>0</v>
      </c>
      <c r="AY5913">
        <v>0</v>
      </c>
      <c r="AZ5913">
        <v>0</v>
      </c>
      <c r="BA5913">
        <v>49</v>
      </c>
      <c r="BE5913" t="str">
        <f>T("9791137014381")</f>
        <v>9791137014381</v>
      </c>
      <c r="BF5913" t="str">
        <f>T("D168247")</f>
        <v>D168247</v>
      </c>
      <c r="BG5913" t="str">
        <f>T("판타지 웹소설 &gt; 퓨전 판타지")</f>
        <v>판타지 웹소설 &gt; 퓨전 판타지</v>
      </c>
    </row>
    <row r="5914" spans="1:59">
      <c r="A5914" t="s">
        <v>60</v>
      </c>
      <c r="B5914" s="1">
        <v>46131</v>
      </c>
      <c r="C5914">
        <v>2378044065</v>
      </c>
      <c r="D5914">
        <v>2378079060</v>
      </c>
      <c r="E5914" t="str">
        <f>T("저승의 왕위를 계승했다 739화")</f>
        <v>저승의 왕위를 계승했다 739화</v>
      </c>
      <c r="F5914">
        <v>741</v>
      </c>
      <c r="G5914" t="str">
        <f>T("신타비")</f>
        <v>신타비</v>
      </c>
      <c r="J5914" t="str">
        <f>T("매드햇")</f>
        <v>매드햇</v>
      </c>
      <c r="K5914" t="str">
        <f>T("저승의 왕위를 계승했다")</f>
        <v>저승의 왕위를 계승했다</v>
      </c>
      <c r="L5914">
        <v>100</v>
      </c>
      <c r="M5914">
        <v>70</v>
      </c>
      <c r="N5914">
        <v>1</v>
      </c>
      <c r="O5914">
        <v>0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0</v>
      </c>
      <c r="AE5914">
        <v>0</v>
      </c>
      <c r="AF5914">
        <v>0</v>
      </c>
      <c r="AG5914">
        <v>0</v>
      </c>
      <c r="AH5914">
        <v>0</v>
      </c>
      <c r="AI5914">
        <v>70</v>
      </c>
      <c r="AJ5914">
        <v>1</v>
      </c>
      <c r="AK5914">
        <v>0</v>
      </c>
      <c r="AL5914">
        <v>0</v>
      </c>
      <c r="AM5914">
        <v>70</v>
      </c>
      <c r="AN5914">
        <v>0</v>
      </c>
      <c r="AO5914">
        <v>0</v>
      </c>
      <c r="AP5914">
        <v>0</v>
      </c>
      <c r="AQ5914">
        <v>0</v>
      </c>
      <c r="AS5914">
        <v>0</v>
      </c>
      <c r="AT5914">
        <v>0</v>
      </c>
      <c r="AV5914">
        <v>0</v>
      </c>
      <c r="AW5914">
        <v>0</v>
      </c>
      <c r="AY5914">
        <v>0</v>
      </c>
      <c r="AZ5914">
        <v>0</v>
      </c>
      <c r="BA5914">
        <v>49</v>
      </c>
      <c r="BE5914" t="str">
        <f>T("9791137014381")</f>
        <v>9791137014381</v>
      </c>
      <c r="BF5914" t="str">
        <f>T("D168248")</f>
        <v>D168248</v>
      </c>
      <c r="BG5914" t="str">
        <f>T("판타지 웹소설 &gt; 퓨전 판타지")</f>
        <v>판타지 웹소설 &gt; 퓨전 판타지</v>
      </c>
    </row>
    <row r="5915" spans="1:59">
      <c r="A5915" t="s">
        <v>60</v>
      </c>
      <c r="B5915" s="1">
        <v>46131</v>
      </c>
      <c r="C5915">
        <v>2378044065</v>
      </c>
      <c r="D5915">
        <v>2378079087</v>
      </c>
      <c r="E5915" t="str">
        <f>T("저승의 왕위를 계승했다 740화")</f>
        <v>저승의 왕위를 계승했다 740화</v>
      </c>
      <c r="F5915">
        <v>742</v>
      </c>
      <c r="G5915" t="str">
        <f>T("신타비")</f>
        <v>신타비</v>
      </c>
      <c r="J5915" t="str">
        <f>T("매드햇")</f>
        <v>매드햇</v>
      </c>
      <c r="K5915" t="str">
        <f>T("저승의 왕위를 계승했다")</f>
        <v>저승의 왕위를 계승했다</v>
      </c>
      <c r="L5915">
        <v>100</v>
      </c>
      <c r="M5915">
        <v>70</v>
      </c>
      <c r="N5915">
        <v>1</v>
      </c>
      <c r="O5915">
        <v>0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0</v>
      </c>
      <c r="AE5915">
        <v>0</v>
      </c>
      <c r="AF5915">
        <v>0</v>
      </c>
      <c r="AG5915">
        <v>0</v>
      </c>
      <c r="AH5915">
        <v>0</v>
      </c>
      <c r="AI5915">
        <v>70</v>
      </c>
      <c r="AJ5915">
        <v>1</v>
      </c>
      <c r="AK5915">
        <v>0</v>
      </c>
      <c r="AL5915">
        <v>0</v>
      </c>
      <c r="AM5915">
        <v>70</v>
      </c>
      <c r="AN5915">
        <v>0</v>
      </c>
      <c r="AO5915">
        <v>0</v>
      </c>
      <c r="AP5915">
        <v>0</v>
      </c>
      <c r="AQ5915">
        <v>0</v>
      </c>
      <c r="AS5915">
        <v>0</v>
      </c>
      <c r="AT5915">
        <v>0</v>
      </c>
      <c r="AV5915">
        <v>0</v>
      </c>
      <c r="AW5915">
        <v>0</v>
      </c>
      <c r="AY5915">
        <v>0</v>
      </c>
      <c r="AZ5915">
        <v>0</v>
      </c>
      <c r="BA5915">
        <v>49</v>
      </c>
      <c r="BE5915" t="str">
        <f>T("9791137014381")</f>
        <v>9791137014381</v>
      </c>
      <c r="BF5915" t="str">
        <f>T("D168249")</f>
        <v>D168249</v>
      </c>
      <c r="BG5915" t="str">
        <f>T("판타지 웹소설 &gt; 퓨전 판타지")</f>
        <v>판타지 웹소설 &gt; 퓨전 판타지</v>
      </c>
    </row>
    <row r="5916" spans="1:59">
      <c r="A5916" t="s">
        <v>60</v>
      </c>
      <c r="B5916" s="1">
        <v>46131</v>
      </c>
      <c r="C5916">
        <v>2378044065</v>
      </c>
      <c r="D5916">
        <v>2378079088</v>
      </c>
      <c r="E5916" t="str">
        <f>T("저승의 왕위를 계승했다 741화")</f>
        <v>저승의 왕위를 계승했다 741화</v>
      </c>
      <c r="F5916">
        <v>743</v>
      </c>
      <c r="G5916" t="str">
        <f>T("신타비")</f>
        <v>신타비</v>
      </c>
      <c r="J5916" t="str">
        <f>T("매드햇")</f>
        <v>매드햇</v>
      </c>
      <c r="K5916" t="str">
        <f>T("저승의 왕위를 계승했다")</f>
        <v>저승의 왕위를 계승했다</v>
      </c>
      <c r="L5916">
        <v>100</v>
      </c>
      <c r="M5916">
        <v>70</v>
      </c>
      <c r="N5916">
        <v>1</v>
      </c>
      <c r="O5916">
        <v>0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0</v>
      </c>
      <c r="AE5916">
        <v>0</v>
      </c>
      <c r="AF5916">
        <v>0</v>
      </c>
      <c r="AG5916">
        <v>0</v>
      </c>
      <c r="AH5916">
        <v>0</v>
      </c>
      <c r="AI5916">
        <v>70</v>
      </c>
      <c r="AJ5916">
        <v>1</v>
      </c>
      <c r="AK5916">
        <v>0</v>
      </c>
      <c r="AL5916">
        <v>0</v>
      </c>
      <c r="AM5916">
        <v>70</v>
      </c>
      <c r="AN5916">
        <v>0</v>
      </c>
      <c r="AO5916">
        <v>0</v>
      </c>
      <c r="AP5916">
        <v>0</v>
      </c>
      <c r="AQ5916">
        <v>0</v>
      </c>
      <c r="AS5916">
        <v>0</v>
      </c>
      <c r="AT5916">
        <v>0</v>
      </c>
      <c r="AV5916">
        <v>0</v>
      </c>
      <c r="AW5916">
        <v>0</v>
      </c>
      <c r="AY5916">
        <v>0</v>
      </c>
      <c r="AZ5916">
        <v>0</v>
      </c>
      <c r="BA5916">
        <v>49</v>
      </c>
      <c r="BE5916" t="str">
        <f>T("9791137014381")</f>
        <v>9791137014381</v>
      </c>
      <c r="BF5916" t="str">
        <f>T("D168250")</f>
        <v>D168250</v>
      </c>
      <c r="BG5916" t="str">
        <f>T("판타지 웹소설 &gt; 퓨전 판타지")</f>
        <v>판타지 웹소설 &gt; 퓨전 판타지</v>
      </c>
    </row>
    <row r="5917" spans="1:59">
      <c r="A5917" t="s">
        <v>60</v>
      </c>
      <c r="B5917" s="1">
        <v>46131</v>
      </c>
      <c r="C5917">
        <v>2378044065</v>
      </c>
      <c r="D5917">
        <v>2378079089</v>
      </c>
      <c r="E5917" t="str">
        <f>T("저승의 왕위를 계승했다 742화")</f>
        <v>저승의 왕위를 계승했다 742화</v>
      </c>
      <c r="F5917">
        <v>744</v>
      </c>
      <c r="G5917" t="str">
        <f>T("신타비")</f>
        <v>신타비</v>
      </c>
      <c r="J5917" t="str">
        <f>T("매드햇")</f>
        <v>매드햇</v>
      </c>
      <c r="K5917" t="str">
        <f>T("저승의 왕위를 계승했다")</f>
        <v>저승의 왕위를 계승했다</v>
      </c>
      <c r="L5917">
        <v>100</v>
      </c>
      <c r="M5917">
        <v>70</v>
      </c>
      <c r="N5917">
        <v>1</v>
      </c>
      <c r="O5917">
        <v>0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0</v>
      </c>
      <c r="AE5917">
        <v>0</v>
      </c>
      <c r="AF5917">
        <v>0</v>
      </c>
      <c r="AG5917">
        <v>0</v>
      </c>
      <c r="AH5917">
        <v>0</v>
      </c>
      <c r="AI5917">
        <v>70</v>
      </c>
      <c r="AJ5917">
        <v>1</v>
      </c>
      <c r="AK5917">
        <v>0</v>
      </c>
      <c r="AL5917">
        <v>0</v>
      </c>
      <c r="AM5917">
        <v>70</v>
      </c>
      <c r="AN5917">
        <v>0</v>
      </c>
      <c r="AO5917">
        <v>0</v>
      </c>
      <c r="AP5917">
        <v>0</v>
      </c>
      <c r="AQ5917">
        <v>0</v>
      </c>
      <c r="AS5917">
        <v>0</v>
      </c>
      <c r="AT5917">
        <v>0</v>
      </c>
      <c r="AV5917">
        <v>0</v>
      </c>
      <c r="AW5917">
        <v>0</v>
      </c>
      <c r="AY5917">
        <v>0</v>
      </c>
      <c r="AZ5917">
        <v>0</v>
      </c>
      <c r="BA5917">
        <v>49</v>
      </c>
      <c r="BE5917" t="str">
        <f>T("9791137014381")</f>
        <v>9791137014381</v>
      </c>
      <c r="BF5917" t="str">
        <f>T("D168251")</f>
        <v>D168251</v>
      </c>
      <c r="BG5917" t="str">
        <f>T("판타지 웹소설 &gt; 퓨전 판타지")</f>
        <v>판타지 웹소설 &gt; 퓨전 판타지</v>
      </c>
    </row>
    <row r="5918" spans="1:59">
      <c r="A5918" t="s">
        <v>60</v>
      </c>
      <c r="B5918" s="1">
        <v>46131</v>
      </c>
      <c r="C5918">
        <v>2378044065</v>
      </c>
      <c r="D5918">
        <v>2378079090</v>
      </c>
      <c r="E5918" t="str">
        <f>T("저승의 왕위를 계승했다 743화")</f>
        <v>저승의 왕위를 계승했다 743화</v>
      </c>
      <c r="F5918">
        <v>745</v>
      </c>
      <c r="G5918" t="str">
        <f>T("신타비")</f>
        <v>신타비</v>
      </c>
      <c r="J5918" t="str">
        <f>T("매드햇")</f>
        <v>매드햇</v>
      </c>
      <c r="K5918" t="str">
        <f>T("저승의 왕위를 계승했다")</f>
        <v>저승의 왕위를 계승했다</v>
      </c>
      <c r="L5918">
        <v>100</v>
      </c>
      <c r="M5918">
        <v>70</v>
      </c>
      <c r="N5918">
        <v>1</v>
      </c>
      <c r="O5918">
        <v>0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0</v>
      </c>
      <c r="AE5918">
        <v>0</v>
      </c>
      <c r="AF5918">
        <v>0</v>
      </c>
      <c r="AG5918">
        <v>0</v>
      </c>
      <c r="AH5918">
        <v>0</v>
      </c>
      <c r="AI5918">
        <v>70</v>
      </c>
      <c r="AJ5918">
        <v>1</v>
      </c>
      <c r="AK5918">
        <v>0</v>
      </c>
      <c r="AL5918">
        <v>0</v>
      </c>
      <c r="AM5918">
        <v>70</v>
      </c>
      <c r="AN5918">
        <v>0</v>
      </c>
      <c r="AO5918">
        <v>0</v>
      </c>
      <c r="AP5918">
        <v>0</v>
      </c>
      <c r="AQ5918">
        <v>0</v>
      </c>
      <c r="AS5918">
        <v>0</v>
      </c>
      <c r="AT5918">
        <v>0</v>
      </c>
      <c r="AV5918">
        <v>0</v>
      </c>
      <c r="AW5918">
        <v>0</v>
      </c>
      <c r="AY5918">
        <v>0</v>
      </c>
      <c r="AZ5918">
        <v>0</v>
      </c>
      <c r="BA5918">
        <v>49</v>
      </c>
      <c r="BE5918" t="str">
        <f>T("9791137014381")</f>
        <v>9791137014381</v>
      </c>
      <c r="BF5918" t="str">
        <f>T("D168252")</f>
        <v>D168252</v>
      </c>
      <c r="BG5918" t="str">
        <f>T("판타지 웹소설 &gt; 퓨전 판타지")</f>
        <v>판타지 웹소설 &gt; 퓨전 판타지</v>
      </c>
    </row>
    <row r="5919" spans="1:59">
      <c r="A5919" t="s">
        <v>60</v>
      </c>
      <c r="B5919" s="1">
        <v>46131</v>
      </c>
      <c r="C5919">
        <v>2378044065</v>
      </c>
      <c r="D5919">
        <v>2378079098</v>
      </c>
      <c r="E5919" t="str">
        <f>T("저승의 왕위를 계승했다 744화")</f>
        <v>저승의 왕위를 계승했다 744화</v>
      </c>
      <c r="F5919">
        <v>746</v>
      </c>
      <c r="G5919" t="str">
        <f>T("신타비")</f>
        <v>신타비</v>
      </c>
      <c r="J5919" t="str">
        <f>T("매드햇")</f>
        <v>매드햇</v>
      </c>
      <c r="K5919" t="str">
        <f>T("저승의 왕위를 계승했다")</f>
        <v>저승의 왕위를 계승했다</v>
      </c>
      <c r="L5919">
        <v>100</v>
      </c>
      <c r="M5919">
        <v>70</v>
      </c>
      <c r="N5919">
        <v>1</v>
      </c>
      <c r="O5919">
        <v>0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0</v>
      </c>
      <c r="AE5919">
        <v>0</v>
      </c>
      <c r="AF5919">
        <v>0</v>
      </c>
      <c r="AG5919">
        <v>0</v>
      </c>
      <c r="AH5919">
        <v>0</v>
      </c>
      <c r="AI5919">
        <v>70</v>
      </c>
      <c r="AJ5919">
        <v>1</v>
      </c>
      <c r="AK5919">
        <v>0</v>
      </c>
      <c r="AL5919">
        <v>0</v>
      </c>
      <c r="AM5919">
        <v>70</v>
      </c>
      <c r="AN5919">
        <v>0</v>
      </c>
      <c r="AO5919">
        <v>0</v>
      </c>
      <c r="AP5919">
        <v>0</v>
      </c>
      <c r="AQ5919">
        <v>0</v>
      </c>
      <c r="AS5919">
        <v>0</v>
      </c>
      <c r="AT5919">
        <v>0</v>
      </c>
      <c r="AV5919">
        <v>0</v>
      </c>
      <c r="AW5919">
        <v>0</v>
      </c>
      <c r="AY5919">
        <v>0</v>
      </c>
      <c r="AZ5919">
        <v>0</v>
      </c>
      <c r="BA5919">
        <v>49</v>
      </c>
      <c r="BE5919" t="str">
        <f>T("9791137014381")</f>
        <v>9791137014381</v>
      </c>
      <c r="BF5919" t="str">
        <f>T("D168253")</f>
        <v>D168253</v>
      </c>
      <c r="BG5919" t="str">
        <f>T("판타지 웹소설 &gt; 퓨전 판타지")</f>
        <v>판타지 웹소설 &gt; 퓨전 판타지</v>
      </c>
    </row>
    <row r="5920" spans="1:59">
      <c r="A5920" t="s">
        <v>60</v>
      </c>
      <c r="B5920" s="1">
        <v>46131</v>
      </c>
      <c r="C5920">
        <v>2378044065</v>
      </c>
      <c r="D5920">
        <v>2378079099</v>
      </c>
      <c r="E5920" t="str">
        <f>T("저승의 왕위를 계승했다 745화")</f>
        <v>저승의 왕위를 계승했다 745화</v>
      </c>
      <c r="F5920">
        <v>747</v>
      </c>
      <c r="G5920" t="str">
        <f>T("신타비")</f>
        <v>신타비</v>
      </c>
      <c r="J5920" t="str">
        <f>T("매드햇")</f>
        <v>매드햇</v>
      </c>
      <c r="K5920" t="str">
        <f>T("저승의 왕위를 계승했다")</f>
        <v>저승의 왕위를 계승했다</v>
      </c>
      <c r="L5920">
        <v>100</v>
      </c>
      <c r="M5920">
        <v>70</v>
      </c>
      <c r="N5920">
        <v>1</v>
      </c>
      <c r="O5920">
        <v>0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0</v>
      </c>
      <c r="AE5920">
        <v>0</v>
      </c>
      <c r="AF5920">
        <v>0</v>
      </c>
      <c r="AG5920">
        <v>0</v>
      </c>
      <c r="AH5920">
        <v>0</v>
      </c>
      <c r="AI5920">
        <v>70</v>
      </c>
      <c r="AJ5920">
        <v>1</v>
      </c>
      <c r="AK5920">
        <v>0</v>
      </c>
      <c r="AL5920">
        <v>0</v>
      </c>
      <c r="AM5920">
        <v>70</v>
      </c>
      <c r="AN5920">
        <v>0</v>
      </c>
      <c r="AO5920">
        <v>0</v>
      </c>
      <c r="AP5920">
        <v>0</v>
      </c>
      <c r="AQ5920">
        <v>0</v>
      </c>
      <c r="AS5920">
        <v>0</v>
      </c>
      <c r="AT5920">
        <v>0</v>
      </c>
      <c r="AV5920">
        <v>0</v>
      </c>
      <c r="AW5920">
        <v>0</v>
      </c>
      <c r="AY5920">
        <v>0</v>
      </c>
      <c r="AZ5920">
        <v>0</v>
      </c>
      <c r="BA5920">
        <v>49</v>
      </c>
      <c r="BE5920" t="str">
        <f>T("9791137014381")</f>
        <v>9791137014381</v>
      </c>
      <c r="BF5920" t="str">
        <f>T("D168254")</f>
        <v>D168254</v>
      </c>
      <c r="BG5920" t="str">
        <f>T("판타지 웹소설 &gt; 퓨전 판타지")</f>
        <v>판타지 웹소설 &gt; 퓨전 판타지</v>
      </c>
    </row>
    <row r="5921" spans="1:59">
      <c r="A5921" t="s">
        <v>60</v>
      </c>
      <c r="B5921" s="1">
        <v>46131</v>
      </c>
      <c r="C5921">
        <v>2378044065</v>
      </c>
      <c r="D5921">
        <v>2378080091</v>
      </c>
      <c r="E5921" t="str">
        <f>T("저승의 왕위를 계승했다 746화")</f>
        <v>저승의 왕위를 계승했다 746화</v>
      </c>
      <c r="F5921">
        <v>748</v>
      </c>
      <c r="G5921" t="str">
        <f>T("신타비")</f>
        <v>신타비</v>
      </c>
      <c r="J5921" t="str">
        <f>T("매드햇")</f>
        <v>매드햇</v>
      </c>
      <c r="K5921" t="str">
        <f>T("저승의 왕위를 계승했다")</f>
        <v>저승의 왕위를 계승했다</v>
      </c>
      <c r="L5921">
        <v>100</v>
      </c>
      <c r="M5921">
        <v>70</v>
      </c>
      <c r="N5921">
        <v>1</v>
      </c>
      <c r="O5921">
        <v>0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0</v>
      </c>
      <c r="AE5921">
        <v>0</v>
      </c>
      <c r="AF5921">
        <v>0</v>
      </c>
      <c r="AG5921">
        <v>0</v>
      </c>
      <c r="AH5921">
        <v>0</v>
      </c>
      <c r="AI5921">
        <v>70</v>
      </c>
      <c r="AJ5921">
        <v>1</v>
      </c>
      <c r="AK5921">
        <v>0</v>
      </c>
      <c r="AL5921">
        <v>0</v>
      </c>
      <c r="AM5921">
        <v>70</v>
      </c>
      <c r="AN5921">
        <v>0</v>
      </c>
      <c r="AO5921">
        <v>0</v>
      </c>
      <c r="AP5921">
        <v>0</v>
      </c>
      <c r="AQ5921">
        <v>0</v>
      </c>
      <c r="AS5921">
        <v>0</v>
      </c>
      <c r="AT5921">
        <v>0</v>
      </c>
      <c r="AV5921">
        <v>0</v>
      </c>
      <c r="AW5921">
        <v>0</v>
      </c>
      <c r="AY5921">
        <v>0</v>
      </c>
      <c r="AZ5921">
        <v>0</v>
      </c>
      <c r="BA5921">
        <v>49</v>
      </c>
      <c r="BE5921" t="str">
        <f>T("9791137014381")</f>
        <v>9791137014381</v>
      </c>
      <c r="BF5921" t="str">
        <f>T("D168255")</f>
        <v>D168255</v>
      </c>
      <c r="BG5921" t="str">
        <f>T("판타지 웹소설 &gt; 퓨전 판타지")</f>
        <v>판타지 웹소설 &gt; 퓨전 판타지</v>
      </c>
    </row>
    <row r="5922" spans="1:59">
      <c r="A5922" t="s">
        <v>60</v>
      </c>
      <c r="B5922" s="1">
        <v>46131</v>
      </c>
      <c r="C5922">
        <v>2378044065</v>
      </c>
      <c r="D5922">
        <v>2378080097</v>
      </c>
      <c r="E5922" t="str">
        <f>T("저승의 왕위를 계승했다 747화")</f>
        <v>저승의 왕위를 계승했다 747화</v>
      </c>
      <c r="F5922">
        <v>749</v>
      </c>
      <c r="G5922" t="str">
        <f>T("신타비")</f>
        <v>신타비</v>
      </c>
      <c r="J5922" t="str">
        <f>T("매드햇")</f>
        <v>매드햇</v>
      </c>
      <c r="K5922" t="str">
        <f>T("저승의 왕위를 계승했다")</f>
        <v>저승의 왕위를 계승했다</v>
      </c>
      <c r="L5922">
        <v>100</v>
      </c>
      <c r="M5922">
        <v>70</v>
      </c>
      <c r="N5922">
        <v>1</v>
      </c>
      <c r="O5922">
        <v>0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0</v>
      </c>
      <c r="AE5922">
        <v>0</v>
      </c>
      <c r="AF5922">
        <v>0</v>
      </c>
      <c r="AG5922">
        <v>0</v>
      </c>
      <c r="AH5922">
        <v>0</v>
      </c>
      <c r="AI5922">
        <v>70</v>
      </c>
      <c r="AJ5922">
        <v>1</v>
      </c>
      <c r="AK5922">
        <v>0</v>
      </c>
      <c r="AL5922">
        <v>0</v>
      </c>
      <c r="AM5922">
        <v>70</v>
      </c>
      <c r="AN5922">
        <v>0</v>
      </c>
      <c r="AO5922">
        <v>0</v>
      </c>
      <c r="AP5922">
        <v>0</v>
      </c>
      <c r="AQ5922">
        <v>0</v>
      </c>
      <c r="AS5922">
        <v>0</v>
      </c>
      <c r="AT5922">
        <v>0</v>
      </c>
      <c r="AV5922">
        <v>0</v>
      </c>
      <c r="AW5922">
        <v>0</v>
      </c>
      <c r="AY5922">
        <v>0</v>
      </c>
      <c r="AZ5922">
        <v>0</v>
      </c>
      <c r="BA5922">
        <v>49</v>
      </c>
      <c r="BE5922" t="str">
        <f>T("9791137014381")</f>
        <v>9791137014381</v>
      </c>
      <c r="BF5922" t="str">
        <f>T("D168256")</f>
        <v>D168256</v>
      </c>
      <c r="BG5922" t="str">
        <f>T("판타지 웹소설 &gt; 퓨전 판타지")</f>
        <v>판타지 웹소설 &gt; 퓨전 판타지</v>
      </c>
    </row>
    <row r="5923" spans="1:59">
      <c r="A5923" t="s">
        <v>60</v>
      </c>
      <c r="B5923" s="1">
        <v>46131</v>
      </c>
      <c r="C5923">
        <v>2378044065</v>
      </c>
      <c r="D5923">
        <v>2378080098</v>
      </c>
      <c r="E5923" t="str">
        <f>T("저승의 왕위를 계승했다 748화")</f>
        <v>저승의 왕위를 계승했다 748화</v>
      </c>
      <c r="F5923">
        <v>750</v>
      </c>
      <c r="G5923" t="str">
        <f>T("신타비")</f>
        <v>신타비</v>
      </c>
      <c r="J5923" t="str">
        <f>T("매드햇")</f>
        <v>매드햇</v>
      </c>
      <c r="K5923" t="str">
        <f>T("저승의 왕위를 계승했다")</f>
        <v>저승의 왕위를 계승했다</v>
      </c>
      <c r="L5923">
        <v>100</v>
      </c>
      <c r="M5923">
        <v>70</v>
      </c>
      <c r="N5923">
        <v>1</v>
      </c>
      <c r="O5923">
        <v>0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0</v>
      </c>
      <c r="AE5923">
        <v>0</v>
      </c>
      <c r="AF5923">
        <v>0</v>
      </c>
      <c r="AG5923">
        <v>0</v>
      </c>
      <c r="AH5923">
        <v>0</v>
      </c>
      <c r="AI5923">
        <v>70</v>
      </c>
      <c r="AJ5923">
        <v>1</v>
      </c>
      <c r="AK5923">
        <v>0</v>
      </c>
      <c r="AL5923">
        <v>0</v>
      </c>
      <c r="AM5923">
        <v>70</v>
      </c>
      <c r="AN5923">
        <v>0</v>
      </c>
      <c r="AO5923">
        <v>0</v>
      </c>
      <c r="AP5923">
        <v>0</v>
      </c>
      <c r="AQ5923">
        <v>0</v>
      </c>
      <c r="AS5923">
        <v>0</v>
      </c>
      <c r="AT5923">
        <v>0</v>
      </c>
      <c r="AV5923">
        <v>0</v>
      </c>
      <c r="AW5923">
        <v>0</v>
      </c>
      <c r="AY5923">
        <v>0</v>
      </c>
      <c r="AZ5923">
        <v>0</v>
      </c>
      <c r="BA5923">
        <v>49</v>
      </c>
      <c r="BE5923" t="str">
        <f>T("9791137014381")</f>
        <v>9791137014381</v>
      </c>
      <c r="BF5923" t="str">
        <f>T("D168257")</f>
        <v>D168257</v>
      </c>
      <c r="BG5923" t="str">
        <f>T("판타지 웹소설 &gt; 퓨전 판타지")</f>
        <v>판타지 웹소설 &gt; 퓨전 판타지</v>
      </c>
    </row>
    <row r="5924" spans="1:59">
      <c r="A5924" t="s">
        <v>60</v>
      </c>
      <c r="B5924" s="1">
        <v>46131</v>
      </c>
      <c r="C5924">
        <v>2378044065</v>
      </c>
      <c r="D5924">
        <v>2378080114</v>
      </c>
      <c r="E5924" t="str">
        <f>T("저승의 왕위를 계승했다 749화")</f>
        <v>저승의 왕위를 계승했다 749화</v>
      </c>
      <c r="F5924">
        <v>751</v>
      </c>
      <c r="G5924" t="str">
        <f>T("신타비")</f>
        <v>신타비</v>
      </c>
      <c r="J5924" t="str">
        <f>T("매드햇")</f>
        <v>매드햇</v>
      </c>
      <c r="K5924" t="str">
        <f>T("저승의 왕위를 계승했다")</f>
        <v>저승의 왕위를 계승했다</v>
      </c>
      <c r="L5924">
        <v>100</v>
      </c>
      <c r="M5924">
        <v>70</v>
      </c>
      <c r="N5924">
        <v>1</v>
      </c>
      <c r="O5924">
        <v>0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0</v>
      </c>
      <c r="AE5924">
        <v>0</v>
      </c>
      <c r="AF5924">
        <v>0</v>
      </c>
      <c r="AG5924">
        <v>0</v>
      </c>
      <c r="AH5924">
        <v>0</v>
      </c>
      <c r="AI5924">
        <v>70</v>
      </c>
      <c r="AJ5924">
        <v>1</v>
      </c>
      <c r="AK5924">
        <v>0</v>
      </c>
      <c r="AL5924">
        <v>0</v>
      </c>
      <c r="AM5924">
        <v>70</v>
      </c>
      <c r="AN5924">
        <v>0</v>
      </c>
      <c r="AO5924">
        <v>0</v>
      </c>
      <c r="AP5924">
        <v>0</v>
      </c>
      <c r="AQ5924">
        <v>0</v>
      </c>
      <c r="AS5924">
        <v>0</v>
      </c>
      <c r="AT5924">
        <v>0</v>
      </c>
      <c r="AV5924">
        <v>0</v>
      </c>
      <c r="AW5924">
        <v>0</v>
      </c>
      <c r="AY5924">
        <v>0</v>
      </c>
      <c r="AZ5924">
        <v>0</v>
      </c>
      <c r="BA5924">
        <v>49</v>
      </c>
      <c r="BE5924" t="str">
        <f>T("9791137014381")</f>
        <v>9791137014381</v>
      </c>
      <c r="BF5924" t="str">
        <f>T("D168258")</f>
        <v>D168258</v>
      </c>
      <c r="BG5924" t="str">
        <f>T("판타지 웹소설 &gt; 퓨전 판타지")</f>
        <v>판타지 웹소설 &gt; 퓨전 판타지</v>
      </c>
    </row>
    <row r="5925" spans="1:59">
      <c r="A5925" t="s">
        <v>60</v>
      </c>
      <c r="B5925" s="1">
        <v>46131</v>
      </c>
      <c r="C5925">
        <v>2378044065</v>
      </c>
      <c r="D5925">
        <v>2378080115</v>
      </c>
      <c r="E5925" t="str">
        <f>T("저승의 왕위를 계승했다 750화")</f>
        <v>저승의 왕위를 계승했다 750화</v>
      </c>
      <c r="F5925">
        <v>752</v>
      </c>
      <c r="G5925" t="str">
        <f>T("신타비")</f>
        <v>신타비</v>
      </c>
      <c r="J5925" t="str">
        <f>T("매드햇")</f>
        <v>매드햇</v>
      </c>
      <c r="K5925" t="str">
        <f>T("저승의 왕위를 계승했다")</f>
        <v>저승의 왕위를 계승했다</v>
      </c>
      <c r="L5925">
        <v>100</v>
      </c>
      <c r="M5925">
        <v>70</v>
      </c>
      <c r="N5925">
        <v>1</v>
      </c>
      <c r="O5925">
        <v>0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0</v>
      </c>
      <c r="AE5925">
        <v>0</v>
      </c>
      <c r="AF5925">
        <v>0</v>
      </c>
      <c r="AG5925">
        <v>0</v>
      </c>
      <c r="AH5925">
        <v>0</v>
      </c>
      <c r="AI5925">
        <v>70</v>
      </c>
      <c r="AJ5925">
        <v>1</v>
      </c>
      <c r="AK5925">
        <v>0</v>
      </c>
      <c r="AL5925">
        <v>0</v>
      </c>
      <c r="AM5925">
        <v>70</v>
      </c>
      <c r="AN5925">
        <v>0</v>
      </c>
      <c r="AO5925">
        <v>0</v>
      </c>
      <c r="AP5925">
        <v>0</v>
      </c>
      <c r="AQ5925">
        <v>0</v>
      </c>
      <c r="AS5925">
        <v>0</v>
      </c>
      <c r="AT5925">
        <v>0</v>
      </c>
      <c r="AV5925">
        <v>0</v>
      </c>
      <c r="AW5925">
        <v>0</v>
      </c>
      <c r="AY5925">
        <v>0</v>
      </c>
      <c r="AZ5925">
        <v>0</v>
      </c>
      <c r="BA5925">
        <v>49</v>
      </c>
      <c r="BE5925" t="str">
        <f>T("9791137014381")</f>
        <v>9791137014381</v>
      </c>
      <c r="BF5925" t="str">
        <f>T("D168259")</f>
        <v>D168259</v>
      </c>
      <c r="BG5925" t="str">
        <f>T("판타지 웹소설 &gt; 퓨전 판타지")</f>
        <v>판타지 웹소설 &gt; 퓨전 판타지</v>
      </c>
    </row>
    <row r="5926" spans="1:59">
      <c r="A5926" t="s">
        <v>60</v>
      </c>
      <c r="B5926" s="1">
        <v>46131</v>
      </c>
      <c r="C5926">
        <v>2378044065</v>
      </c>
      <c r="D5926">
        <v>2378080116</v>
      </c>
      <c r="E5926" t="str">
        <f>T("저승의 왕위를 계승했다 751화")</f>
        <v>저승의 왕위를 계승했다 751화</v>
      </c>
      <c r="F5926">
        <v>753</v>
      </c>
      <c r="G5926" t="str">
        <f>T("신타비")</f>
        <v>신타비</v>
      </c>
      <c r="J5926" t="str">
        <f>T("매드햇")</f>
        <v>매드햇</v>
      </c>
      <c r="K5926" t="str">
        <f>T("저승의 왕위를 계승했다")</f>
        <v>저승의 왕위를 계승했다</v>
      </c>
      <c r="L5926">
        <v>100</v>
      </c>
      <c r="M5926">
        <v>70</v>
      </c>
      <c r="N5926">
        <v>1</v>
      </c>
      <c r="O5926">
        <v>0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0</v>
      </c>
      <c r="AE5926">
        <v>0</v>
      </c>
      <c r="AF5926">
        <v>0</v>
      </c>
      <c r="AG5926">
        <v>0</v>
      </c>
      <c r="AH5926">
        <v>0</v>
      </c>
      <c r="AI5926">
        <v>70</v>
      </c>
      <c r="AJ5926">
        <v>1</v>
      </c>
      <c r="AK5926">
        <v>0</v>
      </c>
      <c r="AL5926">
        <v>0</v>
      </c>
      <c r="AM5926">
        <v>70</v>
      </c>
      <c r="AN5926">
        <v>0</v>
      </c>
      <c r="AO5926">
        <v>0</v>
      </c>
      <c r="AP5926">
        <v>0</v>
      </c>
      <c r="AQ5926">
        <v>0</v>
      </c>
      <c r="AS5926">
        <v>0</v>
      </c>
      <c r="AT5926">
        <v>0</v>
      </c>
      <c r="AV5926">
        <v>0</v>
      </c>
      <c r="AW5926">
        <v>0</v>
      </c>
      <c r="AY5926">
        <v>0</v>
      </c>
      <c r="AZ5926">
        <v>0</v>
      </c>
      <c r="BA5926">
        <v>49</v>
      </c>
      <c r="BE5926" t="str">
        <f>T("9791137014381")</f>
        <v>9791137014381</v>
      </c>
      <c r="BF5926" t="str">
        <f>T("D184247")</f>
        <v>D184247</v>
      </c>
      <c r="BG5926" t="str">
        <f>T("판타지 웹소설 &gt; 퓨전 판타지")</f>
        <v>판타지 웹소설 &gt; 퓨전 판타지</v>
      </c>
    </row>
    <row r="5927" spans="1:59">
      <c r="A5927" t="s">
        <v>60</v>
      </c>
      <c r="B5927" s="1">
        <v>46131</v>
      </c>
      <c r="C5927">
        <v>2378044065</v>
      </c>
      <c r="D5927">
        <v>2378080117</v>
      </c>
      <c r="E5927" t="str">
        <f>T("저승의 왕위를 계승했다 752화")</f>
        <v>저승의 왕위를 계승했다 752화</v>
      </c>
      <c r="F5927">
        <v>754</v>
      </c>
      <c r="G5927" t="str">
        <f>T("신타비")</f>
        <v>신타비</v>
      </c>
      <c r="J5927" t="str">
        <f>T("매드햇")</f>
        <v>매드햇</v>
      </c>
      <c r="K5927" t="str">
        <f>T("저승의 왕위를 계승했다")</f>
        <v>저승의 왕위를 계승했다</v>
      </c>
      <c r="L5927">
        <v>100</v>
      </c>
      <c r="M5927">
        <v>70</v>
      </c>
      <c r="N5927">
        <v>1</v>
      </c>
      <c r="O5927">
        <v>0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0</v>
      </c>
      <c r="AE5927">
        <v>0</v>
      </c>
      <c r="AF5927">
        <v>0</v>
      </c>
      <c r="AG5927">
        <v>0</v>
      </c>
      <c r="AH5927">
        <v>0</v>
      </c>
      <c r="AI5927">
        <v>70</v>
      </c>
      <c r="AJ5927">
        <v>1</v>
      </c>
      <c r="AK5927">
        <v>0</v>
      </c>
      <c r="AL5927">
        <v>0</v>
      </c>
      <c r="AM5927">
        <v>70</v>
      </c>
      <c r="AN5927">
        <v>0</v>
      </c>
      <c r="AO5927">
        <v>0</v>
      </c>
      <c r="AP5927">
        <v>0</v>
      </c>
      <c r="AQ5927">
        <v>0</v>
      </c>
      <c r="AS5927">
        <v>0</v>
      </c>
      <c r="AT5927">
        <v>0</v>
      </c>
      <c r="AV5927">
        <v>0</v>
      </c>
      <c r="AW5927">
        <v>0</v>
      </c>
      <c r="AY5927">
        <v>0</v>
      </c>
      <c r="AZ5927">
        <v>0</v>
      </c>
      <c r="BA5927">
        <v>49</v>
      </c>
      <c r="BE5927" t="str">
        <f>T("9791137014381")</f>
        <v>9791137014381</v>
      </c>
      <c r="BF5927" t="str">
        <f>T("D184248")</f>
        <v>D184248</v>
      </c>
      <c r="BG5927" t="str">
        <f>T("판타지 웹소설 &gt; 퓨전 판타지")</f>
        <v>판타지 웹소설 &gt; 퓨전 판타지</v>
      </c>
    </row>
    <row r="5928" spans="1:59">
      <c r="A5928" t="s">
        <v>60</v>
      </c>
      <c r="B5928" s="1">
        <v>46131</v>
      </c>
      <c r="C5928">
        <v>2378044065</v>
      </c>
      <c r="D5928">
        <v>2378080309</v>
      </c>
      <c r="E5928" t="str">
        <f>T("저승의 왕위를 계승했다 753화")</f>
        <v>저승의 왕위를 계승했다 753화</v>
      </c>
      <c r="F5928">
        <v>755</v>
      </c>
      <c r="G5928" t="str">
        <f>T("신타비")</f>
        <v>신타비</v>
      </c>
      <c r="J5928" t="str">
        <f>T("매드햇")</f>
        <v>매드햇</v>
      </c>
      <c r="K5928" t="str">
        <f>T("저승의 왕위를 계승했다")</f>
        <v>저승의 왕위를 계승했다</v>
      </c>
      <c r="L5928">
        <v>100</v>
      </c>
      <c r="M5928">
        <v>70</v>
      </c>
      <c r="N5928">
        <v>1</v>
      </c>
      <c r="O5928">
        <v>0</v>
      </c>
      <c r="P5928">
        <v>0</v>
      </c>
      <c r="Q5928">
        <v>0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0</v>
      </c>
      <c r="AE5928">
        <v>0</v>
      </c>
      <c r="AF5928">
        <v>0</v>
      </c>
      <c r="AG5928">
        <v>0</v>
      </c>
      <c r="AH5928">
        <v>0</v>
      </c>
      <c r="AI5928">
        <v>70</v>
      </c>
      <c r="AJ5928">
        <v>1</v>
      </c>
      <c r="AK5928">
        <v>0</v>
      </c>
      <c r="AL5928">
        <v>0</v>
      </c>
      <c r="AM5928">
        <v>70</v>
      </c>
      <c r="AN5928">
        <v>0</v>
      </c>
      <c r="AO5928">
        <v>0</v>
      </c>
      <c r="AP5928">
        <v>0</v>
      </c>
      <c r="AQ5928">
        <v>0</v>
      </c>
      <c r="AS5928">
        <v>0</v>
      </c>
      <c r="AT5928">
        <v>0</v>
      </c>
      <c r="AV5928">
        <v>0</v>
      </c>
      <c r="AW5928">
        <v>0</v>
      </c>
      <c r="AY5928">
        <v>0</v>
      </c>
      <c r="AZ5928">
        <v>0</v>
      </c>
      <c r="BA5928">
        <v>49</v>
      </c>
      <c r="BE5928" t="str">
        <f>T("9791137014381")</f>
        <v>9791137014381</v>
      </c>
      <c r="BF5928" t="str">
        <f>T("D184249")</f>
        <v>D184249</v>
      </c>
      <c r="BG5928" t="str">
        <f>T("판타지 웹소설 &gt; 퓨전 판타지")</f>
        <v>판타지 웹소설 &gt; 퓨전 판타지</v>
      </c>
    </row>
    <row r="5929" spans="1:59">
      <c r="A5929" t="s">
        <v>60</v>
      </c>
      <c r="B5929" s="1">
        <v>46131</v>
      </c>
      <c r="C5929">
        <v>2378044065</v>
      </c>
      <c r="D5929">
        <v>2378080310</v>
      </c>
      <c r="E5929" t="str">
        <f>T("저승의 왕위를 계승했다 754화")</f>
        <v>저승의 왕위를 계승했다 754화</v>
      </c>
      <c r="F5929">
        <v>756</v>
      </c>
      <c r="G5929" t="str">
        <f>T("신타비")</f>
        <v>신타비</v>
      </c>
      <c r="J5929" t="str">
        <f>T("매드햇")</f>
        <v>매드햇</v>
      </c>
      <c r="K5929" t="str">
        <f>T("저승의 왕위를 계승했다")</f>
        <v>저승의 왕위를 계승했다</v>
      </c>
      <c r="L5929">
        <v>100</v>
      </c>
      <c r="M5929">
        <v>70</v>
      </c>
      <c r="N5929">
        <v>1</v>
      </c>
      <c r="O5929">
        <v>0</v>
      </c>
      <c r="P5929">
        <v>0</v>
      </c>
      <c r="Q5929">
        <v>0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0</v>
      </c>
      <c r="AE5929">
        <v>0</v>
      </c>
      <c r="AF5929">
        <v>0</v>
      </c>
      <c r="AG5929">
        <v>0</v>
      </c>
      <c r="AH5929">
        <v>0</v>
      </c>
      <c r="AI5929">
        <v>70</v>
      </c>
      <c r="AJ5929">
        <v>1</v>
      </c>
      <c r="AK5929">
        <v>0</v>
      </c>
      <c r="AL5929">
        <v>0</v>
      </c>
      <c r="AM5929">
        <v>70</v>
      </c>
      <c r="AN5929">
        <v>0</v>
      </c>
      <c r="AO5929">
        <v>0</v>
      </c>
      <c r="AP5929">
        <v>0</v>
      </c>
      <c r="AQ5929">
        <v>0</v>
      </c>
      <c r="AS5929">
        <v>0</v>
      </c>
      <c r="AT5929">
        <v>0</v>
      </c>
      <c r="AV5929">
        <v>0</v>
      </c>
      <c r="AW5929">
        <v>0</v>
      </c>
      <c r="AY5929">
        <v>0</v>
      </c>
      <c r="AZ5929">
        <v>0</v>
      </c>
      <c r="BA5929">
        <v>49</v>
      </c>
      <c r="BE5929" t="str">
        <f>T("9791137014381")</f>
        <v>9791137014381</v>
      </c>
      <c r="BF5929" t="str">
        <f>T("D184250")</f>
        <v>D184250</v>
      </c>
      <c r="BG5929" t="str">
        <f>T("판타지 웹소설 &gt; 퓨전 판타지")</f>
        <v>판타지 웹소설 &gt; 퓨전 판타지</v>
      </c>
    </row>
    <row r="5930" spans="1:59">
      <c r="A5930" t="s">
        <v>60</v>
      </c>
      <c r="B5930" s="1">
        <v>46131</v>
      </c>
      <c r="C5930">
        <v>2378044065</v>
      </c>
      <c r="D5930">
        <v>2378080311</v>
      </c>
      <c r="E5930" t="str">
        <f>T("저승의 왕위를 계승했다 755화")</f>
        <v>저승의 왕위를 계승했다 755화</v>
      </c>
      <c r="F5930">
        <v>757</v>
      </c>
      <c r="G5930" t="str">
        <f>T("신타비")</f>
        <v>신타비</v>
      </c>
      <c r="J5930" t="str">
        <f>T("매드햇")</f>
        <v>매드햇</v>
      </c>
      <c r="K5930" t="str">
        <f>T("저승의 왕위를 계승했다")</f>
        <v>저승의 왕위를 계승했다</v>
      </c>
      <c r="L5930">
        <v>100</v>
      </c>
      <c r="M5930">
        <v>70</v>
      </c>
      <c r="N5930">
        <v>1</v>
      </c>
      <c r="O5930">
        <v>0</v>
      </c>
      <c r="P5930">
        <v>0</v>
      </c>
      <c r="Q5930">
        <v>0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0</v>
      </c>
      <c r="AE5930">
        <v>0</v>
      </c>
      <c r="AF5930">
        <v>0</v>
      </c>
      <c r="AG5930">
        <v>0</v>
      </c>
      <c r="AH5930">
        <v>0</v>
      </c>
      <c r="AI5930">
        <v>70</v>
      </c>
      <c r="AJ5930">
        <v>1</v>
      </c>
      <c r="AK5930">
        <v>0</v>
      </c>
      <c r="AL5930">
        <v>0</v>
      </c>
      <c r="AM5930">
        <v>70</v>
      </c>
      <c r="AN5930">
        <v>0</v>
      </c>
      <c r="AO5930">
        <v>0</v>
      </c>
      <c r="AP5930">
        <v>0</v>
      </c>
      <c r="AQ5930">
        <v>0</v>
      </c>
      <c r="AS5930">
        <v>0</v>
      </c>
      <c r="AT5930">
        <v>0</v>
      </c>
      <c r="AV5930">
        <v>0</v>
      </c>
      <c r="AW5930">
        <v>0</v>
      </c>
      <c r="AY5930">
        <v>0</v>
      </c>
      <c r="AZ5930">
        <v>0</v>
      </c>
      <c r="BA5930">
        <v>49</v>
      </c>
      <c r="BE5930" t="str">
        <f>T("9791137014381")</f>
        <v>9791137014381</v>
      </c>
      <c r="BF5930" t="str">
        <f>T("D184251")</f>
        <v>D184251</v>
      </c>
      <c r="BG5930" t="str">
        <f>T("판타지 웹소설 &gt; 퓨전 판타지")</f>
        <v>판타지 웹소설 &gt; 퓨전 판타지</v>
      </c>
    </row>
    <row r="5931" spans="1:59">
      <c r="A5931" t="s">
        <v>60</v>
      </c>
      <c r="B5931" s="1">
        <v>46131</v>
      </c>
      <c r="C5931">
        <v>2378044065</v>
      </c>
      <c r="D5931">
        <v>2378080312</v>
      </c>
      <c r="E5931" t="str">
        <f>T("저승의 왕위를 계승했다 756화")</f>
        <v>저승의 왕위를 계승했다 756화</v>
      </c>
      <c r="F5931">
        <v>758</v>
      </c>
      <c r="G5931" t="str">
        <f>T("신타비")</f>
        <v>신타비</v>
      </c>
      <c r="J5931" t="str">
        <f>T("매드햇")</f>
        <v>매드햇</v>
      </c>
      <c r="K5931" t="str">
        <f>T("저승의 왕위를 계승했다")</f>
        <v>저승의 왕위를 계승했다</v>
      </c>
      <c r="L5931">
        <v>100</v>
      </c>
      <c r="M5931">
        <v>70</v>
      </c>
      <c r="N5931">
        <v>1</v>
      </c>
      <c r="O5931">
        <v>0</v>
      </c>
      <c r="P5931">
        <v>0</v>
      </c>
      <c r="Q5931">
        <v>0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0</v>
      </c>
      <c r="AE5931">
        <v>0</v>
      </c>
      <c r="AF5931">
        <v>0</v>
      </c>
      <c r="AG5931">
        <v>0</v>
      </c>
      <c r="AH5931">
        <v>0</v>
      </c>
      <c r="AI5931">
        <v>70</v>
      </c>
      <c r="AJ5931">
        <v>1</v>
      </c>
      <c r="AK5931">
        <v>0</v>
      </c>
      <c r="AL5931">
        <v>0</v>
      </c>
      <c r="AM5931">
        <v>70</v>
      </c>
      <c r="AN5931">
        <v>0</v>
      </c>
      <c r="AO5931">
        <v>0</v>
      </c>
      <c r="AP5931">
        <v>0</v>
      </c>
      <c r="AQ5931">
        <v>0</v>
      </c>
      <c r="AS5931">
        <v>0</v>
      </c>
      <c r="AT5931">
        <v>0</v>
      </c>
      <c r="AV5931">
        <v>0</v>
      </c>
      <c r="AW5931">
        <v>0</v>
      </c>
      <c r="AY5931">
        <v>0</v>
      </c>
      <c r="AZ5931">
        <v>0</v>
      </c>
      <c r="BA5931">
        <v>49</v>
      </c>
      <c r="BE5931" t="str">
        <f>T("9791137014381")</f>
        <v>9791137014381</v>
      </c>
      <c r="BF5931" t="str">
        <f>T("D184252")</f>
        <v>D184252</v>
      </c>
      <c r="BG5931" t="str">
        <f>T("판타지 웹소설 &gt; 퓨전 판타지")</f>
        <v>판타지 웹소설 &gt; 퓨전 판타지</v>
      </c>
    </row>
    <row r="5932" spans="1:59">
      <c r="A5932" t="s">
        <v>60</v>
      </c>
      <c r="B5932" s="1">
        <v>46131</v>
      </c>
      <c r="C5932">
        <v>2378044065</v>
      </c>
      <c r="D5932">
        <v>2378080343</v>
      </c>
      <c r="E5932" t="str">
        <f>T("저승의 왕위를 계승했다 757화")</f>
        <v>저승의 왕위를 계승했다 757화</v>
      </c>
      <c r="F5932">
        <v>759</v>
      </c>
      <c r="G5932" t="str">
        <f>T("신타비")</f>
        <v>신타비</v>
      </c>
      <c r="J5932" t="str">
        <f>T("매드햇")</f>
        <v>매드햇</v>
      </c>
      <c r="K5932" t="str">
        <f>T("저승의 왕위를 계승했다")</f>
        <v>저승의 왕위를 계승했다</v>
      </c>
      <c r="L5932">
        <v>100</v>
      </c>
      <c r="M5932">
        <v>70</v>
      </c>
      <c r="N5932">
        <v>1</v>
      </c>
      <c r="O5932">
        <v>0</v>
      </c>
      <c r="P5932">
        <v>0</v>
      </c>
      <c r="Q5932">
        <v>0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0</v>
      </c>
      <c r="AE5932">
        <v>0</v>
      </c>
      <c r="AF5932">
        <v>0</v>
      </c>
      <c r="AG5932">
        <v>0</v>
      </c>
      <c r="AH5932">
        <v>0</v>
      </c>
      <c r="AI5932">
        <v>70</v>
      </c>
      <c r="AJ5932">
        <v>1</v>
      </c>
      <c r="AK5932">
        <v>0</v>
      </c>
      <c r="AL5932">
        <v>0</v>
      </c>
      <c r="AM5932">
        <v>70</v>
      </c>
      <c r="AN5932">
        <v>0</v>
      </c>
      <c r="AO5932">
        <v>0</v>
      </c>
      <c r="AP5932">
        <v>0</v>
      </c>
      <c r="AQ5932">
        <v>0</v>
      </c>
      <c r="AS5932">
        <v>0</v>
      </c>
      <c r="AT5932">
        <v>0</v>
      </c>
      <c r="AV5932">
        <v>0</v>
      </c>
      <c r="AW5932">
        <v>0</v>
      </c>
      <c r="AY5932">
        <v>0</v>
      </c>
      <c r="AZ5932">
        <v>0</v>
      </c>
      <c r="BA5932">
        <v>49</v>
      </c>
      <c r="BE5932" t="str">
        <f>T("9791137014381")</f>
        <v>9791137014381</v>
      </c>
      <c r="BF5932" t="str">
        <f>T("D184253")</f>
        <v>D184253</v>
      </c>
      <c r="BG5932" t="str">
        <f>T("판타지 웹소설 &gt; 퓨전 판타지")</f>
        <v>판타지 웹소설 &gt; 퓨전 판타지</v>
      </c>
    </row>
    <row r="5933" spans="1:59">
      <c r="A5933" t="s">
        <v>60</v>
      </c>
      <c r="B5933" s="1">
        <v>46131</v>
      </c>
      <c r="C5933">
        <v>2378044065</v>
      </c>
      <c r="D5933">
        <v>2378080344</v>
      </c>
      <c r="E5933" t="str">
        <f>T("저승의 왕위를 계승했다 758화")</f>
        <v>저승의 왕위를 계승했다 758화</v>
      </c>
      <c r="F5933">
        <v>760</v>
      </c>
      <c r="G5933" t="str">
        <f>T("신타비")</f>
        <v>신타비</v>
      </c>
      <c r="J5933" t="str">
        <f>T("매드햇")</f>
        <v>매드햇</v>
      </c>
      <c r="K5933" t="str">
        <f>T("저승의 왕위를 계승했다")</f>
        <v>저승의 왕위를 계승했다</v>
      </c>
      <c r="L5933">
        <v>100</v>
      </c>
      <c r="M5933">
        <v>70</v>
      </c>
      <c r="N5933">
        <v>1</v>
      </c>
      <c r="O5933">
        <v>0</v>
      </c>
      <c r="P5933">
        <v>0</v>
      </c>
      <c r="Q5933">
        <v>0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0</v>
      </c>
      <c r="AE5933">
        <v>0</v>
      </c>
      <c r="AF5933">
        <v>0</v>
      </c>
      <c r="AG5933">
        <v>0</v>
      </c>
      <c r="AH5933">
        <v>0</v>
      </c>
      <c r="AI5933">
        <v>70</v>
      </c>
      <c r="AJ5933">
        <v>1</v>
      </c>
      <c r="AK5933">
        <v>0</v>
      </c>
      <c r="AL5933">
        <v>0</v>
      </c>
      <c r="AM5933">
        <v>70</v>
      </c>
      <c r="AN5933">
        <v>0</v>
      </c>
      <c r="AO5933">
        <v>0</v>
      </c>
      <c r="AP5933">
        <v>0</v>
      </c>
      <c r="AQ5933">
        <v>0</v>
      </c>
      <c r="AS5933">
        <v>0</v>
      </c>
      <c r="AT5933">
        <v>0</v>
      </c>
      <c r="AV5933">
        <v>0</v>
      </c>
      <c r="AW5933">
        <v>0</v>
      </c>
      <c r="AY5933">
        <v>0</v>
      </c>
      <c r="AZ5933">
        <v>0</v>
      </c>
      <c r="BA5933">
        <v>49</v>
      </c>
      <c r="BE5933" t="str">
        <f>T("9791137014381")</f>
        <v>9791137014381</v>
      </c>
      <c r="BF5933" t="str">
        <f>T("D184254")</f>
        <v>D184254</v>
      </c>
      <c r="BG5933" t="str">
        <f>T("판타지 웹소설 &gt; 퓨전 판타지")</f>
        <v>판타지 웹소설 &gt; 퓨전 판타지</v>
      </c>
    </row>
    <row r="5934" spans="1:59">
      <c r="A5934" t="s">
        <v>60</v>
      </c>
      <c r="B5934" s="1">
        <v>46131</v>
      </c>
      <c r="C5934">
        <v>2378044065</v>
      </c>
      <c r="D5934">
        <v>2378080345</v>
      </c>
      <c r="E5934" t="str">
        <f>T("저승의 왕위를 계승했다 759화")</f>
        <v>저승의 왕위를 계승했다 759화</v>
      </c>
      <c r="F5934">
        <v>761</v>
      </c>
      <c r="G5934" t="str">
        <f>T("신타비")</f>
        <v>신타비</v>
      </c>
      <c r="J5934" t="str">
        <f>T("매드햇")</f>
        <v>매드햇</v>
      </c>
      <c r="K5934" t="str">
        <f>T("저승의 왕위를 계승했다")</f>
        <v>저승의 왕위를 계승했다</v>
      </c>
      <c r="L5934">
        <v>100</v>
      </c>
      <c r="M5934">
        <v>70</v>
      </c>
      <c r="N5934">
        <v>1</v>
      </c>
      <c r="O5934">
        <v>0</v>
      </c>
      <c r="P5934">
        <v>0</v>
      </c>
      <c r="Q5934">
        <v>0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0</v>
      </c>
      <c r="AE5934">
        <v>0</v>
      </c>
      <c r="AF5934">
        <v>0</v>
      </c>
      <c r="AG5934">
        <v>0</v>
      </c>
      <c r="AH5934">
        <v>0</v>
      </c>
      <c r="AI5934">
        <v>70</v>
      </c>
      <c r="AJ5934">
        <v>1</v>
      </c>
      <c r="AK5934">
        <v>0</v>
      </c>
      <c r="AL5934">
        <v>0</v>
      </c>
      <c r="AM5934">
        <v>70</v>
      </c>
      <c r="AN5934">
        <v>0</v>
      </c>
      <c r="AO5934">
        <v>0</v>
      </c>
      <c r="AP5934">
        <v>0</v>
      </c>
      <c r="AQ5934">
        <v>0</v>
      </c>
      <c r="AS5934">
        <v>0</v>
      </c>
      <c r="AT5934">
        <v>0</v>
      </c>
      <c r="AV5934">
        <v>0</v>
      </c>
      <c r="AW5934">
        <v>0</v>
      </c>
      <c r="AY5934">
        <v>0</v>
      </c>
      <c r="AZ5934">
        <v>0</v>
      </c>
      <c r="BA5934">
        <v>49</v>
      </c>
      <c r="BE5934" t="str">
        <f>T("9791137014381")</f>
        <v>9791137014381</v>
      </c>
      <c r="BF5934" t="str">
        <f>T("D184255")</f>
        <v>D184255</v>
      </c>
      <c r="BG5934" t="str">
        <f>T("판타지 웹소설 &gt; 퓨전 판타지")</f>
        <v>판타지 웹소설 &gt; 퓨전 판타지</v>
      </c>
    </row>
    <row r="5935" spans="1:59">
      <c r="A5935" t="s">
        <v>60</v>
      </c>
      <c r="B5935" s="1">
        <v>46131</v>
      </c>
      <c r="C5935">
        <v>2378044065</v>
      </c>
      <c r="D5935">
        <v>2378080346</v>
      </c>
      <c r="E5935" t="str">
        <f>T("저승의 왕위를 계승했다 760화")</f>
        <v>저승의 왕위를 계승했다 760화</v>
      </c>
      <c r="F5935">
        <v>762</v>
      </c>
      <c r="G5935" t="str">
        <f>T("신타비")</f>
        <v>신타비</v>
      </c>
      <c r="J5935" t="str">
        <f>T("매드햇")</f>
        <v>매드햇</v>
      </c>
      <c r="K5935" t="str">
        <f>T("저승의 왕위를 계승했다")</f>
        <v>저승의 왕위를 계승했다</v>
      </c>
      <c r="L5935">
        <v>100</v>
      </c>
      <c r="M5935">
        <v>70</v>
      </c>
      <c r="N5935">
        <v>1</v>
      </c>
      <c r="O5935">
        <v>0</v>
      </c>
      <c r="P5935">
        <v>0</v>
      </c>
      <c r="Q5935">
        <v>0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0</v>
      </c>
      <c r="AE5935">
        <v>0</v>
      </c>
      <c r="AF5935">
        <v>0</v>
      </c>
      <c r="AG5935">
        <v>0</v>
      </c>
      <c r="AH5935">
        <v>0</v>
      </c>
      <c r="AI5935">
        <v>70</v>
      </c>
      <c r="AJ5935">
        <v>1</v>
      </c>
      <c r="AK5935">
        <v>0</v>
      </c>
      <c r="AL5935">
        <v>0</v>
      </c>
      <c r="AM5935">
        <v>70</v>
      </c>
      <c r="AN5935">
        <v>0</v>
      </c>
      <c r="AO5935">
        <v>0</v>
      </c>
      <c r="AP5935">
        <v>0</v>
      </c>
      <c r="AQ5935">
        <v>0</v>
      </c>
      <c r="AS5935">
        <v>0</v>
      </c>
      <c r="AT5935">
        <v>0</v>
      </c>
      <c r="AV5935">
        <v>0</v>
      </c>
      <c r="AW5935">
        <v>0</v>
      </c>
      <c r="AY5935">
        <v>0</v>
      </c>
      <c r="AZ5935">
        <v>0</v>
      </c>
      <c r="BA5935">
        <v>49</v>
      </c>
      <c r="BE5935" t="str">
        <f>T("9791137014381")</f>
        <v>9791137014381</v>
      </c>
      <c r="BF5935" t="str">
        <f>T("D184256")</f>
        <v>D184256</v>
      </c>
      <c r="BG5935" t="str">
        <f>T("판타지 웹소설 &gt; 퓨전 판타지")</f>
        <v>판타지 웹소설 &gt; 퓨전 판타지</v>
      </c>
    </row>
    <row r="5936" spans="1:59">
      <c r="A5936" t="s">
        <v>60</v>
      </c>
      <c r="B5936" s="1">
        <v>46131</v>
      </c>
      <c r="C5936">
        <v>2378044065</v>
      </c>
      <c r="D5936">
        <v>2378080369</v>
      </c>
      <c r="E5936" t="str">
        <f>T("저승의 왕위를 계승했다 761화")</f>
        <v>저승의 왕위를 계승했다 761화</v>
      </c>
      <c r="F5936">
        <v>763</v>
      </c>
      <c r="G5936" t="str">
        <f>T("신타비")</f>
        <v>신타비</v>
      </c>
      <c r="J5936" t="str">
        <f>T("매드햇")</f>
        <v>매드햇</v>
      </c>
      <c r="K5936" t="str">
        <f>T("저승의 왕위를 계승했다")</f>
        <v>저승의 왕위를 계승했다</v>
      </c>
      <c r="L5936">
        <v>100</v>
      </c>
      <c r="M5936">
        <v>70</v>
      </c>
      <c r="N5936">
        <v>1</v>
      </c>
      <c r="O5936">
        <v>0</v>
      </c>
      <c r="P5936">
        <v>0</v>
      </c>
      <c r="Q5936">
        <v>0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0</v>
      </c>
      <c r="AE5936">
        <v>0</v>
      </c>
      <c r="AF5936">
        <v>0</v>
      </c>
      <c r="AG5936">
        <v>0</v>
      </c>
      <c r="AH5936">
        <v>0</v>
      </c>
      <c r="AI5936">
        <v>70</v>
      </c>
      <c r="AJ5936">
        <v>1</v>
      </c>
      <c r="AK5936">
        <v>0</v>
      </c>
      <c r="AL5936">
        <v>0</v>
      </c>
      <c r="AM5936">
        <v>70</v>
      </c>
      <c r="AN5936">
        <v>0</v>
      </c>
      <c r="AO5936">
        <v>0</v>
      </c>
      <c r="AP5936">
        <v>0</v>
      </c>
      <c r="AQ5936">
        <v>0</v>
      </c>
      <c r="AS5936">
        <v>0</v>
      </c>
      <c r="AT5936">
        <v>0</v>
      </c>
      <c r="AV5936">
        <v>0</v>
      </c>
      <c r="AW5936">
        <v>0</v>
      </c>
      <c r="AY5936">
        <v>0</v>
      </c>
      <c r="AZ5936">
        <v>0</v>
      </c>
      <c r="BA5936">
        <v>49</v>
      </c>
      <c r="BE5936" t="str">
        <f>T("9791137014381")</f>
        <v>9791137014381</v>
      </c>
      <c r="BF5936" t="str">
        <f>T("D184257")</f>
        <v>D184257</v>
      </c>
      <c r="BG5936" t="str">
        <f>T("판타지 웹소설 &gt; 퓨전 판타지")</f>
        <v>판타지 웹소설 &gt; 퓨전 판타지</v>
      </c>
    </row>
    <row r="5937" spans="1:59">
      <c r="A5937" t="s">
        <v>60</v>
      </c>
      <c r="B5937" s="1">
        <v>46131</v>
      </c>
      <c r="C5937">
        <v>2378044065</v>
      </c>
      <c r="D5937">
        <v>2378080370</v>
      </c>
      <c r="E5937" t="str">
        <f>T("저승의 왕위를 계승했다 762화")</f>
        <v>저승의 왕위를 계승했다 762화</v>
      </c>
      <c r="F5937">
        <v>764</v>
      </c>
      <c r="G5937" t="str">
        <f>T("신타비")</f>
        <v>신타비</v>
      </c>
      <c r="J5937" t="str">
        <f>T("매드햇")</f>
        <v>매드햇</v>
      </c>
      <c r="K5937" t="str">
        <f>T("저승의 왕위를 계승했다")</f>
        <v>저승의 왕위를 계승했다</v>
      </c>
      <c r="L5937">
        <v>100</v>
      </c>
      <c r="M5937">
        <v>70</v>
      </c>
      <c r="N5937">
        <v>1</v>
      </c>
      <c r="O5937">
        <v>0</v>
      </c>
      <c r="P5937">
        <v>0</v>
      </c>
      <c r="Q5937">
        <v>0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0</v>
      </c>
      <c r="AE5937">
        <v>0</v>
      </c>
      <c r="AF5937">
        <v>0</v>
      </c>
      <c r="AG5937">
        <v>0</v>
      </c>
      <c r="AH5937">
        <v>0</v>
      </c>
      <c r="AI5937">
        <v>70</v>
      </c>
      <c r="AJ5937">
        <v>1</v>
      </c>
      <c r="AK5937">
        <v>0</v>
      </c>
      <c r="AL5937">
        <v>0</v>
      </c>
      <c r="AM5937">
        <v>70</v>
      </c>
      <c r="AN5937">
        <v>0</v>
      </c>
      <c r="AO5937">
        <v>0</v>
      </c>
      <c r="AP5937">
        <v>0</v>
      </c>
      <c r="AQ5937">
        <v>0</v>
      </c>
      <c r="AS5937">
        <v>0</v>
      </c>
      <c r="AT5937">
        <v>0</v>
      </c>
      <c r="AV5937">
        <v>0</v>
      </c>
      <c r="AW5937">
        <v>0</v>
      </c>
      <c r="AY5937">
        <v>0</v>
      </c>
      <c r="AZ5937">
        <v>0</v>
      </c>
      <c r="BA5937">
        <v>49</v>
      </c>
      <c r="BE5937" t="str">
        <f>T("9791137014381")</f>
        <v>9791137014381</v>
      </c>
      <c r="BF5937" t="str">
        <f>T("D184258")</f>
        <v>D184258</v>
      </c>
      <c r="BG5937" t="str">
        <f>T("판타지 웹소설 &gt; 퓨전 판타지")</f>
        <v>판타지 웹소설 &gt; 퓨전 판타지</v>
      </c>
    </row>
    <row r="5938" spans="1:59">
      <c r="A5938" t="s">
        <v>60</v>
      </c>
      <c r="B5938" s="1">
        <v>46131</v>
      </c>
      <c r="C5938">
        <v>2378044065</v>
      </c>
      <c r="D5938">
        <v>2378070178</v>
      </c>
      <c r="E5938" t="str">
        <f>T("저승의 왕위를 계승했다 520화")</f>
        <v>저승의 왕위를 계승했다 520화</v>
      </c>
      <c r="F5938">
        <v>521</v>
      </c>
      <c r="G5938" t="str">
        <f>T("신타비")</f>
        <v>신타비</v>
      </c>
      <c r="J5938" t="str">
        <f>T("매드햇")</f>
        <v>매드햇</v>
      </c>
      <c r="K5938" t="str">
        <f>T("저승의 왕위를 계승했다")</f>
        <v>저승의 왕위를 계승했다</v>
      </c>
      <c r="L5938">
        <v>100</v>
      </c>
      <c r="M5938">
        <v>100</v>
      </c>
      <c r="N5938">
        <v>1</v>
      </c>
      <c r="O5938">
        <v>0</v>
      </c>
      <c r="P5938">
        <v>0</v>
      </c>
      <c r="Q5938">
        <v>0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0</v>
      </c>
      <c r="AE5938">
        <v>0</v>
      </c>
      <c r="AF5938">
        <v>0</v>
      </c>
      <c r="AG5938">
        <v>0</v>
      </c>
      <c r="AH5938">
        <v>0</v>
      </c>
      <c r="AI5938">
        <v>100</v>
      </c>
      <c r="AJ5938">
        <v>1</v>
      </c>
      <c r="AK5938">
        <v>0</v>
      </c>
      <c r="AL5938">
        <v>0</v>
      </c>
      <c r="AM5938">
        <v>100</v>
      </c>
      <c r="AN5938">
        <v>0</v>
      </c>
      <c r="AO5938">
        <v>0</v>
      </c>
      <c r="AP5938">
        <v>0</v>
      </c>
      <c r="AQ5938">
        <v>0</v>
      </c>
      <c r="AS5938">
        <v>0</v>
      </c>
      <c r="AT5938">
        <v>0</v>
      </c>
      <c r="AV5938">
        <v>0</v>
      </c>
      <c r="AW5938">
        <v>0</v>
      </c>
      <c r="AY5938">
        <v>0</v>
      </c>
      <c r="AZ5938">
        <v>0</v>
      </c>
      <c r="BA5938">
        <v>70</v>
      </c>
      <c r="BE5938" t="str">
        <f>T("9791137014381")</f>
        <v>9791137014381</v>
      </c>
      <c r="BF5938" t="str">
        <f>T("k422124")</f>
        <v>k422124</v>
      </c>
      <c r="BG5938" t="str">
        <f>T("판타지 웹소설 &gt; 퓨전 판타지")</f>
        <v>판타지 웹소설 &gt; 퓨전 판타지</v>
      </c>
    </row>
    <row r="5939" spans="1:59">
      <c r="A5939" t="s">
        <v>60</v>
      </c>
      <c r="B5939" s="1">
        <v>46131</v>
      </c>
      <c r="C5939">
        <v>2378044065</v>
      </c>
      <c r="D5939">
        <v>2378070229</v>
      </c>
      <c r="E5939" t="str">
        <f>T("저승의 왕위를 계승했다 521화")</f>
        <v>저승의 왕위를 계승했다 521화</v>
      </c>
      <c r="F5939">
        <v>522</v>
      </c>
      <c r="G5939" t="str">
        <f>T("신타비")</f>
        <v>신타비</v>
      </c>
      <c r="J5939" t="str">
        <f>T("매드햇")</f>
        <v>매드햇</v>
      </c>
      <c r="K5939" t="str">
        <f>T("저승의 왕위를 계승했다")</f>
        <v>저승의 왕위를 계승했다</v>
      </c>
      <c r="L5939">
        <v>100</v>
      </c>
      <c r="M5939">
        <v>100</v>
      </c>
      <c r="N5939">
        <v>1</v>
      </c>
      <c r="O5939">
        <v>0</v>
      </c>
      <c r="P5939">
        <v>0</v>
      </c>
      <c r="Q5939">
        <v>0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0</v>
      </c>
      <c r="AE5939">
        <v>0</v>
      </c>
      <c r="AF5939">
        <v>0</v>
      </c>
      <c r="AG5939">
        <v>0</v>
      </c>
      <c r="AH5939">
        <v>0</v>
      </c>
      <c r="AI5939">
        <v>100</v>
      </c>
      <c r="AJ5939">
        <v>1</v>
      </c>
      <c r="AK5939">
        <v>0</v>
      </c>
      <c r="AL5939">
        <v>0</v>
      </c>
      <c r="AM5939">
        <v>100</v>
      </c>
      <c r="AN5939">
        <v>0</v>
      </c>
      <c r="AO5939">
        <v>0</v>
      </c>
      <c r="AP5939">
        <v>0</v>
      </c>
      <c r="AQ5939">
        <v>0</v>
      </c>
      <c r="AS5939">
        <v>0</v>
      </c>
      <c r="AT5939">
        <v>0</v>
      </c>
      <c r="AV5939">
        <v>0</v>
      </c>
      <c r="AW5939">
        <v>0</v>
      </c>
      <c r="AY5939">
        <v>0</v>
      </c>
      <c r="AZ5939">
        <v>0</v>
      </c>
      <c r="BA5939">
        <v>70</v>
      </c>
      <c r="BE5939" t="str">
        <f>T("9791137014381")</f>
        <v>9791137014381</v>
      </c>
      <c r="BF5939" t="str">
        <f>T("k422125")</f>
        <v>k422125</v>
      </c>
      <c r="BG5939" t="str">
        <f>T("판타지 웹소설 &gt; 퓨전 판타지")</f>
        <v>판타지 웹소설 &gt; 퓨전 판타지</v>
      </c>
    </row>
    <row r="5940" spans="1:59">
      <c r="A5940" t="s">
        <v>60</v>
      </c>
      <c r="B5940" s="1">
        <v>46131</v>
      </c>
      <c r="C5940">
        <v>2378044065</v>
      </c>
      <c r="D5940">
        <v>2378070230</v>
      </c>
      <c r="E5940" t="str">
        <f>T("저승의 왕위를 계승했다 522화")</f>
        <v>저승의 왕위를 계승했다 522화</v>
      </c>
      <c r="F5940">
        <v>523</v>
      </c>
      <c r="G5940" t="str">
        <f>T("신타비")</f>
        <v>신타비</v>
      </c>
      <c r="J5940" t="str">
        <f>T("매드햇")</f>
        <v>매드햇</v>
      </c>
      <c r="K5940" t="str">
        <f>T("저승의 왕위를 계승했다")</f>
        <v>저승의 왕위를 계승했다</v>
      </c>
      <c r="L5940">
        <v>100</v>
      </c>
      <c r="M5940">
        <v>100</v>
      </c>
      <c r="N5940">
        <v>1</v>
      </c>
      <c r="O5940">
        <v>0</v>
      </c>
      <c r="P5940">
        <v>0</v>
      </c>
      <c r="Q5940">
        <v>0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0</v>
      </c>
      <c r="AE5940">
        <v>0</v>
      </c>
      <c r="AF5940">
        <v>0</v>
      </c>
      <c r="AG5940">
        <v>0</v>
      </c>
      <c r="AH5940">
        <v>0</v>
      </c>
      <c r="AI5940">
        <v>100</v>
      </c>
      <c r="AJ5940">
        <v>1</v>
      </c>
      <c r="AK5940">
        <v>0</v>
      </c>
      <c r="AL5940">
        <v>0</v>
      </c>
      <c r="AM5940">
        <v>100</v>
      </c>
      <c r="AN5940">
        <v>0</v>
      </c>
      <c r="AO5940">
        <v>0</v>
      </c>
      <c r="AP5940">
        <v>0</v>
      </c>
      <c r="AQ5940">
        <v>0</v>
      </c>
      <c r="AS5940">
        <v>0</v>
      </c>
      <c r="AT5940">
        <v>0</v>
      </c>
      <c r="AV5940">
        <v>0</v>
      </c>
      <c r="AW5940">
        <v>0</v>
      </c>
      <c r="AY5940">
        <v>0</v>
      </c>
      <c r="AZ5940">
        <v>0</v>
      </c>
      <c r="BA5940">
        <v>70</v>
      </c>
      <c r="BE5940" t="str">
        <f>T("9791137014381")</f>
        <v>9791137014381</v>
      </c>
      <c r="BF5940" t="str">
        <f>T("k422126")</f>
        <v>k422126</v>
      </c>
      <c r="BG5940" t="str">
        <f>T("판타지 웹소설 &gt; 퓨전 판타지")</f>
        <v>판타지 웹소설 &gt; 퓨전 판타지</v>
      </c>
    </row>
    <row r="5941" spans="1:59">
      <c r="A5941" t="s">
        <v>60</v>
      </c>
      <c r="B5941" s="1">
        <v>46131</v>
      </c>
      <c r="C5941">
        <v>2378044065</v>
      </c>
      <c r="D5941">
        <v>2378070234</v>
      </c>
      <c r="E5941" t="str">
        <f>T("저승의 왕위를 계승했다 523화")</f>
        <v>저승의 왕위를 계승했다 523화</v>
      </c>
      <c r="F5941">
        <v>524</v>
      </c>
      <c r="G5941" t="str">
        <f>T("신타비")</f>
        <v>신타비</v>
      </c>
      <c r="J5941" t="str">
        <f>T("매드햇")</f>
        <v>매드햇</v>
      </c>
      <c r="K5941" t="str">
        <f>T("저승의 왕위를 계승했다")</f>
        <v>저승의 왕위를 계승했다</v>
      </c>
      <c r="L5941">
        <v>100</v>
      </c>
      <c r="M5941">
        <v>100</v>
      </c>
      <c r="N5941">
        <v>1</v>
      </c>
      <c r="O5941">
        <v>0</v>
      </c>
      <c r="P5941">
        <v>0</v>
      </c>
      <c r="Q5941">
        <v>0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0</v>
      </c>
      <c r="AE5941">
        <v>0</v>
      </c>
      <c r="AF5941">
        <v>0</v>
      </c>
      <c r="AG5941">
        <v>0</v>
      </c>
      <c r="AH5941">
        <v>0</v>
      </c>
      <c r="AI5941">
        <v>100</v>
      </c>
      <c r="AJ5941">
        <v>1</v>
      </c>
      <c r="AK5941">
        <v>0</v>
      </c>
      <c r="AL5941">
        <v>0</v>
      </c>
      <c r="AM5941">
        <v>100</v>
      </c>
      <c r="AN5941">
        <v>0</v>
      </c>
      <c r="AO5941">
        <v>0</v>
      </c>
      <c r="AP5941">
        <v>0</v>
      </c>
      <c r="AQ5941">
        <v>0</v>
      </c>
      <c r="AS5941">
        <v>0</v>
      </c>
      <c r="AT5941">
        <v>0</v>
      </c>
      <c r="AV5941">
        <v>0</v>
      </c>
      <c r="AW5941">
        <v>0</v>
      </c>
      <c r="AY5941">
        <v>0</v>
      </c>
      <c r="AZ5941">
        <v>0</v>
      </c>
      <c r="BA5941">
        <v>70</v>
      </c>
      <c r="BE5941" t="str">
        <f>T("9791137014381")</f>
        <v>9791137014381</v>
      </c>
      <c r="BF5941" t="str">
        <f>T("k427071")</f>
        <v>k427071</v>
      </c>
      <c r="BG5941" t="str">
        <f>T("판타지 웹소설 &gt; 퓨전 판타지")</f>
        <v>판타지 웹소설 &gt; 퓨전 판타지</v>
      </c>
    </row>
    <row r="5942" spans="1:59">
      <c r="A5942" t="s">
        <v>60</v>
      </c>
      <c r="B5942" s="1">
        <v>46131</v>
      </c>
      <c r="C5942">
        <v>2378044065</v>
      </c>
      <c r="D5942">
        <v>2378052718</v>
      </c>
      <c r="E5942" t="str">
        <f>T("저승의 왕위를 계승했다 205화")</f>
        <v>저승의 왕위를 계승했다 205화</v>
      </c>
      <c r="F5942">
        <v>205</v>
      </c>
      <c r="G5942" t="str">
        <f>T("신타비")</f>
        <v>신타비</v>
      </c>
      <c r="J5942" t="str">
        <f>T("매드햇")</f>
        <v>매드햇</v>
      </c>
      <c r="K5942" t="str">
        <f>T("저승의 왕위를 계승했다")</f>
        <v>저승의 왕위를 계승했다</v>
      </c>
      <c r="L5942">
        <v>100</v>
      </c>
      <c r="M5942">
        <v>100</v>
      </c>
      <c r="N5942">
        <v>1</v>
      </c>
      <c r="O5942">
        <v>0</v>
      </c>
      <c r="P5942">
        <v>0</v>
      </c>
      <c r="Q5942">
        <v>0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0</v>
      </c>
      <c r="AE5942">
        <v>0</v>
      </c>
      <c r="AF5942">
        <v>0</v>
      </c>
      <c r="AG5942">
        <v>0</v>
      </c>
      <c r="AH5942">
        <v>0</v>
      </c>
      <c r="AI5942">
        <v>100</v>
      </c>
      <c r="AJ5942">
        <v>1</v>
      </c>
      <c r="AK5942">
        <v>0</v>
      </c>
      <c r="AL5942">
        <v>0</v>
      </c>
      <c r="AM5942">
        <v>100</v>
      </c>
      <c r="AN5942">
        <v>0</v>
      </c>
      <c r="AO5942">
        <v>0</v>
      </c>
      <c r="AP5942">
        <v>0</v>
      </c>
      <c r="AQ5942">
        <v>0</v>
      </c>
      <c r="AS5942">
        <v>0</v>
      </c>
      <c r="AT5942">
        <v>0</v>
      </c>
      <c r="AV5942">
        <v>0</v>
      </c>
      <c r="AW5942">
        <v>0</v>
      </c>
      <c r="AY5942">
        <v>0</v>
      </c>
      <c r="AZ5942">
        <v>0</v>
      </c>
      <c r="BA5942">
        <v>70</v>
      </c>
      <c r="BE5942" t="str">
        <f>T("9791137014381")</f>
        <v>9791137014381</v>
      </c>
      <c r="BF5942" t="str">
        <f>T("k102388")</f>
        <v>k102388</v>
      </c>
      <c r="BG5942" t="str">
        <f>T("판타지 웹소설 &gt; 퓨전 판타지")</f>
        <v>판타지 웹소설 &gt; 퓨전 판타지</v>
      </c>
    </row>
    <row r="5943" spans="1:59">
      <c r="A5943" t="s">
        <v>60</v>
      </c>
      <c r="B5943" s="1">
        <v>46131</v>
      </c>
      <c r="C5943">
        <v>2378044065</v>
      </c>
      <c r="D5943">
        <v>2378070235</v>
      </c>
      <c r="E5943" t="str">
        <f>T("저승의 왕위를 계승했다 524화")</f>
        <v>저승의 왕위를 계승했다 524화</v>
      </c>
      <c r="F5943">
        <v>525</v>
      </c>
      <c r="G5943" t="str">
        <f>T("신타비")</f>
        <v>신타비</v>
      </c>
      <c r="J5943" t="str">
        <f>T("매드햇")</f>
        <v>매드햇</v>
      </c>
      <c r="K5943" t="str">
        <f>T("저승의 왕위를 계승했다")</f>
        <v>저승의 왕위를 계승했다</v>
      </c>
      <c r="L5943">
        <v>100</v>
      </c>
      <c r="M5943">
        <v>100</v>
      </c>
      <c r="N5943">
        <v>1</v>
      </c>
      <c r="O5943">
        <v>0</v>
      </c>
      <c r="P5943">
        <v>0</v>
      </c>
      <c r="Q5943">
        <v>0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0</v>
      </c>
      <c r="AE5943">
        <v>0</v>
      </c>
      <c r="AF5943">
        <v>0</v>
      </c>
      <c r="AG5943">
        <v>0</v>
      </c>
      <c r="AH5943">
        <v>0</v>
      </c>
      <c r="AI5943">
        <v>100</v>
      </c>
      <c r="AJ5943">
        <v>1</v>
      </c>
      <c r="AK5943">
        <v>0</v>
      </c>
      <c r="AL5943">
        <v>0</v>
      </c>
      <c r="AM5943">
        <v>100</v>
      </c>
      <c r="AN5943">
        <v>0</v>
      </c>
      <c r="AO5943">
        <v>0</v>
      </c>
      <c r="AP5943">
        <v>0</v>
      </c>
      <c r="AQ5943">
        <v>0</v>
      </c>
      <c r="AS5943">
        <v>0</v>
      </c>
      <c r="AT5943">
        <v>0</v>
      </c>
      <c r="AV5943">
        <v>0</v>
      </c>
      <c r="AW5943">
        <v>0</v>
      </c>
      <c r="AY5943">
        <v>0</v>
      </c>
      <c r="AZ5943">
        <v>0</v>
      </c>
      <c r="BA5943">
        <v>70</v>
      </c>
      <c r="BE5943" t="str">
        <f>T("9791137014381")</f>
        <v>9791137014381</v>
      </c>
      <c r="BF5943" t="str">
        <f>T("k427072")</f>
        <v>k427072</v>
      </c>
      <c r="BG5943" t="str">
        <f>T("판타지 웹소설 &gt; 퓨전 판타지")</f>
        <v>판타지 웹소설 &gt; 퓨전 판타지</v>
      </c>
    </row>
    <row r="5944" spans="1:59">
      <c r="A5944" t="s">
        <v>60</v>
      </c>
      <c r="B5944" s="1">
        <v>46131</v>
      </c>
      <c r="C5944">
        <v>2378044065</v>
      </c>
      <c r="D5944">
        <v>2378070280</v>
      </c>
      <c r="E5944" t="str">
        <f>T("저승의 왕위를 계승했다 525화")</f>
        <v>저승의 왕위를 계승했다 525화</v>
      </c>
      <c r="F5944">
        <v>526</v>
      </c>
      <c r="G5944" t="str">
        <f>T("신타비")</f>
        <v>신타비</v>
      </c>
      <c r="J5944" t="str">
        <f>T("매드햇")</f>
        <v>매드햇</v>
      </c>
      <c r="K5944" t="str">
        <f>T("저승의 왕위를 계승했다")</f>
        <v>저승의 왕위를 계승했다</v>
      </c>
      <c r="L5944">
        <v>100</v>
      </c>
      <c r="M5944">
        <v>100</v>
      </c>
      <c r="N5944">
        <v>1</v>
      </c>
      <c r="O5944">
        <v>0</v>
      </c>
      <c r="P5944">
        <v>0</v>
      </c>
      <c r="Q5944">
        <v>0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0</v>
      </c>
      <c r="AE5944">
        <v>0</v>
      </c>
      <c r="AF5944">
        <v>0</v>
      </c>
      <c r="AG5944">
        <v>0</v>
      </c>
      <c r="AH5944">
        <v>0</v>
      </c>
      <c r="AI5944">
        <v>100</v>
      </c>
      <c r="AJ5944">
        <v>1</v>
      </c>
      <c r="AK5944">
        <v>0</v>
      </c>
      <c r="AL5944">
        <v>0</v>
      </c>
      <c r="AM5944">
        <v>100</v>
      </c>
      <c r="AN5944">
        <v>0</v>
      </c>
      <c r="AO5944">
        <v>0</v>
      </c>
      <c r="AP5944">
        <v>0</v>
      </c>
      <c r="AQ5944">
        <v>0</v>
      </c>
      <c r="AS5944">
        <v>0</v>
      </c>
      <c r="AT5944">
        <v>0</v>
      </c>
      <c r="AV5944">
        <v>0</v>
      </c>
      <c r="AW5944">
        <v>0</v>
      </c>
      <c r="AY5944">
        <v>0</v>
      </c>
      <c r="AZ5944">
        <v>0</v>
      </c>
      <c r="BA5944">
        <v>70</v>
      </c>
      <c r="BE5944" t="str">
        <f>T("9791137014381")</f>
        <v>9791137014381</v>
      </c>
      <c r="BF5944" t="str">
        <f>T("k427073")</f>
        <v>k427073</v>
      </c>
      <c r="BG5944" t="str">
        <f>T("판타지 웹소설 &gt; 퓨전 판타지")</f>
        <v>판타지 웹소설 &gt; 퓨전 판타지</v>
      </c>
    </row>
    <row r="5945" spans="1:59">
      <c r="A5945" t="s">
        <v>60</v>
      </c>
      <c r="B5945" s="1">
        <v>46131</v>
      </c>
      <c r="C5945">
        <v>2378044065</v>
      </c>
      <c r="D5945">
        <v>2378070281</v>
      </c>
      <c r="E5945" t="str">
        <f>T("저승의 왕위를 계승했다 526화")</f>
        <v>저승의 왕위를 계승했다 526화</v>
      </c>
      <c r="F5945">
        <v>527</v>
      </c>
      <c r="G5945" t="str">
        <f>T("신타비")</f>
        <v>신타비</v>
      </c>
      <c r="J5945" t="str">
        <f>T("매드햇")</f>
        <v>매드햇</v>
      </c>
      <c r="K5945" t="str">
        <f>T("저승의 왕위를 계승했다")</f>
        <v>저승의 왕위를 계승했다</v>
      </c>
      <c r="L5945">
        <v>100</v>
      </c>
      <c r="M5945">
        <v>100</v>
      </c>
      <c r="N5945">
        <v>1</v>
      </c>
      <c r="O5945">
        <v>0</v>
      </c>
      <c r="P5945">
        <v>0</v>
      </c>
      <c r="Q5945">
        <v>0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0</v>
      </c>
      <c r="AE5945">
        <v>0</v>
      </c>
      <c r="AF5945">
        <v>0</v>
      </c>
      <c r="AG5945">
        <v>0</v>
      </c>
      <c r="AH5945">
        <v>0</v>
      </c>
      <c r="AI5945">
        <v>100</v>
      </c>
      <c r="AJ5945">
        <v>1</v>
      </c>
      <c r="AK5945">
        <v>0</v>
      </c>
      <c r="AL5945">
        <v>0</v>
      </c>
      <c r="AM5945">
        <v>100</v>
      </c>
      <c r="AN5945">
        <v>0</v>
      </c>
      <c r="AO5945">
        <v>0</v>
      </c>
      <c r="AP5945">
        <v>0</v>
      </c>
      <c r="AQ5945">
        <v>0</v>
      </c>
      <c r="AS5945">
        <v>0</v>
      </c>
      <c r="AT5945">
        <v>0</v>
      </c>
      <c r="AV5945">
        <v>0</v>
      </c>
      <c r="AW5945">
        <v>0</v>
      </c>
      <c r="AY5945">
        <v>0</v>
      </c>
      <c r="AZ5945">
        <v>0</v>
      </c>
      <c r="BA5945">
        <v>70</v>
      </c>
      <c r="BE5945" t="str">
        <f>T("9791137014381")</f>
        <v>9791137014381</v>
      </c>
      <c r="BF5945" t="str">
        <f>T("k427074")</f>
        <v>k427074</v>
      </c>
      <c r="BG5945" t="str">
        <f>T("판타지 웹소설 &gt; 퓨전 판타지")</f>
        <v>판타지 웹소설 &gt; 퓨전 판타지</v>
      </c>
    </row>
    <row r="5946" spans="1:59">
      <c r="A5946" t="s">
        <v>60</v>
      </c>
      <c r="B5946" s="1">
        <v>46131</v>
      </c>
      <c r="C5946">
        <v>2378044065</v>
      </c>
      <c r="D5946">
        <v>2378070282</v>
      </c>
      <c r="E5946" t="str">
        <f>T("저승의 왕위를 계승했다 527화")</f>
        <v>저승의 왕위를 계승했다 527화</v>
      </c>
      <c r="F5946">
        <v>528</v>
      </c>
      <c r="G5946" t="str">
        <f>T("신타비")</f>
        <v>신타비</v>
      </c>
      <c r="J5946" t="str">
        <f>T("매드햇")</f>
        <v>매드햇</v>
      </c>
      <c r="K5946" t="str">
        <f>T("저승의 왕위를 계승했다")</f>
        <v>저승의 왕위를 계승했다</v>
      </c>
      <c r="L5946">
        <v>100</v>
      </c>
      <c r="M5946">
        <v>100</v>
      </c>
      <c r="N5946">
        <v>1</v>
      </c>
      <c r="O5946">
        <v>0</v>
      </c>
      <c r="P5946">
        <v>0</v>
      </c>
      <c r="Q5946">
        <v>0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0</v>
      </c>
      <c r="AE5946">
        <v>0</v>
      </c>
      <c r="AF5946">
        <v>0</v>
      </c>
      <c r="AG5946">
        <v>0</v>
      </c>
      <c r="AH5946">
        <v>0</v>
      </c>
      <c r="AI5946">
        <v>100</v>
      </c>
      <c r="AJ5946">
        <v>1</v>
      </c>
      <c r="AK5946">
        <v>0</v>
      </c>
      <c r="AL5946">
        <v>0</v>
      </c>
      <c r="AM5946">
        <v>100</v>
      </c>
      <c r="AN5946">
        <v>0</v>
      </c>
      <c r="AO5946">
        <v>0</v>
      </c>
      <c r="AP5946">
        <v>0</v>
      </c>
      <c r="AQ5946">
        <v>0</v>
      </c>
      <c r="AS5946">
        <v>0</v>
      </c>
      <c r="AT5946">
        <v>0</v>
      </c>
      <c r="AV5946">
        <v>0</v>
      </c>
      <c r="AW5946">
        <v>0</v>
      </c>
      <c r="AY5946">
        <v>0</v>
      </c>
      <c r="AZ5946">
        <v>0</v>
      </c>
      <c r="BA5946">
        <v>70</v>
      </c>
      <c r="BE5946" t="str">
        <f>T("9791137014381")</f>
        <v>9791137014381</v>
      </c>
      <c r="BF5946" t="str">
        <f>T("k429545")</f>
        <v>k429545</v>
      </c>
      <c r="BG5946" t="str">
        <f>T("판타지 웹소설 &gt; 퓨전 판타지")</f>
        <v>판타지 웹소설 &gt; 퓨전 판타지</v>
      </c>
    </row>
    <row r="5947" spans="1:59">
      <c r="A5947" t="s">
        <v>60</v>
      </c>
      <c r="B5947" s="1">
        <v>46131</v>
      </c>
      <c r="C5947">
        <v>2378044065</v>
      </c>
      <c r="D5947">
        <v>2378070296</v>
      </c>
      <c r="E5947" t="str">
        <f>T("저승의 왕위를 계승했다 528화")</f>
        <v>저승의 왕위를 계승했다 528화</v>
      </c>
      <c r="F5947">
        <v>529</v>
      </c>
      <c r="G5947" t="str">
        <f>T("신타비")</f>
        <v>신타비</v>
      </c>
      <c r="J5947" t="str">
        <f>T("매드햇")</f>
        <v>매드햇</v>
      </c>
      <c r="K5947" t="str">
        <f>T("저승의 왕위를 계승했다")</f>
        <v>저승의 왕위를 계승했다</v>
      </c>
      <c r="L5947">
        <v>100</v>
      </c>
      <c r="M5947">
        <v>100</v>
      </c>
      <c r="N5947">
        <v>1</v>
      </c>
      <c r="O5947">
        <v>0</v>
      </c>
      <c r="P5947">
        <v>0</v>
      </c>
      <c r="Q5947">
        <v>0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0</v>
      </c>
      <c r="AE5947">
        <v>0</v>
      </c>
      <c r="AF5947">
        <v>0</v>
      </c>
      <c r="AG5947">
        <v>0</v>
      </c>
      <c r="AH5947">
        <v>0</v>
      </c>
      <c r="AI5947">
        <v>100</v>
      </c>
      <c r="AJ5947">
        <v>1</v>
      </c>
      <c r="AK5947">
        <v>0</v>
      </c>
      <c r="AL5947">
        <v>0</v>
      </c>
      <c r="AM5947">
        <v>100</v>
      </c>
      <c r="AN5947">
        <v>0</v>
      </c>
      <c r="AO5947">
        <v>0</v>
      </c>
      <c r="AP5947">
        <v>0</v>
      </c>
      <c r="AQ5947">
        <v>0</v>
      </c>
      <c r="AS5947">
        <v>0</v>
      </c>
      <c r="AT5947">
        <v>0</v>
      </c>
      <c r="AV5947">
        <v>0</v>
      </c>
      <c r="AW5947">
        <v>0</v>
      </c>
      <c r="AY5947">
        <v>0</v>
      </c>
      <c r="AZ5947">
        <v>0</v>
      </c>
      <c r="BA5947">
        <v>70</v>
      </c>
      <c r="BE5947" t="str">
        <f>T("9791137014381")</f>
        <v>9791137014381</v>
      </c>
      <c r="BF5947" t="str">
        <f>T("k429546")</f>
        <v>k429546</v>
      </c>
      <c r="BG5947" t="str">
        <f>T("판타지 웹소설 &gt; 퓨전 판타지")</f>
        <v>판타지 웹소설 &gt; 퓨전 판타지</v>
      </c>
    </row>
    <row r="5948" spans="1:59">
      <c r="A5948" t="s">
        <v>60</v>
      </c>
      <c r="B5948" s="1">
        <v>46131</v>
      </c>
      <c r="C5948">
        <v>2378044065</v>
      </c>
      <c r="D5948">
        <v>2378070297</v>
      </c>
      <c r="E5948" t="str">
        <f>T("저승의 왕위를 계승했다 529화")</f>
        <v>저승의 왕위를 계승했다 529화</v>
      </c>
      <c r="F5948">
        <v>530</v>
      </c>
      <c r="G5948" t="str">
        <f>T("신타비")</f>
        <v>신타비</v>
      </c>
      <c r="J5948" t="str">
        <f>T("매드햇")</f>
        <v>매드햇</v>
      </c>
      <c r="K5948" t="str">
        <f>T("저승의 왕위를 계승했다")</f>
        <v>저승의 왕위를 계승했다</v>
      </c>
      <c r="L5948">
        <v>100</v>
      </c>
      <c r="M5948">
        <v>100</v>
      </c>
      <c r="N5948">
        <v>1</v>
      </c>
      <c r="O5948">
        <v>0</v>
      </c>
      <c r="P5948">
        <v>0</v>
      </c>
      <c r="Q5948">
        <v>0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0</v>
      </c>
      <c r="AE5948">
        <v>0</v>
      </c>
      <c r="AF5948">
        <v>0</v>
      </c>
      <c r="AG5948">
        <v>0</v>
      </c>
      <c r="AH5948">
        <v>0</v>
      </c>
      <c r="AI5948">
        <v>100</v>
      </c>
      <c r="AJ5948">
        <v>1</v>
      </c>
      <c r="AK5948">
        <v>0</v>
      </c>
      <c r="AL5948">
        <v>0</v>
      </c>
      <c r="AM5948">
        <v>100</v>
      </c>
      <c r="AN5948">
        <v>0</v>
      </c>
      <c r="AO5948">
        <v>0</v>
      </c>
      <c r="AP5948">
        <v>0</v>
      </c>
      <c r="AQ5948">
        <v>0</v>
      </c>
      <c r="AS5948">
        <v>0</v>
      </c>
      <c r="AT5948">
        <v>0</v>
      </c>
      <c r="AV5948">
        <v>0</v>
      </c>
      <c r="AW5948">
        <v>0</v>
      </c>
      <c r="AY5948">
        <v>0</v>
      </c>
      <c r="AZ5948">
        <v>0</v>
      </c>
      <c r="BA5948">
        <v>70</v>
      </c>
      <c r="BE5948" t="str">
        <f>T("9791137014381")</f>
        <v>9791137014381</v>
      </c>
      <c r="BF5948" t="str">
        <f>T("k429547")</f>
        <v>k429547</v>
      </c>
      <c r="BG5948" t="str">
        <f>T("판타지 웹소설 &gt; 퓨전 판타지")</f>
        <v>판타지 웹소설 &gt; 퓨전 판타지</v>
      </c>
    </row>
    <row r="5949" spans="1:59">
      <c r="A5949" t="s">
        <v>60</v>
      </c>
      <c r="B5949" s="1">
        <v>46131</v>
      </c>
      <c r="C5949">
        <v>2378044065</v>
      </c>
      <c r="D5949">
        <v>2378080371</v>
      </c>
      <c r="E5949" t="str">
        <f>T("저승의 왕위를 계승했다 763화")</f>
        <v>저승의 왕위를 계승했다 763화</v>
      </c>
      <c r="F5949">
        <v>765</v>
      </c>
      <c r="G5949" t="str">
        <f>T("신타비")</f>
        <v>신타비</v>
      </c>
      <c r="J5949" t="str">
        <f>T("매드햇")</f>
        <v>매드햇</v>
      </c>
      <c r="K5949" t="str">
        <f>T("저승의 왕위를 계승했다")</f>
        <v>저승의 왕위를 계승했다</v>
      </c>
      <c r="L5949">
        <v>100</v>
      </c>
      <c r="M5949">
        <v>141</v>
      </c>
      <c r="N5949">
        <v>2</v>
      </c>
      <c r="O5949">
        <v>0</v>
      </c>
      <c r="P5949">
        <v>0</v>
      </c>
      <c r="Q5949">
        <v>0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0</v>
      </c>
      <c r="AE5949">
        <v>0</v>
      </c>
      <c r="AF5949">
        <v>0</v>
      </c>
      <c r="AG5949">
        <v>0</v>
      </c>
      <c r="AH5949">
        <v>0</v>
      </c>
      <c r="AI5949">
        <v>141</v>
      </c>
      <c r="AJ5949">
        <v>2</v>
      </c>
      <c r="AK5949">
        <v>0</v>
      </c>
      <c r="AL5949">
        <v>0</v>
      </c>
      <c r="AM5949">
        <v>141</v>
      </c>
      <c r="AN5949">
        <v>0</v>
      </c>
      <c r="AO5949">
        <v>0</v>
      </c>
      <c r="AP5949">
        <v>0</v>
      </c>
      <c r="AQ5949">
        <v>0</v>
      </c>
      <c r="AS5949">
        <v>0</v>
      </c>
      <c r="AT5949">
        <v>0</v>
      </c>
      <c r="AV5949">
        <v>0</v>
      </c>
      <c r="AW5949">
        <v>0</v>
      </c>
      <c r="AY5949">
        <v>0</v>
      </c>
      <c r="AZ5949">
        <v>0</v>
      </c>
      <c r="BA5949">
        <v>98.7</v>
      </c>
      <c r="BE5949" t="str">
        <f>T("9791137014381")</f>
        <v>9791137014381</v>
      </c>
      <c r="BF5949" t="str">
        <f>T("D184259")</f>
        <v>D184259</v>
      </c>
      <c r="BG5949" t="str">
        <f>T("판타지 웹소설 &gt; 퓨전 판타지")</f>
        <v>판타지 웹소설 &gt; 퓨전 판타지</v>
      </c>
    </row>
    <row r="5950" spans="1:59">
      <c r="A5950" t="s">
        <v>60</v>
      </c>
      <c r="B5950" s="1">
        <v>46131</v>
      </c>
      <c r="C5950">
        <v>2378044065</v>
      </c>
      <c r="D5950">
        <v>2378080372</v>
      </c>
      <c r="E5950" t="str">
        <f>T("저승의 왕위를 계승했다 764화")</f>
        <v>저승의 왕위를 계승했다 764화</v>
      </c>
      <c r="F5950">
        <v>766</v>
      </c>
      <c r="G5950" t="str">
        <f>T("신타비")</f>
        <v>신타비</v>
      </c>
      <c r="J5950" t="str">
        <f>T("매드햇")</f>
        <v>매드햇</v>
      </c>
      <c r="K5950" t="str">
        <f>T("저승의 왕위를 계승했다")</f>
        <v>저승의 왕위를 계승했다</v>
      </c>
      <c r="L5950">
        <v>100</v>
      </c>
      <c r="M5950">
        <v>141</v>
      </c>
      <c r="N5950">
        <v>2</v>
      </c>
      <c r="O5950">
        <v>0</v>
      </c>
      <c r="P5950">
        <v>0</v>
      </c>
      <c r="Q5950">
        <v>0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0</v>
      </c>
      <c r="AE5950">
        <v>0</v>
      </c>
      <c r="AF5950">
        <v>0</v>
      </c>
      <c r="AG5950">
        <v>0</v>
      </c>
      <c r="AH5950">
        <v>0</v>
      </c>
      <c r="AI5950">
        <v>141</v>
      </c>
      <c r="AJ5950">
        <v>2</v>
      </c>
      <c r="AK5950">
        <v>0</v>
      </c>
      <c r="AL5950">
        <v>0</v>
      </c>
      <c r="AM5950">
        <v>141</v>
      </c>
      <c r="AN5950">
        <v>0</v>
      </c>
      <c r="AO5950">
        <v>0</v>
      </c>
      <c r="AP5950">
        <v>0</v>
      </c>
      <c r="AQ5950">
        <v>0</v>
      </c>
      <c r="AS5950">
        <v>0</v>
      </c>
      <c r="AT5950">
        <v>0</v>
      </c>
      <c r="AV5950">
        <v>0</v>
      </c>
      <c r="AW5950">
        <v>0</v>
      </c>
      <c r="AY5950">
        <v>0</v>
      </c>
      <c r="AZ5950">
        <v>0</v>
      </c>
      <c r="BA5950">
        <v>98.7</v>
      </c>
      <c r="BE5950" t="str">
        <f>T("9791137014381")</f>
        <v>9791137014381</v>
      </c>
      <c r="BF5950" t="str">
        <f>T("D184260")</f>
        <v>D184260</v>
      </c>
      <c r="BG5950" t="str">
        <f>T("판타지 웹소설 &gt; 퓨전 판타지")</f>
        <v>판타지 웹소설 &gt; 퓨전 판타지</v>
      </c>
    </row>
    <row r="5951" spans="1:59">
      <c r="A5951" t="s">
        <v>60</v>
      </c>
      <c r="B5951" s="1">
        <v>46131</v>
      </c>
      <c r="C5951">
        <v>2378044065</v>
      </c>
      <c r="D5951">
        <v>2378080377</v>
      </c>
      <c r="E5951" t="str">
        <f>T("저승의 왕위를 계승했다 765화")</f>
        <v>저승의 왕위를 계승했다 765화</v>
      </c>
      <c r="F5951">
        <v>767</v>
      </c>
      <c r="G5951" t="str">
        <f>T("신타비")</f>
        <v>신타비</v>
      </c>
      <c r="J5951" t="str">
        <f>T("매드햇")</f>
        <v>매드햇</v>
      </c>
      <c r="K5951" t="str">
        <f>T("저승의 왕위를 계승했다")</f>
        <v>저승의 왕위를 계승했다</v>
      </c>
      <c r="L5951">
        <v>100</v>
      </c>
      <c r="M5951">
        <v>141</v>
      </c>
      <c r="N5951">
        <v>2</v>
      </c>
      <c r="O5951">
        <v>0</v>
      </c>
      <c r="P5951">
        <v>0</v>
      </c>
      <c r="Q5951">
        <v>0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0</v>
      </c>
      <c r="AE5951">
        <v>0</v>
      </c>
      <c r="AF5951">
        <v>0</v>
      </c>
      <c r="AG5951">
        <v>0</v>
      </c>
      <c r="AH5951">
        <v>0</v>
      </c>
      <c r="AI5951">
        <v>141</v>
      </c>
      <c r="AJ5951">
        <v>2</v>
      </c>
      <c r="AK5951">
        <v>0</v>
      </c>
      <c r="AL5951">
        <v>0</v>
      </c>
      <c r="AM5951">
        <v>141</v>
      </c>
      <c r="AN5951">
        <v>0</v>
      </c>
      <c r="AO5951">
        <v>0</v>
      </c>
      <c r="AP5951">
        <v>0</v>
      </c>
      <c r="AQ5951">
        <v>0</v>
      </c>
      <c r="AS5951">
        <v>0</v>
      </c>
      <c r="AT5951">
        <v>0</v>
      </c>
      <c r="AV5951">
        <v>0</v>
      </c>
      <c r="AW5951">
        <v>0</v>
      </c>
      <c r="AY5951">
        <v>0</v>
      </c>
      <c r="AZ5951">
        <v>0</v>
      </c>
      <c r="BA5951">
        <v>98.7</v>
      </c>
      <c r="BE5951" t="str">
        <f>T("9791137014381")</f>
        <v>9791137014381</v>
      </c>
      <c r="BF5951" t="str">
        <f>T("D184261")</f>
        <v>D184261</v>
      </c>
      <c r="BG5951" t="str">
        <f>T("판타지 웹소설 &gt; 퓨전 판타지")</f>
        <v>판타지 웹소설 &gt; 퓨전 판타지</v>
      </c>
    </row>
    <row r="5952" spans="1:59">
      <c r="A5952" t="s">
        <v>60</v>
      </c>
      <c r="B5952" s="1">
        <v>46131</v>
      </c>
      <c r="C5952">
        <v>2378044065</v>
      </c>
      <c r="D5952">
        <v>2378080378</v>
      </c>
      <c r="E5952" t="str">
        <f>T("저승의 왕위를 계승했다 766화")</f>
        <v>저승의 왕위를 계승했다 766화</v>
      </c>
      <c r="F5952">
        <v>768</v>
      </c>
      <c r="G5952" t="str">
        <f>T("신타비")</f>
        <v>신타비</v>
      </c>
      <c r="J5952" t="str">
        <f>T("매드햇")</f>
        <v>매드햇</v>
      </c>
      <c r="K5952" t="str">
        <f>T("저승의 왕위를 계승했다")</f>
        <v>저승의 왕위를 계승했다</v>
      </c>
      <c r="L5952">
        <v>100</v>
      </c>
      <c r="M5952">
        <v>141</v>
      </c>
      <c r="N5952">
        <v>2</v>
      </c>
      <c r="O5952">
        <v>0</v>
      </c>
      <c r="P5952">
        <v>0</v>
      </c>
      <c r="Q5952">
        <v>0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0</v>
      </c>
      <c r="AE5952">
        <v>0</v>
      </c>
      <c r="AF5952">
        <v>0</v>
      </c>
      <c r="AG5952">
        <v>0</v>
      </c>
      <c r="AH5952">
        <v>0</v>
      </c>
      <c r="AI5952">
        <v>141</v>
      </c>
      <c r="AJ5952">
        <v>2</v>
      </c>
      <c r="AK5952">
        <v>0</v>
      </c>
      <c r="AL5952">
        <v>0</v>
      </c>
      <c r="AM5952">
        <v>141</v>
      </c>
      <c r="AN5952">
        <v>0</v>
      </c>
      <c r="AO5952">
        <v>0</v>
      </c>
      <c r="AP5952">
        <v>0</v>
      </c>
      <c r="AQ5952">
        <v>0</v>
      </c>
      <c r="AS5952">
        <v>0</v>
      </c>
      <c r="AT5952">
        <v>0</v>
      </c>
      <c r="AV5952">
        <v>0</v>
      </c>
      <c r="AW5952">
        <v>0</v>
      </c>
      <c r="AY5952">
        <v>0</v>
      </c>
      <c r="AZ5952">
        <v>0</v>
      </c>
      <c r="BA5952">
        <v>98.7</v>
      </c>
      <c r="BE5952" t="str">
        <f>T("9791137014381")</f>
        <v>9791137014381</v>
      </c>
      <c r="BF5952" t="str">
        <f>T("D184262")</f>
        <v>D184262</v>
      </c>
      <c r="BG5952" t="str">
        <f>T("판타지 웹소설 &gt; 퓨전 판타지")</f>
        <v>판타지 웹소설 &gt; 퓨전 판타지</v>
      </c>
    </row>
    <row r="5953" spans="1:59">
      <c r="A5953" t="s">
        <v>60</v>
      </c>
      <c r="B5953" s="1">
        <v>46131</v>
      </c>
      <c r="C5953">
        <v>2378044065</v>
      </c>
      <c r="D5953">
        <v>2378080379</v>
      </c>
      <c r="E5953" t="str">
        <f>T("저승의 왕위를 계승했다 767화")</f>
        <v>저승의 왕위를 계승했다 767화</v>
      </c>
      <c r="F5953">
        <v>769</v>
      </c>
      <c r="G5953" t="str">
        <f>T("신타비")</f>
        <v>신타비</v>
      </c>
      <c r="J5953" t="str">
        <f>T("매드햇")</f>
        <v>매드햇</v>
      </c>
      <c r="K5953" t="str">
        <f>T("저승의 왕위를 계승했다")</f>
        <v>저승의 왕위를 계승했다</v>
      </c>
      <c r="L5953">
        <v>100</v>
      </c>
      <c r="M5953">
        <v>141</v>
      </c>
      <c r="N5953">
        <v>2</v>
      </c>
      <c r="O5953">
        <v>0</v>
      </c>
      <c r="P5953">
        <v>0</v>
      </c>
      <c r="Q5953">
        <v>0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0</v>
      </c>
      <c r="AE5953">
        <v>0</v>
      </c>
      <c r="AF5953">
        <v>0</v>
      </c>
      <c r="AG5953">
        <v>0</v>
      </c>
      <c r="AH5953">
        <v>0</v>
      </c>
      <c r="AI5953">
        <v>141</v>
      </c>
      <c r="AJ5953">
        <v>2</v>
      </c>
      <c r="AK5953">
        <v>0</v>
      </c>
      <c r="AL5953">
        <v>0</v>
      </c>
      <c r="AM5953">
        <v>141</v>
      </c>
      <c r="AN5953">
        <v>0</v>
      </c>
      <c r="AO5953">
        <v>0</v>
      </c>
      <c r="AP5953">
        <v>0</v>
      </c>
      <c r="AQ5953">
        <v>0</v>
      </c>
      <c r="AS5953">
        <v>0</v>
      </c>
      <c r="AT5953">
        <v>0</v>
      </c>
      <c r="AV5953">
        <v>0</v>
      </c>
      <c r="AW5953">
        <v>0</v>
      </c>
      <c r="AY5953">
        <v>0</v>
      </c>
      <c r="AZ5953">
        <v>0</v>
      </c>
      <c r="BA5953">
        <v>98.7</v>
      </c>
      <c r="BE5953" t="str">
        <f>T("9791137014381")</f>
        <v>9791137014381</v>
      </c>
      <c r="BF5953" t="str">
        <f>T("D184263")</f>
        <v>D184263</v>
      </c>
      <c r="BG5953" t="str">
        <f>T("판타지 웹소설 &gt; 퓨전 판타지")</f>
        <v>판타지 웹소설 &gt; 퓨전 판타지</v>
      </c>
    </row>
    <row r="5954" spans="1:59">
      <c r="A5954" t="s">
        <v>60</v>
      </c>
      <c r="B5954" s="1">
        <v>46131</v>
      </c>
      <c r="C5954">
        <v>2378044065</v>
      </c>
      <c r="D5954">
        <v>2378080380</v>
      </c>
      <c r="E5954" t="str">
        <f>T("저승의 왕위를 계승했다 768화")</f>
        <v>저승의 왕위를 계승했다 768화</v>
      </c>
      <c r="F5954">
        <v>770</v>
      </c>
      <c r="G5954" t="str">
        <f>T("신타비")</f>
        <v>신타비</v>
      </c>
      <c r="J5954" t="str">
        <f>T("매드햇")</f>
        <v>매드햇</v>
      </c>
      <c r="K5954" t="str">
        <f>T("저승의 왕위를 계승했다")</f>
        <v>저승의 왕위를 계승했다</v>
      </c>
      <c r="L5954">
        <v>100</v>
      </c>
      <c r="M5954">
        <v>141</v>
      </c>
      <c r="N5954">
        <v>2</v>
      </c>
      <c r="O5954">
        <v>0</v>
      </c>
      <c r="P5954">
        <v>0</v>
      </c>
      <c r="Q5954">
        <v>0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0</v>
      </c>
      <c r="AE5954">
        <v>0</v>
      </c>
      <c r="AF5954">
        <v>0</v>
      </c>
      <c r="AG5954">
        <v>0</v>
      </c>
      <c r="AH5954">
        <v>0</v>
      </c>
      <c r="AI5954">
        <v>141</v>
      </c>
      <c r="AJ5954">
        <v>2</v>
      </c>
      <c r="AK5954">
        <v>0</v>
      </c>
      <c r="AL5954">
        <v>0</v>
      </c>
      <c r="AM5954">
        <v>141</v>
      </c>
      <c r="AN5954">
        <v>0</v>
      </c>
      <c r="AO5954">
        <v>0</v>
      </c>
      <c r="AP5954">
        <v>0</v>
      </c>
      <c r="AQ5954">
        <v>0</v>
      </c>
      <c r="AS5954">
        <v>0</v>
      </c>
      <c r="AT5954">
        <v>0</v>
      </c>
      <c r="AV5954">
        <v>0</v>
      </c>
      <c r="AW5954">
        <v>0</v>
      </c>
      <c r="AY5954">
        <v>0</v>
      </c>
      <c r="AZ5954">
        <v>0</v>
      </c>
      <c r="BA5954">
        <v>98.7</v>
      </c>
      <c r="BE5954" t="str">
        <f>T("9791137014381")</f>
        <v>9791137014381</v>
      </c>
      <c r="BF5954" t="str">
        <f>T("D184264")</f>
        <v>D184264</v>
      </c>
      <c r="BG5954" t="str">
        <f>T("판타지 웹소설 &gt; 퓨전 판타지")</f>
        <v>판타지 웹소설 &gt; 퓨전 판타지</v>
      </c>
    </row>
    <row r="5955" spans="1:59">
      <c r="A5955" t="s">
        <v>60</v>
      </c>
      <c r="B5955" s="1">
        <v>46131</v>
      </c>
      <c r="C5955">
        <v>2378044065</v>
      </c>
      <c r="D5955">
        <v>2378080391</v>
      </c>
      <c r="E5955" t="str">
        <f>T("저승의 왕위를 계승했다 769화")</f>
        <v>저승의 왕위를 계승했다 769화</v>
      </c>
      <c r="F5955">
        <v>771</v>
      </c>
      <c r="G5955" t="str">
        <f>T("신타비")</f>
        <v>신타비</v>
      </c>
      <c r="J5955" t="str">
        <f>T("매드햇")</f>
        <v>매드햇</v>
      </c>
      <c r="K5955" t="str">
        <f>T("저승의 왕위를 계승했다")</f>
        <v>저승의 왕위를 계승했다</v>
      </c>
      <c r="L5955">
        <v>100</v>
      </c>
      <c r="M5955">
        <v>141</v>
      </c>
      <c r="N5955">
        <v>2</v>
      </c>
      <c r="O5955">
        <v>0</v>
      </c>
      <c r="P5955">
        <v>0</v>
      </c>
      <c r="Q5955">
        <v>0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0</v>
      </c>
      <c r="AE5955">
        <v>0</v>
      </c>
      <c r="AF5955">
        <v>0</v>
      </c>
      <c r="AG5955">
        <v>0</v>
      </c>
      <c r="AH5955">
        <v>0</v>
      </c>
      <c r="AI5955">
        <v>141</v>
      </c>
      <c r="AJ5955">
        <v>2</v>
      </c>
      <c r="AK5955">
        <v>0</v>
      </c>
      <c r="AL5955">
        <v>0</v>
      </c>
      <c r="AM5955">
        <v>141</v>
      </c>
      <c r="AN5955">
        <v>0</v>
      </c>
      <c r="AO5955">
        <v>0</v>
      </c>
      <c r="AP5955">
        <v>0</v>
      </c>
      <c r="AQ5955">
        <v>0</v>
      </c>
      <c r="AS5955">
        <v>0</v>
      </c>
      <c r="AT5955">
        <v>0</v>
      </c>
      <c r="AV5955">
        <v>0</v>
      </c>
      <c r="AW5955">
        <v>0</v>
      </c>
      <c r="AY5955">
        <v>0</v>
      </c>
      <c r="AZ5955">
        <v>0</v>
      </c>
      <c r="BA5955">
        <v>98.7</v>
      </c>
      <c r="BE5955" t="str">
        <f>T("9791137014381")</f>
        <v>9791137014381</v>
      </c>
      <c r="BF5955" t="str">
        <f>T("D184265")</f>
        <v>D184265</v>
      </c>
      <c r="BG5955" t="str">
        <f>T("판타지 웹소설 &gt; 퓨전 판타지")</f>
        <v>판타지 웹소설 &gt; 퓨전 판타지</v>
      </c>
    </row>
    <row r="5956" spans="1:59">
      <c r="A5956" t="s">
        <v>60</v>
      </c>
      <c r="B5956" s="1">
        <v>46131</v>
      </c>
      <c r="C5956">
        <v>2378044065</v>
      </c>
      <c r="D5956">
        <v>2378080392</v>
      </c>
      <c r="E5956" t="str">
        <f>T("저승의 왕위를 계승했다 770화")</f>
        <v>저승의 왕위를 계승했다 770화</v>
      </c>
      <c r="F5956">
        <v>772</v>
      </c>
      <c r="G5956" t="str">
        <f>T("신타비")</f>
        <v>신타비</v>
      </c>
      <c r="J5956" t="str">
        <f>T("매드햇")</f>
        <v>매드햇</v>
      </c>
      <c r="K5956" t="str">
        <f>T("저승의 왕위를 계승했다")</f>
        <v>저승의 왕위를 계승했다</v>
      </c>
      <c r="L5956">
        <v>100</v>
      </c>
      <c r="M5956">
        <v>141</v>
      </c>
      <c r="N5956">
        <v>2</v>
      </c>
      <c r="O5956">
        <v>0</v>
      </c>
      <c r="P5956">
        <v>0</v>
      </c>
      <c r="Q5956">
        <v>0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0</v>
      </c>
      <c r="AE5956">
        <v>0</v>
      </c>
      <c r="AF5956">
        <v>0</v>
      </c>
      <c r="AG5956">
        <v>0</v>
      </c>
      <c r="AH5956">
        <v>0</v>
      </c>
      <c r="AI5956">
        <v>141</v>
      </c>
      <c r="AJ5956">
        <v>2</v>
      </c>
      <c r="AK5956">
        <v>0</v>
      </c>
      <c r="AL5956">
        <v>0</v>
      </c>
      <c r="AM5956">
        <v>141</v>
      </c>
      <c r="AN5956">
        <v>0</v>
      </c>
      <c r="AO5956">
        <v>0</v>
      </c>
      <c r="AP5956">
        <v>0</v>
      </c>
      <c r="AQ5956">
        <v>0</v>
      </c>
      <c r="AS5956">
        <v>0</v>
      </c>
      <c r="AT5956">
        <v>0</v>
      </c>
      <c r="AV5956">
        <v>0</v>
      </c>
      <c r="AW5956">
        <v>0</v>
      </c>
      <c r="AY5956">
        <v>0</v>
      </c>
      <c r="AZ5956">
        <v>0</v>
      </c>
      <c r="BA5956">
        <v>98.7</v>
      </c>
      <c r="BE5956" t="str">
        <f>T("9791137014381")</f>
        <v>9791137014381</v>
      </c>
      <c r="BF5956" t="str">
        <f>T("D184266")</f>
        <v>D184266</v>
      </c>
      <c r="BG5956" t="str">
        <f>T("판타지 웹소설 &gt; 퓨전 판타지")</f>
        <v>판타지 웹소설 &gt; 퓨전 판타지</v>
      </c>
    </row>
    <row r="5957" spans="1:59">
      <c r="A5957" t="s">
        <v>60</v>
      </c>
      <c r="B5957" s="1">
        <v>46131</v>
      </c>
      <c r="C5957">
        <v>2378044065</v>
      </c>
      <c r="D5957">
        <v>2378080393</v>
      </c>
      <c r="E5957" t="str">
        <f>T("저승의 왕위를 계승했다 771화")</f>
        <v>저승의 왕위를 계승했다 771화</v>
      </c>
      <c r="F5957">
        <v>773</v>
      </c>
      <c r="G5957" t="str">
        <f>T("신타비")</f>
        <v>신타비</v>
      </c>
      <c r="J5957" t="str">
        <f>T("매드햇")</f>
        <v>매드햇</v>
      </c>
      <c r="K5957" t="str">
        <f>T("저승의 왕위를 계승했다")</f>
        <v>저승의 왕위를 계승했다</v>
      </c>
      <c r="L5957">
        <v>100</v>
      </c>
      <c r="M5957">
        <v>71</v>
      </c>
      <c r="N5957">
        <v>1</v>
      </c>
      <c r="O5957">
        <v>0</v>
      </c>
      <c r="P5957">
        <v>0</v>
      </c>
      <c r="Q5957">
        <v>0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0</v>
      </c>
      <c r="AE5957">
        <v>0</v>
      </c>
      <c r="AF5957">
        <v>0</v>
      </c>
      <c r="AG5957">
        <v>0</v>
      </c>
      <c r="AH5957">
        <v>0</v>
      </c>
      <c r="AI5957">
        <v>71</v>
      </c>
      <c r="AJ5957">
        <v>1</v>
      </c>
      <c r="AK5957">
        <v>0</v>
      </c>
      <c r="AL5957">
        <v>0</v>
      </c>
      <c r="AM5957">
        <v>71</v>
      </c>
      <c r="AN5957">
        <v>0</v>
      </c>
      <c r="AO5957">
        <v>0</v>
      </c>
      <c r="AP5957">
        <v>0</v>
      </c>
      <c r="AQ5957">
        <v>0</v>
      </c>
      <c r="AS5957">
        <v>0</v>
      </c>
      <c r="AT5957">
        <v>0</v>
      </c>
      <c r="AV5957">
        <v>0</v>
      </c>
      <c r="AW5957">
        <v>0</v>
      </c>
      <c r="AY5957">
        <v>0</v>
      </c>
      <c r="AZ5957">
        <v>0</v>
      </c>
      <c r="BA5957">
        <v>49.7</v>
      </c>
      <c r="BE5957" t="str">
        <f>T("9791137014381")</f>
        <v>9791137014381</v>
      </c>
      <c r="BF5957" t="str">
        <f>T("D203862")</f>
        <v>D203862</v>
      </c>
      <c r="BG5957" t="str">
        <f>T("판타지 웹소설 &gt; 퓨전 판타지")</f>
        <v>판타지 웹소설 &gt; 퓨전 판타지</v>
      </c>
    </row>
    <row r="5958" spans="1:59">
      <c r="A5958" t="s">
        <v>60</v>
      </c>
      <c r="B5958" s="1">
        <v>46131</v>
      </c>
      <c r="C5958">
        <v>2378044065</v>
      </c>
      <c r="D5958">
        <v>2378080394</v>
      </c>
      <c r="E5958" t="str">
        <f>T("저승의 왕위를 계승했다 772화")</f>
        <v>저승의 왕위를 계승했다 772화</v>
      </c>
      <c r="F5958">
        <v>774</v>
      </c>
      <c r="G5958" t="str">
        <f>T("신타비")</f>
        <v>신타비</v>
      </c>
      <c r="J5958" t="str">
        <f>T("매드햇")</f>
        <v>매드햇</v>
      </c>
      <c r="K5958" t="str">
        <f>T("저승의 왕위를 계승했다")</f>
        <v>저승의 왕위를 계승했다</v>
      </c>
      <c r="L5958">
        <v>100</v>
      </c>
      <c r="M5958">
        <v>71</v>
      </c>
      <c r="N5958">
        <v>1</v>
      </c>
      <c r="O5958">
        <v>0</v>
      </c>
      <c r="P5958">
        <v>0</v>
      </c>
      <c r="Q5958">
        <v>0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0</v>
      </c>
      <c r="AE5958">
        <v>0</v>
      </c>
      <c r="AF5958">
        <v>0</v>
      </c>
      <c r="AG5958">
        <v>0</v>
      </c>
      <c r="AH5958">
        <v>0</v>
      </c>
      <c r="AI5958">
        <v>71</v>
      </c>
      <c r="AJ5958">
        <v>1</v>
      </c>
      <c r="AK5958">
        <v>0</v>
      </c>
      <c r="AL5958">
        <v>0</v>
      </c>
      <c r="AM5958">
        <v>71</v>
      </c>
      <c r="AN5958">
        <v>0</v>
      </c>
      <c r="AO5958">
        <v>0</v>
      </c>
      <c r="AP5958">
        <v>0</v>
      </c>
      <c r="AQ5958">
        <v>0</v>
      </c>
      <c r="AS5958">
        <v>0</v>
      </c>
      <c r="AT5958">
        <v>0</v>
      </c>
      <c r="AV5958">
        <v>0</v>
      </c>
      <c r="AW5958">
        <v>0</v>
      </c>
      <c r="AY5958">
        <v>0</v>
      </c>
      <c r="AZ5958">
        <v>0</v>
      </c>
      <c r="BA5958">
        <v>49.7</v>
      </c>
      <c r="BE5958" t="str">
        <f>T("9791137014381")</f>
        <v>9791137014381</v>
      </c>
      <c r="BF5958" t="str">
        <f>T("D203863")</f>
        <v>D203863</v>
      </c>
      <c r="BG5958" t="str">
        <f>T("판타지 웹소설 &gt; 퓨전 판타지")</f>
        <v>판타지 웹소설 &gt; 퓨전 판타지</v>
      </c>
    </row>
    <row r="5959" spans="1:59">
      <c r="A5959" t="s">
        <v>60</v>
      </c>
      <c r="B5959" s="1">
        <v>46131</v>
      </c>
      <c r="C5959">
        <v>2378044065</v>
      </c>
      <c r="D5959">
        <v>2378080481</v>
      </c>
      <c r="E5959" t="str">
        <f>T("저승의 왕위를 계승했다 773화")</f>
        <v>저승의 왕위를 계승했다 773화</v>
      </c>
      <c r="F5959">
        <v>775</v>
      </c>
      <c r="G5959" t="str">
        <f>T("신타비")</f>
        <v>신타비</v>
      </c>
      <c r="J5959" t="str">
        <f>T("매드햇")</f>
        <v>매드햇</v>
      </c>
      <c r="K5959" t="str">
        <f>T("저승의 왕위를 계승했다")</f>
        <v>저승의 왕위를 계승했다</v>
      </c>
      <c r="L5959">
        <v>100</v>
      </c>
      <c r="M5959">
        <v>71</v>
      </c>
      <c r="N5959">
        <v>1</v>
      </c>
      <c r="O5959">
        <v>0</v>
      </c>
      <c r="P5959">
        <v>0</v>
      </c>
      <c r="Q5959">
        <v>0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0</v>
      </c>
      <c r="AE5959">
        <v>0</v>
      </c>
      <c r="AF5959">
        <v>0</v>
      </c>
      <c r="AG5959">
        <v>0</v>
      </c>
      <c r="AH5959">
        <v>0</v>
      </c>
      <c r="AI5959">
        <v>71</v>
      </c>
      <c r="AJ5959">
        <v>1</v>
      </c>
      <c r="AK5959">
        <v>0</v>
      </c>
      <c r="AL5959">
        <v>0</v>
      </c>
      <c r="AM5959">
        <v>71</v>
      </c>
      <c r="AN5959">
        <v>0</v>
      </c>
      <c r="AO5959">
        <v>0</v>
      </c>
      <c r="AP5959">
        <v>0</v>
      </c>
      <c r="AQ5959">
        <v>0</v>
      </c>
      <c r="AS5959">
        <v>0</v>
      </c>
      <c r="AT5959">
        <v>0</v>
      </c>
      <c r="AV5959">
        <v>0</v>
      </c>
      <c r="AW5959">
        <v>0</v>
      </c>
      <c r="AY5959">
        <v>0</v>
      </c>
      <c r="AZ5959">
        <v>0</v>
      </c>
      <c r="BA5959">
        <v>49.7</v>
      </c>
      <c r="BE5959" t="str">
        <f>T("9791137014381")</f>
        <v>9791137014381</v>
      </c>
      <c r="BF5959" t="str">
        <f>T("D203864")</f>
        <v>D203864</v>
      </c>
      <c r="BG5959" t="str">
        <f>T("판타지 웹소설 &gt; 퓨전 판타지")</f>
        <v>판타지 웹소설 &gt; 퓨전 판타지</v>
      </c>
    </row>
    <row r="5960" spans="1:59">
      <c r="A5960" t="s">
        <v>60</v>
      </c>
      <c r="B5960" s="1">
        <v>46131</v>
      </c>
      <c r="C5960">
        <v>2378044065</v>
      </c>
      <c r="D5960">
        <v>2378080482</v>
      </c>
      <c r="E5960" t="str">
        <f>T("저승의 왕위를 계승했다 774화")</f>
        <v>저승의 왕위를 계승했다 774화</v>
      </c>
      <c r="F5960">
        <v>776</v>
      </c>
      <c r="G5960" t="str">
        <f>T("신타비")</f>
        <v>신타비</v>
      </c>
      <c r="J5960" t="str">
        <f>T("매드햇")</f>
        <v>매드햇</v>
      </c>
      <c r="K5960" t="str">
        <f>T("저승의 왕위를 계승했다")</f>
        <v>저승의 왕위를 계승했다</v>
      </c>
      <c r="L5960">
        <v>100</v>
      </c>
      <c r="M5960">
        <v>71</v>
      </c>
      <c r="N5960">
        <v>1</v>
      </c>
      <c r="O5960">
        <v>0</v>
      </c>
      <c r="P5960">
        <v>0</v>
      </c>
      <c r="Q5960">
        <v>0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0</v>
      </c>
      <c r="AE5960">
        <v>0</v>
      </c>
      <c r="AF5960">
        <v>0</v>
      </c>
      <c r="AG5960">
        <v>0</v>
      </c>
      <c r="AH5960">
        <v>0</v>
      </c>
      <c r="AI5960">
        <v>71</v>
      </c>
      <c r="AJ5960">
        <v>1</v>
      </c>
      <c r="AK5960">
        <v>0</v>
      </c>
      <c r="AL5960">
        <v>0</v>
      </c>
      <c r="AM5960">
        <v>71</v>
      </c>
      <c r="AN5960">
        <v>0</v>
      </c>
      <c r="AO5960">
        <v>0</v>
      </c>
      <c r="AP5960">
        <v>0</v>
      </c>
      <c r="AQ5960">
        <v>0</v>
      </c>
      <c r="AS5960">
        <v>0</v>
      </c>
      <c r="AT5960">
        <v>0</v>
      </c>
      <c r="AV5960">
        <v>0</v>
      </c>
      <c r="AW5960">
        <v>0</v>
      </c>
      <c r="AY5960">
        <v>0</v>
      </c>
      <c r="AZ5960">
        <v>0</v>
      </c>
      <c r="BA5960">
        <v>49.7</v>
      </c>
      <c r="BE5960" t="str">
        <f>T("9791137014381")</f>
        <v>9791137014381</v>
      </c>
      <c r="BF5960" t="str">
        <f>T("D203865")</f>
        <v>D203865</v>
      </c>
      <c r="BG5960" t="str">
        <f>T("판타지 웹소설 &gt; 퓨전 판타지")</f>
        <v>판타지 웹소설 &gt; 퓨전 판타지</v>
      </c>
    </row>
    <row r="5961" spans="1:59">
      <c r="A5961" t="s">
        <v>60</v>
      </c>
      <c r="B5961" s="1">
        <v>46131</v>
      </c>
      <c r="C5961">
        <v>2378044065</v>
      </c>
      <c r="D5961">
        <v>2378080483</v>
      </c>
      <c r="E5961" t="str">
        <f>T("저승의 왕위를 계승했다 775화")</f>
        <v>저승의 왕위를 계승했다 775화</v>
      </c>
      <c r="F5961">
        <v>777</v>
      </c>
      <c r="G5961" t="str">
        <f>T("신타비")</f>
        <v>신타비</v>
      </c>
      <c r="J5961" t="str">
        <f>T("매드햇")</f>
        <v>매드햇</v>
      </c>
      <c r="K5961" t="str">
        <f>T("저승의 왕위를 계승했다")</f>
        <v>저승의 왕위를 계승했다</v>
      </c>
      <c r="L5961">
        <v>100</v>
      </c>
      <c r="M5961">
        <v>71</v>
      </c>
      <c r="N5961">
        <v>1</v>
      </c>
      <c r="O5961">
        <v>0</v>
      </c>
      <c r="P5961">
        <v>0</v>
      </c>
      <c r="Q5961">
        <v>0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0</v>
      </c>
      <c r="AE5961">
        <v>0</v>
      </c>
      <c r="AF5961">
        <v>0</v>
      </c>
      <c r="AG5961">
        <v>0</v>
      </c>
      <c r="AH5961">
        <v>0</v>
      </c>
      <c r="AI5961">
        <v>71</v>
      </c>
      <c r="AJ5961">
        <v>1</v>
      </c>
      <c r="AK5961">
        <v>0</v>
      </c>
      <c r="AL5961">
        <v>0</v>
      </c>
      <c r="AM5961">
        <v>71</v>
      </c>
      <c r="AN5961">
        <v>0</v>
      </c>
      <c r="AO5961">
        <v>0</v>
      </c>
      <c r="AP5961">
        <v>0</v>
      </c>
      <c r="AQ5961">
        <v>0</v>
      </c>
      <c r="AS5961">
        <v>0</v>
      </c>
      <c r="AT5961">
        <v>0</v>
      </c>
      <c r="AV5961">
        <v>0</v>
      </c>
      <c r="AW5961">
        <v>0</v>
      </c>
      <c r="AY5961">
        <v>0</v>
      </c>
      <c r="AZ5961">
        <v>0</v>
      </c>
      <c r="BA5961">
        <v>49.7</v>
      </c>
      <c r="BE5961" t="str">
        <f>T("9791137014381")</f>
        <v>9791137014381</v>
      </c>
      <c r="BF5961" t="str">
        <f>T("D203866")</f>
        <v>D203866</v>
      </c>
      <c r="BG5961" t="str">
        <f>T("판타지 웹소설 &gt; 퓨전 판타지")</f>
        <v>판타지 웹소설 &gt; 퓨전 판타지</v>
      </c>
    </row>
    <row r="5962" spans="1:59">
      <c r="A5962" t="s">
        <v>60</v>
      </c>
      <c r="B5962" s="1">
        <v>46131</v>
      </c>
      <c r="C5962">
        <v>2378044065</v>
      </c>
      <c r="D5962">
        <v>2378080484</v>
      </c>
      <c r="E5962" t="str">
        <f>T("저승의 왕위를 계승했다 776화")</f>
        <v>저승의 왕위를 계승했다 776화</v>
      </c>
      <c r="F5962">
        <v>778</v>
      </c>
      <c r="G5962" t="str">
        <f>T("신타비")</f>
        <v>신타비</v>
      </c>
      <c r="J5962" t="str">
        <f>T("매드햇")</f>
        <v>매드햇</v>
      </c>
      <c r="K5962" t="str">
        <f>T("저승의 왕위를 계승했다")</f>
        <v>저승의 왕위를 계승했다</v>
      </c>
      <c r="L5962">
        <v>100</v>
      </c>
      <c r="M5962">
        <v>71</v>
      </c>
      <c r="N5962">
        <v>1</v>
      </c>
      <c r="O5962">
        <v>0</v>
      </c>
      <c r="P5962">
        <v>0</v>
      </c>
      <c r="Q5962">
        <v>0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0</v>
      </c>
      <c r="AE5962">
        <v>0</v>
      </c>
      <c r="AF5962">
        <v>0</v>
      </c>
      <c r="AG5962">
        <v>0</v>
      </c>
      <c r="AH5962">
        <v>0</v>
      </c>
      <c r="AI5962">
        <v>71</v>
      </c>
      <c r="AJ5962">
        <v>1</v>
      </c>
      <c r="AK5962">
        <v>0</v>
      </c>
      <c r="AL5962">
        <v>0</v>
      </c>
      <c r="AM5962">
        <v>71</v>
      </c>
      <c r="AN5962">
        <v>0</v>
      </c>
      <c r="AO5962">
        <v>0</v>
      </c>
      <c r="AP5962">
        <v>0</v>
      </c>
      <c r="AQ5962">
        <v>0</v>
      </c>
      <c r="AS5962">
        <v>0</v>
      </c>
      <c r="AT5962">
        <v>0</v>
      </c>
      <c r="AV5962">
        <v>0</v>
      </c>
      <c r="AW5962">
        <v>0</v>
      </c>
      <c r="AY5962">
        <v>0</v>
      </c>
      <c r="AZ5962">
        <v>0</v>
      </c>
      <c r="BA5962">
        <v>49.7</v>
      </c>
      <c r="BE5962" t="str">
        <f>T("9791137014381")</f>
        <v>9791137014381</v>
      </c>
      <c r="BF5962" t="str">
        <f>T("D203867")</f>
        <v>D203867</v>
      </c>
      <c r="BG5962" t="str">
        <f>T("판타지 웹소설 &gt; 퓨전 판타지")</f>
        <v>판타지 웹소설 &gt; 퓨전 판타지</v>
      </c>
    </row>
    <row r="5963" spans="1:59">
      <c r="A5963" t="s">
        <v>60</v>
      </c>
      <c r="B5963" s="1">
        <v>46131</v>
      </c>
      <c r="C5963">
        <v>2378044065</v>
      </c>
      <c r="D5963">
        <v>2378080502</v>
      </c>
      <c r="E5963" t="str">
        <f>T("저승의 왕위를 계승했다 777화")</f>
        <v>저승의 왕위를 계승했다 777화</v>
      </c>
      <c r="F5963">
        <v>779</v>
      </c>
      <c r="G5963" t="str">
        <f>T("신타비")</f>
        <v>신타비</v>
      </c>
      <c r="J5963" t="str">
        <f>T("매드햇")</f>
        <v>매드햇</v>
      </c>
      <c r="K5963" t="str">
        <f>T("저승의 왕위를 계승했다")</f>
        <v>저승의 왕위를 계승했다</v>
      </c>
      <c r="L5963">
        <v>100</v>
      </c>
      <c r="M5963">
        <v>71</v>
      </c>
      <c r="N5963">
        <v>1</v>
      </c>
      <c r="O5963">
        <v>0</v>
      </c>
      <c r="P5963">
        <v>0</v>
      </c>
      <c r="Q5963">
        <v>0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0</v>
      </c>
      <c r="AE5963">
        <v>0</v>
      </c>
      <c r="AF5963">
        <v>0</v>
      </c>
      <c r="AG5963">
        <v>0</v>
      </c>
      <c r="AH5963">
        <v>0</v>
      </c>
      <c r="AI5963">
        <v>71</v>
      </c>
      <c r="AJ5963">
        <v>1</v>
      </c>
      <c r="AK5963">
        <v>0</v>
      </c>
      <c r="AL5963">
        <v>0</v>
      </c>
      <c r="AM5963">
        <v>71</v>
      </c>
      <c r="AN5963">
        <v>0</v>
      </c>
      <c r="AO5963">
        <v>0</v>
      </c>
      <c r="AP5963">
        <v>0</v>
      </c>
      <c r="AQ5963">
        <v>0</v>
      </c>
      <c r="AS5963">
        <v>0</v>
      </c>
      <c r="AT5963">
        <v>0</v>
      </c>
      <c r="AV5963">
        <v>0</v>
      </c>
      <c r="AW5963">
        <v>0</v>
      </c>
      <c r="AY5963">
        <v>0</v>
      </c>
      <c r="AZ5963">
        <v>0</v>
      </c>
      <c r="BA5963">
        <v>49.7</v>
      </c>
      <c r="BE5963" t="str">
        <f>T("9791137014381")</f>
        <v>9791137014381</v>
      </c>
      <c r="BF5963" t="str">
        <f>T("D203868")</f>
        <v>D203868</v>
      </c>
      <c r="BG5963" t="str">
        <f>T("판타지 웹소설 &gt; 퓨전 판타지")</f>
        <v>판타지 웹소설 &gt; 퓨전 판타지</v>
      </c>
    </row>
    <row r="5964" spans="1:59">
      <c r="A5964" t="s">
        <v>60</v>
      </c>
      <c r="B5964" s="1">
        <v>46131</v>
      </c>
      <c r="C5964">
        <v>2378044065</v>
      </c>
      <c r="D5964">
        <v>2378080503</v>
      </c>
      <c r="E5964" t="str">
        <f>T("저승의 왕위를 계승했다 778화")</f>
        <v>저승의 왕위를 계승했다 778화</v>
      </c>
      <c r="F5964">
        <v>780</v>
      </c>
      <c r="G5964" t="str">
        <f>T("신타비")</f>
        <v>신타비</v>
      </c>
      <c r="J5964" t="str">
        <f>T("매드햇")</f>
        <v>매드햇</v>
      </c>
      <c r="K5964" t="str">
        <f>T("저승의 왕위를 계승했다")</f>
        <v>저승의 왕위를 계승했다</v>
      </c>
      <c r="L5964">
        <v>100</v>
      </c>
      <c r="M5964">
        <v>71</v>
      </c>
      <c r="N5964">
        <v>1</v>
      </c>
      <c r="O5964">
        <v>0</v>
      </c>
      <c r="P5964">
        <v>0</v>
      </c>
      <c r="Q5964">
        <v>0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0</v>
      </c>
      <c r="AE5964">
        <v>0</v>
      </c>
      <c r="AF5964">
        <v>0</v>
      </c>
      <c r="AG5964">
        <v>0</v>
      </c>
      <c r="AH5964">
        <v>0</v>
      </c>
      <c r="AI5964">
        <v>71</v>
      </c>
      <c r="AJ5964">
        <v>1</v>
      </c>
      <c r="AK5964">
        <v>0</v>
      </c>
      <c r="AL5964">
        <v>0</v>
      </c>
      <c r="AM5964">
        <v>71</v>
      </c>
      <c r="AN5964">
        <v>0</v>
      </c>
      <c r="AO5964">
        <v>0</v>
      </c>
      <c r="AP5964">
        <v>0</v>
      </c>
      <c r="AQ5964">
        <v>0</v>
      </c>
      <c r="AS5964">
        <v>0</v>
      </c>
      <c r="AT5964">
        <v>0</v>
      </c>
      <c r="AV5964">
        <v>0</v>
      </c>
      <c r="AW5964">
        <v>0</v>
      </c>
      <c r="AY5964">
        <v>0</v>
      </c>
      <c r="AZ5964">
        <v>0</v>
      </c>
      <c r="BA5964">
        <v>49.7</v>
      </c>
      <c r="BE5964" t="str">
        <f>T("9791137014381")</f>
        <v>9791137014381</v>
      </c>
      <c r="BF5964" t="str">
        <f>T("D203869")</f>
        <v>D203869</v>
      </c>
      <c r="BG5964" t="str">
        <f>T("판타지 웹소설 &gt; 퓨전 판타지")</f>
        <v>판타지 웹소설 &gt; 퓨전 판타지</v>
      </c>
    </row>
    <row r="5965" spans="1:59">
      <c r="A5965" t="s">
        <v>60</v>
      </c>
      <c r="B5965" s="1">
        <v>46131</v>
      </c>
      <c r="C5965">
        <v>2378044065</v>
      </c>
      <c r="D5965">
        <v>2378080504</v>
      </c>
      <c r="E5965" t="str">
        <f>T("저승의 왕위를 계승했다 779화")</f>
        <v>저승의 왕위를 계승했다 779화</v>
      </c>
      <c r="F5965">
        <v>781</v>
      </c>
      <c r="G5965" t="str">
        <f>T("신타비")</f>
        <v>신타비</v>
      </c>
      <c r="J5965" t="str">
        <f>T("매드햇")</f>
        <v>매드햇</v>
      </c>
      <c r="K5965" t="str">
        <f>T("저승의 왕위를 계승했다")</f>
        <v>저승의 왕위를 계승했다</v>
      </c>
      <c r="L5965">
        <v>100</v>
      </c>
      <c r="M5965">
        <v>71</v>
      </c>
      <c r="N5965">
        <v>1</v>
      </c>
      <c r="O5965">
        <v>0</v>
      </c>
      <c r="P5965">
        <v>0</v>
      </c>
      <c r="Q5965">
        <v>0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0</v>
      </c>
      <c r="AE5965">
        <v>0</v>
      </c>
      <c r="AF5965">
        <v>0</v>
      </c>
      <c r="AG5965">
        <v>0</v>
      </c>
      <c r="AH5965">
        <v>0</v>
      </c>
      <c r="AI5965">
        <v>71</v>
      </c>
      <c r="AJ5965">
        <v>1</v>
      </c>
      <c r="AK5965">
        <v>0</v>
      </c>
      <c r="AL5965">
        <v>0</v>
      </c>
      <c r="AM5965">
        <v>71</v>
      </c>
      <c r="AN5965">
        <v>0</v>
      </c>
      <c r="AO5965">
        <v>0</v>
      </c>
      <c r="AP5965">
        <v>0</v>
      </c>
      <c r="AQ5965">
        <v>0</v>
      </c>
      <c r="AS5965">
        <v>0</v>
      </c>
      <c r="AT5965">
        <v>0</v>
      </c>
      <c r="AV5965">
        <v>0</v>
      </c>
      <c r="AW5965">
        <v>0</v>
      </c>
      <c r="AY5965">
        <v>0</v>
      </c>
      <c r="AZ5965">
        <v>0</v>
      </c>
      <c r="BA5965">
        <v>49.7</v>
      </c>
      <c r="BE5965" t="str">
        <f>T("9791137014381")</f>
        <v>9791137014381</v>
      </c>
      <c r="BF5965" t="str">
        <f>T("D203870")</f>
        <v>D203870</v>
      </c>
      <c r="BG5965" t="str">
        <f>T("판타지 웹소설 &gt; 퓨전 판타지")</f>
        <v>판타지 웹소설 &gt; 퓨전 판타지</v>
      </c>
    </row>
    <row r="5966" spans="1:59">
      <c r="A5966" t="s">
        <v>60</v>
      </c>
      <c r="B5966" s="1">
        <v>46131</v>
      </c>
      <c r="C5966">
        <v>2378044065</v>
      </c>
      <c r="D5966">
        <v>2378080505</v>
      </c>
      <c r="E5966" t="str">
        <f>T("저승의 왕위를 계승했다 780화")</f>
        <v>저승의 왕위를 계승했다 780화</v>
      </c>
      <c r="F5966">
        <v>782</v>
      </c>
      <c r="G5966" t="str">
        <f>T("신타비")</f>
        <v>신타비</v>
      </c>
      <c r="J5966" t="str">
        <f>T("매드햇")</f>
        <v>매드햇</v>
      </c>
      <c r="K5966" t="str">
        <f>T("저승의 왕위를 계승했다")</f>
        <v>저승의 왕위를 계승했다</v>
      </c>
      <c r="L5966">
        <v>100</v>
      </c>
      <c r="M5966">
        <v>71</v>
      </c>
      <c r="N5966">
        <v>1</v>
      </c>
      <c r="O5966">
        <v>0</v>
      </c>
      <c r="P5966">
        <v>0</v>
      </c>
      <c r="Q5966">
        <v>0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0</v>
      </c>
      <c r="AE5966">
        <v>0</v>
      </c>
      <c r="AF5966">
        <v>0</v>
      </c>
      <c r="AG5966">
        <v>0</v>
      </c>
      <c r="AH5966">
        <v>0</v>
      </c>
      <c r="AI5966">
        <v>71</v>
      </c>
      <c r="AJ5966">
        <v>1</v>
      </c>
      <c r="AK5966">
        <v>0</v>
      </c>
      <c r="AL5966">
        <v>0</v>
      </c>
      <c r="AM5966">
        <v>71</v>
      </c>
      <c r="AN5966">
        <v>0</v>
      </c>
      <c r="AO5966">
        <v>0</v>
      </c>
      <c r="AP5966">
        <v>0</v>
      </c>
      <c r="AQ5966">
        <v>0</v>
      </c>
      <c r="AS5966">
        <v>0</v>
      </c>
      <c r="AT5966">
        <v>0</v>
      </c>
      <c r="AV5966">
        <v>0</v>
      </c>
      <c r="AW5966">
        <v>0</v>
      </c>
      <c r="AY5966">
        <v>0</v>
      </c>
      <c r="AZ5966">
        <v>0</v>
      </c>
      <c r="BA5966">
        <v>49.7</v>
      </c>
      <c r="BE5966" t="str">
        <f>T("9791137014381")</f>
        <v>9791137014381</v>
      </c>
      <c r="BF5966" t="str">
        <f>T("D203871")</f>
        <v>D203871</v>
      </c>
      <c r="BG5966" t="str">
        <f>T("판타지 웹소설 &gt; 퓨전 판타지")</f>
        <v>판타지 웹소설 &gt; 퓨전 판타지</v>
      </c>
    </row>
    <row r="5967" spans="1:59">
      <c r="A5967" t="s">
        <v>60</v>
      </c>
      <c r="B5967" s="1">
        <v>46131</v>
      </c>
      <c r="C5967">
        <v>2378044065</v>
      </c>
      <c r="D5967">
        <v>2378080509</v>
      </c>
      <c r="E5967" t="str">
        <f>T("저승의 왕위를 계승했다 781화")</f>
        <v>저승의 왕위를 계승했다 781화</v>
      </c>
      <c r="F5967">
        <v>783</v>
      </c>
      <c r="G5967" t="str">
        <f>T("신타비")</f>
        <v>신타비</v>
      </c>
      <c r="J5967" t="str">
        <f>T("매드햇")</f>
        <v>매드햇</v>
      </c>
      <c r="K5967" t="str">
        <f>T("저승의 왕위를 계승했다")</f>
        <v>저승의 왕위를 계승했다</v>
      </c>
      <c r="L5967">
        <v>100</v>
      </c>
      <c r="M5967">
        <v>71</v>
      </c>
      <c r="N5967">
        <v>1</v>
      </c>
      <c r="O5967">
        <v>0</v>
      </c>
      <c r="P5967">
        <v>0</v>
      </c>
      <c r="Q5967">
        <v>0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0</v>
      </c>
      <c r="AE5967">
        <v>0</v>
      </c>
      <c r="AF5967">
        <v>0</v>
      </c>
      <c r="AG5967">
        <v>0</v>
      </c>
      <c r="AH5967">
        <v>0</v>
      </c>
      <c r="AI5967">
        <v>71</v>
      </c>
      <c r="AJ5967">
        <v>1</v>
      </c>
      <c r="AK5967">
        <v>0</v>
      </c>
      <c r="AL5967">
        <v>0</v>
      </c>
      <c r="AM5967">
        <v>71</v>
      </c>
      <c r="AN5967">
        <v>0</v>
      </c>
      <c r="AO5967">
        <v>0</v>
      </c>
      <c r="AP5967">
        <v>0</v>
      </c>
      <c r="AQ5967">
        <v>0</v>
      </c>
      <c r="AS5967">
        <v>0</v>
      </c>
      <c r="AT5967">
        <v>0</v>
      </c>
      <c r="AV5967">
        <v>0</v>
      </c>
      <c r="AW5967">
        <v>0</v>
      </c>
      <c r="AY5967">
        <v>0</v>
      </c>
      <c r="AZ5967">
        <v>0</v>
      </c>
      <c r="BA5967">
        <v>49.7</v>
      </c>
      <c r="BE5967" t="str">
        <f>T("9791137014381")</f>
        <v>9791137014381</v>
      </c>
      <c r="BF5967" t="str">
        <f>T("D227218")</f>
        <v>D227218</v>
      </c>
      <c r="BG5967" t="str">
        <f>T("판타지 웹소설 &gt; 퓨전 판타지")</f>
        <v>판타지 웹소설 &gt; 퓨전 판타지</v>
      </c>
    </row>
    <row r="5968" spans="1:59">
      <c r="A5968" t="s">
        <v>60</v>
      </c>
      <c r="B5968" s="1">
        <v>46131</v>
      </c>
      <c r="C5968">
        <v>2378044065</v>
      </c>
      <c r="D5968">
        <v>2378080510</v>
      </c>
      <c r="E5968" t="str">
        <f>T("저승의 왕위를 계승했다 782화")</f>
        <v>저승의 왕위를 계승했다 782화</v>
      </c>
      <c r="F5968">
        <v>784</v>
      </c>
      <c r="G5968" t="str">
        <f>T("신타비")</f>
        <v>신타비</v>
      </c>
      <c r="J5968" t="str">
        <f>T("매드햇")</f>
        <v>매드햇</v>
      </c>
      <c r="K5968" t="str">
        <f>T("저승의 왕위를 계승했다")</f>
        <v>저승의 왕위를 계승했다</v>
      </c>
      <c r="L5968">
        <v>100</v>
      </c>
      <c r="M5968">
        <v>71</v>
      </c>
      <c r="N5968">
        <v>1</v>
      </c>
      <c r="O5968">
        <v>0</v>
      </c>
      <c r="P5968">
        <v>0</v>
      </c>
      <c r="Q5968">
        <v>0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0</v>
      </c>
      <c r="AE5968">
        <v>0</v>
      </c>
      <c r="AF5968">
        <v>0</v>
      </c>
      <c r="AG5968">
        <v>0</v>
      </c>
      <c r="AH5968">
        <v>0</v>
      </c>
      <c r="AI5968">
        <v>71</v>
      </c>
      <c r="AJ5968">
        <v>1</v>
      </c>
      <c r="AK5968">
        <v>0</v>
      </c>
      <c r="AL5968">
        <v>0</v>
      </c>
      <c r="AM5968">
        <v>71</v>
      </c>
      <c r="AN5968">
        <v>0</v>
      </c>
      <c r="AO5968">
        <v>0</v>
      </c>
      <c r="AP5968">
        <v>0</v>
      </c>
      <c r="AQ5968">
        <v>0</v>
      </c>
      <c r="AS5968">
        <v>0</v>
      </c>
      <c r="AT5968">
        <v>0</v>
      </c>
      <c r="AV5968">
        <v>0</v>
      </c>
      <c r="AW5968">
        <v>0</v>
      </c>
      <c r="AY5968">
        <v>0</v>
      </c>
      <c r="AZ5968">
        <v>0</v>
      </c>
      <c r="BA5968">
        <v>49.7</v>
      </c>
      <c r="BE5968" t="str">
        <f>T("9791137014381")</f>
        <v>9791137014381</v>
      </c>
      <c r="BF5968" t="str">
        <f>T("D227219")</f>
        <v>D227219</v>
      </c>
      <c r="BG5968" t="str">
        <f>T("판타지 웹소설 &gt; 퓨전 판타지")</f>
        <v>판타지 웹소설 &gt; 퓨전 판타지</v>
      </c>
    </row>
    <row r="5969" spans="1:59">
      <c r="A5969" t="s">
        <v>60</v>
      </c>
      <c r="B5969" s="1">
        <v>46131</v>
      </c>
      <c r="C5969">
        <v>2378044065</v>
      </c>
      <c r="D5969">
        <v>2378080515</v>
      </c>
      <c r="E5969" t="str">
        <f>T("저승의 왕위를 계승했다 783화")</f>
        <v>저승의 왕위를 계승했다 783화</v>
      </c>
      <c r="F5969">
        <v>785</v>
      </c>
      <c r="G5969" t="str">
        <f>T("신타비")</f>
        <v>신타비</v>
      </c>
      <c r="J5969" t="str">
        <f>T("매드햇")</f>
        <v>매드햇</v>
      </c>
      <c r="K5969" t="str">
        <f>T("저승의 왕위를 계승했다")</f>
        <v>저승의 왕위를 계승했다</v>
      </c>
      <c r="L5969">
        <v>100</v>
      </c>
      <c r="M5969">
        <v>71</v>
      </c>
      <c r="N5969">
        <v>1</v>
      </c>
      <c r="O5969">
        <v>0</v>
      </c>
      <c r="P5969">
        <v>0</v>
      </c>
      <c r="Q5969">
        <v>0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0</v>
      </c>
      <c r="AE5969">
        <v>0</v>
      </c>
      <c r="AF5969">
        <v>0</v>
      </c>
      <c r="AG5969">
        <v>0</v>
      </c>
      <c r="AH5969">
        <v>0</v>
      </c>
      <c r="AI5969">
        <v>71</v>
      </c>
      <c r="AJ5969">
        <v>1</v>
      </c>
      <c r="AK5969">
        <v>0</v>
      </c>
      <c r="AL5969">
        <v>0</v>
      </c>
      <c r="AM5969">
        <v>71</v>
      </c>
      <c r="AN5969">
        <v>0</v>
      </c>
      <c r="AO5969">
        <v>0</v>
      </c>
      <c r="AP5969">
        <v>0</v>
      </c>
      <c r="AQ5969">
        <v>0</v>
      </c>
      <c r="AS5969">
        <v>0</v>
      </c>
      <c r="AT5969">
        <v>0</v>
      </c>
      <c r="AV5969">
        <v>0</v>
      </c>
      <c r="AW5969">
        <v>0</v>
      </c>
      <c r="AY5969">
        <v>0</v>
      </c>
      <c r="AZ5969">
        <v>0</v>
      </c>
      <c r="BA5969">
        <v>49.7</v>
      </c>
      <c r="BE5969" t="str">
        <f>T("9791137014381")</f>
        <v>9791137014381</v>
      </c>
      <c r="BF5969" t="str">
        <f>T("D227220")</f>
        <v>D227220</v>
      </c>
      <c r="BG5969" t="str">
        <f>T("판타지 웹소설 &gt; 퓨전 판타지")</f>
        <v>판타지 웹소설 &gt; 퓨전 판타지</v>
      </c>
    </row>
    <row r="5970" spans="1:59">
      <c r="A5970" t="s">
        <v>60</v>
      </c>
      <c r="B5970" s="1">
        <v>46131</v>
      </c>
      <c r="C5970">
        <v>2378044065</v>
      </c>
      <c r="D5970">
        <v>2378080516</v>
      </c>
      <c r="E5970" t="str">
        <f>T("저승의 왕위를 계승했다 784화")</f>
        <v>저승의 왕위를 계승했다 784화</v>
      </c>
      <c r="F5970">
        <v>786</v>
      </c>
      <c r="G5970" t="str">
        <f>T("신타비")</f>
        <v>신타비</v>
      </c>
      <c r="J5970" t="str">
        <f>T("매드햇")</f>
        <v>매드햇</v>
      </c>
      <c r="K5970" t="str">
        <f>T("저승의 왕위를 계승했다")</f>
        <v>저승의 왕위를 계승했다</v>
      </c>
      <c r="L5970">
        <v>100</v>
      </c>
      <c r="M5970">
        <v>71</v>
      </c>
      <c r="N5970">
        <v>1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0</v>
      </c>
      <c r="AE5970">
        <v>0</v>
      </c>
      <c r="AF5970">
        <v>0</v>
      </c>
      <c r="AG5970">
        <v>0</v>
      </c>
      <c r="AH5970">
        <v>0</v>
      </c>
      <c r="AI5970">
        <v>71</v>
      </c>
      <c r="AJ5970">
        <v>1</v>
      </c>
      <c r="AK5970">
        <v>0</v>
      </c>
      <c r="AL5970">
        <v>0</v>
      </c>
      <c r="AM5970">
        <v>71</v>
      </c>
      <c r="AN5970">
        <v>0</v>
      </c>
      <c r="AO5970">
        <v>0</v>
      </c>
      <c r="AP5970">
        <v>0</v>
      </c>
      <c r="AQ5970">
        <v>0</v>
      </c>
      <c r="AS5970">
        <v>0</v>
      </c>
      <c r="AT5970">
        <v>0</v>
      </c>
      <c r="AV5970">
        <v>0</v>
      </c>
      <c r="AW5970">
        <v>0</v>
      </c>
      <c r="AY5970">
        <v>0</v>
      </c>
      <c r="AZ5970">
        <v>0</v>
      </c>
      <c r="BA5970">
        <v>49.7</v>
      </c>
      <c r="BE5970" t="str">
        <f>T("9791137014381")</f>
        <v>9791137014381</v>
      </c>
      <c r="BF5970" t="str">
        <f>T("D227221")</f>
        <v>D227221</v>
      </c>
      <c r="BG5970" t="str">
        <f>T("판타지 웹소설 &gt; 퓨전 판타지")</f>
        <v>판타지 웹소설 &gt; 퓨전 판타지</v>
      </c>
    </row>
    <row r="5971" spans="1:59">
      <c r="A5971" t="s">
        <v>60</v>
      </c>
      <c r="B5971" s="1">
        <v>46131</v>
      </c>
      <c r="C5971">
        <v>2378044065</v>
      </c>
      <c r="D5971">
        <v>2378080889</v>
      </c>
      <c r="E5971" t="str">
        <f>T("저승의 왕위를 계승했다 785화")</f>
        <v>저승의 왕위를 계승했다 785화</v>
      </c>
      <c r="F5971">
        <v>787</v>
      </c>
      <c r="G5971" t="str">
        <f>T("신타비")</f>
        <v>신타비</v>
      </c>
      <c r="J5971" t="str">
        <f>T("매드햇")</f>
        <v>매드햇</v>
      </c>
      <c r="K5971" t="str">
        <f>T("저승의 왕위를 계승했다")</f>
        <v>저승의 왕위를 계승했다</v>
      </c>
      <c r="L5971">
        <v>100</v>
      </c>
      <c r="M5971">
        <v>71</v>
      </c>
      <c r="N5971">
        <v>1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0</v>
      </c>
      <c r="AE5971">
        <v>0</v>
      </c>
      <c r="AF5971">
        <v>0</v>
      </c>
      <c r="AG5971">
        <v>0</v>
      </c>
      <c r="AH5971">
        <v>0</v>
      </c>
      <c r="AI5971">
        <v>71</v>
      </c>
      <c r="AJ5971">
        <v>1</v>
      </c>
      <c r="AK5971">
        <v>0</v>
      </c>
      <c r="AL5971">
        <v>0</v>
      </c>
      <c r="AM5971">
        <v>71</v>
      </c>
      <c r="AN5971">
        <v>0</v>
      </c>
      <c r="AO5971">
        <v>0</v>
      </c>
      <c r="AP5971">
        <v>0</v>
      </c>
      <c r="AQ5971">
        <v>0</v>
      </c>
      <c r="AS5971">
        <v>0</v>
      </c>
      <c r="AT5971">
        <v>0</v>
      </c>
      <c r="AV5971">
        <v>0</v>
      </c>
      <c r="AW5971">
        <v>0</v>
      </c>
      <c r="AY5971">
        <v>0</v>
      </c>
      <c r="AZ5971">
        <v>0</v>
      </c>
      <c r="BA5971">
        <v>49.7</v>
      </c>
      <c r="BE5971" t="str">
        <f>T("9791137014381")</f>
        <v>9791137014381</v>
      </c>
      <c r="BF5971" t="str">
        <f>T("D227222")</f>
        <v>D227222</v>
      </c>
      <c r="BG5971" t="str">
        <f>T("판타지 웹소설 &gt; 퓨전 판타지")</f>
        <v>판타지 웹소설 &gt; 퓨전 판타지</v>
      </c>
    </row>
    <row r="5972" spans="1:59">
      <c r="A5972" t="s">
        <v>60</v>
      </c>
      <c r="B5972" s="1">
        <v>46131</v>
      </c>
      <c r="C5972">
        <v>2378044065</v>
      </c>
      <c r="D5972">
        <v>2378080890</v>
      </c>
      <c r="E5972" t="str">
        <f>T("저승의 왕위를 계승했다 786화")</f>
        <v>저승의 왕위를 계승했다 786화</v>
      </c>
      <c r="F5972">
        <v>788</v>
      </c>
      <c r="G5972" t="str">
        <f>T("신타비")</f>
        <v>신타비</v>
      </c>
      <c r="J5972" t="str">
        <f>T("매드햇")</f>
        <v>매드햇</v>
      </c>
      <c r="K5972" t="str">
        <f>T("저승의 왕위를 계승했다")</f>
        <v>저승의 왕위를 계승했다</v>
      </c>
      <c r="L5972">
        <v>100</v>
      </c>
      <c r="M5972">
        <v>71</v>
      </c>
      <c r="N5972">
        <v>1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0</v>
      </c>
      <c r="AE5972">
        <v>0</v>
      </c>
      <c r="AF5972">
        <v>0</v>
      </c>
      <c r="AG5972">
        <v>0</v>
      </c>
      <c r="AH5972">
        <v>0</v>
      </c>
      <c r="AI5972">
        <v>71</v>
      </c>
      <c r="AJ5972">
        <v>1</v>
      </c>
      <c r="AK5972">
        <v>0</v>
      </c>
      <c r="AL5972">
        <v>0</v>
      </c>
      <c r="AM5972">
        <v>71</v>
      </c>
      <c r="AN5972">
        <v>0</v>
      </c>
      <c r="AO5972">
        <v>0</v>
      </c>
      <c r="AP5972">
        <v>0</v>
      </c>
      <c r="AQ5972">
        <v>0</v>
      </c>
      <c r="AS5972">
        <v>0</v>
      </c>
      <c r="AT5972">
        <v>0</v>
      </c>
      <c r="AV5972">
        <v>0</v>
      </c>
      <c r="AW5972">
        <v>0</v>
      </c>
      <c r="AY5972">
        <v>0</v>
      </c>
      <c r="AZ5972">
        <v>0</v>
      </c>
      <c r="BA5972">
        <v>49.7</v>
      </c>
      <c r="BE5972" t="str">
        <f>T("9791137014381")</f>
        <v>9791137014381</v>
      </c>
      <c r="BF5972" t="str">
        <f>T("D227223")</f>
        <v>D227223</v>
      </c>
      <c r="BG5972" t="str">
        <f>T("판타지 웹소설 &gt; 퓨전 판타지")</f>
        <v>판타지 웹소설 &gt; 퓨전 판타지</v>
      </c>
    </row>
    <row r="5973" spans="1:59">
      <c r="A5973" t="s">
        <v>60</v>
      </c>
      <c r="B5973" s="1">
        <v>46131</v>
      </c>
      <c r="C5973">
        <v>2378044065</v>
      </c>
      <c r="D5973">
        <v>2378080891</v>
      </c>
      <c r="E5973" t="str">
        <f>T("저승의 왕위를 계승했다 787화")</f>
        <v>저승의 왕위를 계승했다 787화</v>
      </c>
      <c r="F5973">
        <v>789</v>
      </c>
      <c r="G5973" t="str">
        <f>T("신타비")</f>
        <v>신타비</v>
      </c>
      <c r="J5973" t="str">
        <f>T("매드햇")</f>
        <v>매드햇</v>
      </c>
      <c r="K5973" t="str">
        <f>T("저승의 왕위를 계승했다")</f>
        <v>저승의 왕위를 계승했다</v>
      </c>
      <c r="L5973">
        <v>100</v>
      </c>
      <c r="M5973">
        <v>71</v>
      </c>
      <c r="N5973">
        <v>1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0</v>
      </c>
      <c r="AE5973">
        <v>0</v>
      </c>
      <c r="AF5973">
        <v>0</v>
      </c>
      <c r="AG5973">
        <v>0</v>
      </c>
      <c r="AH5973">
        <v>0</v>
      </c>
      <c r="AI5973">
        <v>71</v>
      </c>
      <c r="AJ5973">
        <v>1</v>
      </c>
      <c r="AK5973">
        <v>0</v>
      </c>
      <c r="AL5973">
        <v>0</v>
      </c>
      <c r="AM5973">
        <v>71</v>
      </c>
      <c r="AN5973">
        <v>0</v>
      </c>
      <c r="AO5973">
        <v>0</v>
      </c>
      <c r="AP5973">
        <v>0</v>
      </c>
      <c r="AQ5973">
        <v>0</v>
      </c>
      <c r="AS5973">
        <v>0</v>
      </c>
      <c r="AT5973">
        <v>0</v>
      </c>
      <c r="AV5973">
        <v>0</v>
      </c>
      <c r="AW5973">
        <v>0</v>
      </c>
      <c r="AY5973">
        <v>0</v>
      </c>
      <c r="AZ5973">
        <v>0</v>
      </c>
      <c r="BA5973">
        <v>49.7</v>
      </c>
      <c r="BE5973" t="str">
        <f>T("9791137014381")</f>
        <v>9791137014381</v>
      </c>
      <c r="BF5973" t="str">
        <f>T("D227224")</f>
        <v>D227224</v>
      </c>
      <c r="BG5973" t="str">
        <f>T("판타지 웹소설 &gt; 퓨전 판타지")</f>
        <v>판타지 웹소설 &gt; 퓨전 판타지</v>
      </c>
    </row>
    <row r="5974" spans="1:59">
      <c r="A5974" t="s">
        <v>60</v>
      </c>
      <c r="B5974" s="1">
        <v>46131</v>
      </c>
      <c r="C5974">
        <v>2378044065</v>
      </c>
      <c r="D5974">
        <v>2378080892</v>
      </c>
      <c r="E5974" t="str">
        <f>T("저승의 왕위를 계승했다 788화")</f>
        <v>저승의 왕위를 계승했다 788화</v>
      </c>
      <c r="F5974">
        <v>790</v>
      </c>
      <c r="G5974" t="str">
        <f>T("신타비")</f>
        <v>신타비</v>
      </c>
      <c r="J5974" t="str">
        <f>T("매드햇")</f>
        <v>매드햇</v>
      </c>
      <c r="K5974" t="str">
        <f>T("저승의 왕위를 계승했다")</f>
        <v>저승의 왕위를 계승했다</v>
      </c>
      <c r="L5974">
        <v>100</v>
      </c>
      <c r="M5974">
        <v>71</v>
      </c>
      <c r="N5974">
        <v>1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0</v>
      </c>
      <c r="AE5974">
        <v>0</v>
      </c>
      <c r="AF5974">
        <v>0</v>
      </c>
      <c r="AG5974">
        <v>0</v>
      </c>
      <c r="AH5974">
        <v>0</v>
      </c>
      <c r="AI5974">
        <v>71</v>
      </c>
      <c r="AJ5974">
        <v>1</v>
      </c>
      <c r="AK5974">
        <v>0</v>
      </c>
      <c r="AL5974">
        <v>0</v>
      </c>
      <c r="AM5974">
        <v>71</v>
      </c>
      <c r="AN5974">
        <v>0</v>
      </c>
      <c r="AO5974">
        <v>0</v>
      </c>
      <c r="AP5974">
        <v>0</v>
      </c>
      <c r="AQ5974">
        <v>0</v>
      </c>
      <c r="AS5974">
        <v>0</v>
      </c>
      <c r="AT5974">
        <v>0</v>
      </c>
      <c r="AV5974">
        <v>0</v>
      </c>
      <c r="AW5974">
        <v>0</v>
      </c>
      <c r="AY5974">
        <v>0</v>
      </c>
      <c r="AZ5974">
        <v>0</v>
      </c>
      <c r="BA5974">
        <v>49.7</v>
      </c>
      <c r="BE5974" t="str">
        <f>T("9791137014381")</f>
        <v>9791137014381</v>
      </c>
      <c r="BF5974" t="str">
        <f>T("D227225")</f>
        <v>D227225</v>
      </c>
      <c r="BG5974" t="str">
        <f>T("판타지 웹소설 &gt; 퓨전 판타지")</f>
        <v>판타지 웹소설 &gt; 퓨전 판타지</v>
      </c>
    </row>
    <row r="5975" spans="1:59">
      <c r="A5975" t="s">
        <v>60</v>
      </c>
      <c r="B5975" s="1">
        <v>46131</v>
      </c>
      <c r="C5975">
        <v>2378044065</v>
      </c>
      <c r="D5975">
        <v>2378081023</v>
      </c>
      <c r="E5975" t="str">
        <f>T("저승의 왕위를 계승했다 789화")</f>
        <v>저승의 왕위를 계승했다 789화</v>
      </c>
      <c r="F5975">
        <v>791</v>
      </c>
      <c r="G5975" t="str">
        <f>T("신타비")</f>
        <v>신타비</v>
      </c>
      <c r="J5975" t="str">
        <f>T("매드햇")</f>
        <v>매드햇</v>
      </c>
      <c r="K5975" t="str">
        <f>T("저승의 왕위를 계승했다")</f>
        <v>저승의 왕위를 계승했다</v>
      </c>
      <c r="L5975">
        <v>100</v>
      </c>
      <c r="M5975">
        <v>71</v>
      </c>
      <c r="N5975">
        <v>1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0</v>
      </c>
      <c r="AE5975">
        <v>0</v>
      </c>
      <c r="AF5975">
        <v>0</v>
      </c>
      <c r="AG5975">
        <v>0</v>
      </c>
      <c r="AH5975">
        <v>0</v>
      </c>
      <c r="AI5975">
        <v>71</v>
      </c>
      <c r="AJ5975">
        <v>1</v>
      </c>
      <c r="AK5975">
        <v>0</v>
      </c>
      <c r="AL5975">
        <v>0</v>
      </c>
      <c r="AM5975">
        <v>71</v>
      </c>
      <c r="AN5975">
        <v>0</v>
      </c>
      <c r="AO5975">
        <v>0</v>
      </c>
      <c r="AP5975">
        <v>0</v>
      </c>
      <c r="AQ5975">
        <v>0</v>
      </c>
      <c r="AS5975">
        <v>0</v>
      </c>
      <c r="AT5975">
        <v>0</v>
      </c>
      <c r="AV5975">
        <v>0</v>
      </c>
      <c r="AW5975">
        <v>0</v>
      </c>
      <c r="AY5975">
        <v>0</v>
      </c>
      <c r="AZ5975">
        <v>0</v>
      </c>
      <c r="BA5975">
        <v>49.7</v>
      </c>
      <c r="BE5975" t="str">
        <f>T("9791137014381")</f>
        <v>9791137014381</v>
      </c>
      <c r="BF5975" t="str">
        <f>T("D227226")</f>
        <v>D227226</v>
      </c>
      <c r="BG5975" t="str">
        <f>T("판타지 웹소설 &gt; 퓨전 판타지")</f>
        <v>판타지 웹소설 &gt; 퓨전 판타지</v>
      </c>
    </row>
    <row r="5976" spans="1:59">
      <c r="A5976" t="s">
        <v>60</v>
      </c>
      <c r="B5976" s="1">
        <v>46131</v>
      </c>
      <c r="C5976">
        <v>2378044065</v>
      </c>
      <c r="D5976">
        <v>2378081024</v>
      </c>
      <c r="E5976" t="str">
        <f>T("저승의 왕위를 계승했다 790화")</f>
        <v>저승의 왕위를 계승했다 790화</v>
      </c>
      <c r="F5976">
        <v>792</v>
      </c>
      <c r="G5976" t="str">
        <f>T("신타비")</f>
        <v>신타비</v>
      </c>
      <c r="J5976" t="str">
        <f>T("매드햇")</f>
        <v>매드햇</v>
      </c>
      <c r="K5976" t="str">
        <f>T("저승의 왕위를 계승했다")</f>
        <v>저승의 왕위를 계승했다</v>
      </c>
      <c r="L5976">
        <v>100</v>
      </c>
      <c r="M5976">
        <v>71</v>
      </c>
      <c r="N5976">
        <v>1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0</v>
      </c>
      <c r="AE5976">
        <v>0</v>
      </c>
      <c r="AF5976">
        <v>0</v>
      </c>
      <c r="AG5976">
        <v>0</v>
      </c>
      <c r="AH5976">
        <v>0</v>
      </c>
      <c r="AI5976">
        <v>71</v>
      </c>
      <c r="AJ5976">
        <v>1</v>
      </c>
      <c r="AK5976">
        <v>0</v>
      </c>
      <c r="AL5976">
        <v>0</v>
      </c>
      <c r="AM5976">
        <v>71</v>
      </c>
      <c r="AN5976">
        <v>0</v>
      </c>
      <c r="AO5976">
        <v>0</v>
      </c>
      <c r="AP5976">
        <v>0</v>
      </c>
      <c r="AQ5976">
        <v>0</v>
      </c>
      <c r="AS5976">
        <v>0</v>
      </c>
      <c r="AT5976">
        <v>0</v>
      </c>
      <c r="AV5976">
        <v>0</v>
      </c>
      <c r="AW5976">
        <v>0</v>
      </c>
      <c r="AY5976">
        <v>0</v>
      </c>
      <c r="AZ5976">
        <v>0</v>
      </c>
      <c r="BA5976">
        <v>49.7</v>
      </c>
      <c r="BE5976" t="str">
        <f>T("9791137014381")</f>
        <v>9791137014381</v>
      </c>
      <c r="BF5976" t="str">
        <f>T("D227227")</f>
        <v>D227227</v>
      </c>
      <c r="BG5976" t="str">
        <f>T("판타지 웹소설 &gt; 퓨전 판타지")</f>
        <v>판타지 웹소설 &gt; 퓨전 판타지</v>
      </c>
    </row>
    <row r="5977" spans="1:59">
      <c r="A5977" t="s">
        <v>60</v>
      </c>
      <c r="B5977" s="1">
        <v>46131</v>
      </c>
      <c r="C5977">
        <v>2378044065</v>
      </c>
      <c r="D5977">
        <v>2378081025</v>
      </c>
      <c r="E5977" t="str">
        <f>T("저승의 왕위를 계승했다 791화")</f>
        <v>저승의 왕위를 계승했다 791화</v>
      </c>
      <c r="F5977">
        <v>793</v>
      </c>
      <c r="G5977" t="str">
        <f>T("신타비")</f>
        <v>신타비</v>
      </c>
      <c r="J5977" t="str">
        <f>T("매드햇")</f>
        <v>매드햇</v>
      </c>
      <c r="K5977" t="str">
        <f>T("저승의 왕위를 계승했다")</f>
        <v>저승의 왕위를 계승했다</v>
      </c>
      <c r="L5977">
        <v>100</v>
      </c>
      <c r="M5977">
        <v>72</v>
      </c>
      <c r="N5977">
        <v>1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0</v>
      </c>
      <c r="AE5977">
        <v>0</v>
      </c>
      <c r="AF5977">
        <v>0</v>
      </c>
      <c r="AG5977">
        <v>0</v>
      </c>
      <c r="AH5977">
        <v>0</v>
      </c>
      <c r="AI5977">
        <v>72</v>
      </c>
      <c r="AJ5977">
        <v>1</v>
      </c>
      <c r="AK5977">
        <v>0</v>
      </c>
      <c r="AL5977">
        <v>0</v>
      </c>
      <c r="AM5977">
        <v>72</v>
      </c>
      <c r="AN5977">
        <v>0</v>
      </c>
      <c r="AO5977">
        <v>0</v>
      </c>
      <c r="AP5977">
        <v>0</v>
      </c>
      <c r="AQ5977">
        <v>0</v>
      </c>
      <c r="AS5977">
        <v>0</v>
      </c>
      <c r="AT5977">
        <v>0</v>
      </c>
      <c r="AV5977">
        <v>0</v>
      </c>
      <c r="AW5977">
        <v>0</v>
      </c>
      <c r="AY5977">
        <v>0</v>
      </c>
      <c r="AZ5977">
        <v>0</v>
      </c>
      <c r="BA5977">
        <v>50.4</v>
      </c>
      <c r="BE5977" t="str">
        <f>T("9791137014381")</f>
        <v>9791137014381</v>
      </c>
      <c r="BF5977" t="str">
        <f>T("D227228")</f>
        <v>D227228</v>
      </c>
      <c r="BG5977" t="str">
        <f>T("판타지 웹소설 &gt; 퓨전 판타지")</f>
        <v>판타지 웹소설 &gt; 퓨전 판타지</v>
      </c>
    </row>
    <row r="5978" spans="1:59">
      <c r="A5978" t="s">
        <v>60</v>
      </c>
      <c r="B5978" s="1">
        <v>46131</v>
      </c>
      <c r="C5978">
        <v>2378044065</v>
      </c>
      <c r="D5978">
        <v>2378081026</v>
      </c>
      <c r="E5978" t="str">
        <f>T("저승의 왕위를 계승했다 792화")</f>
        <v>저승의 왕위를 계승했다 792화</v>
      </c>
      <c r="F5978">
        <v>794</v>
      </c>
      <c r="G5978" t="str">
        <f>T("신타비")</f>
        <v>신타비</v>
      </c>
      <c r="J5978" t="str">
        <f>T("매드햇")</f>
        <v>매드햇</v>
      </c>
      <c r="K5978" t="str">
        <f>T("저승의 왕위를 계승했다")</f>
        <v>저승의 왕위를 계승했다</v>
      </c>
      <c r="L5978">
        <v>100</v>
      </c>
      <c r="M5978">
        <v>72</v>
      </c>
      <c r="N5978">
        <v>1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0</v>
      </c>
      <c r="AE5978">
        <v>0</v>
      </c>
      <c r="AF5978">
        <v>0</v>
      </c>
      <c r="AG5978">
        <v>0</v>
      </c>
      <c r="AH5978">
        <v>0</v>
      </c>
      <c r="AI5978">
        <v>72</v>
      </c>
      <c r="AJ5978">
        <v>1</v>
      </c>
      <c r="AK5978">
        <v>0</v>
      </c>
      <c r="AL5978">
        <v>0</v>
      </c>
      <c r="AM5978">
        <v>72</v>
      </c>
      <c r="AN5978">
        <v>0</v>
      </c>
      <c r="AO5978">
        <v>0</v>
      </c>
      <c r="AP5978">
        <v>0</v>
      </c>
      <c r="AQ5978">
        <v>0</v>
      </c>
      <c r="AS5978">
        <v>0</v>
      </c>
      <c r="AT5978">
        <v>0</v>
      </c>
      <c r="AV5978">
        <v>0</v>
      </c>
      <c r="AW5978">
        <v>0</v>
      </c>
      <c r="AY5978">
        <v>0</v>
      </c>
      <c r="AZ5978">
        <v>0</v>
      </c>
      <c r="BA5978">
        <v>50.4</v>
      </c>
      <c r="BE5978" t="str">
        <f>T("9791137014381")</f>
        <v>9791137014381</v>
      </c>
      <c r="BF5978" t="str">
        <f>T("D227229")</f>
        <v>D227229</v>
      </c>
      <c r="BG5978" t="str">
        <f>T("판타지 웹소설 &gt; 퓨전 판타지")</f>
        <v>판타지 웹소설 &gt; 퓨전 판타지</v>
      </c>
    </row>
    <row r="5979" spans="1:59">
      <c r="A5979" t="s">
        <v>60</v>
      </c>
      <c r="B5979" s="1">
        <v>46131</v>
      </c>
      <c r="C5979">
        <v>2378044065</v>
      </c>
      <c r="D5979">
        <v>2378081035</v>
      </c>
      <c r="E5979" t="str">
        <f>T("저승의 왕위를 계승했다 793화")</f>
        <v>저승의 왕위를 계승했다 793화</v>
      </c>
      <c r="F5979">
        <v>795</v>
      </c>
      <c r="G5979" t="str">
        <f>T("신타비")</f>
        <v>신타비</v>
      </c>
      <c r="J5979" t="str">
        <f>T("매드햇")</f>
        <v>매드햇</v>
      </c>
      <c r="K5979" t="str">
        <f>T("저승의 왕위를 계승했다")</f>
        <v>저승의 왕위를 계승했다</v>
      </c>
      <c r="L5979">
        <v>100</v>
      </c>
      <c r="M5979">
        <v>72</v>
      </c>
      <c r="N5979">
        <v>1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0</v>
      </c>
      <c r="AE5979">
        <v>0</v>
      </c>
      <c r="AF5979">
        <v>0</v>
      </c>
      <c r="AG5979">
        <v>0</v>
      </c>
      <c r="AH5979">
        <v>0</v>
      </c>
      <c r="AI5979">
        <v>72</v>
      </c>
      <c r="AJ5979">
        <v>1</v>
      </c>
      <c r="AK5979">
        <v>0</v>
      </c>
      <c r="AL5979">
        <v>0</v>
      </c>
      <c r="AM5979">
        <v>72</v>
      </c>
      <c r="AN5979">
        <v>0</v>
      </c>
      <c r="AO5979">
        <v>0</v>
      </c>
      <c r="AP5979">
        <v>0</v>
      </c>
      <c r="AQ5979">
        <v>0</v>
      </c>
      <c r="AS5979">
        <v>0</v>
      </c>
      <c r="AT5979">
        <v>0</v>
      </c>
      <c r="AV5979">
        <v>0</v>
      </c>
      <c r="AW5979">
        <v>0</v>
      </c>
      <c r="AY5979">
        <v>0</v>
      </c>
      <c r="AZ5979">
        <v>0</v>
      </c>
      <c r="BA5979">
        <v>50.4</v>
      </c>
      <c r="BE5979" t="str">
        <f>T("9791137014381")</f>
        <v>9791137014381</v>
      </c>
      <c r="BF5979" t="str">
        <f>T("D227230")</f>
        <v>D227230</v>
      </c>
      <c r="BG5979" t="str">
        <f>T("판타지 웹소설 &gt; 퓨전 판타지")</f>
        <v>판타지 웹소설 &gt; 퓨전 판타지</v>
      </c>
    </row>
    <row r="5980" spans="1:59">
      <c r="A5980" t="s">
        <v>60</v>
      </c>
      <c r="B5980" s="1">
        <v>46131</v>
      </c>
      <c r="C5980">
        <v>2378044065</v>
      </c>
      <c r="D5980">
        <v>2378081036</v>
      </c>
      <c r="E5980" t="str">
        <f>T("저승의 왕위를 계승했다 794화")</f>
        <v>저승의 왕위를 계승했다 794화</v>
      </c>
      <c r="F5980">
        <v>796</v>
      </c>
      <c r="G5980" t="str">
        <f>T("신타비")</f>
        <v>신타비</v>
      </c>
      <c r="J5980" t="str">
        <f>T("매드햇")</f>
        <v>매드햇</v>
      </c>
      <c r="K5980" t="str">
        <f>T("저승의 왕위를 계승했다")</f>
        <v>저승의 왕위를 계승했다</v>
      </c>
      <c r="L5980">
        <v>100</v>
      </c>
      <c r="M5980">
        <v>72</v>
      </c>
      <c r="N5980">
        <v>1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0</v>
      </c>
      <c r="AE5980">
        <v>0</v>
      </c>
      <c r="AF5980">
        <v>0</v>
      </c>
      <c r="AG5980">
        <v>0</v>
      </c>
      <c r="AH5980">
        <v>0</v>
      </c>
      <c r="AI5980">
        <v>72</v>
      </c>
      <c r="AJ5980">
        <v>1</v>
      </c>
      <c r="AK5980">
        <v>0</v>
      </c>
      <c r="AL5980">
        <v>0</v>
      </c>
      <c r="AM5980">
        <v>72</v>
      </c>
      <c r="AN5980">
        <v>0</v>
      </c>
      <c r="AO5980">
        <v>0</v>
      </c>
      <c r="AP5980">
        <v>0</v>
      </c>
      <c r="AQ5980">
        <v>0</v>
      </c>
      <c r="AS5980">
        <v>0</v>
      </c>
      <c r="AT5980">
        <v>0</v>
      </c>
      <c r="AV5980">
        <v>0</v>
      </c>
      <c r="AW5980">
        <v>0</v>
      </c>
      <c r="AY5980">
        <v>0</v>
      </c>
      <c r="AZ5980">
        <v>0</v>
      </c>
      <c r="BA5980">
        <v>50.4</v>
      </c>
      <c r="BE5980" t="str">
        <f>T("9791137014381")</f>
        <v>9791137014381</v>
      </c>
      <c r="BF5980" t="str">
        <f>T("D227231")</f>
        <v>D227231</v>
      </c>
      <c r="BG5980" t="str">
        <f>T("판타지 웹소설 &gt; 퓨전 판타지")</f>
        <v>판타지 웹소설 &gt; 퓨전 판타지</v>
      </c>
    </row>
    <row r="5981" spans="1:59">
      <c r="A5981" t="s">
        <v>60</v>
      </c>
      <c r="B5981" s="1">
        <v>46131</v>
      </c>
      <c r="C5981">
        <v>2378044065</v>
      </c>
      <c r="D5981">
        <v>2378081037</v>
      </c>
      <c r="E5981" t="str">
        <f>T("저승의 왕위를 계승했다 795화")</f>
        <v>저승의 왕위를 계승했다 795화</v>
      </c>
      <c r="F5981">
        <v>797</v>
      </c>
      <c r="G5981" t="str">
        <f>T("신타비")</f>
        <v>신타비</v>
      </c>
      <c r="J5981" t="str">
        <f>T("매드햇")</f>
        <v>매드햇</v>
      </c>
      <c r="K5981" t="str">
        <f>T("저승의 왕위를 계승했다")</f>
        <v>저승의 왕위를 계승했다</v>
      </c>
      <c r="L5981">
        <v>100</v>
      </c>
      <c r="M5981">
        <v>72</v>
      </c>
      <c r="N5981">
        <v>1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0</v>
      </c>
      <c r="AE5981">
        <v>0</v>
      </c>
      <c r="AF5981">
        <v>0</v>
      </c>
      <c r="AG5981">
        <v>0</v>
      </c>
      <c r="AH5981">
        <v>0</v>
      </c>
      <c r="AI5981">
        <v>72</v>
      </c>
      <c r="AJ5981">
        <v>1</v>
      </c>
      <c r="AK5981">
        <v>0</v>
      </c>
      <c r="AL5981">
        <v>0</v>
      </c>
      <c r="AM5981">
        <v>72</v>
      </c>
      <c r="AN5981">
        <v>0</v>
      </c>
      <c r="AO5981">
        <v>0</v>
      </c>
      <c r="AP5981">
        <v>0</v>
      </c>
      <c r="AQ5981">
        <v>0</v>
      </c>
      <c r="AS5981">
        <v>0</v>
      </c>
      <c r="AT5981">
        <v>0</v>
      </c>
      <c r="AV5981">
        <v>0</v>
      </c>
      <c r="AW5981">
        <v>0</v>
      </c>
      <c r="AY5981">
        <v>0</v>
      </c>
      <c r="AZ5981">
        <v>0</v>
      </c>
      <c r="BA5981">
        <v>50.4</v>
      </c>
      <c r="BE5981" t="str">
        <f>T("9791137014381")</f>
        <v>9791137014381</v>
      </c>
      <c r="BF5981" t="str">
        <f>T("D227232")</f>
        <v>D227232</v>
      </c>
      <c r="BG5981" t="str">
        <f>T("판타지 웹소설 &gt; 퓨전 판타지")</f>
        <v>판타지 웹소설 &gt; 퓨전 판타지</v>
      </c>
    </row>
    <row r="5982" spans="1:59">
      <c r="A5982" t="s">
        <v>60</v>
      </c>
      <c r="B5982" s="1">
        <v>46131</v>
      </c>
      <c r="C5982">
        <v>2378044065</v>
      </c>
      <c r="D5982">
        <v>2378081038</v>
      </c>
      <c r="E5982" t="str">
        <f>T("저승의 왕위를 계승했다 796화")</f>
        <v>저승의 왕위를 계승했다 796화</v>
      </c>
      <c r="F5982">
        <v>798</v>
      </c>
      <c r="G5982" t="str">
        <f>T("신타비")</f>
        <v>신타비</v>
      </c>
      <c r="J5982" t="str">
        <f>T("매드햇")</f>
        <v>매드햇</v>
      </c>
      <c r="K5982" t="str">
        <f>T("저승의 왕위를 계승했다")</f>
        <v>저승의 왕위를 계승했다</v>
      </c>
      <c r="L5982">
        <v>100</v>
      </c>
      <c r="M5982">
        <v>72</v>
      </c>
      <c r="N5982">
        <v>1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0</v>
      </c>
      <c r="AE5982">
        <v>0</v>
      </c>
      <c r="AF5982">
        <v>0</v>
      </c>
      <c r="AG5982">
        <v>0</v>
      </c>
      <c r="AH5982">
        <v>0</v>
      </c>
      <c r="AI5982">
        <v>72</v>
      </c>
      <c r="AJ5982">
        <v>1</v>
      </c>
      <c r="AK5982">
        <v>0</v>
      </c>
      <c r="AL5982">
        <v>0</v>
      </c>
      <c r="AM5982">
        <v>72</v>
      </c>
      <c r="AN5982">
        <v>0</v>
      </c>
      <c r="AO5982">
        <v>0</v>
      </c>
      <c r="AP5982">
        <v>0</v>
      </c>
      <c r="AQ5982">
        <v>0</v>
      </c>
      <c r="AS5982">
        <v>0</v>
      </c>
      <c r="AT5982">
        <v>0</v>
      </c>
      <c r="AV5982">
        <v>0</v>
      </c>
      <c r="AW5982">
        <v>0</v>
      </c>
      <c r="AY5982">
        <v>0</v>
      </c>
      <c r="AZ5982">
        <v>0</v>
      </c>
      <c r="BA5982">
        <v>50.4</v>
      </c>
      <c r="BE5982" t="str">
        <f>T("9791137014381")</f>
        <v>9791137014381</v>
      </c>
      <c r="BF5982" t="str">
        <f>T("D227233")</f>
        <v>D227233</v>
      </c>
      <c r="BG5982" t="str">
        <f>T("판타지 웹소설 &gt; 퓨전 판타지")</f>
        <v>판타지 웹소설 &gt; 퓨전 판타지</v>
      </c>
    </row>
    <row r="5983" spans="1:59">
      <c r="A5983" t="s">
        <v>60</v>
      </c>
      <c r="B5983" s="1">
        <v>46131</v>
      </c>
      <c r="C5983">
        <v>2378044065</v>
      </c>
      <c r="D5983">
        <v>2378081077</v>
      </c>
      <c r="E5983" t="str">
        <f>T("저승의 왕위를 계승했다 797화")</f>
        <v>저승의 왕위를 계승했다 797화</v>
      </c>
      <c r="F5983">
        <v>799</v>
      </c>
      <c r="G5983" t="str">
        <f>T("신타비")</f>
        <v>신타비</v>
      </c>
      <c r="J5983" t="str">
        <f>T("매드햇")</f>
        <v>매드햇</v>
      </c>
      <c r="K5983" t="str">
        <f>T("저승의 왕위를 계승했다")</f>
        <v>저승의 왕위를 계승했다</v>
      </c>
      <c r="L5983">
        <v>100</v>
      </c>
      <c r="M5983">
        <v>72</v>
      </c>
      <c r="N5983">
        <v>1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0</v>
      </c>
      <c r="AE5983">
        <v>0</v>
      </c>
      <c r="AF5983">
        <v>0</v>
      </c>
      <c r="AG5983">
        <v>0</v>
      </c>
      <c r="AH5983">
        <v>0</v>
      </c>
      <c r="AI5983">
        <v>72</v>
      </c>
      <c r="AJ5983">
        <v>1</v>
      </c>
      <c r="AK5983">
        <v>0</v>
      </c>
      <c r="AL5983">
        <v>0</v>
      </c>
      <c r="AM5983">
        <v>72</v>
      </c>
      <c r="AN5983">
        <v>0</v>
      </c>
      <c r="AO5983">
        <v>0</v>
      </c>
      <c r="AP5983">
        <v>0</v>
      </c>
      <c r="AQ5983">
        <v>0</v>
      </c>
      <c r="AS5983">
        <v>0</v>
      </c>
      <c r="AT5983">
        <v>0</v>
      </c>
      <c r="AV5983">
        <v>0</v>
      </c>
      <c r="AW5983">
        <v>0</v>
      </c>
      <c r="AY5983">
        <v>0</v>
      </c>
      <c r="AZ5983">
        <v>0</v>
      </c>
      <c r="BA5983">
        <v>50.4</v>
      </c>
      <c r="BE5983" t="str">
        <f>T("9791137014381")</f>
        <v>9791137014381</v>
      </c>
      <c r="BF5983" t="str">
        <f>T("D227234")</f>
        <v>D227234</v>
      </c>
      <c r="BG5983" t="str">
        <f>T("판타지 웹소설 &gt; 퓨전 판타지")</f>
        <v>판타지 웹소설 &gt; 퓨전 판타지</v>
      </c>
    </row>
    <row r="5984" spans="1:59">
      <c r="A5984" t="s">
        <v>60</v>
      </c>
      <c r="B5984" s="1">
        <v>46131</v>
      </c>
      <c r="C5984">
        <v>2378044065</v>
      </c>
      <c r="D5984">
        <v>2378081078</v>
      </c>
      <c r="E5984" t="str">
        <f>T("저승의 왕위를 계승했다 798화")</f>
        <v>저승의 왕위를 계승했다 798화</v>
      </c>
      <c r="F5984">
        <v>800</v>
      </c>
      <c r="G5984" t="str">
        <f>T("신타비")</f>
        <v>신타비</v>
      </c>
      <c r="J5984" t="str">
        <f>T("매드햇")</f>
        <v>매드햇</v>
      </c>
      <c r="K5984" t="str">
        <f>T("저승의 왕위를 계승했다")</f>
        <v>저승의 왕위를 계승했다</v>
      </c>
      <c r="L5984">
        <v>100</v>
      </c>
      <c r="M5984">
        <v>72</v>
      </c>
      <c r="N5984">
        <v>1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0</v>
      </c>
      <c r="AE5984">
        <v>0</v>
      </c>
      <c r="AF5984">
        <v>0</v>
      </c>
      <c r="AG5984">
        <v>0</v>
      </c>
      <c r="AH5984">
        <v>0</v>
      </c>
      <c r="AI5984">
        <v>72</v>
      </c>
      <c r="AJ5984">
        <v>1</v>
      </c>
      <c r="AK5984">
        <v>0</v>
      </c>
      <c r="AL5984">
        <v>0</v>
      </c>
      <c r="AM5984">
        <v>72</v>
      </c>
      <c r="AN5984">
        <v>0</v>
      </c>
      <c r="AO5984">
        <v>0</v>
      </c>
      <c r="AP5984">
        <v>0</v>
      </c>
      <c r="AQ5984">
        <v>0</v>
      </c>
      <c r="AS5984">
        <v>0</v>
      </c>
      <c r="AT5984">
        <v>0</v>
      </c>
      <c r="AV5984">
        <v>0</v>
      </c>
      <c r="AW5984">
        <v>0</v>
      </c>
      <c r="AY5984">
        <v>0</v>
      </c>
      <c r="AZ5984">
        <v>0</v>
      </c>
      <c r="BA5984">
        <v>50.4</v>
      </c>
      <c r="BE5984" t="str">
        <f>T("9791137014381")</f>
        <v>9791137014381</v>
      </c>
      <c r="BF5984" t="str">
        <f>T("D227235")</f>
        <v>D227235</v>
      </c>
      <c r="BG5984" t="str">
        <f>T("판타지 웹소설 &gt; 퓨전 판타지")</f>
        <v>판타지 웹소설 &gt; 퓨전 판타지</v>
      </c>
    </row>
    <row r="5985" spans="1:59">
      <c r="A5985" t="s">
        <v>60</v>
      </c>
      <c r="B5985" s="1">
        <v>46131</v>
      </c>
      <c r="C5985">
        <v>2378044065</v>
      </c>
      <c r="D5985">
        <v>2378081079</v>
      </c>
      <c r="E5985" t="str">
        <f>T("저승의 왕위를 계승했다 799화")</f>
        <v>저승의 왕위를 계승했다 799화</v>
      </c>
      <c r="F5985">
        <v>801</v>
      </c>
      <c r="G5985" t="str">
        <f>T("신타비")</f>
        <v>신타비</v>
      </c>
      <c r="J5985" t="str">
        <f>T("매드햇")</f>
        <v>매드햇</v>
      </c>
      <c r="K5985" t="str">
        <f>T("저승의 왕위를 계승했다")</f>
        <v>저승의 왕위를 계승했다</v>
      </c>
      <c r="L5985">
        <v>100</v>
      </c>
      <c r="M5985">
        <v>72</v>
      </c>
      <c r="N5985">
        <v>1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0</v>
      </c>
      <c r="AE5985">
        <v>0</v>
      </c>
      <c r="AF5985">
        <v>0</v>
      </c>
      <c r="AG5985">
        <v>0</v>
      </c>
      <c r="AH5985">
        <v>0</v>
      </c>
      <c r="AI5985">
        <v>72</v>
      </c>
      <c r="AJ5985">
        <v>1</v>
      </c>
      <c r="AK5985">
        <v>0</v>
      </c>
      <c r="AL5985">
        <v>0</v>
      </c>
      <c r="AM5985">
        <v>72</v>
      </c>
      <c r="AN5985">
        <v>0</v>
      </c>
      <c r="AO5985">
        <v>0</v>
      </c>
      <c r="AP5985">
        <v>0</v>
      </c>
      <c r="AQ5985">
        <v>0</v>
      </c>
      <c r="AS5985">
        <v>0</v>
      </c>
      <c r="AT5985">
        <v>0</v>
      </c>
      <c r="AV5985">
        <v>0</v>
      </c>
      <c r="AW5985">
        <v>0</v>
      </c>
      <c r="AY5985">
        <v>0</v>
      </c>
      <c r="AZ5985">
        <v>0</v>
      </c>
      <c r="BA5985">
        <v>50.4</v>
      </c>
      <c r="BE5985" t="str">
        <f>T("9791137014381")</f>
        <v>9791137014381</v>
      </c>
      <c r="BF5985" t="str">
        <f>T("D227236")</f>
        <v>D227236</v>
      </c>
      <c r="BG5985" t="str">
        <f>T("판타지 웹소설 &gt; 퓨전 판타지")</f>
        <v>판타지 웹소설 &gt; 퓨전 판타지</v>
      </c>
    </row>
    <row r="5986" spans="1:59">
      <c r="A5986" t="s">
        <v>60</v>
      </c>
      <c r="B5986" s="1">
        <v>46131</v>
      </c>
      <c r="C5986">
        <v>2378044065</v>
      </c>
      <c r="D5986">
        <v>2378081080</v>
      </c>
      <c r="E5986" t="str">
        <f>T("저승의 왕위를 계승했다 800화")</f>
        <v>저승의 왕위를 계승했다 800화</v>
      </c>
      <c r="F5986">
        <v>802</v>
      </c>
      <c r="G5986" t="str">
        <f>T("신타비")</f>
        <v>신타비</v>
      </c>
      <c r="J5986" t="str">
        <f>T("매드햇")</f>
        <v>매드햇</v>
      </c>
      <c r="K5986" t="str">
        <f>T("저승의 왕위를 계승했다")</f>
        <v>저승의 왕위를 계승했다</v>
      </c>
      <c r="L5986">
        <v>100</v>
      </c>
      <c r="M5986">
        <v>72</v>
      </c>
      <c r="N5986">
        <v>1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0</v>
      </c>
      <c r="AE5986">
        <v>0</v>
      </c>
      <c r="AF5986">
        <v>0</v>
      </c>
      <c r="AG5986">
        <v>0</v>
      </c>
      <c r="AH5986">
        <v>0</v>
      </c>
      <c r="AI5986">
        <v>72</v>
      </c>
      <c r="AJ5986">
        <v>1</v>
      </c>
      <c r="AK5986">
        <v>0</v>
      </c>
      <c r="AL5986">
        <v>0</v>
      </c>
      <c r="AM5986">
        <v>72</v>
      </c>
      <c r="AN5986">
        <v>0</v>
      </c>
      <c r="AO5986">
        <v>0</v>
      </c>
      <c r="AP5986">
        <v>0</v>
      </c>
      <c r="AQ5986">
        <v>0</v>
      </c>
      <c r="AS5986">
        <v>0</v>
      </c>
      <c r="AT5986">
        <v>0</v>
      </c>
      <c r="AV5986">
        <v>0</v>
      </c>
      <c r="AW5986">
        <v>0</v>
      </c>
      <c r="AY5986">
        <v>0</v>
      </c>
      <c r="AZ5986">
        <v>0</v>
      </c>
      <c r="BA5986">
        <v>50.4</v>
      </c>
      <c r="BE5986" t="str">
        <f>T("9791137014381")</f>
        <v>9791137014381</v>
      </c>
      <c r="BF5986" t="str">
        <f>T("D227237")</f>
        <v>D227237</v>
      </c>
      <c r="BG5986" t="str">
        <f>T("판타지 웹소설 &gt; 퓨전 판타지")</f>
        <v>판타지 웹소설 &gt; 퓨전 판타지</v>
      </c>
    </row>
    <row r="5987" spans="1:59">
      <c r="A5987" t="s">
        <v>60</v>
      </c>
      <c r="B5987" s="1">
        <v>46131</v>
      </c>
      <c r="C5987">
        <v>2378044065</v>
      </c>
      <c r="D5987">
        <v>2378081102</v>
      </c>
      <c r="E5987" t="str">
        <f>T("저승의 왕위를 계승했다 801화")</f>
        <v>저승의 왕위를 계승했다 801화</v>
      </c>
      <c r="F5987">
        <v>803</v>
      </c>
      <c r="G5987" t="str">
        <f>T("신타비")</f>
        <v>신타비</v>
      </c>
      <c r="J5987" t="str">
        <f>T("매드햇")</f>
        <v>매드햇</v>
      </c>
      <c r="K5987" t="str">
        <f>T("저승의 왕위를 계승했다")</f>
        <v>저승의 왕위를 계승했다</v>
      </c>
      <c r="L5987">
        <v>100</v>
      </c>
      <c r="M5987">
        <v>72</v>
      </c>
      <c r="N5987">
        <v>1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0</v>
      </c>
      <c r="AE5987">
        <v>0</v>
      </c>
      <c r="AF5987">
        <v>0</v>
      </c>
      <c r="AG5987">
        <v>0</v>
      </c>
      <c r="AH5987">
        <v>0</v>
      </c>
      <c r="AI5987">
        <v>72</v>
      </c>
      <c r="AJ5987">
        <v>1</v>
      </c>
      <c r="AK5987">
        <v>0</v>
      </c>
      <c r="AL5987">
        <v>0</v>
      </c>
      <c r="AM5987">
        <v>72</v>
      </c>
      <c r="AN5987">
        <v>0</v>
      </c>
      <c r="AO5987">
        <v>0</v>
      </c>
      <c r="AP5987">
        <v>0</v>
      </c>
      <c r="AQ5987">
        <v>0</v>
      </c>
      <c r="AS5987">
        <v>0</v>
      </c>
      <c r="AT5987">
        <v>0</v>
      </c>
      <c r="AV5987">
        <v>0</v>
      </c>
      <c r="AW5987">
        <v>0</v>
      </c>
      <c r="AY5987">
        <v>0</v>
      </c>
      <c r="AZ5987">
        <v>0</v>
      </c>
      <c r="BA5987">
        <v>50.4</v>
      </c>
      <c r="BE5987" t="str">
        <f>T("9791137014381")</f>
        <v>9791137014381</v>
      </c>
      <c r="BF5987" t="str">
        <f>T("D227238")</f>
        <v>D227238</v>
      </c>
      <c r="BG5987" t="str">
        <f>T("판타지 웹소설 &gt; 퓨전 판타지")</f>
        <v>판타지 웹소설 &gt; 퓨전 판타지</v>
      </c>
    </row>
    <row r="5988" spans="1:59">
      <c r="A5988" t="s">
        <v>60</v>
      </c>
      <c r="B5988" s="1">
        <v>46131</v>
      </c>
      <c r="C5988">
        <v>2378044065</v>
      </c>
      <c r="D5988">
        <v>2378070132</v>
      </c>
      <c r="E5988" t="str">
        <f>T("저승의 왕위를 계승했다 516화")</f>
        <v>저승의 왕위를 계승했다 516화</v>
      </c>
      <c r="F5988">
        <v>517</v>
      </c>
      <c r="G5988" t="str">
        <f>T("신타비")</f>
        <v>신타비</v>
      </c>
      <c r="J5988" t="str">
        <f>T("매드햇")</f>
        <v>매드햇</v>
      </c>
      <c r="K5988" t="str">
        <f>T("저승의 왕위를 계승했다")</f>
        <v>저승의 왕위를 계승했다</v>
      </c>
      <c r="L5988">
        <v>100</v>
      </c>
      <c r="M5988">
        <v>100</v>
      </c>
      <c r="N5988">
        <v>1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0</v>
      </c>
      <c r="AE5988">
        <v>0</v>
      </c>
      <c r="AF5988">
        <v>0</v>
      </c>
      <c r="AG5988">
        <v>0</v>
      </c>
      <c r="AH5988">
        <v>0</v>
      </c>
      <c r="AI5988">
        <v>100</v>
      </c>
      <c r="AJ5988">
        <v>1</v>
      </c>
      <c r="AK5988">
        <v>0</v>
      </c>
      <c r="AL5988">
        <v>0</v>
      </c>
      <c r="AM5988">
        <v>100</v>
      </c>
      <c r="AN5988">
        <v>0</v>
      </c>
      <c r="AO5988">
        <v>0</v>
      </c>
      <c r="AP5988">
        <v>0</v>
      </c>
      <c r="AQ5988">
        <v>0</v>
      </c>
      <c r="AS5988">
        <v>0</v>
      </c>
      <c r="AT5988">
        <v>0</v>
      </c>
      <c r="AV5988">
        <v>0</v>
      </c>
      <c r="AW5988">
        <v>0</v>
      </c>
      <c r="AY5988">
        <v>0</v>
      </c>
      <c r="AZ5988">
        <v>0</v>
      </c>
      <c r="BA5988">
        <v>70</v>
      </c>
      <c r="BE5988" t="str">
        <f>T("9791137014381")</f>
        <v>9791137014381</v>
      </c>
      <c r="BF5988" t="str">
        <f>T("k418907")</f>
        <v>k418907</v>
      </c>
      <c r="BG5988" t="str">
        <f>T("판타지 웹소설 &gt; 퓨전 판타지")</f>
        <v>판타지 웹소설 &gt; 퓨전 판타지</v>
      </c>
    </row>
    <row r="5989" spans="1:59">
      <c r="A5989" t="s">
        <v>60</v>
      </c>
      <c r="B5989" s="1">
        <v>46131</v>
      </c>
      <c r="C5989">
        <v>2378044065</v>
      </c>
      <c r="D5989">
        <v>2378051683</v>
      </c>
      <c r="E5989" t="str">
        <f>T("저승의 왕위를 계승했다 186화")</f>
        <v>저승의 왕위를 계승했다 186화</v>
      </c>
      <c r="F5989">
        <v>186</v>
      </c>
      <c r="G5989" t="str">
        <f>T("신타비")</f>
        <v>신타비</v>
      </c>
      <c r="J5989" t="str">
        <f>T("매드햇")</f>
        <v>매드햇</v>
      </c>
      <c r="K5989" t="str">
        <f>T("저승의 왕위를 계승했다")</f>
        <v>저승의 왕위를 계승했다</v>
      </c>
      <c r="L5989">
        <v>100</v>
      </c>
      <c r="M5989">
        <v>100</v>
      </c>
      <c r="N5989">
        <v>1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0</v>
      </c>
      <c r="AE5989">
        <v>0</v>
      </c>
      <c r="AF5989">
        <v>0</v>
      </c>
      <c r="AG5989">
        <v>0</v>
      </c>
      <c r="AH5989">
        <v>0</v>
      </c>
      <c r="AI5989">
        <v>100</v>
      </c>
      <c r="AJ5989">
        <v>1</v>
      </c>
      <c r="AK5989">
        <v>0</v>
      </c>
      <c r="AL5989">
        <v>0</v>
      </c>
      <c r="AM5989">
        <v>100</v>
      </c>
      <c r="AN5989">
        <v>0</v>
      </c>
      <c r="AO5989">
        <v>0</v>
      </c>
      <c r="AP5989">
        <v>0</v>
      </c>
      <c r="AQ5989">
        <v>0</v>
      </c>
      <c r="AS5989">
        <v>0</v>
      </c>
      <c r="AT5989">
        <v>0</v>
      </c>
      <c r="AV5989">
        <v>0</v>
      </c>
      <c r="AW5989">
        <v>0</v>
      </c>
      <c r="AY5989">
        <v>0</v>
      </c>
      <c r="AZ5989">
        <v>0</v>
      </c>
      <c r="BA5989">
        <v>70</v>
      </c>
      <c r="BE5989" t="str">
        <f>T("9791137014381")</f>
        <v>9791137014381</v>
      </c>
      <c r="BF5989" t="str">
        <f>T("k075198")</f>
        <v>k075198</v>
      </c>
      <c r="BG5989" t="str">
        <f>T("판타지 웹소설 &gt; 퓨전 판타지")</f>
        <v>판타지 웹소설 &gt; 퓨전 판타지</v>
      </c>
    </row>
    <row r="5990" spans="1:59">
      <c r="A5990" t="s">
        <v>60</v>
      </c>
      <c r="B5990" s="1">
        <v>46131</v>
      </c>
      <c r="C5990">
        <v>2378044065</v>
      </c>
      <c r="D5990">
        <v>2378051705</v>
      </c>
      <c r="E5990" t="str">
        <f>T("저승의 왕위를 계승했다 187화")</f>
        <v>저승의 왕위를 계승했다 187화</v>
      </c>
      <c r="F5990">
        <v>187</v>
      </c>
      <c r="G5990" t="str">
        <f>T("신타비")</f>
        <v>신타비</v>
      </c>
      <c r="J5990" t="str">
        <f>T("매드햇")</f>
        <v>매드햇</v>
      </c>
      <c r="K5990" t="str">
        <f>T("저승의 왕위를 계승했다")</f>
        <v>저승의 왕위를 계승했다</v>
      </c>
      <c r="L5990">
        <v>100</v>
      </c>
      <c r="M5990">
        <v>100</v>
      </c>
      <c r="N5990">
        <v>1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0</v>
      </c>
      <c r="AE5990">
        <v>0</v>
      </c>
      <c r="AF5990">
        <v>0</v>
      </c>
      <c r="AG5990">
        <v>0</v>
      </c>
      <c r="AH5990">
        <v>0</v>
      </c>
      <c r="AI5990">
        <v>100</v>
      </c>
      <c r="AJ5990">
        <v>1</v>
      </c>
      <c r="AK5990">
        <v>0</v>
      </c>
      <c r="AL5990">
        <v>0</v>
      </c>
      <c r="AM5990">
        <v>100</v>
      </c>
      <c r="AN5990">
        <v>0</v>
      </c>
      <c r="AO5990">
        <v>0</v>
      </c>
      <c r="AP5990">
        <v>0</v>
      </c>
      <c r="AQ5990">
        <v>0</v>
      </c>
      <c r="AS5990">
        <v>0</v>
      </c>
      <c r="AT5990">
        <v>0</v>
      </c>
      <c r="AV5990">
        <v>0</v>
      </c>
      <c r="AW5990">
        <v>0</v>
      </c>
      <c r="AY5990">
        <v>0</v>
      </c>
      <c r="AZ5990">
        <v>0</v>
      </c>
      <c r="BA5990">
        <v>70</v>
      </c>
      <c r="BE5990" t="str">
        <f>T("9791137014381")</f>
        <v>9791137014381</v>
      </c>
      <c r="BF5990" t="str">
        <f>T("k075199")</f>
        <v>k075199</v>
      </c>
      <c r="BG5990" t="str">
        <f>T("판타지 웹소설 &gt; 퓨전 판타지")</f>
        <v>판타지 웹소설 &gt; 퓨전 판타지</v>
      </c>
    </row>
    <row r="5991" spans="1:59">
      <c r="A5991" t="s">
        <v>60</v>
      </c>
      <c r="B5991" s="1">
        <v>46131</v>
      </c>
      <c r="C5991">
        <v>2378044065</v>
      </c>
      <c r="D5991">
        <v>2378044174</v>
      </c>
      <c r="E5991" t="str">
        <f>T("저승의 왕위를 계승했다 101화")</f>
        <v>저승의 왕위를 계승했다 101화</v>
      </c>
      <c r="F5991">
        <v>101</v>
      </c>
      <c r="G5991" t="str">
        <f>T("신타비")</f>
        <v>신타비</v>
      </c>
      <c r="J5991" t="str">
        <f>T("매드햇")</f>
        <v>매드햇</v>
      </c>
      <c r="K5991" t="str">
        <f>T("저승의 왕위를 계승했다")</f>
        <v>저승의 왕위를 계승했다</v>
      </c>
      <c r="L5991">
        <v>100</v>
      </c>
      <c r="M5991">
        <v>100</v>
      </c>
      <c r="N5991">
        <v>1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0</v>
      </c>
      <c r="AE5991">
        <v>0</v>
      </c>
      <c r="AF5991">
        <v>0</v>
      </c>
      <c r="AG5991">
        <v>0</v>
      </c>
      <c r="AH5991">
        <v>0</v>
      </c>
      <c r="AI5991">
        <v>100</v>
      </c>
      <c r="AJ5991">
        <v>1</v>
      </c>
      <c r="AK5991">
        <v>0</v>
      </c>
      <c r="AL5991">
        <v>0</v>
      </c>
      <c r="AM5991">
        <v>100</v>
      </c>
      <c r="AN5991">
        <v>0</v>
      </c>
      <c r="AO5991">
        <v>0</v>
      </c>
      <c r="AP5991">
        <v>0</v>
      </c>
      <c r="AQ5991">
        <v>0</v>
      </c>
      <c r="AS5991">
        <v>0</v>
      </c>
      <c r="AT5991">
        <v>0</v>
      </c>
      <c r="AV5991">
        <v>0</v>
      </c>
      <c r="AW5991">
        <v>0</v>
      </c>
      <c r="AY5991">
        <v>0</v>
      </c>
      <c r="AZ5991">
        <v>0</v>
      </c>
      <c r="BA5991">
        <v>70</v>
      </c>
      <c r="BE5991" t="str">
        <f>T("9791137014381")</f>
        <v>9791137014381</v>
      </c>
      <c r="BF5991" t="str">
        <f>T("N218849")</f>
        <v>N218849</v>
      </c>
      <c r="BG5991" t="str">
        <f>T("판타지 웹소설 &gt; 퓨전 판타지")</f>
        <v>판타지 웹소설 &gt; 퓨전 판타지</v>
      </c>
    </row>
    <row r="5992" spans="1:59">
      <c r="A5992" t="s">
        <v>60</v>
      </c>
      <c r="B5992" s="1">
        <v>46131</v>
      </c>
      <c r="C5992">
        <v>2378044065</v>
      </c>
      <c r="D5992">
        <v>2378044091</v>
      </c>
      <c r="E5992" t="str">
        <f>T("저승의 왕위를 계승했다 27화")</f>
        <v>저승의 왕위를 계승했다 27화</v>
      </c>
      <c r="F5992">
        <v>27</v>
      </c>
      <c r="G5992" t="str">
        <f>T("신타비")</f>
        <v>신타비</v>
      </c>
      <c r="J5992" t="str">
        <f>T("매드햇")</f>
        <v>매드햇</v>
      </c>
      <c r="K5992" t="str">
        <f>T("저승의 왕위를 계승했다")</f>
        <v>저승의 왕위를 계승했다</v>
      </c>
      <c r="L5992">
        <v>100</v>
      </c>
      <c r="M5992">
        <v>100</v>
      </c>
      <c r="N5992">
        <v>1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0</v>
      </c>
      <c r="AE5992">
        <v>0</v>
      </c>
      <c r="AF5992">
        <v>0</v>
      </c>
      <c r="AG5992">
        <v>0</v>
      </c>
      <c r="AH5992">
        <v>0</v>
      </c>
      <c r="AI5992">
        <v>100</v>
      </c>
      <c r="AJ5992">
        <v>1</v>
      </c>
      <c r="AK5992">
        <v>0</v>
      </c>
      <c r="AL5992">
        <v>0</v>
      </c>
      <c r="AM5992">
        <v>100</v>
      </c>
      <c r="AN5992">
        <v>0</v>
      </c>
      <c r="AO5992">
        <v>0</v>
      </c>
      <c r="AP5992">
        <v>0</v>
      </c>
      <c r="AQ5992">
        <v>0</v>
      </c>
      <c r="AS5992">
        <v>0</v>
      </c>
      <c r="AT5992">
        <v>0</v>
      </c>
      <c r="AV5992">
        <v>0</v>
      </c>
      <c r="AW5992">
        <v>0</v>
      </c>
      <c r="AY5992">
        <v>0</v>
      </c>
      <c r="AZ5992">
        <v>0</v>
      </c>
      <c r="BA5992">
        <v>70</v>
      </c>
      <c r="BE5992" t="str">
        <f>T("9791137014381")</f>
        <v>9791137014381</v>
      </c>
      <c r="BF5992" t="str">
        <f>T("N218775")</f>
        <v>N218775</v>
      </c>
      <c r="BG5992" t="str">
        <f>T("판타지 웹소설 &gt; 퓨전 판타지")</f>
        <v>판타지 웹소설 &gt; 퓨전 판타지</v>
      </c>
    </row>
    <row r="5993" spans="1:59">
      <c r="A5993" t="s">
        <v>60</v>
      </c>
      <c r="B5993" s="1">
        <v>46131</v>
      </c>
      <c r="C5993">
        <v>2378044065</v>
      </c>
      <c r="D5993">
        <v>2378044092</v>
      </c>
      <c r="E5993" t="str">
        <f>T("저승의 왕위를 계승했다 28화")</f>
        <v>저승의 왕위를 계승했다 28화</v>
      </c>
      <c r="F5993">
        <v>28</v>
      </c>
      <c r="G5993" t="str">
        <f>T("신타비")</f>
        <v>신타비</v>
      </c>
      <c r="J5993" t="str">
        <f>T("매드햇")</f>
        <v>매드햇</v>
      </c>
      <c r="K5993" t="str">
        <f>T("저승의 왕위를 계승했다")</f>
        <v>저승의 왕위를 계승했다</v>
      </c>
      <c r="L5993">
        <v>100</v>
      </c>
      <c r="M5993">
        <v>100</v>
      </c>
      <c r="N5993">
        <v>1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0</v>
      </c>
      <c r="AE5993">
        <v>0</v>
      </c>
      <c r="AF5993">
        <v>0</v>
      </c>
      <c r="AG5993">
        <v>0</v>
      </c>
      <c r="AH5993">
        <v>0</v>
      </c>
      <c r="AI5993">
        <v>100</v>
      </c>
      <c r="AJ5993">
        <v>1</v>
      </c>
      <c r="AK5993">
        <v>0</v>
      </c>
      <c r="AL5993">
        <v>0</v>
      </c>
      <c r="AM5993">
        <v>100</v>
      </c>
      <c r="AN5993">
        <v>0</v>
      </c>
      <c r="AO5993">
        <v>0</v>
      </c>
      <c r="AP5993">
        <v>0</v>
      </c>
      <c r="AQ5993">
        <v>0</v>
      </c>
      <c r="AS5993">
        <v>0</v>
      </c>
      <c r="AT5993">
        <v>0</v>
      </c>
      <c r="AV5993">
        <v>0</v>
      </c>
      <c r="AW5993">
        <v>0</v>
      </c>
      <c r="AY5993">
        <v>0</v>
      </c>
      <c r="AZ5993">
        <v>0</v>
      </c>
      <c r="BA5993">
        <v>70</v>
      </c>
      <c r="BE5993" t="str">
        <f>T("9791137014381")</f>
        <v>9791137014381</v>
      </c>
      <c r="BF5993" t="str">
        <f>T("N218776")</f>
        <v>N218776</v>
      </c>
      <c r="BG5993" t="str">
        <f>T("판타지 웹소설 &gt; 퓨전 판타지")</f>
        <v>판타지 웹소설 &gt; 퓨전 판타지</v>
      </c>
    </row>
    <row r="5994" spans="1:59">
      <c r="A5994" t="s">
        <v>60</v>
      </c>
      <c r="B5994" s="1">
        <v>46131</v>
      </c>
      <c r="C5994">
        <v>2378044065</v>
      </c>
      <c r="D5994">
        <v>2378044093</v>
      </c>
      <c r="E5994" t="str">
        <f>T("저승의 왕위를 계승했다 29화")</f>
        <v>저승의 왕위를 계승했다 29화</v>
      </c>
      <c r="F5994">
        <v>29</v>
      </c>
      <c r="G5994" t="str">
        <f>T("신타비")</f>
        <v>신타비</v>
      </c>
      <c r="J5994" t="str">
        <f>T("매드햇")</f>
        <v>매드햇</v>
      </c>
      <c r="K5994" t="str">
        <f>T("저승의 왕위를 계승했다")</f>
        <v>저승의 왕위를 계승했다</v>
      </c>
      <c r="L5994">
        <v>100</v>
      </c>
      <c r="M5994">
        <v>100</v>
      </c>
      <c r="N5994">
        <v>1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0</v>
      </c>
      <c r="AE5994">
        <v>0</v>
      </c>
      <c r="AF5994">
        <v>0</v>
      </c>
      <c r="AG5994">
        <v>0</v>
      </c>
      <c r="AH5994">
        <v>0</v>
      </c>
      <c r="AI5994">
        <v>100</v>
      </c>
      <c r="AJ5994">
        <v>1</v>
      </c>
      <c r="AK5994">
        <v>0</v>
      </c>
      <c r="AL5994">
        <v>0</v>
      </c>
      <c r="AM5994">
        <v>100</v>
      </c>
      <c r="AN5994">
        <v>0</v>
      </c>
      <c r="AO5994">
        <v>0</v>
      </c>
      <c r="AP5994">
        <v>0</v>
      </c>
      <c r="AQ5994">
        <v>0</v>
      </c>
      <c r="AS5994">
        <v>0</v>
      </c>
      <c r="AT5994">
        <v>0</v>
      </c>
      <c r="AV5994">
        <v>0</v>
      </c>
      <c r="AW5994">
        <v>0</v>
      </c>
      <c r="AY5994">
        <v>0</v>
      </c>
      <c r="AZ5994">
        <v>0</v>
      </c>
      <c r="BA5994">
        <v>70</v>
      </c>
      <c r="BE5994" t="str">
        <f>T("9791137014381")</f>
        <v>9791137014381</v>
      </c>
      <c r="BF5994" t="str">
        <f>T("N218777")</f>
        <v>N218777</v>
      </c>
      <c r="BG5994" t="str">
        <f>T("판타지 웹소설 &gt; 퓨전 판타지")</f>
        <v>판타지 웹소설 &gt; 퓨전 판타지</v>
      </c>
    </row>
    <row r="5995" spans="1:59">
      <c r="A5995" t="s">
        <v>60</v>
      </c>
      <c r="B5995" s="1">
        <v>46131</v>
      </c>
      <c r="C5995">
        <v>2378044065</v>
      </c>
      <c r="D5995">
        <v>2378044094</v>
      </c>
      <c r="E5995" t="str">
        <f>T("저승의 왕위를 계승했다 30화")</f>
        <v>저승의 왕위를 계승했다 30화</v>
      </c>
      <c r="F5995">
        <v>30</v>
      </c>
      <c r="G5995" t="str">
        <f>T("신타비")</f>
        <v>신타비</v>
      </c>
      <c r="J5995" t="str">
        <f>T("매드햇")</f>
        <v>매드햇</v>
      </c>
      <c r="K5995" t="str">
        <f>T("저승의 왕위를 계승했다")</f>
        <v>저승의 왕위를 계승했다</v>
      </c>
      <c r="L5995">
        <v>100</v>
      </c>
      <c r="M5995">
        <v>100</v>
      </c>
      <c r="N5995">
        <v>1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0</v>
      </c>
      <c r="AE5995">
        <v>0</v>
      </c>
      <c r="AF5995">
        <v>0</v>
      </c>
      <c r="AG5995">
        <v>0</v>
      </c>
      <c r="AH5995">
        <v>0</v>
      </c>
      <c r="AI5995">
        <v>100</v>
      </c>
      <c r="AJ5995">
        <v>1</v>
      </c>
      <c r="AK5995">
        <v>0</v>
      </c>
      <c r="AL5995">
        <v>0</v>
      </c>
      <c r="AM5995">
        <v>100</v>
      </c>
      <c r="AN5995">
        <v>0</v>
      </c>
      <c r="AO5995">
        <v>0</v>
      </c>
      <c r="AP5995">
        <v>0</v>
      </c>
      <c r="AQ5995">
        <v>0</v>
      </c>
      <c r="AS5995">
        <v>0</v>
      </c>
      <c r="AT5995">
        <v>0</v>
      </c>
      <c r="AV5995">
        <v>0</v>
      </c>
      <c r="AW5995">
        <v>0</v>
      </c>
      <c r="AY5995">
        <v>0</v>
      </c>
      <c r="AZ5995">
        <v>0</v>
      </c>
      <c r="BA5995">
        <v>70</v>
      </c>
      <c r="BE5995" t="str">
        <f>T("9791137014381")</f>
        <v>9791137014381</v>
      </c>
      <c r="BF5995" t="str">
        <f>T("N218778")</f>
        <v>N218778</v>
      </c>
      <c r="BG5995" t="str">
        <f>T("판타지 웹소설 &gt; 퓨전 판타지")</f>
        <v>판타지 웹소설 &gt; 퓨전 판타지</v>
      </c>
    </row>
    <row r="5996" spans="1:59">
      <c r="A5996" t="s">
        <v>60</v>
      </c>
      <c r="B5996" s="1">
        <v>46131</v>
      </c>
      <c r="C5996">
        <v>2378044065</v>
      </c>
      <c r="D5996">
        <v>2378044095</v>
      </c>
      <c r="E5996" t="str">
        <f>T("저승의 왕위를 계승했다 31화")</f>
        <v>저승의 왕위를 계승했다 31화</v>
      </c>
      <c r="F5996">
        <v>31</v>
      </c>
      <c r="G5996" t="str">
        <f>T("신타비")</f>
        <v>신타비</v>
      </c>
      <c r="J5996" t="str">
        <f>T("매드햇")</f>
        <v>매드햇</v>
      </c>
      <c r="K5996" t="str">
        <f>T("저승의 왕위를 계승했다")</f>
        <v>저승의 왕위를 계승했다</v>
      </c>
      <c r="L5996">
        <v>100</v>
      </c>
      <c r="M5996">
        <v>100</v>
      </c>
      <c r="N5996">
        <v>1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0</v>
      </c>
      <c r="AE5996">
        <v>0</v>
      </c>
      <c r="AF5996">
        <v>0</v>
      </c>
      <c r="AG5996">
        <v>0</v>
      </c>
      <c r="AH5996">
        <v>0</v>
      </c>
      <c r="AI5996">
        <v>100</v>
      </c>
      <c r="AJ5996">
        <v>1</v>
      </c>
      <c r="AK5996">
        <v>0</v>
      </c>
      <c r="AL5996">
        <v>0</v>
      </c>
      <c r="AM5996">
        <v>100</v>
      </c>
      <c r="AN5996">
        <v>0</v>
      </c>
      <c r="AO5996">
        <v>0</v>
      </c>
      <c r="AP5996">
        <v>0</v>
      </c>
      <c r="AQ5996">
        <v>0</v>
      </c>
      <c r="AS5996">
        <v>0</v>
      </c>
      <c r="AT5996">
        <v>0</v>
      </c>
      <c r="AV5996">
        <v>0</v>
      </c>
      <c r="AW5996">
        <v>0</v>
      </c>
      <c r="AY5996">
        <v>0</v>
      </c>
      <c r="AZ5996">
        <v>0</v>
      </c>
      <c r="BA5996">
        <v>70</v>
      </c>
      <c r="BE5996" t="str">
        <f>T("9791137014381")</f>
        <v>9791137014381</v>
      </c>
      <c r="BF5996" t="str">
        <f>T("N218779")</f>
        <v>N218779</v>
      </c>
      <c r="BG5996" t="str">
        <f>T("판타지 웹소설 &gt; 퓨전 판타지")</f>
        <v>판타지 웹소설 &gt; 퓨전 판타지</v>
      </c>
    </row>
    <row r="5997" spans="1:59">
      <c r="A5997" t="s">
        <v>60</v>
      </c>
      <c r="B5997" s="1">
        <v>46131</v>
      </c>
      <c r="C5997">
        <v>2378044065</v>
      </c>
      <c r="D5997">
        <v>2378044096</v>
      </c>
      <c r="E5997" t="str">
        <f>T("저승의 왕위를 계승했다 32화")</f>
        <v>저승의 왕위를 계승했다 32화</v>
      </c>
      <c r="F5997">
        <v>32</v>
      </c>
      <c r="G5997" t="str">
        <f>T("신타비")</f>
        <v>신타비</v>
      </c>
      <c r="J5997" t="str">
        <f>T("매드햇")</f>
        <v>매드햇</v>
      </c>
      <c r="K5997" t="str">
        <f>T("저승의 왕위를 계승했다")</f>
        <v>저승의 왕위를 계승했다</v>
      </c>
      <c r="L5997">
        <v>100</v>
      </c>
      <c r="M5997">
        <v>100</v>
      </c>
      <c r="N5997">
        <v>1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0</v>
      </c>
      <c r="AE5997">
        <v>0</v>
      </c>
      <c r="AF5997">
        <v>0</v>
      </c>
      <c r="AG5997">
        <v>0</v>
      </c>
      <c r="AH5997">
        <v>0</v>
      </c>
      <c r="AI5997">
        <v>100</v>
      </c>
      <c r="AJ5997">
        <v>1</v>
      </c>
      <c r="AK5997">
        <v>0</v>
      </c>
      <c r="AL5997">
        <v>0</v>
      </c>
      <c r="AM5997">
        <v>100</v>
      </c>
      <c r="AN5997">
        <v>0</v>
      </c>
      <c r="AO5997">
        <v>0</v>
      </c>
      <c r="AP5997">
        <v>0</v>
      </c>
      <c r="AQ5997">
        <v>0</v>
      </c>
      <c r="AS5997">
        <v>0</v>
      </c>
      <c r="AT5997">
        <v>0</v>
      </c>
      <c r="AV5997">
        <v>0</v>
      </c>
      <c r="AW5997">
        <v>0</v>
      </c>
      <c r="AY5997">
        <v>0</v>
      </c>
      <c r="AZ5997">
        <v>0</v>
      </c>
      <c r="BA5997">
        <v>70</v>
      </c>
      <c r="BE5997" t="str">
        <f>T("9791137014381")</f>
        <v>9791137014381</v>
      </c>
      <c r="BF5997" t="str">
        <f>T("N218780")</f>
        <v>N218780</v>
      </c>
      <c r="BG5997" t="str">
        <f>T("판타지 웹소설 &gt; 퓨전 판타지")</f>
        <v>판타지 웹소설 &gt; 퓨전 판타지</v>
      </c>
    </row>
    <row r="5998" spans="1:59">
      <c r="A5998" t="s">
        <v>60</v>
      </c>
      <c r="B5998" s="1">
        <v>46131</v>
      </c>
      <c r="C5998">
        <v>2378044065</v>
      </c>
      <c r="D5998">
        <v>2378044097</v>
      </c>
      <c r="E5998" t="str">
        <f>T("저승의 왕위를 계승했다 33화")</f>
        <v>저승의 왕위를 계승했다 33화</v>
      </c>
      <c r="F5998">
        <v>33</v>
      </c>
      <c r="G5998" t="str">
        <f>T("신타비")</f>
        <v>신타비</v>
      </c>
      <c r="J5998" t="str">
        <f>T("매드햇")</f>
        <v>매드햇</v>
      </c>
      <c r="K5998" t="str">
        <f>T("저승의 왕위를 계승했다")</f>
        <v>저승의 왕위를 계승했다</v>
      </c>
      <c r="L5998">
        <v>100</v>
      </c>
      <c r="M5998">
        <v>100</v>
      </c>
      <c r="N5998">
        <v>1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0</v>
      </c>
      <c r="AE5998">
        <v>0</v>
      </c>
      <c r="AF5998">
        <v>0</v>
      </c>
      <c r="AG5998">
        <v>0</v>
      </c>
      <c r="AH5998">
        <v>0</v>
      </c>
      <c r="AI5998">
        <v>100</v>
      </c>
      <c r="AJ5998">
        <v>1</v>
      </c>
      <c r="AK5998">
        <v>0</v>
      </c>
      <c r="AL5998">
        <v>0</v>
      </c>
      <c r="AM5998">
        <v>100</v>
      </c>
      <c r="AN5998">
        <v>0</v>
      </c>
      <c r="AO5998">
        <v>0</v>
      </c>
      <c r="AP5998">
        <v>0</v>
      </c>
      <c r="AQ5998">
        <v>0</v>
      </c>
      <c r="AS5998">
        <v>0</v>
      </c>
      <c r="AT5998">
        <v>0</v>
      </c>
      <c r="AV5998">
        <v>0</v>
      </c>
      <c r="AW5998">
        <v>0</v>
      </c>
      <c r="AY5998">
        <v>0</v>
      </c>
      <c r="AZ5998">
        <v>0</v>
      </c>
      <c r="BA5998">
        <v>70</v>
      </c>
      <c r="BE5998" t="str">
        <f>T("9791137014381")</f>
        <v>9791137014381</v>
      </c>
      <c r="BF5998" t="str">
        <f>T("N218781")</f>
        <v>N218781</v>
      </c>
      <c r="BG5998" t="str">
        <f>T("판타지 웹소설 &gt; 퓨전 판타지")</f>
        <v>판타지 웹소설 &gt; 퓨전 판타지</v>
      </c>
    </row>
    <row r="5999" spans="1:59">
      <c r="A5999" t="s">
        <v>60</v>
      </c>
      <c r="B5999" s="1">
        <v>46131</v>
      </c>
      <c r="C5999">
        <v>2378044065</v>
      </c>
      <c r="D5999">
        <v>2378044098</v>
      </c>
      <c r="E5999" t="str">
        <f>T("저승의 왕위를 계승했다 34화")</f>
        <v>저승의 왕위를 계승했다 34화</v>
      </c>
      <c r="F5999">
        <v>34</v>
      </c>
      <c r="G5999" t="str">
        <f>T("신타비")</f>
        <v>신타비</v>
      </c>
      <c r="J5999" t="str">
        <f>T("매드햇")</f>
        <v>매드햇</v>
      </c>
      <c r="K5999" t="str">
        <f>T("저승의 왕위를 계승했다")</f>
        <v>저승의 왕위를 계승했다</v>
      </c>
      <c r="L5999">
        <v>100</v>
      </c>
      <c r="M5999">
        <v>100</v>
      </c>
      <c r="N5999">
        <v>1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0</v>
      </c>
      <c r="AE5999">
        <v>0</v>
      </c>
      <c r="AF5999">
        <v>0</v>
      </c>
      <c r="AG5999">
        <v>0</v>
      </c>
      <c r="AH5999">
        <v>0</v>
      </c>
      <c r="AI5999">
        <v>100</v>
      </c>
      <c r="AJ5999">
        <v>1</v>
      </c>
      <c r="AK5999">
        <v>0</v>
      </c>
      <c r="AL5999">
        <v>0</v>
      </c>
      <c r="AM5999">
        <v>100</v>
      </c>
      <c r="AN5999">
        <v>0</v>
      </c>
      <c r="AO5999">
        <v>0</v>
      </c>
      <c r="AP5999">
        <v>0</v>
      </c>
      <c r="AQ5999">
        <v>0</v>
      </c>
      <c r="AS5999">
        <v>0</v>
      </c>
      <c r="AT5999">
        <v>0</v>
      </c>
      <c r="AV5999">
        <v>0</v>
      </c>
      <c r="AW5999">
        <v>0</v>
      </c>
      <c r="AY5999">
        <v>0</v>
      </c>
      <c r="AZ5999">
        <v>0</v>
      </c>
      <c r="BA5999">
        <v>70</v>
      </c>
      <c r="BE5999" t="str">
        <f>T("9791137014381")</f>
        <v>9791137014381</v>
      </c>
      <c r="BF5999" t="str">
        <f>T("N218782")</f>
        <v>N218782</v>
      </c>
      <c r="BG5999" t="str">
        <f>T("판타지 웹소설 &gt; 퓨전 판타지")</f>
        <v>판타지 웹소설 &gt; 퓨전 판타지</v>
      </c>
    </row>
    <row r="6000" spans="1:59">
      <c r="A6000" t="s">
        <v>60</v>
      </c>
      <c r="B6000" s="1">
        <v>46130</v>
      </c>
      <c r="C6000">
        <v>2378041646</v>
      </c>
      <c r="D6000">
        <v>2378041671</v>
      </c>
      <c r="E6000" t="str">
        <f>T("전직 용사가 퇴마를 너무 잘함 26화")</f>
        <v>전직 용사가 퇴마를 너무 잘함 26화</v>
      </c>
      <c r="F6000">
        <v>26</v>
      </c>
      <c r="G6000" t="str">
        <f>T("E787")</f>
        <v>E787</v>
      </c>
      <c r="J6000" t="str">
        <f>T("매드햇")</f>
        <v>매드햇</v>
      </c>
      <c r="K6000" t="str">
        <f>T("전직 용사가 퇴마를 너무 잘함")</f>
        <v>전직 용사가 퇴마를 너무 잘함</v>
      </c>
      <c r="L6000">
        <v>100</v>
      </c>
      <c r="M6000">
        <v>100</v>
      </c>
      <c r="N6000">
        <v>1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0</v>
      </c>
      <c r="AE6000">
        <v>0</v>
      </c>
      <c r="AF6000">
        <v>0</v>
      </c>
      <c r="AG6000">
        <v>0</v>
      </c>
      <c r="AH6000">
        <v>0</v>
      </c>
      <c r="AI6000">
        <v>100</v>
      </c>
      <c r="AJ6000">
        <v>1</v>
      </c>
      <c r="AK6000">
        <v>0</v>
      </c>
      <c r="AL6000">
        <v>0</v>
      </c>
      <c r="AM6000">
        <v>100</v>
      </c>
      <c r="AN6000">
        <v>0</v>
      </c>
      <c r="AO6000">
        <v>0</v>
      </c>
      <c r="AP6000">
        <v>0</v>
      </c>
      <c r="AQ6000">
        <v>0</v>
      </c>
      <c r="AS6000">
        <v>0</v>
      </c>
      <c r="AT6000">
        <v>0</v>
      </c>
      <c r="AV6000">
        <v>0</v>
      </c>
      <c r="AW6000">
        <v>0</v>
      </c>
      <c r="AY6000">
        <v>0</v>
      </c>
      <c r="AZ6000">
        <v>0</v>
      </c>
      <c r="BA6000">
        <v>70</v>
      </c>
      <c r="BE6000" t="str">
        <f>T("9791137006638")</f>
        <v>9791137006638</v>
      </c>
      <c r="BF6000" t="str">
        <f>T("N083753")</f>
        <v>N083753</v>
      </c>
      <c r="BG6000" t="str">
        <f>T("판타지 웹소설 &gt; 퓨전 판타지")</f>
        <v>판타지 웹소설 &gt; 퓨전 판타지</v>
      </c>
    </row>
    <row r="6001" spans="1:59">
      <c r="A6001" t="s">
        <v>60</v>
      </c>
      <c r="B6001" s="1">
        <v>46129</v>
      </c>
      <c r="C6001">
        <v>2378060170</v>
      </c>
      <c r="D6001">
        <v>2378060249</v>
      </c>
      <c r="E6001" t="str">
        <f>T("제갈무신 79화")</f>
        <v>제갈무신 79화</v>
      </c>
      <c r="F6001">
        <v>80</v>
      </c>
      <c r="G6001" t="str">
        <f>T("무영")</f>
        <v>무영</v>
      </c>
      <c r="J6001" t="str">
        <f>T("매드햇")</f>
        <v>매드햇</v>
      </c>
      <c r="K6001" t="str">
        <f>T("제갈무신")</f>
        <v>제갈무신</v>
      </c>
      <c r="L6001">
        <v>100</v>
      </c>
      <c r="M6001">
        <v>100</v>
      </c>
      <c r="N6001">
        <v>1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0</v>
      </c>
      <c r="AE6001">
        <v>0</v>
      </c>
      <c r="AF6001">
        <v>0</v>
      </c>
      <c r="AG6001">
        <v>0</v>
      </c>
      <c r="AH6001">
        <v>0</v>
      </c>
      <c r="AI6001">
        <v>100</v>
      </c>
      <c r="AJ6001">
        <v>1</v>
      </c>
      <c r="AK6001">
        <v>0</v>
      </c>
      <c r="AL6001">
        <v>0</v>
      </c>
      <c r="AM6001">
        <v>100</v>
      </c>
      <c r="AN6001">
        <v>0</v>
      </c>
      <c r="AO6001">
        <v>0</v>
      </c>
      <c r="AP6001">
        <v>0</v>
      </c>
      <c r="AQ6001">
        <v>0</v>
      </c>
      <c r="AS6001">
        <v>0</v>
      </c>
      <c r="AT6001">
        <v>0</v>
      </c>
      <c r="AV6001">
        <v>0</v>
      </c>
      <c r="AW6001">
        <v>0</v>
      </c>
      <c r="AY6001">
        <v>0</v>
      </c>
      <c r="AZ6001">
        <v>0</v>
      </c>
      <c r="BA6001">
        <v>70</v>
      </c>
      <c r="BE6001" t="str">
        <f>T("9791137017511")</f>
        <v>9791137017511</v>
      </c>
      <c r="BG6001" t="str">
        <f>T("판타지 웹소설 &gt; 무협 소설")</f>
        <v>판타지 웹소설 &gt; 무협 소설</v>
      </c>
    </row>
    <row r="6002" spans="1:59">
      <c r="A6002" t="s">
        <v>60</v>
      </c>
      <c r="B6002" s="1">
        <v>46129</v>
      </c>
      <c r="C6002">
        <v>2378060170</v>
      </c>
      <c r="D6002">
        <v>2378060250</v>
      </c>
      <c r="E6002" t="str">
        <f>T("제갈무신 80화")</f>
        <v>제갈무신 80화</v>
      </c>
      <c r="F6002">
        <v>81</v>
      </c>
      <c r="G6002" t="str">
        <f>T("무영")</f>
        <v>무영</v>
      </c>
      <c r="J6002" t="str">
        <f>T("매드햇")</f>
        <v>매드햇</v>
      </c>
      <c r="K6002" t="str">
        <f>T("제갈무신")</f>
        <v>제갈무신</v>
      </c>
      <c r="L6002">
        <v>100</v>
      </c>
      <c r="M6002">
        <v>100</v>
      </c>
      <c r="N6002">
        <v>1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0</v>
      </c>
      <c r="AE6002">
        <v>0</v>
      </c>
      <c r="AF6002">
        <v>0</v>
      </c>
      <c r="AG6002">
        <v>0</v>
      </c>
      <c r="AH6002">
        <v>0</v>
      </c>
      <c r="AI6002">
        <v>100</v>
      </c>
      <c r="AJ6002">
        <v>1</v>
      </c>
      <c r="AK6002">
        <v>0</v>
      </c>
      <c r="AL6002">
        <v>0</v>
      </c>
      <c r="AM6002">
        <v>100</v>
      </c>
      <c r="AN6002">
        <v>0</v>
      </c>
      <c r="AO6002">
        <v>0</v>
      </c>
      <c r="AP6002">
        <v>0</v>
      </c>
      <c r="AQ6002">
        <v>0</v>
      </c>
      <c r="AS6002">
        <v>0</v>
      </c>
      <c r="AT6002">
        <v>0</v>
      </c>
      <c r="AV6002">
        <v>0</v>
      </c>
      <c r="AW6002">
        <v>0</v>
      </c>
      <c r="AY6002">
        <v>0</v>
      </c>
      <c r="AZ6002">
        <v>0</v>
      </c>
      <c r="BA6002">
        <v>70</v>
      </c>
      <c r="BE6002" t="str">
        <f>T("9791137017511")</f>
        <v>9791137017511</v>
      </c>
      <c r="BG6002" t="str">
        <f>T("판타지 웹소설 &gt; 무협 소설")</f>
        <v>판타지 웹소설 &gt; 무협 소설</v>
      </c>
    </row>
    <row r="6003" spans="1:59">
      <c r="A6003" t="s">
        <v>60</v>
      </c>
      <c r="B6003" s="1">
        <v>46129</v>
      </c>
      <c r="C6003">
        <v>2378060170</v>
      </c>
      <c r="D6003">
        <v>2378060251</v>
      </c>
      <c r="E6003" t="str">
        <f>T("제갈무신 81화")</f>
        <v>제갈무신 81화</v>
      </c>
      <c r="F6003">
        <v>82</v>
      </c>
      <c r="G6003" t="str">
        <f>T("무영")</f>
        <v>무영</v>
      </c>
      <c r="J6003" t="str">
        <f>T("매드햇")</f>
        <v>매드햇</v>
      </c>
      <c r="K6003" t="str">
        <f>T("제갈무신")</f>
        <v>제갈무신</v>
      </c>
      <c r="L6003">
        <v>100</v>
      </c>
      <c r="M6003">
        <v>100</v>
      </c>
      <c r="N6003">
        <v>1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0</v>
      </c>
      <c r="AE6003">
        <v>0</v>
      </c>
      <c r="AF6003">
        <v>0</v>
      </c>
      <c r="AG6003">
        <v>0</v>
      </c>
      <c r="AH6003">
        <v>0</v>
      </c>
      <c r="AI6003">
        <v>100</v>
      </c>
      <c r="AJ6003">
        <v>1</v>
      </c>
      <c r="AK6003">
        <v>0</v>
      </c>
      <c r="AL6003">
        <v>0</v>
      </c>
      <c r="AM6003">
        <v>100</v>
      </c>
      <c r="AN6003">
        <v>0</v>
      </c>
      <c r="AO6003">
        <v>0</v>
      </c>
      <c r="AP6003">
        <v>0</v>
      </c>
      <c r="AQ6003">
        <v>0</v>
      </c>
      <c r="AS6003">
        <v>0</v>
      </c>
      <c r="AT6003">
        <v>0</v>
      </c>
      <c r="AV6003">
        <v>0</v>
      </c>
      <c r="AW6003">
        <v>0</v>
      </c>
      <c r="AY6003">
        <v>0</v>
      </c>
      <c r="AZ6003">
        <v>0</v>
      </c>
      <c r="BA6003">
        <v>70</v>
      </c>
      <c r="BE6003" t="str">
        <f>T("9791137017511")</f>
        <v>9791137017511</v>
      </c>
      <c r="BG6003" t="str">
        <f>T("판타지 웹소설 &gt; 무협 소설")</f>
        <v>판타지 웹소설 &gt; 무협 소설</v>
      </c>
    </row>
    <row r="6004" spans="1:59">
      <c r="A6004" t="s">
        <v>60</v>
      </c>
      <c r="B6004" s="1">
        <v>46129</v>
      </c>
      <c r="C6004">
        <v>2378060170</v>
      </c>
      <c r="D6004">
        <v>2378060252</v>
      </c>
      <c r="E6004" t="str">
        <f>T("제갈무신 82화")</f>
        <v>제갈무신 82화</v>
      </c>
      <c r="F6004">
        <v>83</v>
      </c>
      <c r="G6004" t="str">
        <f>T("무영")</f>
        <v>무영</v>
      </c>
      <c r="J6004" t="str">
        <f>T("매드햇")</f>
        <v>매드햇</v>
      </c>
      <c r="K6004" t="str">
        <f>T("제갈무신")</f>
        <v>제갈무신</v>
      </c>
      <c r="L6004">
        <v>100</v>
      </c>
      <c r="M6004">
        <v>100</v>
      </c>
      <c r="N6004">
        <v>1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0</v>
      </c>
      <c r="AE6004">
        <v>0</v>
      </c>
      <c r="AF6004">
        <v>0</v>
      </c>
      <c r="AG6004">
        <v>0</v>
      </c>
      <c r="AH6004">
        <v>0</v>
      </c>
      <c r="AI6004">
        <v>100</v>
      </c>
      <c r="AJ6004">
        <v>1</v>
      </c>
      <c r="AK6004">
        <v>0</v>
      </c>
      <c r="AL6004">
        <v>0</v>
      </c>
      <c r="AM6004">
        <v>100</v>
      </c>
      <c r="AN6004">
        <v>0</v>
      </c>
      <c r="AO6004">
        <v>0</v>
      </c>
      <c r="AP6004">
        <v>0</v>
      </c>
      <c r="AQ6004">
        <v>0</v>
      </c>
      <c r="AS6004">
        <v>0</v>
      </c>
      <c r="AT6004">
        <v>0</v>
      </c>
      <c r="AV6004">
        <v>0</v>
      </c>
      <c r="AW6004">
        <v>0</v>
      </c>
      <c r="AY6004">
        <v>0</v>
      </c>
      <c r="AZ6004">
        <v>0</v>
      </c>
      <c r="BA6004">
        <v>70</v>
      </c>
      <c r="BE6004" t="str">
        <f>T("9791137017511")</f>
        <v>9791137017511</v>
      </c>
      <c r="BG6004" t="str">
        <f>T("판타지 웹소설 &gt; 무협 소설")</f>
        <v>판타지 웹소설 &gt; 무협 소설</v>
      </c>
    </row>
    <row r="6005" spans="1:59">
      <c r="A6005" t="s">
        <v>60</v>
      </c>
      <c r="B6005" s="1">
        <v>46129</v>
      </c>
      <c r="C6005">
        <v>2378060170</v>
      </c>
      <c r="D6005">
        <v>2378060253</v>
      </c>
      <c r="E6005" t="str">
        <f>T("제갈무신 83화")</f>
        <v>제갈무신 83화</v>
      </c>
      <c r="F6005">
        <v>84</v>
      </c>
      <c r="G6005" t="str">
        <f>T("무영")</f>
        <v>무영</v>
      </c>
      <c r="J6005" t="str">
        <f>T("매드햇")</f>
        <v>매드햇</v>
      </c>
      <c r="K6005" t="str">
        <f>T("제갈무신")</f>
        <v>제갈무신</v>
      </c>
      <c r="L6005">
        <v>100</v>
      </c>
      <c r="M6005">
        <v>100</v>
      </c>
      <c r="N6005">
        <v>1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0</v>
      </c>
      <c r="AE6005">
        <v>0</v>
      </c>
      <c r="AF6005">
        <v>0</v>
      </c>
      <c r="AG6005">
        <v>0</v>
      </c>
      <c r="AH6005">
        <v>0</v>
      </c>
      <c r="AI6005">
        <v>100</v>
      </c>
      <c r="AJ6005">
        <v>1</v>
      </c>
      <c r="AK6005">
        <v>0</v>
      </c>
      <c r="AL6005">
        <v>0</v>
      </c>
      <c r="AM6005">
        <v>100</v>
      </c>
      <c r="AN6005">
        <v>0</v>
      </c>
      <c r="AO6005">
        <v>0</v>
      </c>
      <c r="AP6005">
        <v>0</v>
      </c>
      <c r="AQ6005">
        <v>0</v>
      </c>
      <c r="AS6005">
        <v>0</v>
      </c>
      <c r="AT6005">
        <v>0</v>
      </c>
      <c r="AV6005">
        <v>0</v>
      </c>
      <c r="AW6005">
        <v>0</v>
      </c>
      <c r="AY6005">
        <v>0</v>
      </c>
      <c r="AZ6005">
        <v>0</v>
      </c>
      <c r="BA6005">
        <v>70</v>
      </c>
      <c r="BE6005" t="str">
        <f>T("9791137017511")</f>
        <v>9791137017511</v>
      </c>
      <c r="BG6005" t="str">
        <f>T("판타지 웹소설 &gt; 무협 소설")</f>
        <v>판타지 웹소설 &gt; 무협 소설</v>
      </c>
    </row>
    <row r="6006" spans="1:59">
      <c r="A6006" t="s">
        <v>60</v>
      </c>
      <c r="B6006" s="1">
        <v>46129</v>
      </c>
      <c r="C6006">
        <v>2378060170</v>
      </c>
      <c r="D6006">
        <v>2378060254</v>
      </c>
      <c r="E6006" t="str">
        <f>T("제갈무신 84화")</f>
        <v>제갈무신 84화</v>
      </c>
      <c r="F6006">
        <v>85</v>
      </c>
      <c r="G6006" t="str">
        <f>T("무영")</f>
        <v>무영</v>
      </c>
      <c r="J6006" t="str">
        <f>T("매드햇")</f>
        <v>매드햇</v>
      </c>
      <c r="K6006" t="str">
        <f>T("제갈무신")</f>
        <v>제갈무신</v>
      </c>
      <c r="L6006">
        <v>100</v>
      </c>
      <c r="M6006">
        <v>100</v>
      </c>
      <c r="N6006">
        <v>1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0</v>
      </c>
      <c r="AE6006">
        <v>0</v>
      </c>
      <c r="AF6006">
        <v>0</v>
      </c>
      <c r="AG6006">
        <v>0</v>
      </c>
      <c r="AH6006">
        <v>0</v>
      </c>
      <c r="AI6006">
        <v>100</v>
      </c>
      <c r="AJ6006">
        <v>1</v>
      </c>
      <c r="AK6006">
        <v>0</v>
      </c>
      <c r="AL6006">
        <v>0</v>
      </c>
      <c r="AM6006">
        <v>100</v>
      </c>
      <c r="AN6006">
        <v>0</v>
      </c>
      <c r="AO6006">
        <v>0</v>
      </c>
      <c r="AP6006">
        <v>0</v>
      </c>
      <c r="AQ6006">
        <v>0</v>
      </c>
      <c r="AS6006">
        <v>0</v>
      </c>
      <c r="AT6006">
        <v>0</v>
      </c>
      <c r="AV6006">
        <v>0</v>
      </c>
      <c r="AW6006">
        <v>0</v>
      </c>
      <c r="AY6006">
        <v>0</v>
      </c>
      <c r="AZ6006">
        <v>0</v>
      </c>
      <c r="BA6006">
        <v>70</v>
      </c>
      <c r="BE6006" t="str">
        <f>T("9791137017511")</f>
        <v>9791137017511</v>
      </c>
      <c r="BG6006" t="str">
        <f>T("판타지 웹소설 &gt; 무협 소설")</f>
        <v>판타지 웹소설 &gt; 무협 소설</v>
      </c>
    </row>
    <row r="6007" spans="1:59">
      <c r="A6007" t="s">
        <v>60</v>
      </c>
      <c r="B6007" s="1">
        <v>46129</v>
      </c>
      <c r="C6007">
        <v>2378060170</v>
      </c>
      <c r="D6007">
        <v>2378060255</v>
      </c>
      <c r="E6007" t="str">
        <f>T("제갈무신 85화")</f>
        <v>제갈무신 85화</v>
      </c>
      <c r="F6007">
        <v>86</v>
      </c>
      <c r="G6007" t="str">
        <f>T("무영")</f>
        <v>무영</v>
      </c>
      <c r="J6007" t="str">
        <f>T("매드햇")</f>
        <v>매드햇</v>
      </c>
      <c r="K6007" t="str">
        <f>T("제갈무신")</f>
        <v>제갈무신</v>
      </c>
      <c r="L6007">
        <v>100</v>
      </c>
      <c r="M6007">
        <v>100</v>
      </c>
      <c r="N6007">
        <v>1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0</v>
      </c>
      <c r="AE6007">
        <v>0</v>
      </c>
      <c r="AF6007">
        <v>0</v>
      </c>
      <c r="AG6007">
        <v>0</v>
      </c>
      <c r="AH6007">
        <v>0</v>
      </c>
      <c r="AI6007">
        <v>100</v>
      </c>
      <c r="AJ6007">
        <v>1</v>
      </c>
      <c r="AK6007">
        <v>0</v>
      </c>
      <c r="AL6007">
        <v>0</v>
      </c>
      <c r="AM6007">
        <v>100</v>
      </c>
      <c r="AN6007">
        <v>0</v>
      </c>
      <c r="AO6007">
        <v>0</v>
      </c>
      <c r="AP6007">
        <v>0</v>
      </c>
      <c r="AQ6007">
        <v>0</v>
      </c>
      <c r="AS6007">
        <v>0</v>
      </c>
      <c r="AT6007">
        <v>0</v>
      </c>
      <c r="AV6007">
        <v>0</v>
      </c>
      <c r="AW6007">
        <v>0</v>
      </c>
      <c r="AY6007">
        <v>0</v>
      </c>
      <c r="AZ6007">
        <v>0</v>
      </c>
      <c r="BA6007">
        <v>70</v>
      </c>
      <c r="BE6007" t="str">
        <f>T("9791137017511")</f>
        <v>9791137017511</v>
      </c>
      <c r="BG6007" t="str">
        <f>T("판타지 웹소설 &gt; 무협 소설")</f>
        <v>판타지 웹소설 &gt; 무협 소설</v>
      </c>
    </row>
    <row r="6008" spans="1:59">
      <c r="A6008" t="s">
        <v>60</v>
      </c>
      <c r="B6008" s="1">
        <v>46129</v>
      </c>
      <c r="C6008">
        <v>2378060170</v>
      </c>
      <c r="D6008">
        <v>2378060256</v>
      </c>
      <c r="E6008" t="str">
        <f>T("제갈무신 86화")</f>
        <v>제갈무신 86화</v>
      </c>
      <c r="F6008">
        <v>87</v>
      </c>
      <c r="G6008" t="str">
        <f>T("무영")</f>
        <v>무영</v>
      </c>
      <c r="J6008" t="str">
        <f>T("매드햇")</f>
        <v>매드햇</v>
      </c>
      <c r="K6008" t="str">
        <f>T("제갈무신")</f>
        <v>제갈무신</v>
      </c>
      <c r="L6008">
        <v>100</v>
      </c>
      <c r="M6008">
        <v>100</v>
      </c>
      <c r="N6008">
        <v>1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0</v>
      </c>
      <c r="AE6008">
        <v>0</v>
      </c>
      <c r="AF6008">
        <v>0</v>
      </c>
      <c r="AG6008">
        <v>0</v>
      </c>
      <c r="AH6008">
        <v>0</v>
      </c>
      <c r="AI6008">
        <v>100</v>
      </c>
      <c r="AJ6008">
        <v>1</v>
      </c>
      <c r="AK6008">
        <v>0</v>
      </c>
      <c r="AL6008">
        <v>0</v>
      </c>
      <c r="AM6008">
        <v>100</v>
      </c>
      <c r="AN6008">
        <v>0</v>
      </c>
      <c r="AO6008">
        <v>0</v>
      </c>
      <c r="AP6008">
        <v>0</v>
      </c>
      <c r="AQ6008">
        <v>0</v>
      </c>
      <c r="AS6008">
        <v>0</v>
      </c>
      <c r="AT6008">
        <v>0</v>
      </c>
      <c r="AV6008">
        <v>0</v>
      </c>
      <c r="AW6008">
        <v>0</v>
      </c>
      <c r="AY6008">
        <v>0</v>
      </c>
      <c r="AZ6008">
        <v>0</v>
      </c>
      <c r="BA6008">
        <v>70</v>
      </c>
      <c r="BE6008" t="str">
        <f>T("9791137017511")</f>
        <v>9791137017511</v>
      </c>
      <c r="BG6008" t="str">
        <f>T("판타지 웹소설 &gt; 무협 소설")</f>
        <v>판타지 웹소설 &gt; 무협 소설</v>
      </c>
    </row>
    <row r="6009" spans="1:59">
      <c r="A6009" t="s">
        <v>60</v>
      </c>
      <c r="B6009" s="1">
        <v>46129</v>
      </c>
      <c r="C6009">
        <v>2378060170</v>
      </c>
      <c r="D6009">
        <v>2378060257</v>
      </c>
      <c r="E6009" t="str">
        <f>T("제갈무신 87화")</f>
        <v>제갈무신 87화</v>
      </c>
      <c r="F6009">
        <v>88</v>
      </c>
      <c r="G6009" t="str">
        <f>T("무영")</f>
        <v>무영</v>
      </c>
      <c r="J6009" t="str">
        <f>T("매드햇")</f>
        <v>매드햇</v>
      </c>
      <c r="K6009" t="str">
        <f>T("제갈무신")</f>
        <v>제갈무신</v>
      </c>
      <c r="L6009">
        <v>100</v>
      </c>
      <c r="M6009">
        <v>100</v>
      </c>
      <c r="N6009">
        <v>1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0</v>
      </c>
      <c r="AE6009">
        <v>0</v>
      </c>
      <c r="AF6009">
        <v>0</v>
      </c>
      <c r="AG6009">
        <v>0</v>
      </c>
      <c r="AH6009">
        <v>0</v>
      </c>
      <c r="AI6009">
        <v>100</v>
      </c>
      <c r="AJ6009">
        <v>1</v>
      </c>
      <c r="AK6009">
        <v>0</v>
      </c>
      <c r="AL6009">
        <v>0</v>
      </c>
      <c r="AM6009">
        <v>100</v>
      </c>
      <c r="AN6009">
        <v>0</v>
      </c>
      <c r="AO6009">
        <v>0</v>
      </c>
      <c r="AP6009">
        <v>0</v>
      </c>
      <c r="AQ6009">
        <v>0</v>
      </c>
      <c r="AS6009">
        <v>0</v>
      </c>
      <c r="AT6009">
        <v>0</v>
      </c>
      <c r="AV6009">
        <v>0</v>
      </c>
      <c r="AW6009">
        <v>0</v>
      </c>
      <c r="AY6009">
        <v>0</v>
      </c>
      <c r="AZ6009">
        <v>0</v>
      </c>
      <c r="BA6009">
        <v>70</v>
      </c>
      <c r="BE6009" t="str">
        <f>T("9791137017511")</f>
        <v>9791137017511</v>
      </c>
      <c r="BG6009" t="str">
        <f>T("판타지 웹소설 &gt; 무협 소설")</f>
        <v>판타지 웹소설 &gt; 무협 소설</v>
      </c>
    </row>
    <row r="6010" spans="1:59">
      <c r="A6010" t="s">
        <v>60</v>
      </c>
      <c r="B6010" s="1">
        <v>46129</v>
      </c>
      <c r="C6010">
        <v>2378060170</v>
      </c>
      <c r="D6010">
        <v>2378060258</v>
      </c>
      <c r="E6010" t="str">
        <f>T("제갈무신 88화")</f>
        <v>제갈무신 88화</v>
      </c>
      <c r="F6010">
        <v>89</v>
      </c>
      <c r="G6010" t="str">
        <f>T("무영")</f>
        <v>무영</v>
      </c>
      <c r="J6010" t="str">
        <f>T("매드햇")</f>
        <v>매드햇</v>
      </c>
      <c r="K6010" t="str">
        <f>T("제갈무신")</f>
        <v>제갈무신</v>
      </c>
      <c r="L6010">
        <v>100</v>
      </c>
      <c r="M6010">
        <v>100</v>
      </c>
      <c r="N6010">
        <v>1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0</v>
      </c>
      <c r="AE6010">
        <v>0</v>
      </c>
      <c r="AF6010">
        <v>0</v>
      </c>
      <c r="AG6010">
        <v>0</v>
      </c>
      <c r="AH6010">
        <v>0</v>
      </c>
      <c r="AI6010">
        <v>100</v>
      </c>
      <c r="AJ6010">
        <v>1</v>
      </c>
      <c r="AK6010">
        <v>0</v>
      </c>
      <c r="AL6010">
        <v>0</v>
      </c>
      <c r="AM6010">
        <v>100</v>
      </c>
      <c r="AN6010">
        <v>0</v>
      </c>
      <c r="AO6010">
        <v>0</v>
      </c>
      <c r="AP6010">
        <v>0</v>
      </c>
      <c r="AQ6010">
        <v>0</v>
      </c>
      <c r="AS6010">
        <v>0</v>
      </c>
      <c r="AT6010">
        <v>0</v>
      </c>
      <c r="AV6010">
        <v>0</v>
      </c>
      <c r="AW6010">
        <v>0</v>
      </c>
      <c r="AY6010">
        <v>0</v>
      </c>
      <c r="AZ6010">
        <v>0</v>
      </c>
      <c r="BA6010">
        <v>70</v>
      </c>
      <c r="BE6010" t="str">
        <f>T("9791137017511")</f>
        <v>9791137017511</v>
      </c>
      <c r="BG6010" t="str">
        <f>T("판타지 웹소설 &gt; 무협 소설")</f>
        <v>판타지 웹소설 &gt; 무협 소설</v>
      </c>
    </row>
    <row r="6011" spans="1:59">
      <c r="A6011" t="s">
        <v>60</v>
      </c>
      <c r="B6011" s="1">
        <v>46129</v>
      </c>
      <c r="C6011">
        <v>2378060170</v>
      </c>
      <c r="D6011">
        <v>2378060259</v>
      </c>
      <c r="E6011" t="str">
        <f>T("제갈무신 89화")</f>
        <v>제갈무신 89화</v>
      </c>
      <c r="F6011">
        <v>90</v>
      </c>
      <c r="G6011" t="str">
        <f>T("무영")</f>
        <v>무영</v>
      </c>
      <c r="J6011" t="str">
        <f>T("매드햇")</f>
        <v>매드햇</v>
      </c>
      <c r="K6011" t="str">
        <f>T("제갈무신")</f>
        <v>제갈무신</v>
      </c>
      <c r="L6011">
        <v>100</v>
      </c>
      <c r="M6011">
        <v>100</v>
      </c>
      <c r="N6011">
        <v>1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0</v>
      </c>
      <c r="AE6011">
        <v>0</v>
      </c>
      <c r="AF6011">
        <v>0</v>
      </c>
      <c r="AG6011">
        <v>0</v>
      </c>
      <c r="AH6011">
        <v>0</v>
      </c>
      <c r="AI6011">
        <v>100</v>
      </c>
      <c r="AJ6011">
        <v>1</v>
      </c>
      <c r="AK6011">
        <v>0</v>
      </c>
      <c r="AL6011">
        <v>0</v>
      </c>
      <c r="AM6011">
        <v>100</v>
      </c>
      <c r="AN6011">
        <v>0</v>
      </c>
      <c r="AO6011">
        <v>0</v>
      </c>
      <c r="AP6011">
        <v>0</v>
      </c>
      <c r="AQ6011">
        <v>0</v>
      </c>
      <c r="AS6011">
        <v>0</v>
      </c>
      <c r="AT6011">
        <v>0</v>
      </c>
      <c r="AV6011">
        <v>0</v>
      </c>
      <c r="AW6011">
        <v>0</v>
      </c>
      <c r="AY6011">
        <v>0</v>
      </c>
      <c r="AZ6011">
        <v>0</v>
      </c>
      <c r="BA6011">
        <v>70</v>
      </c>
      <c r="BE6011" t="str">
        <f>T("9791137017511")</f>
        <v>9791137017511</v>
      </c>
      <c r="BG6011" t="str">
        <f>T("판타지 웹소설 &gt; 무협 소설")</f>
        <v>판타지 웹소설 &gt; 무협 소설</v>
      </c>
    </row>
    <row r="6012" spans="1:59">
      <c r="A6012" t="s">
        <v>60</v>
      </c>
      <c r="B6012" s="1">
        <v>46129</v>
      </c>
      <c r="C6012">
        <v>2378060170</v>
      </c>
      <c r="D6012">
        <v>2378060260</v>
      </c>
      <c r="E6012" t="str">
        <f>T("제갈무신 90화")</f>
        <v>제갈무신 90화</v>
      </c>
      <c r="F6012">
        <v>91</v>
      </c>
      <c r="G6012" t="str">
        <f>T("무영")</f>
        <v>무영</v>
      </c>
      <c r="J6012" t="str">
        <f>T("매드햇")</f>
        <v>매드햇</v>
      </c>
      <c r="K6012" t="str">
        <f>T("제갈무신")</f>
        <v>제갈무신</v>
      </c>
      <c r="L6012">
        <v>100</v>
      </c>
      <c r="M6012">
        <v>100</v>
      </c>
      <c r="N6012">
        <v>1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0</v>
      </c>
      <c r="AE6012">
        <v>0</v>
      </c>
      <c r="AF6012">
        <v>0</v>
      </c>
      <c r="AG6012">
        <v>0</v>
      </c>
      <c r="AH6012">
        <v>0</v>
      </c>
      <c r="AI6012">
        <v>100</v>
      </c>
      <c r="AJ6012">
        <v>1</v>
      </c>
      <c r="AK6012">
        <v>0</v>
      </c>
      <c r="AL6012">
        <v>0</v>
      </c>
      <c r="AM6012">
        <v>100</v>
      </c>
      <c r="AN6012">
        <v>0</v>
      </c>
      <c r="AO6012">
        <v>0</v>
      </c>
      <c r="AP6012">
        <v>0</v>
      </c>
      <c r="AQ6012">
        <v>0</v>
      </c>
      <c r="AS6012">
        <v>0</v>
      </c>
      <c r="AT6012">
        <v>0</v>
      </c>
      <c r="AV6012">
        <v>0</v>
      </c>
      <c r="AW6012">
        <v>0</v>
      </c>
      <c r="AY6012">
        <v>0</v>
      </c>
      <c r="AZ6012">
        <v>0</v>
      </c>
      <c r="BA6012">
        <v>70</v>
      </c>
      <c r="BE6012" t="str">
        <f>T("9791137017511")</f>
        <v>9791137017511</v>
      </c>
      <c r="BG6012" t="str">
        <f>T("판타지 웹소설 &gt; 무협 소설")</f>
        <v>판타지 웹소설 &gt; 무협 소설</v>
      </c>
    </row>
    <row r="6013" spans="1:59">
      <c r="A6013" t="s">
        <v>60</v>
      </c>
      <c r="B6013" s="1">
        <v>46130</v>
      </c>
      <c r="C6013">
        <v>2378060170</v>
      </c>
      <c r="D6013">
        <v>2378060267</v>
      </c>
      <c r="E6013" t="str">
        <f>T("제갈무신 97화")</f>
        <v>제갈무신 97화</v>
      </c>
      <c r="F6013">
        <v>98</v>
      </c>
      <c r="G6013" t="str">
        <f>T("무영")</f>
        <v>무영</v>
      </c>
      <c r="J6013" t="str">
        <f>T("매드햇")</f>
        <v>매드햇</v>
      </c>
      <c r="K6013" t="str">
        <f>T("제갈무신")</f>
        <v>제갈무신</v>
      </c>
      <c r="L6013">
        <v>100</v>
      </c>
      <c r="M6013">
        <v>100</v>
      </c>
      <c r="N6013">
        <v>1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0</v>
      </c>
      <c r="AE6013">
        <v>0</v>
      </c>
      <c r="AF6013">
        <v>0</v>
      </c>
      <c r="AG6013">
        <v>0</v>
      </c>
      <c r="AH6013">
        <v>0</v>
      </c>
      <c r="AI6013">
        <v>100</v>
      </c>
      <c r="AJ6013">
        <v>1</v>
      </c>
      <c r="AK6013">
        <v>0</v>
      </c>
      <c r="AL6013">
        <v>0</v>
      </c>
      <c r="AM6013">
        <v>100</v>
      </c>
      <c r="AN6013">
        <v>0</v>
      </c>
      <c r="AO6013">
        <v>0</v>
      </c>
      <c r="AP6013">
        <v>0</v>
      </c>
      <c r="AQ6013">
        <v>0</v>
      </c>
      <c r="AS6013">
        <v>0</v>
      </c>
      <c r="AT6013">
        <v>0</v>
      </c>
      <c r="AV6013">
        <v>0</v>
      </c>
      <c r="AW6013">
        <v>0</v>
      </c>
      <c r="AY6013">
        <v>0</v>
      </c>
      <c r="AZ6013">
        <v>0</v>
      </c>
      <c r="BA6013">
        <v>70</v>
      </c>
      <c r="BE6013" t="str">
        <f>T("9791137017511")</f>
        <v>9791137017511</v>
      </c>
      <c r="BG6013" t="str">
        <f>T("판타지 웹소설 &gt; 무협 소설")</f>
        <v>판타지 웹소설 &gt; 무협 소설</v>
      </c>
    </row>
    <row r="6014" spans="1:59">
      <c r="A6014" t="s">
        <v>60</v>
      </c>
      <c r="B6014" s="1">
        <v>46130</v>
      </c>
      <c r="C6014">
        <v>2378060170</v>
      </c>
      <c r="D6014">
        <v>2378060268</v>
      </c>
      <c r="E6014" t="str">
        <f>T("제갈무신 98화")</f>
        <v>제갈무신 98화</v>
      </c>
      <c r="F6014">
        <v>99</v>
      </c>
      <c r="G6014" t="str">
        <f>T("무영")</f>
        <v>무영</v>
      </c>
      <c r="J6014" t="str">
        <f>T("매드햇")</f>
        <v>매드햇</v>
      </c>
      <c r="K6014" t="str">
        <f>T("제갈무신")</f>
        <v>제갈무신</v>
      </c>
      <c r="L6014">
        <v>100</v>
      </c>
      <c r="M6014">
        <v>100</v>
      </c>
      <c r="N6014">
        <v>1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0</v>
      </c>
      <c r="AE6014">
        <v>0</v>
      </c>
      <c r="AF6014">
        <v>0</v>
      </c>
      <c r="AG6014">
        <v>0</v>
      </c>
      <c r="AH6014">
        <v>0</v>
      </c>
      <c r="AI6014">
        <v>100</v>
      </c>
      <c r="AJ6014">
        <v>1</v>
      </c>
      <c r="AK6014">
        <v>0</v>
      </c>
      <c r="AL6014">
        <v>0</v>
      </c>
      <c r="AM6014">
        <v>100</v>
      </c>
      <c r="AN6014">
        <v>0</v>
      </c>
      <c r="AO6014">
        <v>0</v>
      </c>
      <c r="AP6014">
        <v>0</v>
      </c>
      <c r="AQ6014">
        <v>0</v>
      </c>
      <c r="AS6014">
        <v>0</v>
      </c>
      <c r="AT6014">
        <v>0</v>
      </c>
      <c r="AV6014">
        <v>0</v>
      </c>
      <c r="AW6014">
        <v>0</v>
      </c>
      <c r="AY6014">
        <v>0</v>
      </c>
      <c r="AZ6014">
        <v>0</v>
      </c>
      <c r="BA6014">
        <v>70</v>
      </c>
      <c r="BE6014" t="str">
        <f>T("9791137017511")</f>
        <v>9791137017511</v>
      </c>
      <c r="BG6014" t="str">
        <f>T("판타지 웹소설 &gt; 무협 소설")</f>
        <v>판타지 웹소설 &gt; 무협 소설</v>
      </c>
    </row>
    <row r="6015" spans="1:59">
      <c r="A6015" t="s">
        <v>60</v>
      </c>
      <c r="B6015" s="1">
        <v>46130</v>
      </c>
      <c r="C6015">
        <v>2378060170</v>
      </c>
      <c r="D6015">
        <v>2378060269</v>
      </c>
      <c r="E6015" t="str">
        <f>T("제갈무신 99화")</f>
        <v>제갈무신 99화</v>
      </c>
      <c r="F6015">
        <v>100</v>
      </c>
      <c r="G6015" t="str">
        <f>T("무영")</f>
        <v>무영</v>
      </c>
      <c r="J6015" t="str">
        <f>T("매드햇")</f>
        <v>매드햇</v>
      </c>
      <c r="K6015" t="str">
        <f>T("제갈무신")</f>
        <v>제갈무신</v>
      </c>
      <c r="L6015">
        <v>100</v>
      </c>
      <c r="M6015">
        <v>100</v>
      </c>
      <c r="N6015">
        <v>1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0</v>
      </c>
      <c r="AE6015">
        <v>0</v>
      </c>
      <c r="AF6015">
        <v>0</v>
      </c>
      <c r="AG6015">
        <v>0</v>
      </c>
      <c r="AH6015">
        <v>0</v>
      </c>
      <c r="AI6015">
        <v>100</v>
      </c>
      <c r="AJ6015">
        <v>1</v>
      </c>
      <c r="AK6015">
        <v>0</v>
      </c>
      <c r="AL6015">
        <v>0</v>
      </c>
      <c r="AM6015">
        <v>100</v>
      </c>
      <c r="AN6015">
        <v>0</v>
      </c>
      <c r="AO6015">
        <v>0</v>
      </c>
      <c r="AP6015">
        <v>0</v>
      </c>
      <c r="AQ6015">
        <v>0</v>
      </c>
      <c r="AS6015">
        <v>0</v>
      </c>
      <c r="AT6015">
        <v>0</v>
      </c>
      <c r="AV6015">
        <v>0</v>
      </c>
      <c r="AW6015">
        <v>0</v>
      </c>
      <c r="AY6015">
        <v>0</v>
      </c>
      <c r="AZ6015">
        <v>0</v>
      </c>
      <c r="BA6015">
        <v>70</v>
      </c>
      <c r="BE6015" t="str">
        <f>T("9791137017511")</f>
        <v>9791137017511</v>
      </c>
      <c r="BG6015" t="str">
        <f>T("판타지 웹소설 &gt; 무협 소설")</f>
        <v>판타지 웹소설 &gt; 무협 소설</v>
      </c>
    </row>
    <row r="6016" spans="1:59">
      <c r="A6016" t="s">
        <v>60</v>
      </c>
      <c r="B6016" s="1">
        <v>46130</v>
      </c>
      <c r="C6016">
        <v>2378060170</v>
      </c>
      <c r="D6016">
        <v>2378060270</v>
      </c>
      <c r="E6016" t="str">
        <f>T("제갈무신 100화")</f>
        <v>제갈무신 100화</v>
      </c>
      <c r="F6016">
        <v>101</v>
      </c>
      <c r="G6016" t="str">
        <f>T("무영")</f>
        <v>무영</v>
      </c>
      <c r="J6016" t="str">
        <f>T("매드햇")</f>
        <v>매드햇</v>
      </c>
      <c r="K6016" t="str">
        <f>T("제갈무신")</f>
        <v>제갈무신</v>
      </c>
      <c r="L6016">
        <v>100</v>
      </c>
      <c r="M6016">
        <v>100</v>
      </c>
      <c r="N6016">
        <v>1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0</v>
      </c>
      <c r="AE6016">
        <v>0</v>
      </c>
      <c r="AF6016">
        <v>0</v>
      </c>
      <c r="AG6016">
        <v>0</v>
      </c>
      <c r="AH6016">
        <v>0</v>
      </c>
      <c r="AI6016">
        <v>100</v>
      </c>
      <c r="AJ6016">
        <v>1</v>
      </c>
      <c r="AK6016">
        <v>0</v>
      </c>
      <c r="AL6016">
        <v>0</v>
      </c>
      <c r="AM6016">
        <v>100</v>
      </c>
      <c r="AN6016">
        <v>0</v>
      </c>
      <c r="AO6016">
        <v>0</v>
      </c>
      <c r="AP6016">
        <v>0</v>
      </c>
      <c r="AQ6016">
        <v>0</v>
      </c>
      <c r="AS6016">
        <v>0</v>
      </c>
      <c r="AT6016">
        <v>0</v>
      </c>
      <c r="AV6016">
        <v>0</v>
      </c>
      <c r="AW6016">
        <v>0</v>
      </c>
      <c r="AY6016">
        <v>0</v>
      </c>
      <c r="AZ6016">
        <v>0</v>
      </c>
      <c r="BA6016">
        <v>70</v>
      </c>
      <c r="BE6016" t="str">
        <f>T("9791137017511")</f>
        <v>9791137017511</v>
      </c>
      <c r="BG6016" t="str">
        <f>T("판타지 웹소설 &gt; 무협 소설")</f>
        <v>판타지 웹소설 &gt; 무협 소설</v>
      </c>
    </row>
    <row r="6017" spans="1:59">
      <c r="A6017" t="s">
        <v>60</v>
      </c>
      <c r="B6017" s="1">
        <v>46130</v>
      </c>
      <c r="C6017">
        <v>2378060170</v>
      </c>
      <c r="D6017">
        <v>2378060271</v>
      </c>
      <c r="E6017" t="str">
        <f>T("제갈무신 101화")</f>
        <v>제갈무신 101화</v>
      </c>
      <c r="F6017">
        <v>102</v>
      </c>
      <c r="G6017" t="str">
        <f>T("무영")</f>
        <v>무영</v>
      </c>
      <c r="J6017" t="str">
        <f>T("매드햇")</f>
        <v>매드햇</v>
      </c>
      <c r="K6017" t="str">
        <f>T("제갈무신")</f>
        <v>제갈무신</v>
      </c>
      <c r="L6017">
        <v>100</v>
      </c>
      <c r="M6017">
        <v>100</v>
      </c>
      <c r="N6017">
        <v>1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0</v>
      </c>
      <c r="AE6017">
        <v>0</v>
      </c>
      <c r="AF6017">
        <v>0</v>
      </c>
      <c r="AG6017">
        <v>0</v>
      </c>
      <c r="AH6017">
        <v>0</v>
      </c>
      <c r="AI6017">
        <v>100</v>
      </c>
      <c r="AJ6017">
        <v>1</v>
      </c>
      <c r="AK6017">
        <v>0</v>
      </c>
      <c r="AL6017">
        <v>0</v>
      </c>
      <c r="AM6017">
        <v>100</v>
      </c>
      <c r="AN6017">
        <v>0</v>
      </c>
      <c r="AO6017">
        <v>0</v>
      </c>
      <c r="AP6017">
        <v>0</v>
      </c>
      <c r="AQ6017">
        <v>0</v>
      </c>
      <c r="AS6017">
        <v>0</v>
      </c>
      <c r="AT6017">
        <v>0</v>
      </c>
      <c r="AV6017">
        <v>0</v>
      </c>
      <c r="AW6017">
        <v>0</v>
      </c>
      <c r="AY6017">
        <v>0</v>
      </c>
      <c r="AZ6017">
        <v>0</v>
      </c>
      <c r="BA6017">
        <v>70</v>
      </c>
      <c r="BE6017" t="str">
        <f>T("9791137017511")</f>
        <v>9791137017511</v>
      </c>
      <c r="BG6017" t="str">
        <f>T("판타지 웹소설 &gt; 무협 소설")</f>
        <v>판타지 웹소설 &gt; 무협 소설</v>
      </c>
    </row>
    <row r="6018" spans="1:59">
      <c r="A6018" t="s">
        <v>60</v>
      </c>
      <c r="B6018" s="1">
        <v>46130</v>
      </c>
      <c r="C6018">
        <v>2378060170</v>
      </c>
      <c r="D6018">
        <v>2378060262</v>
      </c>
      <c r="E6018" t="str">
        <f>T("제갈무신 92화")</f>
        <v>제갈무신 92화</v>
      </c>
      <c r="F6018">
        <v>93</v>
      </c>
      <c r="G6018" t="str">
        <f>T("무영")</f>
        <v>무영</v>
      </c>
      <c r="J6018" t="str">
        <f>T("매드햇")</f>
        <v>매드햇</v>
      </c>
      <c r="K6018" t="str">
        <f>T("제갈무신")</f>
        <v>제갈무신</v>
      </c>
      <c r="L6018">
        <v>100</v>
      </c>
      <c r="M6018">
        <v>100</v>
      </c>
      <c r="N6018">
        <v>1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0</v>
      </c>
      <c r="AE6018">
        <v>0</v>
      </c>
      <c r="AF6018">
        <v>0</v>
      </c>
      <c r="AG6018">
        <v>0</v>
      </c>
      <c r="AH6018">
        <v>0</v>
      </c>
      <c r="AI6018">
        <v>100</v>
      </c>
      <c r="AJ6018">
        <v>1</v>
      </c>
      <c r="AK6018">
        <v>0</v>
      </c>
      <c r="AL6018">
        <v>0</v>
      </c>
      <c r="AM6018">
        <v>100</v>
      </c>
      <c r="AN6018">
        <v>0</v>
      </c>
      <c r="AO6018">
        <v>0</v>
      </c>
      <c r="AP6018">
        <v>0</v>
      </c>
      <c r="AQ6018">
        <v>0</v>
      </c>
      <c r="AS6018">
        <v>0</v>
      </c>
      <c r="AT6018">
        <v>0</v>
      </c>
      <c r="AV6018">
        <v>0</v>
      </c>
      <c r="AW6018">
        <v>0</v>
      </c>
      <c r="AY6018">
        <v>0</v>
      </c>
      <c r="AZ6018">
        <v>0</v>
      </c>
      <c r="BA6018">
        <v>70</v>
      </c>
      <c r="BE6018" t="str">
        <f>T("9791137017511")</f>
        <v>9791137017511</v>
      </c>
      <c r="BG6018" t="str">
        <f>T("판타지 웹소설 &gt; 무협 소설")</f>
        <v>판타지 웹소설 &gt; 무협 소설</v>
      </c>
    </row>
    <row r="6019" spans="1:59">
      <c r="A6019" t="s">
        <v>60</v>
      </c>
      <c r="B6019" s="1">
        <v>46130</v>
      </c>
      <c r="C6019">
        <v>2378060170</v>
      </c>
      <c r="D6019">
        <v>2378060263</v>
      </c>
      <c r="E6019" t="str">
        <f>T("제갈무신 93화")</f>
        <v>제갈무신 93화</v>
      </c>
      <c r="F6019">
        <v>94</v>
      </c>
      <c r="G6019" t="str">
        <f>T("무영")</f>
        <v>무영</v>
      </c>
      <c r="J6019" t="str">
        <f>T("매드햇")</f>
        <v>매드햇</v>
      </c>
      <c r="K6019" t="str">
        <f>T("제갈무신")</f>
        <v>제갈무신</v>
      </c>
      <c r="L6019">
        <v>100</v>
      </c>
      <c r="M6019">
        <v>100</v>
      </c>
      <c r="N6019">
        <v>1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0</v>
      </c>
      <c r="AE6019">
        <v>0</v>
      </c>
      <c r="AF6019">
        <v>0</v>
      </c>
      <c r="AG6019">
        <v>0</v>
      </c>
      <c r="AH6019">
        <v>0</v>
      </c>
      <c r="AI6019">
        <v>100</v>
      </c>
      <c r="AJ6019">
        <v>1</v>
      </c>
      <c r="AK6019">
        <v>0</v>
      </c>
      <c r="AL6019">
        <v>0</v>
      </c>
      <c r="AM6019">
        <v>100</v>
      </c>
      <c r="AN6019">
        <v>0</v>
      </c>
      <c r="AO6019">
        <v>0</v>
      </c>
      <c r="AP6019">
        <v>0</v>
      </c>
      <c r="AQ6019">
        <v>0</v>
      </c>
      <c r="AS6019">
        <v>0</v>
      </c>
      <c r="AT6019">
        <v>0</v>
      </c>
      <c r="AV6019">
        <v>0</v>
      </c>
      <c r="AW6019">
        <v>0</v>
      </c>
      <c r="AY6019">
        <v>0</v>
      </c>
      <c r="AZ6019">
        <v>0</v>
      </c>
      <c r="BA6019">
        <v>70</v>
      </c>
      <c r="BE6019" t="str">
        <f>T("9791137017511")</f>
        <v>9791137017511</v>
      </c>
      <c r="BG6019" t="str">
        <f>T("판타지 웹소설 &gt; 무협 소설")</f>
        <v>판타지 웹소설 &gt; 무협 소설</v>
      </c>
    </row>
    <row r="6020" spans="1:59">
      <c r="A6020" t="s">
        <v>60</v>
      </c>
      <c r="B6020" s="1">
        <v>46130</v>
      </c>
      <c r="C6020">
        <v>2378060170</v>
      </c>
      <c r="D6020">
        <v>2378060264</v>
      </c>
      <c r="E6020" t="str">
        <f>T("제갈무신 94화")</f>
        <v>제갈무신 94화</v>
      </c>
      <c r="F6020">
        <v>95</v>
      </c>
      <c r="G6020" t="str">
        <f>T("무영")</f>
        <v>무영</v>
      </c>
      <c r="J6020" t="str">
        <f>T("매드햇")</f>
        <v>매드햇</v>
      </c>
      <c r="K6020" t="str">
        <f>T("제갈무신")</f>
        <v>제갈무신</v>
      </c>
      <c r="L6020">
        <v>100</v>
      </c>
      <c r="M6020">
        <v>100</v>
      </c>
      <c r="N6020">
        <v>1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0</v>
      </c>
      <c r="AE6020">
        <v>0</v>
      </c>
      <c r="AF6020">
        <v>0</v>
      </c>
      <c r="AG6020">
        <v>0</v>
      </c>
      <c r="AH6020">
        <v>0</v>
      </c>
      <c r="AI6020">
        <v>100</v>
      </c>
      <c r="AJ6020">
        <v>1</v>
      </c>
      <c r="AK6020">
        <v>0</v>
      </c>
      <c r="AL6020">
        <v>0</v>
      </c>
      <c r="AM6020">
        <v>100</v>
      </c>
      <c r="AN6020">
        <v>0</v>
      </c>
      <c r="AO6020">
        <v>0</v>
      </c>
      <c r="AP6020">
        <v>0</v>
      </c>
      <c r="AQ6020">
        <v>0</v>
      </c>
      <c r="AS6020">
        <v>0</v>
      </c>
      <c r="AT6020">
        <v>0</v>
      </c>
      <c r="AV6020">
        <v>0</v>
      </c>
      <c r="AW6020">
        <v>0</v>
      </c>
      <c r="AY6020">
        <v>0</v>
      </c>
      <c r="AZ6020">
        <v>0</v>
      </c>
      <c r="BA6020">
        <v>70</v>
      </c>
      <c r="BE6020" t="str">
        <f>T("9791137017511")</f>
        <v>9791137017511</v>
      </c>
      <c r="BG6020" t="str">
        <f>T("판타지 웹소설 &gt; 무협 소설")</f>
        <v>판타지 웹소설 &gt; 무협 소설</v>
      </c>
    </row>
    <row r="6021" spans="1:59">
      <c r="A6021" t="s">
        <v>60</v>
      </c>
      <c r="B6021" s="1">
        <v>46130</v>
      </c>
      <c r="C6021">
        <v>2378060170</v>
      </c>
      <c r="D6021">
        <v>2378060265</v>
      </c>
      <c r="E6021" t="str">
        <f>T("제갈무신 95화")</f>
        <v>제갈무신 95화</v>
      </c>
      <c r="F6021">
        <v>96</v>
      </c>
      <c r="G6021" t="str">
        <f>T("무영")</f>
        <v>무영</v>
      </c>
      <c r="J6021" t="str">
        <f>T("매드햇")</f>
        <v>매드햇</v>
      </c>
      <c r="K6021" t="str">
        <f>T("제갈무신")</f>
        <v>제갈무신</v>
      </c>
      <c r="L6021">
        <v>100</v>
      </c>
      <c r="M6021">
        <v>100</v>
      </c>
      <c r="N6021">
        <v>1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0</v>
      </c>
      <c r="AE6021">
        <v>0</v>
      </c>
      <c r="AF6021">
        <v>0</v>
      </c>
      <c r="AG6021">
        <v>0</v>
      </c>
      <c r="AH6021">
        <v>0</v>
      </c>
      <c r="AI6021">
        <v>100</v>
      </c>
      <c r="AJ6021">
        <v>1</v>
      </c>
      <c r="AK6021">
        <v>0</v>
      </c>
      <c r="AL6021">
        <v>0</v>
      </c>
      <c r="AM6021">
        <v>100</v>
      </c>
      <c r="AN6021">
        <v>0</v>
      </c>
      <c r="AO6021">
        <v>0</v>
      </c>
      <c r="AP6021">
        <v>0</v>
      </c>
      <c r="AQ6021">
        <v>0</v>
      </c>
      <c r="AS6021">
        <v>0</v>
      </c>
      <c r="AT6021">
        <v>0</v>
      </c>
      <c r="AV6021">
        <v>0</v>
      </c>
      <c r="AW6021">
        <v>0</v>
      </c>
      <c r="AY6021">
        <v>0</v>
      </c>
      <c r="AZ6021">
        <v>0</v>
      </c>
      <c r="BA6021">
        <v>70</v>
      </c>
      <c r="BE6021" t="str">
        <f>T("9791137017511")</f>
        <v>9791137017511</v>
      </c>
      <c r="BG6021" t="str">
        <f>T("판타지 웹소설 &gt; 무협 소설")</f>
        <v>판타지 웹소설 &gt; 무협 소설</v>
      </c>
    </row>
    <row r="6022" spans="1:59">
      <c r="A6022" t="s">
        <v>60</v>
      </c>
      <c r="B6022" s="1">
        <v>46130</v>
      </c>
      <c r="C6022">
        <v>2378060170</v>
      </c>
      <c r="D6022">
        <v>2378060266</v>
      </c>
      <c r="E6022" t="str">
        <f>T("제갈무신 96화")</f>
        <v>제갈무신 96화</v>
      </c>
      <c r="F6022">
        <v>97</v>
      </c>
      <c r="G6022" t="str">
        <f>T("무영")</f>
        <v>무영</v>
      </c>
      <c r="J6022" t="str">
        <f>T("매드햇")</f>
        <v>매드햇</v>
      </c>
      <c r="K6022" t="str">
        <f>T("제갈무신")</f>
        <v>제갈무신</v>
      </c>
      <c r="L6022">
        <v>100</v>
      </c>
      <c r="M6022">
        <v>100</v>
      </c>
      <c r="N6022">
        <v>1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0</v>
      </c>
      <c r="AE6022">
        <v>0</v>
      </c>
      <c r="AF6022">
        <v>0</v>
      </c>
      <c r="AG6022">
        <v>0</v>
      </c>
      <c r="AH6022">
        <v>0</v>
      </c>
      <c r="AI6022">
        <v>100</v>
      </c>
      <c r="AJ6022">
        <v>1</v>
      </c>
      <c r="AK6022">
        <v>0</v>
      </c>
      <c r="AL6022">
        <v>0</v>
      </c>
      <c r="AM6022">
        <v>100</v>
      </c>
      <c r="AN6022">
        <v>0</v>
      </c>
      <c r="AO6022">
        <v>0</v>
      </c>
      <c r="AP6022">
        <v>0</v>
      </c>
      <c r="AQ6022">
        <v>0</v>
      </c>
      <c r="AS6022">
        <v>0</v>
      </c>
      <c r="AT6022">
        <v>0</v>
      </c>
      <c r="AV6022">
        <v>0</v>
      </c>
      <c r="AW6022">
        <v>0</v>
      </c>
      <c r="AY6022">
        <v>0</v>
      </c>
      <c r="AZ6022">
        <v>0</v>
      </c>
      <c r="BA6022">
        <v>70</v>
      </c>
      <c r="BE6022" t="str">
        <f>T("9791137017511")</f>
        <v>9791137017511</v>
      </c>
      <c r="BG6022" t="str">
        <f>T("판타지 웹소설 &gt; 무협 소설")</f>
        <v>판타지 웹소설 &gt; 무협 소설</v>
      </c>
    </row>
    <row r="6023" spans="1:59">
      <c r="A6023" t="s">
        <v>60</v>
      </c>
      <c r="B6023" s="1">
        <v>46130</v>
      </c>
      <c r="C6023">
        <v>2378060170</v>
      </c>
      <c r="D6023">
        <v>2378060261</v>
      </c>
      <c r="E6023" t="str">
        <f>T("제갈무신 91화")</f>
        <v>제갈무신 91화</v>
      </c>
      <c r="F6023">
        <v>92</v>
      </c>
      <c r="G6023" t="str">
        <f>T("무영")</f>
        <v>무영</v>
      </c>
      <c r="J6023" t="str">
        <f>T("매드햇")</f>
        <v>매드햇</v>
      </c>
      <c r="K6023" t="str">
        <f>T("제갈무신")</f>
        <v>제갈무신</v>
      </c>
      <c r="L6023">
        <v>100</v>
      </c>
      <c r="M6023">
        <v>100</v>
      </c>
      <c r="N6023">
        <v>1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0</v>
      </c>
      <c r="AE6023">
        <v>0</v>
      </c>
      <c r="AF6023">
        <v>0</v>
      </c>
      <c r="AG6023">
        <v>0</v>
      </c>
      <c r="AH6023">
        <v>0</v>
      </c>
      <c r="AI6023">
        <v>100</v>
      </c>
      <c r="AJ6023">
        <v>1</v>
      </c>
      <c r="AK6023">
        <v>0</v>
      </c>
      <c r="AL6023">
        <v>0</v>
      </c>
      <c r="AM6023">
        <v>100</v>
      </c>
      <c r="AN6023">
        <v>0</v>
      </c>
      <c r="AO6023">
        <v>0</v>
      </c>
      <c r="AP6023">
        <v>0</v>
      </c>
      <c r="AQ6023">
        <v>0</v>
      </c>
      <c r="AS6023">
        <v>0</v>
      </c>
      <c r="AT6023">
        <v>0</v>
      </c>
      <c r="AV6023">
        <v>0</v>
      </c>
      <c r="AW6023">
        <v>0</v>
      </c>
      <c r="AY6023">
        <v>0</v>
      </c>
      <c r="AZ6023">
        <v>0</v>
      </c>
      <c r="BA6023">
        <v>70</v>
      </c>
      <c r="BE6023" t="str">
        <f>T("9791137017511")</f>
        <v>9791137017511</v>
      </c>
      <c r="BG6023" t="str">
        <f>T("판타지 웹소설 &gt; 무협 소설")</f>
        <v>판타지 웹소설 &gt; 무협 소설</v>
      </c>
    </row>
    <row r="6024" spans="1:59">
      <c r="A6024" t="s">
        <v>60</v>
      </c>
      <c r="B6024" s="1">
        <v>46130</v>
      </c>
      <c r="C6024">
        <v>2378060170</v>
      </c>
      <c r="D6024">
        <v>2378060272</v>
      </c>
      <c r="E6024" t="str">
        <f>T("제갈무신 102화")</f>
        <v>제갈무신 102화</v>
      </c>
      <c r="F6024">
        <v>103</v>
      </c>
      <c r="G6024" t="str">
        <f>T("무영")</f>
        <v>무영</v>
      </c>
      <c r="J6024" t="str">
        <f>T("매드햇")</f>
        <v>매드햇</v>
      </c>
      <c r="K6024" t="str">
        <f>T("제갈무신")</f>
        <v>제갈무신</v>
      </c>
      <c r="L6024">
        <v>100</v>
      </c>
      <c r="M6024">
        <v>100</v>
      </c>
      <c r="N6024">
        <v>1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0</v>
      </c>
      <c r="AE6024">
        <v>0</v>
      </c>
      <c r="AF6024">
        <v>0</v>
      </c>
      <c r="AG6024">
        <v>0</v>
      </c>
      <c r="AH6024">
        <v>0</v>
      </c>
      <c r="AI6024">
        <v>100</v>
      </c>
      <c r="AJ6024">
        <v>1</v>
      </c>
      <c r="AK6024">
        <v>0</v>
      </c>
      <c r="AL6024">
        <v>0</v>
      </c>
      <c r="AM6024">
        <v>100</v>
      </c>
      <c r="AN6024">
        <v>0</v>
      </c>
      <c r="AO6024">
        <v>0</v>
      </c>
      <c r="AP6024">
        <v>0</v>
      </c>
      <c r="AQ6024">
        <v>0</v>
      </c>
      <c r="AS6024">
        <v>0</v>
      </c>
      <c r="AT6024">
        <v>0</v>
      </c>
      <c r="AV6024">
        <v>0</v>
      </c>
      <c r="AW6024">
        <v>0</v>
      </c>
      <c r="AY6024">
        <v>0</v>
      </c>
      <c r="AZ6024">
        <v>0</v>
      </c>
      <c r="BA6024">
        <v>70</v>
      </c>
      <c r="BE6024" t="str">
        <f>T("9791137017511")</f>
        <v>9791137017511</v>
      </c>
      <c r="BG6024" t="str">
        <f>T("판타지 웹소설 &gt; 무협 소설")</f>
        <v>판타지 웹소설 &gt; 무협 소설</v>
      </c>
    </row>
    <row r="6025" spans="1:59">
      <c r="A6025" t="s">
        <v>60</v>
      </c>
      <c r="B6025" s="1">
        <v>46131</v>
      </c>
      <c r="C6025">
        <v>2378060170</v>
      </c>
      <c r="D6025">
        <v>2378060273</v>
      </c>
      <c r="E6025" t="str">
        <f>T("제갈무신 103화")</f>
        <v>제갈무신 103화</v>
      </c>
      <c r="F6025">
        <v>104</v>
      </c>
      <c r="G6025" t="str">
        <f>T("무영")</f>
        <v>무영</v>
      </c>
      <c r="J6025" t="str">
        <f>T("매드햇")</f>
        <v>매드햇</v>
      </c>
      <c r="K6025" t="str">
        <f>T("제갈무신")</f>
        <v>제갈무신</v>
      </c>
      <c r="L6025">
        <v>100</v>
      </c>
      <c r="M6025">
        <v>100</v>
      </c>
      <c r="N6025">
        <v>1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0</v>
      </c>
      <c r="AE6025">
        <v>0</v>
      </c>
      <c r="AF6025">
        <v>0</v>
      </c>
      <c r="AG6025">
        <v>0</v>
      </c>
      <c r="AH6025">
        <v>0</v>
      </c>
      <c r="AI6025">
        <v>100</v>
      </c>
      <c r="AJ6025">
        <v>1</v>
      </c>
      <c r="AK6025">
        <v>0</v>
      </c>
      <c r="AL6025">
        <v>0</v>
      </c>
      <c r="AM6025">
        <v>100</v>
      </c>
      <c r="AN6025">
        <v>0</v>
      </c>
      <c r="AO6025">
        <v>0</v>
      </c>
      <c r="AP6025">
        <v>0</v>
      </c>
      <c r="AQ6025">
        <v>0</v>
      </c>
      <c r="AS6025">
        <v>0</v>
      </c>
      <c r="AT6025">
        <v>0</v>
      </c>
      <c r="AV6025">
        <v>0</v>
      </c>
      <c r="AW6025">
        <v>0</v>
      </c>
      <c r="AY6025">
        <v>0</v>
      </c>
      <c r="AZ6025">
        <v>0</v>
      </c>
      <c r="BA6025">
        <v>70</v>
      </c>
      <c r="BE6025" t="str">
        <f>T("9791137017511")</f>
        <v>9791137017511</v>
      </c>
      <c r="BG6025" t="str">
        <f>T("판타지 웹소설 &gt; 무협 소설")</f>
        <v>판타지 웹소설 &gt; 무협 소설</v>
      </c>
    </row>
    <row r="6026" spans="1:59">
      <c r="A6026" t="s">
        <v>60</v>
      </c>
      <c r="B6026" s="1">
        <v>46131</v>
      </c>
      <c r="C6026">
        <v>2378060170</v>
      </c>
      <c r="D6026">
        <v>2378060474</v>
      </c>
      <c r="E6026" t="str">
        <f>T("제갈무신 108화")</f>
        <v>제갈무신 108화</v>
      </c>
      <c r="F6026">
        <v>109</v>
      </c>
      <c r="G6026" t="str">
        <f>T("무영")</f>
        <v>무영</v>
      </c>
      <c r="J6026" t="str">
        <f>T("매드햇")</f>
        <v>매드햇</v>
      </c>
      <c r="K6026" t="str">
        <f>T("제갈무신")</f>
        <v>제갈무신</v>
      </c>
      <c r="L6026">
        <v>100</v>
      </c>
      <c r="M6026">
        <v>100</v>
      </c>
      <c r="N6026">
        <v>1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0</v>
      </c>
      <c r="AE6026">
        <v>0</v>
      </c>
      <c r="AF6026">
        <v>0</v>
      </c>
      <c r="AG6026">
        <v>0</v>
      </c>
      <c r="AH6026">
        <v>0</v>
      </c>
      <c r="AI6026">
        <v>100</v>
      </c>
      <c r="AJ6026">
        <v>1</v>
      </c>
      <c r="AK6026">
        <v>0</v>
      </c>
      <c r="AL6026">
        <v>0</v>
      </c>
      <c r="AM6026">
        <v>100</v>
      </c>
      <c r="AN6026">
        <v>0</v>
      </c>
      <c r="AO6026">
        <v>0</v>
      </c>
      <c r="AP6026">
        <v>0</v>
      </c>
      <c r="AQ6026">
        <v>0</v>
      </c>
      <c r="AS6026">
        <v>0</v>
      </c>
      <c r="AT6026">
        <v>0</v>
      </c>
      <c r="AV6026">
        <v>0</v>
      </c>
      <c r="AW6026">
        <v>0</v>
      </c>
      <c r="AY6026">
        <v>0</v>
      </c>
      <c r="AZ6026">
        <v>0</v>
      </c>
      <c r="BA6026">
        <v>70</v>
      </c>
      <c r="BE6026" t="str">
        <f>T("9791137017511")</f>
        <v>9791137017511</v>
      </c>
      <c r="BF6026" t="str">
        <f>T("k197075")</f>
        <v>k197075</v>
      </c>
      <c r="BG6026" t="str">
        <f>T("판타지 웹소설 &gt; 무협 소설")</f>
        <v>판타지 웹소설 &gt; 무협 소설</v>
      </c>
    </row>
    <row r="6027" spans="1:59">
      <c r="A6027" t="s">
        <v>60</v>
      </c>
      <c r="B6027" s="1">
        <v>46131</v>
      </c>
      <c r="C6027">
        <v>2378060170</v>
      </c>
      <c r="D6027">
        <v>2378060274</v>
      </c>
      <c r="E6027" t="str">
        <f>T("제갈무신 104화")</f>
        <v>제갈무신 104화</v>
      </c>
      <c r="F6027">
        <v>105</v>
      </c>
      <c r="G6027" t="str">
        <f>T("무영")</f>
        <v>무영</v>
      </c>
      <c r="J6027" t="str">
        <f>T("매드햇")</f>
        <v>매드햇</v>
      </c>
      <c r="K6027" t="str">
        <f>T("제갈무신")</f>
        <v>제갈무신</v>
      </c>
      <c r="L6027">
        <v>100</v>
      </c>
      <c r="M6027">
        <v>100</v>
      </c>
      <c r="N6027">
        <v>1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0</v>
      </c>
      <c r="AE6027">
        <v>0</v>
      </c>
      <c r="AF6027">
        <v>0</v>
      </c>
      <c r="AG6027">
        <v>0</v>
      </c>
      <c r="AH6027">
        <v>0</v>
      </c>
      <c r="AI6027">
        <v>100</v>
      </c>
      <c r="AJ6027">
        <v>1</v>
      </c>
      <c r="AK6027">
        <v>0</v>
      </c>
      <c r="AL6027">
        <v>0</v>
      </c>
      <c r="AM6027">
        <v>100</v>
      </c>
      <c r="AN6027">
        <v>0</v>
      </c>
      <c r="AO6027">
        <v>0</v>
      </c>
      <c r="AP6027">
        <v>0</v>
      </c>
      <c r="AQ6027">
        <v>0</v>
      </c>
      <c r="AS6027">
        <v>0</v>
      </c>
      <c r="AT6027">
        <v>0</v>
      </c>
      <c r="AV6027">
        <v>0</v>
      </c>
      <c r="AW6027">
        <v>0</v>
      </c>
      <c r="AY6027">
        <v>0</v>
      </c>
      <c r="AZ6027">
        <v>0</v>
      </c>
      <c r="BA6027">
        <v>70</v>
      </c>
      <c r="BE6027" t="str">
        <f>T("9791137017511")</f>
        <v>9791137017511</v>
      </c>
      <c r="BG6027" t="str">
        <f>T("판타지 웹소설 &gt; 무협 소설")</f>
        <v>판타지 웹소설 &gt; 무협 소설</v>
      </c>
    </row>
    <row r="6028" spans="1:59">
      <c r="A6028" t="s">
        <v>60</v>
      </c>
      <c r="B6028" s="1">
        <v>46131</v>
      </c>
      <c r="C6028">
        <v>2378060170</v>
      </c>
      <c r="D6028">
        <v>2378060275</v>
      </c>
      <c r="E6028" t="str">
        <f>T("제갈무신 105화")</f>
        <v>제갈무신 105화</v>
      </c>
      <c r="F6028">
        <v>106</v>
      </c>
      <c r="G6028" t="str">
        <f>T("무영")</f>
        <v>무영</v>
      </c>
      <c r="J6028" t="str">
        <f>T("매드햇")</f>
        <v>매드햇</v>
      </c>
      <c r="K6028" t="str">
        <f>T("제갈무신")</f>
        <v>제갈무신</v>
      </c>
      <c r="L6028">
        <v>100</v>
      </c>
      <c r="M6028">
        <v>100</v>
      </c>
      <c r="N6028">
        <v>1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0</v>
      </c>
      <c r="AE6028">
        <v>0</v>
      </c>
      <c r="AF6028">
        <v>0</v>
      </c>
      <c r="AG6028">
        <v>0</v>
      </c>
      <c r="AH6028">
        <v>0</v>
      </c>
      <c r="AI6028">
        <v>100</v>
      </c>
      <c r="AJ6028">
        <v>1</v>
      </c>
      <c r="AK6028">
        <v>0</v>
      </c>
      <c r="AL6028">
        <v>0</v>
      </c>
      <c r="AM6028">
        <v>100</v>
      </c>
      <c r="AN6028">
        <v>0</v>
      </c>
      <c r="AO6028">
        <v>0</v>
      </c>
      <c r="AP6028">
        <v>0</v>
      </c>
      <c r="AQ6028">
        <v>0</v>
      </c>
      <c r="AS6028">
        <v>0</v>
      </c>
      <c r="AT6028">
        <v>0</v>
      </c>
      <c r="AV6028">
        <v>0</v>
      </c>
      <c r="AW6028">
        <v>0</v>
      </c>
      <c r="AY6028">
        <v>0</v>
      </c>
      <c r="AZ6028">
        <v>0</v>
      </c>
      <c r="BA6028">
        <v>70</v>
      </c>
      <c r="BE6028" t="str">
        <f>T("9791137017511")</f>
        <v>9791137017511</v>
      </c>
      <c r="BG6028" t="str">
        <f>T("판타지 웹소설 &gt; 무협 소설")</f>
        <v>판타지 웹소설 &gt; 무협 소설</v>
      </c>
    </row>
    <row r="6029" spans="1:59">
      <c r="A6029" t="s">
        <v>60</v>
      </c>
      <c r="B6029" s="1">
        <v>46131</v>
      </c>
      <c r="C6029">
        <v>2378060170</v>
      </c>
      <c r="D6029">
        <v>2378060276</v>
      </c>
      <c r="E6029" t="str">
        <f>T("제갈무신 106화")</f>
        <v>제갈무신 106화</v>
      </c>
      <c r="F6029">
        <v>107</v>
      </c>
      <c r="G6029" t="str">
        <f>T("무영")</f>
        <v>무영</v>
      </c>
      <c r="J6029" t="str">
        <f>T("매드햇")</f>
        <v>매드햇</v>
      </c>
      <c r="K6029" t="str">
        <f>T("제갈무신")</f>
        <v>제갈무신</v>
      </c>
      <c r="L6029">
        <v>100</v>
      </c>
      <c r="M6029">
        <v>100</v>
      </c>
      <c r="N6029">
        <v>1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0</v>
      </c>
      <c r="AE6029">
        <v>0</v>
      </c>
      <c r="AF6029">
        <v>0</v>
      </c>
      <c r="AG6029">
        <v>0</v>
      </c>
      <c r="AH6029">
        <v>0</v>
      </c>
      <c r="AI6029">
        <v>100</v>
      </c>
      <c r="AJ6029">
        <v>1</v>
      </c>
      <c r="AK6029">
        <v>0</v>
      </c>
      <c r="AL6029">
        <v>0</v>
      </c>
      <c r="AM6029">
        <v>100</v>
      </c>
      <c r="AN6029">
        <v>0</v>
      </c>
      <c r="AO6029">
        <v>0</v>
      </c>
      <c r="AP6029">
        <v>0</v>
      </c>
      <c r="AQ6029">
        <v>0</v>
      </c>
      <c r="AS6029">
        <v>0</v>
      </c>
      <c r="AT6029">
        <v>0</v>
      </c>
      <c r="AV6029">
        <v>0</v>
      </c>
      <c r="AW6029">
        <v>0</v>
      </c>
      <c r="AY6029">
        <v>0</v>
      </c>
      <c r="AZ6029">
        <v>0</v>
      </c>
      <c r="BA6029">
        <v>70</v>
      </c>
      <c r="BE6029" t="str">
        <f>T("9791137017511")</f>
        <v>9791137017511</v>
      </c>
      <c r="BG6029" t="str">
        <f>T("판타지 웹소설 &gt; 무협 소설")</f>
        <v>판타지 웹소설 &gt; 무협 소설</v>
      </c>
    </row>
    <row r="6030" spans="1:59">
      <c r="A6030" t="s">
        <v>60</v>
      </c>
      <c r="B6030" s="1">
        <v>46131</v>
      </c>
      <c r="C6030">
        <v>2378060170</v>
      </c>
      <c r="D6030">
        <v>2378060283</v>
      </c>
      <c r="E6030" t="str">
        <f>T("제갈무신 107화")</f>
        <v>제갈무신 107화</v>
      </c>
      <c r="F6030">
        <v>108</v>
      </c>
      <c r="G6030" t="str">
        <f>T("무영")</f>
        <v>무영</v>
      </c>
      <c r="J6030" t="str">
        <f>T("매드햇")</f>
        <v>매드햇</v>
      </c>
      <c r="K6030" t="str">
        <f>T("제갈무신")</f>
        <v>제갈무신</v>
      </c>
      <c r="L6030">
        <v>100</v>
      </c>
      <c r="M6030">
        <v>100</v>
      </c>
      <c r="N6030">
        <v>1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0</v>
      </c>
      <c r="AE6030">
        <v>0</v>
      </c>
      <c r="AF6030">
        <v>0</v>
      </c>
      <c r="AG6030">
        <v>0</v>
      </c>
      <c r="AH6030">
        <v>0</v>
      </c>
      <c r="AI6030">
        <v>100</v>
      </c>
      <c r="AJ6030">
        <v>1</v>
      </c>
      <c r="AK6030">
        <v>0</v>
      </c>
      <c r="AL6030">
        <v>0</v>
      </c>
      <c r="AM6030">
        <v>100</v>
      </c>
      <c r="AN6030">
        <v>0</v>
      </c>
      <c r="AO6030">
        <v>0</v>
      </c>
      <c r="AP6030">
        <v>0</v>
      </c>
      <c r="AQ6030">
        <v>0</v>
      </c>
      <c r="AS6030">
        <v>0</v>
      </c>
      <c r="AT6030">
        <v>0</v>
      </c>
      <c r="AV6030">
        <v>0</v>
      </c>
      <c r="AW6030">
        <v>0</v>
      </c>
      <c r="AY6030">
        <v>0</v>
      </c>
      <c r="AZ6030">
        <v>0</v>
      </c>
      <c r="BA6030">
        <v>70</v>
      </c>
      <c r="BE6030" t="str">
        <f>T("9791137017511")</f>
        <v>9791137017511</v>
      </c>
      <c r="BF6030" t="str">
        <f>T("k197074")</f>
        <v>k197074</v>
      </c>
      <c r="BG6030" t="str">
        <f>T("판타지 웹소설 &gt; 무협 소설")</f>
        <v>판타지 웹소설 &gt; 무협 소설</v>
      </c>
    </row>
    <row r="6031" spans="1:59">
      <c r="A6031" t="s">
        <v>60</v>
      </c>
      <c r="B6031" s="1">
        <v>46130</v>
      </c>
      <c r="C6031">
        <v>2378036823</v>
      </c>
      <c r="D6031">
        <v>2378036848</v>
      </c>
      <c r="E6031" t="str">
        <f>T("증권 재벌의 천재 손자가 되었다 26화")</f>
        <v>증권 재벌의 천재 손자가 되었다 26화</v>
      </c>
      <c r="F6031">
        <v>26</v>
      </c>
      <c r="G6031" t="str">
        <f>T("번파")</f>
        <v>번파</v>
      </c>
      <c r="J6031" t="str">
        <f>T("매드햇")</f>
        <v>매드햇</v>
      </c>
      <c r="K6031" t="str">
        <f>T("증권 재벌의 천재 손자가 되었다")</f>
        <v>증권 재벌의 천재 손자가 되었다</v>
      </c>
      <c r="L6031">
        <v>100</v>
      </c>
      <c r="M6031">
        <v>100</v>
      </c>
      <c r="N6031">
        <v>1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0</v>
      </c>
      <c r="AE6031">
        <v>0</v>
      </c>
      <c r="AF6031">
        <v>0</v>
      </c>
      <c r="AG6031">
        <v>0</v>
      </c>
      <c r="AH6031">
        <v>0</v>
      </c>
      <c r="AI6031">
        <v>100</v>
      </c>
      <c r="AJ6031">
        <v>1</v>
      </c>
      <c r="AK6031">
        <v>0</v>
      </c>
      <c r="AL6031">
        <v>0</v>
      </c>
      <c r="AM6031">
        <v>100</v>
      </c>
      <c r="AN6031">
        <v>0</v>
      </c>
      <c r="AO6031">
        <v>0</v>
      </c>
      <c r="AP6031">
        <v>0</v>
      </c>
      <c r="AQ6031">
        <v>0</v>
      </c>
      <c r="AS6031">
        <v>0</v>
      </c>
      <c r="AT6031">
        <v>0</v>
      </c>
      <c r="AV6031">
        <v>0</v>
      </c>
      <c r="AW6031">
        <v>0</v>
      </c>
      <c r="AY6031">
        <v>0</v>
      </c>
      <c r="AZ6031">
        <v>0</v>
      </c>
      <c r="BA6031">
        <v>70</v>
      </c>
      <c r="BE6031" t="str">
        <f>T("9791137006805")</f>
        <v>9791137006805</v>
      </c>
      <c r="BF6031" t="str">
        <f>T("N101489")</f>
        <v>N101489</v>
      </c>
      <c r="BG6031" t="str">
        <f>T("판타지 웹소설 &gt; 현대 판타지")</f>
        <v>판타지 웹소설 &gt; 현대 판타지</v>
      </c>
    </row>
    <row r="6032" spans="1:59">
      <c r="A6032" t="s">
        <v>60</v>
      </c>
      <c r="B6032" s="1">
        <v>46130</v>
      </c>
      <c r="C6032">
        <v>2378036823</v>
      </c>
      <c r="D6032">
        <v>2378036849</v>
      </c>
      <c r="E6032" t="str">
        <f>T("증권 재벌의 천재 손자가 되었다 27화")</f>
        <v>증권 재벌의 천재 손자가 되었다 27화</v>
      </c>
      <c r="F6032">
        <v>27</v>
      </c>
      <c r="G6032" t="str">
        <f>T("번파")</f>
        <v>번파</v>
      </c>
      <c r="J6032" t="str">
        <f>T("매드햇")</f>
        <v>매드햇</v>
      </c>
      <c r="K6032" t="str">
        <f>T("증권 재벌의 천재 손자가 되었다")</f>
        <v>증권 재벌의 천재 손자가 되었다</v>
      </c>
      <c r="L6032">
        <v>100</v>
      </c>
      <c r="M6032">
        <v>100</v>
      </c>
      <c r="N6032">
        <v>1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0</v>
      </c>
      <c r="AE6032">
        <v>0</v>
      </c>
      <c r="AF6032">
        <v>0</v>
      </c>
      <c r="AG6032">
        <v>0</v>
      </c>
      <c r="AH6032">
        <v>0</v>
      </c>
      <c r="AI6032">
        <v>100</v>
      </c>
      <c r="AJ6032">
        <v>1</v>
      </c>
      <c r="AK6032">
        <v>0</v>
      </c>
      <c r="AL6032">
        <v>0</v>
      </c>
      <c r="AM6032">
        <v>100</v>
      </c>
      <c r="AN6032">
        <v>0</v>
      </c>
      <c r="AO6032">
        <v>0</v>
      </c>
      <c r="AP6032">
        <v>0</v>
      </c>
      <c r="AQ6032">
        <v>0</v>
      </c>
      <c r="AS6032">
        <v>0</v>
      </c>
      <c r="AT6032">
        <v>0</v>
      </c>
      <c r="AV6032">
        <v>0</v>
      </c>
      <c r="AW6032">
        <v>0</v>
      </c>
      <c r="AY6032">
        <v>0</v>
      </c>
      <c r="AZ6032">
        <v>0</v>
      </c>
      <c r="BA6032">
        <v>70</v>
      </c>
      <c r="BE6032" t="str">
        <f>T("9791137006805")</f>
        <v>9791137006805</v>
      </c>
      <c r="BF6032" t="str">
        <f>T("N101490")</f>
        <v>N101490</v>
      </c>
      <c r="BG6032" t="str">
        <f>T("판타지 웹소설 &gt; 현대 판타지")</f>
        <v>판타지 웹소설 &gt; 현대 판타지</v>
      </c>
    </row>
    <row r="6033" spans="1:59">
      <c r="A6033" t="s">
        <v>60</v>
      </c>
      <c r="B6033" s="1">
        <v>46130</v>
      </c>
      <c r="C6033">
        <v>2378036823</v>
      </c>
      <c r="D6033">
        <v>2378036850</v>
      </c>
      <c r="E6033" t="str">
        <f>T("증권 재벌의 천재 손자가 되었다 28화")</f>
        <v>증권 재벌의 천재 손자가 되었다 28화</v>
      </c>
      <c r="F6033">
        <v>28</v>
      </c>
      <c r="G6033" t="str">
        <f>T("번파")</f>
        <v>번파</v>
      </c>
      <c r="J6033" t="str">
        <f>T("매드햇")</f>
        <v>매드햇</v>
      </c>
      <c r="K6033" t="str">
        <f>T("증권 재벌의 천재 손자가 되었다")</f>
        <v>증권 재벌의 천재 손자가 되었다</v>
      </c>
      <c r="L6033">
        <v>100</v>
      </c>
      <c r="M6033">
        <v>100</v>
      </c>
      <c r="N6033">
        <v>1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0</v>
      </c>
      <c r="AE6033">
        <v>0</v>
      </c>
      <c r="AF6033">
        <v>0</v>
      </c>
      <c r="AG6033">
        <v>0</v>
      </c>
      <c r="AH6033">
        <v>0</v>
      </c>
      <c r="AI6033">
        <v>100</v>
      </c>
      <c r="AJ6033">
        <v>1</v>
      </c>
      <c r="AK6033">
        <v>0</v>
      </c>
      <c r="AL6033">
        <v>0</v>
      </c>
      <c r="AM6033">
        <v>100</v>
      </c>
      <c r="AN6033">
        <v>0</v>
      </c>
      <c r="AO6033">
        <v>0</v>
      </c>
      <c r="AP6033">
        <v>0</v>
      </c>
      <c r="AQ6033">
        <v>0</v>
      </c>
      <c r="AS6033">
        <v>0</v>
      </c>
      <c r="AT6033">
        <v>0</v>
      </c>
      <c r="AV6033">
        <v>0</v>
      </c>
      <c r="AW6033">
        <v>0</v>
      </c>
      <c r="AY6033">
        <v>0</v>
      </c>
      <c r="AZ6033">
        <v>0</v>
      </c>
      <c r="BA6033">
        <v>70</v>
      </c>
      <c r="BE6033" t="str">
        <f>T("9791137006805")</f>
        <v>9791137006805</v>
      </c>
      <c r="BF6033" t="str">
        <f>T("N101491")</f>
        <v>N101491</v>
      </c>
      <c r="BG6033" t="str">
        <f>T("판타지 웹소설 &gt; 현대 판타지")</f>
        <v>판타지 웹소설 &gt; 현대 판타지</v>
      </c>
    </row>
    <row r="6034" spans="1:59">
      <c r="A6034" t="s">
        <v>60</v>
      </c>
      <c r="B6034" s="1">
        <v>46130</v>
      </c>
      <c r="C6034">
        <v>2378036823</v>
      </c>
      <c r="D6034">
        <v>2378036851</v>
      </c>
      <c r="E6034" t="str">
        <f>T("증권 재벌의 천재 손자가 되었다 29화")</f>
        <v>증권 재벌의 천재 손자가 되었다 29화</v>
      </c>
      <c r="F6034">
        <v>29</v>
      </c>
      <c r="G6034" t="str">
        <f>T("번파")</f>
        <v>번파</v>
      </c>
      <c r="J6034" t="str">
        <f>T("매드햇")</f>
        <v>매드햇</v>
      </c>
      <c r="K6034" t="str">
        <f>T("증권 재벌의 천재 손자가 되었다")</f>
        <v>증권 재벌의 천재 손자가 되었다</v>
      </c>
      <c r="L6034">
        <v>100</v>
      </c>
      <c r="M6034">
        <v>100</v>
      </c>
      <c r="N6034">
        <v>1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0</v>
      </c>
      <c r="AE6034">
        <v>0</v>
      </c>
      <c r="AF6034">
        <v>0</v>
      </c>
      <c r="AG6034">
        <v>0</v>
      </c>
      <c r="AH6034">
        <v>0</v>
      </c>
      <c r="AI6034">
        <v>100</v>
      </c>
      <c r="AJ6034">
        <v>1</v>
      </c>
      <c r="AK6034">
        <v>0</v>
      </c>
      <c r="AL6034">
        <v>0</v>
      </c>
      <c r="AM6034">
        <v>100</v>
      </c>
      <c r="AN6034">
        <v>0</v>
      </c>
      <c r="AO6034">
        <v>0</v>
      </c>
      <c r="AP6034">
        <v>0</v>
      </c>
      <c r="AQ6034">
        <v>0</v>
      </c>
      <c r="AS6034">
        <v>0</v>
      </c>
      <c r="AT6034">
        <v>0</v>
      </c>
      <c r="AV6034">
        <v>0</v>
      </c>
      <c r="AW6034">
        <v>0</v>
      </c>
      <c r="AY6034">
        <v>0</v>
      </c>
      <c r="AZ6034">
        <v>0</v>
      </c>
      <c r="BA6034">
        <v>70</v>
      </c>
      <c r="BE6034" t="str">
        <f>T("9791137006805")</f>
        <v>9791137006805</v>
      </c>
      <c r="BF6034" t="str">
        <f>T("N101492")</f>
        <v>N101492</v>
      </c>
      <c r="BG6034" t="str">
        <f>T("판타지 웹소설 &gt; 현대 판타지")</f>
        <v>판타지 웹소설 &gt; 현대 판타지</v>
      </c>
    </row>
    <row r="6035" spans="1:59">
      <c r="A6035" t="s">
        <v>60</v>
      </c>
      <c r="B6035" s="1">
        <v>46130</v>
      </c>
      <c r="C6035">
        <v>2378036823</v>
      </c>
      <c r="D6035">
        <v>2378036852</v>
      </c>
      <c r="E6035" t="str">
        <f>T("증권 재벌의 천재 손자가 되었다 30화")</f>
        <v>증권 재벌의 천재 손자가 되었다 30화</v>
      </c>
      <c r="F6035">
        <v>30</v>
      </c>
      <c r="G6035" t="str">
        <f>T("번파")</f>
        <v>번파</v>
      </c>
      <c r="J6035" t="str">
        <f>T("매드햇")</f>
        <v>매드햇</v>
      </c>
      <c r="K6035" t="str">
        <f>T("증권 재벌의 천재 손자가 되었다")</f>
        <v>증권 재벌의 천재 손자가 되었다</v>
      </c>
      <c r="L6035">
        <v>100</v>
      </c>
      <c r="M6035">
        <v>100</v>
      </c>
      <c r="N6035">
        <v>1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0</v>
      </c>
      <c r="AE6035">
        <v>0</v>
      </c>
      <c r="AF6035">
        <v>0</v>
      </c>
      <c r="AG6035">
        <v>0</v>
      </c>
      <c r="AH6035">
        <v>0</v>
      </c>
      <c r="AI6035">
        <v>100</v>
      </c>
      <c r="AJ6035">
        <v>1</v>
      </c>
      <c r="AK6035">
        <v>0</v>
      </c>
      <c r="AL6035">
        <v>0</v>
      </c>
      <c r="AM6035">
        <v>100</v>
      </c>
      <c r="AN6035">
        <v>0</v>
      </c>
      <c r="AO6035">
        <v>0</v>
      </c>
      <c r="AP6035">
        <v>0</v>
      </c>
      <c r="AQ6035">
        <v>0</v>
      </c>
      <c r="AS6035">
        <v>0</v>
      </c>
      <c r="AT6035">
        <v>0</v>
      </c>
      <c r="AV6035">
        <v>0</v>
      </c>
      <c r="AW6035">
        <v>0</v>
      </c>
      <c r="AY6035">
        <v>0</v>
      </c>
      <c r="AZ6035">
        <v>0</v>
      </c>
      <c r="BA6035">
        <v>70</v>
      </c>
      <c r="BE6035" t="str">
        <f>T("9791137006805")</f>
        <v>9791137006805</v>
      </c>
      <c r="BF6035" t="str">
        <f>T("N101493")</f>
        <v>N101493</v>
      </c>
      <c r="BG6035" t="str">
        <f>T("판타지 웹소설 &gt; 현대 판타지")</f>
        <v>판타지 웹소설 &gt; 현대 판타지</v>
      </c>
    </row>
    <row r="6036" spans="1:59">
      <c r="A6036" t="s">
        <v>60</v>
      </c>
      <c r="B6036" s="1">
        <v>46130</v>
      </c>
      <c r="C6036">
        <v>2378036823</v>
      </c>
      <c r="D6036">
        <v>2378036853</v>
      </c>
      <c r="E6036" t="str">
        <f>T("증권 재벌의 천재 손자가 되었다 31화")</f>
        <v>증권 재벌의 천재 손자가 되었다 31화</v>
      </c>
      <c r="F6036">
        <v>31</v>
      </c>
      <c r="G6036" t="str">
        <f>T("번파")</f>
        <v>번파</v>
      </c>
      <c r="J6036" t="str">
        <f>T("매드햇")</f>
        <v>매드햇</v>
      </c>
      <c r="K6036" t="str">
        <f>T("증권 재벌의 천재 손자가 되었다")</f>
        <v>증권 재벌의 천재 손자가 되었다</v>
      </c>
      <c r="L6036">
        <v>100</v>
      </c>
      <c r="M6036">
        <v>100</v>
      </c>
      <c r="N6036">
        <v>1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0</v>
      </c>
      <c r="AE6036">
        <v>0</v>
      </c>
      <c r="AF6036">
        <v>0</v>
      </c>
      <c r="AG6036">
        <v>0</v>
      </c>
      <c r="AH6036">
        <v>0</v>
      </c>
      <c r="AI6036">
        <v>100</v>
      </c>
      <c r="AJ6036">
        <v>1</v>
      </c>
      <c r="AK6036">
        <v>0</v>
      </c>
      <c r="AL6036">
        <v>0</v>
      </c>
      <c r="AM6036">
        <v>100</v>
      </c>
      <c r="AN6036">
        <v>0</v>
      </c>
      <c r="AO6036">
        <v>0</v>
      </c>
      <c r="AP6036">
        <v>0</v>
      </c>
      <c r="AQ6036">
        <v>0</v>
      </c>
      <c r="AS6036">
        <v>0</v>
      </c>
      <c r="AT6036">
        <v>0</v>
      </c>
      <c r="AV6036">
        <v>0</v>
      </c>
      <c r="AW6036">
        <v>0</v>
      </c>
      <c r="AY6036">
        <v>0</v>
      </c>
      <c r="AZ6036">
        <v>0</v>
      </c>
      <c r="BA6036">
        <v>70</v>
      </c>
      <c r="BE6036" t="str">
        <f>T("9791137006805")</f>
        <v>9791137006805</v>
      </c>
      <c r="BF6036" t="str">
        <f>T("N101494")</f>
        <v>N101494</v>
      </c>
      <c r="BG6036" t="str">
        <f>T("판타지 웹소설 &gt; 현대 판타지")</f>
        <v>판타지 웹소설 &gt; 현대 판타지</v>
      </c>
    </row>
    <row r="6037" spans="1:59">
      <c r="A6037" t="s">
        <v>60</v>
      </c>
      <c r="B6037" s="1">
        <v>46130</v>
      </c>
      <c r="C6037">
        <v>2378036823</v>
      </c>
      <c r="D6037">
        <v>2378036854</v>
      </c>
      <c r="E6037" t="str">
        <f>T("증권 재벌의 천재 손자가 되었다 32화")</f>
        <v>증권 재벌의 천재 손자가 되었다 32화</v>
      </c>
      <c r="F6037">
        <v>32</v>
      </c>
      <c r="G6037" t="str">
        <f>T("번파")</f>
        <v>번파</v>
      </c>
      <c r="J6037" t="str">
        <f>T("매드햇")</f>
        <v>매드햇</v>
      </c>
      <c r="K6037" t="str">
        <f>T("증권 재벌의 천재 손자가 되었다")</f>
        <v>증권 재벌의 천재 손자가 되었다</v>
      </c>
      <c r="L6037">
        <v>100</v>
      </c>
      <c r="M6037">
        <v>100</v>
      </c>
      <c r="N6037">
        <v>1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0</v>
      </c>
      <c r="AE6037">
        <v>0</v>
      </c>
      <c r="AF6037">
        <v>0</v>
      </c>
      <c r="AG6037">
        <v>0</v>
      </c>
      <c r="AH6037">
        <v>0</v>
      </c>
      <c r="AI6037">
        <v>100</v>
      </c>
      <c r="AJ6037">
        <v>1</v>
      </c>
      <c r="AK6037">
        <v>0</v>
      </c>
      <c r="AL6037">
        <v>0</v>
      </c>
      <c r="AM6037">
        <v>100</v>
      </c>
      <c r="AN6037">
        <v>0</v>
      </c>
      <c r="AO6037">
        <v>0</v>
      </c>
      <c r="AP6037">
        <v>0</v>
      </c>
      <c r="AQ6037">
        <v>0</v>
      </c>
      <c r="AS6037">
        <v>0</v>
      </c>
      <c r="AT6037">
        <v>0</v>
      </c>
      <c r="AV6037">
        <v>0</v>
      </c>
      <c r="AW6037">
        <v>0</v>
      </c>
      <c r="AY6037">
        <v>0</v>
      </c>
      <c r="AZ6037">
        <v>0</v>
      </c>
      <c r="BA6037">
        <v>70</v>
      </c>
      <c r="BE6037" t="str">
        <f>T("9791137006805")</f>
        <v>9791137006805</v>
      </c>
      <c r="BF6037" t="str">
        <f>T("N101495")</f>
        <v>N101495</v>
      </c>
      <c r="BG6037" t="str">
        <f>T("판타지 웹소설 &gt; 현대 판타지")</f>
        <v>판타지 웹소설 &gt; 현대 판타지</v>
      </c>
    </row>
    <row r="6038" spans="1:59">
      <c r="A6038" t="s">
        <v>60</v>
      </c>
      <c r="B6038" s="1">
        <v>46130</v>
      </c>
      <c r="C6038">
        <v>2378036823</v>
      </c>
      <c r="D6038">
        <v>2378036855</v>
      </c>
      <c r="E6038" t="str">
        <f>T("증권 재벌의 천재 손자가 되었다 33화")</f>
        <v>증권 재벌의 천재 손자가 되었다 33화</v>
      </c>
      <c r="F6038">
        <v>33</v>
      </c>
      <c r="G6038" t="str">
        <f>T("번파")</f>
        <v>번파</v>
      </c>
      <c r="J6038" t="str">
        <f>T("매드햇")</f>
        <v>매드햇</v>
      </c>
      <c r="K6038" t="str">
        <f>T("증권 재벌의 천재 손자가 되었다")</f>
        <v>증권 재벌의 천재 손자가 되었다</v>
      </c>
      <c r="L6038">
        <v>100</v>
      </c>
      <c r="M6038">
        <v>100</v>
      </c>
      <c r="N6038">
        <v>1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0</v>
      </c>
      <c r="AE6038">
        <v>0</v>
      </c>
      <c r="AF6038">
        <v>0</v>
      </c>
      <c r="AG6038">
        <v>0</v>
      </c>
      <c r="AH6038">
        <v>0</v>
      </c>
      <c r="AI6038">
        <v>100</v>
      </c>
      <c r="AJ6038">
        <v>1</v>
      </c>
      <c r="AK6038">
        <v>0</v>
      </c>
      <c r="AL6038">
        <v>0</v>
      </c>
      <c r="AM6038">
        <v>100</v>
      </c>
      <c r="AN6038">
        <v>0</v>
      </c>
      <c r="AO6038">
        <v>0</v>
      </c>
      <c r="AP6038">
        <v>0</v>
      </c>
      <c r="AQ6038">
        <v>0</v>
      </c>
      <c r="AS6038">
        <v>0</v>
      </c>
      <c r="AT6038">
        <v>0</v>
      </c>
      <c r="AV6038">
        <v>0</v>
      </c>
      <c r="AW6038">
        <v>0</v>
      </c>
      <c r="AY6038">
        <v>0</v>
      </c>
      <c r="AZ6038">
        <v>0</v>
      </c>
      <c r="BA6038">
        <v>70</v>
      </c>
      <c r="BE6038" t="str">
        <f>T("9791137006805")</f>
        <v>9791137006805</v>
      </c>
      <c r="BF6038" t="str">
        <f>T("N101496")</f>
        <v>N101496</v>
      </c>
      <c r="BG6038" t="str">
        <f>T("판타지 웹소설 &gt; 현대 판타지")</f>
        <v>판타지 웹소설 &gt; 현대 판타지</v>
      </c>
    </row>
    <row r="6039" spans="1:59">
      <c r="A6039" t="s">
        <v>60</v>
      </c>
      <c r="B6039" s="1">
        <v>46130</v>
      </c>
      <c r="C6039">
        <v>2378036823</v>
      </c>
      <c r="D6039">
        <v>2378036856</v>
      </c>
      <c r="E6039" t="str">
        <f>T("증권 재벌의 천재 손자가 되었다 34화")</f>
        <v>증권 재벌의 천재 손자가 되었다 34화</v>
      </c>
      <c r="F6039">
        <v>34</v>
      </c>
      <c r="G6039" t="str">
        <f>T("번파")</f>
        <v>번파</v>
      </c>
      <c r="J6039" t="str">
        <f>T("매드햇")</f>
        <v>매드햇</v>
      </c>
      <c r="K6039" t="str">
        <f>T("증권 재벌의 천재 손자가 되었다")</f>
        <v>증권 재벌의 천재 손자가 되었다</v>
      </c>
      <c r="L6039">
        <v>100</v>
      </c>
      <c r="M6039">
        <v>100</v>
      </c>
      <c r="N6039">
        <v>1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0</v>
      </c>
      <c r="AE6039">
        <v>0</v>
      </c>
      <c r="AF6039">
        <v>0</v>
      </c>
      <c r="AG6039">
        <v>0</v>
      </c>
      <c r="AH6039">
        <v>0</v>
      </c>
      <c r="AI6039">
        <v>100</v>
      </c>
      <c r="AJ6039">
        <v>1</v>
      </c>
      <c r="AK6039">
        <v>0</v>
      </c>
      <c r="AL6039">
        <v>0</v>
      </c>
      <c r="AM6039">
        <v>100</v>
      </c>
      <c r="AN6039">
        <v>0</v>
      </c>
      <c r="AO6039">
        <v>0</v>
      </c>
      <c r="AP6039">
        <v>0</v>
      </c>
      <c r="AQ6039">
        <v>0</v>
      </c>
      <c r="AS6039">
        <v>0</v>
      </c>
      <c r="AT6039">
        <v>0</v>
      </c>
      <c r="AV6039">
        <v>0</v>
      </c>
      <c r="AW6039">
        <v>0</v>
      </c>
      <c r="AY6039">
        <v>0</v>
      </c>
      <c r="AZ6039">
        <v>0</v>
      </c>
      <c r="BA6039">
        <v>70</v>
      </c>
      <c r="BE6039" t="str">
        <f>T("9791137006805")</f>
        <v>9791137006805</v>
      </c>
      <c r="BF6039" t="str">
        <f>T("N101497")</f>
        <v>N101497</v>
      </c>
      <c r="BG6039" t="str">
        <f>T("판타지 웹소설 &gt; 현대 판타지")</f>
        <v>판타지 웹소설 &gt; 현대 판타지</v>
      </c>
    </row>
    <row r="6040" spans="1:59">
      <c r="A6040" t="s">
        <v>60</v>
      </c>
      <c r="B6040" s="1">
        <v>46130</v>
      </c>
      <c r="C6040">
        <v>2378036823</v>
      </c>
      <c r="D6040">
        <v>2378036857</v>
      </c>
      <c r="E6040" t="str">
        <f>T("증권 재벌의 천재 손자가 되었다 35화")</f>
        <v>증권 재벌의 천재 손자가 되었다 35화</v>
      </c>
      <c r="F6040">
        <v>35</v>
      </c>
      <c r="G6040" t="str">
        <f>T("번파")</f>
        <v>번파</v>
      </c>
      <c r="J6040" t="str">
        <f>T("매드햇")</f>
        <v>매드햇</v>
      </c>
      <c r="K6040" t="str">
        <f>T("증권 재벌의 천재 손자가 되었다")</f>
        <v>증권 재벌의 천재 손자가 되었다</v>
      </c>
      <c r="L6040">
        <v>100</v>
      </c>
      <c r="M6040">
        <v>100</v>
      </c>
      <c r="N6040">
        <v>1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0</v>
      </c>
      <c r="AE6040">
        <v>0</v>
      </c>
      <c r="AF6040">
        <v>0</v>
      </c>
      <c r="AG6040">
        <v>0</v>
      </c>
      <c r="AH6040">
        <v>0</v>
      </c>
      <c r="AI6040">
        <v>100</v>
      </c>
      <c r="AJ6040">
        <v>1</v>
      </c>
      <c r="AK6040">
        <v>0</v>
      </c>
      <c r="AL6040">
        <v>0</v>
      </c>
      <c r="AM6040">
        <v>100</v>
      </c>
      <c r="AN6040">
        <v>0</v>
      </c>
      <c r="AO6040">
        <v>0</v>
      </c>
      <c r="AP6040">
        <v>0</v>
      </c>
      <c r="AQ6040">
        <v>0</v>
      </c>
      <c r="AS6040">
        <v>0</v>
      </c>
      <c r="AT6040">
        <v>0</v>
      </c>
      <c r="AV6040">
        <v>0</v>
      </c>
      <c r="AW6040">
        <v>0</v>
      </c>
      <c r="AY6040">
        <v>0</v>
      </c>
      <c r="AZ6040">
        <v>0</v>
      </c>
      <c r="BA6040">
        <v>70</v>
      </c>
      <c r="BE6040" t="str">
        <f>T("9791137006805")</f>
        <v>9791137006805</v>
      </c>
      <c r="BF6040" t="str">
        <f>T("N101498")</f>
        <v>N101498</v>
      </c>
      <c r="BG6040" t="str">
        <f>T("판타지 웹소설 &gt; 현대 판타지")</f>
        <v>판타지 웹소설 &gt; 현대 판타지</v>
      </c>
    </row>
    <row r="6041" spans="1:59">
      <c r="A6041" t="s">
        <v>60</v>
      </c>
      <c r="B6041" s="1">
        <v>46130</v>
      </c>
      <c r="C6041">
        <v>2378036823</v>
      </c>
      <c r="D6041">
        <v>2378036858</v>
      </c>
      <c r="E6041" t="str">
        <f>T("증권 재벌의 천재 손자가 되었다 36화")</f>
        <v>증권 재벌의 천재 손자가 되었다 36화</v>
      </c>
      <c r="F6041">
        <v>36</v>
      </c>
      <c r="G6041" t="str">
        <f>T("번파")</f>
        <v>번파</v>
      </c>
      <c r="J6041" t="str">
        <f>T("매드햇")</f>
        <v>매드햇</v>
      </c>
      <c r="K6041" t="str">
        <f>T("증권 재벌의 천재 손자가 되었다")</f>
        <v>증권 재벌의 천재 손자가 되었다</v>
      </c>
      <c r="L6041">
        <v>100</v>
      </c>
      <c r="M6041">
        <v>100</v>
      </c>
      <c r="N6041">
        <v>1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0</v>
      </c>
      <c r="AE6041">
        <v>0</v>
      </c>
      <c r="AF6041">
        <v>0</v>
      </c>
      <c r="AG6041">
        <v>0</v>
      </c>
      <c r="AH6041">
        <v>0</v>
      </c>
      <c r="AI6041">
        <v>100</v>
      </c>
      <c r="AJ6041">
        <v>1</v>
      </c>
      <c r="AK6041">
        <v>0</v>
      </c>
      <c r="AL6041">
        <v>0</v>
      </c>
      <c r="AM6041">
        <v>100</v>
      </c>
      <c r="AN6041">
        <v>0</v>
      </c>
      <c r="AO6041">
        <v>0</v>
      </c>
      <c r="AP6041">
        <v>0</v>
      </c>
      <c r="AQ6041">
        <v>0</v>
      </c>
      <c r="AS6041">
        <v>0</v>
      </c>
      <c r="AT6041">
        <v>0</v>
      </c>
      <c r="AV6041">
        <v>0</v>
      </c>
      <c r="AW6041">
        <v>0</v>
      </c>
      <c r="AY6041">
        <v>0</v>
      </c>
      <c r="AZ6041">
        <v>0</v>
      </c>
      <c r="BA6041">
        <v>70</v>
      </c>
      <c r="BE6041" t="str">
        <f>T("9791137006805")</f>
        <v>9791137006805</v>
      </c>
      <c r="BF6041" t="str">
        <f>T("N101499")</f>
        <v>N101499</v>
      </c>
      <c r="BG6041" t="str">
        <f>T("판타지 웹소설 &gt; 현대 판타지")</f>
        <v>판타지 웹소설 &gt; 현대 판타지</v>
      </c>
    </row>
    <row r="6042" spans="1:59">
      <c r="A6042" t="s">
        <v>60</v>
      </c>
      <c r="B6042" s="1">
        <v>46130</v>
      </c>
      <c r="C6042">
        <v>2378036823</v>
      </c>
      <c r="D6042">
        <v>2378036859</v>
      </c>
      <c r="E6042" t="str">
        <f>T("증권 재벌의 천재 손자가 되었다 37화")</f>
        <v>증권 재벌의 천재 손자가 되었다 37화</v>
      </c>
      <c r="F6042">
        <v>37</v>
      </c>
      <c r="G6042" t="str">
        <f>T("번파")</f>
        <v>번파</v>
      </c>
      <c r="J6042" t="str">
        <f>T("매드햇")</f>
        <v>매드햇</v>
      </c>
      <c r="K6042" t="str">
        <f>T("증권 재벌의 천재 손자가 되었다")</f>
        <v>증권 재벌의 천재 손자가 되었다</v>
      </c>
      <c r="L6042">
        <v>100</v>
      </c>
      <c r="M6042">
        <v>100</v>
      </c>
      <c r="N6042">
        <v>1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0</v>
      </c>
      <c r="AE6042">
        <v>0</v>
      </c>
      <c r="AF6042">
        <v>0</v>
      </c>
      <c r="AG6042">
        <v>0</v>
      </c>
      <c r="AH6042">
        <v>0</v>
      </c>
      <c r="AI6042">
        <v>100</v>
      </c>
      <c r="AJ6042">
        <v>1</v>
      </c>
      <c r="AK6042">
        <v>0</v>
      </c>
      <c r="AL6042">
        <v>0</v>
      </c>
      <c r="AM6042">
        <v>100</v>
      </c>
      <c r="AN6042">
        <v>0</v>
      </c>
      <c r="AO6042">
        <v>0</v>
      </c>
      <c r="AP6042">
        <v>0</v>
      </c>
      <c r="AQ6042">
        <v>0</v>
      </c>
      <c r="AS6042">
        <v>0</v>
      </c>
      <c r="AT6042">
        <v>0</v>
      </c>
      <c r="AV6042">
        <v>0</v>
      </c>
      <c r="AW6042">
        <v>0</v>
      </c>
      <c r="AY6042">
        <v>0</v>
      </c>
      <c r="AZ6042">
        <v>0</v>
      </c>
      <c r="BA6042">
        <v>70</v>
      </c>
      <c r="BE6042" t="str">
        <f>T("9791137006805")</f>
        <v>9791137006805</v>
      </c>
      <c r="BF6042" t="str">
        <f>T("N101500")</f>
        <v>N101500</v>
      </c>
      <c r="BG6042" t="str">
        <f>T("판타지 웹소설 &gt; 현대 판타지")</f>
        <v>판타지 웹소설 &gt; 현대 판타지</v>
      </c>
    </row>
    <row r="6043" spans="1:59">
      <c r="A6043" t="s">
        <v>60</v>
      </c>
      <c r="B6043" s="1">
        <v>46130</v>
      </c>
      <c r="C6043">
        <v>2378036823</v>
      </c>
      <c r="D6043">
        <v>2378036860</v>
      </c>
      <c r="E6043" t="str">
        <f>T("증권 재벌의 천재 손자가 되었다 38화")</f>
        <v>증권 재벌의 천재 손자가 되었다 38화</v>
      </c>
      <c r="F6043">
        <v>38</v>
      </c>
      <c r="G6043" t="str">
        <f>T("번파")</f>
        <v>번파</v>
      </c>
      <c r="J6043" t="str">
        <f>T("매드햇")</f>
        <v>매드햇</v>
      </c>
      <c r="K6043" t="str">
        <f>T("증권 재벌의 천재 손자가 되었다")</f>
        <v>증권 재벌의 천재 손자가 되었다</v>
      </c>
      <c r="L6043">
        <v>100</v>
      </c>
      <c r="M6043">
        <v>100</v>
      </c>
      <c r="N6043">
        <v>1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0</v>
      </c>
      <c r="AE6043">
        <v>0</v>
      </c>
      <c r="AF6043">
        <v>0</v>
      </c>
      <c r="AG6043">
        <v>0</v>
      </c>
      <c r="AH6043">
        <v>0</v>
      </c>
      <c r="AI6043">
        <v>100</v>
      </c>
      <c r="AJ6043">
        <v>1</v>
      </c>
      <c r="AK6043">
        <v>0</v>
      </c>
      <c r="AL6043">
        <v>0</v>
      </c>
      <c r="AM6043">
        <v>100</v>
      </c>
      <c r="AN6043">
        <v>0</v>
      </c>
      <c r="AO6043">
        <v>0</v>
      </c>
      <c r="AP6043">
        <v>0</v>
      </c>
      <c r="AQ6043">
        <v>0</v>
      </c>
      <c r="AS6043">
        <v>0</v>
      </c>
      <c r="AT6043">
        <v>0</v>
      </c>
      <c r="AV6043">
        <v>0</v>
      </c>
      <c r="AW6043">
        <v>0</v>
      </c>
      <c r="AY6043">
        <v>0</v>
      </c>
      <c r="AZ6043">
        <v>0</v>
      </c>
      <c r="BA6043">
        <v>70</v>
      </c>
      <c r="BE6043" t="str">
        <f>T("9791137006805")</f>
        <v>9791137006805</v>
      </c>
      <c r="BF6043" t="str">
        <f>T("N101501")</f>
        <v>N101501</v>
      </c>
      <c r="BG6043" t="str">
        <f>T("판타지 웹소설 &gt; 현대 판타지")</f>
        <v>판타지 웹소설 &gt; 현대 판타지</v>
      </c>
    </row>
    <row r="6044" spans="1:59">
      <c r="A6044" t="s">
        <v>60</v>
      </c>
      <c r="B6044" s="1">
        <v>46130</v>
      </c>
      <c r="C6044">
        <v>2378036823</v>
      </c>
      <c r="D6044">
        <v>2378036861</v>
      </c>
      <c r="E6044" t="str">
        <f>T("증권 재벌의 천재 손자가 되었다 39화")</f>
        <v>증권 재벌의 천재 손자가 되었다 39화</v>
      </c>
      <c r="F6044">
        <v>39</v>
      </c>
      <c r="G6044" t="str">
        <f>T("번파")</f>
        <v>번파</v>
      </c>
      <c r="J6044" t="str">
        <f>T("매드햇")</f>
        <v>매드햇</v>
      </c>
      <c r="K6044" t="str">
        <f>T("증권 재벌의 천재 손자가 되었다")</f>
        <v>증권 재벌의 천재 손자가 되었다</v>
      </c>
      <c r="L6044">
        <v>100</v>
      </c>
      <c r="M6044">
        <v>100</v>
      </c>
      <c r="N6044">
        <v>1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0</v>
      </c>
      <c r="AE6044">
        <v>0</v>
      </c>
      <c r="AF6044">
        <v>0</v>
      </c>
      <c r="AG6044">
        <v>0</v>
      </c>
      <c r="AH6044">
        <v>0</v>
      </c>
      <c r="AI6044">
        <v>100</v>
      </c>
      <c r="AJ6044">
        <v>1</v>
      </c>
      <c r="AK6044">
        <v>0</v>
      </c>
      <c r="AL6044">
        <v>0</v>
      </c>
      <c r="AM6044">
        <v>100</v>
      </c>
      <c r="AN6044">
        <v>0</v>
      </c>
      <c r="AO6044">
        <v>0</v>
      </c>
      <c r="AP6044">
        <v>0</v>
      </c>
      <c r="AQ6044">
        <v>0</v>
      </c>
      <c r="AS6044">
        <v>0</v>
      </c>
      <c r="AT6044">
        <v>0</v>
      </c>
      <c r="AV6044">
        <v>0</v>
      </c>
      <c r="AW6044">
        <v>0</v>
      </c>
      <c r="AY6044">
        <v>0</v>
      </c>
      <c r="AZ6044">
        <v>0</v>
      </c>
      <c r="BA6044">
        <v>70</v>
      </c>
      <c r="BE6044" t="str">
        <f>T("9791137006805")</f>
        <v>9791137006805</v>
      </c>
      <c r="BF6044" t="str">
        <f>T("N101502")</f>
        <v>N101502</v>
      </c>
      <c r="BG6044" t="str">
        <f>T("판타지 웹소설 &gt; 현대 판타지")</f>
        <v>판타지 웹소설 &gt; 현대 판타지</v>
      </c>
    </row>
    <row r="6045" spans="1:59">
      <c r="A6045" t="s">
        <v>60</v>
      </c>
      <c r="B6045" s="1">
        <v>46130</v>
      </c>
      <c r="C6045">
        <v>2378036823</v>
      </c>
      <c r="D6045">
        <v>2378036862</v>
      </c>
      <c r="E6045" t="str">
        <f>T("증권 재벌의 천재 손자가 되었다 40화")</f>
        <v>증권 재벌의 천재 손자가 되었다 40화</v>
      </c>
      <c r="F6045">
        <v>40</v>
      </c>
      <c r="G6045" t="str">
        <f>T("번파")</f>
        <v>번파</v>
      </c>
      <c r="J6045" t="str">
        <f>T("매드햇")</f>
        <v>매드햇</v>
      </c>
      <c r="K6045" t="str">
        <f>T("증권 재벌의 천재 손자가 되었다")</f>
        <v>증권 재벌의 천재 손자가 되었다</v>
      </c>
      <c r="L6045">
        <v>100</v>
      </c>
      <c r="M6045">
        <v>100</v>
      </c>
      <c r="N6045">
        <v>1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0</v>
      </c>
      <c r="AE6045">
        <v>0</v>
      </c>
      <c r="AF6045">
        <v>0</v>
      </c>
      <c r="AG6045">
        <v>0</v>
      </c>
      <c r="AH6045">
        <v>0</v>
      </c>
      <c r="AI6045">
        <v>100</v>
      </c>
      <c r="AJ6045">
        <v>1</v>
      </c>
      <c r="AK6045">
        <v>0</v>
      </c>
      <c r="AL6045">
        <v>0</v>
      </c>
      <c r="AM6045">
        <v>100</v>
      </c>
      <c r="AN6045">
        <v>0</v>
      </c>
      <c r="AO6045">
        <v>0</v>
      </c>
      <c r="AP6045">
        <v>0</v>
      </c>
      <c r="AQ6045">
        <v>0</v>
      </c>
      <c r="AS6045">
        <v>0</v>
      </c>
      <c r="AT6045">
        <v>0</v>
      </c>
      <c r="AV6045">
        <v>0</v>
      </c>
      <c r="AW6045">
        <v>0</v>
      </c>
      <c r="AY6045">
        <v>0</v>
      </c>
      <c r="AZ6045">
        <v>0</v>
      </c>
      <c r="BA6045">
        <v>70</v>
      </c>
      <c r="BE6045" t="str">
        <f>T("9791137006805")</f>
        <v>9791137006805</v>
      </c>
      <c r="BF6045" t="str">
        <f>T("N101503")</f>
        <v>N101503</v>
      </c>
      <c r="BG6045" t="str">
        <f>T("판타지 웹소설 &gt; 현대 판타지")</f>
        <v>판타지 웹소설 &gt; 현대 판타지</v>
      </c>
    </row>
    <row r="6046" spans="1:59">
      <c r="A6046" t="s">
        <v>60</v>
      </c>
      <c r="B6046" s="1">
        <v>46130</v>
      </c>
      <c r="C6046">
        <v>2378036823</v>
      </c>
      <c r="D6046">
        <v>2378036863</v>
      </c>
      <c r="E6046" t="str">
        <f>T("증권 재벌의 천재 손자가 되었다 41화")</f>
        <v>증권 재벌의 천재 손자가 되었다 41화</v>
      </c>
      <c r="F6046">
        <v>41</v>
      </c>
      <c r="G6046" t="str">
        <f>T("번파")</f>
        <v>번파</v>
      </c>
      <c r="J6046" t="str">
        <f>T("매드햇")</f>
        <v>매드햇</v>
      </c>
      <c r="K6046" t="str">
        <f>T("증권 재벌의 천재 손자가 되었다")</f>
        <v>증권 재벌의 천재 손자가 되었다</v>
      </c>
      <c r="L6046">
        <v>100</v>
      </c>
      <c r="M6046">
        <v>100</v>
      </c>
      <c r="N6046">
        <v>1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0</v>
      </c>
      <c r="AE6046">
        <v>0</v>
      </c>
      <c r="AF6046">
        <v>0</v>
      </c>
      <c r="AG6046">
        <v>0</v>
      </c>
      <c r="AH6046">
        <v>0</v>
      </c>
      <c r="AI6046">
        <v>100</v>
      </c>
      <c r="AJ6046">
        <v>1</v>
      </c>
      <c r="AK6046">
        <v>0</v>
      </c>
      <c r="AL6046">
        <v>0</v>
      </c>
      <c r="AM6046">
        <v>100</v>
      </c>
      <c r="AN6046">
        <v>0</v>
      </c>
      <c r="AO6046">
        <v>0</v>
      </c>
      <c r="AP6046">
        <v>0</v>
      </c>
      <c r="AQ6046">
        <v>0</v>
      </c>
      <c r="AS6046">
        <v>0</v>
      </c>
      <c r="AT6046">
        <v>0</v>
      </c>
      <c r="AV6046">
        <v>0</v>
      </c>
      <c r="AW6046">
        <v>0</v>
      </c>
      <c r="AY6046">
        <v>0</v>
      </c>
      <c r="AZ6046">
        <v>0</v>
      </c>
      <c r="BA6046">
        <v>70</v>
      </c>
      <c r="BE6046" t="str">
        <f>T("9791137006805")</f>
        <v>9791137006805</v>
      </c>
      <c r="BF6046" t="str">
        <f>T("N101504")</f>
        <v>N101504</v>
      </c>
      <c r="BG6046" t="str">
        <f>T("판타지 웹소설 &gt; 현대 판타지")</f>
        <v>판타지 웹소설 &gt; 현대 판타지</v>
      </c>
    </row>
    <row r="6047" spans="1:59">
      <c r="A6047" t="s">
        <v>60</v>
      </c>
      <c r="B6047" s="1">
        <v>46130</v>
      </c>
      <c r="C6047">
        <v>2378036823</v>
      </c>
      <c r="D6047">
        <v>2378036864</v>
      </c>
      <c r="E6047" t="str">
        <f>T("증권 재벌의 천재 손자가 되었다 42화")</f>
        <v>증권 재벌의 천재 손자가 되었다 42화</v>
      </c>
      <c r="F6047">
        <v>42</v>
      </c>
      <c r="G6047" t="str">
        <f>T("번파")</f>
        <v>번파</v>
      </c>
      <c r="J6047" t="str">
        <f>T("매드햇")</f>
        <v>매드햇</v>
      </c>
      <c r="K6047" t="str">
        <f>T("증권 재벌의 천재 손자가 되었다")</f>
        <v>증권 재벌의 천재 손자가 되었다</v>
      </c>
      <c r="L6047">
        <v>100</v>
      </c>
      <c r="M6047">
        <v>100</v>
      </c>
      <c r="N6047">
        <v>1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0</v>
      </c>
      <c r="AE6047">
        <v>0</v>
      </c>
      <c r="AF6047">
        <v>0</v>
      </c>
      <c r="AG6047">
        <v>0</v>
      </c>
      <c r="AH6047">
        <v>0</v>
      </c>
      <c r="AI6047">
        <v>100</v>
      </c>
      <c r="AJ6047">
        <v>1</v>
      </c>
      <c r="AK6047">
        <v>0</v>
      </c>
      <c r="AL6047">
        <v>0</v>
      </c>
      <c r="AM6047">
        <v>100</v>
      </c>
      <c r="AN6047">
        <v>0</v>
      </c>
      <c r="AO6047">
        <v>0</v>
      </c>
      <c r="AP6047">
        <v>0</v>
      </c>
      <c r="AQ6047">
        <v>0</v>
      </c>
      <c r="AS6047">
        <v>0</v>
      </c>
      <c r="AT6047">
        <v>0</v>
      </c>
      <c r="AV6047">
        <v>0</v>
      </c>
      <c r="AW6047">
        <v>0</v>
      </c>
      <c r="AY6047">
        <v>0</v>
      </c>
      <c r="AZ6047">
        <v>0</v>
      </c>
      <c r="BA6047">
        <v>70</v>
      </c>
      <c r="BE6047" t="str">
        <f>T("9791137006805")</f>
        <v>9791137006805</v>
      </c>
      <c r="BF6047" t="str">
        <f>T("N101505")</f>
        <v>N101505</v>
      </c>
      <c r="BG6047" t="str">
        <f>T("판타지 웹소설 &gt; 현대 판타지")</f>
        <v>판타지 웹소설 &gt; 현대 판타지</v>
      </c>
    </row>
    <row r="6048" spans="1:59">
      <c r="A6048" t="s">
        <v>60</v>
      </c>
      <c r="B6048" s="1">
        <v>46130</v>
      </c>
      <c r="C6048">
        <v>2378036823</v>
      </c>
      <c r="D6048">
        <v>2378036865</v>
      </c>
      <c r="E6048" t="str">
        <f>T("증권 재벌의 천재 손자가 되었다 43화")</f>
        <v>증권 재벌의 천재 손자가 되었다 43화</v>
      </c>
      <c r="F6048">
        <v>43</v>
      </c>
      <c r="G6048" t="str">
        <f>T("번파")</f>
        <v>번파</v>
      </c>
      <c r="J6048" t="str">
        <f>T("매드햇")</f>
        <v>매드햇</v>
      </c>
      <c r="K6048" t="str">
        <f>T("증권 재벌의 천재 손자가 되었다")</f>
        <v>증권 재벌의 천재 손자가 되었다</v>
      </c>
      <c r="L6048">
        <v>100</v>
      </c>
      <c r="M6048">
        <v>100</v>
      </c>
      <c r="N6048">
        <v>1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0</v>
      </c>
      <c r="AE6048">
        <v>0</v>
      </c>
      <c r="AF6048">
        <v>0</v>
      </c>
      <c r="AG6048">
        <v>0</v>
      </c>
      <c r="AH6048">
        <v>0</v>
      </c>
      <c r="AI6048">
        <v>100</v>
      </c>
      <c r="AJ6048">
        <v>1</v>
      </c>
      <c r="AK6048">
        <v>0</v>
      </c>
      <c r="AL6048">
        <v>0</v>
      </c>
      <c r="AM6048">
        <v>100</v>
      </c>
      <c r="AN6048">
        <v>0</v>
      </c>
      <c r="AO6048">
        <v>0</v>
      </c>
      <c r="AP6048">
        <v>0</v>
      </c>
      <c r="AQ6048">
        <v>0</v>
      </c>
      <c r="AS6048">
        <v>0</v>
      </c>
      <c r="AT6048">
        <v>0</v>
      </c>
      <c r="AV6048">
        <v>0</v>
      </c>
      <c r="AW6048">
        <v>0</v>
      </c>
      <c r="AY6048">
        <v>0</v>
      </c>
      <c r="AZ6048">
        <v>0</v>
      </c>
      <c r="BA6048">
        <v>70</v>
      </c>
      <c r="BE6048" t="str">
        <f>T("9791137006805")</f>
        <v>9791137006805</v>
      </c>
      <c r="BF6048" t="str">
        <f>T("N101506")</f>
        <v>N101506</v>
      </c>
      <c r="BG6048" t="str">
        <f>T("판타지 웹소설 &gt; 현대 판타지")</f>
        <v>판타지 웹소설 &gt; 현대 판타지</v>
      </c>
    </row>
    <row r="6049" spans="1:59">
      <c r="A6049" t="s">
        <v>60</v>
      </c>
      <c r="B6049" s="1">
        <v>46130</v>
      </c>
      <c r="C6049">
        <v>2378036823</v>
      </c>
      <c r="D6049">
        <v>2378036866</v>
      </c>
      <c r="E6049" t="str">
        <f>T("증권 재벌의 천재 손자가 되었다 44화")</f>
        <v>증권 재벌의 천재 손자가 되었다 44화</v>
      </c>
      <c r="F6049">
        <v>44</v>
      </c>
      <c r="G6049" t="str">
        <f>T("번파")</f>
        <v>번파</v>
      </c>
      <c r="J6049" t="str">
        <f>T("매드햇")</f>
        <v>매드햇</v>
      </c>
      <c r="K6049" t="str">
        <f>T("증권 재벌의 천재 손자가 되었다")</f>
        <v>증권 재벌의 천재 손자가 되었다</v>
      </c>
      <c r="L6049">
        <v>100</v>
      </c>
      <c r="M6049">
        <v>100</v>
      </c>
      <c r="N6049">
        <v>1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0</v>
      </c>
      <c r="AE6049">
        <v>0</v>
      </c>
      <c r="AF6049">
        <v>0</v>
      </c>
      <c r="AG6049">
        <v>0</v>
      </c>
      <c r="AH6049">
        <v>0</v>
      </c>
      <c r="AI6049">
        <v>100</v>
      </c>
      <c r="AJ6049">
        <v>1</v>
      </c>
      <c r="AK6049">
        <v>0</v>
      </c>
      <c r="AL6049">
        <v>0</v>
      </c>
      <c r="AM6049">
        <v>100</v>
      </c>
      <c r="AN6049">
        <v>0</v>
      </c>
      <c r="AO6049">
        <v>0</v>
      </c>
      <c r="AP6049">
        <v>0</v>
      </c>
      <c r="AQ6049">
        <v>0</v>
      </c>
      <c r="AS6049">
        <v>0</v>
      </c>
      <c r="AT6049">
        <v>0</v>
      </c>
      <c r="AV6049">
        <v>0</v>
      </c>
      <c r="AW6049">
        <v>0</v>
      </c>
      <c r="AY6049">
        <v>0</v>
      </c>
      <c r="AZ6049">
        <v>0</v>
      </c>
      <c r="BA6049">
        <v>70</v>
      </c>
      <c r="BE6049" t="str">
        <f>T("9791137006805")</f>
        <v>9791137006805</v>
      </c>
      <c r="BF6049" t="str">
        <f>T("N101507")</f>
        <v>N101507</v>
      </c>
      <c r="BG6049" t="str">
        <f>T("판타지 웹소설 &gt; 현대 판타지")</f>
        <v>판타지 웹소설 &gt; 현대 판타지</v>
      </c>
    </row>
    <row r="6050" spans="1:59">
      <c r="A6050" t="s">
        <v>60</v>
      </c>
      <c r="B6050" s="1">
        <v>46130</v>
      </c>
      <c r="C6050">
        <v>2378036823</v>
      </c>
      <c r="D6050">
        <v>2378036867</v>
      </c>
      <c r="E6050" t="str">
        <f>T("증권 재벌의 천재 손자가 되었다 45화")</f>
        <v>증권 재벌의 천재 손자가 되었다 45화</v>
      </c>
      <c r="F6050">
        <v>45</v>
      </c>
      <c r="G6050" t="str">
        <f>T("번파")</f>
        <v>번파</v>
      </c>
      <c r="J6050" t="str">
        <f>T("매드햇")</f>
        <v>매드햇</v>
      </c>
      <c r="K6050" t="str">
        <f>T("증권 재벌의 천재 손자가 되었다")</f>
        <v>증권 재벌의 천재 손자가 되었다</v>
      </c>
      <c r="L6050">
        <v>100</v>
      </c>
      <c r="M6050">
        <v>100</v>
      </c>
      <c r="N6050">
        <v>1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0</v>
      </c>
      <c r="AE6050">
        <v>0</v>
      </c>
      <c r="AF6050">
        <v>0</v>
      </c>
      <c r="AG6050">
        <v>0</v>
      </c>
      <c r="AH6050">
        <v>0</v>
      </c>
      <c r="AI6050">
        <v>100</v>
      </c>
      <c r="AJ6050">
        <v>1</v>
      </c>
      <c r="AK6050">
        <v>0</v>
      </c>
      <c r="AL6050">
        <v>0</v>
      </c>
      <c r="AM6050">
        <v>100</v>
      </c>
      <c r="AN6050">
        <v>0</v>
      </c>
      <c r="AO6050">
        <v>0</v>
      </c>
      <c r="AP6050">
        <v>0</v>
      </c>
      <c r="AQ6050">
        <v>0</v>
      </c>
      <c r="AS6050">
        <v>0</v>
      </c>
      <c r="AT6050">
        <v>0</v>
      </c>
      <c r="AV6050">
        <v>0</v>
      </c>
      <c r="AW6050">
        <v>0</v>
      </c>
      <c r="AY6050">
        <v>0</v>
      </c>
      <c r="AZ6050">
        <v>0</v>
      </c>
      <c r="BA6050">
        <v>70</v>
      </c>
      <c r="BE6050" t="str">
        <f>T("9791137006805")</f>
        <v>9791137006805</v>
      </c>
      <c r="BF6050" t="str">
        <f>T("N101508")</f>
        <v>N101508</v>
      </c>
      <c r="BG6050" t="str">
        <f>T("판타지 웹소설 &gt; 현대 판타지")</f>
        <v>판타지 웹소설 &gt; 현대 판타지</v>
      </c>
    </row>
    <row r="6051" spans="1:59">
      <c r="A6051" t="s">
        <v>60</v>
      </c>
      <c r="B6051" s="1">
        <v>46130</v>
      </c>
      <c r="C6051">
        <v>2378036823</v>
      </c>
      <c r="D6051">
        <v>2378036868</v>
      </c>
      <c r="E6051" t="str">
        <f>T("증권 재벌의 천재 손자가 되었다 46화")</f>
        <v>증권 재벌의 천재 손자가 되었다 46화</v>
      </c>
      <c r="F6051">
        <v>46</v>
      </c>
      <c r="G6051" t="str">
        <f>T("번파")</f>
        <v>번파</v>
      </c>
      <c r="J6051" t="str">
        <f>T("매드햇")</f>
        <v>매드햇</v>
      </c>
      <c r="K6051" t="str">
        <f>T("증권 재벌의 천재 손자가 되었다")</f>
        <v>증권 재벌의 천재 손자가 되었다</v>
      </c>
      <c r="L6051">
        <v>100</v>
      </c>
      <c r="M6051">
        <v>100</v>
      </c>
      <c r="N6051">
        <v>1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0</v>
      </c>
      <c r="AE6051">
        <v>0</v>
      </c>
      <c r="AF6051">
        <v>0</v>
      </c>
      <c r="AG6051">
        <v>0</v>
      </c>
      <c r="AH6051">
        <v>0</v>
      </c>
      <c r="AI6051">
        <v>100</v>
      </c>
      <c r="AJ6051">
        <v>1</v>
      </c>
      <c r="AK6051">
        <v>0</v>
      </c>
      <c r="AL6051">
        <v>0</v>
      </c>
      <c r="AM6051">
        <v>100</v>
      </c>
      <c r="AN6051">
        <v>0</v>
      </c>
      <c r="AO6051">
        <v>0</v>
      </c>
      <c r="AP6051">
        <v>0</v>
      </c>
      <c r="AQ6051">
        <v>0</v>
      </c>
      <c r="AS6051">
        <v>0</v>
      </c>
      <c r="AT6051">
        <v>0</v>
      </c>
      <c r="AV6051">
        <v>0</v>
      </c>
      <c r="AW6051">
        <v>0</v>
      </c>
      <c r="AY6051">
        <v>0</v>
      </c>
      <c r="AZ6051">
        <v>0</v>
      </c>
      <c r="BA6051">
        <v>70</v>
      </c>
      <c r="BE6051" t="str">
        <f>T("9791137006805")</f>
        <v>9791137006805</v>
      </c>
      <c r="BF6051" t="str">
        <f>T("N101509")</f>
        <v>N101509</v>
      </c>
      <c r="BG6051" t="str">
        <f>T("판타지 웹소설 &gt; 현대 판타지")</f>
        <v>판타지 웹소설 &gt; 현대 판타지</v>
      </c>
    </row>
    <row r="6052" spans="1:59">
      <c r="A6052" t="s">
        <v>60</v>
      </c>
      <c r="B6052" s="1">
        <v>46131</v>
      </c>
      <c r="C6052">
        <v>2378036823</v>
      </c>
      <c r="D6052">
        <v>2378036869</v>
      </c>
      <c r="E6052" t="str">
        <f>T("증권 재벌의 천재 손자가 되었다 47화")</f>
        <v>증권 재벌의 천재 손자가 되었다 47화</v>
      </c>
      <c r="F6052">
        <v>47</v>
      </c>
      <c r="G6052" t="str">
        <f>T("번파")</f>
        <v>번파</v>
      </c>
      <c r="J6052" t="str">
        <f>T("매드햇")</f>
        <v>매드햇</v>
      </c>
      <c r="K6052" t="str">
        <f>T("증권 재벌의 천재 손자가 되었다")</f>
        <v>증권 재벌의 천재 손자가 되었다</v>
      </c>
      <c r="L6052">
        <v>100</v>
      </c>
      <c r="M6052">
        <v>100</v>
      </c>
      <c r="N6052">
        <v>1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0</v>
      </c>
      <c r="AE6052">
        <v>0</v>
      </c>
      <c r="AF6052">
        <v>0</v>
      </c>
      <c r="AG6052">
        <v>0</v>
      </c>
      <c r="AH6052">
        <v>0</v>
      </c>
      <c r="AI6052">
        <v>100</v>
      </c>
      <c r="AJ6052">
        <v>1</v>
      </c>
      <c r="AK6052">
        <v>0</v>
      </c>
      <c r="AL6052">
        <v>0</v>
      </c>
      <c r="AM6052">
        <v>100</v>
      </c>
      <c r="AN6052">
        <v>0</v>
      </c>
      <c r="AO6052">
        <v>0</v>
      </c>
      <c r="AP6052">
        <v>0</v>
      </c>
      <c r="AQ6052">
        <v>0</v>
      </c>
      <c r="AS6052">
        <v>0</v>
      </c>
      <c r="AT6052">
        <v>0</v>
      </c>
      <c r="AV6052">
        <v>0</v>
      </c>
      <c r="AW6052">
        <v>0</v>
      </c>
      <c r="AY6052">
        <v>0</v>
      </c>
      <c r="AZ6052">
        <v>0</v>
      </c>
      <c r="BA6052">
        <v>70</v>
      </c>
      <c r="BE6052" t="str">
        <f>T("9791137006805")</f>
        <v>9791137006805</v>
      </c>
      <c r="BF6052" t="str">
        <f>T("N101510")</f>
        <v>N101510</v>
      </c>
      <c r="BG6052" t="str">
        <f>T("판타지 웹소설 &gt; 현대 판타지")</f>
        <v>판타지 웹소설 &gt; 현대 판타지</v>
      </c>
    </row>
    <row r="6053" spans="1:59">
      <c r="A6053" t="s">
        <v>60</v>
      </c>
      <c r="B6053" s="1">
        <v>46131</v>
      </c>
      <c r="C6053">
        <v>2378036823</v>
      </c>
      <c r="D6053">
        <v>2378036870</v>
      </c>
      <c r="E6053" t="str">
        <f>T("증권 재벌의 천재 손자가 되었다 48화")</f>
        <v>증권 재벌의 천재 손자가 되었다 48화</v>
      </c>
      <c r="F6053">
        <v>48</v>
      </c>
      <c r="G6053" t="str">
        <f>T("번파")</f>
        <v>번파</v>
      </c>
      <c r="J6053" t="str">
        <f>T("매드햇")</f>
        <v>매드햇</v>
      </c>
      <c r="K6053" t="str">
        <f>T("증권 재벌의 천재 손자가 되었다")</f>
        <v>증권 재벌의 천재 손자가 되었다</v>
      </c>
      <c r="L6053">
        <v>100</v>
      </c>
      <c r="M6053">
        <v>100</v>
      </c>
      <c r="N6053">
        <v>1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0</v>
      </c>
      <c r="AE6053">
        <v>0</v>
      </c>
      <c r="AF6053">
        <v>0</v>
      </c>
      <c r="AG6053">
        <v>0</v>
      </c>
      <c r="AH6053">
        <v>0</v>
      </c>
      <c r="AI6053">
        <v>100</v>
      </c>
      <c r="AJ6053">
        <v>1</v>
      </c>
      <c r="AK6053">
        <v>0</v>
      </c>
      <c r="AL6053">
        <v>0</v>
      </c>
      <c r="AM6053">
        <v>100</v>
      </c>
      <c r="AN6053">
        <v>0</v>
      </c>
      <c r="AO6053">
        <v>0</v>
      </c>
      <c r="AP6053">
        <v>0</v>
      </c>
      <c r="AQ6053">
        <v>0</v>
      </c>
      <c r="AS6053">
        <v>0</v>
      </c>
      <c r="AT6053">
        <v>0</v>
      </c>
      <c r="AV6053">
        <v>0</v>
      </c>
      <c r="AW6053">
        <v>0</v>
      </c>
      <c r="AY6053">
        <v>0</v>
      </c>
      <c r="AZ6053">
        <v>0</v>
      </c>
      <c r="BA6053">
        <v>70</v>
      </c>
      <c r="BE6053" t="str">
        <f>T("9791137006805")</f>
        <v>9791137006805</v>
      </c>
      <c r="BF6053" t="str">
        <f>T("N101511")</f>
        <v>N101511</v>
      </c>
      <c r="BG6053" t="str">
        <f>T("판타지 웹소설 &gt; 현대 판타지")</f>
        <v>판타지 웹소설 &gt; 현대 판타지</v>
      </c>
    </row>
    <row r="6054" spans="1:59">
      <c r="A6054" t="s">
        <v>60</v>
      </c>
      <c r="B6054" s="1">
        <v>46131</v>
      </c>
      <c r="C6054">
        <v>2378036823</v>
      </c>
      <c r="D6054">
        <v>2378036871</v>
      </c>
      <c r="E6054" t="str">
        <f>T("증권 재벌의 천재 손자가 되었다 49화")</f>
        <v>증권 재벌의 천재 손자가 되었다 49화</v>
      </c>
      <c r="F6054">
        <v>49</v>
      </c>
      <c r="G6054" t="str">
        <f>T("번파")</f>
        <v>번파</v>
      </c>
      <c r="J6054" t="str">
        <f>T("매드햇")</f>
        <v>매드햇</v>
      </c>
      <c r="K6054" t="str">
        <f>T("증권 재벌의 천재 손자가 되었다")</f>
        <v>증권 재벌의 천재 손자가 되었다</v>
      </c>
      <c r="L6054">
        <v>100</v>
      </c>
      <c r="M6054">
        <v>100</v>
      </c>
      <c r="N6054">
        <v>1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0</v>
      </c>
      <c r="AE6054">
        <v>0</v>
      </c>
      <c r="AF6054">
        <v>0</v>
      </c>
      <c r="AG6054">
        <v>0</v>
      </c>
      <c r="AH6054">
        <v>0</v>
      </c>
      <c r="AI6054">
        <v>100</v>
      </c>
      <c r="AJ6054">
        <v>1</v>
      </c>
      <c r="AK6054">
        <v>0</v>
      </c>
      <c r="AL6054">
        <v>0</v>
      </c>
      <c r="AM6054">
        <v>100</v>
      </c>
      <c r="AN6054">
        <v>0</v>
      </c>
      <c r="AO6054">
        <v>0</v>
      </c>
      <c r="AP6054">
        <v>0</v>
      </c>
      <c r="AQ6054">
        <v>0</v>
      </c>
      <c r="AS6054">
        <v>0</v>
      </c>
      <c r="AT6054">
        <v>0</v>
      </c>
      <c r="AV6054">
        <v>0</v>
      </c>
      <c r="AW6054">
        <v>0</v>
      </c>
      <c r="AY6054">
        <v>0</v>
      </c>
      <c r="AZ6054">
        <v>0</v>
      </c>
      <c r="BA6054">
        <v>70</v>
      </c>
      <c r="BE6054" t="str">
        <f>T("9791137006805")</f>
        <v>9791137006805</v>
      </c>
      <c r="BF6054" t="str">
        <f>T("N101512")</f>
        <v>N101512</v>
      </c>
      <c r="BG6054" t="str">
        <f>T("판타지 웹소설 &gt; 현대 판타지")</f>
        <v>판타지 웹소설 &gt; 현대 판타지</v>
      </c>
    </row>
    <row r="6055" spans="1:59">
      <c r="A6055" t="s">
        <v>60</v>
      </c>
      <c r="B6055" s="1">
        <v>46131</v>
      </c>
      <c r="C6055">
        <v>2378036823</v>
      </c>
      <c r="D6055">
        <v>2378036872</v>
      </c>
      <c r="E6055" t="str">
        <f>T("증권 재벌의 천재 손자가 되었다 50화")</f>
        <v>증권 재벌의 천재 손자가 되었다 50화</v>
      </c>
      <c r="F6055">
        <v>50</v>
      </c>
      <c r="G6055" t="str">
        <f>T("번파")</f>
        <v>번파</v>
      </c>
      <c r="J6055" t="str">
        <f>T("매드햇")</f>
        <v>매드햇</v>
      </c>
      <c r="K6055" t="str">
        <f>T("증권 재벌의 천재 손자가 되었다")</f>
        <v>증권 재벌의 천재 손자가 되었다</v>
      </c>
      <c r="L6055">
        <v>100</v>
      </c>
      <c r="M6055">
        <v>100</v>
      </c>
      <c r="N6055">
        <v>1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0</v>
      </c>
      <c r="AE6055">
        <v>0</v>
      </c>
      <c r="AF6055">
        <v>0</v>
      </c>
      <c r="AG6055">
        <v>0</v>
      </c>
      <c r="AH6055">
        <v>0</v>
      </c>
      <c r="AI6055">
        <v>100</v>
      </c>
      <c r="AJ6055">
        <v>1</v>
      </c>
      <c r="AK6055">
        <v>0</v>
      </c>
      <c r="AL6055">
        <v>0</v>
      </c>
      <c r="AM6055">
        <v>100</v>
      </c>
      <c r="AN6055">
        <v>0</v>
      </c>
      <c r="AO6055">
        <v>0</v>
      </c>
      <c r="AP6055">
        <v>0</v>
      </c>
      <c r="AQ6055">
        <v>0</v>
      </c>
      <c r="AS6055">
        <v>0</v>
      </c>
      <c r="AT6055">
        <v>0</v>
      </c>
      <c r="AV6055">
        <v>0</v>
      </c>
      <c r="AW6055">
        <v>0</v>
      </c>
      <c r="AY6055">
        <v>0</v>
      </c>
      <c r="AZ6055">
        <v>0</v>
      </c>
      <c r="BA6055">
        <v>70</v>
      </c>
      <c r="BE6055" t="str">
        <f>T("9791137006805")</f>
        <v>9791137006805</v>
      </c>
      <c r="BF6055" t="str">
        <f>T("N101513")</f>
        <v>N101513</v>
      </c>
      <c r="BG6055" t="str">
        <f>T("판타지 웹소설 &gt; 현대 판타지")</f>
        <v>판타지 웹소설 &gt; 현대 판타지</v>
      </c>
    </row>
    <row r="6056" spans="1:59">
      <c r="A6056" t="s">
        <v>60</v>
      </c>
      <c r="B6056" s="1">
        <v>46131</v>
      </c>
      <c r="C6056">
        <v>2378036823</v>
      </c>
      <c r="D6056">
        <v>2378036873</v>
      </c>
      <c r="E6056" t="str">
        <f>T("증권 재벌의 천재 손자가 되었다 51화")</f>
        <v>증권 재벌의 천재 손자가 되었다 51화</v>
      </c>
      <c r="F6056">
        <v>51</v>
      </c>
      <c r="G6056" t="str">
        <f>T("번파")</f>
        <v>번파</v>
      </c>
      <c r="J6056" t="str">
        <f>T("매드햇")</f>
        <v>매드햇</v>
      </c>
      <c r="K6056" t="str">
        <f>T("증권 재벌의 천재 손자가 되었다")</f>
        <v>증권 재벌의 천재 손자가 되었다</v>
      </c>
      <c r="L6056">
        <v>100</v>
      </c>
      <c r="M6056">
        <v>100</v>
      </c>
      <c r="N6056">
        <v>1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0</v>
      </c>
      <c r="AE6056">
        <v>0</v>
      </c>
      <c r="AF6056">
        <v>0</v>
      </c>
      <c r="AG6056">
        <v>0</v>
      </c>
      <c r="AH6056">
        <v>0</v>
      </c>
      <c r="AI6056">
        <v>100</v>
      </c>
      <c r="AJ6056">
        <v>1</v>
      </c>
      <c r="AK6056">
        <v>0</v>
      </c>
      <c r="AL6056">
        <v>0</v>
      </c>
      <c r="AM6056">
        <v>100</v>
      </c>
      <c r="AN6056">
        <v>0</v>
      </c>
      <c r="AO6056">
        <v>0</v>
      </c>
      <c r="AP6056">
        <v>0</v>
      </c>
      <c r="AQ6056">
        <v>0</v>
      </c>
      <c r="AS6056">
        <v>0</v>
      </c>
      <c r="AT6056">
        <v>0</v>
      </c>
      <c r="AV6056">
        <v>0</v>
      </c>
      <c r="AW6056">
        <v>0</v>
      </c>
      <c r="AY6056">
        <v>0</v>
      </c>
      <c r="AZ6056">
        <v>0</v>
      </c>
      <c r="BA6056">
        <v>70</v>
      </c>
      <c r="BE6056" t="str">
        <f>T("9791137006805")</f>
        <v>9791137006805</v>
      </c>
      <c r="BF6056" t="str">
        <f>T("N101514")</f>
        <v>N101514</v>
      </c>
      <c r="BG6056" t="str">
        <f>T("판타지 웹소설 &gt; 현대 판타지")</f>
        <v>판타지 웹소설 &gt; 현대 판타지</v>
      </c>
    </row>
    <row r="6057" spans="1:59">
      <c r="A6057" t="s">
        <v>60</v>
      </c>
      <c r="B6057" s="1">
        <v>46131</v>
      </c>
      <c r="C6057">
        <v>2378036823</v>
      </c>
      <c r="D6057">
        <v>2378036874</v>
      </c>
      <c r="E6057" t="str">
        <f>T("증권 재벌의 천재 손자가 되었다 52화")</f>
        <v>증권 재벌의 천재 손자가 되었다 52화</v>
      </c>
      <c r="F6057">
        <v>52</v>
      </c>
      <c r="G6057" t="str">
        <f>T("번파")</f>
        <v>번파</v>
      </c>
      <c r="J6057" t="str">
        <f>T("매드햇")</f>
        <v>매드햇</v>
      </c>
      <c r="K6057" t="str">
        <f>T("증권 재벌의 천재 손자가 되었다")</f>
        <v>증권 재벌의 천재 손자가 되었다</v>
      </c>
      <c r="L6057">
        <v>100</v>
      </c>
      <c r="M6057">
        <v>100</v>
      </c>
      <c r="N6057">
        <v>1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0</v>
      </c>
      <c r="AE6057">
        <v>0</v>
      </c>
      <c r="AF6057">
        <v>0</v>
      </c>
      <c r="AG6057">
        <v>0</v>
      </c>
      <c r="AH6057">
        <v>0</v>
      </c>
      <c r="AI6057">
        <v>100</v>
      </c>
      <c r="AJ6057">
        <v>1</v>
      </c>
      <c r="AK6057">
        <v>0</v>
      </c>
      <c r="AL6057">
        <v>0</v>
      </c>
      <c r="AM6057">
        <v>100</v>
      </c>
      <c r="AN6057">
        <v>0</v>
      </c>
      <c r="AO6057">
        <v>0</v>
      </c>
      <c r="AP6057">
        <v>0</v>
      </c>
      <c r="AQ6057">
        <v>0</v>
      </c>
      <c r="AS6057">
        <v>0</v>
      </c>
      <c r="AT6057">
        <v>0</v>
      </c>
      <c r="AV6057">
        <v>0</v>
      </c>
      <c r="AW6057">
        <v>0</v>
      </c>
      <c r="AY6057">
        <v>0</v>
      </c>
      <c r="AZ6057">
        <v>0</v>
      </c>
      <c r="BA6057">
        <v>70</v>
      </c>
      <c r="BE6057" t="str">
        <f>T("9791137006805")</f>
        <v>9791137006805</v>
      </c>
      <c r="BF6057" t="str">
        <f>T("N101515")</f>
        <v>N101515</v>
      </c>
      <c r="BG6057" t="str">
        <f>T("판타지 웹소설 &gt; 현대 판타지")</f>
        <v>판타지 웹소설 &gt; 현대 판타지</v>
      </c>
    </row>
    <row r="6058" spans="1:59">
      <c r="A6058" t="s">
        <v>60</v>
      </c>
      <c r="B6058" s="1">
        <v>46131</v>
      </c>
      <c r="C6058">
        <v>2378036823</v>
      </c>
      <c r="D6058">
        <v>2378036875</v>
      </c>
      <c r="E6058" t="str">
        <f>T("증권 재벌의 천재 손자가 되었다 53화")</f>
        <v>증권 재벌의 천재 손자가 되었다 53화</v>
      </c>
      <c r="F6058">
        <v>53</v>
      </c>
      <c r="G6058" t="str">
        <f>T("번파")</f>
        <v>번파</v>
      </c>
      <c r="J6058" t="str">
        <f>T("매드햇")</f>
        <v>매드햇</v>
      </c>
      <c r="K6058" t="str">
        <f>T("증권 재벌의 천재 손자가 되었다")</f>
        <v>증권 재벌의 천재 손자가 되었다</v>
      </c>
      <c r="L6058">
        <v>100</v>
      </c>
      <c r="M6058">
        <v>100</v>
      </c>
      <c r="N6058">
        <v>1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0</v>
      </c>
      <c r="AE6058">
        <v>0</v>
      </c>
      <c r="AF6058">
        <v>0</v>
      </c>
      <c r="AG6058">
        <v>0</v>
      </c>
      <c r="AH6058">
        <v>0</v>
      </c>
      <c r="AI6058">
        <v>100</v>
      </c>
      <c r="AJ6058">
        <v>1</v>
      </c>
      <c r="AK6058">
        <v>0</v>
      </c>
      <c r="AL6058">
        <v>0</v>
      </c>
      <c r="AM6058">
        <v>100</v>
      </c>
      <c r="AN6058">
        <v>0</v>
      </c>
      <c r="AO6058">
        <v>0</v>
      </c>
      <c r="AP6058">
        <v>0</v>
      </c>
      <c r="AQ6058">
        <v>0</v>
      </c>
      <c r="AS6058">
        <v>0</v>
      </c>
      <c r="AT6058">
        <v>0</v>
      </c>
      <c r="AV6058">
        <v>0</v>
      </c>
      <c r="AW6058">
        <v>0</v>
      </c>
      <c r="AY6058">
        <v>0</v>
      </c>
      <c r="AZ6058">
        <v>0</v>
      </c>
      <c r="BA6058">
        <v>70</v>
      </c>
      <c r="BE6058" t="str">
        <f>T("9791137006805")</f>
        <v>9791137006805</v>
      </c>
      <c r="BF6058" t="str">
        <f>T("N101516")</f>
        <v>N101516</v>
      </c>
      <c r="BG6058" t="str">
        <f>T("판타지 웹소설 &gt; 현대 판타지")</f>
        <v>판타지 웹소설 &gt; 현대 판타지</v>
      </c>
    </row>
    <row r="6059" spans="1:59">
      <c r="A6059" t="s">
        <v>60</v>
      </c>
      <c r="B6059" s="1">
        <v>46131</v>
      </c>
      <c r="C6059">
        <v>2378036823</v>
      </c>
      <c r="D6059">
        <v>2378036876</v>
      </c>
      <c r="E6059" t="str">
        <f>T("증권 재벌의 천재 손자가 되었다 54화")</f>
        <v>증권 재벌의 천재 손자가 되었다 54화</v>
      </c>
      <c r="F6059">
        <v>54</v>
      </c>
      <c r="G6059" t="str">
        <f>T("번파")</f>
        <v>번파</v>
      </c>
      <c r="J6059" t="str">
        <f>T("매드햇")</f>
        <v>매드햇</v>
      </c>
      <c r="K6059" t="str">
        <f>T("증권 재벌의 천재 손자가 되었다")</f>
        <v>증권 재벌의 천재 손자가 되었다</v>
      </c>
      <c r="L6059">
        <v>100</v>
      </c>
      <c r="M6059">
        <v>100</v>
      </c>
      <c r="N6059">
        <v>1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0</v>
      </c>
      <c r="AE6059">
        <v>0</v>
      </c>
      <c r="AF6059">
        <v>0</v>
      </c>
      <c r="AG6059">
        <v>0</v>
      </c>
      <c r="AH6059">
        <v>0</v>
      </c>
      <c r="AI6059">
        <v>100</v>
      </c>
      <c r="AJ6059">
        <v>1</v>
      </c>
      <c r="AK6059">
        <v>0</v>
      </c>
      <c r="AL6059">
        <v>0</v>
      </c>
      <c r="AM6059">
        <v>100</v>
      </c>
      <c r="AN6059">
        <v>0</v>
      </c>
      <c r="AO6059">
        <v>0</v>
      </c>
      <c r="AP6059">
        <v>0</v>
      </c>
      <c r="AQ6059">
        <v>0</v>
      </c>
      <c r="AS6059">
        <v>0</v>
      </c>
      <c r="AT6059">
        <v>0</v>
      </c>
      <c r="AV6059">
        <v>0</v>
      </c>
      <c r="AW6059">
        <v>0</v>
      </c>
      <c r="AY6059">
        <v>0</v>
      </c>
      <c r="AZ6059">
        <v>0</v>
      </c>
      <c r="BA6059">
        <v>70</v>
      </c>
      <c r="BE6059" t="str">
        <f>T("9791137006805")</f>
        <v>9791137006805</v>
      </c>
      <c r="BF6059" t="str">
        <f>T("N101517")</f>
        <v>N101517</v>
      </c>
      <c r="BG6059" t="str">
        <f>T("판타지 웹소설 &gt; 현대 판타지")</f>
        <v>판타지 웹소설 &gt; 현대 판타지</v>
      </c>
    </row>
    <row r="6060" spans="1:59">
      <c r="A6060" t="s">
        <v>60</v>
      </c>
      <c r="B6060" s="1">
        <v>46131</v>
      </c>
      <c r="C6060">
        <v>2378036823</v>
      </c>
      <c r="D6060">
        <v>2378036877</v>
      </c>
      <c r="E6060" t="str">
        <f>T("증권 재벌의 천재 손자가 되었다 55화")</f>
        <v>증권 재벌의 천재 손자가 되었다 55화</v>
      </c>
      <c r="F6060">
        <v>55</v>
      </c>
      <c r="G6060" t="str">
        <f>T("번파")</f>
        <v>번파</v>
      </c>
      <c r="J6060" t="str">
        <f>T("매드햇")</f>
        <v>매드햇</v>
      </c>
      <c r="K6060" t="str">
        <f>T("증권 재벌의 천재 손자가 되었다")</f>
        <v>증권 재벌의 천재 손자가 되었다</v>
      </c>
      <c r="L6060">
        <v>100</v>
      </c>
      <c r="M6060">
        <v>100</v>
      </c>
      <c r="N6060">
        <v>1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0</v>
      </c>
      <c r="AE6060">
        <v>0</v>
      </c>
      <c r="AF6060">
        <v>0</v>
      </c>
      <c r="AG6060">
        <v>0</v>
      </c>
      <c r="AH6060">
        <v>0</v>
      </c>
      <c r="AI6060">
        <v>100</v>
      </c>
      <c r="AJ6060">
        <v>1</v>
      </c>
      <c r="AK6060">
        <v>0</v>
      </c>
      <c r="AL6060">
        <v>0</v>
      </c>
      <c r="AM6060">
        <v>100</v>
      </c>
      <c r="AN6060">
        <v>0</v>
      </c>
      <c r="AO6060">
        <v>0</v>
      </c>
      <c r="AP6060">
        <v>0</v>
      </c>
      <c r="AQ6060">
        <v>0</v>
      </c>
      <c r="AS6060">
        <v>0</v>
      </c>
      <c r="AT6060">
        <v>0</v>
      </c>
      <c r="AV6060">
        <v>0</v>
      </c>
      <c r="AW6060">
        <v>0</v>
      </c>
      <c r="AY6060">
        <v>0</v>
      </c>
      <c r="AZ6060">
        <v>0</v>
      </c>
      <c r="BA6060">
        <v>70</v>
      </c>
      <c r="BE6060" t="str">
        <f>T("9791137006805")</f>
        <v>9791137006805</v>
      </c>
      <c r="BF6060" t="str">
        <f>T("N101518")</f>
        <v>N101518</v>
      </c>
      <c r="BG6060" t="str">
        <f>T("판타지 웹소설 &gt; 현대 판타지")</f>
        <v>판타지 웹소설 &gt; 현대 판타지</v>
      </c>
    </row>
    <row r="6061" spans="1:59">
      <c r="A6061" t="s">
        <v>60</v>
      </c>
      <c r="B6061" s="1">
        <v>46131</v>
      </c>
      <c r="C6061">
        <v>2378036823</v>
      </c>
      <c r="D6061">
        <v>2378036878</v>
      </c>
      <c r="E6061" t="str">
        <f>T("증권 재벌의 천재 손자가 되었다 56화")</f>
        <v>증권 재벌의 천재 손자가 되었다 56화</v>
      </c>
      <c r="F6061">
        <v>56</v>
      </c>
      <c r="G6061" t="str">
        <f>T("번파")</f>
        <v>번파</v>
      </c>
      <c r="J6061" t="str">
        <f>T("매드햇")</f>
        <v>매드햇</v>
      </c>
      <c r="K6061" t="str">
        <f>T("증권 재벌의 천재 손자가 되었다")</f>
        <v>증권 재벌의 천재 손자가 되었다</v>
      </c>
      <c r="L6061">
        <v>100</v>
      </c>
      <c r="M6061">
        <v>100</v>
      </c>
      <c r="N6061">
        <v>1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0</v>
      </c>
      <c r="AE6061">
        <v>0</v>
      </c>
      <c r="AF6061">
        <v>0</v>
      </c>
      <c r="AG6061">
        <v>0</v>
      </c>
      <c r="AH6061">
        <v>0</v>
      </c>
      <c r="AI6061">
        <v>100</v>
      </c>
      <c r="AJ6061">
        <v>1</v>
      </c>
      <c r="AK6061">
        <v>0</v>
      </c>
      <c r="AL6061">
        <v>0</v>
      </c>
      <c r="AM6061">
        <v>100</v>
      </c>
      <c r="AN6061">
        <v>0</v>
      </c>
      <c r="AO6061">
        <v>0</v>
      </c>
      <c r="AP6061">
        <v>0</v>
      </c>
      <c r="AQ6061">
        <v>0</v>
      </c>
      <c r="AS6061">
        <v>0</v>
      </c>
      <c r="AT6061">
        <v>0</v>
      </c>
      <c r="AV6061">
        <v>0</v>
      </c>
      <c r="AW6061">
        <v>0</v>
      </c>
      <c r="AY6061">
        <v>0</v>
      </c>
      <c r="AZ6061">
        <v>0</v>
      </c>
      <c r="BA6061">
        <v>70</v>
      </c>
      <c r="BE6061" t="str">
        <f>T("9791137006805")</f>
        <v>9791137006805</v>
      </c>
      <c r="BF6061" t="str">
        <f>T("N101519")</f>
        <v>N101519</v>
      </c>
      <c r="BG6061" t="str">
        <f>T("판타지 웹소설 &gt; 현대 판타지")</f>
        <v>판타지 웹소설 &gt; 현대 판타지</v>
      </c>
    </row>
    <row r="6062" spans="1:59">
      <c r="A6062" t="s">
        <v>60</v>
      </c>
      <c r="B6062" s="1">
        <v>46131</v>
      </c>
      <c r="C6062">
        <v>2378036823</v>
      </c>
      <c r="D6062">
        <v>2378036879</v>
      </c>
      <c r="E6062" t="str">
        <f>T("증권 재벌의 천재 손자가 되었다 57화")</f>
        <v>증권 재벌의 천재 손자가 되었다 57화</v>
      </c>
      <c r="F6062">
        <v>57</v>
      </c>
      <c r="G6062" t="str">
        <f>T("번파")</f>
        <v>번파</v>
      </c>
      <c r="J6062" t="str">
        <f>T("매드햇")</f>
        <v>매드햇</v>
      </c>
      <c r="K6062" t="str">
        <f>T("증권 재벌의 천재 손자가 되었다")</f>
        <v>증권 재벌의 천재 손자가 되었다</v>
      </c>
      <c r="L6062">
        <v>100</v>
      </c>
      <c r="M6062">
        <v>100</v>
      </c>
      <c r="N6062">
        <v>1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0</v>
      </c>
      <c r="AE6062">
        <v>0</v>
      </c>
      <c r="AF6062">
        <v>0</v>
      </c>
      <c r="AG6062">
        <v>0</v>
      </c>
      <c r="AH6062">
        <v>0</v>
      </c>
      <c r="AI6062">
        <v>100</v>
      </c>
      <c r="AJ6062">
        <v>1</v>
      </c>
      <c r="AK6062">
        <v>0</v>
      </c>
      <c r="AL6062">
        <v>0</v>
      </c>
      <c r="AM6062">
        <v>100</v>
      </c>
      <c r="AN6062">
        <v>0</v>
      </c>
      <c r="AO6062">
        <v>0</v>
      </c>
      <c r="AP6062">
        <v>0</v>
      </c>
      <c r="AQ6062">
        <v>0</v>
      </c>
      <c r="AS6062">
        <v>0</v>
      </c>
      <c r="AT6062">
        <v>0</v>
      </c>
      <c r="AV6062">
        <v>0</v>
      </c>
      <c r="AW6062">
        <v>0</v>
      </c>
      <c r="AY6062">
        <v>0</v>
      </c>
      <c r="AZ6062">
        <v>0</v>
      </c>
      <c r="BA6062">
        <v>70</v>
      </c>
      <c r="BE6062" t="str">
        <f>T("9791137006805")</f>
        <v>9791137006805</v>
      </c>
      <c r="BF6062" t="str">
        <f>T("N101520")</f>
        <v>N101520</v>
      </c>
      <c r="BG6062" t="str">
        <f>T("판타지 웹소설 &gt; 현대 판타지")</f>
        <v>판타지 웹소설 &gt; 현대 판타지</v>
      </c>
    </row>
    <row r="6063" spans="1:59">
      <c r="A6063" t="s">
        <v>60</v>
      </c>
      <c r="B6063" s="1">
        <v>46131</v>
      </c>
      <c r="C6063">
        <v>2378036823</v>
      </c>
      <c r="D6063">
        <v>2378036880</v>
      </c>
      <c r="E6063" t="str">
        <f>T("증권 재벌의 천재 손자가 되었다 58화")</f>
        <v>증권 재벌의 천재 손자가 되었다 58화</v>
      </c>
      <c r="F6063">
        <v>58</v>
      </c>
      <c r="G6063" t="str">
        <f>T("번파")</f>
        <v>번파</v>
      </c>
      <c r="J6063" t="str">
        <f>T("매드햇")</f>
        <v>매드햇</v>
      </c>
      <c r="K6063" t="str">
        <f>T("증권 재벌의 천재 손자가 되었다")</f>
        <v>증권 재벌의 천재 손자가 되었다</v>
      </c>
      <c r="L6063">
        <v>100</v>
      </c>
      <c r="M6063">
        <v>100</v>
      </c>
      <c r="N6063">
        <v>1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0</v>
      </c>
      <c r="AE6063">
        <v>0</v>
      </c>
      <c r="AF6063">
        <v>0</v>
      </c>
      <c r="AG6063">
        <v>0</v>
      </c>
      <c r="AH6063">
        <v>0</v>
      </c>
      <c r="AI6063">
        <v>100</v>
      </c>
      <c r="AJ6063">
        <v>1</v>
      </c>
      <c r="AK6063">
        <v>0</v>
      </c>
      <c r="AL6063">
        <v>0</v>
      </c>
      <c r="AM6063">
        <v>100</v>
      </c>
      <c r="AN6063">
        <v>0</v>
      </c>
      <c r="AO6063">
        <v>0</v>
      </c>
      <c r="AP6063">
        <v>0</v>
      </c>
      <c r="AQ6063">
        <v>0</v>
      </c>
      <c r="AS6063">
        <v>0</v>
      </c>
      <c r="AT6063">
        <v>0</v>
      </c>
      <c r="AV6063">
        <v>0</v>
      </c>
      <c r="AW6063">
        <v>0</v>
      </c>
      <c r="AY6063">
        <v>0</v>
      </c>
      <c r="AZ6063">
        <v>0</v>
      </c>
      <c r="BA6063">
        <v>70</v>
      </c>
      <c r="BE6063" t="str">
        <f>T("9791137006805")</f>
        <v>9791137006805</v>
      </c>
      <c r="BF6063" t="str">
        <f>T("N101521")</f>
        <v>N101521</v>
      </c>
      <c r="BG6063" t="str">
        <f>T("판타지 웹소설 &gt; 현대 판타지")</f>
        <v>판타지 웹소설 &gt; 현대 판타지</v>
      </c>
    </row>
    <row r="6064" spans="1:59">
      <c r="A6064" t="s">
        <v>60</v>
      </c>
      <c r="B6064" s="1">
        <v>46131</v>
      </c>
      <c r="C6064">
        <v>2378036823</v>
      </c>
      <c r="D6064">
        <v>2378036888</v>
      </c>
      <c r="E6064" t="str">
        <f>T("증권 재벌의 천재 손자가 되었다 66화")</f>
        <v>증권 재벌의 천재 손자가 되었다 66화</v>
      </c>
      <c r="F6064">
        <v>66</v>
      </c>
      <c r="G6064" t="str">
        <f>T("번파")</f>
        <v>번파</v>
      </c>
      <c r="J6064" t="str">
        <f>T("매드햇")</f>
        <v>매드햇</v>
      </c>
      <c r="K6064" t="str">
        <f>T("증권 재벌의 천재 손자가 되었다")</f>
        <v>증권 재벌의 천재 손자가 되었다</v>
      </c>
      <c r="L6064">
        <v>100</v>
      </c>
      <c r="M6064">
        <v>100</v>
      </c>
      <c r="N6064">
        <v>1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0</v>
      </c>
      <c r="AE6064">
        <v>0</v>
      </c>
      <c r="AF6064">
        <v>0</v>
      </c>
      <c r="AG6064">
        <v>0</v>
      </c>
      <c r="AH6064">
        <v>0</v>
      </c>
      <c r="AI6064">
        <v>100</v>
      </c>
      <c r="AJ6064">
        <v>1</v>
      </c>
      <c r="AK6064">
        <v>0</v>
      </c>
      <c r="AL6064">
        <v>0</v>
      </c>
      <c r="AM6064">
        <v>100</v>
      </c>
      <c r="AN6064">
        <v>0</v>
      </c>
      <c r="AO6064">
        <v>0</v>
      </c>
      <c r="AP6064">
        <v>0</v>
      </c>
      <c r="AQ6064">
        <v>0</v>
      </c>
      <c r="AS6064">
        <v>0</v>
      </c>
      <c r="AT6064">
        <v>0</v>
      </c>
      <c r="AV6064">
        <v>0</v>
      </c>
      <c r="AW6064">
        <v>0</v>
      </c>
      <c r="AY6064">
        <v>0</v>
      </c>
      <c r="AZ6064">
        <v>0</v>
      </c>
      <c r="BA6064">
        <v>70</v>
      </c>
      <c r="BE6064" t="str">
        <f>T("9791137006805")</f>
        <v>9791137006805</v>
      </c>
      <c r="BF6064" t="str">
        <f>T("N101529")</f>
        <v>N101529</v>
      </c>
      <c r="BG6064" t="str">
        <f>T("판타지 웹소설 &gt; 현대 판타지")</f>
        <v>판타지 웹소설 &gt; 현대 판타지</v>
      </c>
    </row>
    <row r="6065" spans="1:59">
      <c r="A6065" t="s">
        <v>60</v>
      </c>
      <c r="B6065" s="1">
        <v>46131</v>
      </c>
      <c r="C6065">
        <v>2378036823</v>
      </c>
      <c r="D6065">
        <v>2378036889</v>
      </c>
      <c r="E6065" t="str">
        <f>T("증권 재벌의 천재 손자가 되었다 67화")</f>
        <v>증권 재벌의 천재 손자가 되었다 67화</v>
      </c>
      <c r="F6065">
        <v>67</v>
      </c>
      <c r="G6065" t="str">
        <f>T("번파")</f>
        <v>번파</v>
      </c>
      <c r="J6065" t="str">
        <f>T("매드햇")</f>
        <v>매드햇</v>
      </c>
      <c r="K6065" t="str">
        <f>T("증권 재벌의 천재 손자가 되었다")</f>
        <v>증권 재벌의 천재 손자가 되었다</v>
      </c>
      <c r="L6065">
        <v>100</v>
      </c>
      <c r="M6065">
        <v>100</v>
      </c>
      <c r="N6065">
        <v>1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0</v>
      </c>
      <c r="AE6065">
        <v>0</v>
      </c>
      <c r="AF6065">
        <v>0</v>
      </c>
      <c r="AG6065">
        <v>0</v>
      </c>
      <c r="AH6065">
        <v>0</v>
      </c>
      <c r="AI6065">
        <v>100</v>
      </c>
      <c r="AJ6065">
        <v>1</v>
      </c>
      <c r="AK6065">
        <v>0</v>
      </c>
      <c r="AL6065">
        <v>0</v>
      </c>
      <c r="AM6065">
        <v>100</v>
      </c>
      <c r="AN6065">
        <v>0</v>
      </c>
      <c r="AO6065">
        <v>0</v>
      </c>
      <c r="AP6065">
        <v>0</v>
      </c>
      <c r="AQ6065">
        <v>0</v>
      </c>
      <c r="AS6065">
        <v>0</v>
      </c>
      <c r="AT6065">
        <v>0</v>
      </c>
      <c r="AV6065">
        <v>0</v>
      </c>
      <c r="AW6065">
        <v>0</v>
      </c>
      <c r="AY6065">
        <v>0</v>
      </c>
      <c r="AZ6065">
        <v>0</v>
      </c>
      <c r="BA6065">
        <v>70</v>
      </c>
      <c r="BE6065" t="str">
        <f>T("9791137006805")</f>
        <v>9791137006805</v>
      </c>
      <c r="BF6065" t="str">
        <f>T("N101530")</f>
        <v>N101530</v>
      </c>
      <c r="BG6065" t="str">
        <f>T("판타지 웹소설 &gt; 현대 판타지")</f>
        <v>판타지 웹소설 &gt; 현대 판타지</v>
      </c>
    </row>
    <row r="6066" spans="1:59">
      <c r="A6066" t="s">
        <v>60</v>
      </c>
      <c r="B6066" s="1">
        <v>46131</v>
      </c>
      <c r="C6066">
        <v>2378036823</v>
      </c>
      <c r="D6066">
        <v>2378036890</v>
      </c>
      <c r="E6066" t="str">
        <f>T("증권 재벌의 천재 손자가 되었다 68화")</f>
        <v>증권 재벌의 천재 손자가 되었다 68화</v>
      </c>
      <c r="F6066">
        <v>68</v>
      </c>
      <c r="G6066" t="str">
        <f>T("번파")</f>
        <v>번파</v>
      </c>
      <c r="J6066" t="str">
        <f>T("매드햇")</f>
        <v>매드햇</v>
      </c>
      <c r="K6066" t="str">
        <f>T("증권 재벌의 천재 손자가 되었다")</f>
        <v>증권 재벌의 천재 손자가 되었다</v>
      </c>
      <c r="L6066">
        <v>100</v>
      </c>
      <c r="M6066">
        <v>100</v>
      </c>
      <c r="N6066">
        <v>1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0</v>
      </c>
      <c r="AE6066">
        <v>0</v>
      </c>
      <c r="AF6066">
        <v>0</v>
      </c>
      <c r="AG6066">
        <v>0</v>
      </c>
      <c r="AH6066">
        <v>0</v>
      </c>
      <c r="AI6066">
        <v>100</v>
      </c>
      <c r="AJ6066">
        <v>1</v>
      </c>
      <c r="AK6066">
        <v>0</v>
      </c>
      <c r="AL6066">
        <v>0</v>
      </c>
      <c r="AM6066">
        <v>100</v>
      </c>
      <c r="AN6066">
        <v>0</v>
      </c>
      <c r="AO6066">
        <v>0</v>
      </c>
      <c r="AP6066">
        <v>0</v>
      </c>
      <c r="AQ6066">
        <v>0</v>
      </c>
      <c r="AS6066">
        <v>0</v>
      </c>
      <c r="AT6066">
        <v>0</v>
      </c>
      <c r="AV6066">
        <v>0</v>
      </c>
      <c r="AW6066">
        <v>0</v>
      </c>
      <c r="AY6066">
        <v>0</v>
      </c>
      <c r="AZ6066">
        <v>0</v>
      </c>
      <c r="BA6066">
        <v>70</v>
      </c>
      <c r="BE6066" t="str">
        <f>T("9791137006805")</f>
        <v>9791137006805</v>
      </c>
      <c r="BF6066" t="str">
        <f>T("N101531")</f>
        <v>N101531</v>
      </c>
      <c r="BG6066" t="str">
        <f>T("판타지 웹소설 &gt; 현대 판타지")</f>
        <v>판타지 웹소설 &gt; 현대 판타지</v>
      </c>
    </row>
    <row r="6067" spans="1:59">
      <c r="A6067" t="s">
        <v>60</v>
      </c>
      <c r="B6067" s="1">
        <v>46131</v>
      </c>
      <c r="C6067">
        <v>2378036823</v>
      </c>
      <c r="D6067">
        <v>2378036891</v>
      </c>
      <c r="E6067" t="str">
        <f>T("증권 재벌의 천재 손자가 되었다 69화")</f>
        <v>증권 재벌의 천재 손자가 되었다 69화</v>
      </c>
      <c r="F6067">
        <v>69</v>
      </c>
      <c r="G6067" t="str">
        <f>T("번파")</f>
        <v>번파</v>
      </c>
      <c r="J6067" t="str">
        <f>T("매드햇")</f>
        <v>매드햇</v>
      </c>
      <c r="K6067" t="str">
        <f>T("증권 재벌의 천재 손자가 되었다")</f>
        <v>증권 재벌의 천재 손자가 되었다</v>
      </c>
      <c r="L6067">
        <v>100</v>
      </c>
      <c r="M6067">
        <v>100</v>
      </c>
      <c r="N6067">
        <v>1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0</v>
      </c>
      <c r="AE6067">
        <v>0</v>
      </c>
      <c r="AF6067">
        <v>0</v>
      </c>
      <c r="AG6067">
        <v>0</v>
      </c>
      <c r="AH6067">
        <v>0</v>
      </c>
      <c r="AI6067">
        <v>100</v>
      </c>
      <c r="AJ6067">
        <v>1</v>
      </c>
      <c r="AK6067">
        <v>0</v>
      </c>
      <c r="AL6067">
        <v>0</v>
      </c>
      <c r="AM6067">
        <v>100</v>
      </c>
      <c r="AN6067">
        <v>0</v>
      </c>
      <c r="AO6067">
        <v>0</v>
      </c>
      <c r="AP6067">
        <v>0</v>
      </c>
      <c r="AQ6067">
        <v>0</v>
      </c>
      <c r="AS6067">
        <v>0</v>
      </c>
      <c r="AT6067">
        <v>0</v>
      </c>
      <c r="AV6067">
        <v>0</v>
      </c>
      <c r="AW6067">
        <v>0</v>
      </c>
      <c r="AY6067">
        <v>0</v>
      </c>
      <c r="AZ6067">
        <v>0</v>
      </c>
      <c r="BA6067">
        <v>70</v>
      </c>
      <c r="BE6067" t="str">
        <f>T("9791137006805")</f>
        <v>9791137006805</v>
      </c>
      <c r="BF6067" t="str">
        <f>T("N101532")</f>
        <v>N101532</v>
      </c>
      <c r="BG6067" t="str">
        <f>T("판타지 웹소설 &gt; 현대 판타지")</f>
        <v>판타지 웹소설 &gt; 현대 판타지</v>
      </c>
    </row>
    <row r="6068" spans="1:59">
      <c r="A6068" t="s">
        <v>60</v>
      </c>
      <c r="B6068" s="1">
        <v>46131</v>
      </c>
      <c r="C6068">
        <v>2378036823</v>
      </c>
      <c r="D6068">
        <v>2378036892</v>
      </c>
      <c r="E6068" t="str">
        <f>T("증권 재벌의 천재 손자가 되었다 70화")</f>
        <v>증권 재벌의 천재 손자가 되었다 70화</v>
      </c>
      <c r="F6068">
        <v>70</v>
      </c>
      <c r="G6068" t="str">
        <f>T("번파")</f>
        <v>번파</v>
      </c>
      <c r="J6068" t="str">
        <f>T("매드햇")</f>
        <v>매드햇</v>
      </c>
      <c r="K6068" t="str">
        <f>T("증권 재벌의 천재 손자가 되었다")</f>
        <v>증권 재벌의 천재 손자가 되었다</v>
      </c>
      <c r="L6068">
        <v>100</v>
      </c>
      <c r="M6068">
        <v>100</v>
      </c>
      <c r="N6068">
        <v>1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0</v>
      </c>
      <c r="AE6068">
        <v>0</v>
      </c>
      <c r="AF6068">
        <v>0</v>
      </c>
      <c r="AG6068">
        <v>0</v>
      </c>
      <c r="AH6068">
        <v>0</v>
      </c>
      <c r="AI6068">
        <v>100</v>
      </c>
      <c r="AJ6068">
        <v>1</v>
      </c>
      <c r="AK6068">
        <v>0</v>
      </c>
      <c r="AL6068">
        <v>0</v>
      </c>
      <c r="AM6068">
        <v>100</v>
      </c>
      <c r="AN6068">
        <v>0</v>
      </c>
      <c r="AO6068">
        <v>0</v>
      </c>
      <c r="AP6068">
        <v>0</v>
      </c>
      <c r="AQ6068">
        <v>0</v>
      </c>
      <c r="AS6068">
        <v>0</v>
      </c>
      <c r="AT6068">
        <v>0</v>
      </c>
      <c r="AV6068">
        <v>0</v>
      </c>
      <c r="AW6068">
        <v>0</v>
      </c>
      <c r="AY6068">
        <v>0</v>
      </c>
      <c r="AZ6068">
        <v>0</v>
      </c>
      <c r="BA6068">
        <v>70</v>
      </c>
      <c r="BE6068" t="str">
        <f>T("9791137006805")</f>
        <v>9791137006805</v>
      </c>
      <c r="BF6068" t="str">
        <f>T("N101533")</f>
        <v>N101533</v>
      </c>
      <c r="BG6068" t="str">
        <f>T("판타지 웹소설 &gt; 현대 판타지")</f>
        <v>판타지 웹소설 &gt; 현대 판타지</v>
      </c>
    </row>
    <row r="6069" spans="1:59">
      <c r="A6069" t="s">
        <v>60</v>
      </c>
      <c r="B6069" s="1">
        <v>46131</v>
      </c>
      <c r="C6069">
        <v>2378036823</v>
      </c>
      <c r="D6069">
        <v>2378036893</v>
      </c>
      <c r="E6069" t="str">
        <f>T("증권 재벌의 천재 손자가 되었다 71화")</f>
        <v>증권 재벌의 천재 손자가 되었다 71화</v>
      </c>
      <c r="F6069">
        <v>71</v>
      </c>
      <c r="G6069" t="str">
        <f>T("번파")</f>
        <v>번파</v>
      </c>
      <c r="J6069" t="str">
        <f>T("매드햇")</f>
        <v>매드햇</v>
      </c>
      <c r="K6069" t="str">
        <f>T("증권 재벌의 천재 손자가 되었다")</f>
        <v>증권 재벌의 천재 손자가 되었다</v>
      </c>
      <c r="L6069">
        <v>100</v>
      </c>
      <c r="M6069">
        <v>100</v>
      </c>
      <c r="N6069">
        <v>1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0</v>
      </c>
      <c r="AE6069">
        <v>0</v>
      </c>
      <c r="AF6069">
        <v>0</v>
      </c>
      <c r="AG6069">
        <v>0</v>
      </c>
      <c r="AH6069">
        <v>0</v>
      </c>
      <c r="AI6069">
        <v>100</v>
      </c>
      <c r="AJ6069">
        <v>1</v>
      </c>
      <c r="AK6069">
        <v>0</v>
      </c>
      <c r="AL6069">
        <v>0</v>
      </c>
      <c r="AM6069">
        <v>100</v>
      </c>
      <c r="AN6069">
        <v>0</v>
      </c>
      <c r="AO6069">
        <v>0</v>
      </c>
      <c r="AP6069">
        <v>0</v>
      </c>
      <c r="AQ6069">
        <v>0</v>
      </c>
      <c r="AS6069">
        <v>0</v>
      </c>
      <c r="AT6069">
        <v>0</v>
      </c>
      <c r="AV6069">
        <v>0</v>
      </c>
      <c r="AW6069">
        <v>0</v>
      </c>
      <c r="AY6069">
        <v>0</v>
      </c>
      <c r="AZ6069">
        <v>0</v>
      </c>
      <c r="BA6069">
        <v>70</v>
      </c>
      <c r="BE6069" t="str">
        <f>T("9791137006805")</f>
        <v>9791137006805</v>
      </c>
      <c r="BF6069" t="str">
        <f>T("N101534")</f>
        <v>N101534</v>
      </c>
      <c r="BG6069" t="str">
        <f>T("판타지 웹소설 &gt; 현대 판타지")</f>
        <v>판타지 웹소설 &gt; 현대 판타지</v>
      </c>
    </row>
    <row r="6070" spans="1:59">
      <c r="A6070" t="s">
        <v>60</v>
      </c>
      <c r="B6070" s="1">
        <v>46131</v>
      </c>
      <c r="C6070">
        <v>2378036823</v>
      </c>
      <c r="D6070">
        <v>2378036894</v>
      </c>
      <c r="E6070" t="str">
        <f>T("증권 재벌의 천재 손자가 되었다 72화")</f>
        <v>증권 재벌의 천재 손자가 되었다 72화</v>
      </c>
      <c r="F6070">
        <v>72</v>
      </c>
      <c r="G6070" t="str">
        <f>T("번파")</f>
        <v>번파</v>
      </c>
      <c r="J6070" t="str">
        <f>T("매드햇")</f>
        <v>매드햇</v>
      </c>
      <c r="K6070" t="str">
        <f>T("증권 재벌의 천재 손자가 되었다")</f>
        <v>증권 재벌의 천재 손자가 되었다</v>
      </c>
      <c r="L6070">
        <v>100</v>
      </c>
      <c r="M6070">
        <v>100</v>
      </c>
      <c r="N6070">
        <v>1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0</v>
      </c>
      <c r="AE6070">
        <v>0</v>
      </c>
      <c r="AF6070">
        <v>0</v>
      </c>
      <c r="AG6070">
        <v>0</v>
      </c>
      <c r="AH6070">
        <v>0</v>
      </c>
      <c r="AI6070">
        <v>100</v>
      </c>
      <c r="AJ6070">
        <v>1</v>
      </c>
      <c r="AK6070">
        <v>0</v>
      </c>
      <c r="AL6070">
        <v>0</v>
      </c>
      <c r="AM6070">
        <v>100</v>
      </c>
      <c r="AN6070">
        <v>0</v>
      </c>
      <c r="AO6070">
        <v>0</v>
      </c>
      <c r="AP6070">
        <v>0</v>
      </c>
      <c r="AQ6070">
        <v>0</v>
      </c>
      <c r="AS6070">
        <v>0</v>
      </c>
      <c r="AT6070">
        <v>0</v>
      </c>
      <c r="AV6070">
        <v>0</v>
      </c>
      <c r="AW6070">
        <v>0</v>
      </c>
      <c r="AY6070">
        <v>0</v>
      </c>
      <c r="AZ6070">
        <v>0</v>
      </c>
      <c r="BA6070">
        <v>70</v>
      </c>
      <c r="BE6070" t="str">
        <f>T("9791137006805")</f>
        <v>9791137006805</v>
      </c>
      <c r="BF6070" t="str">
        <f>T("N101535")</f>
        <v>N101535</v>
      </c>
      <c r="BG6070" t="str">
        <f>T("판타지 웹소설 &gt; 현대 판타지")</f>
        <v>판타지 웹소설 &gt; 현대 판타지</v>
      </c>
    </row>
    <row r="6071" spans="1:59">
      <c r="A6071" t="s">
        <v>60</v>
      </c>
      <c r="B6071" s="1">
        <v>46131</v>
      </c>
      <c r="C6071">
        <v>2378036823</v>
      </c>
      <c r="D6071">
        <v>2378036895</v>
      </c>
      <c r="E6071" t="str">
        <f>T("증권 재벌의 천재 손자가 되었다 73화")</f>
        <v>증권 재벌의 천재 손자가 되었다 73화</v>
      </c>
      <c r="F6071">
        <v>73</v>
      </c>
      <c r="G6071" t="str">
        <f>T("번파")</f>
        <v>번파</v>
      </c>
      <c r="J6071" t="str">
        <f>T("매드햇")</f>
        <v>매드햇</v>
      </c>
      <c r="K6071" t="str">
        <f>T("증권 재벌의 천재 손자가 되었다")</f>
        <v>증권 재벌의 천재 손자가 되었다</v>
      </c>
      <c r="L6071">
        <v>100</v>
      </c>
      <c r="M6071">
        <v>100</v>
      </c>
      <c r="N6071">
        <v>1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0</v>
      </c>
      <c r="AE6071">
        <v>0</v>
      </c>
      <c r="AF6071">
        <v>0</v>
      </c>
      <c r="AG6071">
        <v>0</v>
      </c>
      <c r="AH6071">
        <v>0</v>
      </c>
      <c r="AI6071">
        <v>100</v>
      </c>
      <c r="AJ6071">
        <v>1</v>
      </c>
      <c r="AK6071">
        <v>0</v>
      </c>
      <c r="AL6071">
        <v>0</v>
      </c>
      <c r="AM6071">
        <v>100</v>
      </c>
      <c r="AN6071">
        <v>0</v>
      </c>
      <c r="AO6071">
        <v>0</v>
      </c>
      <c r="AP6071">
        <v>0</v>
      </c>
      <c r="AQ6071">
        <v>0</v>
      </c>
      <c r="AS6071">
        <v>0</v>
      </c>
      <c r="AT6071">
        <v>0</v>
      </c>
      <c r="AV6071">
        <v>0</v>
      </c>
      <c r="AW6071">
        <v>0</v>
      </c>
      <c r="AY6071">
        <v>0</v>
      </c>
      <c r="AZ6071">
        <v>0</v>
      </c>
      <c r="BA6071">
        <v>70</v>
      </c>
      <c r="BE6071" t="str">
        <f>T("9791137006805")</f>
        <v>9791137006805</v>
      </c>
      <c r="BF6071" t="str">
        <f>T("N101536")</f>
        <v>N101536</v>
      </c>
      <c r="BG6071" t="str">
        <f>T("판타지 웹소설 &gt; 현대 판타지")</f>
        <v>판타지 웹소설 &gt; 현대 판타지</v>
      </c>
    </row>
    <row r="6072" spans="1:59">
      <c r="A6072" t="s">
        <v>60</v>
      </c>
      <c r="B6072" s="1">
        <v>46131</v>
      </c>
      <c r="C6072">
        <v>2378036823</v>
      </c>
      <c r="D6072">
        <v>2378036896</v>
      </c>
      <c r="E6072" t="str">
        <f>T("증권 재벌의 천재 손자가 되었다 74화")</f>
        <v>증권 재벌의 천재 손자가 되었다 74화</v>
      </c>
      <c r="F6072">
        <v>74</v>
      </c>
      <c r="G6072" t="str">
        <f>T("번파")</f>
        <v>번파</v>
      </c>
      <c r="J6072" t="str">
        <f>T("매드햇")</f>
        <v>매드햇</v>
      </c>
      <c r="K6072" t="str">
        <f>T("증권 재벌의 천재 손자가 되었다")</f>
        <v>증권 재벌의 천재 손자가 되었다</v>
      </c>
      <c r="L6072">
        <v>100</v>
      </c>
      <c r="M6072">
        <v>100</v>
      </c>
      <c r="N6072">
        <v>1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0</v>
      </c>
      <c r="AE6072">
        <v>0</v>
      </c>
      <c r="AF6072">
        <v>0</v>
      </c>
      <c r="AG6072">
        <v>0</v>
      </c>
      <c r="AH6072">
        <v>0</v>
      </c>
      <c r="AI6072">
        <v>100</v>
      </c>
      <c r="AJ6072">
        <v>1</v>
      </c>
      <c r="AK6072">
        <v>0</v>
      </c>
      <c r="AL6072">
        <v>0</v>
      </c>
      <c r="AM6072">
        <v>100</v>
      </c>
      <c r="AN6072">
        <v>0</v>
      </c>
      <c r="AO6072">
        <v>0</v>
      </c>
      <c r="AP6072">
        <v>0</v>
      </c>
      <c r="AQ6072">
        <v>0</v>
      </c>
      <c r="AS6072">
        <v>0</v>
      </c>
      <c r="AT6072">
        <v>0</v>
      </c>
      <c r="AV6072">
        <v>0</v>
      </c>
      <c r="AW6072">
        <v>0</v>
      </c>
      <c r="AY6072">
        <v>0</v>
      </c>
      <c r="AZ6072">
        <v>0</v>
      </c>
      <c r="BA6072">
        <v>70</v>
      </c>
      <c r="BE6072" t="str">
        <f>T("9791137006805")</f>
        <v>9791137006805</v>
      </c>
      <c r="BF6072" t="str">
        <f>T("N101537")</f>
        <v>N101537</v>
      </c>
      <c r="BG6072" t="str">
        <f>T("판타지 웹소설 &gt; 현대 판타지")</f>
        <v>판타지 웹소설 &gt; 현대 판타지</v>
      </c>
    </row>
    <row r="6073" spans="1:59">
      <c r="A6073" t="s">
        <v>60</v>
      </c>
      <c r="B6073" s="1">
        <v>46131</v>
      </c>
      <c r="C6073">
        <v>2378036823</v>
      </c>
      <c r="D6073">
        <v>2378036897</v>
      </c>
      <c r="E6073" t="str">
        <f>T("증권 재벌의 천재 손자가 되었다 75화")</f>
        <v>증권 재벌의 천재 손자가 되었다 75화</v>
      </c>
      <c r="F6073">
        <v>75</v>
      </c>
      <c r="G6073" t="str">
        <f>T("번파")</f>
        <v>번파</v>
      </c>
      <c r="J6073" t="str">
        <f>T("매드햇")</f>
        <v>매드햇</v>
      </c>
      <c r="K6073" t="str">
        <f>T("증권 재벌의 천재 손자가 되었다")</f>
        <v>증권 재벌의 천재 손자가 되었다</v>
      </c>
      <c r="L6073">
        <v>100</v>
      </c>
      <c r="M6073">
        <v>100</v>
      </c>
      <c r="N6073">
        <v>1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0</v>
      </c>
      <c r="AE6073">
        <v>0</v>
      </c>
      <c r="AF6073">
        <v>0</v>
      </c>
      <c r="AG6073">
        <v>0</v>
      </c>
      <c r="AH6073">
        <v>0</v>
      </c>
      <c r="AI6073">
        <v>100</v>
      </c>
      <c r="AJ6073">
        <v>1</v>
      </c>
      <c r="AK6073">
        <v>0</v>
      </c>
      <c r="AL6073">
        <v>0</v>
      </c>
      <c r="AM6073">
        <v>100</v>
      </c>
      <c r="AN6073">
        <v>0</v>
      </c>
      <c r="AO6073">
        <v>0</v>
      </c>
      <c r="AP6073">
        <v>0</v>
      </c>
      <c r="AQ6073">
        <v>0</v>
      </c>
      <c r="AS6073">
        <v>0</v>
      </c>
      <c r="AT6073">
        <v>0</v>
      </c>
      <c r="AV6073">
        <v>0</v>
      </c>
      <c r="AW6073">
        <v>0</v>
      </c>
      <c r="AY6073">
        <v>0</v>
      </c>
      <c r="AZ6073">
        <v>0</v>
      </c>
      <c r="BA6073">
        <v>70</v>
      </c>
      <c r="BE6073" t="str">
        <f>T("9791137006805")</f>
        <v>9791137006805</v>
      </c>
      <c r="BF6073" t="str">
        <f>T("N101538")</f>
        <v>N101538</v>
      </c>
      <c r="BG6073" t="str">
        <f>T("판타지 웹소설 &gt; 현대 판타지")</f>
        <v>판타지 웹소설 &gt; 현대 판타지</v>
      </c>
    </row>
    <row r="6074" spans="1:59">
      <c r="A6074" t="s">
        <v>60</v>
      </c>
      <c r="B6074" s="1">
        <v>46131</v>
      </c>
      <c r="C6074">
        <v>2378036823</v>
      </c>
      <c r="D6074">
        <v>2378036898</v>
      </c>
      <c r="E6074" t="str">
        <f>T("증권 재벌의 천재 손자가 되었다 76화")</f>
        <v>증권 재벌의 천재 손자가 되었다 76화</v>
      </c>
      <c r="F6074">
        <v>76</v>
      </c>
      <c r="G6074" t="str">
        <f>T("번파")</f>
        <v>번파</v>
      </c>
      <c r="J6074" t="str">
        <f>T("매드햇")</f>
        <v>매드햇</v>
      </c>
      <c r="K6074" t="str">
        <f>T("증권 재벌의 천재 손자가 되었다")</f>
        <v>증권 재벌의 천재 손자가 되었다</v>
      </c>
      <c r="L6074">
        <v>100</v>
      </c>
      <c r="M6074">
        <v>100</v>
      </c>
      <c r="N6074">
        <v>1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0</v>
      </c>
      <c r="AE6074">
        <v>0</v>
      </c>
      <c r="AF6074">
        <v>0</v>
      </c>
      <c r="AG6074">
        <v>0</v>
      </c>
      <c r="AH6074">
        <v>0</v>
      </c>
      <c r="AI6074">
        <v>100</v>
      </c>
      <c r="AJ6074">
        <v>1</v>
      </c>
      <c r="AK6074">
        <v>0</v>
      </c>
      <c r="AL6074">
        <v>0</v>
      </c>
      <c r="AM6074">
        <v>100</v>
      </c>
      <c r="AN6074">
        <v>0</v>
      </c>
      <c r="AO6074">
        <v>0</v>
      </c>
      <c r="AP6074">
        <v>0</v>
      </c>
      <c r="AQ6074">
        <v>0</v>
      </c>
      <c r="AS6074">
        <v>0</v>
      </c>
      <c r="AT6074">
        <v>0</v>
      </c>
      <c r="AV6074">
        <v>0</v>
      </c>
      <c r="AW6074">
        <v>0</v>
      </c>
      <c r="AY6074">
        <v>0</v>
      </c>
      <c r="AZ6074">
        <v>0</v>
      </c>
      <c r="BA6074">
        <v>70</v>
      </c>
      <c r="BE6074" t="str">
        <f>T("9791137006805")</f>
        <v>9791137006805</v>
      </c>
      <c r="BF6074" t="str">
        <f>T("N101539")</f>
        <v>N101539</v>
      </c>
      <c r="BG6074" t="str">
        <f>T("판타지 웹소설 &gt; 현대 판타지")</f>
        <v>판타지 웹소설 &gt; 현대 판타지</v>
      </c>
    </row>
    <row r="6075" spans="1:59">
      <c r="A6075" t="s">
        <v>60</v>
      </c>
      <c r="B6075" s="1">
        <v>46131</v>
      </c>
      <c r="C6075">
        <v>2378036823</v>
      </c>
      <c r="D6075">
        <v>2378036899</v>
      </c>
      <c r="E6075" t="str">
        <f>T("증권 재벌의 천재 손자가 되었다 77화")</f>
        <v>증권 재벌의 천재 손자가 되었다 77화</v>
      </c>
      <c r="F6075">
        <v>77</v>
      </c>
      <c r="G6075" t="str">
        <f>T("번파")</f>
        <v>번파</v>
      </c>
      <c r="J6075" t="str">
        <f>T("매드햇")</f>
        <v>매드햇</v>
      </c>
      <c r="K6075" t="str">
        <f>T("증권 재벌의 천재 손자가 되었다")</f>
        <v>증권 재벌의 천재 손자가 되었다</v>
      </c>
      <c r="L6075">
        <v>100</v>
      </c>
      <c r="M6075">
        <v>100</v>
      </c>
      <c r="N6075">
        <v>1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0</v>
      </c>
      <c r="AE6075">
        <v>0</v>
      </c>
      <c r="AF6075">
        <v>0</v>
      </c>
      <c r="AG6075">
        <v>0</v>
      </c>
      <c r="AH6075">
        <v>0</v>
      </c>
      <c r="AI6075">
        <v>100</v>
      </c>
      <c r="AJ6075">
        <v>1</v>
      </c>
      <c r="AK6075">
        <v>0</v>
      </c>
      <c r="AL6075">
        <v>0</v>
      </c>
      <c r="AM6075">
        <v>100</v>
      </c>
      <c r="AN6075">
        <v>0</v>
      </c>
      <c r="AO6075">
        <v>0</v>
      </c>
      <c r="AP6075">
        <v>0</v>
      </c>
      <c r="AQ6075">
        <v>0</v>
      </c>
      <c r="AS6075">
        <v>0</v>
      </c>
      <c r="AT6075">
        <v>0</v>
      </c>
      <c r="AV6075">
        <v>0</v>
      </c>
      <c r="AW6075">
        <v>0</v>
      </c>
      <c r="AY6075">
        <v>0</v>
      </c>
      <c r="AZ6075">
        <v>0</v>
      </c>
      <c r="BA6075">
        <v>70</v>
      </c>
      <c r="BE6075" t="str">
        <f>T("9791137006805")</f>
        <v>9791137006805</v>
      </c>
      <c r="BF6075" t="str">
        <f>T("N101540")</f>
        <v>N101540</v>
      </c>
      <c r="BG6075" t="str">
        <f>T("판타지 웹소설 &gt; 현대 판타지")</f>
        <v>판타지 웹소설 &gt; 현대 판타지</v>
      </c>
    </row>
    <row r="6076" spans="1:59">
      <c r="A6076" t="s">
        <v>60</v>
      </c>
      <c r="B6076" s="1">
        <v>46131</v>
      </c>
      <c r="C6076">
        <v>2378036823</v>
      </c>
      <c r="D6076">
        <v>2378036900</v>
      </c>
      <c r="E6076" t="str">
        <f>T("증권 재벌의 천재 손자가 되었다 78화")</f>
        <v>증권 재벌의 천재 손자가 되었다 78화</v>
      </c>
      <c r="F6076">
        <v>78</v>
      </c>
      <c r="G6076" t="str">
        <f>T("번파")</f>
        <v>번파</v>
      </c>
      <c r="J6076" t="str">
        <f>T("매드햇")</f>
        <v>매드햇</v>
      </c>
      <c r="K6076" t="str">
        <f>T("증권 재벌의 천재 손자가 되었다")</f>
        <v>증권 재벌의 천재 손자가 되었다</v>
      </c>
      <c r="L6076">
        <v>100</v>
      </c>
      <c r="M6076">
        <v>100</v>
      </c>
      <c r="N6076">
        <v>1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0</v>
      </c>
      <c r="AE6076">
        <v>0</v>
      </c>
      <c r="AF6076">
        <v>0</v>
      </c>
      <c r="AG6076">
        <v>0</v>
      </c>
      <c r="AH6076">
        <v>0</v>
      </c>
      <c r="AI6076">
        <v>100</v>
      </c>
      <c r="AJ6076">
        <v>1</v>
      </c>
      <c r="AK6076">
        <v>0</v>
      </c>
      <c r="AL6076">
        <v>0</v>
      </c>
      <c r="AM6076">
        <v>100</v>
      </c>
      <c r="AN6076">
        <v>0</v>
      </c>
      <c r="AO6076">
        <v>0</v>
      </c>
      <c r="AP6076">
        <v>0</v>
      </c>
      <c r="AQ6076">
        <v>0</v>
      </c>
      <c r="AS6076">
        <v>0</v>
      </c>
      <c r="AT6076">
        <v>0</v>
      </c>
      <c r="AV6076">
        <v>0</v>
      </c>
      <c r="AW6076">
        <v>0</v>
      </c>
      <c r="AY6076">
        <v>0</v>
      </c>
      <c r="AZ6076">
        <v>0</v>
      </c>
      <c r="BA6076">
        <v>70</v>
      </c>
      <c r="BE6076" t="str">
        <f>T("9791137006805")</f>
        <v>9791137006805</v>
      </c>
      <c r="BF6076" t="str">
        <f>T("N101541")</f>
        <v>N101541</v>
      </c>
      <c r="BG6076" t="str">
        <f>T("판타지 웹소설 &gt; 현대 판타지")</f>
        <v>판타지 웹소설 &gt; 현대 판타지</v>
      </c>
    </row>
    <row r="6077" spans="1:59">
      <c r="A6077" t="s">
        <v>60</v>
      </c>
      <c r="B6077" s="1">
        <v>46131</v>
      </c>
      <c r="C6077">
        <v>2378036823</v>
      </c>
      <c r="D6077">
        <v>2378036901</v>
      </c>
      <c r="E6077" t="str">
        <f>T("증권 재벌의 천재 손자가 되었다 79화")</f>
        <v>증권 재벌의 천재 손자가 되었다 79화</v>
      </c>
      <c r="F6077">
        <v>79</v>
      </c>
      <c r="G6077" t="str">
        <f>T("번파")</f>
        <v>번파</v>
      </c>
      <c r="J6077" t="str">
        <f>T("매드햇")</f>
        <v>매드햇</v>
      </c>
      <c r="K6077" t="str">
        <f>T("증권 재벌의 천재 손자가 되었다")</f>
        <v>증권 재벌의 천재 손자가 되었다</v>
      </c>
      <c r="L6077">
        <v>100</v>
      </c>
      <c r="M6077">
        <v>100</v>
      </c>
      <c r="N6077">
        <v>1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0</v>
      </c>
      <c r="AE6077">
        <v>0</v>
      </c>
      <c r="AF6077">
        <v>0</v>
      </c>
      <c r="AG6077">
        <v>0</v>
      </c>
      <c r="AH6077">
        <v>0</v>
      </c>
      <c r="AI6077">
        <v>100</v>
      </c>
      <c r="AJ6077">
        <v>1</v>
      </c>
      <c r="AK6077">
        <v>0</v>
      </c>
      <c r="AL6077">
        <v>0</v>
      </c>
      <c r="AM6077">
        <v>100</v>
      </c>
      <c r="AN6077">
        <v>0</v>
      </c>
      <c r="AO6077">
        <v>0</v>
      </c>
      <c r="AP6077">
        <v>0</v>
      </c>
      <c r="AQ6077">
        <v>0</v>
      </c>
      <c r="AS6077">
        <v>0</v>
      </c>
      <c r="AT6077">
        <v>0</v>
      </c>
      <c r="AV6077">
        <v>0</v>
      </c>
      <c r="AW6077">
        <v>0</v>
      </c>
      <c r="AY6077">
        <v>0</v>
      </c>
      <c r="AZ6077">
        <v>0</v>
      </c>
      <c r="BA6077">
        <v>70</v>
      </c>
      <c r="BE6077" t="str">
        <f>T("9791137006805")</f>
        <v>9791137006805</v>
      </c>
      <c r="BF6077" t="str">
        <f>T("N101542")</f>
        <v>N101542</v>
      </c>
      <c r="BG6077" t="str">
        <f>T("판타지 웹소설 &gt; 현대 판타지")</f>
        <v>판타지 웹소설 &gt; 현대 판타지</v>
      </c>
    </row>
    <row r="6078" spans="1:59">
      <c r="A6078" t="s">
        <v>60</v>
      </c>
      <c r="B6078" s="1">
        <v>46131</v>
      </c>
      <c r="C6078">
        <v>2378036823</v>
      </c>
      <c r="D6078">
        <v>2378036902</v>
      </c>
      <c r="E6078" t="str">
        <f>T("증권 재벌의 천재 손자가 되었다 80화")</f>
        <v>증권 재벌의 천재 손자가 되었다 80화</v>
      </c>
      <c r="F6078">
        <v>80</v>
      </c>
      <c r="G6078" t="str">
        <f>T("번파")</f>
        <v>번파</v>
      </c>
      <c r="J6078" t="str">
        <f>T("매드햇")</f>
        <v>매드햇</v>
      </c>
      <c r="K6078" t="str">
        <f>T("증권 재벌의 천재 손자가 되었다")</f>
        <v>증권 재벌의 천재 손자가 되었다</v>
      </c>
      <c r="L6078">
        <v>100</v>
      </c>
      <c r="M6078">
        <v>100</v>
      </c>
      <c r="N6078">
        <v>1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0</v>
      </c>
      <c r="AE6078">
        <v>0</v>
      </c>
      <c r="AF6078">
        <v>0</v>
      </c>
      <c r="AG6078">
        <v>0</v>
      </c>
      <c r="AH6078">
        <v>0</v>
      </c>
      <c r="AI6078">
        <v>100</v>
      </c>
      <c r="AJ6078">
        <v>1</v>
      </c>
      <c r="AK6078">
        <v>0</v>
      </c>
      <c r="AL6078">
        <v>0</v>
      </c>
      <c r="AM6078">
        <v>100</v>
      </c>
      <c r="AN6078">
        <v>0</v>
      </c>
      <c r="AO6078">
        <v>0</v>
      </c>
      <c r="AP6078">
        <v>0</v>
      </c>
      <c r="AQ6078">
        <v>0</v>
      </c>
      <c r="AS6078">
        <v>0</v>
      </c>
      <c r="AT6078">
        <v>0</v>
      </c>
      <c r="AV6078">
        <v>0</v>
      </c>
      <c r="AW6078">
        <v>0</v>
      </c>
      <c r="AY6078">
        <v>0</v>
      </c>
      <c r="AZ6078">
        <v>0</v>
      </c>
      <c r="BA6078">
        <v>70</v>
      </c>
      <c r="BE6078" t="str">
        <f>T("9791137006805")</f>
        <v>9791137006805</v>
      </c>
      <c r="BF6078" t="str">
        <f>T("N101543")</f>
        <v>N101543</v>
      </c>
      <c r="BG6078" t="str">
        <f>T("판타지 웹소설 &gt; 현대 판타지")</f>
        <v>판타지 웹소설 &gt; 현대 판타지</v>
      </c>
    </row>
    <row r="6079" spans="1:59">
      <c r="A6079" t="s">
        <v>60</v>
      </c>
      <c r="B6079" s="1">
        <v>46131</v>
      </c>
      <c r="C6079">
        <v>2378036823</v>
      </c>
      <c r="D6079">
        <v>2378036903</v>
      </c>
      <c r="E6079" t="str">
        <f>T("증권 재벌의 천재 손자가 되었다 81화")</f>
        <v>증권 재벌의 천재 손자가 되었다 81화</v>
      </c>
      <c r="F6079">
        <v>81</v>
      </c>
      <c r="G6079" t="str">
        <f>T("번파")</f>
        <v>번파</v>
      </c>
      <c r="J6079" t="str">
        <f>T("매드햇")</f>
        <v>매드햇</v>
      </c>
      <c r="K6079" t="str">
        <f>T("증권 재벌의 천재 손자가 되었다")</f>
        <v>증권 재벌의 천재 손자가 되었다</v>
      </c>
      <c r="L6079">
        <v>100</v>
      </c>
      <c r="M6079">
        <v>100</v>
      </c>
      <c r="N6079">
        <v>1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0</v>
      </c>
      <c r="AE6079">
        <v>0</v>
      </c>
      <c r="AF6079">
        <v>0</v>
      </c>
      <c r="AG6079">
        <v>0</v>
      </c>
      <c r="AH6079">
        <v>0</v>
      </c>
      <c r="AI6079">
        <v>100</v>
      </c>
      <c r="AJ6079">
        <v>1</v>
      </c>
      <c r="AK6079">
        <v>0</v>
      </c>
      <c r="AL6079">
        <v>0</v>
      </c>
      <c r="AM6079">
        <v>100</v>
      </c>
      <c r="AN6079">
        <v>0</v>
      </c>
      <c r="AO6079">
        <v>0</v>
      </c>
      <c r="AP6079">
        <v>0</v>
      </c>
      <c r="AQ6079">
        <v>0</v>
      </c>
      <c r="AS6079">
        <v>0</v>
      </c>
      <c r="AT6079">
        <v>0</v>
      </c>
      <c r="AV6079">
        <v>0</v>
      </c>
      <c r="AW6079">
        <v>0</v>
      </c>
      <c r="AY6079">
        <v>0</v>
      </c>
      <c r="AZ6079">
        <v>0</v>
      </c>
      <c r="BA6079">
        <v>70</v>
      </c>
      <c r="BE6079" t="str">
        <f>T("9791137006805")</f>
        <v>9791137006805</v>
      </c>
      <c r="BF6079" t="str">
        <f>T("N101544")</f>
        <v>N101544</v>
      </c>
      <c r="BG6079" t="str">
        <f>T("판타지 웹소설 &gt; 현대 판타지")</f>
        <v>판타지 웹소설 &gt; 현대 판타지</v>
      </c>
    </row>
    <row r="6080" spans="1:59">
      <c r="A6080" t="s">
        <v>60</v>
      </c>
      <c r="B6080" s="1">
        <v>46131</v>
      </c>
      <c r="C6080">
        <v>2378036823</v>
      </c>
      <c r="D6080">
        <v>2378036904</v>
      </c>
      <c r="E6080" t="str">
        <f>T("증권 재벌의 천재 손자가 되었다 82화")</f>
        <v>증권 재벌의 천재 손자가 되었다 82화</v>
      </c>
      <c r="F6080">
        <v>82</v>
      </c>
      <c r="G6080" t="str">
        <f>T("번파")</f>
        <v>번파</v>
      </c>
      <c r="J6080" t="str">
        <f>T("매드햇")</f>
        <v>매드햇</v>
      </c>
      <c r="K6080" t="str">
        <f>T("증권 재벌의 천재 손자가 되었다")</f>
        <v>증권 재벌의 천재 손자가 되었다</v>
      </c>
      <c r="L6080">
        <v>100</v>
      </c>
      <c r="M6080">
        <v>100</v>
      </c>
      <c r="N6080">
        <v>1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0</v>
      </c>
      <c r="AE6080">
        <v>0</v>
      </c>
      <c r="AF6080">
        <v>0</v>
      </c>
      <c r="AG6080">
        <v>0</v>
      </c>
      <c r="AH6080">
        <v>0</v>
      </c>
      <c r="AI6080">
        <v>100</v>
      </c>
      <c r="AJ6080">
        <v>1</v>
      </c>
      <c r="AK6080">
        <v>0</v>
      </c>
      <c r="AL6080">
        <v>0</v>
      </c>
      <c r="AM6080">
        <v>100</v>
      </c>
      <c r="AN6080">
        <v>0</v>
      </c>
      <c r="AO6080">
        <v>0</v>
      </c>
      <c r="AP6080">
        <v>0</v>
      </c>
      <c r="AQ6080">
        <v>0</v>
      </c>
      <c r="AS6080">
        <v>0</v>
      </c>
      <c r="AT6080">
        <v>0</v>
      </c>
      <c r="AV6080">
        <v>0</v>
      </c>
      <c r="AW6080">
        <v>0</v>
      </c>
      <c r="AY6080">
        <v>0</v>
      </c>
      <c r="AZ6080">
        <v>0</v>
      </c>
      <c r="BA6080">
        <v>70</v>
      </c>
      <c r="BE6080" t="str">
        <f>T("9791137006805")</f>
        <v>9791137006805</v>
      </c>
      <c r="BF6080" t="str">
        <f>T("N101545")</f>
        <v>N101545</v>
      </c>
      <c r="BG6080" t="str">
        <f>T("판타지 웹소설 &gt; 현대 판타지")</f>
        <v>판타지 웹소설 &gt; 현대 판타지</v>
      </c>
    </row>
    <row r="6081" spans="1:59">
      <c r="A6081" t="s">
        <v>60</v>
      </c>
      <c r="B6081" s="1">
        <v>46131</v>
      </c>
      <c r="C6081">
        <v>2378036823</v>
      </c>
      <c r="D6081">
        <v>2378036905</v>
      </c>
      <c r="E6081" t="str">
        <f>T("증권 재벌의 천재 손자가 되었다 83화")</f>
        <v>증권 재벌의 천재 손자가 되었다 83화</v>
      </c>
      <c r="F6081">
        <v>83</v>
      </c>
      <c r="G6081" t="str">
        <f>T("번파")</f>
        <v>번파</v>
      </c>
      <c r="J6081" t="str">
        <f>T("매드햇")</f>
        <v>매드햇</v>
      </c>
      <c r="K6081" t="str">
        <f>T("증권 재벌의 천재 손자가 되었다")</f>
        <v>증권 재벌의 천재 손자가 되었다</v>
      </c>
      <c r="L6081">
        <v>100</v>
      </c>
      <c r="M6081">
        <v>100</v>
      </c>
      <c r="N6081">
        <v>1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0</v>
      </c>
      <c r="AE6081">
        <v>0</v>
      </c>
      <c r="AF6081">
        <v>0</v>
      </c>
      <c r="AG6081">
        <v>0</v>
      </c>
      <c r="AH6081">
        <v>0</v>
      </c>
      <c r="AI6081">
        <v>100</v>
      </c>
      <c r="AJ6081">
        <v>1</v>
      </c>
      <c r="AK6081">
        <v>0</v>
      </c>
      <c r="AL6081">
        <v>0</v>
      </c>
      <c r="AM6081">
        <v>100</v>
      </c>
      <c r="AN6081">
        <v>0</v>
      </c>
      <c r="AO6081">
        <v>0</v>
      </c>
      <c r="AP6081">
        <v>0</v>
      </c>
      <c r="AQ6081">
        <v>0</v>
      </c>
      <c r="AS6081">
        <v>0</v>
      </c>
      <c r="AT6081">
        <v>0</v>
      </c>
      <c r="AV6081">
        <v>0</v>
      </c>
      <c r="AW6081">
        <v>0</v>
      </c>
      <c r="AY6081">
        <v>0</v>
      </c>
      <c r="AZ6081">
        <v>0</v>
      </c>
      <c r="BA6081">
        <v>70</v>
      </c>
      <c r="BE6081" t="str">
        <f>T("9791137006805")</f>
        <v>9791137006805</v>
      </c>
      <c r="BF6081" t="str">
        <f>T("N101546")</f>
        <v>N101546</v>
      </c>
      <c r="BG6081" t="str">
        <f>T("판타지 웹소설 &gt; 현대 판타지")</f>
        <v>판타지 웹소설 &gt; 현대 판타지</v>
      </c>
    </row>
    <row r="6082" spans="1:59">
      <c r="A6082" t="s">
        <v>60</v>
      </c>
      <c r="B6082" s="1">
        <v>46131</v>
      </c>
      <c r="C6082">
        <v>2378036823</v>
      </c>
      <c r="D6082">
        <v>2378036906</v>
      </c>
      <c r="E6082" t="str">
        <f>T("증권 재벌의 천재 손자가 되었다 84화")</f>
        <v>증권 재벌의 천재 손자가 되었다 84화</v>
      </c>
      <c r="F6082">
        <v>84</v>
      </c>
      <c r="G6082" t="str">
        <f>T("번파")</f>
        <v>번파</v>
      </c>
      <c r="J6082" t="str">
        <f>T("매드햇")</f>
        <v>매드햇</v>
      </c>
      <c r="K6082" t="str">
        <f>T("증권 재벌의 천재 손자가 되었다")</f>
        <v>증권 재벌의 천재 손자가 되었다</v>
      </c>
      <c r="L6082">
        <v>100</v>
      </c>
      <c r="M6082">
        <v>100</v>
      </c>
      <c r="N6082">
        <v>1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0</v>
      </c>
      <c r="AE6082">
        <v>0</v>
      </c>
      <c r="AF6082">
        <v>0</v>
      </c>
      <c r="AG6082">
        <v>0</v>
      </c>
      <c r="AH6082">
        <v>0</v>
      </c>
      <c r="AI6082">
        <v>100</v>
      </c>
      <c r="AJ6082">
        <v>1</v>
      </c>
      <c r="AK6082">
        <v>0</v>
      </c>
      <c r="AL6082">
        <v>0</v>
      </c>
      <c r="AM6082">
        <v>100</v>
      </c>
      <c r="AN6082">
        <v>0</v>
      </c>
      <c r="AO6082">
        <v>0</v>
      </c>
      <c r="AP6082">
        <v>0</v>
      </c>
      <c r="AQ6082">
        <v>0</v>
      </c>
      <c r="AS6082">
        <v>0</v>
      </c>
      <c r="AT6082">
        <v>0</v>
      </c>
      <c r="AV6082">
        <v>0</v>
      </c>
      <c r="AW6082">
        <v>0</v>
      </c>
      <c r="AY6082">
        <v>0</v>
      </c>
      <c r="AZ6082">
        <v>0</v>
      </c>
      <c r="BA6082">
        <v>70</v>
      </c>
      <c r="BE6082" t="str">
        <f>T("9791137006805")</f>
        <v>9791137006805</v>
      </c>
      <c r="BF6082" t="str">
        <f>T("N101547")</f>
        <v>N101547</v>
      </c>
      <c r="BG6082" t="str">
        <f>T("판타지 웹소설 &gt; 현대 판타지")</f>
        <v>판타지 웹소설 &gt; 현대 판타지</v>
      </c>
    </row>
    <row r="6083" spans="1:59">
      <c r="A6083" t="s">
        <v>60</v>
      </c>
      <c r="B6083" s="1">
        <v>46131</v>
      </c>
      <c r="C6083">
        <v>2378036823</v>
      </c>
      <c r="D6083">
        <v>2378036907</v>
      </c>
      <c r="E6083" t="str">
        <f>T("증권 재벌의 천재 손자가 되었다 85화")</f>
        <v>증권 재벌의 천재 손자가 되었다 85화</v>
      </c>
      <c r="F6083">
        <v>85</v>
      </c>
      <c r="G6083" t="str">
        <f>T("번파")</f>
        <v>번파</v>
      </c>
      <c r="J6083" t="str">
        <f>T("매드햇")</f>
        <v>매드햇</v>
      </c>
      <c r="K6083" t="str">
        <f>T("증권 재벌의 천재 손자가 되었다")</f>
        <v>증권 재벌의 천재 손자가 되었다</v>
      </c>
      <c r="L6083">
        <v>100</v>
      </c>
      <c r="M6083">
        <v>100</v>
      </c>
      <c r="N6083">
        <v>1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0</v>
      </c>
      <c r="AE6083">
        <v>0</v>
      </c>
      <c r="AF6083">
        <v>0</v>
      </c>
      <c r="AG6083">
        <v>0</v>
      </c>
      <c r="AH6083">
        <v>0</v>
      </c>
      <c r="AI6083">
        <v>100</v>
      </c>
      <c r="AJ6083">
        <v>1</v>
      </c>
      <c r="AK6083">
        <v>0</v>
      </c>
      <c r="AL6083">
        <v>0</v>
      </c>
      <c r="AM6083">
        <v>100</v>
      </c>
      <c r="AN6083">
        <v>0</v>
      </c>
      <c r="AO6083">
        <v>0</v>
      </c>
      <c r="AP6083">
        <v>0</v>
      </c>
      <c r="AQ6083">
        <v>0</v>
      </c>
      <c r="AS6083">
        <v>0</v>
      </c>
      <c r="AT6083">
        <v>0</v>
      </c>
      <c r="AV6083">
        <v>0</v>
      </c>
      <c r="AW6083">
        <v>0</v>
      </c>
      <c r="AY6083">
        <v>0</v>
      </c>
      <c r="AZ6083">
        <v>0</v>
      </c>
      <c r="BA6083">
        <v>70</v>
      </c>
      <c r="BE6083" t="str">
        <f>T("9791137006805")</f>
        <v>9791137006805</v>
      </c>
      <c r="BF6083" t="str">
        <f>T("N101548")</f>
        <v>N101548</v>
      </c>
      <c r="BG6083" t="str">
        <f>T("판타지 웹소설 &gt; 현대 판타지")</f>
        <v>판타지 웹소설 &gt; 현대 판타지</v>
      </c>
    </row>
    <row r="6084" spans="1:59">
      <c r="A6084" t="s">
        <v>60</v>
      </c>
      <c r="B6084" s="1">
        <v>46131</v>
      </c>
      <c r="C6084">
        <v>2378036823</v>
      </c>
      <c r="D6084">
        <v>2378036908</v>
      </c>
      <c r="E6084" t="str">
        <f>T("증권 재벌의 천재 손자가 되었다 86화")</f>
        <v>증권 재벌의 천재 손자가 되었다 86화</v>
      </c>
      <c r="F6084">
        <v>86</v>
      </c>
      <c r="G6084" t="str">
        <f>T("번파")</f>
        <v>번파</v>
      </c>
      <c r="J6084" t="str">
        <f>T("매드햇")</f>
        <v>매드햇</v>
      </c>
      <c r="K6084" t="str">
        <f>T("증권 재벌의 천재 손자가 되었다")</f>
        <v>증권 재벌의 천재 손자가 되었다</v>
      </c>
      <c r="L6084">
        <v>100</v>
      </c>
      <c r="M6084">
        <v>100</v>
      </c>
      <c r="N6084">
        <v>1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0</v>
      </c>
      <c r="AE6084">
        <v>0</v>
      </c>
      <c r="AF6084">
        <v>0</v>
      </c>
      <c r="AG6084">
        <v>0</v>
      </c>
      <c r="AH6084">
        <v>0</v>
      </c>
      <c r="AI6084">
        <v>100</v>
      </c>
      <c r="AJ6084">
        <v>1</v>
      </c>
      <c r="AK6084">
        <v>0</v>
      </c>
      <c r="AL6084">
        <v>0</v>
      </c>
      <c r="AM6084">
        <v>100</v>
      </c>
      <c r="AN6084">
        <v>0</v>
      </c>
      <c r="AO6084">
        <v>0</v>
      </c>
      <c r="AP6084">
        <v>0</v>
      </c>
      <c r="AQ6084">
        <v>0</v>
      </c>
      <c r="AS6084">
        <v>0</v>
      </c>
      <c r="AT6084">
        <v>0</v>
      </c>
      <c r="AV6084">
        <v>0</v>
      </c>
      <c r="AW6084">
        <v>0</v>
      </c>
      <c r="AY6084">
        <v>0</v>
      </c>
      <c r="AZ6084">
        <v>0</v>
      </c>
      <c r="BA6084">
        <v>70</v>
      </c>
      <c r="BE6084" t="str">
        <f>T("9791137006805")</f>
        <v>9791137006805</v>
      </c>
      <c r="BF6084" t="str">
        <f>T("N101549")</f>
        <v>N101549</v>
      </c>
      <c r="BG6084" t="str">
        <f>T("판타지 웹소설 &gt; 현대 판타지")</f>
        <v>판타지 웹소설 &gt; 현대 판타지</v>
      </c>
    </row>
    <row r="6085" spans="1:59">
      <c r="A6085" t="s">
        <v>60</v>
      </c>
      <c r="B6085" s="1">
        <v>46129</v>
      </c>
      <c r="C6085">
        <v>2378050284</v>
      </c>
      <c r="D6085">
        <v>2378050284</v>
      </c>
      <c r="E6085" t="str">
        <f>T("참교육에 미친 천재 타자 1화")</f>
        <v>참교육에 미친 천재 타자 1화</v>
      </c>
      <c r="F6085">
        <v>1</v>
      </c>
      <c r="G6085" t="str">
        <f>T("사키만자루")</f>
        <v>사키만자루</v>
      </c>
      <c r="J6085" t="str">
        <f>T("매드햇")</f>
        <v>매드햇</v>
      </c>
      <c r="K6085" t="str">
        <f>T("참교육에 미친 천재 타자")</f>
        <v>참교육에 미친 천재 타자</v>
      </c>
      <c r="L6085">
        <v>0</v>
      </c>
      <c r="M6085">
        <v>0</v>
      </c>
      <c r="N6085">
        <v>0</v>
      </c>
      <c r="O6085">
        <v>1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0</v>
      </c>
      <c r="AE6085">
        <v>0</v>
      </c>
      <c r="AF6085">
        <v>0</v>
      </c>
      <c r="AG6085">
        <v>0</v>
      </c>
      <c r="AH6085">
        <v>0</v>
      </c>
      <c r="AI6085">
        <v>0</v>
      </c>
      <c r="AJ6085">
        <v>1</v>
      </c>
      <c r="AK6085">
        <v>0</v>
      </c>
      <c r="AL6085">
        <v>0</v>
      </c>
      <c r="AM6085">
        <v>0</v>
      </c>
      <c r="AN6085">
        <v>0</v>
      </c>
      <c r="AO6085">
        <v>0</v>
      </c>
      <c r="AP6085">
        <v>0</v>
      </c>
      <c r="AQ6085">
        <v>0</v>
      </c>
      <c r="AS6085">
        <v>0</v>
      </c>
      <c r="AT6085">
        <v>0</v>
      </c>
      <c r="AV6085">
        <v>0</v>
      </c>
      <c r="AW6085">
        <v>0</v>
      </c>
      <c r="AY6085">
        <v>0</v>
      </c>
      <c r="AZ6085">
        <v>0</v>
      </c>
      <c r="BA6085">
        <v>0</v>
      </c>
      <c r="BE6085" t="str">
        <f>T("9791137014398")</f>
        <v>9791137014398</v>
      </c>
      <c r="BF6085" t="str">
        <f>T("k013935")</f>
        <v>k013935</v>
      </c>
      <c r="BG6085" t="str">
        <f>T("판타지 웹소설 &gt; 현대 판타지")</f>
        <v>판타지 웹소설 &gt; 현대 판타지</v>
      </c>
    </row>
    <row r="6086" spans="1:59">
      <c r="A6086" t="s">
        <v>60</v>
      </c>
      <c r="B6086" s="1">
        <v>46130</v>
      </c>
      <c r="C6086">
        <v>2378067672</v>
      </c>
      <c r="D6086">
        <v>2378067683</v>
      </c>
      <c r="E6086" t="str">
        <f>T("천재 엑스트라가 대사를 외우는 방법 12화")</f>
        <v>천재 엑스트라가 대사를 외우는 방법 12화</v>
      </c>
      <c r="F6086">
        <v>12</v>
      </c>
      <c r="G6086" t="str">
        <f>T("한해플")</f>
        <v>한해플</v>
      </c>
      <c r="J6086" t="str">
        <f>T("매드햇")</f>
        <v>매드햇</v>
      </c>
      <c r="K6086" t="str">
        <f>T("천재 엑스트라가 대사를 외우는 방법")</f>
        <v>천재 엑스트라가 대사를 외우는 방법</v>
      </c>
      <c r="L6086">
        <v>0</v>
      </c>
      <c r="M6086">
        <v>0</v>
      </c>
      <c r="N6086">
        <v>0</v>
      </c>
      <c r="O6086">
        <v>1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0</v>
      </c>
      <c r="AE6086">
        <v>0</v>
      </c>
      <c r="AF6086">
        <v>0</v>
      </c>
      <c r="AG6086">
        <v>0</v>
      </c>
      <c r="AH6086">
        <v>0</v>
      </c>
      <c r="AI6086">
        <v>0</v>
      </c>
      <c r="AJ6086">
        <v>1</v>
      </c>
      <c r="AK6086">
        <v>0</v>
      </c>
      <c r="AL6086">
        <v>0</v>
      </c>
      <c r="AM6086">
        <v>0</v>
      </c>
      <c r="AN6086">
        <v>0</v>
      </c>
      <c r="AO6086">
        <v>0</v>
      </c>
      <c r="AP6086">
        <v>0</v>
      </c>
      <c r="AQ6086">
        <v>0</v>
      </c>
      <c r="AS6086">
        <v>0</v>
      </c>
      <c r="AT6086">
        <v>0</v>
      </c>
      <c r="AV6086">
        <v>0</v>
      </c>
      <c r="AW6086">
        <v>0</v>
      </c>
      <c r="AY6086">
        <v>0</v>
      </c>
      <c r="AZ6086">
        <v>0</v>
      </c>
      <c r="BA6086">
        <v>0</v>
      </c>
      <c r="BE6086" t="str">
        <f>T("9791137019263")</f>
        <v>9791137019263</v>
      </c>
      <c r="BF6086" t="str">
        <f>T("k329782")</f>
        <v>k329782</v>
      </c>
      <c r="BG6086" t="str">
        <f>T("판타지 웹소설 &gt; 현대 판타지")</f>
        <v>판타지 웹소설 &gt; 현대 판타지</v>
      </c>
    </row>
    <row r="6087" spans="1:59">
      <c r="A6087" t="s">
        <v>60</v>
      </c>
      <c r="B6087" s="1">
        <v>46130</v>
      </c>
      <c r="C6087">
        <v>2378067672</v>
      </c>
      <c r="D6087">
        <v>2378067684</v>
      </c>
      <c r="E6087" t="str">
        <f>T("천재 엑스트라가 대사를 외우는 방법 13화")</f>
        <v>천재 엑스트라가 대사를 외우는 방법 13화</v>
      </c>
      <c r="F6087">
        <v>13</v>
      </c>
      <c r="G6087" t="str">
        <f>T("한해플")</f>
        <v>한해플</v>
      </c>
      <c r="J6087" t="str">
        <f>T("매드햇")</f>
        <v>매드햇</v>
      </c>
      <c r="K6087" t="str">
        <f>T("천재 엑스트라가 대사를 외우는 방법")</f>
        <v>천재 엑스트라가 대사를 외우는 방법</v>
      </c>
      <c r="L6087">
        <v>0</v>
      </c>
      <c r="M6087">
        <v>0</v>
      </c>
      <c r="N6087">
        <v>0</v>
      </c>
      <c r="O6087">
        <v>1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0</v>
      </c>
      <c r="AE6087">
        <v>0</v>
      </c>
      <c r="AF6087">
        <v>0</v>
      </c>
      <c r="AG6087">
        <v>0</v>
      </c>
      <c r="AH6087">
        <v>0</v>
      </c>
      <c r="AI6087">
        <v>0</v>
      </c>
      <c r="AJ6087">
        <v>1</v>
      </c>
      <c r="AK6087">
        <v>0</v>
      </c>
      <c r="AL6087">
        <v>0</v>
      </c>
      <c r="AM6087">
        <v>0</v>
      </c>
      <c r="AN6087">
        <v>0</v>
      </c>
      <c r="AO6087">
        <v>0</v>
      </c>
      <c r="AP6087">
        <v>0</v>
      </c>
      <c r="AQ6087">
        <v>0</v>
      </c>
      <c r="AS6087">
        <v>0</v>
      </c>
      <c r="AT6087">
        <v>0</v>
      </c>
      <c r="AV6087">
        <v>0</v>
      </c>
      <c r="AW6087">
        <v>0</v>
      </c>
      <c r="AY6087">
        <v>0</v>
      </c>
      <c r="AZ6087">
        <v>0</v>
      </c>
      <c r="BA6087">
        <v>0</v>
      </c>
      <c r="BE6087" t="str">
        <f>T("9791137019263")</f>
        <v>9791137019263</v>
      </c>
      <c r="BF6087" t="str">
        <f>T("k329783")</f>
        <v>k329783</v>
      </c>
      <c r="BG6087" t="str">
        <f>T("판타지 웹소설 &gt; 현대 판타지")</f>
        <v>판타지 웹소설 &gt; 현대 판타지</v>
      </c>
    </row>
    <row r="6088" spans="1:59">
      <c r="A6088" t="s">
        <v>60</v>
      </c>
      <c r="B6088" s="1">
        <v>46130</v>
      </c>
      <c r="C6088">
        <v>2378067672</v>
      </c>
      <c r="D6088">
        <v>2378067685</v>
      </c>
      <c r="E6088" t="str">
        <f>T("천재 엑스트라가 대사를 외우는 방법 14화")</f>
        <v>천재 엑스트라가 대사를 외우는 방법 14화</v>
      </c>
      <c r="F6088">
        <v>14</v>
      </c>
      <c r="G6088" t="str">
        <f>T("한해플")</f>
        <v>한해플</v>
      </c>
      <c r="J6088" t="str">
        <f>T("매드햇")</f>
        <v>매드햇</v>
      </c>
      <c r="K6088" t="str">
        <f>T("천재 엑스트라가 대사를 외우는 방법")</f>
        <v>천재 엑스트라가 대사를 외우는 방법</v>
      </c>
      <c r="L6088">
        <v>0</v>
      </c>
      <c r="M6088">
        <v>0</v>
      </c>
      <c r="N6088">
        <v>0</v>
      </c>
      <c r="O6088">
        <v>1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0</v>
      </c>
      <c r="AE6088">
        <v>0</v>
      </c>
      <c r="AF6088">
        <v>0</v>
      </c>
      <c r="AG6088">
        <v>0</v>
      </c>
      <c r="AH6088">
        <v>0</v>
      </c>
      <c r="AI6088">
        <v>0</v>
      </c>
      <c r="AJ6088">
        <v>1</v>
      </c>
      <c r="AK6088">
        <v>0</v>
      </c>
      <c r="AL6088">
        <v>0</v>
      </c>
      <c r="AM6088">
        <v>0</v>
      </c>
      <c r="AN6088">
        <v>0</v>
      </c>
      <c r="AO6088">
        <v>0</v>
      </c>
      <c r="AP6088">
        <v>0</v>
      </c>
      <c r="AQ6088">
        <v>0</v>
      </c>
      <c r="AS6088">
        <v>0</v>
      </c>
      <c r="AT6088">
        <v>0</v>
      </c>
      <c r="AV6088">
        <v>0</v>
      </c>
      <c r="AW6088">
        <v>0</v>
      </c>
      <c r="AY6088">
        <v>0</v>
      </c>
      <c r="AZ6088">
        <v>0</v>
      </c>
      <c r="BA6088">
        <v>0</v>
      </c>
      <c r="BE6088" t="str">
        <f>T("9791137019263")</f>
        <v>9791137019263</v>
      </c>
      <c r="BF6088" t="str">
        <f>T("k329784")</f>
        <v>k329784</v>
      </c>
      <c r="BG6088" t="str">
        <f>T("판타지 웹소설 &gt; 현대 판타지")</f>
        <v>판타지 웹소설 &gt; 현대 판타지</v>
      </c>
    </row>
    <row r="6089" spans="1:59">
      <c r="A6089" t="s">
        <v>60</v>
      </c>
      <c r="B6089" s="1">
        <v>46130</v>
      </c>
      <c r="C6089">
        <v>2378067672</v>
      </c>
      <c r="D6089">
        <v>2378067686</v>
      </c>
      <c r="E6089" t="str">
        <f>T("천재 엑스트라가 대사를 외우는 방법 15화")</f>
        <v>천재 엑스트라가 대사를 외우는 방법 15화</v>
      </c>
      <c r="F6089">
        <v>15</v>
      </c>
      <c r="G6089" t="str">
        <f>T("한해플")</f>
        <v>한해플</v>
      </c>
      <c r="J6089" t="str">
        <f>T("매드햇")</f>
        <v>매드햇</v>
      </c>
      <c r="K6089" t="str">
        <f>T("천재 엑스트라가 대사를 외우는 방법")</f>
        <v>천재 엑스트라가 대사를 외우는 방법</v>
      </c>
      <c r="L6089">
        <v>0</v>
      </c>
      <c r="M6089">
        <v>0</v>
      </c>
      <c r="N6089">
        <v>0</v>
      </c>
      <c r="O6089">
        <v>1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0</v>
      </c>
      <c r="AE6089">
        <v>0</v>
      </c>
      <c r="AF6089">
        <v>0</v>
      </c>
      <c r="AG6089">
        <v>0</v>
      </c>
      <c r="AH6089">
        <v>0</v>
      </c>
      <c r="AI6089">
        <v>0</v>
      </c>
      <c r="AJ6089">
        <v>1</v>
      </c>
      <c r="AK6089">
        <v>0</v>
      </c>
      <c r="AL6089">
        <v>0</v>
      </c>
      <c r="AM6089">
        <v>0</v>
      </c>
      <c r="AN6089">
        <v>0</v>
      </c>
      <c r="AO6089">
        <v>0</v>
      </c>
      <c r="AP6089">
        <v>0</v>
      </c>
      <c r="AQ6089">
        <v>0</v>
      </c>
      <c r="AS6089">
        <v>0</v>
      </c>
      <c r="AT6089">
        <v>0</v>
      </c>
      <c r="AV6089">
        <v>0</v>
      </c>
      <c r="AW6089">
        <v>0</v>
      </c>
      <c r="AY6089">
        <v>0</v>
      </c>
      <c r="AZ6089">
        <v>0</v>
      </c>
      <c r="BA6089">
        <v>0</v>
      </c>
      <c r="BE6089" t="str">
        <f>T("9791137019263")</f>
        <v>9791137019263</v>
      </c>
      <c r="BF6089" t="str">
        <f>T("k329785")</f>
        <v>k329785</v>
      </c>
      <c r="BG6089" t="str">
        <f>T("판타지 웹소설 &gt; 현대 판타지")</f>
        <v>판타지 웹소설 &gt; 현대 판타지</v>
      </c>
    </row>
    <row r="6090" spans="1:59">
      <c r="A6090" t="s">
        <v>60</v>
      </c>
      <c r="B6090" s="1">
        <v>46130</v>
      </c>
      <c r="C6090">
        <v>2378067672</v>
      </c>
      <c r="D6090">
        <v>2378067687</v>
      </c>
      <c r="E6090" t="str">
        <f>T("천재 엑스트라가 대사를 외우는 방법 16화")</f>
        <v>천재 엑스트라가 대사를 외우는 방법 16화</v>
      </c>
      <c r="F6090">
        <v>16</v>
      </c>
      <c r="G6090" t="str">
        <f>T("한해플")</f>
        <v>한해플</v>
      </c>
      <c r="J6090" t="str">
        <f>T("매드햇")</f>
        <v>매드햇</v>
      </c>
      <c r="K6090" t="str">
        <f>T("천재 엑스트라가 대사를 외우는 방법")</f>
        <v>천재 엑스트라가 대사를 외우는 방법</v>
      </c>
      <c r="L6090">
        <v>0</v>
      </c>
      <c r="M6090">
        <v>0</v>
      </c>
      <c r="N6090">
        <v>0</v>
      </c>
      <c r="O6090">
        <v>1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0</v>
      </c>
      <c r="AE6090">
        <v>0</v>
      </c>
      <c r="AF6090">
        <v>0</v>
      </c>
      <c r="AG6090">
        <v>0</v>
      </c>
      <c r="AH6090">
        <v>0</v>
      </c>
      <c r="AI6090">
        <v>0</v>
      </c>
      <c r="AJ6090">
        <v>1</v>
      </c>
      <c r="AK6090">
        <v>0</v>
      </c>
      <c r="AL6090">
        <v>0</v>
      </c>
      <c r="AM6090">
        <v>0</v>
      </c>
      <c r="AN6090">
        <v>0</v>
      </c>
      <c r="AO6090">
        <v>0</v>
      </c>
      <c r="AP6090">
        <v>0</v>
      </c>
      <c r="AQ6090">
        <v>0</v>
      </c>
      <c r="AS6090">
        <v>0</v>
      </c>
      <c r="AT6090">
        <v>0</v>
      </c>
      <c r="AV6090">
        <v>0</v>
      </c>
      <c r="AW6090">
        <v>0</v>
      </c>
      <c r="AY6090">
        <v>0</v>
      </c>
      <c r="AZ6090">
        <v>0</v>
      </c>
      <c r="BA6090">
        <v>0</v>
      </c>
      <c r="BE6090" t="str">
        <f>T("9791137019263")</f>
        <v>9791137019263</v>
      </c>
      <c r="BF6090" t="str">
        <f>T("k329786")</f>
        <v>k329786</v>
      </c>
      <c r="BG6090" t="str">
        <f>T("판타지 웹소설 &gt; 현대 판타지")</f>
        <v>판타지 웹소설 &gt; 현대 판타지</v>
      </c>
    </row>
    <row r="6091" spans="1:59">
      <c r="A6091" t="s">
        <v>60</v>
      </c>
      <c r="B6091" s="1">
        <v>46130</v>
      </c>
      <c r="C6091">
        <v>2378067672</v>
      </c>
      <c r="D6091">
        <v>2378067688</v>
      </c>
      <c r="E6091" t="str">
        <f>T("천재 엑스트라가 대사를 외우는 방법 17화")</f>
        <v>천재 엑스트라가 대사를 외우는 방법 17화</v>
      </c>
      <c r="F6091">
        <v>17</v>
      </c>
      <c r="G6091" t="str">
        <f>T("한해플")</f>
        <v>한해플</v>
      </c>
      <c r="J6091" t="str">
        <f>T("매드햇")</f>
        <v>매드햇</v>
      </c>
      <c r="K6091" t="str">
        <f>T("천재 엑스트라가 대사를 외우는 방법")</f>
        <v>천재 엑스트라가 대사를 외우는 방법</v>
      </c>
      <c r="L6091">
        <v>0</v>
      </c>
      <c r="M6091">
        <v>0</v>
      </c>
      <c r="N6091">
        <v>0</v>
      </c>
      <c r="O6091">
        <v>1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0</v>
      </c>
      <c r="AE6091">
        <v>0</v>
      </c>
      <c r="AF6091">
        <v>0</v>
      </c>
      <c r="AG6091">
        <v>0</v>
      </c>
      <c r="AH6091">
        <v>0</v>
      </c>
      <c r="AI6091">
        <v>0</v>
      </c>
      <c r="AJ6091">
        <v>1</v>
      </c>
      <c r="AK6091">
        <v>0</v>
      </c>
      <c r="AL6091">
        <v>0</v>
      </c>
      <c r="AM6091">
        <v>0</v>
      </c>
      <c r="AN6091">
        <v>0</v>
      </c>
      <c r="AO6091">
        <v>0</v>
      </c>
      <c r="AP6091">
        <v>0</v>
      </c>
      <c r="AQ6091">
        <v>0</v>
      </c>
      <c r="AS6091">
        <v>0</v>
      </c>
      <c r="AT6091">
        <v>0</v>
      </c>
      <c r="AV6091">
        <v>0</v>
      </c>
      <c r="AW6091">
        <v>0</v>
      </c>
      <c r="AY6091">
        <v>0</v>
      </c>
      <c r="AZ6091">
        <v>0</v>
      </c>
      <c r="BA6091">
        <v>0</v>
      </c>
      <c r="BE6091" t="str">
        <f>T("9791137019263")</f>
        <v>9791137019263</v>
      </c>
      <c r="BF6091" t="str">
        <f>T("k329787")</f>
        <v>k329787</v>
      </c>
      <c r="BG6091" t="str">
        <f>T("판타지 웹소설 &gt; 현대 판타지")</f>
        <v>판타지 웹소설 &gt; 현대 판타지</v>
      </c>
    </row>
    <row r="6092" spans="1:59">
      <c r="A6092" t="s">
        <v>60</v>
      </c>
      <c r="B6092" s="1">
        <v>46130</v>
      </c>
      <c r="C6092">
        <v>2378067672</v>
      </c>
      <c r="D6092">
        <v>2378067689</v>
      </c>
      <c r="E6092" t="str">
        <f>T("천재 엑스트라가 대사를 외우는 방법 18화")</f>
        <v>천재 엑스트라가 대사를 외우는 방법 18화</v>
      </c>
      <c r="F6092">
        <v>18</v>
      </c>
      <c r="G6092" t="str">
        <f>T("한해플")</f>
        <v>한해플</v>
      </c>
      <c r="J6092" t="str">
        <f>T("매드햇")</f>
        <v>매드햇</v>
      </c>
      <c r="K6092" t="str">
        <f>T("천재 엑스트라가 대사를 외우는 방법")</f>
        <v>천재 엑스트라가 대사를 외우는 방법</v>
      </c>
      <c r="L6092">
        <v>0</v>
      </c>
      <c r="M6092">
        <v>0</v>
      </c>
      <c r="N6092">
        <v>0</v>
      </c>
      <c r="O6092">
        <v>1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0</v>
      </c>
      <c r="AE6092">
        <v>0</v>
      </c>
      <c r="AF6092">
        <v>0</v>
      </c>
      <c r="AG6092">
        <v>0</v>
      </c>
      <c r="AH6092">
        <v>0</v>
      </c>
      <c r="AI6092">
        <v>0</v>
      </c>
      <c r="AJ6092">
        <v>1</v>
      </c>
      <c r="AK6092">
        <v>0</v>
      </c>
      <c r="AL6092">
        <v>0</v>
      </c>
      <c r="AM6092">
        <v>0</v>
      </c>
      <c r="AN6092">
        <v>0</v>
      </c>
      <c r="AO6092">
        <v>0</v>
      </c>
      <c r="AP6092">
        <v>0</v>
      </c>
      <c r="AQ6092">
        <v>0</v>
      </c>
      <c r="AS6092">
        <v>0</v>
      </c>
      <c r="AT6092">
        <v>0</v>
      </c>
      <c r="AV6092">
        <v>0</v>
      </c>
      <c r="AW6092">
        <v>0</v>
      </c>
      <c r="AY6092">
        <v>0</v>
      </c>
      <c r="AZ6092">
        <v>0</v>
      </c>
      <c r="BA6092">
        <v>0</v>
      </c>
      <c r="BE6092" t="str">
        <f>T("9791137019263")</f>
        <v>9791137019263</v>
      </c>
      <c r="BF6092" t="str">
        <f>T("k329788")</f>
        <v>k329788</v>
      </c>
      <c r="BG6092" t="str">
        <f>T("판타지 웹소설 &gt; 현대 판타지")</f>
        <v>판타지 웹소설 &gt; 현대 판타지</v>
      </c>
    </row>
    <row r="6093" spans="1:59">
      <c r="A6093" t="s">
        <v>60</v>
      </c>
      <c r="B6093" s="1">
        <v>46130</v>
      </c>
      <c r="C6093">
        <v>2378067672</v>
      </c>
      <c r="D6093">
        <v>2378067690</v>
      </c>
      <c r="E6093" t="str">
        <f>T("천재 엑스트라가 대사를 외우는 방법 19화")</f>
        <v>천재 엑스트라가 대사를 외우는 방법 19화</v>
      </c>
      <c r="F6093">
        <v>19</v>
      </c>
      <c r="G6093" t="str">
        <f>T("한해플")</f>
        <v>한해플</v>
      </c>
      <c r="J6093" t="str">
        <f>T("매드햇")</f>
        <v>매드햇</v>
      </c>
      <c r="K6093" t="str">
        <f>T("천재 엑스트라가 대사를 외우는 방법")</f>
        <v>천재 엑스트라가 대사를 외우는 방법</v>
      </c>
      <c r="L6093">
        <v>0</v>
      </c>
      <c r="M6093">
        <v>0</v>
      </c>
      <c r="N6093">
        <v>0</v>
      </c>
      <c r="O6093">
        <v>1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0</v>
      </c>
      <c r="AE6093">
        <v>0</v>
      </c>
      <c r="AF6093">
        <v>0</v>
      </c>
      <c r="AG6093">
        <v>0</v>
      </c>
      <c r="AH6093">
        <v>0</v>
      </c>
      <c r="AI6093">
        <v>0</v>
      </c>
      <c r="AJ6093">
        <v>1</v>
      </c>
      <c r="AK6093">
        <v>0</v>
      </c>
      <c r="AL6093">
        <v>0</v>
      </c>
      <c r="AM6093">
        <v>0</v>
      </c>
      <c r="AN6093">
        <v>0</v>
      </c>
      <c r="AO6093">
        <v>0</v>
      </c>
      <c r="AP6093">
        <v>0</v>
      </c>
      <c r="AQ6093">
        <v>0</v>
      </c>
      <c r="AS6093">
        <v>0</v>
      </c>
      <c r="AT6093">
        <v>0</v>
      </c>
      <c r="AV6093">
        <v>0</v>
      </c>
      <c r="AW6093">
        <v>0</v>
      </c>
      <c r="AY6093">
        <v>0</v>
      </c>
      <c r="AZ6093">
        <v>0</v>
      </c>
      <c r="BA6093">
        <v>0</v>
      </c>
      <c r="BE6093" t="str">
        <f>T("9791137019263")</f>
        <v>9791137019263</v>
      </c>
      <c r="BF6093" t="str">
        <f>T("k329789")</f>
        <v>k329789</v>
      </c>
      <c r="BG6093" t="str">
        <f>T("판타지 웹소설 &gt; 현대 판타지")</f>
        <v>판타지 웹소설 &gt; 현대 판타지</v>
      </c>
    </row>
    <row r="6094" spans="1:59">
      <c r="A6094" t="s">
        <v>60</v>
      </c>
      <c r="B6094" s="1">
        <v>46130</v>
      </c>
      <c r="C6094">
        <v>2378067672</v>
      </c>
      <c r="D6094">
        <v>2378067691</v>
      </c>
      <c r="E6094" t="str">
        <f>T("천재 엑스트라가 대사를 외우는 방법 20화")</f>
        <v>천재 엑스트라가 대사를 외우는 방법 20화</v>
      </c>
      <c r="F6094">
        <v>20</v>
      </c>
      <c r="G6094" t="str">
        <f>T("한해플")</f>
        <v>한해플</v>
      </c>
      <c r="J6094" t="str">
        <f>T("매드햇")</f>
        <v>매드햇</v>
      </c>
      <c r="K6094" t="str">
        <f>T("천재 엑스트라가 대사를 외우는 방법")</f>
        <v>천재 엑스트라가 대사를 외우는 방법</v>
      </c>
      <c r="L6094">
        <v>0</v>
      </c>
      <c r="M6094">
        <v>0</v>
      </c>
      <c r="N6094">
        <v>0</v>
      </c>
      <c r="O6094">
        <v>1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0</v>
      </c>
      <c r="AE6094">
        <v>0</v>
      </c>
      <c r="AF6094">
        <v>0</v>
      </c>
      <c r="AG6094">
        <v>0</v>
      </c>
      <c r="AH6094">
        <v>0</v>
      </c>
      <c r="AI6094">
        <v>0</v>
      </c>
      <c r="AJ6094">
        <v>1</v>
      </c>
      <c r="AK6094">
        <v>0</v>
      </c>
      <c r="AL6094">
        <v>0</v>
      </c>
      <c r="AM6094">
        <v>0</v>
      </c>
      <c r="AN6094">
        <v>0</v>
      </c>
      <c r="AO6094">
        <v>0</v>
      </c>
      <c r="AP6094">
        <v>0</v>
      </c>
      <c r="AQ6094">
        <v>0</v>
      </c>
      <c r="AS6094">
        <v>0</v>
      </c>
      <c r="AT6094">
        <v>0</v>
      </c>
      <c r="AV6094">
        <v>0</v>
      </c>
      <c r="AW6094">
        <v>0</v>
      </c>
      <c r="AY6094">
        <v>0</v>
      </c>
      <c r="AZ6094">
        <v>0</v>
      </c>
      <c r="BA6094">
        <v>0</v>
      </c>
      <c r="BE6094" t="str">
        <f>T("9791137019263")</f>
        <v>9791137019263</v>
      </c>
      <c r="BF6094" t="str">
        <f>T("k329790")</f>
        <v>k329790</v>
      </c>
      <c r="BG6094" t="str">
        <f>T("판타지 웹소설 &gt; 현대 판타지")</f>
        <v>판타지 웹소설 &gt; 현대 판타지</v>
      </c>
    </row>
    <row r="6095" spans="1:59">
      <c r="A6095" t="s">
        <v>60</v>
      </c>
      <c r="B6095" s="1">
        <v>46130</v>
      </c>
      <c r="C6095">
        <v>2378067672</v>
      </c>
      <c r="D6095">
        <v>2378067692</v>
      </c>
      <c r="E6095" t="str">
        <f>T("천재 엑스트라가 대사를 외우는 방법 21화")</f>
        <v>천재 엑스트라가 대사를 외우는 방법 21화</v>
      </c>
      <c r="F6095">
        <v>21</v>
      </c>
      <c r="G6095" t="str">
        <f>T("한해플")</f>
        <v>한해플</v>
      </c>
      <c r="J6095" t="str">
        <f>T("매드햇")</f>
        <v>매드햇</v>
      </c>
      <c r="K6095" t="str">
        <f>T("천재 엑스트라가 대사를 외우는 방법")</f>
        <v>천재 엑스트라가 대사를 외우는 방법</v>
      </c>
      <c r="L6095">
        <v>0</v>
      </c>
      <c r="M6095">
        <v>0</v>
      </c>
      <c r="N6095">
        <v>0</v>
      </c>
      <c r="O6095">
        <v>1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0</v>
      </c>
      <c r="AE6095">
        <v>0</v>
      </c>
      <c r="AF6095">
        <v>0</v>
      </c>
      <c r="AG6095">
        <v>0</v>
      </c>
      <c r="AH6095">
        <v>0</v>
      </c>
      <c r="AI6095">
        <v>0</v>
      </c>
      <c r="AJ6095">
        <v>1</v>
      </c>
      <c r="AK6095">
        <v>0</v>
      </c>
      <c r="AL6095">
        <v>0</v>
      </c>
      <c r="AM6095">
        <v>0</v>
      </c>
      <c r="AN6095">
        <v>0</v>
      </c>
      <c r="AO6095">
        <v>0</v>
      </c>
      <c r="AP6095">
        <v>0</v>
      </c>
      <c r="AQ6095">
        <v>0</v>
      </c>
      <c r="AS6095">
        <v>0</v>
      </c>
      <c r="AT6095">
        <v>0</v>
      </c>
      <c r="AV6095">
        <v>0</v>
      </c>
      <c r="AW6095">
        <v>0</v>
      </c>
      <c r="AY6095">
        <v>0</v>
      </c>
      <c r="AZ6095">
        <v>0</v>
      </c>
      <c r="BA6095">
        <v>0</v>
      </c>
      <c r="BE6095" t="str">
        <f>T("9791137019263")</f>
        <v>9791137019263</v>
      </c>
      <c r="BF6095" t="str">
        <f>T("k329791")</f>
        <v>k329791</v>
      </c>
      <c r="BG6095" t="str">
        <f>T("판타지 웹소설 &gt; 현대 판타지")</f>
        <v>판타지 웹소설 &gt; 현대 판타지</v>
      </c>
    </row>
    <row r="6096" spans="1:59">
      <c r="A6096" t="s">
        <v>60</v>
      </c>
      <c r="B6096" s="1">
        <v>46130</v>
      </c>
      <c r="C6096">
        <v>2378067672</v>
      </c>
      <c r="D6096">
        <v>2378067693</v>
      </c>
      <c r="E6096" t="str">
        <f>T("천재 엑스트라가 대사를 외우는 방법 22화")</f>
        <v>천재 엑스트라가 대사를 외우는 방법 22화</v>
      </c>
      <c r="F6096">
        <v>22</v>
      </c>
      <c r="G6096" t="str">
        <f>T("한해플")</f>
        <v>한해플</v>
      </c>
      <c r="J6096" t="str">
        <f>T("매드햇")</f>
        <v>매드햇</v>
      </c>
      <c r="K6096" t="str">
        <f>T("천재 엑스트라가 대사를 외우는 방법")</f>
        <v>천재 엑스트라가 대사를 외우는 방법</v>
      </c>
      <c r="L6096">
        <v>0</v>
      </c>
      <c r="M6096">
        <v>0</v>
      </c>
      <c r="N6096">
        <v>0</v>
      </c>
      <c r="O6096">
        <v>1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0</v>
      </c>
      <c r="AE6096">
        <v>0</v>
      </c>
      <c r="AF6096">
        <v>0</v>
      </c>
      <c r="AG6096">
        <v>0</v>
      </c>
      <c r="AH6096">
        <v>0</v>
      </c>
      <c r="AI6096">
        <v>0</v>
      </c>
      <c r="AJ6096">
        <v>1</v>
      </c>
      <c r="AK6096">
        <v>0</v>
      </c>
      <c r="AL6096">
        <v>0</v>
      </c>
      <c r="AM6096">
        <v>0</v>
      </c>
      <c r="AN6096">
        <v>0</v>
      </c>
      <c r="AO6096">
        <v>0</v>
      </c>
      <c r="AP6096">
        <v>0</v>
      </c>
      <c r="AQ6096">
        <v>0</v>
      </c>
      <c r="AS6096">
        <v>0</v>
      </c>
      <c r="AT6096">
        <v>0</v>
      </c>
      <c r="AV6096">
        <v>0</v>
      </c>
      <c r="AW6096">
        <v>0</v>
      </c>
      <c r="AY6096">
        <v>0</v>
      </c>
      <c r="AZ6096">
        <v>0</v>
      </c>
      <c r="BA6096">
        <v>0</v>
      </c>
      <c r="BE6096" t="str">
        <f>T("9791137019263")</f>
        <v>9791137019263</v>
      </c>
      <c r="BF6096" t="str">
        <f>T("k329792")</f>
        <v>k329792</v>
      </c>
      <c r="BG6096" t="str">
        <f>T("판타지 웹소설 &gt; 현대 판타지")</f>
        <v>판타지 웹소설 &gt; 현대 판타지</v>
      </c>
    </row>
    <row r="6097" spans="1:59">
      <c r="A6097" t="s">
        <v>60</v>
      </c>
      <c r="B6097" s="1">
        <v>46130</v>
      </c>
      <c r="C6097">
        <v>2378067672</v>
      </c>
      <c r="D6097">
        <v>2378067694</v>
      </c>
      <c r="E6097" t="str">
        <f>T("천재 엑스트라가 대사를 외우는 방법 23화")</f>
        <v>천재 엑스트라가 대사를 외우는 방법 23화</v>
      </c>
      <c r="F6097">
        <v>23</v>
      </c>
      <c r="G6097" t="str">
        <f>T("한해플")</f>
        <v>한해플</v>
      </c>
      <c r="J6097" t="str">
        <f>T("매드햇")</f>
        <v>매드햇</v>
      </c>
      <c r="K6097" t="str">
        <f>T("천재 엑스트라가 대사를 외우는 방법")</f>
        <v>천재 엑스트라가 대사를 외우는 방법</v>
      </c>
      <c r="L6097">
        <v>0</v>
      </c>
      <c r="M6097">
        <v>0</v>
      </c>
      <c r="N6097">
        <v>0</v>
      </c>
      <c r="O6097">
        <v>1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0</v>
      </c>
      <c r="AE6097">
        <v>0</v>
      </c>
      <c r="AF6097">
        <v>0</v>
      </c>
      <c r="AG6097">
        <v>0</v>
      </c>
      <c r="AH6097">
        <v>0</v>
      </c>
      <c r="AI6097">
        <v>0</v>
      </c>
      <c r="AJ6097">
        <v>1</v>
      </c>
      <c r="AK6097">
        <v>0</v>
      </c>
      <c r="AL6097">
        <v>0</v>
      </c>
      <c r="AM6097">
        <v>0</v>
      </c>
      <c r="AN6097">
        <v>0</v>
      </c>
      <c r="AO6097">
        <v>0</v>
      </c>
      <c r="AP6097">
        <v>0</v>
      </c>
      <c r="AQ6097">
        <v>0</v>
      </c>
      <c r="AS6097">
        <v>0</v>
      </c>
      <c r="AT6097">
        <v>0</v>
      </c>
      <c r="AV6097">
        <v>0</v>
      </c>
      <c r="AW6097">
        <v>0</v>
      </c>
      <c r="AY6097">
        <v>0</v>
      </c>
      <c r="AZ6097">
        <v>0</v>
      </c>
      <c r="BA6097">
        <v>0</v>
      </c>
      <c r="BE6097" t="str">
        <f>T("9791137019263")</f>
        <v>9791137019263</v>
      </c>
      <c r="BF6097" t="str">
        <f>T("k329793")</f>
        <v>k329793</v>
      </c>
      <c r="BG6097" t="str">
        <f>T("판타지 웹소설 &gt; 현대 판타지")</f>
        <v>판타지 웹소설 &gt; 현대 판타지</v>
      </c>
    </row>
    <row r="6098" spans="1:59">
      <c r="A6098" t="s">
        <v>60</v>
      </c>
      <c r="B6098" s="1">
        <v>46130</v>
      </c>
      <c r="C6098">
        <v>2378067672</v>
      </c>
      <c r="D6098">
        <v>2378067695</v>
      </c>
      <c r="E6098" t="str">
        <f>T("천재 엑스트라가 대사를 외우는 방법 24화")</f>
        <v>천재 엑스트라가 대사를 외우는 방법 24화</v>
      </c>
      <c r="F6098">
        <v>24</v>
      </c>
      <c r="G6098" t="str">
        <f>T("한해플")</f>
        <v>한해플</v>
      </c>
      <c r="J6098" t="str">
        <f>T("매드햇")</f>
        <v>매드햇</v>
      </c>
      <c r="K6098" t="str">
        <f>T("천재 엑스트라가 대사를 외우는 방법")</f>
        <v>천재 엑스트라가 대사를 외우는 방법</v>
      </c>
      <c r="L6098">
        <v>0</v>
      </c>
      <c r="M6098">
        <v>0</v>
      </c>
      <c r="N6098">
        <v>0</v>
      </c>
      <c r="O6098">
        <v>1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0</v>
      </c>
      <c r="AE6098">
        <v>0</v>
      </c>
      <c r="AF6098">
        <v>0</v>
      </c>
      <c r="AG6098">
        <v>0</v>
      </c>
      <c r="AH6098">
        <v>0</v>
      </c>
      <c r="AI6098">
        <v>0</v>
      </c>
      <c r="AJ6098">
        <v>1</v>
      </c>
      <c r="AK6098">
        <v>0</v>
      </c>
      <c r="AL6098">
        <v>0</v>
      </c>
      <c r="AM6098">
        <v>0</v>
      </c>
      <c r="AN6098">
        <v>0</v>
      </c>
      <c r="AO6098">
        <v>0</v>
      </c>
      <c r="AP6098">
        <v>0</v>
      </c>
      <c r="AQ6098">
        <v>0</v>
      </c>
      <c r="AS6098">
        <v>0</v>
      </c>
      <c r="AT6098">
        <v>0</v>
      </c>
      <c r="AV6098">
        <v>0</v>
      </c>
      <c r="AW6098">
        <v>0</v>
      </c>
      <c r="AY6098">
        <v>0</v>
      </c>
      <c r="AZ6098">
        <v>0</v>
      </c>
      <c r="BA6098">
        <v>0</v>
      </c>
      <c r="BE6098" t="str">
        <f>T("9791137019263")</f>
        <v>9791137019263</v>
      </c>
      <c r="BF6098" t="str">
        <f>T("k329794")</f>
        <v>k329794</v>
      </c>
      <c r="BG6098" t="str">
        <f>T("판타지 웹소설 &gt; 현대 판타지")</f>
        <v>판타지 웹소설 &gt; 현대 판타지</v>
      </c>
    </row>
    <row r="6099" spans="1:59">
      <c r="A6099" t="s">
        <v>60</v>
      </c>
      <c r="B6099" s="1">
        <v>46130</v>
      </c>
      <c r="C6099">
        <v>2378067672</v>
      </c>
      <c r="D6099">
        <v>2378067696</v>
      </c>
      <c r="E6099" t="str">
        <f>T("천재 엑스트라가 대사를 외우는 방법 25화")</f>
        <v>천재 엑스트라가 대사를 외우는 방법 25화</v>
      </c>
      <c r="F6099">
        <v>25</v>
      </c>
      <c r="G6099" t="str">
        <f>T("한해플")</f>
        <v>한해플</v>
      </c>
      <c r="J6099" t="str">
        <f>T("매드햇")</f>
        <v>매드햇</v>
      </c>
      <c r="K6099" t="str">
        <f>T("천재 엑스트라가 대사를 외우는 방법")</f>
        <v>천재 엑스트라가 대사를 외우는 방법</v>
      </c>
      <c r="L6099">
        <v>0</v>
      </c>
      <c r="M6099">
        <v>0</v>
      </c>
      <c r="N6099">
        <v>0</v>
      </c>
      <c r="O6099">
        <v>1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0</v>
      </c>
      <c r="AE6099">
        <v>0</v>
      </c>
      <c r="AF6099">
        <v>0</v>
      </c>
      <c r="AG6099">
        <v>0</v>
      </c>
      <c r="AH6099">
        <v>0</v>
      </c>
      <c r="AI6099">
        <v>0</v>
      </c>
      <c r="AJ6099">
        <v>1</v>
      </c>
      <c r="AK6099">
        <v>0</v>
      </c>
      <c r="AL6099">
        <v>0</v>
      </c>
      <c r="AM6099">
        <v>0</v>
      </c>
      <c r="AN6099">
        <v>0</v>
      </c>
      <c r="AO6099">
        <v>0</v>
      </c>
      <c r="AP6099">
        <v>0</v>
      </c>
      <c r="AQ6099">
        <v>0</v>
      </c>
      <c r="AS6099">
        <v>0</v>
      </c>
      <c r="AT6099">
        <v>0</v>
      </c>
      <c r="AV6099">
        <v>0</v>
      </c>
      <c r="AW6099">
        <v>0</v>
      </c>
      <c r="AY6099">
        <v>0</v>
      </c>
      <c r="AZ6099">
        <v>0</v>
      </c>
      <c r="BA6099">
        <v>0</v>
      </c>
      <c r="BE6099" t="str">
        <f>T("9791137019263")</f>
        <v>9791137019263</v>
      </c>
      <c r="BF6099" t="str">
        <f>T("k329795")</f>
        <v>k329795</v>
      </c>
      <c r="BG6099" t="str">
        <f>T("판타지 웹소설 &gt; 현대 판타지")</f>
        <v>판타지 웹소설 &gt; 현대 판타지</v>
      </c>
    </row>
    <row r="6100" spans="1:59">
      <c r="A6100" t="s">
        <v>60</v>
      </c>
      <c r="B6100" s="1">
        <v>46131</v>
      </c>
      <c r="C6100">
        <v>2378067672</v>
      </c>
      <c r="D6100">
        <v>2378067672</v>
      </c>
      <c r="E6100" t="str">
        <f>T("천재 엑스트라가 대사를 외우는 방법 1화")</f>
        <v>천재 엑스트라가 대사를 외우는 방법 1화</v>
      </c>
      <c r="F6100">
        <v>1</v>
      </c>
      <c r="G6100" t="str">
        <f>T("한해플")</f>
        <v>한해플</v>
      </c>
      <c r="J6100" t="str">
        <f>T("매드햇")</f>
        <v>매드햇</v>
      </c>
      <c r="K6100" t="str">
        <f>T("천재 엑스트라가 대사를 외우는 방법")</f>
        <v>천재 엑스트라가 대사를 외우는 방법</v>
      </c>
      <c r="L6100">
        <v>0</v>
      </c>
      <c r="M6100">
        <v>0</v>
      </c>
      <c r="N6100">
        <v>0</v>
      </c>
      <c r="O6100">
        <v>1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0</v>
      </c>
      <c r="AE6100">
        <v>0</v>
      </c>
      <c r="AF6100">
        <v>0</v>
      </c>
      <c r="AG6100">
        <v>0</v>
      </c>
      <c r="AH6100">
        <v>0</v>
      </c>
      <c r="AI6100">
        <v>0</v>
      </c>
      <c r="AJ6100">
        <v>1</v>
      </c>
      <c r="AK6100">
        <v>0</v>
      </c>
      <c r="AL6100">
        <v>0</v>
      </c>
      <c r="AM6100">
        <v>0</v>
      </c>
      <c r="AN6100">
        <v>0</v>
      </c>
      <c r="AO6100">
        <v>0</v>
      </c>
      <c r="AP6100">
        <v>0</v>
      </c>
      <c r="AQ6100">
        <v>0</v>
      </c>
      <c r="AS6100">
        <v>0</v>
      </c>
      <c r="AT6100">
        <v>0</v>
      </c>
      <c r="AV6100">
        <v>0</v>
      </c>
      <c r="AW6100">
        <v>0</v>
      </c>
      <c r="AY6100">
        <v>0</v>
      </c>
      <c r="AZ6100">
        <v>0</v>
      </c>
      <c r="BA6100">
        <v>0</v>
      </c>
      <c r="BE6100" t="str">
        <f>T("9791137019263")</f>
        <v>9791137019263</v>
      </c>
      <c r="BF6100" t="str">
        <f>T("k329771")</f>
        <v>k329771</v>
      </c>
      <c r="BG6100" t="str">
        <f>T("판타지 웹소설 &gt; 현대 판타지")</f>
        <v>판타지 웹소설 &gt; 현대 판타지</v>
      </c>
    </row>
    <row r="6101" spans="1:59">
      <c r="A6101" t="s">
        <v>60</v>
      </c>
      <c r="B6101" s="1">
        <v>46131</v>
      </c>
      <c r="C6101">
        <v>2378067672</v>
      </c>
      <c r="D6101">
        <v>2378067673</v>
      </c>
      <c r="E6101" t="str">
        <f>T("천재 엑스트라가 대사를 외우는 방법 2화")</f>
        <v>천재 엑스트라가 대사를 외우는 방법 2화</v>
      </c>
      <c r="F6101">
        <v>2</v>
      </c>
      <c r="G6101" t="str">
        <f>T("한해플")</f>
        <v>한해플</v>
      </c>
      <c r="J6101" t="str">
        <f>T("매드햇")</f>
        <v>매드햇</v>
      </c>
      <c r="K6101" t="str">
        <f>T("천재 엑스트라가 대사를 외우는 방법")</f>
        <v>천재 엑스트라가 대사를 외우는 방법</v>
      </c>
      <c r="L6101">
        <v>0</v>
      </c>
      <c r="M6101">
        <v>0</v>
      </c>
      <c r="N6101">
        <v>0</v>
      </c>
      <c r="O6101">
        <v>1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0</v>
      </c>
      <c r="AE6101">
        <v>0</v>
      </c>
      <c r="AF6101">
        <v>0</v>
      </c>
      <c r="AG6101">
        <v>0</v>
      </c>
      <c r="AH6101">
        <v>0</v>
      </c>
      <c r="AI6101">
        <v>0</v>
      </c>
      <c r="AJ6101">
        <v>1</v>
      </c>
      <c r="AK6101">
        <v>0</v>
      </c>
      <c r="AL6101">
        <v>0</v>
      </c>
      <c r="AM6101">
        <v>0</v>
      </c>
      <c r="AN6101">
        <v>0</v>
      </c>
      <c r="AO6101">
        <v>0</v>
      </c>
      <c r="AP6101">
        <v>0</v>
      </c>
      <c r="AQ6101">
        <v>0</v>
      </c>
      <c r="AS6101">
        <v>0</v>
      </c>
      <c r="AT6101">
        <v>0</v>
      </c>
      <c r="AV6101">
        <v>0</v>
      </c>
      <c r="AW6101">
        <v>0</v>
      </c>
      <c r="AY6101">
        <v>0</v>
      </c>
      <c r="AZ6101">
        <v>0</v>
      </c>
      <c r="BA6101">
        <v>0</v>
      </c>
      <c r="BE6101" t="str">
        <f>T("9791137019263")</f>
        <v>9791137019263</v>
      </c>
      <c r="BF6101" t="str">
        <f>T("k329772")</f>
        <v>k329772</v>
      </c>
      <c r="BG6101" t="str">
        <f>T("판타지 웹소설 &gt; 현대 판타지")</f>
        <v>판타지 웹소설 &gt; 현대 판타지</v>
      </c>
    </row>
    <row r="6102" spans="1:59">
      <c r="A6102" t="s">
        <v>60</v>
      </c>
      <c r="B6102" s="1">
        <v>46131</v>
      </c>
      <c r="C6102">
        <v>2378067672</v>
      </c>
      <c r="D6102">
        <v>2378067674</v>
      </c>
      <c r="E6102" t="str">
        <f>T("천재 엑스트라가 대사를 외우는 방법 3화")</f>
        <v>천재 엑스트라가 대사를 외우는 방법 3화</v>
      </c>
      <c r="F6102">
        <v>3</v>
      </c>
      <c r="G6102" t="str">
        <f>T("한해플")</f>
        <v>한해플</v>
      </c>
      <c r="J6102" t="str">
        <f>T("매드햇")</f>
        <v>매드햇</v>
      </c>
      <c r="K6102" t="str">
        <f>T("천재 엑스트라가 대사를 외우는 방법")</f>
        <v>천재 엑스트라가 대사를 외우는 방법</v>
      </c>
      <c r="L6102">
        <v>0</v>
      </c>
      <c r="M6102">
        <v>0</v>
      </c>
      <c r="N6102">
        <v>0</v>
      </c>
      <c r="O6102">
        <v>1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0</v>
      </c>
      <c r="AE6102">
        <v>0</v>
      </c>
      <c r="AF6102">
        <v>0</v>
      </c>
      <c r="AG6102">
        <v>0</v>
      </c>
      <c r="AH6102">
        <v>0</v>
      </c>
      <c r="AI6102">
        <v>0</v>
      </c>
      <c r="AJ6102">
        <v>1</v>
      </c>
      <c r="AK6102">
        <v>0</v>
      </c>
      <c r="AL6102">
        <v>0</v>
      </c>
      <c r="AM6102">
        <v>0</v>
      </c>
      <c r="AN6102">
        <v>0</v>
      </c>
      <c r="AO6102">
        <v>0</v>
      </c>
      <c r="AP6102">
        <v>0</v>
      </c>
      <c r="AQ6102">
        <v>0</v>
      </c>
      <c r="AS6102">
        <v>0</v>
      </c>
      <c r="AT6102">
        <v>0</v>
      </c>
      <c r="AV6102">
        <v>0</v>
      </c>
      <c r="AW6102">
        <v>0</v>
      </c>
      <c r="AY6102">
        <v>0</v>
      </c>
      <c r="AZ6102">
        <v>0</v>
      </c>
      <c r="BA6102">
        <v>0</v>
      </c>
      <c r="BE6102" t="str">
        <f>T("9791137019263")</f>
        <v>9791137019263</v>
      </c>
      <c r="BF6102" t="str">
        <f>T("k329773")</f>
        <v>k329773</v>
      </c>
      <c r="BG6102" t="str">
        <f>T("판타지 웹소설 &gt; 현대 판타지")</f>
        <v>판타지 웹소설 &gt; 현대 판타지</v>
      </c>
    </row>
    <row r="6103" spans="1:59">
      <c r="A6103" t="s">
        <v>60</v>
      </c>
      <c r="B6103" s="1">
        <v>46131</v>
      </c>
      <c r="C6103">
        <v>2378067672</v>
      </c>
      <c r="D6103">
        <v>2378067675</v>
      </c>
      <c r="E6103" t="str">
        <f>T("천재 엑스트라가 대사를 외우는 방법 4화")</f>
        <v>천재 엑스트라가 대사를 외우는 방법 4화</v>
      </c>
      <c r="F6103">
        <v>4</v>
      </c>
      <c r="G6103" t="str">
        <f>T("한해플")</f>
        <v>한해플</v>
      </c>
      <c r="J6103" t="str">
        <f>T("매드햇")</f>
        <v>매드햇</v>
      </c>
      <c r="K6103" t="str">
        <f>T("천재 엑스트라가 대사를 외우는 방법")</f>
        <v>천재 엑스트라가 대사를 외우는 방법</v>
      </c>
      <c r="L6103">
        <v>0</v>
      </c>
      <c r="M6103">
        <v>0</v>
      </c>
      <c r="N6103">
        <v>0</v>
      </c>
      <c r="O6103">
        <v>1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0</v>
      </c>
      <c r="AE6103">
        <v>0</v>
      </c>
      <c r="AF6103">
        <v>0</v>
      </c>
      <c r="AG6103">
        <v>0</v>
      </c>
      <c r="AH6103">
        <v>0</v>
      </c>
      <c r="AI6103">
        <v>0</v>
      </c>
      <c r="AJ6103">
        <v>1</v>
      </c>
      <c r="AK6103">
        <v>0</v>
      </c>
      <c r="AL6103">
        <v>0</v>
      </c>
      <c r="AM6103">
        <v>0</v>
      </c>
      <c r="AN6103">
        <v>0</v>
      </c>
      <c r="AO6103">
        <v>0</v>
      </c>
      <c r="AP6103">
        <v>0</v>
      </c>
      <c r="AQ6103">
        <v>0</v>
      </c>
      <c r="AS6103">
        <v>0</v>
      </c>
      <c r="AT6103">
        <v>0</v>
      </c>
      <c r="AV6103">
        <v>0</v>
      </c>
      <c r="AW6103">
        <v>0</v>
      </c>
      <c r="AY6103">
        <v>0</v>
      </c>
      <c r="AZ6103">
        <v>0</v>
      </c>
      <c r="BA6103">
        <v>0</v>
      </c>
      <c r="BE6103" t="str">
        <f>T("9791137019263")</f>
        <v>9791137019263</v>
      </c>
      <c r="BF6103" t="str">
        <f>T("k329774")</f>
        <v>k329774</v>
      </c>
      <c r="BG6103" t="str">
        <f>T("판타지 웹소설 &gt; 현대 판타지")</f>
        <v>판타지 웹소설 &gt; 현대 판타지</v>
      </c>
    </row>
    <row r="6104" spans="1:59">
      <c r="A6104" t="s">
        <v>60</v>
      </c>
      <c r="B6104" s="1">
        <v>46131</v>
      </c>
      <c r="C6104">
        <v>2378067672</v>
      </c>
      <c r="D6104">
        <v>2378067676</v>
      </c>
      <c r="E6104" t="str">
        <f>T("천재 엑스트라가 대사를 외우는 방법 5화")</f>
        <v>천재 엑스트라가 대사를 외우는 방법 5화</v>
      </c>
      <c r="F6104">
        <v>5</v>
      </c>
      <c r="G6104" t="str">
        <f>T("한해플")</f>
        <v>한해플</v>
      </c>
      <c r="J6104" t="str">
        <f>T("매드햇")</f>
        <v>매드햇</v>
      </c>
      <c r="K6104" t="str">
        <f>T("천재 엑스트라가 대사를 외우는 방법")</f>
        <v>천재 엑스트라가 대사를 외우는 방법</v>
      </c>
      <c r="L6104">
        <v>0</v>
      </c>
      <c r="M6104">
        <v>0</v>
      </c>
      <c r="N6104">
        <v>0</v>
      </c>
      <c r="O6104">
        <v>1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0</v>
      </c>
      <c r="AE6104">
        <v>0</v>
      </c>
      <c r="AF6104">
        <v>0</v>
      </c>
      <c r="AG6104">
        <v>0</v>
      </c>
      <c r="AH6104">
        <v>0</v>
      </c>
      <c r="AI6104">
        <v>0</v>
      </c>
      <c r="AJ6104">
        <v>1</v>
      </c>
      <c r="AK6104">
        <v>0</v>
      </c>
      <c r="AL6104">
        <v>0</v>
      </c>
      <c r="AM6104">
        <v>0</v>
      </c>
      <c r="AN6104">
        <v>0</v>
      </c>
      <c r="AO6104">
        <v>0</v>
      </c>
      <c r="AP6104">
        <v>0</v>
      </c>
      <c r="AQ6104">
        <v>0</v>
      </c>
      <c r="AS6104">
        <v>0</v>
      </c>
      <c r="AT6104">
        <v>0</v>
      </c>
      <c r="AV6104">
        <v>0</v>
      </c>
      <c r="AW6104">
        <v>0</v>
      </c>
      <c r="AY6104">
        <v>0</v>
      </c>
      <c r="AZ6104">
        <v>0</v>
      </c>
      <c r="BA6104">
        <v>0</v>
      </c>
      <c r="BE6104" t="str">
        <f>T("9791137019263")</f>
        <v>9791137019263</v>
      </c>
      <c r="BF6104" t="str">
        <f>T("k329775")</f>
        <v>k329775</v>
      </c>
      <c r="BG6104" t="str">
        <f>T("판타지 웹소설 &gt; 현대 판타지")</f>
        <v>판타지 웹소설 &gt; 현대 판타지</v>
      </c>
    </row>
    <row r="6105" spans="1:59">
      <c r="A6105" t="s">
        <v>60</v>
      </c>
      <c r="B6105" s="1">
        <v>46131</v>
      </c>
      <c r="C6105">
        <v>2378067672</v>
      </c>
      <c r="D6105">
        <v>2378067677</v>
      </c>
      <c r="E6105" t="str">
        <f>T("천재 엑스트라가 대사를 외우는 방법 6화")</f>
        <v>천재 엑스트라가 대사를 외우는 방법 6화</v>
      </c>
      <c r="F6105">
        <v>6</v>
      </c>
      <c r="G6105" t="str">
        <f>T("한해플")</f>
        <v>한해플</v>
      </c>
      <c r="J6105" t="str">
        <f>T("매드햇")</f>
        <v>매드햇</v>
      </c>
      <c r="K6105" t="str">
        <f>T("천재 엑스트라가 대사를 외우는 방법")</f>
        <v>천재 엑스트라가 대사를 외우는 방법</v>
      </c>
      <c r="L6105">
        <v>0</v>
      </c>
      <c r="M6105">
        <v>0</v>
      </c>
      <c r="N6105">
        <v>0</v>
      </c>
      <c r="O6105">
        <v>1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0</v>
      </c>
      <c r="AE6105">
        <v>0</v>
      </c>
      <c r="AF6105">
        <v>0</v>
      </c>
      <c r="AG6105">
        <v>0</v>
      </c>
      <c r="AH6105">
        <v>0</v>
      </c>
      <c r="AI6105">
        <v>0</v>
      </c>
      <c r="AJ6105">
        <v>1</v>
      </c>
      <c r="AK6105">
        <v>0</v>
      </c>
      <c r="AL6105">
        <v>0</v>
      </c>
      <c r="AM6105">
        <v>0</v>
      </c>
      <c r="AN6105">
        <v>0</v>
      </c>
      <c r="AO6105">
        <v>0</v>
      </c>
      <c r="AP6105">
        <v>0</v>
      </c>
      <c r="AQ6105">
        <v>0</v>
      </c>
      <c r="AS6105">
        <v>0</v>
      </c>
      <c r="AT6105">
        <v>0</v>
      </c>
      <c r="AV6105">
        <v>0</v>
      </c>
      <c r="AW6105">
        <v>0</v>
      </c>
      <c r="AY6105">
        <v>0</v>
      </c>
      <c r="AZ6105">
        <v>0</v>
      </c>
      <c r="BA6105">
        <v>0</v>
      </c>
      <c r="BE6105" t="str">
        <f>T("9791137019263")</f>
        <v>9791137019263</v>
      </c>
      <c r="BF6105" t="str">
        <f>T("k329776")</f>
        <v>k329776</v>
      </c>
      <c r="BG6105" t="str">
        <f>T("판타지 웹소설 &gt; 현대 판타지")</f>
        <v>판타지 웹소설 &gt; 현대 판타지</v>
      </c>
    </row>
    <row r="6106" spans="1:59">
      <c r="A6106" t="s">
        <v>60</v>
      </c>
      <c r="B6106" s="1">
        <v>46131</v>
      </c>
      <c r="C6106">
        <v>2378067672</v>
      </c>
      <c r="D6106">
        <v>2378067678</v>
      </c>
      <c r="E6106" t="str">
        <f>T("천재 엑스트라가 대사를 외우는 방법 7화")</f>
        <v>천재 엑스트라가 대사를 외우는 방법 7화</v>
      </c>
      <c r="F6106">
        <v>7</v>
      </c>
      <c r="G6106" t="str">
        <f>T("한해플")</f>
        <v>한해플</v>
      </c>
      <c r="J6106" t="str">
        <f>T("매드햇")</f>
        <v>매드햇</v>
      </c>
      <c r="K6106" t="str">
        <f>T("천재 엑스트라가 대사를 외우는 방법")</f>
        <v>천재 엑스트라가 대사를 외우는 방법</v>
      </c>
      <c r="L6106">
        <v>0</v>
      </c>
      <c r="M6106">
        <v>0</v>
      </c>
      <c r="N6106">
        <v>0</v>
      </c>
      <c r="O6106">
        <v>1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0</v>
      </c>
      <c r="AE6106">
        <v>0</v>
      </c>
      <c r="AF6106">
        <v>0</v>
      </c>
      <c r="AG6106">
        <v>0</v>
      </c>
      <c r="AH6106">
        <v>0</v>
      </c>
      <c r="AI6106">
        <v>0</v>
      </c>
      <c r="AJ6106">
        <v>1</v>
      </c>
      <c r="AK6106">
        <v>0</v>
      </c>
      <c r="AL6106">
        <v>0</v>
      </c>
      <c r="AM6106">
        <v>0</v>
      </c>
      <c r="AN6106">
        <v>0</v>
      </c>
      <c r="AO6106">
        <v>0</v>
      </c>
      <c r="AP6106">
        <v>0</v>
      </c>
      <c r="AQ6106">
        <v>0</v>
      </c>
      <c r="AS6106">
        <v>0</v>
      </c>
      <c r="AT6106">
        <v>0</v>
      </c>
      <c r="AV6106">
        <v>0</v>
      </c>
      <c r="AW6106">
        <v>0</v>
      </c>
      <c r="AY6106">
        <v>0</v>
      </c>
      <c r="AZ6106">
        <v>0</v>
      </c>
      <c r="BA6106">
        <v>0</v>
      </c>
      <c r="BE6106" t="str">
        <f>T("9791137019263")</f>
        <v>9791137019263</v>
      </c>
      <c r="BF6106" t="str">
        <f>T("k329777")</f>
        <v>k329777</v>
      </c>
      <c r="BG6106" t="str">
        <f>T("판타지 웹소설 &gt; 현대 판타지")</f>
        <v>판타지 웹소설 &gt; 현대 판타지</v>
      </c>
    </row>
    <row r="6107" spans="1:59">
      <c r="A6107" t="s">
        <v>60</v>
      </c>
      <c r="B6107" s="1">
        <v>46131</v>
      </c>
      <c r="C6107">
        <v>2378067672</v>
      </c>
      <c r="D6107">
        <v>2378067679</v>
      </c>
      <c r="E6107" t="str">
        <f>T("천재 엑스트라가 대사를 외우는 방법 8화")</f>
        <v>천재 엑스트라가 대사를 외우는 방법 8화</v>
      </c>
      <c r="F6107">
        <v>8</v>
      </c>
      <c r="G6107" t="str">
        <f>T("한해플")</f>
        <v>한해플</v>
      </c>
      <c r="J6107" t="str">
        <f>T("매드햇")</f>
        <v>매드햇</v>
      </c>
      <c r="K6107" t="str">
        <f>T("천재 엑스트라가 대사를 외우는 방법")</f>
        <v>천재 엑스트라가 대사를 외우는 방법</v>
      </c>
      <c r="L6107">
        <v>0</v>
      </c>
      <c r="M6107">
        <v>0</v>
      </c>
      <c r="N6107">
        <v>0</v>
      </c>
      <c r="O6107">
        <v>1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0</v>
      </c>
      <c r="AE6107">
        <v>0</v>
      </c>
      <c r="AF6107">
        <v>0</v>
      </c>
      <c r="AG6107">
        <v>0</v>
      </c>
      <c r="AH6107">
        <v>0</v>
      </c>
      <c r="AI6107">
        <v>0</v>
      </c>
      <c r="AJ6107">
        <v>1</v>
      </c>
      <c r="AK6107">
        <v>0</v>
      </c>
      <c r="AL6107">
        <v>0</v>
      </c>
      <c r="AM6107">
        <v>0</v>
      </c>
      <c r="AN6107">
        <v>0</v>
      </c>
      <c r="AO6107">
        <v>0</v>
      </c>
      <c r="AP6107">
        <v>0</v>
      </c>
      <c r="AQ6107">
        <v>0</v>
      </c>
      <c r="AS6107">
        <v>0</v>
      </c>
      <c r="AT6107">
        <v>0</v>
      </c>
      <c r="AV6107">
        <v>0</v>
      </c>
      <c r="AW6107">
        <v>0</v>
      </c>
      <c r="AY6107">
        <v>0</v>
      </c>
      <c r="AZ6107">
        <v>0</v>
      </c>
      <c r="BA6107">
        <v>0</v>
      </c>
      <c r="BE6107" t="str">
        <f>T("9791137019263")</f>
        <v>9791137019263</v>
      </c>
      <c r="BF6107" t="str">
        <f>T("k329778")</f>
        <v>k329778</v>
      </c>
      <c r="BG6107" t="str">
        <f>T("판타지 웹소설 &gt; 현대 판타지")</f>
        <v>판타지 웹소설 &gt; 현대 판타지</v>
      </c>
    </row>
    <row r="6108" spans="1:59">
      <c r="A6108" t="s">
        <v>60</v>
      </c>
      <c r="B6108" s="1">
        <v>46131</v>
      </c>
      <c r="C6108">
        <v>2378067672</v>
      </c>
      <c r="D6108">
        <v>2378067680</v>
      </c>
      <c r="E6108" t="str">
        <f>T("천재 엑스트라가 대사를 외우는 방법 9화")</f>
        <v>천재 엑스트라가 대사를 외우는 방법 9화</v>
      </c>
      <c r="F6108">
        <v>9</v>
      </c>
      <c r="G6108" t="str">
        <f>T("한해플")</f>
        <v>한해플</v>
      </c>
      <c r="J6108" t="str">
        <f>T("매드햇")</f>
        <v>매드햇</v>
      </c>
      <c r="K6108" t="str">
        <f>T("천재 엑스트라가 대사를 외우는 방법")</f>
        <v>천재 엑스트라가 대사를 외우는 방법</v>
      </c>
      <c r="L6108">
        <v>0</v>
      </c>
      <c r="M6108">
        <v>0</v>
      </c>
      <c r="N6108">
        <v>0</v>
      </c>
      <c r="O6108">
        <v>1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0</v>
      </c>
      <c r="AE6108">
        <v>0</v>
      </c>
      <c r="AF6108">
        <v>0</v>
      </c>
      <c r="AG6108">
        <v>0</v>
      </c>
      <c r="AH6108">
        <v>0</v>
      </c>
      <c r="AI6108">
        <v>0</v>
      </c>
      <c r="AJ6108">
        <v>1</v>
      </c>
      <c r="AK6108">
        <v>0</v>
      </c>
      <c r="AL6108">
        <v>0</v>
      </c>
      <c r="AM6108">
        <v>0</v>
      </c>
      <c r="AN6108">
        <v>0</v>
      </c>
      <c r="AO6108">
        <v>0</v>
      </c>
      <c r="AP6108">
        <v>0</v>
      </c>
      <c r="AQ6108">
        <v>0</v>
      </c>
      <c r="AS6108">
        <v>0</v>
      </c>
      <c r="AT6108">
        <v>0</v>
      </c>
      <c r="AV6108">
        <v>0</v>
      </c>
      <c r="AW6108">
        <v>0</v>
      </c>
      <c r="AY6108">
        <v>0</v>
      </c>
      <c r="AZ6108">
        <v>0</v>
      </c>
      <c r="BA6108">
        <v>0</v>
      </c>
      <c r="BE6108" t="str">
        <f>T("9791137019263")</f>
        <v>9791137019263</v>
      </c>
      <c r="BF6108" t="str">
        <f>T("k329779")</f>
        <v>k329779</v>
      </c>
      <c r="BG6108" t="str">
        <f>T("판타지 웹소설 &gt; 현대 판타지")</f>
        <v>판타지 웹소설 &gt; 현대 판타지</v>
      </c>
    </row>
    <row r="6109" spans="1:59">
      <c r="A6109" t="s">
        <v>60</v>
      </c>
      <c r="B6109" s="1">
        <v>46131</v>
      </c>
      <c r="C6109">
        <v>2378067672</v>
      </c>
      <c r="D6109">
        <v>2378067681</v>
      </c>
      <c r="E6109" t="str">
        <f>T("천재 엑스트라가 대사를 외우는 방법 10화")</f>
        <v>천재 엑스트라가 대사를 외우는 방법 10화</v>
      </c>
      <c r="F6109">
        <v>10</v>
      </c>
      <c r="G6109" t="str">
        <f>T("한해플")</f>
        <v>한해플</v>
      </c>
      <c r="J6109" t="str">
        <f>T("매드햇")</f>
        <v>매드햇</v>
      </c>
      <c r="K6109" t="str">
        <f>T("천재 엑스트라가 대사를 외우는 방법")</f>
        <v>천재 엑스트라가 대사를 외우는 방법</v>
      </c>
      <c r="L6109">
        <v>0</v>
      </c>
      <c r="M6109">
        <v>0</v>
      </c>
      <c r="N6109">
        <v>0</v>
      </c>
      <c r="O6109">
        <v>1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0</v>
      </c>
      <c r="AE6109">
        <v>0</v>
      </c>
      <c r="AF6109">
        <v>0</v>
      </c>
      <c r="AG6109">
        <v>0</v>
      </c>
      <c r="AH6109">
        <v>0</v>
      </c>
      <c r="AI6109">
        <v>0</v>
      </c>
      <c r="AJ6109">
        <v>1</v>
      </c>
      <c r="AK6109">
        <v>0</v>
      </c>
      <c r="AL6109">
        <v>0</v>
      </c>
      <c r="AM6109">
        <v>0</v>
      </c>
      <c r="AN6109">
        <v>0</v>
      </c>
      <c r="AO6109">
        <v>0</v>
      </c>
      <c r="AP6109">
        <v>0</v>
      </c>
      <c r="AQ6109">
        <v>0</v>
      </c>
      <c r="AS6109">
        <v>0</v>
      </c>
      <c r="AT6109">
        <v>0</v>
      </c>
      <c r="AV6109">
        <v>0</v>
      </c>
      <c r="AW6109">
        <v>0</v>
      </c>
      <c r="AY6109">
        <v>0</v>
      </c>
      <c r="AZ6109">
        <v>0</v>
      </c>
      <c r="BA6109">
        <v>0</v>
      </c>
      <c r="BE6109" t="str">
        <f>T("9791137019263")</f>
        <v>9791137019263</v>
      </c>
      <c r="BF6109" t="str">
        <f>T("k329780")</f>
        <v>k329780</v>
      </c>
      <c r="BG6109" t="str">
        <f>T("판타지 웹소설 &gt; 현대 판타지")</f>
        <v>판타지 웹소설 &gt; 현대 판타지</v>
      </c>
    </row>
    <row r="6110" spans="1:59">
      <c r="A6110" t="s">
        <v>60</v>
      </c>
      <c r="B6110" s="1">
        <v>46131</v>
      </c>
      <c r="C6110">
        <v>2378067672</v>
      </c>
      <c r="D6110">
        <v>2378067682</v>
      </c>
      <c r="E6110" t="str">
        <f>T("천재 엑스트라가 대사를 외우는 방법 11화")</f>
        <v>천재 엑스트라가 대사를 외우는 방법 11화</v>
      </c>
      <c r="F6110">
        <v>11</v>
      </c>
      <c r="G6110" t="str">
        <f>T("한해플")</f>
        <v>한해플</v>
      </c>
      <c r="J6110" t="str">
        <f>T("매드햇")</f>
        <v>매드햇</v>
      </c>
      <c r="K6110" t="str">
        <f>T("천재 엑스트라가 대사를 외우는 방법")</f>
        <v>천재 엑스트라가 대사를 외우는 방법</v>
      </c>
      <c r="L6110">
        <v>0</v>
      </c>
      <c r="M6110">
        <v>0</v>
      </c>
      <c r="N6110">
        <v>0</v>
      </c>
      <c r="O6110">
        <v>1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0</v>
      </c>
      <c r="AE6110">
        <v>0</v>
      </c>
      <c r="AF6110">
        <v>0</v>
      </c>
      <c r="AG6110">
        <v>0</v>
      </c>
      <c r="AH6110">
        <v>0</v>
      </c>
      <c r="AI6110">
        <v>0</v>
      </c>
      <c r="AJ6110">
        <v>1</v>
      </c>
      <c r="AK6110">
        <v>0</v>
      </c>
      <c r="AL6110">
        <v>0</v>
      </c>
      <c r="AM6110">
        <v>0</v>
      </c>
      <c r="AN6110">
        <v>0</v>
      </c>
      <c r="AO6110">
        <v>0</v>
      </c>
      <c r="AP6110">
        <v>0</v>
      </c>
      <c r="AQ6110">
        <v>0</v>
      </c>
      <c r="AS6110">
        <v>0</v>
      </c>
      <c r="AT6110">
        <v>0</v>
      </c>
      <c r="AV6110">
        <v>0</v>
      </c>
      <c r="AW6110">
        <v>0</v>
      </c>
      <c r="AY6110">
        <v>0</v>
      </c>
      <c r="AZ6110">
        <v>0</v>
      </c>
      <c r="BA6110">
        <v>0</v>
      </c>
      <c r="BE6110" t="str">
        <f>T("9791137019263")</f>
        <v>9791137019263</v>
      </c>
      <c r="BF6110" t="str">
        <f>T("k329781")</f>
        <v>k329781</v>
      </c>
      <c r="BG6110" t="str">
        <f>T("판타지 웹소설 &gt; 현대 판타지")</f>
        <v>판타지 웹소설 &gt; 현대 판타지</v>
      </c>
    </row>
    <row r="6111" spans="1:59">
      <c r="A6111" t="s">
        <v>60</v>
      </c>
      <c r="B6111" s="1">
        <v>46131</v>
      </c>
      <c r="C6111">
        <v>2378067672</v>
      </c>
      <c r="D6111">
        <v>2378067683</v>
      </c>
      <c r="E6111" t="str">
        <f>T("천재 엑스트라가 대사를 외우는 방법 12화")</f>
        <v>천재 엑스트라가 대사를 외우는 방법 12화</v>
      </c>
      <c r="F6111">
        <v>12</v>
      </c>
      <c r="G6111" t="str">
        <f>T("한해플")</f>
        <v>한해플</v>
      </c>
      <c r="J6111" t="str">
        <f>T("매드햇")</f>
        <v>매드햇</v>
      </c>
      <c r="K6111" t="str">
        <f>T("천재 엑스트라가 대사를 외우는 방법")</f>
        <v>천재 엑스트라가 대사를 외우는 방법</v>
      </c>
      <c r="L6111">
        <v>0</v>
      </c>
      <c r="M6111">
        <v>0</v>
      </c>
      <c r="N6111">
        <v>0</v>
      </c>
      <c r="O6111">
        <v>1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0</v>
      </c>
      <c r="AE6111">
        <v>0</v>
      </c>
      <c r="AF6111">
        <v>0</v>
      </c>
      <c r="AG6111">
        <v>0</v>
      </c>
      <c r="AH6111">
        <v>0</v>
      </c>
      <c r="AI6111">
        <v>0</v>
      </c>
      <c r="AJ6111">
        <v>1</v>
      </c>
      <c r="AK6111">
        <v>0</v>
      </c>
      <c r="AL6111">
        <v>0</v>
      </c>
      <c r="AM6111">
        <v>0</v>
      </c>
      <c r="AN6111">
        <v>0</v>
      </c>
      <c r="AO6111">
        <v>0</v>
      </c>
      <c r="AP6111">
        <v>0</v>
      </c>
      <c r="AQ6111">
        <v>0</v>
      </c>
      <c r="AS6111">
        <v>0</v>
      </c>
      <c r="AT6111">
        <v>0</v>
      </c>
      <c r="AV6111">
        <v>0</v>
      </c>
      <c r="AW6111">
        <v>0</v>
      </c>
      <c r="AY6111">
        <v>0</v>
      </c>
      <c r="AZ6111">
        <v>0</v>
      </c>
      <c r="BA6111">
        <v>0</v>
      </c>
      <c r="BE6111" t="str">
        <f>T("9791137019263")</f>
        <v>9791137019263</v>
      </c>
      <c r="BF6111" t="str">
        <f>T("k329782")</f>
        <v>k329782</v>
      </c>
      <c r="BG6111" t="str">
        <f>T("판타지 웹소설 &gt; 현대 판타지")</f>
        <v>판타지 웹소설 &gt; 현대 판타지</v>
      </c>
    </row>
    <row r="6112" spans="1:59">
      <c r="A6112" t="s">
        <v>60</v>
      </c>
      <c r="B6112" s="1">
        <v>46131</v>
      </c>
      <c r="C6112">
        <v>2378067672</v>
      </c>
      <c r="D6112">
        <v>2378067684</v>
      </c>
      <c r="E6112" t="str">
        <f>T("천재 엑스트라가 대사를 외우는 방법 13화")</f>
        <v>천재 엑스트라가 대사를 외우는 방법 13화</v>
      </c>
      <c r="F6112">
        <v>13</v>
      </c>
      <c r="G6112" t="str">
        <f>T("한해플")</f>
        <v>한해플</v>
      </c>
      <c r="J6112" t="str">
        <f>T("매드햇")</f>
        <v>매드햇</v>
      </c>
      <c r="K6112" t="str">
        <f>T("천재 엑스트라가 대사를 외우는 방법")</f>
        <v>천재 엑스트라가 대사를 외우는 방법</v>
      </c>
      <c r="L6112">
        <v>0</v>
      </c>
      <c r="M6112">
        <v>0</v>
      </c>
      <c r="N6112">
        <v>0</v>
      </c>
      <c r="O6112">
        <v>1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0</v>
      </c>
      <c r="AE6112">
        <v>0</v>
      </c>
      <c r="AF6112">
        <v>0</v>
      </c>
      <c r="AG6112">
        <v>0</v>
      </c>
      <c r="AH6112">
        <v>0</v>
      </c>
      <c r="AI6112">
        <v>0</v>
      </c>
      <c r="AJ6112">
        <v>1</v>
      </c>
      <c r="AK6112">
        <v>0</v>
      </c>
      <c r="AL6112">
        <v>0</v>
      </c>
      <c r="AM6112">
        <v>0</v>
      </c>
      <c r="AN6112">
        <v>0</v>
      </c>
      <c r="AO6112">
        <v>0</v>
      </c>
      <c r="AP6112">
        <v>0</v>
      </c>
      <c r="AQ6112">
        <v>0</v>
      </c>
      <c r="AS6112">
        <v>0</v>
      </c>
      <c r="AT6112">
        <v>0</v>
      </c>
      <c r="AV6112">
        <v>0</v>
      </c>
      <c r="AW6112">
        <v>0</v>
      </c>
      <c r="AY6112">
        <v>0</v>
      </c>
      <c r="AZ6112">
        <v>0</v>
      </c>
      <c r="BA6112">
        <v>0</v>
      </c>
      <c r="BE6112" t="str">
        <f>T("9791137019263")</f>
        <v>9791137019263</v>
      </c>
      <c r="BF6112" t="str">
        <f>T("k329783")</f>
        <v>k329783</v>
      </c>
      <c r="BG6112" t="str">
        <f>T("판타지 웹소설 &gt; 현대 판타지")</f>
        <v>판타지 웹소설 &gt; 현대 판타지</v>
      </c>
    </row>
    <row r="6113" spans="1:59">
      <c r="A6113" t="s">
        <v>60</v>
      </c>
      <c r="B6113" s="1">
        <v>46131</v>
      </c>
      <c r="C6113">
        <v>2378067672</v>
      </c>
      <c r="D6113">
        <v>2378067685</v>
      </c>
      <c r="E6113" t="str">
        <f>T("천재 엑스트라가 대사를 외우는 방법 14화")</f>
        <v>천재 엑스트라가 대사를 외우는 방법 14화</v>
      </c>
      <c r="F6113">
        <v>14</v>
      </c>
      <c r="G6113" t="str">
        <f>T("한해플")</f>
        <v>한해플</v>
      </c>
      <c r="J6113" t="str">
        <f>T("매드햇")</f>
        <v>매드햇</v>
      </c>
      <c r="K6113" t="str">
        <f>T("천재 엑스트라가 대사를 외우는 방법")</f>
        <v>천재 엑스트라가 대사를 외우는 방법</v>
      </c>
      <c r="L6113">
        <v>0</v>
      </c>
      <c r="M6113">
        <v>0</v>
      </c>
      <c r="N6113">
        <v>0</v>
      </c>
      <c r="O6113">
        <v>1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0</v>
      </c>
      <c r="AE6113">
        <v>0</v>
      </c>
      <c r="AF6113">
        <v>0</v>
      </c>
      <c r="AG6113">
        <v>0</v>
      </c>
      <c r="AH6113">
        <v>0</v>
      </c>
      <c r="AI6113">
        <v>0</v>
      </c>
      <c r="AJ6113">
        <v>1</v>
      </c>
      <c r="AK6113">
        <v>0</v>
      </c>
      <c r="AL6113">
        <v>0</v>
      </c>
      <c r="AM6113">
        <v>0</v>
      </c>
      <c r="AN6113">
        <v>0</v>
      </c>
      <c r="AO6113">
        <v>0</v>
      </c>
      <c r="AP6113">
        <v>0</v>
      </c>
      <c r="AQ6113">
        <v>0</v>
      </c>
      <c r="AS6113">
        <v>0</v>
      </c>
      <c r="AT6113">
        <v>0</v>
      </c>
      <c r="AV6113">
        <v>0</v>
      </c>
      <c r="AW6113">
        <v>0</v>
      </c>
      <c r="AY6113">
        <v>0</v>
      </c>
      <c r="AZ6113">
        <v>0</v>
      </c>
      <c r="BA6113">
        <v>0</v>
      </c>
      <c r="BE6113" t="str">
        <f>T("9791137019263")</f>
        <v>9791137019263</v>
      </c>
      <c r="BF6113" t="str">
        <f>T("k329784")</f>
        <v>k329784</v>
      </c>
      <c r="BG6113" t="str">
        <f>T("판타지 웹소설 &gt; 현대 판타지")</f>
        <v>판타지 웹소설 &gt; 현대 판타지</v>
      </c>
    </row>
    <row r="6114" spans="1:59">
      <c r="A6114" t="s">
        <v>60</v>
      </c>
      <c r="B6114" s="1">
        <v>46131</v>
      </c>
      <c r="C6114">
        <v>2378067672</v>
      </c>
      <c r="D6114">
        <v>2378067686</v>
      </c>
      <c r="E6114" t="str">
        <f>T("천재 엑스트라가 대사를 외우는 방법 15화")</f>
        <v>천재 엑스트라가 대사를 외우는 방법 15화</v>
      </c>
      <c r="F6114">
        <v>15</v>
      </c>
      <c r="G6114" t="str">
        <f>T("한해플")</f>
        <v>한해플</v>
      </c>
      <c r="J6114" t="str">
        <f>T("매드햇")</f>
        <v>매드햇</v>
      </c>
      <c r="K6114" t="str">
        <f>T("천재 엑스트라가 대사를 외우는 방법")</f>
        <v>천재 엑스트라가 대사를 외우는 방법</v>
      </c>
      <c r="L6114">
        <v>0</v>
      </c>
      <c r="M6114">
        <v>0</v>
      </c>
      <c r="N6114">
        <v>0</v>
      </c>
      <c r="O6114">
        <v>1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0</v>
      </c>
      <c r="AE6114">
        <v>0</v>
      </c>
      <c r="AF6114">
        <v>0</v>
      </c>
      <c r="AG6114">
        <v>0</v>
      </c>
      <c r="AH6114">
        <v>0</v>
      </c>
      <c r="AI6114">
        <v>0</v>
      </c>
      <c r="AJ6114">
        <v>1</v>
      </c>
      <c r="AK6114">
        <v>0</v>
      </c>
      <c r="AL6114">
        <v>0</v>
      </c>
      <c r="AM6114">
        <v>0</v>
      </c>
      <c r="AN6114">
        <v>0</v>
      </c>
      <c r="AO6114">
        <v>0</v>
      </c>
      <c r="AP6114">
        <v>0</v>
      </c>
      <c r="AQ6114">
        <v>0</v>
      </c>
      <c r="AS6114">
        <v>0</v>
      </c>
      <c r="AT6114">
        <v>0</v>
      </c>
      <c r="AV6114">
        <v>0</v>
      </c>
      <c r="AW6114">
        <v>0</v>
      </c>
      <c r="AY6114">
        <v>0</v>
      </c>
      <c r="AZ6114">
        <v>0</v>
      </c>
      <c r="BA6114">
        <v>0</v>
      </c>
      <c r="BE6114" t="str">
        <f>T("9791137019263")</f>
        <v>9791137019263</v>
      </c>
      <c r="BF6114" t="str">
        <f>T("k329785")</f>
        <v>k329785</v>
      </c>
      <c r="BG6114" t="str">
        <f>T("판타지 웹소설 &gt; 현대 판타지")</f>
        <v>판타지 웹소설 &gt; 현대 판타지</v>
      </c>
    </row>
    <row r="6115" spans="1:59">
      <c r="A6115" t="s">
        <v>60</v>
      </c>
      <c r="B6115" s="1">
        <v>46131</v>
      </c>
      <c r="C6115">
        <v>2378067672</v>
      </c>
      <c r="D6115">
        <v>2378067687</v>
      </c>
      <c r="E6115" t="str">
        <f>T("천재 엑스트라가 대사를 외우는 방법 16화")</f>
        <v>천재 엑스트라가 대사를 외우는 방법 16화</v>
      </c>
      <c r="F6115">
        <v>16</v>
      </c>
      <c r="G6115" t="str">
        <f>T("한해플")</f>
        <v>한해플</v>
      </c>
      <c r="J6115" t="str">
        <f>T("매드햇")</f>
        <v>매드햇</v>
      </c>
      <c r="K6115" t="str">
        <f>T("천재 엑스트라가 대사를 외우는 방법")</f>
        <v>천재 엑스트라가 대사를 외우는 방법</v>
      </c>
      <c r="L6115">
        <v>0</v>
      </c>
      <c r="M6115">
        <v>0</v>
      </c>
      <c r="N6115">
        <v>0</v>
      </c>
      <c r="O6115">
        <v>1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0</v>
      </c>
      <c r="AE6115">
        <v>0</v>
      </c>
      <c r="AF6115">
        <v>0</v>
      </c>
      <c r="AG6115">
        <v>0</v>
      </c>
      <c r="AH6115">
        <v>0</v>
      </c>
      <c r="AI6115">
        <v>0</v>
      </c>
      <c r="AJ6115">
        <v>1</v>
      </c>
      <c r="AK6115">
        <v>0</v>
      </c>
      <c r="AL6115">
        <v>0</v>
      </c>
      <c r="AM6115">
        <v>0</v>
      </c>
      <c r="AN6115">
        <v>0</v>
      </c>
      <c r="AO6115">
        <v>0</v>
      </c>
      <c r="AP6115">
        <v>0</v>
      </c>
      <c r="AQ6115">
        <v>0</v>
      </c>
      <c r="AS6115">
        <v>0</v>
      </c>
      <c r="AT6115">
        <v>0</v>
      </c>
      <c r="AV6115">
        <v>0</v>
      </c>
      <c r="AW6115">
        <v>0</v>
      </c>
      <c r="AY6115">
        <v>0</v>
      </c>
      <c r="AZ6115">
        <v>0</v>
      </c>
      <c r="BA6115">
        <v>0</v>
      </c>
      <c r="BE6115" t="str">
        <f>T("9791137019263")</f>
        <v>9791137019263</v>
      </c>
      <c r="BF6115" t="str">
        <f>T("k329786")</f>
        <v>k329786</v>
      </c>
      <c r="BG6115" t="str">
        <f>T("판타지 웹소설 &gt; 현대 판타지")</f>
        <v>판타지 웹소설 &gt; 현대 판타지</v>
      </c>
    </row>
    <row r="6116" spans="1:59">
      <c r="A6116" t="s">
        <v>60</v>
      </c>
      <c r="B6116" s="1">
        <v>46131</v>
      </c>
      <c r="C6116">
        <v>2378067672</v>
      </c>
      <c r="D6116">
        <v>2378067688</v>
      </c>
      <c r="E6116" t="str">
        <f>T("천재 엑스트라가 대사를 외우는 방법 17화")</f>
        <v>천재 엑스트라가 대사를 외우는 방법 17화</v>
      </c>
      <c r="F6116">
        <v>17</v>
      </c>
      <c r="G6116" t="str">
        <f>T("한해플")</f>
        <v>한해플</v>
      </c>
      <c r="J6116" t="str">
        <f>T("매드햇")</f>
        <v>매드햇</v>
      </c>
      <c r="K6116" t="str">
        <f>T("천재 엑스트라가 대사를 외우는 방법")</f>
        <v>천재 엑스트라가 대사를 외우는 방법</v>
      </c>
      <c r="L6116">
        <v>0</v>
      </c>
      <c r="M6116">
        <v>0</v>
      </c>
      <c r="N6116">
        <v>0</v>
      </c>
      <c r="O6116">
        <v>1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0</v>
      </c>
      <c r="AE6116">
        <v>0</v>
      </c>
      <c r="AF6116">
        <v>0</v>
      </c>
      <c r="AG6116">
        <v>0</v>
      </c>
      <c r="AH6116">
        <v>0</v>
      </c>
      <c r="AI6116">
        <v>0</v>
      </c>
      <c r="AJ6116">
        <v>1</v>
      </c>
      <c r="AK6116">
        <v>0</v>
      </c>
      <c r="AL6116">
        <v>0</v>
      </c>
      <c r="AM6116">
        <v>0</v>
      </c>
      <c r="AN6116">
        <v>0</v>
      </c>
      <c r="AO6116">
        <v>0</v>
      </c>
      <c r="AP6116">
        <v>0</v>
      </c>
      <c r="AQ6116">
        <v>0</v>
      </c>
      <c r="AS6116">
        <v>0</v>
      </c>
      <c r="AT6116">
        <v>0</v>
      </c>
      <c r="AV6116">
        <v>0</v>
      </c>
      <c r="AW6116">
        <v>0</v>
      </c>
      <c r="AY6116">
        <v>0</v>
      </c>
      <c r="AZ6116">
        <v>0</v>
      </c>
      <c r="BA6116">
        <v>0</v>
      </c>
      <c r="BE6116" t="str">
        <f>T("9791137019263")</f>
        <v>9791137019263</v>
      </c>
      <c r="BF6116" t="str">
        <f>T("k329787")</f>
        <v>k329787</v>
      </c>
      <c r="BG6116" t="str">
        <f>T("판타지 웹소설 &gt; 현대 판타지")</f>
        <v>판타지 웹소설 &gt; 현대 판타지</v>
      </c>
    </row>
    <row r="6117" spans="1:59">
      <c r="A6117" t="s">
        <v>60</v>
      </c>
      <c r="B6117" s="1">
        <v>46131</v>
      </c>
      <c r="C6117">
        <v>2378067672</v>
      </c>
      <c r="D6117">
        <v>2378067689</v>
      </c>
      <c r="E6117" t="str">
        <f>T("천재 엑스트라가 대사를 외우는 방법 18화")</f>
        <v>천재 엑스트라가 대사를 외우는 방법 18화</v>
      </c>
      <c r="F6117">
        <v>18</v>
      </c>
      <c r="G6117" t="str">
        <f>T("한해플")</f>
        <v>한해플</v>
      </c>
      <c r="J6117" t="str">
        <f>T("매드햇")</f>
        <v>매드햇</v>
      </c>
      <c r="K6117" t="str">
        <f>T("천재 엑스트라가 대사를 외우는 방법")</f>
        <v>천재 엑스트라가 대사를 외우는 방법</v>
      </c>
      <c r="L6117">
        <v>0</v>
      </c>
      <c r="M6117">
        <v>0</v>
      </c>
      <c r="N6117">
        <v>0</v>
      </c>
      <c r="O6117">
        <v>1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0</v>
      </c>
      <c r="AE6117">
        <v>0</v>
      </c>
      <c r="AF6117">
        <v>0</v>
      </c>
      <c r="AG6117">
        <v>0</v>
      </c>
      <c r="AH6117">
        <v>0</v>
      </c>
      <c r="AI6117">
        <v>0</v>
      </c>
      <c r="AJ6117">
        <v>1</v>
      </c>
      <c r="AK6117">
        <v>0</v>
      </c>
      <c r="AL6117">
        <v>0</v>
      </c>
      <c r="AM6117">
        <v>0</v>
      </c>
      <c r="AN6117">
        <v>0</v>
      </c>
      <c r="AO6117">
        <v>0</v>
      </c>
      <c r="AP6117">
        <v>0</v>
      </c>
      <c r="AQ6117">
        <v>0</v>
      </c>
      <c r="AS6117">
        <v>0</v>
      </c>
      <c r="AT6117">
        <v>0</v>
      </c>
      <c r="AV6117">
        <v>0</v>
      </c>
      <c r="AW6117">
        <v>0</v>
      </c>
      <c r="AY6117">
        <v>0</v>
      </c>
      <c r="AZ6117">
        <v>0</v>
      </c>
      <c r="BA6117">
        <v>0</v>
      </c>
      <c r="BE6117" t="str">
        <f>T("9791137019263")</f>
        <v>9791137019263</v>
      </c>
      <c r="BF6117" t="str">
        <f>T("k329788")</f>
        <v>k329788</v>
      </c>
      <c r="BG6117" t="str">
        <f>T("판타지 웹소설 &gt; 현대 판타지")</f>
        <v>판타지 웹소설 &gt; 현대 판타지</v>
      </c>
    </row>
    <row r="6118" spans="1:59">
      <c r="A6118" t="s">
        <v>60</v>
      </c>
      <c r="B6118" s="1">
        <v>46131</v>
      </c>
      <c r="C6118">
        <v>2378067672</v>
      </c>
      <c r="D6118">
        <v>2378067690</v>
      </c>
      <c r="E6118" t="str">
        <f>T("천재 엑스트라가 대사를 외우는 방법 19화")</f>
        <v>천재 엑스트라가 대사를 외우는 방법 19화</v>
      </c>
      <c r="F6118">
        <v>19</v>
      </c>
      <c r="G6118" t="str">
        <f>T("한해플")</f>
        <v>한해플</v>
      </c>
      <c r="J6118" t="str">
        <f>T("매드햇")</f>
        <v>매드햇</v>
      </c>
      <c r="K6118" t="str">
        <f>T("천재 엑스트라가 대사를 외우는 방법")</f>
        <v>천재 엑스트라가 대사를 외우는 방법</v>
      </c>
      <c r="L6118">
        <v>0</v>
      </c>
      <c r="M6118">
        <v>0</v>
      </c>
      <c r="N6118">
        <v>0</v>
      </c>
      <c r="O6118">
        <v>1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0</v>
      </c>
      <c r="AE6118">
        <v>0</v>
      </c>
      <c r="AF6118">
        <v>0</v>
      </c>
      <c r="AG6118">
        <v>0</v>
      </c>
      <c r="AH6118">
        <v>0</v>
      </c>
      <c r="AI6118">
        <v>0</v>
      </c>
      <c r="AJ6118">
        <v>1</v>
      </c>
      <c r="AK6118">
        <v>0</v>
      </c>
      <c r="AL6118">
        <v>0</v>
      </c>
      <c r="AM6118">
        <v>0</v>
      </c>
      <c r="AN6118">
        <v>0</v>
      </c>
      <c r="AO6118">
        <v>0</v>
      </c>
      <c r="AP6118">
        <v>0</v>
      </c>
      <c r="AQ6118">
        <v>0</v>
      </c>
      <c r="AS6118">
        <v>0</v>
      </c>
      <c r="AT6118">
        <v>0</v>
      </c>
      <c r="AV6118">
        <v>0</v>
      </c>
      <c r="AW6118">
        <v>0</v>
      </c>
      <c r="AY6118">
        <v>0</v>
      </c>
      <c r="AZ6118">
        <v>0</v>
      </c>
      <c r="BA6118">
        <v>0</v>
      </c>
      <c r="BE6118" t="str">
        <f>T("9791137019263")</f>
        <v>9791137019263</v>
      </c>
      <c r="BF6118" t="str">
        <f>T("k329789")</f>
        <v>k329789</v>
      </c>
      <c r="BG6118" t="str">
        <f>T("판타지 웹소설 &gt; 현대 판타지")</f>
        <v>판타지 웹소설 &gt; 현대 판타지</v>
      </c>
    </row>
    <row r="6119" spans="1:59">
      <c r="A6119" t="s">
        <v>60</v>
      </c>
      <c r="B6119" s="1">
        <v>46131</v>
      </c>
      <c r="C6119">
        <v>2378067672</v>
      </c>
      <c r="D6119">
        <v>2378067691</v>
      </c>
      <c r="E6119" t="str">
        <f>T("천재 엑스트라가 대사를 외우는 방법 20화")</f>
        <v>천재 엑스트라가 대사를 외우는 방법 20화</v>
      </c>
      <c r="F6119">
        <v>20</v>
      </c>
      <c r="G6119" t="str">
        <f>T("한해플")</f>
        <v>한해플</v>
      </c>
      <c r="J6119" t="str">
        <f>T("매드햇")</f>
        <v>매드햇</v>
      </c>
      <c r="K6119" t="str">
        <f>T("천재 엑스트라가 대사를 외우는 방법")</f>
        <v>천재 엑스트라가 대사를 외우는 방법</v>
      </c>
      <c r="L6119">
        <v>0</v>
      </c>
      <c r="M6119">
        <v>0</v>
      </c>
      <c r="N6119">
        <v>0</v>
      </c>
      <c r="O6119">
        <v>1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0</v>
      </c>
      <c r="AE6119">
        <v>0</v>
      </c>
      <c r="AF6119">
        <v>0</v>
      </c>
      <c r="AG6119">
        <v>0</v>
      </c>
      <c r="AH6119">
        <v>0</v>
      </c>
      <c r="AI6119">
        <v>0</v>
      </c>
      <c r="AJ6119">
        <v>1</v>
      </c>
      <c r="AK6119">
        <v>0</v>
      </c>
      <c r="AL6119">
        <v>0</v>
      </c>
      <c r="AM6119">
        <v>0</v>
      </c>
      <c r="AN6119">
        <v>0</v>
      </c>
      <c r="AO6119">
        <v>0</v>
      </c>
      <c r="AP6119">
        <v>0</v>
      </c>
      <c r="AQ6119">
        <v>0</v>
      </c>
      <c r="AS6119">
        <v>0</v>
      </c>
      <c r="AT6119">
        <v>0</v>
      </c>
      <c r="AV6119">
        <v>0</v>
      </c>
      <c r="AW6119">
        <v>0</v>
      </c>
      <c r="AY6119">
        <v>0</v>
      </c>
      <c r="AZ6119">
        <v>0</v>
      </c>
      <c r="BA6119">
        <v>0</v>
      </c>
      <c r="BE6119" t="str">
        <f>T("9791137019263")</f>
        <v>9791137019263</v>
      </c>
      <c r="BF6119" t="str">
        <f>T("k329790")</f>
        <v>k329790</v>
      </c>
      <c r="BG6119" t="str">
        <f>T("판타지 웹소설 &gt; 현대 판타지")</f>
        <v>판타지 웹소설 &gt; 현대 판타지</v>
      </c>
    </row>
    <row r="6120" spans="1:59">
      <c r="A6120" t="s">
        <v>60</v>
      </c>
      <c r="B6120" s="1">
        <v>46131</v>
      </c>
      <c r="C6120">
        <v>2378067672</v>
      </c>
      <c r="D6120">
        <v>2378067692</v>
      </c>
      <c r="E6120" t="str">
        <f>T("천재 엑스트라가 대사를 외우는 방법 21화")</f>
        <v>천재 엑스트라가 대사를 외우는 방법 21화</v>
      </c>
      <c r="F6120">
        <v>21</v>
      </c>
      <c r="G6120" t="str">
        <f>T("한해플")</f>
        <v>한해플</v>
      </c>
      <c r="J6120" t="str">
        <f>T("매드햇")</f>
        <v>매드햇</v>
      </c>
      <c r="K6120" t="str">
        <f>T("천재 엑스트라가 대사를 외우는 방법")</f>
        <v>천재 엑스트라가 대사를 외우는 방법</v>
      </c>
      <c r="L6120">
        <v>0</v>
      </c>
      <c r="M6120">
        <v>0</v>
      </c>
      <c r="N6120">
        <v>0</v>
      </c>
      <c r="O6120">
        <v>1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0</v>
      </c>
      <c r="AE6120">
        <v>0</v>
      </c>
      <c r="AF6120">
        <v>0</v>
      </c>
      <c r="AG6120">
        <v>0</v>
      </c>
      <c r="AH6120">
        <v>0</v>
      </c>
      <c r="AI6120">
        <v>0</v>
      </c>
      <c r="AJ6120">
        <v>1</v>
      </c>
      <c r="AK6120">
        <v>0</v>
      </c>
      <c r="AL6120">
        <v>0</v>
      </c>
      <c r="AM6120">
        <v>0</v>
      </c>
      <c r="AN6120">
        <v>0</v>
      </c>
      <c r="AO6120">
        <v>0</v>
      </c>
      <c r="AP6120">
        <v>0</v>
      </c>
      <c r="AQ6120">
        <v>0</v>
      </c>
      <c r="AS6120">
        <v>0</v>
      </c>
      <c r="AT6120">
        <v>0</v>
      </c>
      <c r="AV6120">
        <v>0</v>
      </c>
      <c r="AW6120">
        <v>0</v>
      </c>
      <c r="AY6120">
        <v>0</v>
      </c>
      <c r="AZ6120">
        <v>0</v>
      </c>
      <c r="BA6120">
        <v>0</v>
      </c>
      <c r="BE6120" t="str">
        <f>T("9791137019263")</f>
        <v>9791137019263</v>
      </c>
      <c r="BF6120" t="str">
        <f>T("k329791")</f>
        <v>k329791</v>
      </c>
      <c r="BG6120" t="str">
        <f>T("판타지 웹소설 &gt; 현대 판타지")</f>
        <v>판타지 웹소설 &gt; 현대 판타지</v>
      </c>
    </row>
    <row r="6121" spans="1:59">
      <c r="A6121" t="s">
        <v>60</v>
      </c>
      <c r="B6121" s="1">
        <v>46131</v>
      </c>
      <c r="C6121">
        <v>2378067672</v>
      </c>
      <c r="D6121">
        <v>2378067693</v>
      </c>
      <c r="E6121" t="str">
        <f>T("천재 엑스트라가 대사를 외우는 방법 22화")</f>
        <v>천재 엑스트라가 대사를 외우는 방법 22화</v>
      </c>
      <c r="F6121">
        <v>22</v>
      </c>
      <c r="G6121" t="str">
        <f>T("한해플")</f>
        <v>한해플</v>
      </c>
      <c r="J6121" t="str">
        <f>T("매드햇")</f>
        <v>매드햇</v>
      </c>
      <c r="K6121" t="str">
        <f>T("천재 엑스트라가 대사를 외우는 방법")</f>
        <v>천재 엑스트라가 대사를 외우는 방법</v>
      </c>
      <c r="L6121">
        <v>0</v>
      </c>
      <c r="M6121">
        <v>0</v>
      </c>
      <c r="N6121">
        <v>0</v>
      </c>
      <c r="O6121">
        <v>1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0</v>
      </c>
      <c r="AE6121">
        <v>0</v>
      </c>
      <c r="AF6121">
        <v>0</v>
      </c>
      <c r="AG6121">
        <v>0</v>
      </c>
      <c r="AH6121">
        <v>0</v>
      </c>
      <c r="AI6121">
        <v>0</v>
      </c>
      <c r="AJ6121">
        <v>1</v>
      </c>
      <c r="AK6121">
        <v>0</v>
      </c>
      <c r="AL6121">
        <v>0</v>
      </c>
      <c r="AM6121">
        <v>0</v>
      </c>
      <c r="AN6121">
        <v>0</v>
      </c>
      <c r="AO6121">
        <v>0</v>
      </c>
      <c r="AP6121">
        <v>0</v>
      </c>
      <c r="AQ6121">
        <v>0</v>
      </c>
      <c r="AS6121">
        <v>0</v>
      </c>
      <c r="AT6121">
        <v>0</v>
      </c>
      <c r="AV6121">
        <v>0</v>
      </c>
      <c r="AW6121">
        <v>0</v>
      </c>
      <c r="AY6121">
        <v>0</v>
      </c>
      <c r="AZ6121">
        <v>0</v>
      </c>
      <c r="BA6121">
        <v>0</v>
      </c>
      <c r="BE6121" t="str">
        <f>T("9791137019263")</f>
        <v>9791137019263</v>
      </c>
      <c r="BF6121" t="str">
        <f>T("k329792")</f>
        <v>k329792</v>
      </c>
      <c r="BG6121" t="str">
        <f>T("판타지 웹소설 &gt; 현대 판타지")</f>
        <v>판타지 웹소설 &gt; 현대 판타지</v>
      </c>
    </row>
    <row r="6122" spans="1:59">
      <c r="A6122" t="s">
        <v>60</v>
      </c>
      <c r="B6122" s="1">
        <v>46131</v>
      </c>
      <c r="C6122">
        <v>2378067672</v>
      </c>
      <c r="D6122">
        <v>2378067694</v>
      </c>
      <c r="E6122" t="str">
        <f>T("천재 엑스트라가 대사를 외우는 방법 23화")</f>
        <v>천재 엑스트라가 대사를 외우는 방법 23화</v>
      </c>
      <c r="F6122">
        <v>23</v>
      </c>
      <c r="G6122" t="str">
        <f>T("한해플")</f>
        <v>한해플</v>
      </c>
      <c r="J6122" t="str">
        <f>T("매드햇")</f>
        <v>매드햇</v>
      </c>
      <c r="K6122" t="str">
        <f>T("천재 엑스트라가 대사를 외우는 방법")</f>
        <v>천재 엑스트라가 대사를 외우는 방법</v>
      </c>
      <c r="L6122">
        <v>0</v>
      </c>
      <c r="M6122">
        <v>0</v>
      </c>
      <c r="N6122">
        <v>0</v>
      </c>
      <c r="O6122">
        <v>1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0</v>
      </c>
      <c r="AE6122">
        <v>0</v>
      </c>
      <c r="AF6122">
        <v>0</v>
      </c>
      <c r="AG6122">
        <v>0</v>
      </c>
      <c r="AH6122">
        <v>0</v>
      </c>
      <c r="AI6122">
        <v>0</v>
      </c>
      <c r="AJ6122">
        <v>1</v>
      </c>
      <c r="AK6122">
        <v>0</v>
      </c>
      <c r="AL6122">
        <v>0</v>
      </c>
      <c r="AM6122">
        <v>0</v>
      </c>
      <c r="AN6122">
        <v>0</v>
      </c>
      <c r="AO6122">
        <v>0</v>
      </c>
      <c r="AP6122">
        <v>0</v>
      </c>
      <c r="AQ6122">
        <v>0</v>
      </c>
      <c r="AS6122">
        <v>0</v>
      </c>
      <c r="AT6122">
        <v>0</v>
      </c>
      <c r="AV6122">
        <v>0</v>
      </c>
      <c r="AW6122">
        <v>0</v>
      </c>
      <c r="AY6122">
        <v>0</v>
      </c>
      <c r="AZ6122">
        <v>0</v>
      </c>
      <c r="BA6122">
        <v>0</v>
      </c>
      <c r="BE6122" t="str">
        <f>T("9791137019263")</f>
        <v>9791137019263</v>
      </c>
      <c r="BF6122" t="str">
        <f>T("k329793")</f>
        <v>k329793</v>
      </c>
      <c r="BG6122" t="str">
        <f>T("판타지 웹소설 &gt; 현대 판타지")</f>
        <v>판타지 웹소설 &gt; 현대 판타지</v>
      </c>
    </row>
    <row r="6123" spans="1:59">
      <c r="A6123" t="s">
        <v>60</v>
      </c>
      <c r="B6123" s="1">
        <v>46131</v>
      </c>
      <c r="C6123">
        <v>2378067672</v>
      </c>
      <c r="D6123">
        <v>2378067695</v>
      </c>
      <c r="E6123" t="str">
        <f>T("천재 엑스트라가 대사를 외우는 방법 24화")</f>
        <v>천재 엑스트라가 대사를 외우는 방법 24화</v>
      </c>
      <c r="F6123">
        <v>24</v>
      </c>
      <c r="G6123" t="str">
        <f>T("한해플")</f>
        <v>한해플</v>
      </c>
      <c r="J6123" t="str">
        <f>T("매드햇")</f>
        <v>매드햇</v>
      </c>
      <c r="K6123" t="str">
        <f>T("천재 엑스트라가 대사를 외우는 방법")</f>
        <v>천재 엑스트라가 대사를 외우는 방법</v>
      </c>
      <c r="L6123">
        <v>0</v>
      </c>
      <c r="M6123">
        <v>0</v>
      </c>
      <c r="N6123">
        <v>0</v>
      </c>
      <c r="O6123">
        <v>1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0</v>
      </c>
      <c r="AE6123">
        <v>0</v>
      </c>
      <c r="AF6123">
        <v>0</v>
      </c>
      <c r="AG6123">
        <v>0</v>
      </c>
      <c r="AH6123">
        <v>0</v>
      </c>
      <c r="AI6123">
        <v>0</v>
      </c>
      <c r="AJ6123">
        <v>1</v>
      </c>
      <c r="AK6123">
        <v>0</v>
      </c>
      <c r="AL6123">
        <v>0</v>
      </c>
      <c r="AM6123">
        <v>0</v>
      </c>
      <c r="AN6123">
        <v>0</v>
      </c>
      <c r="AO6123">
        <v>0</v>
      </c>
      <c r="AP6123">
        <v>0</v>
      </c>
      <c r="AQ6123">
        <v>0</v>
      </c>
      <c r="AS6123">
        <v>0</v>
      </c>
      <c r="AT6123">
        <v>0</v>
      </c>
      <c r="AV6123">
        <v>0</v>
      </c>
      <c r="AW6123">
        <v>0</v>
      </c>
      <c r="AY6123">
        <v>0</v>
      </c>
      <c r="AZ6123">
        <v>0</v>
      </c>
      <c r="BA6123">
        <v>0</v>
      </c>
      <c r="BE6123" t="str">
        <f>T("9791137019263")</f>
        <v>9791137019263</v>
      </c>
      <c r="BF6123" t="str">
        <f>T("k329794")</f>
        <v>k329794</v>
      </c>
      <c r="BG6123" t="str">
        <f>T("판타지 웹소설 &gt; 현대 판타지")</f>
        <v>판타지 웹소설 &gt; 현대 판타지</v>
      </c>
    </row>
    <row r="6124" spans="1:59">
      <c r="A6124" t="s">
        <v>60</v>
      </c>
      <c r="B6124" s="1">
        <v>46131</v>
      </c>
      <c r="C6124">
        <v>2378067672</v>
      </c>
      <c r="D6124">
        <v>2378067696</v>
      </c>
      <c r="E6124" t="str">
        <f>T("천재 엑스트라가 대사를 외우는 방법 25화")</f>
        <v>천재 엑스트라가 대사를 외우는 방법 25화</v>
      </c>
      <c r="F6124">
        <v>25</v>
      </c>
      <c r="G6124" t="str">
        <f>T("한해플")</f>
        <v>한해플</v>
      </c>
      <c r="J6124" t="str">
        <f>T("매드햇")</f>
        <v>매드햇</v>
      </c>
      <c r="K6124" t="str">
        <f>T("천재 엑스트라가 대사를 외우는 방법")</f>
        <v>천재 엑스트라가 대사를 외우는 방법</v>
      </c>
      <c r="L6124">
        <v>0</v>
      </c>
      <c r="M6124">
        <v>0</v>
      </c>
      <c r="N6124">
        <v>0</v>
      </c>
      <c r="O6124">
        <v>1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0</v>
      </c>
      <c r="AE6124">
        <v>0</v>
      </c>
      <c r="AF6124">
        <v>0</v>
      </c>
      <c r="AG6124">
        <v>0</v>
      </c>
      <c r="AH6124">
        <v>0</v>
      </c>
      <c r="AI6124">
        <v>0</v>
      </c>
      <c r="AJ6124">
        <v>1</v>
      </c>
      <c r="AK6124">
        <v>0</v>
      </c>
      <c r="AL6124">
        <v>0</v>
      </c>
      <c r="AM6124">
        <v>0</v>
      </c>
      <c r="AN6124">
        <v>0</v>
      </c>
      <c r="AO6124">
        <v>0</v>
      </c>
      <c r="AP6124">
        <v>0</v>
      </c>
      <c r="AQ6124">
        <v>0</v>
      </c>
      <c r="AS6124">
        <v>0</v>
      </c>
      <c r="AT6124">
        <v>0</v>
      </c>
      <c r="AV6124">
        <v>0</v>
      </c>
      <c r="AW6124">
        <v>0</v>
      </c>
      <c r="AY6124">
        <v>0</v>
      </c>
      <c r="AZ6124">
        <v>0</v>
      </c>
      <c r="BA6124">
        <v>0</v>
      </c>
      <c r="BE6124" t="str">
        <f>T("9791137019263")</f>
        <v>9791137019263</v>
      </c>
      <c r="BF6124" t="str">
        <f>T("k329795")</f>
        <v>k329795</v>
      </c>
      <c r="BG6124" t="str">
        <f>T("판타지 웹소설 &gt; 현대 판타지")</f>
        <v>판타지 웹소설 &gt; 현대 판타지</v>
      </c>
    </row>
    <row r="6125" spans="1:59">
      <c r="A6125" t="s">
        <v>60</v>
      </c>
      <c r="B6125" s="1">
        <v>46129</v>
      </c>
      <c r="C6125">
        <v>2378059762</v>
      </c>
      <c r="D6125">
        <v>2378068923</v>
      </c>
      <c r="E6125" t="str">
        <f>T("칼레이 백작가의 매맞이 하녀 외전 1화")</f>
        <v>칼레이 백작가의 매맞이 하녀 외전 1화</v>
      </c>
      <c r="F6125">
        <v>154</v>
      </c>
      <c r="G6125" t="str">
        <f>T("뮤사203")</f>
        <v>뮤사203</v>
      </c>
      <c r="J6125" t="str">
        <f>T("시계토끼")</f>
        <v>시계토끼</v>
      </c>
      <c r="K6125" t="str">
        <f>T("칼레이 백작가의 매맞이 하녀")</f>
        <v>칼레이 백작가의 매맞이 하녀</v>
      </c>
      <c r="L6125">
        <v>100</v>
      </c>
      <c r="M6125">
        <v>200</v>
      </c>
      <c r="N6125">
        <v>2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0</v>
      </c>
      <c r="AE6125">
        <v>0</v>
      </c>
      <c r="AF6125">
        <v>0</v>
      </c>
      <c r="AG6125">
        <v>0</v>
      </c>
      <c r="AH6125">
        <v>0</v>
      </c>
      <c r="AI6125">
        <v>200</v>
      </c>
      <c r="AJ6125">
        <v>2</v>
      </c>
      <c r="AK6125">
        <v>0</v>
      </c>
      <c r="AL6125">
        <v>0</v>
      </c>
      <c r="AM6125">
        <v>100</v>
      </c>
      <c r="AN6125">
        <v>0</v>
      </c>
      <c r="AO6125">
        <v>120</v>
      </c>
      <c r="AP6125">
        <v>-12</v>
      </c>
      <c r="AQ6125">
        <v>0</v>
      </c>
      <c r="AS6125">
        <v>0</v>
      </c>
      <c r="AT6125">
        <v>0</v>
      </c>
      <c r="AU6125">
        <v>120</v>
      </c>
      <c r="AV6125">
        <v>-12</v>
      </c>
      <c r="AW6125">
        <v>0</v>
      </c>
      <c r="AY6125">
        <v>0</v>
      </c>
      <c r="AZ6125">
        <v>0</v>
      </c>
      <c r="BA6125">
        <v>145.6</v>
      </c>
      <c r="BE6125" t="str">
        <f>T("9791164099764")</f>
        <v>9791164099764</v>
      </c>
      <c r="BF6125" t="str">
        <f>T("k300782")</f>
        <v>k300782</v>
      </c>
      <c r="BG6125" t="str">
        <f>T("로판 웹소설 &gt; 서양풍 로판")</f>
        <v>로판 웹소설 &gt; 서양풍 로판</v>
      </c>
    </row>
    <row r="6126" spans="1:59">
      <c r="A6126" t="s">
        <v>60</v>
      </c>
      <c r="B6126" s="1">
        <v>46129</v>
      </c>
      <c r="C6126">
        <v>2378059762</v>
      </c>
      <c r="D6126">
        <v>2378068924</v>
      </c>
      <c r="E6126" t="str">
        <f>T("칼레이 백작가의 매맞이 하녀 외전 2화")</f>
        <v>칼레이 백작가의 매맞이 하녀 외전 2화</v>
      </c>
      <c r="F6126">
        <v>155</v>
      </c>
      <c r="G6126" t="str">
        <f>T("뮤사203")</f>
        <v>뮤사203</v>
      </c>
      <c r="J6126" t="str">
        <f>T("시계토끼")</f>
        <v>시계토끼</v>
      </c>
      <c r="K6126" t="str">
        <f>T("칼레이 백작가의 매맞이 하녀")</f>
        <v>칼레이 백작가의 매맞이 하녀</v>
      </c>
      <c r="L6126">
        <v>100</v>
      </c>
      <c r="M6126">
        <v>100</v>
      </c>
      <c r="N6126">
        <v>1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0</v>
      </c>
      <c r="AE6126">
        <v>0</v>
      </c>
      <c r="AF6126">
        <v>0</v>
      </c>
      <c r="AG6126">
        <v>0</v>
      </c>
      <c r="AH6126">
        <v>0</v>
      </c>
      <c r="AI6126">
        <v>100</v>
      </c>
      <c r="AJ6126">
        <v>1</v>
      </c>
      <c r="AK6126">
        <v>0</v>
      </c>
      <c r="AL6126">
        <v>0</v>
      </c>
      <c r="AM6126">
        <v>100</v>
      </c>
      <c r="AN6126">
        <v>0</v>
      </c>
      <c r="AO6126">
        <v>0</v>
      </c>
      <c r="AP6126">
        <v>0</v>
      </c>
      <c r="AQ6126">
        <v>0</v>
      </c>
      <c r="AS6126">
        <v>0</v>
      </c>
      <c r="AT6126">
        <v>0</v>
      </c>
      <c r="AV6126">
        <v>0</v>
      </c>
      <c r="AW6126">
        <v>0</v>
      </c>
      <c r="AY6126">
        <v>0</v>
      </c>
      <c r="AZ6126">
        <v>0</v>
      </c>
      <c r="BA6126">
        <v>70</v>
      </c>
      <c r="BE6126" t="str">
        <f>T("9791164099764")</f>
        <v>9791164099764</v>
      </c>
      <c r="BF6126" t="str">
        <f>T("k300783")</f>
        <v>k300783</v>
      </c>
      <c r="BG6126" t="str">
        <f>T("로판 웹소설 &gt; 서양풍 로판")</f>
        <v>로판 웹소설 &gt; 서양풍 로판</v>
      </c>
    </row>
    <row r="6127" spans="1:59">
      <c r="A6127" t="s">
        <v>60</v>
      </c>
      <c r="B6127" s="1">
        <v>46129</v>
      </c>
      <c r="C6127">
        <v>2378059762</v>
      </c>
      <c r="D6127">
        <v>2378068925</v>
      </c>
      <c r="E6127" t="str">
        <f>T("칼레이 백작가의 매맞이 하녀 외전 3화")</f>
        <v>칼레이 백작가의 매맞이 하녀 외전 3화</v>
      </c>
      <c r="F6127">
        <v>156</v>
      </c>
      <c r="G6127" t="str">
        <f>T("뮤사203")</f>
        <v>뮤사203</v>
      </c>
      <c r="J6127" t="str">
        <f>T("시계토끼")</f>
        <v>시계토끼</v>
      </c>
      <c r="K6127" t="str">
        <f>T("칼레이 백작가의 매맞이 하녀")</f>
        <v>칼레이 백작가의 매맞이 하녀</v>
      </c>
      <c r="L6127">
        <v>100</v>
      </c>
      <c r="M6127">
        <v>200</v>
      </c>
      <c r="N6127">
        <v>2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0</v>
      </c>
      <c r="AE6127">
        <v>0</v>
      </c>
      <c r="AF6127">
        <v>0</v>
      </c>
      <c r="AG6127">
        <v>0</v>
      </c>
      <c r="AH6127">
        <v>0</v>
      </c>
      <c r="AI6127">
        <v>200</v>
      </c>
      <c r="AJ6127">
        <v>2</v>
      </c>
      <c r="AK6127">
        <v>0</v>
      </c>
      <c r="AL6127">
        <v>0</v>
      </c>
      <c r="AM6127">
        <v>200</v>
      </c>
      <c r="AN6127">
        <v>0</v>
      </c>
      <c r="AO6127">
        <v>0</v>
      </c>
      <c r="AP6127">
        <v>0</v>
      </c>
      <c r="AQ6127">
        <v>0</v>
      </c>
      <c r="AS6127">
        <v>0</v>
      </c>
      <c r="AT6127">
        <v>0</v>
      </c>
      <c r="AV6127">
        <v>0</v>
      </c>
      <c r="AW6127">
        <v>0</v>
      </c>
      <c r="AY6127">
        <v>0</v>
      </c>
      <c r="AZ6127">
        <v>0</v>
      </c>
      <c r="BA6127">
        <v>140</v>
      </c>
      <c r="BE6127" t="str">
        <f>T("9791164099764")</f>
        <v>9791164099764</v>
      </c>
      <c r="BF6127" t="str">
        <f>T("k398564")</f>
        <v>k398564</v>
      </c>
      <c r="BG6127" t="str">
        <f>T("로판 웹소설 &gt; 서양풍 로판")</f>
        <v>로판 웹소설 &gt; 서양풍 로판</v>
      </c>
    </row>
    <row r="6128" spans="1:59">
      <c r="A6128" t="s">
        <v>60</v>
      </c>
      <c r="B6128" s="1">
        <v>46129</v>
      </c>
      <c r="C6128">
        <v>2378059762</v>
      </c>
      <c r="D6128">
        <v>2378068926</v>
      </c>
      <c r="E6128" t="str">
        <f>T("칼레이 백작가의 매맞이 하녀 외전 4화")</f>
        <v>칼레이 백작가의 매맞이 하녀 외전 4화</v>
      </c>
      <c r="F6128">
        <v>157</v>
      </c>
      <c r="G6128" t="str">
        <f>T("뮤사203")</f>
        <v>뮤사203</v>
      </c>
      <c r="J6128" t="str">
        <f>T("시계토끼")</f>
        <v>시계토끼</v>
      </c>
      <c r="K6128" t="str">
        <f>T("칼레이 백작가의 매맞이 하녀")</f>
        <v>칼레이 백작가의 매맞이 하녀</v>
      </c>
      <c r="L6128">
        <v>100</v>
      </c>
      <c r="M6128">
        <v>100</v>
      </c>
      <c r="N6128">
        <v>1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0</v>
      </c>
      <c r="AE6128">
        <v>0</v>
      </c>
      <c r="AF6128">
        <v>0</v>
      </c>
      <c r="AG6128">
        <v>0</v>
      </c>
      <c r="AH6128">
        <v>0</v>
      </c>
      <c r="AI6128">
        <v>100</v>
      </c>
      <c r="AJ6128">
        <v>1</v>
      </c>
      <c r="AK6128">
        <v>0</v>
      </c>
      <c r="AL6128">
        <v>0</v>
      </c>
      <c r="AM6128">
        <v>100</v>
      </c>
      <c r="AN6128">
        <v>0</v>
      </c>
      <c r="AO6128">
        <v>0</v>
      </c>
      <c r="AP6128">
        <v>0</v>
      </c>
      <c r="AQ6128">
        <v>0</v>
      </c>
      <c r="AS6128">
        <v>0</v>
      </c>
      <c r="AT6128">
        <v>0</v>
      </c>
      <c r="AV6128">
        <v>0</v>
      </c>
      <c r="AW6128">
        <v>0</v>
      </c>
      <c r="AY6128">
        <v>0</v>
      </c>
      <c r="AZ6128">
        <v>0</v>
      </c>
      <c r="BA6128">
        <v>70</v>
      </c>
      <c r="BE6128" t="str">
        <f>T("9791164099764")</f>
        <v>9791164099764</v>
      </c>
      <c r="BF6128" t="str">
        <f>T("k398565")</f>
        <v>k398565</v>
      </c>
      <c r="BG6128" t="str">
        <f>T("로판 웹소설 &gt; 서양풍 로판")</f>
        <v>로판 웹소설 &gt; 서양풍 로판</v>
      </c>
    </row>
    <row r="6129" spans="1:59">
      <c r="A6129" t="s">
        <v>60</v>
      </c>
      <c r="B6129" s="1">
        <v>46129</v>
      </c>
      <c r="C6129">
        <v>2378059762</v>
      </c>
      <c r="D6129">
        <v>2378068927</v>
      </c>
      <c r="E6129" t="str">
        <f>T("칼레이 백작가의 매맞이 하녀 외전 5화")</f>
        <v>칼레이 백작가의 매맞이 하녀 외전 5화</v>
      </c>
      <c r="F6129">
        <v>158</v>
      </c>
      <c r="G6129" t="str">
        <f>T("뮤사203")</f>
        <v>뮤사203</v>
      </c>
      <c r="J6129" t="str">
        <f>T("시계토끼")</f>
        <v>시계토끼</v>
      </c>
      <c r="K6129" t="str">
        <f>T("칼레이 백작가의 매맞이 하녀")</f>
        <v>칼레이 백작가의 매맞이 하녀</v>
      </c>
      <c r="L6129">
        <v>100</v>
      </c>
      <c r="M6129">
        <v>100</v>
      </c>
      <c r="N6129">
        <v>1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0</v>
      </c>
      <c r="AE6129">
        <v>0</v>
      </c>
      <c r="AF6129">
        <v>0</v>
      </c>
      <c r="AG6129">
        <v>0</v>
      </c>
      <c r="AH6129">
        <v>0</v>
      </c>
      <c r="AI6129">
        <v>100</v>
      </c>
      <c r="AJ6129">
        <v>1</v>
      </c>
      <c r="AK6129">
        <v>0</v>
      </c>
      <c r="AL6129">
        <v>0</v>
      </c>
      <c r="AM6129">
        <v>100</v>
      </c>
      <c r="AN6129">
        <v>0</v>
      </c>
      <c r="AO6129">
        <v>0</v>
      </c>
      <c r="AP6129">
        <v>0</v>
      </c>
      <c r="AQ6129">
        <v>0</v>
      </c>
      <c r="AS6129">
        <v>0</v>
      </c>
      <c r="AT6129">
        <v>0</v>
      </c>
      <c r="AV6129">
        <v>0</v>
      </c>
      <c r="AW6129">
        <v>0</v>
      </c>
      <c r="AY6129">
        <v>0</v>
      </c>
      <c r="AZ6129">
        <v>0</v>
      </c>
      <c r="BA6129">
        <v>70</v>
      </c>
      <c r="BE6129" t="str">
        <f>T("9791164099764")</f>
        <v>9791164099764</v>
      </c>
      <c r="BF6129" t="str">
        <f>T("k398566")</f>
        <v>k398566</v>
      </c>
      <c r="BG6129" t="str">
        <f>T("로판 웹소설 &gt; 서양풍 로판")</f>
        <v>로판 웹소설 &gt; 서양풍 로판</v>
      </c>
    </row>
    <row r="6130" spans="1:59">
      <c r="A6130" t="s">
        <v>60</v>
      </c>
      <c r="B6130" s="1">
        <v>46129</v>
      </c>
      <c r="C6130">
        <v>2378059762</v>
      </c>
      <c r="D6130">
        <v>2378068928</v>
      </c>
      <c r="E6130" t="str">
        <f>T("칼레이 백작가의 매맞이 하녀 외전 6화")</f>
        <v>칼레이 백작가의 매맞이 하녀 외전 6화</v>
      </c>
      <c r="F6130">
        <v>159</v>
      </c>
      <c r="G6130" t="str">
        <f>T("뮤사203")</f>
        <v>뮤사203</v>
      </c>
      <c r="J6130" t="str">
        <f>T("시계토끼")</f>
        <v>시계토끼</v>
      </c>
      <c r="K6130" t="str">
        <f>T("칼레이 백작가의 매맞이 하녀")</f>
        <v>칼레이 백작가의 매맞이 하녀</v>
      </c>
      <c r="L6130">
        <v>100</v>
      </c>
      <c r="M6130">
        <v>100</v>
      </c>
      <c r="N6130">
        <v>1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0</v>
      </c>
      <c r="AE6130">
        <v>0</v>
      </c>
      <c r="AF6130">
        <v>0</v>
      </c>
      <c r="AG6130">
        <v>0</v>
      </c>
      <c r="AH6130">
        <v>0</v>
      </c>
      <c r="AI6130">
        <v>100</v>
      </c>
      <c r="AJ6130">
        <v>1</v>
      </c>
      <c r="AK6130">
        <v>0</v>
      </c>
      <c r="AL6130">
        <v>0</v>
      </c>
      <c r="AM6130">
        <v>100</v>
      </c>
      <c r="AN6130">
        <v>0</v>
      </c>
      <c r="AO6130">
        <v>0</v>
      </c>
      <c r="AP6130">
        <v>0</v>
      </c>
      <c r="AQ6130">
        <v>0</v>
      </c>
      <c r="AS6130">
        <v>0</v>
      </c>
      <c r="AT6130">
        <v>0</v>
      </c>
      <c r="AV6130">
        <v>0</v>
      </c>
      <c r="AW6130">
        <v>0</v>
      </c>
      <c r="AY6130">
        <v>0</v>
      </c>
      <c r="AZ6130">
        <v>0</v>
      </c>
      <c r="BA6130">
        <v>70</v>
      </c>
      <c r="BE6130" t="str">
        <f>T("9791164099764")</f>
        <v>9791164099764</v>
      </c>
      <c r="BF6130" t="str">
        <f>T("k398567")</f>
        <v>k398567</v>
      </c>
      <c r="BG6130" t="str">
        <f>T("로판 웹소설 &gt; 서양풍 로판")</f>
        <v>로판 웹소설 &gt; 서양풍 로판</v>
      </c>
    </row>
    <row r="6131" spans="1:59">
      <c r="A6131" t="s">
        <v>60</v>
      </c>
      <c r="B6131" s="1">
        <v>46129</v>
      </c>
      <c r="C6131">
        <v>2378059762</v>
      </c>
      <c r="D6131">
        <v>2378068929</v>
      </c>
      <c r="E6131" t="str">
        <f>T("칼레이 백작가의 매맞이 하녀 외전 7화")</f>
        <v>칼레이 백작가의 매맞이 하녀 외전 7화</v>
      </c>
      <c r="F6131">
        <v>160</v>
      </c>
      <c r="G6131" t="str">
        <f>T("뮤사203")</f>
        <v>뮤사203</v>
      </c>
      <c r="J6131" t="str">
        <f>T("시계토끼")</f>
        <v>시계토끼</v>
      </c>
      <c r="K6131" t="str">
        <f>T("칼레이 백작가의 매맞이 하녀")</f>
        <v>칼레이 백작가의 매맞이 하녀</v>
      </c>
      <c r="L6131">
        <v>100</v>
      </c>
      <c r="M6131">
        <v>200</v>
      </c>
      <c r="N6131">
        <v>2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0</v>
      </c>
      <c r="AE6131">
        <v>0</v>
      </c>
      <c r="AF6131">
        <v>0</v>
      </c>
      <c r="AG6131">
        <v>0</v>
      </c>
      <c r="AH6131">
        <v>0</v>
      </c>
      <c r="AI6131">
        <v>200</v>
      </c>
      <c r="AJ6131">
        <v>2</v>
      </c>
      <c r="AK6131">
        <v>0</v>
      </c>
      <c r="AL6131">
        <v>0</v>
      </c>
      <c r="AM6131">
        <v>200</v>
      </c>
      <c r="AN6131">
        <v>0</v>
      </c>
      <c r="AO6131">
        <v>0</v>
      </c>
      <c r="AP6131">
        <v>0</v>
      </c>
      <c r="AQ6131">
        <v>0</v>
      </c>
      <c r="AS6131">
        <v>0</v>
      </c>
      <c r="AT6131">
        <v>0</v>
      </c>
      <c r="AV6131">
        <v>0</v>
      </c>
      <c r="AW6131">
        <v>0</v>
      </c>
      <c r="AY6131">
        <v>0</v>
      </c>
      <c r="AZ6131">
        <v>0</v>
      </c>
      <c r="BA6131">
        <v>140</v>
      </c>
      <c r="BE6131" t="str">
        <f>T("9791164099764")</f>
        <v>9791164099764</v>
      </c>
      <c r="BF6131" t="str">
        <f>T("k398568")</f>
        <v>k398568</v>
      </c>
      <c r="BG6131" t="str">
        <f>T("로판 웹소설 &gt; 서양풍 로판")</f>
        <v>로판 웹소설 &gt; 서양풍 로판</v>
      </c>
    </row>
    <row r="6132" spans="1:59">
      <c r="A6132" t="s">
        <v>60</v>
      </c>
      <c r="B6132" s="1">
        <v>46129</v>
      </c>
      <c r="C6132">
        <v>2378059762</v>
      </c>
      <c r="D6132">
        <v>2378068930</v>
      </c>
      <c r="E6132" t="str">
        <f>T("칼레이 백작가의 매맞이 하녀 외전 8화")</f>
        <v>칼레이 백작가의 매맞이 하녀 외전 8화</v>
      </c>
      <c r="F6132">
        <v>161</v>
      </c>
      <c r="G6132" t="str">
        <f>T("뮤사203")</f>
        <v>뮤사203</v>
      </c>
      <c r="J6132" t="str">
        <f>T("시계토끼")</f>
        <v>시계토끼</v>
      </c>
      <c r="K6132" t="str">
        <f>T("칼레이 백작가의 매맞이 하녀")</f>
        <v>칼레이 백작가의 매맞이 하녀</v>
      </c>
      <c r="L6132">
        <v>100</v>
      </c>
      <c r="M6132">
        <v>300</v>
      </c>
      <c r="N6132">
        <v>3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0</v>
      </c>
      <c r="AE6132">
        <v>0</v>
      </c>
      <c r="AF6132">
        <v>0</v>
      </c>
      <c r="AG6132">
        <v>0</v>
      </c>
      <c r="AH6132">
        <v>0</v>
      </c>
      <c r="AI6132">
        <v>300</v>
      </c>
      <c r="AJ6132">
        <v>3</v>
      </c>
      <c r="AK6132">
        <v>0</v>
      </c>
      <c r="AL6132">
        <v>0</v>
      </c>
      <c r="AM6132">
        <v>300</v>
      </c>
      <c r="AN6132">
        <v>0</v>
      </c>
      <c r="AO6132">
        <v>0</v>
      </c>
      <c r="AP6132">
        <v>0</v>
      </c>
      <c r="AQ6132">
        <v>0</v>
      </c>
      <c r="AS6132">
        <v>0</v>
      </c>
      <c r="AT6132">
        <v>0</v>
      </c>
      <c r="AV6132">
        <v>0</v>
      </c>
      <c r="AW6132">
        <v>0</v>
      </c>
      <c r="AY6132">
        <v>0</v>
      </c>
      <c r="AZ6132">
        <v>0</v>
      </c>
      <c r="BA6132">
        <v>210</v>
      </c>
      <c r="BE6132" t="str">
        <f>T("9791164099764")</f>
        <v>9791164099764</v>
      </c>
      <c r="BF6132" t="str">
        <f>T("k398569")</f>
        <v>k398569</v>
      </c>
      <c r="BG6132" t="str">
        <f>T("로판 웹소설 &gt; 서양풍 로판")</f>
        <v>로판 웹소설 &gt; 서양풍 로판</v>
      </c>
    </row>
    <row r="6133" spans="1:59">
      <c r="A6133" t="s">
        <v>60</v>
      </c>
      <c r="B6133" s="1">
        <v>46129</v>
      </c>
      <c r="C6133">
        <v>2378059762</v>
      </c>
      <c r="D6133">
        <v>2378068931</v>
      </c>
      <c r="E6133" t="str">
        <f>T("칼레이 백작가의 매맞이 하녀 외전 9화")</f>
        <v>칼레이 백작가의 매맞이 하녀 외전 9화</v>
      </c>
      <c r="F6133">
        <v>162</v>
      </c>
      <c r="G6133" t="str">
        <f>T("뮤사203")</f>
        <v>뮤사203</v>
      </c>
      <c r="J6133" t="str">
        <f>T("시계토끼")</f>
        <v>시계토끼</v>
      </c>
      <c r="K6133" t="str">
        <f>T("칼레이 백작가의 매맞이 하녀")</f>
        <v>칼레이 백작가의 매맞이 하녀</v>
      </c>
      <c r="L6133">
        <v>100</v>
      </c>
      <c r="M6133">
        <v>100</v>
      </c>
      <c r="N6133">
        <v>1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0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0</v>
      </c>
      <c r="AE6133">
        <v>0</v>
      </c>
      <c r="AF6133">
        <v>0</v>
      </c>
      <c r="AG6133">
        <v>0</v>
      </c>
      <c r="AH6133">
        <v>0</v>
      </c>
      <c r="AI6133">
        <v>100</v>
      </c>
      <c r="AJ6133">
        <v>1</v>
      </c>
      <c r="AK6133">
        <v>0</v>
      </c>
      <c r="AL6133">
        <v>0</v>
      </c>
      <c r="AM6133">
        <v>100</v>
      </c>
      <c r="AN6133">
        <v>0</v>
      </c>
      <c r="AO6133">
        <v>0</v>
      </c>
      <c r="AP6133">
        <v>0</v>
      </c>
      <c r="AQ6133">
        <v>0</v>
      </c>
      <c r="AS6133">
        <v>0</v>
      </c>
      <c r="AT6133">
        <v>0</v>
      </c>
      <c r="AV6133">
        <v>0</v>
      </c>
      <c r="AW6133">
        <v>0</v>
      </c>
      <c r="AY6133">
        <v>0</v>
      </c>
      <c r="AZ6133">
        <v>0</v>
      </c>
      <c r="BA6133">
        <v>70</v>
      </c>
      <c r="BE6133" t="str">
        <f>T("9791164099764")</f>
        <v>9791164099764</v>
      </c>
      <c r="BF6133" t="str">
        <f>T("k398570")</f>
        <v>k398570</v>
      </c>
      <c r="BG6133" t="str">
        <f>T("로판 웹소설 &gt; 서양풍 로판")</f>
        <v>로판 웹소설 &gt; 서양풍 로판</v>
      </c>
    </row>
    <row r="6134" spans="1:59">
      <c r="A6134" t="s">
        <v>60</v>
      </c>
      <c r="B6134" s="1">
        <v>46129</v>
      </c>
      <c r="C6134">
        <v>2378059762</v>
      </c>
      <c r="D6134">
        <v>2378068932</v>
      </c>
      <c r="E6134" t="str">
        <f>T("칼레이 백작가의 매맞이 하녀 외전 10화")</f>
        <v>칼레이 백작가의 매맞이 하녀 외전 10화</v>
      </c>
      <c r="F6134">
        <v>163</v>
      </c>
      <c r="G6134" t="str">
        <f>T("뮤사203")</f>
        <v>뮤사203</v>
      </c>
      <c r="J6134" t="str">
        <f>T("시계토끼")</f>
        <v>시계토끼</v>
      </c>
      <c r="K6134" t="str">
        <f>T("칼레이 백작가의 매맞이 하녀")</f>
        <v>칼레이 백작가의 매맞이 하녀</v>
      </c>
      <c r="L6134">
        <v>100</v>
      </c>
      <c r="M6134">
        <v>300</v>
      </c>
      <c r="N6134">
        <v>3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0</v>
      </c>
      <c r="AE6134">
        <v>0</v>
      </c>
      <c r="AF6134">
        <v>0</v>
      </c>
      <c r="AG6134">
        <v>0</v>
      </c>
      <c r="AH6134">
        <v>0</v>
      </c>
      <c r="AI6134">
        <v>300</v>
      </c>
      <c r="AJ6134">
        <v>3</v>
      </c>
      <c r="AK6134">
        <v>0</v>
      </c>
      <c r="AL6134">
        <v>0</v>
      </c>
      <c r="AM6134">
        <v>300</v>
      </c>
      <c r="AN6134">
        <v>0</v>
      </c>
      <c r="AO6134">
        <v>0</v>
      </c>
      <c r="AP6134">
        <v>0</v>
      </c>
      <c r="AQ6134">
        <v>0</v>
      </c>
      <c r="AS6134">
        <v>0</v>
      </c>
      <c r="AT6134">
        <v>0</v>
      </c>
      <c r="AV6134">
        <v>0</v>
      </c>
      <c r="AW6134">
        <v>0</v>
      </c>
      <c r="AY6134">
        <v>0</v>
      </c>
      <c r="AZ6134">
        <v>0</v>
      </c>
      <c r="BA6134">
        <v>210</v>
      </c>
      <c r="BE6134" t="str">
        <f>T("9791164099764")</f>
        <v>9791164099764</v>
      </c>
      <c r="BF6134" t="str">
        <f>T("k398571")</f>
        <v>k398571</v>
      </c>
      <c r="BG6134" t="str">
        <f>T("로판 웹소설 &gt; 서양풍 로판")</f>
        <v>로판 웹소설 &gt; 서양풍 로판</v>
      </c>
    </row>
    <row r="6135" spans="1:59">
      <c r="A6135" t="s">
        <v>60</v>
      </c>
      <c r="B6135" s="1">
        <v>46129</v>
      </c>
      <c r="C6135">
        <v>2378059762</v>
      </c>
      <c r="D6135">
        <v>2378068933</v>
      </c>
      <c r="E6135" t="str">
        <f>T("칼레이 백작가의 매맞이 하녀 외전 11화")</f>
        <v>칼레이 백작가의 매맞이 하녀 외전 11화</v>
      </c>
      <c r="F6135">
        <v>164</v>
      </c>
      <c r="G6135" t="str">
        <f>T("뮤사203")</f>
        <v>뮤사203</v>
      </c>
      <c r="J6135" t="str">
        <f>T("시계토끼")</f>
        <v>시계토끼</v>
      </c>
      <c r="K6135" t="str">
        <f>T("칼레이 백작가의 매맞이 하녀")</f>
        <v>칼레이 백작가의 매맞이 하녀</v>
      </c>
      <c r="L6135">
        <v>100</v>
      </c>
      <c r="M6135">
        <v>300</v>
      </c>
      <c r="N6135">
        <v>3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0</v>
      </c>
      <c r="AE6135">
        <v>0</v>
      </c>
      <c r="AF6135">
        <v>0</v>
      </c>
      <c r="AG6135">
        <v>0</v>
      </c>
      <c r="AH6135">
        <v>0</v>
      </c>
      <c r="AI6135">
        <v>300</v>
      </c>
      <c r="AJ6135">
        <v>3</v>
      </c>
      <c r="AK6135">
        <v>0</v>
      </c>
      <c r="AL6135">
        <v>0</v>
      </c>
      <c r="AM6135">
        <v>300</v>
      </c>
      <c r="AN6135">
        <v>0</v>
      </c>
      <c r="AO6135">
        <v>0</v>
      </c>
      <c r="AP6135">
        <v>0</v>
      </c>
      <c r="AQ6135">
        <v>0</v>
      </c>
      <c r="AS6135">
        <v>0</v>
      </c>
      <c r="AT6135">
        <v>0</v>
      </c>
      <c r="AV6135">
        <v>0</v>
      </c>
      <c r="AW6135">
        <v>0</v>
      </c>
      <c r="AY6135">
        <v>0</v>
      </c>
      <c r="AZ6135">
        <v>0</v>
      </c>
      <c r="BA6135">
        <v>210</v>
      </c>
      <c r="BE6135" t="str">
        <f>T("9791164099764")</f>
        <v>9791164099764</v>
      </c>
      <c r="BF6135" t="str">
        <f>T("k398572")</f>
        <v>k398572</v>
      </c>
      <c r="BG6135" t="str">
        <f>T("로판 웹소설 &gt; 서양풍 로판")</f>
        <v>로판 웹소설 &gt; 서양풍 로판</v>
      </c>
    </row>
    <row r="6136" spans="1:59">
      <c r="A6136" t="s">
        <v>60</v>
      </c>
      <c r="B6136" s="1">
        <v>46129</v>
      </c>
      <c r="C6136">
        <v>2378059762</v>
      </c>
      <c r="D6136">
        <v>2378068934</v>
      </c>
      <c r="E6136" t="str">
        <f>T("칼레이 백작가의 매맞이 하녀 외전 12화")</f>
        <v>칼레이 백작가의 매맞이 하녀 외전 12화</v>
      </c>
      <c r="F6136">
        <v>165</v>
      </c>
      <c r="G6136" t="str">
        <f>T("뮤사203")</f>
        <v>뮤사203</v>
      </c>
      <c r="J6136" t="str">
        <f>T("시계토끼")</f>
        <v>시계토끼</v>
      </c>
      <c r="K6136" t="str">
        <f>T("칼레이 백작가의 매맞이 하녀")</f>
        <v>칼레이 백작가의 매맞이 하녀</v>
      </c>
      <c r="L6136">
        <v>100</v>
      </c>
      <c r="M6136">
        <v>100</v>
      </c>
      <c r="N6136">
        <v>1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0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0</v>
      </c>
      <c r="AE6136">
        <v>0</v>
      </c>
      <c r="AF6136">
        <v>0</v>
      </c>
      <c r="AG6136">
        <v>0</v>
      </c>
      <c r="AH6136">
        <v>0</v>
      </c>
      <c r="AI6136">
        <v>100</v>
      </c>
      <c r="AJ6136">
        <v>1</v>
      </c>
      <c r="AK6136">
        <v>0</v>
      </c>
      <c r="AL6136">
        <v>0</v>
      </c>
      <c r="AM6136">
        <v>100</v>
      </c>
      <c r="AN6136">
        <v>0</v>
      </c>
      <c r="AO6136">
        <v>0</v>
      </c>
      <c r="AP6136">
        <v>0</v>
      </c>
      <c r="AQ6136">
        <v>0</v>
      </c>
      <c r="AS6136">
        <v>0</v>
      </c>
      <c r="AT6136">
        <v>0</v>
      </c>
      <c r="AV6136">
        <v>0</v>
      </c>
      <c r="AW6136">
        <v>0</v>
      </c>
      <c r="AY6136">
        <v>0</v>
      </c>
      <c r="AZ6136">
        <v>0</v>
      </c>
      <c r="BA6136">
        <v>70</v>
      </c>
      <c r="BE6136" t="str">
        <f>T("9791164099764")</f>
        <v>9791164099764</v>
      </c>
      <c r="BF6136" t="str">
        <f>T("k398573")</f>
        <v>k398573</v>
      </c>
      <c r="BG6136" t="str">
        <f>T("로판 웹소설 &gt; 서양풍 로판")</f>
        <v>로판 웹소설 &gt; 서양풍 로판</v>
      </c>
    </row>
    <row r="6137" spans="1:59">
      <c r="A6137" t="s">
        <v>60</v>
      </c>
      <c r="B6137" s="1">
        <v>46129</v>
      </c>
      <c r="C6137">
        <v>2378059762</v>
      </c>
      <c r="D6137">
        <v>2378068935</v>
      </c>
      <c r="E6137" t="str">
        <f>T("칼레이 백작가의 매맞이 하녀 외전 13화")</f>
        <v>칼레이 백작가의 매맞이 하녀 외전 13화</v>
      </c>
      <c r="F6137">
        <v>166</v>
      </c>
      <c r="G6137" t="str">
        <f>T("뮤사203")</f>
        <v>뮤사203</v>
      </c>
      <c r="J6137" t="str">
        <f>T("시계토끼")</f>
        <v>시계토끼</v>
      </c>
      <c r="K6137" t="str">
        <f>T("칼레이 백작가의 매맞이 하녀")</f>
        <v>칼레이 백작가의 매맞이 하녀</v>
      </c>
      <c r="L6137">
        <v>100</v>
      </c>
      <c r="M6137">
        <v>100</v>
      </c>
      <c r="N6137">
        <v>1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0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0</v>
      </c>
      <c r="AE6137">
        <v>0</v>
      </c>
      <c r="AF6137">
        <v>0</v>
      </c>
      <c r="AG6137">
        <v>0</v>
      </c>
      <c r="AH6137">
        <v>0</v>
      </c>
      <c r="AI6137">
        <v>100</v>
      </c>
      <c r="AJ6137">
        <v>1</v>
      </c>
      <c r="AK6137">
        <v>0</v>
      </c>
      <c r="AL6137">
        <v>0</v>
      </c>
      <c r="AM6137">
        <v>100</v>
      </c>
      <c r="AN6137">
        <v>0</v>
      </c>
      <c r="AO6137">
        <v>0</v>
      </c>
      <c r="AP6137">
        <v>0</v>
      </c>
      <c r="AQ6137">
        <v>0</v>
      </c>
      <c r="AS6137">
        <v>0</v>
      </c>
      <c r="AT6137">
        <v>0</v>
      </c>
      <c r="AV6137">
        <v>0</v>
      </c>
      <c r="AW6137">
        <v>0</v>
      </c>
      <c r="AY6137">
        <v>0</v>
      </c>
      <c r="AZ6137">
        <v>0</v>
      </c>
      <c r="BA6137">
        <v>70</v>
      </c>
      <c r="BE6137" t="str">
        <f>T("9791164099764")</f>
        <v>9791164099764</v>
      </c>
      <c r="BF6137" t="str">
        <f>T("k398574")</f>
        <v>k398574</v>
      </c>
      <c r="BG6137" t="str">
        <f>T("로판 웹소설 &gt; 서양풍 로판")</f>
        <v>로판 웹소설 &gt; 서양풍 로판</v>
      </c>
    </row>
    <row r="6138" spans="1:59">
      <c r="A6138" t="s">
        <v>60</v>
      </c>
      <c r="B6138" s="1">
        <v>46129</v>
      </c>
      <c r="C6138">
        <v>2378059762</v>
      </c>
      <c r="D6138">
        <v>2378068936</v>
      </c>
      <c r="E6138" t="str">
        <f>T("칼레이 백작가의 매맞이 하녀 외전 14화")</f>
        <v>칼레이 백작가의 매맞이 하녀 외전 14화</v>
      </c>
      <c r="F6138">
        <v>167</v>
      </c>
      <c r="G6138" t="str">
        <f>T("뮤사203")</f>
        <v>뮤사203</v>
      </c>
      <c r="J6138" t="str">
        <f>T("시계토끼")</f>
        <v>시계토끼</v>
      </c>
      <c r="K6138" t="str">
        <f>T("칼레이 백작가의 매맞이 하녀")</f>
        <v>칼레이 백작가의 매맞이 하녀</v>
      </c>
      <c r="L6138">
        <v>100</v>
      </c>
      <c r="M6138">
        <v>200</v>
      </c>
      <c r="N6138">
        <v>2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0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0</v>
      </c>
      <c r="AE6138">
        <v>0</v>
      </c>
      <c r="AF6138">
        <v>0</v>
      </c>
      <c r="AG6138">
        <v>0</v>
      </c>
      <c r="AH6138">
        <v>0</v>
      </c>
      <c r="AI6138">
        <v>200</v>
      </c>
      <c r="AJ6138">
        <v>2</v>
      </c>
      <c r="AK6138">
        <v>0</v>
      </c>
      <c r="AL6138">
        <v>0</v>
      </c>
      <c r="AM6138">
        <v>200</v>
      </c>
      <c r="AN6138">
        <v>0</v>
      </c>
      <c r="AO6138">
        <v>0</v>
      </c>
      <c r="AP6138">
        <v>0</v>
      </c>
      <c r="AQ6138">
        <v>0</v>
      </c>
      <c r="AS6138">
        <v>0</v>
      </c>
      <c r="AT6138">
        <v>0</v>
      </c>
      <c r="AV6138">
        <v>0</v>
      </c>
      <c r="AW6138">
        <v>0</v>
      </c>
      <c r="AY6138">
        <v>0</v>
      </c>
      <c r="AZ6138">
        <v>0</v>
      </c>
      <c r="BA6138">
        <v>140</v>
      </c>
      <c r="BE6138" t="str">
        <f>T("9791164099764")</f>
        <v>9791164099764</v>
      </c>
      <c r="BF6138" t="str">
        <f>T("k398575")</f>
        <v>k398575</v>
      </c>
      <c r="BG6138" t="str">
        <f>T("로판 웹소설 &gt; 서양풍 로판")</f>
        <v>로판 웹소설 &gt; 서양풍 로판</v>
      </c>
    </row>
    <row r="6139" spans="1:59">
      <c r="A6139" t="s">
        <v>60</v>
      </c>
      <c r="B6139" s="1">
        <v>46129</v>
      </c>
      <c r="C6139">
        <v>2378059762</v>
      </c>
      <c r="D6139">
        <v>2378068937</v>
      </c>
      <c r="E6139" t="str">
        <f>T("칼레이 백작가의 매맞이 하녀 외전 15화")</f>
        <v>칼레이 백작가의 매맞이 하녀 외전 15화</v>
      </c>
      <c r="F6139">
        <v>168</v>
      </c>
      <c r="G6139" t="str">
        <f>T("뮤사203")</f>
        <v>뮤사203</v>
      </c>
      <c r="J6139" t="str">
        <f>T("시계토끼")</f>
        <v>시계토끼</v>
      </c>
      <c r="K6139" t="str">
        <f>T("칼레이 백작가의 매맞이 하녀")</f>
        <v>칼레이 백작가의 매맞이 하녀</v>
      </c>
      <c r="L6139">
        <v>100</v>
      </c>
      <c r="M6139">
        <v>100</v>
      </c>
      <c r="N6139">
        <v>1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0</v>
      </c>
      <c r="AE6139">
        <v>0</v>
      </c>
      <c r="AF6139">
        <v>0</v>
      </c>
      <c r="AG6139">
        <v>0</v>
      </c>
      <c r="AH6139">
        <v>0</v>
      </c>
      <c r="AI6139">
        <v>100</v>
      </c>
      <c r="AJ6139">
        <v>1</v>
      </c>
      <c r="AK6139">
        <v>0</v>
      </c>
      <c r="AL6139">
        <v>0</v>
      </c>
      <c r="AM6139">
        <v>100</v>
      </c>
      <c r="AN6139">
        <v>0</v>
      </c>
      <c r="AO6139">
        <v>0</v>
      </c>
      <c r="AP6139">
        <v>0</v>
      </c>
      <c r="AQ6139">
        <v>0</v>
      </c>
      <c r="AS6139">
        <v>0</v>
      </c>
      <c r="AT6139">
        <v>0</v>
      </c>
      <c r="AV6139">
        <v>0</v>
      </c>
      <c r="AW6139">
        <v>0</v>
      </c>
      <c r="AY6139">
        <v>0</v>
      </c>
      <c r="AZ6139">
        <v>0</v>
      </c>
      <c r="BA6139">
        <v>70</v>
      </c>
      <c r="BE6139" t="str">
        <f>T("9791164099764")</f>
        <v>9791164099764</v>
      </c>
      <c r="BF6139" t="str">
        <f>T("k398576")</f>
        <v>k398576</v>
      </c>
      <c r="BG6139" t="str">
        <f>T("로판 웹소설 &gt; 서양풍 로판")</f>
        <v>로판 웹소설 &gt; 서양풍 로판</v>
      </c>
    </row>
    <row r="6140" spans="1:59">
      <c r="A6140" t="s">
        <v>60</v>
      </c>
      <c r="B6140" s="1">
        <v>46129</v>
      </c>
      <c r="C6140">
        <v>2378059762</v>
      </c>
      <c r="D6140">
        <v>2378068938</v>
      </c>
      <c r="E6140" t="str">
        <f>T("칼레이 백작가의 매맞이 하녀 외전 16화")</f>
        <v>칼레이 백작가의 매맞이 하녀 외전 16화</v>
      </c>
      <c r="F6140">
        <v>169</v>
      </c>
      <c r="G6140" t="str">
        <f>T("뮤사203")</f>
        <v>뮤사203</v>
      </c>
      <c r="J6140" t="str">
        <f>T("시계토끼")</f>
        <v>시계토끼</v>
      </c>
      <c r="K6140" t="str">
        <f>T("칼레이 백작가의 매맞이 하녀")</f>
        <v>칼레이 백작가의 매맞이 하녀</v>
      </c>
      <c r="L6140">
        <v>100</v>
      </c>
      <c r="M6140">
        <v>200</v>
      </c>
      <c r="N6140">
        <v>2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0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0</v>
      </c>
      <c r="AE6140">
        <v>0</v>
      </c>
      <c r="AF6140">
        <v>0</v>
      </c>
      <c r="AG6140">
        <v>0</v>
      </c>
      <c r="AH6140">
        <v>0</v>
      </c>
      <c r="AI6140">
        <v>200</v>
      </c>
      <c r="AJ6140">
        <v>2</v>
      </c>
      <c r="AK6140">
        <v>0</v>
      </c>
      <c r="AL6140">
        <v>0</v>
      </c>
      <c r="AM6140">
        <v>200</v>
      </c>
      <c r="AN6140">
        <v>0</v>
      </c>
      <c r="AO6140">
        <v>0</v>
      </c>
      <c r="AP6140">
        <v>0</v>
      </c>
      <c r="AQ6140">
        <v>0</v>
      </c>
      <c r="AS6140">
        <v>0</v>
      </c>
      <c r="AT6140">
        <v>0</v>
      </c>
      <c r="AV6140">
        <v>0</v>
      </c>
      <c r="AW6140">
        <v>0</v>
      </c>
      <c r="AY6140">
        <v>0</v>
      </c>
      <c r="AZ6140">
        <v>0</v>
      </c>
      <c r="BA6140">
        <v>140</v>
      </c>
      <c r="BE6140" t="str">
        <f>T("9791164099764")</f>
        <v>9791164099764</v>
      </c>
      <c r="BF6140" t="str">
        <f>T("k398577")</f>
        <v>k398577</v>
      </c>
      <c r="BG6140" t="str">
        <f>T("로판 웹소설 &gt; 서양풍 로판")</f>
        <v>로판 웹소설 &gt; 서양풍 로판</v>
      </c>
    </row>
    <row r="6141" spans="1:59">
      <c r="A6141" t="s">
        <v>60</v>
      </c>
      <c r="B6141" s="1">
        <v>46129</v>
      </c>
      <c r="C6141">
        <v>2378059762</v>
      </c>
      <c r="D6141">
        <v>2378068939</v>
      </c>
      <c r="E6141" t="str">
        <f>T("칼레이 백작가의 매맞이 하녀 외전 17화")</f>
        <v>칼레이 백작가의 매맞이 하녀 외전 17화</v>
      </c>
      <c r="F6141">
        <v>170</v>
      </c>
      <c r="G6141" t="str">
        <f>T("뮤사203")</f>
        <v>뮤사203</v>
      </c>
      <c r="J6141" t="str">
        <f>T("시계토끼")</f>
        <v>시계토끼</v>
      </c>
      <c r="K6141" t="str">
        <f>T("칼레이 백작가의 매맞이 하녀")</f>
        <v>칼레이 백작가의 매맞이 하녀</v>
      </c>
      <c r="L6141">
        <v>100</v>
      </c>
      <c r="M6141">
        <v>200</v>
      </c>
      <c r="N6141">
        <v>2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0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0</v>
      </c>
      <c r="AE6141">
        <v>0</v>
      </c>
      <c r="AF6141">
        <v>0</v>
      </c>
      <c r="AG6141">
        <v>0</v>
      </c>
      <c r="AH6141">
        <v>0</v>
      </c>
      <c r="AI6141">
        <v>200</v>
      </c>
      <c r="AJ6141">
        <v>2</v>
      </c>
      <c r="AK6141">
        <v>0</v>
      </c>
      <c r="AL6141">
        <v>0</v>
      </c>
      <c r="AM6141">
        <v>200</v>
      </c>
      <c r="AN6141">
        <v>0</v>
      </c>
      <c r="AO6141">
        <v>0</v>
      </c>
      <c r="AP6141">
        <v>0</v>
      </c>
      <c r="AQ6141">
        <v>0</v>
      </c>
      <c r="AS6141">
        <v>0</v>
      </c>
      <c r="AT6141">
        <v>0</v>
      </c>
      <c r="AV6141">
        <v>0</v>
      </c>
      <c r="AW6141">
        <v>0</v>
      </c>
      <c r="AY6141">
        <v>0</v>
      </c>
      <c r="AZ6141">
        <v>0</v>
      </c>
      <c r="BA6141">
        <v>140</v>
      </c>
      <c r="BE6141" t="str">
        <f>T("9791164099764")</f>
        <v>9791164099764</v>
      </c>
      <c r="BF6141" t="str">
        <f>T("k398578")</f>
        <v>k398578</v>
      </c>
      <c r="BG6141" t="str">
        <f>T("로판 웹소설 &gt; 서양풍 로판")</f>
        <v>로판 웹소설 &gt; 서양풍 로판</v>
      </c>
    </row>
    <row r="6142" spans="1:59">
      <c r="A6142" t="s">
        <v>60</v>
      </c>
      <c r="B6142" s="1">
        <v>46129</v>
      </c>
      <c r="C6142">
        <v>2378059762</v>
      </c>
      <c r="D6142">
        <v>2378068940</v>
      </c>
      <c r="E6142" t="str">
        <f>T("칼레이 백작가의 매맞이 하녀 외전 18화")</f>
        <v>칼레이 백작가의 매맞이 하녀 외전 18화</v>
      </c>
      <c r="F6142">
        <v>171</v>
      </c>
      <c r="G6142" t="str">
        <f>T("뮤사203")</f>
        <v>뮤사203</v>
      </c>
      <c r="J6142" t="str">
        <f>T("시계토끼")</f>
        <v>시계토끼</v>
      </c>
      <c r="K6142" t="str">
        <f>T("칼레이 백작가의 매맞이 하녀")</f>
        <v>칼레이 백작가의 매맞이 하녀</v>
      </c>
      <c r="L6142">
        <v>100</v>
      </c>
      <c r="M6142">
        <v>100</v>
      </c>
      <c r="N6142">
        <v>1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0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0</v>
      </c>
      <c r="AE6142">
        <v>0</v>
      </c>
      <c r="AF6142">
        <v>0</v>
      </c>
      <c r="AG6142">
        <v>0</v>
      </c>
      <c r="AH6142">
        <v>0</v>
      </c>
      <c r="AI6142">
        <v>100</v>
      </c>
      <c r="AJ6142">
        <v>1</v>
      </c>
      <c r="AK6142">
        <v>0</v>
      </c>
      <c r="AL6142">
        <v>0</v>
      </c>
      <c r="AM6142">
        <v>100</v>
      </c>
      <c r="AN6142">
        <v>0</v>
      </c>
      <c r="AO6142">
        <v>0</v>
      </c>
      <c r="AP6142">
        <v>0</v>
      </c>
      <c r="AQ6142">
        <v>0</v>
      </c>
      <c r="AS6142">
        <v>0</v>
      </c>
      <c r="AT6142">
        <v>0</v>
      </c>
      <c r="AV6142">
        <v>0</v>
      </c>
      <c r="AW6142">
        <v>0</v>
      </c>
      <c r="AY6142">
        <v>0</v>
      </c>
      <c r="AZ6142">
        <v>0</v>
      </c>
      <c r="BA6142">
        <v>70</v>
      </c>
      <c r="BE6142" t="str">
        <f>T("9791164099764")</f>
        <v>9791164099764</v>
      </c>
      <c r="BF6142" t="str">
        <f>T("k398579")</f>
        <v>k398579</v>
      </c>
      <c r="BG6142" t="str">
        <f>T("로판 웹소설 &gt; 서양풍 로판")</f>
        <v>로판 웹소설 &gt; 서양풍 로판</v>
      </c>
    </row>
    <row r="6143" spans="1:59">
      <c r="A6143" t="s">
        <v>60</v>
      </c>
      <c r="B6143" s="1">
        <v>46129</v>
      </c>
      <c r="C6143">
        <v>2378059762</v>
      </c>
      <c r="D6143">
        <v>2378068941</v>
      </c>
      <c r="E6143" t="str">
        <f>T("칼레이 백작가의 매맞이 하녀 외전 19화")</f>
        <v>칼레이 백작가의 매맞이 하녀 외전 19화</v>
      </c>
      <c r="F6143">
        <v>172</v>
      </c>
      <c r="G6143" t="str">
        <f>T("뮤사203")</f>
        <v>뮤사203</v>
      </c>
      <c r="J6143" t="str">
        <f>T("시계토끼")</f>
        <v>시계토끼</v>
      </c>
      <c r="K6143" t="str">
        <f>T("칼레이 백작가의 매맞이 하녀")</f>
        <v>칼레이 백작가의 매맞이 하녀</v>
      </c>
      <c r="L6143">
        <v>100</v>
      </c>
      <c r="M6143">
        <v>100</v>
      </c>
      <c r="N6143">
        <v>1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0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0</v>
      </c>
      <c r="AE6143">
        <v>0</v>
      </c>
      <c r="AF6143">
        <v>0</v>
      </c>
      <c r="AG6143">
        <v>0</v>
      </c>
      <c r="AH6143">
        <v>0</v>
      </c>
      <c r="AI6143">
        <v>100</v>
      </c>
      <c r="AJ6143">
        <v>1</v>
      </c>
      <c r="AK6143">
        <v>0</v>
      </c>
      <c r="AL6143">
        <v>0</v>
      </c>
      <c r="AM6143">
        <v>100</v>
      </c>
      <c r="AN6143">
        <v>0</v>
      </c>
      <c r="AO6143">
        <v>0</v>
      </c>
      <c r="AP6143">
        <v>0</v>
      </c>
      <c r="AQ6143">
        <v>0</v>
      </c>
      <c r="AS6143">
        <v>0</v>
      </c>
      <c r="AT6143">
        <v>0</v>
      </c>
      <c r="AV6143">
        <v>0</v>
      </c>
      <c r="AW6143">
        <v>0</v>
      </c>
      <c r="AY6143">
        <v>0</v>
      </c>
      <c r="AZ6143">
        <v>0</v>
      </c>
      <c r="BA6143">
        <v>70</v>
      </c>
      <c r="BE6143" t="str">
        <f>T("9791164099764")</f>
        <v>9791164099764</v>
      </c>
      <c r="BF6143" t="str">
        <f>T("k398580")</f>
        <v>k398580</v>
      </c>
      <c r="BG6143" t="str">
        <f>T("로판 웹소설 &gt; 서양풍 로판")</f>
        <v>로판 웹소설 &gt; 서양풍 로판</v>
      </c>
    </row>
    <row r="6144" spans="1:59">
      <c r="A6144" t="s">
        <v>60</v>
      </c>
      <c r="B6144" s="1">
        <v>46129</v>
      </c>
      <c r="C6144">
        <v>2378059762</v>
      </c>
      <c r="D6144">
        <v>2378068942</v>
      </c>
      <c r="E6144" t="str">
        <f>T("칼레이 백작가의 매맞이 하녀 외전 20화")</f>
        <v>칼레이 백작가의 매맞이 하녀 외전 20화</v>
      </c>
      <c r="F6144">
        <v>173</v>
      </c>
      <c r="G6144" t="str">
        <f>T("뮤사203")</f>
        <v>뮤사203</v>
      </c>
      <c r="J6144" t="str">
        <f>T("시계토끼")</f>
        <v>시계토끼</v>
      </c>
      <c r="K6144" t="str">
        <f>T("칼레이 백작가의 매맞이 하녀")</f>
        <v>칼레이 백작가의 매맞이 하녀</v>
      </c>
      <c r="L6144">
        <v>100</v>
      </c>
      <c r="M6144">
        <v>300</v>
      </c>
      <c r="N6144">
        <v>3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0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0</v>
      </c>
      <c r="AE6144">
        <v>0</v>
      </c>
      <c r="AF6144">
        <v>0</v>
      </c>
      <c r="AG6144">
        <v>0</v>
      </c>
      <c r="AH6144">
        <v>0</v>
      </c>
      <c r="AI6144">
        <v>300</v>
      </c>
      <c r="AJ6144">
        <v>3</v>
      </c>
      <c r="AK6144">
        <v>0</v>
      </c>
      <c r="AL6144">
        <v>0</v>
      </c>
      <c r="AM6144">
        <v>300</v>
      </c>
      <c r="AN6144">
        <v>0</v>
      </c>
      <c r="AO6144">
        <v>0</v>
      </c>
      <c r="AP6144">
        <v>0</v>
      </c>
      <c r="AQ6144">
        <v>0</v>
      </c>
      <c r="AS6144">
        <v>0</v>
      </c>
      <c r="AT6144">
        <v>0</v>
      </c>
      <c r="AV6144">
        <v>0</v>
      </c>
      <c r="AW6144">
        <v>0</v>
      </c>
      <c r="AY6144">
        <v>0</v>
      </c>
      <c r="AZ6144">
        <v>0</v>
      </c>
      <c r="BA6144">
        <v>210</v>
      </c>
      <c r="BE6144" t="str">
        <f>T("9791164099764")</f>
        <v>9791164099764</v>
      </c>
      <c r="BF6144" t="str">
        <f>T("k398581")</f>
        <v>k398581</v>
      </c>
      <c r="BG6144" t="str">
        <f>T("로판 웹소설 &gt; 서양풍 로판")</f>
        <v>로판 웹소설 &gt; 서양풍 로판</v>
      </c>
    </row>
    <row r="6145" spans="1:59">
      <c r="A6145" t="s">
        <v>60</v>
      </c>
      <c r="B6145" s="1">
        <v>46129</v>
      </c>
      <c r="C6145">
        <v>2378059762</v>
      </c>
      <c r="D6145">
        <v>2378068943</v>
      </c>
      <c r="E6145" t="str">
        <f>T("칼레이 백작가의 매맞이 하녀 외전 21화")</f>
        <v>칼레이 백작가의 매맞이 하녀 외전 21화</v>
      </c>
      <c r="F6145">
        <v>174</v>
      </c>
      <c r="G6145" t="str">
        <f>T("뮤사203")</f>
        <v>뮤사203</v>
      </c>
      <c r="J6145" t="str">
        <f>T("시계토끼")</f>
        <v>시계토끼</v>
      </c>
      <c r="K6145" t="str">
        <f>T("칼레이 백작가의 매맞이 하녀")</f>
        <v>칼레이 백작가의 매맞이 하녀</v>
      </c>
      <c r="L6145">
        <v>100</v>
      </c>
      <c r="M6145">
        <v>100</v>
      </c>
      <c r="N6145">
        <v>1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0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0</v>
      </c>
      <c r="AE6145">
        <v>0</v>
      </c>
      <c r="AF6145">
        <v>0</v>
      </c>
      <c r="AG6145">
        <v>0</v>
      </c>
      <c r="AH6145">
        <v>0</v>
      </c>
      <c r="AI6145">
        <v>100</v>
      </c>
      <c r="AJ6145">
        <v>1</v>
      </c>
      <c r="AK6145">
        <v>0</v>
      </c>
      <c r="AL6145">
        <v>0</v>
      </c>
      <c r="AM6145">
        <v>100</v>
      </c>
      <c r="AN6145">
        <v>0</v>
      </c>
      <c r="AO6145">
        <v>0</v>
      </c>
      <c r="AP6145">
        <v>0</v>
      </c>
      <c r="AQ6145">
        <v>0</v>
      </c>
      <c r="AS6145">
        <v>0</v>
      </c>
      <c r="AT6145">
        <v>0</v>
      </c>
      <c r="AV6145">
        <v>0</v>
      </c>
      <c r="AW6145">
        <v>0</v>
      </c>
      <c r="AY6145">
        <v>0</v>
      </c>
      <c r="AZ6145">
        <v>0</v>
      </c>
      <c r="BA6145">
        <v>70</v>
      </c>
      <c r="BE6145" t="str">
        <f>T("9791164099764")</f>
        <v>9791164099764</v>
      </c>
      <c r="BF6145" t="str">
        <f>T("k398582")</f>
        <v>k398582</v>
      </c>
      <c r="BG6145" t="str">
        <f>T("로판 웹소설 &gt; 서양풍 로판")</f>
        <v>로판 웹소설 &gt; 서양풍 로판</v>
      </c>
    </row>
    <row r="6146" spans="1:59">
      <c r="A6146" t="s">
        <v>60</v>
      </c>
      <c r="B6146" s="1">
        <v>46129</v>
      </c>
      <c r="C6146">
        <v>2378059762</v>
      </c>
      <c r="D6146">
        <v>2378068944</v>
      </c>
      <c r="E6146" t="str">
        <f>T("칼레이 백작가의 매맞이 하녀 외전 22화")</f>
        <v>칼레이 백작가의 매맞이 하녀 외전 22화</v>
      </c>
      <c r="F6146">
        <v>175</v>
      </c>
      <c r="G6146" t="str">
        <f>T("뮤사203")</f>
        <v>뮤사203</v>
      </c>
      <c r="J6146" t="str">
        <f>T("시계토끼")</f>
        <v>시계토끼</v>
      </c>
      <c r="K6146" t="str">
        <f>T("칼레이 백작가의 매맞이 하녀")</f>
        <v>칼레이 백작가의 매맞이 하녀</v>
      </c>
      <c r="L6146">
        <v>100</v>
      </c>
      <c r="M6146">
        <v>100</v>
      </c>
      <c r="N6146">
        <v>1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0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0</v>
      </c>
      <c r="AE6146">
        <v>0</v>
      </c>
      <c r="AF6146">
        <v>0</v>
      </c>
      <c r="AG6146">
        <v>0</v>
      </c>
      <c r="AH6146">
        <v>0</v>
      </c>
      <c r="AI6146">
        <v>100</v>
      </c>
      <c r="AJ6146">
        <v>1</v>
      </c>
      <c r="AK6146">
        <v>0</v>
      </c>
      <c r="AL6146">
        <v>0</v>
      </c>
      <c r="AM6146">
        <v>100</v>
      </c>
      <c r="AN6146">
        <v>0</v>
      </c>
      <c r="AO6146">
        <v>0</v>
      </c>
      <c r="AP6146">
        <v>0</v>
      </c>
      <c r="AQ6146">
        <v>0</v>
      </c>
      <c r="AS6146">
        <v>0</v>
      </c>
      <c r="AT6146">
        <v>0</v>
      </c>
      <c r="AV6146">
        <v>0</v>
      </c>
      <c r="AW6146">
        <v>0</v>
      </c>
      <c r="AY6146">
        <v>0</v>
      </c>
      <c r="AZ6146">
        <v>0</v>
      </c>
      <c r="BA6146">
        <v>70</v>
      </c>
      <c r="BE6146" t="str">
        <f>T("9791164099764")</f>
        <v>9791164099764</v>
      </c>
      <c r="BF6146" t="str">
        <f>T("k398583")</f>
        <v>k398583</v>
      </c>
      <c r="BG6146" t="str">
        <f>T("로판 웹소설 &gt; 서양풍 로판")</f>
        <v>로판 웹소설 &gt; 서양풍 로판</v>
      </c>
    </row>
    <row r="6147" spans="1:59">
      <c r="A6147" t="s">
        <v>60</v>
      </c>
      <c r="B6147" s="1">
        <v>46129</v>
      </c>
      <c r="C6147">
        <v>2378059762</v>
      </c>
      <c r="D6147">
        <v>2378068945</v>
      </c>
      <c r="E6147" t="str">
        <f>T("칼레이 백작가의 매맞이 하녀 외전 23화")</f>
        <v>칼레이 백작가의 매맞이 하녀 외전 23화</v>
      </c>
      <c r="F6147">
        <v>176</v>
      </c>
      <c r="G6147" t="str">
        <f>T("뮤사203")</f>
        <v>뮤사203</v>
      </c>
      <c r="J6147" t="str">
        <f>T("시계토끼")</f>
        <v>시계토끼</v>
      </c>
      <c r="K6147" t="str">
        <f>T("칼레이 백작가의 매맞이 하녀")</f>
        <v>칼레이 백작가의 매맞이 하녀</v>
      </c>
      <c r="L6147">
        <v>100</v>
      </c>
      <c r="M6147">
        <v>300</v>
      </c>
      <c r="N6147">
        <v>3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0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0</v>
      </c>
      <c r="AE6147">
        <v>0</v>
      </c>
      <c r="AF6147">
        <v>0</v>
      </c>
      <c r="AG6147">
        <v>0</v>
      </c>
      <c r="AH6147">
        <v>0</v>
      </c>
      <c r="AI6147">
        <v>300</v>
      </c>
      <c r="AJ6147">
        <v>3</v>
      </c>
      <c r="AK6147">
        <v>0</v>
      </c>
      <c r="AL6147">
        <v>0</v>
      </c>
      <c r="AM6147">
        <v>300</v>
      </c>
      <c r="AN6147">
        <v>0</v>
      </c>
      <c r="AO6147">
        <v>0</v>
      </c>
      <c r="AP6147">
        <v>0</v>
      </c>
      <c r="AQ6147">
        <v>0</v>
      </c>
      <c r="AS6147">
        <v>0</v>
      </c>
      <c r="AT6147">
        <v>0</v>
      </c>
      <c r="AV6147">
        <v>0</v>
      </c>
      <c r="AW6147">
        <v>0</v>
      </c>
      <c r="AY6147">
        <v>0</v>
      </c>
      <c r="AZ6147">
        <v>0</v>
      </c>
      <c r="BA6147">
        <v>210</v>
      </c>
      <c r="BE6147" t="str">
        <f>T("9791164099764")</f>
        <v>9791164099764</v>
      </c>
      <c r="BF6147" t="str">
        <f>T("k398584")</f>
        <v>k398584</v>
      </c>
      <c r="BG6147" t="str">
        <f>T("로판 웹소설 &gt; 서양풍 로판")</f>
        <v>로판 웹소설 &gt; 서양풍 로판</v>
      </c>
    </row>
    <row r="6148" spans="1:59">
      <c r="A6148" t="s">
        <v>60</v>
      </c>
      <c r="B6148" s="1">
        <v>46129</v>
      </c>
      <c r="C6148">
        <v>2378059762</v>
      </c>
      <c r="D6148">
        <v>2378068946</v>
      </c>
      <c r="E6148" t="str">
        <f>T("칼레이 백작가의 매맞이 하녀 외전 24화")</f>
        <v>칼레이 백작가의 매맞이 하녀 외전 24화</v>
      </c>
      <c r="F6148">
        <v>177</v>
      </c>
      <c r="G6148" t="str">
        <f>T("뮤사203")</f>
        <v>뮤사203</v>
      </c>
      <c r="J6148" t="str">
        <f>T("시계토끼")</f>
        <v>시계토끼</v>
      </c>
      <c r="K6148" t="str">
        <f>T("칼레이 백작가의 매맞이 하녀")</f>
        <v>칼레이 백작가의 매맞이 하녀</v>
      </c>
      <c r="L6148">
        <v>100</v>
      </c>
      <c r="M6148">
        <v>200</v>
      </c>
      <c r="N6148">
        <v>2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0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0</v>
      </c>
      <c r="AE6148">
        <v>0</v>
      </c>
      <c r="AF6148">
        <v>0</v>
      </c>
      <c r="AG6148">
        <v>0</v>
      </c>
      <c r="AH6148">
        <v>0</v>
      </c>
      <c r="AI6148">
        <v>200</v>
      </c>
      <c r="AJ6148">
        <v>2</v>
      </c>
      <c r="AK6148">
        <v>0</v>
      </c>
      <c r="AL6148">
        <v>0</v>
      </c>
      <c r="AM6148">
        <v>200</v>
      </c>
      <c r="AN6148">
        <v>0</v>
      </c>
      <c r="AO6148">
        <v>0</v>
      </c>
      <c r="AP6148">
        <v>0</v>
      </c>
      <c r="AQ6148">
        <v>0</v>
      </c>
      <c r="AS6148">
        <v>0</v>
      </c>
      <c r="AT6148">
        <v>0</v>
      </c>
      <c r="AV6148">
        <v>0</v>
      </c>
      <c r="AW6148">
        <v>0</v>
      </c>
      <c r="AY6148">
        <v>0</v>
      </c>
      <c r="AZ6148">
        <v>0</v>
      </c>
      <c r="BA6148">
        <v>140</v>
      </c>
      <c r="BE6148" t="str">
        <f>T("9791164099764")</f>
        <v>9791164099764</v>
      </c>
      <c r="BF6148" t="str">
        <f>T("k398585")</f>
        <v>k398585</v>
      </c>
      <c r="BG6148" t="str">
        <f>T("로판 웹소설 &gt; 서양풍 로판")</f>
        <v>로판 웹소설 &gt; 서양풍 로판</v>
      </c>
    </row>
    <row r="6149" spans="1:59">
      <c r="A6149" t="s">
        <v>60</v>
      </c>
      <c r="B6149" s="1">
        <v>46129</v>
      </c>
      <c r="C6149">
        <v>2378059762</v>
      </c>
      <c r="D6149">
        <v>2378068947</v>
      </c>
      <c r="E6149" t="str">
        <f>T("칼레이 백작가의 매맞이 하녀 외전 25화")</f>
        <v>칼레이 백작가의 매맞이 하녀 외전 25화</v>
      </c>
      <c r="F6149">
        <v>178</v>
      </c>
      <c r="G6149" t="str">
        <f>T("뮤사203")</f>
        <v>뮤사203</v>
      </c>
      <c r="J6149" t="str">
        <f>T("시계토끼")</f>
        <v>시계토끼</v>
      </c>
      <c r="K6149" t="str">
        <f>T("칼레이 백작가의 매맞이 하녀")</f>
        <v>칼레이 백작가의 매맞이 하녀</v>
      </c>
      <c r="L6149">
        <v>100</v>
      </c>
      <c r="M6149">
        <v>300</v>
      </c>
      <c r="N6149">
        <v>3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0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0</v>
      </c>
      <c r="AE6149">
        <v>0</v>
      </c>
      <c r="AF6149">
        <v>0</v>
      </c>
      <c r="AG6149">
        <v>0</v>
      </c>
      <c r="AH6149">
        <v>0</v>
      </c>
      <c r="AI6149">
        <v>300</v>
      </c>
      <c r="AJ6149">
        <v>3</v>
      </c>
      <c r="AK6149">
        <v>0</v>
      </c>
      <c r="AL6149">
        <v>0</v>
      </c>
      <c r="AM6149">
        <v>300</v>
      </c>
      <c r="AN6149">
        <v>0</v>
      </c>
      <c r="AO6149">
        <v>0</v>
      </c>
      <c r="AP6149">
        <v>0</v>
      </c>
      <c r="AQ6149">
        <v>0</v>
      </c>
      <c r="AS6149">
        <v>0</v>
      </c>
      <c r="AT6149">
        <v>0</v>
      </c>
      <c r="AV6149">
        <v>0</v>
      </c>
      <c r="AW6149">
        <v>0</v>
      </c>
      <c r="AY6149">
        <v>0</v>
      </c>
      <c r="AZ6149">
        <v>0</v>
      </c>
      <c r="BA6149">
        <v>210</v>
      </c>
      <c r="BE6149" t="str">
        <f>T("9791164099764")</f>
        <v>9791164099764</v>
      </c>
      <c r="BF6149" t="str">
        <f>T("k398586")</f>
        <v>k398586</v>
      </c>
      <c r="BG6149" t="str">
        <f>T("로판 웹소설 &gt; 서양풍 로판")</f>
        <v>로판 웹소설 &gt; 서양풍 로판</v>
      </c>
    </row>
    <row r="6150" spans="1:59">
      <c r="A6150" t="s">
        <v>60</v>
      </c>
      <c r="B6150" s="1">
        <v>46129</v>
      </c>
      <c r="C6150">
        <v>2378059762</v>
      </c>
      <c r="D6150">
        <v>2378068948</v>
      </c>
      <c r="E6150" t="str">
        <f>T("칼레이 백작가의 매맞이 하녀 외전 26화")</f>
        <v>칼레이 백작가의 매맞이 하녀 외전 26화</v>
      </c>
      <c r="F6150">
        <v>179</v>
      </c>
      <c r="G6150" t="str">
        <f>T("뮤사203")</f>
        <v>뮤사203</v>
      </c>
      <c r="J6150" t="str">
        <f>T("시계토끼")</f>
        <v>시계토끼</v>
      </c>
      <c r="K6150" t="str">
        <f>T("칼레이 백작가의 매맞이 하녀")</f>
        <v>칼레이 백작가의 매맞이 하녀</v>
      </c>
      <c r="L6150">
        <v>100</v>
      </c>
      <c r="M6150">
        <v>200</v>
      </c>
      <c r="N6150">
        <v>2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0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0</v>
      </c>
      <c r="AE6150">
        <v>0</v>
      </c>
      <c r="AF6150">
        <v>0</v>
      </c>
      <c r="AG6150">
        <v>0</v>
      </c>
      <c r="AH6150">
        <v>0</v>
      </c>
      <c r="AI6150">
        <v>200</v>
      </c>
      <c r="AJ6150">
        <v>2</v>
      </c>
      <c r="AK6150">
        <v>0</v>
      </c>
      <c r="AL6150">
        <v>0</v>
      </c>
      <c r="AM6150">
        <v>200</v>
      </c>
      <c r="AN6150">
        <v>0</v>
      </c>
      <c r="AO6150">
        <v>0</v>
      </c>
      <c r="AP6150">
        <v>0</v>
      </c>
      <c r="AQ6150">
        <v>0</v>
      </c>
      <c r="AS6150">
        <v>0</v>
      </c>
      <c r="AT6150">
        <v>0</v>
      </c>
      <c r="AV6150">
        <v>0</v>
      </c>
      <c r="AW6150">
        <v>0</v>
      </c>
      <c r="AY6150">
        <v>0</v>
      </c>
      <c r="AZ6150">
        <v>0</v>
      </c>
      <c r="BA6150">
        <v>140</v>
      </c>
      <c r="BE6150" t="str">
        <f>T("9791164099764")</f>
        <v>9791164099764</v>
      </c>
      <c r="BF6150" t="str">
        <f>T("k398587")</f>
        <v>k398587</v>
      </c>
      <c r="BG6150" t="str">
        <f>T("로판 웹소설 &gt; 서양풍 로판")</f>
        <v>로판 웹소설 &gt; 서양풍 로판</v>
      </c>
    </row>
    <row r="6151" spans="1:59">
      <c r="A6151" t="s">
        <v>60</v>
      </c>
      <c r="B6151" s="1">
        <v>46129</v>
      </c>
      <c r="C6151">
        <v>2378059762</v>
      </c>
      <c r="D6151">
        <v>2378068949</v>
      </c>
      <c r="E6151" t="str">
        <f>T("칼레이 백작가의 매맞이 하녀 외전 27화")</f>
        <v>칼레이 백작가의 매맞이 하녀 외전 27화</v>
      </c>
      <c r="F6151">
        <v>180</v>
      </c>
      <c r="G6151" t="str">
        <f>T("뮤사203")</f>
        <v>뮤사203</v>
      </c>
      <c r="J6151" t="str">
        <f>T("시계토끼")</f>
        <v>시계토끼</v>
      </c>
      <c r="K6151" t="str">
        <f>T("칼레이 백작가의 매맞이 하녀")</f>
        <v>칼레이 백작가의 매맞이 하녀</v>
      </c>
      <c r="L6151">
        <v>100</v>
      </c>
      <c r="M6151">
        <v>200</v>
      </c>
      <c r="N6151">
        <v>2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0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0</v>
      </c>
      <c r="AE6151">
        <v>0</v>
      </c>
      <c r="AF6151">
        <v>0</v>
      </c>
      <c r="AG6151">
        <v>0</v>
      </c>
      <c r="AH6151">
        <v>0</v>
      </c>
      <c r="AI6151">
        <v>200</v>
      </c>
      <c r="AJ6151">
        <v>2</v>
      </c>
      <c r="AK6151">
        <v>0</v>
      </c>
      <c r="AL6151">
        <v>0</v>
      </c>
      <c r="AM6151">
        <v>200</v>
      </c>
      <c r="AN6151">
        <v>0</v>
      </c>
      <c r="AO6151">
        <v>0</v>
      </c>
      <c r="AP6151">
        <v>0</v>
      </c>
      <c r="AQ6151">
        <v>0</v>
      </c>
      <c r="AS6151">
        <v>0</v>
      </c>
      <c r="AT6151">
        <v>0</v>
      </c>
      <c r="AV6151">
        <v>0</v>
      </c>
      <c r="AW6151">
        <v>0</v>
      </c>
      <c r="AY6151">
        <v>0</v>
      </c>
      <c r="AZ6151">
        <v>0</v>
      </c>
      <c r="BA6151">
        <v>140</v>
      </c>
      <c r="BE6151" t="str">
        <f>T("9791164099764")</f>
        <v>9791164099764</v>
      </c>
      <c r="BF6151" t="str">
        <f>T("k398588")</f>
        <v>k398588</v>
      </c>
      <c r="BG6151" t="str">
        <f>T("로판 웹소설 &gt; 서양풍 로판")</f>
        <v>로판 웹소설 &gt; 서양풍 로판</v>
      </c>
    </row>
    <row r="6152" spans="1:59">
      <c r="A6152" t="s">
        <v>60</v>
      </c>
      <c r="B6152" s="1">
        <v>46129</v>
      </c>
      <c r="C6152">
        <v>2378059762</v>
      </c>
      <c r="D6152">
        <v>2378068950</v>
      </c>
      <c r="E6152" t="str">
        <f>T("칼레이 백작가의 매맞이 하녀 외전 28화")</f>
        <v>칼레이 백작가의 매맞이 하녀 외전 28화</v>
      </c>
      <c r="F6152">
        <v>181</v>
      </c>
      <c r="G6152" t="str">
        <f>T("뮤사203")</f>
        <v>뮤사203</v>
      </c>
      <c r="J6152" t="str">
        <f>T("시계토끼")</f>
        <v>시계토끼</v>
      </c>
      <c r="K6152" t="str">
        <f>T("칼레이 백작가의 매맞이 하녀")</f>
        <v>칼레이 백작가의 매맞이 하녀</v>
      </c>
      <c r="L6152">
        <v>100</v>
      </c>
      <c r="M6152">
        <v>200</v>
      </c>
      <c r="N6152">
        <v>2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0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0</v>
      </c>
      <c r="AE6152">
        <v>0</v>
      </c>
      <c r="AF6152">
        <v>0</v>
      </c>
      <c r="AG6152">
        <v>0</v>
      </c>
      <c r="AH6152">
        <v>0</v>
      </c>
      <c r="AI6152">
        <v>200</v>
      </c>
      <c r="AJ6152">
        <v>2</v>
      </c>
      <c r="AK6152">
        <v>0</v>
      </c>
      <c r="AL6152">
        <v>0</v>
      </c>
      <c r="AM6152">
        <v>200</v>
      </c>
      <c r="AN6152">
        <v>0</v>
      </c>
      <c r="AO6152">
        <v>0</v>
      </c>
      <c r="AP6152">
        <v>0</v>
      </c>
      <c r="AQ6152">
        <v>0</v>
      </c>
      <c r="AS6152">
        <v>0</v>
      </c>
      <c r="AT6152">
        <v>0</v>
      </c>
      <c r="AV6152">
        <v>0</v>
      </c>
      <c r="AW6152">
        <v>0</v>
      </c>
      <c r="AY6152">
        <v>0</v>
      </c>
      <c r="AZ6152">
        <v>0</v>
      </c>
      <c r="BA6152">
        <v>140</v>
      </c>
      <c r="BE6152" t="str">
        <f>T("9791164099764")</f>
        <v>9791164099764</v>
      </c>
      <c r="BF6152" t="str">
        <f>T("k398589")</f>
        <v>k398589</v>
      </c>
      <c r="BG6152" t="str">
        <f>T("로판 웹소설 &gt; 서양풍 로판")</f>
        <v>로판 웹소설 &gt; 서양풍 로판</v>
      </c>
    </row>
    <row r="6153" spans="1:59">
      <c r="A6153" t="s">
        <v>60</v>
      </c>
      <c r="B6153" s="1">
        <v>46129</v>
      </c>
      <c r="C6153">
        <v>2378059762</v>
      </c>
      <c r="D6153">
        <v>2378068951</v>
      </c>
      <c r="E6153" t="str">
        <f>T("칼레이 백작가의 매맞이 하녀 외전 29화")</f>
        <v>칼레이 백작가의 매맞이 하녀 외전 29화</v>
      </c>
      <c r="F6153">
        <v>182</v>
      </c>
      <c r="G6153" t="str">
        <f>T("뮤사203")</f>
        <v>뮤사203</v>
      </c>
      <c r="J6153" t="str">
        <f>T("시계토끼")</f>
        <v>시계토끼</v>
      </c>
      <c r="K6153" t="str">
        <f>T("칼레이 백작가의 매맞이 하녀")</f>
        <v>칼레이 백작가의 매맞이 하녀</v>
      </c>
      <c r="L6153">
        <v>100</v>
      </c>
      <c r="M6153">
        <v>200</v>
      </c>
      <c r="N6153">
        <v>2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0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0</v>
      </c>
      <c r="AE6153">
        <v>0</v>
      </c>
      <c r="AF6153">
        <v>0</v>
      </c>
      <c r="AG6153">
        <v>0</v>
      </c>
      <c r="AH6153">
        <v>0</v>
      </c>
      <c r="AI6153">
        <v>200</v>
      </c>
      <c r="AJ6153">
        <v>2</v>
      </c>
      <c r="AK6153">
        <v>0</v>
      </c>
      <c r="AL6153">
        <v>0</v>
      </c>
      <c r="AM6153">
        <v>200</v>
      </c>
      <c r="AN6153">
        <v>0</v>
      </c>
      <c r="AO6153">
        <v>0</v>
      </c>
      <c r="AP6153">
        <v>0</v>
      </c>
      <c r="AQ6153">
        <v>0</v>
      </c>
      <c r="AS6153">
        <v>0</v>
      </c>
      <c r="AT6153">
        <v>0</v>
      </c>
      <c r="AV6153">
        <v>0</v>
      </c>
      <c r="AW6153">
        <v>0</v>
      </c>
      <c r="AY6153">
        <v>0</v>
      </c>
      <c r="AZ6153">
        <v>0</v>
      </c>
      <c r="BA6153">
        <v>140</v>
      </c>
      <c r="BE6153" t="str">
        <f>T("9791164099764")</f>
        <v>9791164099764</v>
      </c>
      <c r="BF6153" t="str">
        <f>T("k398590")</f>
        <v>k398590</v>
      </c>
      <c r="BG6153" t="str">
        <f>T("로판 웹소설 &gt; 서양풍 로판")</f>
        <v>로판 웹소설 &gt; 서양풍 로판</v>
      </c>
    </row>
    <row r="6154" spans="1:59">
      <c r="A6154" t="s">
        <v>60</v>
      </c>
      <c r="B6154" s="1">
        <v>46129</v>
      </c>
      <c r="C6154">
        <v>2378059762</v>
      </c>
      <c r="D6154">
        <v>2378068952</v>
      </c>
      <c r="E6154" t="str">
        <f>T("칼레이 백작가의 매맞이 하녀 외전 30화")</f>
        <v>칼레이 백작가의 매맞이 하녀 외전 30화</v>
      </c>
      <c r="F6154">
        <v>183</v>
      </c>
      <c r="G6154" t="str">
        <f>T("뮤사203")</f>
        <v>뮤사203</v>
      </c>
      <c r="J6154" t="str">
        <f>T("시계토끼")</f>
        <v>시계토끼</v>
      </c>
      <c r="K6154" t="str">
        <f>T("칼레이 백작가의 매맞이 하녀")</f>
        <v>칼레이 백작가의 매맞이 하녀</v>
      </c>
      <c r="L6154">
        <v>100</v>
      </c>
      <c r="M6154">
        <v>300</v>
      </c>
      <c r="N6154">
        <v>3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0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0</v>
      </c>
      <c r="AE6154">
        <v>0</v>
      </c>
      <c r="AF6154">
        <v>0</v>
      </c>
      <c r="AG6154">
        <v>0</v>
      </c>
      <c r="AH6154">
        <v>0</v>
      </c>
      <c r="AI6154">
        <v>300</v>
      </c>
      <c r="AJ6154">
        <v>3</v>
      </c>
      <c r="AK6154">
        <v>0</v>
      </c>
      <c r="AL6154">
        <v>0</v>
      </c>
      <c r="AM6154">
        <v>300</v>
      </c>
      <c r="AN6154">
        <v>0</v>
      </c>
      <c r="AO6154">
        <v>0</v>
      </c>
      <c r="AP6154">
        <v>0</v>
      </c>
      <c r="AQ6154">
        <v>0</v>
      </c>
      <c r="AS6154">
        <v>0</v>
      </c>
      <c r="AT6154">
        <v>0</v>
      </c>
      <c r="AV6154">
        <v>0</v>
      </c>
      <c r="AW6154">
        <v>0</v>
      </c>
      <c r="AY6154">
        <v>0</v>
      </c>
      <c r="AZ6154">
        <v>0</v>
      </c>
      <c r="BA6154">
        <v>210</v>
      </c>
      <c r="BE6154" t="str">
        <f>T("9791164099764")</f>
        <v>9791164099764</v>
      </c>
      <c r="BF6154" t="str">
        <f>T("k398591")</f>
        <v>k398591</v>
      </c>
      <c r="BG6154" t="str">
        <f>T("로판 웹소설 &gt; 서양풍 로판")</f>
        <v>로판 웹소설 &gt; 서양풍 로판</v>
      </c>
    </row>
    <row r="6155" spans="1:59">
      <c r="A6155" t="s">
        <v>60</v>
      </c>
      <c r="B6155" s="1">
        <v>46129</v>
      </c>
      <c r="C6155">
        <v>2378059762</v>
      </c>
      <c r="D6155">
        <v>2378068953</v>
      </c>
      <c r="E6155" t="str">
        <f>T("칼레이 백작가의 매맞이 하녀 외전 31화")</f>
        <v>칼레이 백작가의 매맞이 하녀 외전 31화</v>
      </c>
      <c r="F6155">
        <v>184</v>
      </c>
      <c r="G6155" t="str">
        <f>T("뮤사203")</f>
        <v>뮤사203</v>
      </c>
      <c r="J6155" t="str">
        <f>T("시계토끼")</f>
        <v>시계토끼</v>
      </c>
      <c r="K6155" t="str">
        <f>T("칼레이 백작가의 매맞이 하녀")</f>
        <v>칼레이 백작가의 매맞이 하녀</v>
      </c>
      <c r="L6155">
        <v>100</v>
      </c>
      <c r="M6155">
        <v>400</v>
      </c>
      <c r="N6155">
        <v>4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0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0</v>
      </c>
      <c r="AE6155">
        <v>0</v>
      </c>
      <c r="AF6155">
        <v>0</v>
      </c>
      <c r="AG6155">
        <v>0</v>
      </c>
      <c r="AH6155">
        <v>0</v>
      </c>
      <c r="AI6155">
        <v>400</v>
      </c>
      <c r="AJ6155">
        <v>4</v>
      </c>
      <c r="AK6155">
        <v>0</v>
      </c>
      <c r="AL6155">
        <v>0</v>
      </c>
      <c r="AM6155">
        <v>400</v>
      </c>
      <c r="AN6155">
        <v>0</v>
      </c>
      <c r="AO6155">
        <v>0</v>
      </c>
      <c r="AP6155">
        <v>0</v>
      </c>
      <c r="AQ6155">
        <v>0</v>
      </c>
      <c r="AS6155">
        <v>0</v>
      </c>
      <c r="AT6155">
        <v>0</v>
      </c>
      <c r="AV6155">
        <v>0</v>
      </c>
      <c r="AW6155">
        <v>0</v>
      </c>
      <c r="AY6155">
        <v>0</v>
      </c>
      <c r="AZ6155">
        <v>0</v>
      </c>
      <c r="BA6155">
        <v>280</v>
      </c>
      <c r="BE6155" t="str">
        <f>T("9791164099764")</f>
        <v>9791164099764</v>
      </c>
      <c r="BF6155" t="str">
        <f>T("k398592")</f>
        <v>k398592</v>
      </c>
      <c r="BG6155" t="str">
        <f>T("로판 웹소설 &gt; 서양풍 로판")</f>
        <v>로판 웹소설 &gt; 서양풍 로판</v>
      </c>
    </row>
    <row r="6156" spans="1:59">
      <c r="A6156" t="s">
        <v>60</v>
      </c>
      <c r="B6156" s="1">
        <v>46129</v>
      </c>
      <c r="C6156">
        <v>2378059762</v>
      </c>
      <c r="D6156">
        <v>2378059762</v>
      </c>
      <c r="E6156" t="str">
        <f>T("칼레이 백작가의 매맞이 하녀 1화")</f>
        <v>칼레이 백작가의 매맞이 하녀 1화</v>
      </c>
      <c r="F6156">
        <v>1</v>
      </c>
      <c r="G6156" t="str">
        <f>T("뮤사203")</f>
        <v>뮤사203</v>
      </c>
      <c r="J6156" t="str">
        <f>T("시계토끼")</f>
        <v>시계토끼</v>
      </c>
      <c r="K6156" t="str">
        <f>T("칼레이 백작가의 매맞이 하녀")</f>
        <v>칼레이 백작가의 매맞이 하녀</v>
      </c>
      <c r="L6156">
        <v>0</v>
      </c>
      <c r="M6156">
        <v>0</v>
      </c>
      <c r="N6156">
        <v>0</v>
      </c>
      <c r="O6156">
        <v>3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0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0</v>
      </c>
      <c r="AE6156">
        <v>0</v>
      </c>
      <c r="AF6156">
        <v>0</v>
      </c>
      <c r="AG6156">
        <v>0</v>
      </c>
      <c r="AH6156">
        <v>0</v>
      </c>
      <c r="AI6156">
        <v>0</v>
      </c>
      <c r="AJ6156">
        <v>3</v>
      </c>
      <c r="AK6156">
        <v>0</v>
      </c>
      <c r="AL6156">
        <v>0</v>
      </c>
      <c r="AM6156">
        <v>0</v>
      </c>
      <c r="AN6156">
        <v>0</v>
      </c>
      <c r="AO6156">
        <v>0</v>
      </c>
      <c r="AP6156">
        <v>0</v>
      </c>
      <c r="AQ6156">
        <v>0</v>
      </c>
      <c r="AS6156">
        <v>0</v>
      </c>
      <c r="AT6156">
        <v>0</v>
      </c>
      <c r="AV6156">
        <v>0</v>
      </c>
      <c r="AW6156">
        <v>0</v>
      </c>
      <c r="AY6156">
        <v>0</v>
      </c>
      <c r="AZ6156">
        <v>0</v>
      </c>
      <c r="BA6156">
        <v>0</v>
      </c>
      <c r="BE6156" t="str">
        <f>T("9791164099764")</f>
        <v>9791164099764</v>
      </c>
      <c r="BF6156" t="str">
        <f>T("k201680")</f>
        <v>k201680</v>
      </c>
      <c r="BG6156" t="str">
        <f>T("로판 웹소설 &gt; 서양풍 로판")</f>
        <v>로판 웹소설 &gt; 서양풍 로판</v>
      </c>
    </row>
    <row r="6157" spans="1:59">
      <c r="A6157" t="s">
        <v>60</v>
      </c>
      <c r="B6157" s="1">
        <v>46129</v>
      </c>
      <c r="C6157">
        <v>2378059762</v>
      </c>
      <c r="D6157">
        <v>2378059763</v>
      </c>
      <c r="E6157" t="str">
        <f>T("칼레이 백작가의 매맞이 하녀 2화")</f>
        <v>칼레이 백작가의 매맞이 하녀 2화</v>
      </c>
      <c r="F6157">
        <v>2</v>
      </c>
      <c r="G6157" t="str">
        <f>T("뮤사203")</f>
        <v>뮤사203</v>
      </c>
      <c r="J6157" t="str">
        <f>T("시계토끼")</f>
        <v>시계토끼</v>
      </c>
      <c r="K6157" t="str">
        <f>T("칼레이 백작가의 매맞이 하녀")</f>
        <v>칼레이 백작가의 매맞이 하녀</v>
      </c>
      <c r="L6157">
        <v>0</v>
      </c>
      <c r="M6157">
        <v>0</v>
      </c>
      <c r="N6157">
        <v>0</v>
      </c>
      <c r="O6157">
        <v>1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0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0</v>
      </c>
      <c r="AE6157">
        <v>0</v>
      </c>
      <c r="AF6157">
        <v>0</v>
      </c>
      <c r="AG6157">
        <v>0</v>
      </c>
      <c r="AH6157">
        <v>0</v>
      </c>
      <c r="AI6157">
        <v>0</v>
      </c>
      <c r="AJ6157">
        <v>1</v>
      </c>
      <c r="AK6157">
        <v>0</v>
      </c>
      <c r="AL6157">
        <v>0</v>
      </c>
      <c r="AM6157">
        <v>0</v>
      </c>
      <c r="AN6157">
        <v>0</v>
      </c>
      <c r="AO6157">
        <v>0</v>
      </c>
      <c r="AP6157">
        <v>0</v>
      </c>
      <c r="AQ6157">
        <v>0</v>
      </c>
      <c r="AS6157">
        <v>0</v>
      </c>
      <c r="AT6157">
        <v>0</v>
      </c>
      <c r="AV6157">
        <v>0</v>
      </c>
      <c r="AW6157">
        <v>0</v>
      </c>
      <c r="AY6157">
        <v>0</v>
      </c>
      <c r="AZ6157">
        <v>0</v>
      </c>
      <c r="BA6157">
        <v>0</v>
      </c>
      <c r="BE6157" t="str">
        <f>T("9791164099764")</f>
        <v>9791164099764</v>
      </c>
      <c r="BF6157" t="str">
        <f>T("k201681")</f>
        <v>k201681</v>
      </c>
      <c r="BG6157" t="str">
        <f>T("로판 웹소설 &gt; 서양풍 로판")</f>
        <v>로판 웹소설 &gt; 서양풍 로판</v>
      </c>
    </row>
    <row r="6158" spans="1:59">
      <c r="A6158" t="s">
        <v>60</v>
      </c>
      <c r="B6158" s="1">
        <v>46129</v>
      </c>
      <c r="C6158">
        <v>2378059762</v>
      </c>
      <c r="D6158">
        <v>2378059764</v>
      </c>
      <c r="E6158" t="str">
        <f>T("칼레이 백작가의 매맞이 하녀 3화")</f>
        <v>칼레이 백작가의 매맞이 하녀 3화</v>
      </c>
      <c r="F6158">
        <v>3</v>
      </c>
      <c r="G6158" t="str">
        <f>T("뮤사203")</f>
        <v>뮤사203</v>
      </c>
      <c r="J6158" t="str">
        <f>T("시계토끼")</f>
        <v>시계토끼</v>
      </c>
      <c r="K6158" t="str">
        <f>T("칼레이 백작가의 매맞이 하녀")</f>
        <v>칼레이 백작가의 매맞이 하녀</v>
      </c>
      <c r="L6158">
        <v>0</v>
      </c>
      <c r="M6158">
        <v>0</v>
      </c>
      <c r="N6158">
        <v>0</v>
      </c>
      <c r="O6158">
        <v>2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0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0</v>
      </c>
      <c r="AE6158">
        <v>0</v>
      </c>
      <c r="AF6158">
        <v>0</v>
      </c>
      <c r="AG6158">
        <v>0</v>
      </c>
      <c r="AH6158">
        <v>0</v>
      </c>
      <c r="AI6158">
        <v>0</v>
      </c>
      <c r="AJ6158">
        <v>2</v>
      </c>
      <c r="AK6158">
        <v>0</v>
      </c>
      <c r="AL6158">
        <v>0</v>
      </c>
      <c r="AM6158">
        <v>0</v>
      </c>
      <c r="AN6158">
        <v>0</v>
      </c>
      <c r="AO6158">
        <v>0</v>
      </c>
      <c r="AP6158">
        <v>0</v>
      </c>
      <c r="AQ6158">
        <v>0</v>
      </c>
      <c r="AS6158">
        <v>0</v>
      </c>
      <c r="AT6158">
        <v>0</v>
      </c>
      <c r="AV6158">
        <v>0</v>
      </c>
      <c r="AW6158">
        <v>0</v>
      </c>
      <c r="AY6158">
        <v>0</v>
      </c>
      <c r="AZ6158">
        <v>0</v>
      </c>
      <c r="BA6158">
        <v>0</v>
      </c>
      <c r="BE6158" t="str">
        <f>T("9791164099764")</f>
        <v>9791164099764</v>
      </c>
      <c r="BF6158" t="str">
        <f>T("k201682")</f>
        <v>k201682</v>
      </c>
      <c r="BG6158" t="str">
        <f>T("로판 웹소설 &gt; 서양풍 로판")</f>
        <v>로판 웹소설 &gt; 서양풍 로판</v>
      </c>
    </row>
    <row r="6159" spans="1:59">
      <c r="A6159" t="s">
        <v>60</v>
      </c>
      <c r="B6159" s="1">
        <v>46129</v>
      </c>
      <c r="C6159">
        <v>2378059762</v>
      </c>
      <c r="D6159">
        <v>2378059766</v>
      </c>
      <c r="E6159" t="str">
        <f>T("칼레이 백작가의 매맞이 하녀 5화")</f>
        <v>칼레이 백작가의 매맞이 하녀 5화</v>
      </c>
      <c r="F6159">
        <v>5</v>
      </c>
      <c r="G6159" t="str">
        <f>T("뮤사203")</f>
        <v>뮤사203</v>
      </c>
      <c r="J6159" t="str">
        <f>T("시계토끼")</f>
        <v>시계토끼</v>
      </c>
      <c r="K6159" t="str">
        <f>T("칼레이 백작가의 매맞이 하녀")</f>
        <v>칼레이 백작가의 매맞이 하녀</v>
      </c>
      <c r="L6159">
        <v>100</v>
      </c>
      <c r="M6159">
        <v>0</v>
      </c>
      <c r="N6159">
        <v>0</v>
      </c>
      <c r="O6159">
        <v>0</v>
      </c>
      <c r="P6159">
        <v>0</v>
      </c>
      <c r="Q6159">
        <v>0</v>
      </c>
      <c r="R6159">
        <v>1</v>
      </c>
      <c r="S6159">
        <v>0</v>
      </c>
      <c r="T6159">
        <v>0</v>
      </c>
      <c r="U6159">
        <v>0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0</v>
      </c>
      <c r="AE6159">
        <v>0</v>
      </c>
      <c r="AF6159">
        <v>0</v>
      </c>
      <c r="AG6159">
        <v>0</v>
      </c>
      <c r="AH6159">
        <v>0</v>
      </c>
      <c r="AI6159">
        <v>0</v>
      </c>
      <c r="AJ6159">
        <v>1</v>
      </c>
      <c r="AK6159">
        <v>0</v>
      </c>
      <c r="AL6159">
        <v>0</v>
      </c>
      <c r="AM6159">
        <v>0</v>
      </c>
      <c r="AN6159">
        <v>0</v>
      </c>
      <c r="AO6159">
        <v>0</v>
      </c>
      <c r="AP6159">
        <v>0</v>
      </c>
      <c r="AQ6159">
        <v>0</v>
      </c>
      <c r="AS6159">
        <v>0</v>
      </c>
      <c r="AT6159">
        <v>0</v>
      </c>
      <c r="AV6159">
        <v>0</v>
      </c>
      <c r="AW6159">
        <v>0</v>
      </c>
      <c r="AY6159">
        <v>0</v>
      </c>
      <c r="AZ6159">
        <v>0</v>
      </c>
      <c r="BA6159">
        <v>0</v>
      </c>
      <c r="BE6159" t="str">
        <f>T("9791164099764")</f>
        <v>9791164099764</v>
      </c>
      <c r="BF6159" t="str">
        <f>T("k201684")</f>
        <v>k201684</v>
      </c>
      <c r="BG6159" t="str">
        <f>T("로판 웹소설 &gt; 서양풍 로판")</f>
        <v>로판 웹소설 &gt; 서양풍 로판</v>
      </c>
    </row>
    <row r="6160" spans="1:59">
      <c r="A6160" t="s">
        <v>60</v>
      </c>
      <c r="B6160" s="1">
        <v>46129</v>
      </c>
      <c r="C6160">
        <v>2378059762</v>
      </c>
      <c r="D6160">
        <v>2378059783</v>
      </c>
      <c r="E6160" t="str">
        <f>T("칼레이 백작가의 매맞이 하녀 22화")</f>
        <v>칼레이 백작가의 매맞이 하녀 22화</v>
      </c>
      <c r="F6160">
        <v>22</v>
      </c>
      <c r="G6160" t="str">
        <f>T("뮤사203")</f>
        <v>뮤사203</v>
      </c>
      <c r="J6160" t="str">
        <f>T("시계토끼")</f>
        <v>시계토끼</v>
      </c>
      <c r="K6160" t="str">
        <f>T("칼레이 백작가의 매맞이 하녀")</f>
        <v>칼레이 백작가의 매맞이 하녀</v>
      </c>
      <c r="L6160">
        <v>100</v>
      </c>
      <c r="M6160">
        <v>0</v>
      </c>
      <c r="N6160">
        <v>0</v>
      </c>
      <c r="O6160">
        <v>0</v>
      </c>
      <c r="P6160">
        <v>0</v>
      </c>
      <c r="Q6160">
        <v>0</v>
      </c>
      <c r="R6160">
        <v>1</v>
      </c>
      <c r="S6160">
        <v>0</v>
      </c>
      <c r="T6160">
        <v>0</v>
      </c>
      <c r="U6160">
        <v>0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0</v>
      </c>
      <c r="AE6160">
        <v>0</v>
      </c>
      <c r="AF6160">
        <v>0</v>
      </c>
      <c r="AG6160">
        <v>0</v>
      </c>
      <c r="AH6160">
        <v>0</v>
      </c>
      <c r="AI6160">
        <v>0</v>
      </c>
      <c r="AJ6160">
        <v>1</v>
      </c>
      <c r="AK6160">
        <v>0</v>
      </c>
      <c r="AL6160">
        <v>0</v>
      </c>
      <c r="AM6160">
        <v>0</v>
      </c>
      <c r="AN6160">
        <v>0</v>
      </c>
      <c r="AO6160">
        <v>0</v>
      </c>
      <c r="AP6160">
        <v>0</v>
      </c>
      <c r="AQ6160">
        <v>0</v>
      </c>
      <c r="AS6160">
        <v>0</v>
      </c>
      <c r="AT6160">
        <v>0</v>
      </c>
      <c r="AV6160">
        <v>0</v>
      </c>
      <c r="AW6160">
        <v>0</v>
      </c>
      <c r="AY6160">
        <v>0</v>
      </c>
      <c r="AZ6160">
        <v>0</v>
      </c>
      <c r="BA6160">
        <v>0</v>
      </c>
      <c r="BE6160" t="str">
        <f>T("9791164099764")</f>
        <v>9791164099764</v>
      </c>
      <c r="BF6160" t="str">
        <f>T("k201701")</f>
        <v>k201701</v>
      </c>
      <c r="BG6160" t="str">
        <f>T("로판 웹소설 &gt; 서양풍 로판")</f>
        <v>로판 웹소설 &gt; 서양풍 로판</v>
      </c>
    </row>
    <row r="6161" spans="1:59">
      <c r="A6161" t="s">
        <v>60</v>
      </c>
      <c r="B6161" s="1">
        <v>46129</v>
      </c>
      <c r="C6161">
        <v>2378059762</v>
      </c>
      <c r="D6161">
        <v>2378059784</v>
      </c>
      <c r="E6161" t="str">
        <f>T("칼레이 백작가의 매맞이 하녀 23화")</f>
        <v>칼레이 백작가의 매맞이 하녀 23화</v>
      </c>
      <c r="F6161">
        <v>23</v>
      </c>
      <c r="G6161" t="str">
        <f>T("뮤사203")</f>
        <v>뮤사203</v>
      </c>
      <c r="J6161" t="str">
        <f>T("시계토끼")</f>
        <v>시계토끼</v>
      </c>
      <c r="K6161" t="str">
        <f>T("칼레이 백작가의 매맞이 하녀")</f>
        <v>칼레이 백작가의 매맞이 하녀</v>
      </c>
      <c r="L6161">
        <v>100</v>
      </c>
      <c r="M6161">
        <v>0</v>
      </c>
      <c r="N6161">
        <v>0</v>
      </c>
      <c r="O6161">
        <v>0</v>
      </c>
      <c r="P6161">
        <v>0</v>
      </c>
      <c r="Q6161">
        <v>0</v>
      </c>
      <c r="R6161">
        <v>1</v>
      </c>
      <c r="S6161">
        <v>0</v>
      </c>
      <c r="T6161">
        <v>0</v>
      </c>
      <c r="U6161">
        <v>0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0</v>
      </c>
      <c r="AE6161">
        <v>0</v>
      </c>
      <c r="AF6161">
        <v>0</v>
      </c>
      <c r="AG6161">
        <v>0</v>
      </c>
      <c r="AH6161">
        <v>0</v>
      </c>
      <c r="AI6161">
        <v>0</v>
      </c>
      <c r="AJ6161">
        <v>1</v>
      </c>
      <c r="AK6161">
        <v>0</v>
      </c>
      <c r="AL6161">
        <v>0</v>
      </c>
      <c r="AM6161">
        <v>0</v>
      </c>
      <c r="AN6161">
        <v>0</v>
      </c>
      <c r="AO6161">
        <v>0</v>
      </c>
      <c r="AP6161">
        <v>0</v>
      </c>
      <c r="AQ6161">
        <v>0</v>
      </c>
      <c r="AS6161">
        <v>0</v>
      </c>
      <c r="AT6161">
        <v>0</v>
      </c>
      <c r="AV6161">
        <v>0</v>
      </c>
      <c r="AW6161">
        <v>0</v>
      </c>
      <c r="AY6161">
        <v>0</v>
      </c>
      <c r="AZ6161">
        <v>0</v>
      </c>
      <c r="BA6161">
        <v>0</v>
      </c>
      <c r="BE6161" t="str">
        <f>T("9791164099764")</f>
        <v>9791164099764</v>
      </c>
      <c r="BF6161" t="str">
        <f>T("k201702")</f>
        <v>k201702</v>
      </c>
      <c r="BG6161" t="str">
        <f>T("로판 웹소설 &gt; 서양풍 로판")</f>
        <v>로판 웹소설 &gt; 서양풍 로판</v>
      </c>
    </row>
    <row r="6162" spans="1:59">
      <c r="A6162" t="s">
        <v>60</v>
      </c>
      <c r="B6162" s="1">
        <v>46129</v>
      </c>
      <c r="C6162">
        <v>2378059762</v>
      </c>
      <c r="D6162">
        <v>2378059787</v>
      </c>
      <c r="E6162" t="str">
        <f>T("칼레이 백작가의 매맞이 하녀 26화")</f>
        <v>칼레이 백작가의 매맞이 하녀 26화</v>
      </c>
      <c r="F6162">
        <v>26</v>
      </c>
      <c r="G6162" t="str">
        <f>T("뮤사203")</f>
        <v>뮤사203</v>
      </c>
      <c r="J6162" t="str">
        <f>T("시계토끼")</f>
        <v>시계토끼</v>
      </c>
      <c r="K6162" t="str">
        <f>T("칼레이 백작가의 매맞이 하녀")</f>
        <v>칼레이 백작가의 매맞이 하녀</v>
      </c>
      <c r="L6162">
        <v>100</v>
      </c>
      <c r="M6162">
        <v>100</v>
      </c>
      <c r="N6162">
        <v>1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0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0</v>
      </c>
      <c r="AE6162">
        <v>0</v>
      </c>
      <c r="AF6162">
        <v>0</v>
      </c>
      <c r="AG6162">
        <v>0</v>
      </c>
      <c r="AH6162">
        <v>0</v>
      </c>
      <c r="AI6162">
        <v>100</v>
      </c>
      <c r="AJ6162">
        <v>1</v>
      </c>
      <c r="AK6162">
        <v>0</v>
      </c>
      <c r="AL6162">
        <v>0</v>
      </c>
      <c r="AM6162">
        <v>100</v>
      </c>
      <c r="AN6162">
        <v>0</v>
      </c>
      <c r="AO6162">
        <v>0</v>
      </c>
      <c r="AP6162">
        <v>0</v>
      </c>
      <c r="AQ6162">
        <v>0</v>
      </c>
      <c r="AS6162">
        <v>0</v>
      </c>
      <c r="AT6162">
        <v>0</v>
      </c>
      <c r="AV6162">
        <v>0</v>
      </c>
      <c r="AW6162">
        <v>0</v>
      </c>
      <c r="AY6162">
        <v>0</v>
      </c>
      <c r="AZ6162">
        <v>0</v>
      </c>
      <c r="BA6162">
        <v>70</v>
      </c>
      <c r="BE6162" t="str">
        <f>T("9791164099764")</f>
        <v>9791164099764</v>
      </c>
      <c r="BF6162" t="str">
        <f>T("k201705")</f>
        <v>k201705</v>
      </c>
      <c r="BG6162" t="str">
        <f>T("로판 웹소설 &gt; 서양풍 로판")</f>
        <v>로판 웹소설 &gt; 서양풍 로판</v>
      </c>
    </row>
    <row r="6163" spans="1:59">
      <c r="A6163" t="s">
        <v>60</v>
      </c>
      <c r="B6163" s="1">
        <v>46129</v>
      </c>
      <c r="C6163">
        <v>2378059762</v>
      </c>
      <c r="D6163">
        <v>2378059792</v>
      </c>
      <c r="E6163" t="str">
        <f>T("칼레이 백작가의 매맞이 하녀 31화")</f>
        <v>칼레이 백작가의 매맞이 하녀 31화</v>
      </c>
      <c r="F6163">
        <v>31</v>
      </c>
      <c r="G6163" t="str">
        <f>T("뮤사203")</f>
        <v>뮤사203</v>
      </c>
      <c r="J6163" t="str">
        <f>T("시계토끼")</f>
        <v>시계토끼</v>
      </c>
      <c r="K6163" t="str">
        <f>T("칼레이 백작가의 매맞이 하녀")</f>
        <v>칼레이 백작가의 매맞이 하녀</v>
      </c>
      <c r="L6163">
        <v>100</v>
      </c>
      <c r="M6163">
        <v>0</v>
      </c>
      <c r="N6163">
        <v>0</v>
      </c>
      <c r="O6163">
        <v>0</v>
      </c>
      <c r="P6163">
        <v>0</v>
      </c>
      <c r="Q6163">
        <v>0</v>
      </c>
      <c r="R6163">
        <v>1</v>
      </c>
      <c r="S6163">
        <v>0</v>
      </c>
      <c r="T6163">
        <v>0</v>
      </c>
      <c r="U6163">
        <v>0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0</v>
      </c>
      <c r="AE6163">
        <v>0</v>
      </c>
      <c r="AF6163">
        <v>0</v>
      </c>
      <c r="AG6163">
        <v>0</v>
      </c>
      <c r="AH6163">
        <v>0</v>
      </c>
      <c r="AI6163">
        <v>0</v>
      </c>
      <c r="AJ6163">
        <v>1</v>
      </c>
      <c r="AK6163">
        <v>0</v>
      </c>
      <c r="AL6163">
        <v>0</v>
      </c>
      <c r="AM6163">
        <v>0</v>
      </c>
      <c r="AN6163">
        <v>0</v>
      </c>
      <c r="AO6163">
        <v>0</v>
      </c>
      <c r="AP6163">
        <v>0</v>
      </c>
      <c r="AQ6163">
        <v>0</v>
      </c>
      <c r="AS6163">
        <v>0</v>
      </c>
      <c r="AT6163">
        <v>0</v>
      </c>
      <c r="AV6163">
        <v>0</v>
      </c>
      <c r="AW6163">
        <v>0</v>
      </c>
      <c r="AY6163">
        <v>0</v>
      </c>
      <c r="AZ6163">
        <v>0</v>
      </c>
      <c r="BA6163">
        <v>0</v>
      </c>
      <c r="BE6163" t="str">
        <f>T("9791164099764")</f>
        <v>9791164099764</v>
      </c>
      <c r="BF6163" t="str">
        <f>T("k201710")</f>
        <v>k201710</v>
      </c>
      <c r="BG6163" t="str">
        <f>T("로판 웹소설 &gt; 서양풍 로판")</f>
        <v>로판 웹소설 &gt; 서양풍 로판</v>
      </c>
    </row>
    <row r="6164" spans="1:59">
      <c r="A6164" t="s">
        <v>60</v>
      </c>
      <c r="B6164" s="1">
        <v>46129</v>
      </c>
      <c r="C6164">
        <v>2378059762</v>
      </c>
      <c r="D6164">
        <v>2378059795</v>
      </c>
      <c r="E6164" t="str">
        <f>T("칼레이 백작가의 매맞이 하녀 34화")</f>
        <v>칼레이 백작가의 매맞이 하녀 34화</v>
      </c>
      <c r="F6164">
        <v>34</v>
      </c>
      <c r="G6164" t="str">
        <f>T("뮤사203")</f>
        <v>뮤사203</v>
      </c>
      <c r="J6164" t="str">
        <f>T("시계토끼")</f>
        <v>시계토끼</v>
      </c>
      <c r="K6164" t="str">
        <f>T("칼레이 백작가의 매맞이 하녀")</f>
        <v>칼레이 백작가의 매맞이 하녀</v>
      </c>
      <c r="L6164">
        <v>100</v>
      </c>
      <c r="M6164">
        <v>100</v>
      </c>
      <c r="N6164">
        <v>1</v>
      </c>
      <c r="O6164">
        <v>0</v>
      </c>
      <c r="P6164">
        <v>0</v>
      </c>
      <c r="Q6164">
        <v>0</v>
      </c>
      <c r="R6164">
        <v>1</v>
      </c>
      <c r="S6164">
        <v>0</v>
      </c>
      <c r="T6164">
        <v>0</v>
      </c>
      <c r="U6164">
        <v>0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0</v>
      </c>
      <c r="AE6164">
        <v>0</v>
      </c>
      <c r="AF6164">
        <v>0</v>
      </c>
      <c r="AG6164">
        <v>0</v>
      </c>
      <c r="AH6164">
        <v>0</v>
      </c>
      <c r="AI6164">
        <v>100</v>
      </c>
      <c r="AJ6164">
        <v>2</v>
      </c>
      <c r="AK6164">
        <v>0</v>
      </c>
      <c r="AL6164">
        <v>0</v>
      </c>
      <c r="AM6164">
        <v>100</v>
      </c>
      <c r="AN6164">
        <v>0</v>
      </c>
      <c r="AO6164">
        <v>0</v>
      </c>
      <c r="AP6164">
        <v>0</v>
      </c>
      <c r="AQ6164">
        <v>0</v>
      </c>
      <c r="AS6164">
        <v>0</v>
      </c>
      <c r="AT6164">
        <v>0</v>
      </c>
      <c r="AV6164">
        <v>0</v>
      </c>
      <c r="AW6164">
        <v>0</v>
      </c>
      <c r="AY6164">
        <v>0</v>
      </c>
      <c r="AZ6164">
        <v>0</v>
      </c>
      <c r="BA6164">
        <v>70</v>
      </c>
      <c r="BE6164" t="str">
        <f>T("9791164099764")</f>
        <v>9791164099764</v>
      </c>
      <c r="BF6164" t="str">
        <f>T("k201713")</f>
        <v>k201713</v>
      </c>
      <c r="BG6164" t="str">
        <f>T("로판 웹소설 &gt; 서양풍 로판")</f>
        <v>로판 웹소설 &gt; 서양풍 로판</v>
      </c>
    </row>
    <row r="6165" spans="1:59">
      <c r="A6165" t="s">
        <v>60</v>
      </c>
      <c r="B6165" s="1">
        <v>46129</v>
      </c>
      <c r="C6165">
        <v>2378059762</v>
      </c>
      <c r="D6165">
        <v>2378059811</v>
      </c>
      <c r="E6165" t="str">
        <f>T("칼레이 백작가의 매맞이 하녀 50화")</f>
        <v>칼레이 백작가의 매맞이 하녀 50화</v>
      </c>
      <c r="F6165">
        <v>50</v>
      </c>
      <c r="G6165" t="str">
        <f>T("뮤사203")</f>
        <v>뮤사203</v>
      </c>
      <c r="J6165" t="str">
        <f>T("시계토끼")</f>
        <v>시계토끼</v>
      </c>
      <c r="K6165" t="str">
        <f>T("칼레이 백작가의 매맞이 하녀")</f>
        <v>칼레이 백작가의 매맞이 하녀</v>
      </c>
      <c r="L6165">
        <v>100</v>
      </c>
      <c r="M6165">
        <v>100</v>
      </c>
      <c r="N6165">
        <v>1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0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0</v>
      </c>
      <c r="AE6165">
        <v>0</v>
      </c>
      <c r="AF6165">
        <v>0</v>
      </c>
      <c r="AG6165">
        <v>0</v>
      </c>
      <c r="AH6165">
        <v>0</v>
      </c>
      <c r="AI6165">
        <v>100</v>
      </c>
      <c r="AJ6165">
        <v>1</v>
      </c>
      <c r="AK6165">
        <v>0</v>
      </c>
      <c r="AL6165">
        <v>0</v>
      </c>
      <c r="AM6165">
        <v>100</v>
      </c>
      <c r="AN6165">
        <v>0</v>
      </c>
      <c r="AO6165">
        <v>0</v>
      </c>
      <c r="AP6165">
        <v>0</v>
      </c>
      <c r="AQ6165">
        <v>0</v>
      </c>
      <c r="AS6165">
        <v>0</v>
      </c>
      <c r="AT6165">
        <v>0</v>
      </c>
      <c r="AV6165">
        <v>0</v>
      </c>
      <c r="AW6165">
        <v>0</v>
      </c>
      <c r="AY6165">
        <v>0</v>
      </c>
      <c r="AZ6165">
        <v>0</v>
      </c>
      <c r="BA6165">
        <v>70</v>
      </c>
      <c r="BE6165" t="str">
        <f>T("9791164099764")</f>
        <v>9791164099764</v>
      </c>
      <c r="BF6165" t="str">
        <f>T("k201729")</f>
        <v>k201729</v>
      </c>
      <c r="BG6165" t="str">
        <f>T("로판 웹소설 &gt; 서양풍 로판")</f>
        <v>로판 웹소설 &gt; 서양풍 로판</v>
      </c>
    </row>
    <row r="6166" spans="1:59">
      <c r="A6166" t="s">
        <v>60</v>
      </c>
      <c r="B6166" s="1">
        <v>46129</v>
      </c>
      <c r="C6166">
        <v>2378059762</v>
      </c>
      <c r="D6166">
        <v>2378059816</v>
      </c>
      <c r="E6166" t="str">
        <f>T("칼레이 백작가의 매맞이 하녀 55화")</f>
        <v>칼레이 백작가의 매맞이 하녀 55화</v>
      </c>
      <c r="F6166">
        <v>55</v>
      </c>
      <c r="G6166" t="str">
        <f>T("뮤사203")</f>
        <v>뮤사203</v>
      </c>
      <c r="J6166" t="str">
        <f>T("시계토끼")</f>
        <v>시계토끼</v>
      </c>
      <c r="K6166" t="str">
        <f>T("칼레이 백작가의 매맞이 하녀")</f>
        <v>칼레이 백작가의 매맞이 하녀</v>
      </c>
      <c r="L6166">
        <v>100</v>
      </c>
      <c r="M6166">
        <v>200</v>
      </c>
      <c r="N6166">
        <v>2</v>
      </c>
      <c r="O6166">
        <v>0</v>
      </c>
      <c r="P6166">
        <v>0</v>
      </c>
      <c r="Q6166">
        <v>0</v>
      </c>
      <c r="R6166">
        <v>1</v>
      </c>
      <c r="S6166">
        <v>0</v>
      </c>
      <c r="T6166">
        <v>0</v>
      </c>
      <c r="U6166">
        <v>0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0</v>
      </c>
      <c r="AE6166">
        <v>0</v>
      </c>
      <c r="AF6166">
        <v>0</v>
      </c>
      <c r="AG6166">
        <v>0</v>
      </c>
      <c r="AH6166">
        <v>0</v>
      </c>
      <c r="AI6166">
        <v>200</v>
      </c>
      <c r="AJ6166">
        <v>3</v>
      </c>
      <c r="AK6166">
        <v>0</v>
      </c>
      <c r="AL6166">
        <v>0</v>
      </c>
      <c r="AM6166">
        <v>100</v>
      </c>
      <c r="AN6166">
        <v>0</v>
      </c>
      <c r="AO6166">
        <v>120</v>
      </c>
      <c r="AP6166">
        <v>-12</v>
      </c>
      <c r="AQ6166">
        <v>0</v>
      </c>
      <c r="AS6166">
        <v>0</v>
      </c>
      <c r="AT6166">
        <v>0</v>
      </c>
      <c r="AU6166">
        <v>120</v>
      </c>
      <c r="AV6166">
        <v>-12</v>
      </c>
      <c r="AW6166">
        <v>0</v>
      </c>
      <c r="AY6166">
        <v>0</v>
      </c>
      <c r="AZ6166">
        <v>0</v>
      </c>
      <c r="BA6166">
        <v>145.6</v>
      </c>
      <c r="BE6166" t="str">
        <f>T("9791164099764")</f>
        <v>9791164099764</v>
      </c>
      <c r="BF6166" t="str">
        <f>T("k201734")</f>
        <v>k201734</v>
      </c>
      <c r="BG6166" t="str">
        <f>T("로판 웹소설 &gt; 서양풍 로판")</f>
        <v>로판 웹소설 &gt; 서양풍 로판</v>
      </c>
    </row>
    <row r="6167" spans="1:59">
      <c r="A6167" t="s">
        <v>60</v>
      </c>
      <c r="B6167" s="1">
        <v>46129</v>
      </c>
      <c r="C6167">
        <v>2378059762</v>
      </c>
      <c r="D6167">
        <v>2378059817</v>
      </c>
      <c r="E6167" t="str">
        <f>T("칼레이 백작가의 매맞이 하녀 56화")</f>
        <v>칼레이 백작가의 매맞이 하녀 56화</v>
      </c>
      <c r="F6167">
        <v>56</v>
      </c>
      <c r="G6167" t="str">
        <f>T("뮤사203")</f>
        <v>뮤사203</v>
      </c>
      <c r="J6167" t="str">
        <f>T("시계토끼")</f>
        <v>시계토끼</v>
      </c>
      <c r="K6167" t="str">
        <f>T("칼레이 백작가의 매맞이 하녀")</f>
        <v>칼레이 백작가의 매맞이 하녀</v>
      </c>
      <c r="L6167">
        <v>100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1</v>
      </c>
      <c r="S6167">
        <v>0</v>
      </c>
      <c r="T6167">
        <v>0</v>
      </c>
      <c r="U6167">
        <v>0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0</v>
      </c>
      <c r="AE6167">
        <v>0</v>
      </c>
      <c r="AF6167">
        <v>0</v>
      </c>
      <c r="AG6167">
        <v>0</v>
      </c>
      <c r="AH6167">
        <v>0</v>
      </c>
      <c r="AI6167">
        <v>0</v>
      </c>
      <c r="AJ6167">
        <v>1</v>
      </c>
      <c r="AK6167">
        <v>0</v>
      </c>
      <c r="AL6167">
        <v>0</v>
      </c>
      <c r="AM6167">
        <v>0</v>
      </c>
      <c r="AN6167">
        <v>0</v>
      </c>
      <c r="AO6167">
        <v>0</v>
      </c>
      <c r="AP6167">
        <v>0</v>
      </c>
      <c r="AQ6167">
        <v>0</v>
      </c>
      <c r="AS6167">
        <v>0</v>
      </c>
      <c r="AT6167">
        <v>0</v>
      </c>
      <c r="AV6167">
        <v>0</v>
      </c>
      <c r="AW6167">
        <v>0</v>
      </c>
      <c r="AY6167">
        <v>0</v>
      </c>
      <c r="AZ6167">
        <v>0</v>
      </c>
      <c r="BA6167">
        <v>0</v>
      </c>
      <c r="BE6167" t="str">
        <f>T("9791164099764")</f>
        <v>9791164099764</v>
      </c>
      <c r="BF6167" t="str">
        <f>T("k201735")</f>
        <v>k201735</v>
      </c>
      <c r="BG6167" t="str">
        <f>T("로판 웹소설 &gt; 서양풍 로판")</f>
        <v>로판 웹소설 &gt; 서양풍 로판</v>
      </c>
    </row>
    <row r="6168" spans="1:59">
      <c r="A6168" t="s">
        <v>60</v>
      </c>
      <c r="B6168" s="1">
        <v>46129</v>
      </c>
      <c r="C6168">
        <v>2378059762</v>
      </c>
      <c r="D6168">
        <v>2378059818</v>
      </c>
      <c r="E6168" t="str">
        <f>T("칼레이 백작가의 매맞이 하녀 57화")</f>
        <v>칼레이 백작가의 매맞이 하녀 57화</v>
      </c>
      <c r="F6168">
        <v>57</v>
      </c>
      <c r="G6168" t="str">
        <f>T("뮤사203")</f>
        <v>뮤사203</v>
      </c>
      <c r="J6168" t="str">
        <f>T("시계토끼")</f>
        <v>시계토끼</v>
      </c>
      <c r="K6168" t="str">
        <f>T("칼레이 백작가의 매맞이 하녀")</f>
        <v>칼레이 백작가의 매맞이 하녀</v>
      </c>
      <c r="L6168">
        <v>100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1</v>
      </c>
      <c r="S6168">
        <v>0</v>
      </c>
      <c r="T6168">
        <v>0</v>
      </c>
      <c r="U6168">
        <v>0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0</v>
      </c>
      <c r="AE6168">
        <v>0</v>
      </c>
      <c r="AF6168">
        <v>0</v>
      </c>
      <c r="AG6168">
        <v>0</v>
      </c>
      <c r="AH6168">
        <v>0</v>
      </c>
      <c r="AI6168">
        <v>0</v>
      </c>
      <c r="AJ6168">
        <v>1</v>
      </c>
      <c r="AK6168">
        <v>0</v>
      </c>
      <c r="AL6168">
        <v>0</v>
      </c>
      <c r="AM6168">
        <v>0</v>
      </c>
      <c r="AN6168">
        <v>0</v>
      </c>
      <c r="AO6168">
        <v>0</v>
      </c>
      <c r="AP6168">
        <v>0</v>
      </c>
      <c r="AQ6168">
        <v>0</v>
      </c>
      <c r="AS6168">
        <v>0</v>
      </c>
      <c r="AT6168">
        <v>0</v>
      </c>
      <c r="AV6168">
        <v>0</v>
      </c>
      <c r="AW6168">
        <v>0</v>
      </c>
      <c r="AY6168">
        <v>0</v>
      </c>
      <c r="AZ6168">
        <v>0</v>
      </c>
      <c r="BA6168">
        <v>0</v>
      </c>
      <c r="BE6168" t="str">
        <f>T("9791164099764")</f>
        <v>9791164099764</v>
      </c>
      <c r="BF6168" t="str">
        <f>T("k201736")</f>
        <v>k201736</v>
      </c>
      <c r="BG6168" t="str">
        <f>T("로판 웹소설 &gt; 서양풍 로판")</f>
        <v>로판 웹소설 &gt; 서양풍 로판</v>
      </c>
    </row>
    <row r="6169" spans="1:59">
      <c r="A6169" t="s">
        <v>60</v>
      </c>
      <c r="B6169" s="1">
        <v>46129</v>
      </c>
      <c r="C6169">
        <v>2378059762</v>
      </c>
      <c r="D6169">
        <v>2378059819</v>
      </c>
      <c r="E6169" t="str">
        <f>T("칼레이 백작가의 매맞이 하녀 58화")</f>
        <v>칼레이 백작가의 매맞이 하녀 58화</v>
      </c>
      <c r="F6169">
        <v>58</v>
      </c>
      <c r="G6169" t="str">
        <f>T("뮤사203")</f>
        <v>뮤사203</v>
      </c>
      <c r="J6169" t="str">
        <f>T("시계토끼")</f>
        <v>시계토끼</v>
      </c>
      <c r="K6169" t="str">
        <f>T("칼레이 백작가의 매맞이 하녀")</f>
        <v>칼레이 백작가의 매맞이 하녀</v>
      </c>
      <c r="L6169">
        <v>100</v>
      </c>
      <c r="M6169">
        <v>100</v>
      </c>
      <c r="N6169">
        <v>1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0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0</v>
      </c>
      <c r="AE6169">
        <v>0</v>
      </c>
      <c r="AF6169">
        <v>0</v>
      </c>
      <c r="AG6169">
        <v>0</v>
      </c>
      <c r="AH6169">
        <v>0</v>
      </c>
      <c r="AI6169">
        <v>100</v>
      </c>
      <c r="AJ6169">
        <v>1</v>
      </c>
      <c r="AK6169">
        <v>0</v>
      </c>
      <c r="AL6169">
        <v>0</v>
      </c>
      <c r="AM6169">
        <v>100</v>
      </c>
      <c r="AN6169">
        <v>0</v>
      </c>
      <c r="AO6169">
        <v>0</v>
      </c>
      <c r="AP6169">
        <v>0</v>
      </c>
      <c r="AQ6169">
        <v>0</v>
      </c>
      <c r="AS6169">
        <v>0</v>
      </c>
      <c r="AT6169">
        <v>0</v>
      </c>
      <c r="AV6169">
        <v>0</v>
      </c>
      <c r="AW6169">
        <v>0</v>
      </c>
      <c r="AY6169">
        <v>0</v>
      </c>
      <c r="AZ6169">
        <v>0</v>
      </c>
      <c r="BA6169">
        <v>70</v>
      </c>
      <c r="BE6169" t="str">
        <f>T("9791164099764")</f>
        <v>9791164099764</v>
      </c>
      <c r="BF6169" t="str">
        <f>T("k201737")</f>
        <v>k201737</v>
      </c>
      <c r="BG6169" t="str">
        <f>T("로판 웹소설 &gt; 서양풍 로판")</f>
        <v>로판 웹소설 &gt; 서양풍 로판</v>
      </c>
    </row>
    <row r="6170" spans="1:59">
      <c r="A6170" t="s">
        <v>60</v>
      </c>
      <c r="B6170" s="1">
        <v>46129</v>
      </c>
      <c r="C6170">
        <v>2378059762</v>
      </c>
      <c r="D6170">
        <v>2378059821</v>
      </c>
      <c r="E6170" t="str">
        <f>T("칼레이 백작가의 매맞이 하녀 60화")</f>
        <v>칼레이 백작가의 매맞이 하녀 60화</v>
      </c>
      <c r="F6170">
        <v>60</v>
      </c>
      <c r="G6170" t="str">
        <f>T("뮤사203")</f>
        <v>뮤사203</v>
      </c>
      <c r="J6170" t="str">
        <f>T("시계토끼")</f>
        <v>시계토끼</v>
      </c>
      <c r="K6170" t="str">
        <f>T("칼레이 백작가의 매맞이 하녀")</f>
        <v>칼레이 백작가의 매맞이 하녀</v>
      </c>
      <c r="L6170">
        <v>100</v>
      </c>
      <c r="M6170">
        <v>100</v>
      </c>
      <c r="N6170">
        <v>1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0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0</v>
      </c>
      <c r="AE6170">
        <v>0</v>
      </c>
      <c r="AF6170">
        <v>0</v>
      </c>
      <c r="AG6170">
        <v>0</v>
      </c>
      <c r="AH6170">
        <v>0</v>
      </c>
      <c r="AI6170">
        <v>100</v>
      </c>
      <c r="AJ6170">
        <v>1</v>
      </c>
      <c r="AK6170">
        <v>0</v>
      </c>
      <c r="AL6170">
        <v>0</v>
      </c>
      <c r="AM6170">
        <v>100</v>
      </c>
      <c r="AN6170">
        <v>0</v>
      </c>
      <c r="AO6170">
        <v>0</v>
      </c>
      <c r="AP6170">
        <v>0</v>
      </c>
      <c r="AQ6170">
        <v>0</v>
      </c>
      <c r="AS6170">
        <v>0</v>
      </c>
      <c r="AT6170">
        <v>0</v>
      </c>
      <c r="AV6170">
        <v>0</v>
      </c>
      <c r="AW6170">
        <v>0</v>
      </c>
      <c r="AY6170">
        <v>0</v>
      </c>
      <c r="AZ6170">
        <v>0</v>
      </c>
      <c r="BA6170">
        <v>70</v>
      </c>
      <c r="BE6170" t="str">
        <f>T("9791164099764")</f>
        <v>9791164099764</v>
      </c>
      <c r="BF6170" t="str">
        <f>T("k201739")</f>
        <v>k201739</v>
      </c>
      <c r="BG6170" t="str">
        <f>T("로판 웹소설 &gt; 서양풍 로판")</f>
        <v>로판 웹소설 &gt; 서양풍 로판</v>
      </c>
    </row>
    <row r="6171" spans="1:59">
      <c r="A6171" t="s">
        <v>60</v>
      </c>
      <c r="B6171" s="1">
        <v>46129</v>
      </c>
      <c r="C6171">
        <v>2378059762</v>
      </c>
      <c r="D6171">
        <v>2378059840</v>
      </c>
      <c r="E6171" t="str">
        <f>T("칼레이 백작가의 매맞이 하녀 61화")</f>
        <v>칼레이 백작가의 매맞이 하녀 61화</v>
      </c>
      <c r="F6171">
        <v>61</v>
      </c>
      <c r="G6171" t="str">
        <f>T("뮤사203")</f>
        <v>뮤사203</v>
      </c>
      <c r="J6171" t="str">
        <f>T("시계토끼")</f>
        <v>시계토끼</v>
      </c>
      <c r="K6171" t="str">
        <f>T("칼레이 백작가의 매맞이 하녀")</f>
        <v>칼레이 백작가의 매맞이 하녀</v>
      </c>
      <c r="L6171">
        <v>100</v>
      </c>
      <c r="M6171">
        <v>100</v>
      </c>
      <c r="N6171">
        <v>1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0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0</v>
      </c>
      <c r="AE6171">
        <v>0</v>
      </c>
      <c r="AF6171">
        <v>0</v>
      </c>
      <c r="AG6171">
        <v>0</v>
      </c>
      <c r="AH6171">
        <v>0</v>
      </c>
      <c r="AI6171">
        <v>100</v>
      </c>
      <c r="AJ6171">
        <v>1</v>
      </c>
      <c r="AK6171">
        <v>0</v>
      </c>
      <c r="AL6171">
        <v>0</v>
      </c>
      <c r="AM6171">
        <v>100</v>
      </c>
      <c r="AN6171">
        <v>0</v>
      </c>
      <c r="AO6171">
        <v>0</v>
      </c>
      <c r="AP6171">
        <v>0</v>
      </c>
      <c r="AQ6171">
        <v>0</v>
      </c>
      <c r="AS6171">
        <v>0</v>
      </c>
      <c r="AT6171">
        <v>0</v>
      </c>
      <c r="AV6171">
        <v>0</v>
      </c>
      <c r="AW6171">
        <v>0</v>
      </c>
      <c r="AY6171">
        <v>0</v>
      </c>
      <c r="AZ6171">
        <v>0</v>
      </c>
      <c r="BA6171">
        <v>70</v>
      </c>
      <c r="BE6171" t="str">
        <f>T("9791164099764")</f>
        <v>9791164099764</v>
      </c>
      <c r="BF6171" t="str">
        <f>T("k201740")</f>
        <v>k201740</v>
      </c>
      <c r="BG6171" t="str">
        <f>T("로판 웹소설 &gt; 서양풍 로판")</f>
        <v>로판 웹소설 &gt; 서양풍 로판</v>
      </c>
    </row>
    <row r="6172" spans="1:59">
      <c r="A6172" t="s">
        <v>60</v>
      </c>
      <c r="B6172" s="1">
        <v>46129</v>
      </c>
      <c r="C6172">
        <v>2378059762</v>
      </c>
      <c r="D6172">
        <v>2378059841</v>
      </c>
      <c r="E6172" t="str">
        <f>T("칼레이 백작가의 매맞이 하녀 62화")</f>
        <v>칼레이 백작가의 매맞이 하녀 62화</v>
      </c>
      <c r="F6172">
        <v>62</v>
      </c>
      <c r="G6172" t="str">
        <f>T("뮤사203")</f>
        <v>뮤사203</v>
      </c>
      <c r="J6172" t="str">
        <f>T("시계토끼")</f>
        <v>시계토끼</v>
      </c>
      <c r="K6172" t="str">
        <f>T("칼레이 백작가의 매맞이 하녀")</f>
        <v>칼레이 백작가의 매맞이 하녀</v>
      </c>
      <c r="L6172">
        <v>100</v>
      </c>
      <c r="M6172">
        <v>100</v>
      </c>
      <c r="N6172">
        <v>1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0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0</v>
      </c>
      <c r="AE6172">
        <v>0</v>
      </c>
      <c r="AF6172">
        <v>0</v>
      </c>
      <c r="AG6172">
        <v>0</v>
      </c>
      <c r="AH6172">
        <v>0</v>
      </c>
      <c r="AI6172">
        <v>100</v>
      </c>
      <c r="AJ6172">
        <v>1</v>
      </c>
      <c r="AK6172">
        <v>0</v>
      </c>
      <c r="AL6172">
        <v>0</v>
      </c>
      <c r="AM6172">
        <v>100</v>
      </c>
      <c r="AN6172">
        <v>0</v>
      </c>
      <c r="AO6172">
        <v>0</v>
      </c>
      <c r="AP6172">
        <v>0</v>
      </c>
      <c r="AQ6172">
        <v>0</v>
      </c>
      <c r="AS6172">
        <v>0</v>
      </c>
      <c r="AT6172">
        <v>0</v>
      </c>
      <c r="AV6172">
        <v>0</v>
      </c>
      <c r="AW6172">
        <v>0</v>
      </c>
      <c r="AY6172">
        <v>0</v>
      </c>
      <c r="AZ6172">
        <v>0</v>
      </c>
      <c r="BA6172">
        <v>70</v>
      </c>
      <c r="BE6172" t="str">
        <f>T("9791164099764")</f>
        <v>9791164099764</v>
      </c>
      <c r="BF6172" t="str">
        <f>T("k201741")</f>
        <v>k201741</v>
      </c>
      <c r="BG6172" t="str">
        <f>T("로판 웹소설 &gt; 서양풍 로판")</f>
        <v>로판 웹소설 &gt; 서양풍 로판</v>
      </c>
    </row>
    <row r="6173" spans="1:59">
      <c r="A6173" t="s">
        <v>60</v>
      </c>
      <c r="B6173" s="1">
        <v>46129</v>
      </c>
      <c r="C6173">
        <v>2378059762</v>
      </c>
      <c r="D6173">
        <v>2378059843</v>
      </c>
      <c r="E6173" t="str">
        <f>T("칼레이 백작가의 매맞이 하녀 64화")</f>
        <v>칼레이 백작가의 매맞이 하녀 64화</v>
      </c>
      <c r="F6173">
        <v>64</v>
      </c>
      <c r="G6173" t="str">
        <f>T("뮤사203")</f>
        <v>뮤사203</v>
      </c>
      <c r="J6173" t="str">
        <f>T("시계토끼")</f>
        <v>시계토끼</v>
      </c>
      <c r="K6173" t="str">
        <f>T("칼레이 백작가의 매맞이 하녀")</f>
        <v>칼레이 백작가의 매맞이 하녀</v>
      </c>
      <c r="L6173">
        <v>100</v>
      </c>
      <c r="M6173">
        <v>100</v>
      </c>
      <c r="N6173">
        <v>1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0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0</v>
      </c>
      <c r="AE6173">
        <v>0</v>
      </c>
      <c r="AF6173">
        <v>0</v>
      </c>
      <c r="AG6173">
        <v>0</v>
      </c>
      <c r="AH6173">
        <v>0</v>
      </c>
      <c r="AI6173">
        <v>100</v>
      </c>
      <c r="AJ6173">
        <v>1</v>
      </c>
      <c r="AK6173">
        <v>0</v>
      </c>
      <c r="AL6173">
        <v>0</v>
      </c>
      <c r="AM6173">
        <v>100</v>
      </c>
      <c r="AN6173">
        <v>0</v>
      </c>
      <c r="AO6173">
        <v>0</v>
      </c>
      <c r="AP6173">
        <v>0</v>
      </c>
      <c r="AQ6173">
        <v>0</v>
      </c>
      <c r="AS6173">
        <v>0</v>
      </c>
      <c r="AT6173">
        <v>0</v>
      </c>
      <c r="AV6173">
        <v>0</v>
      </c>
      <c r="AW6173">
        <v>0</v>
      </c>
      <c r="AY6173">
        <v>0</v>
      </c>
      <c r="AZ6173">
        <v>0</v>
      </c>
      <c r="BA6173">
        <v>70</v>
      </c>
      <c r="BE6173" t="str">
        <f>T("9791164099764")</f>
        <v>9791164099764</v>
      </c>
      <c r="BF6173" t="str">
        <f>T("k201743")</f>
        <v>k201743</v>
      </c>
      <c r="BG6173" t="str">
        <f>T("로판 웹소설 &gt; 서양풍 로판")</f>
        <v>로판 웹소설 &gt; 서양풍 로판</v>
      </c>
    </row>
    <row r="6174" spans="1:59">
      <c r="A6174" t="s">
        <v>60</v>
      </c>
      <c r="B6174" s="1">
        <v>46129</v>
      </c>
      <c r="C6174">
        <v>2378059762</v>
      </c>
      <c r="D6174">
        <v>2378060140</v>
      </c>
      <c r="E6174" t="str">
        <f>T("칼레이 백작가의 매맞이 하녀 67화")</f>
        <v>칼레이 백작가의 매맞이 하녀 67화</v>
      </c>
      <c r="F6174">
        <v>67</v>
      </c>
      <c r="G6174" t="str">
        <f>T("뮤사203")</f>
        <v>뮤사203</v>
      </c>
      <c r="J6174" t="str">
        <f>T("시계토끼")</f>
        <v>시계토끼</v>
      </c>
      <c r="K6174" t="str">
        <f>T("칼레이 백작가의 매맞이 하녀")</f>
        <v>칼레이 백작가의 매맞이 하녀</v>
      </c>
      <c r="L6174">
        <v>100</v>
      </c>
      <c r="M6174">
        <v>100</v>
      </c>
      <c r="N6174">
        <v>1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0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0</v>
      </c>
      <c r="AE6174">
        <v>0</v>
      </c>
      <c r="AF6174">
        <v>0</v>
      </c>
      <c r="AG6174">
        <v>0</v>
      </c>
      <c r="AH6174">
        <v>0</v>
      </c>
      <c r="AI6174">
        <v>100</v>
      </c>
      <c r="AJ6174">
        <v>1</v>
      </c>
      <c r="AK6174">
        <v>0</v>
      </c>
      <c r="AL6174">
        <v>0</v>
      </c>
      <c r="AM6174">
        <v>100</v>
      </c>
      <c r="AN6174">
        <v>0</v>
      </c>
      <c r="AO6174">
        <v>0</v>
      </c>
      <c r="AP6174">
        <v>0</v>
      </c>
      <c r="AQ6174">
        <v>0</v>
      </c>
      <c r="AS6174">
        <v>0</v>
      </c>
      <c r="AT6174">
        <v>0</v>
      </c>
      <c r="AV6174">
        <v>0</v>
      </c>
      <c r="AW6174">
        <v>0</v>
      </c>
      <c r="AY6174">
        <v>0</v>
      </c>
      <c r="AZ6174">
        <v>0</v>
      </c>
      <c r="BA6174">
        <v>70</v>
      </c>
      <c r="BE6174" t="str">
        <f>T("9791164099764")</f>
        <v>9791164099764</v>
      </c>
      <c r="BF6174" t="str">
        <f>T("k201746")</f>
        <v>k201746</v>
      </c>
      <c r="BG6174" t="str">
        <f>T("로판 웹소설 &gt; 서양풍 로판")</f>
        <v>로판 웹소설 &gt; 서양풍 로판</v>
      </c>
    </row>
    <row r="6175" spans="1:59">
      <c r="A6175" t="s">
        <v>60</v>
      </c>
      <c r="B6175" s="1">
        <v>46129</v>
      </c>
      <c r="C6175">
        <v>2378059762</v>
      </c>
      <c r="D6175">
        <v>2378060143</v>
      </c>
      <c r="E6175" t="str">
        <f>T("칼레이 백작가의 매맞이 하녀 70화")</f>
        <v>칼레이 백작가의 매맞이 하녀 70화</v>
      </c>
      <c r="F6175">
        <v>70</v>
      </c>
      <c r="G6175" t="str">
        <f>T("뮤사203")</f>
        <v>뮤사203</v>
      </c>
      <c r="J6175" t="str">
        <f>T("시계토끼")</f>
        <v>시계토끼</v>
      </c>
      <c r="K6175" t="str">
        <f>T("칼레이 백작가의 매맞이 하녀")</f>
        <v>칼레이 백작가의 매맞이 하녀</v>
      </c>
      <c r="L6175">
        <v>100</v>
      </c>
      <c r="M6175">
        <v>200</v>
      </c>
      <c r="N6175">
        <v>2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0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0</v>
      </c>
      <c r="AE6175">
        <v>0</v>
      </c>
      <c r="AF6175">
        <v>0</v>
      </c>
      <c r="AG6175">
        <v>0</v>
      </c>
      <c r="AH6175">
        <v>0</v>
      </c>
      <c r="AI6175">
        <v>200</v>
      </c>
      <c r="AJ6175">
        <v>2</v>
      </c>
      <c r="AK6175">
        <v>0</v>
      </c>
      <c r="AL6175">
        <v>0</v>
      </c>
      <c r="AM6175">
        <v>160</v>
      </c>
      <c r="AN6175">
        <v>0</v>
      </c>
      <c r="AO6175">
        <v>48</v>
      </c>
      <c r="AP6175">
        <v>-14.4</v>
      </c>
      <c r="AQ6175">
        <v>0</v>
      </c>
      <c r="AR6175">
        <v>48</v>
      </c>
      <c r="AS6175">
        <v>-14.4</v>
      </c>
      <c r="AT6175">
        <v>0</v>
      </c>
      <c r="AV6175">
        <v>0</v>
      </c>
      <c r="AW6175">
        <v>0</v>
      </c>
      <c r="AY6175">
        <v>0</v>
      </c>
      <c r="AZ6175">
        <v>0</v>
      </c>
      <c r="BA6175">
        <v>135.52000000000001</v>
      </c>
      <c r="BE6175" t="str">
        <f>T("9791164099764")</f>
        <v>9791164099764</v>
      </c>
      <c r="BF6175" t="str">
        <f>T("k201749")</f>
        <v>k201749</v>
      </c>
      <c r="BG6175" t="str">
        <f>T("로판 웹소설 &gt; 서양풍 로판")</f>
        <v>로판 웹소설 &gt; 서양풍 로판</v>
      </c>
    </row>
    <row r="6176" spans="1:59">
      <c r="A6176" t="s">
        <v>60</v>
      </c>
      <c r="B6176" s="1">
        <v>46129</v>
      </c>
      <c r="C6176">
        <v>2378059762</v>
      </c>
      <c r="D6176">
        <v>2378060516</v>
      </c>
      <c r="E6176" t="str">
        <f>T("칼레이 백작가의 매맞이 하녀 71화")</f>
        <v>칼레이 백작가의 매맞이 하녀 71화</v>
      </c>
      <c r="F6176">
        <v>71</v>
      </c>
      <c r="G6176" t="str">
        <f>T("뮤사203")</f>
        <v>뮤사203</v>
      </c>
      <c r="J6176" t="str">
        <f>T("시계토끼")</f>
        <v>시계토끼</v>
      </c>
      <c r="K6176" t="str">
        <f>T("칼레이 백작가의 매맞이 하녀")</f>
        <v>칼레이 백작가의 매맞이 하녀</v>
      </c>
      <c r="L6176">
        <v>100</v>
      </c>
      <c r="M6176">
        <v>100</v>
      </c>
      <c r="N6176">
        <v>1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0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0</v>
      </c>
      <c r="AE6176">
        <v>0</v>
      </c>
      <c r="AF6176">
        <v>0</v>
      </c>
      <c r="AG6176">
        <v>0</v>
      </c>
      <c r="AH6176">
        <v>0</v>
      </c>
      <c r="AI6176">
        <v>100</v>
      </c>
      <c r="AJ6176">
        <v>1</v>
      </c>
      <c r="AK6176">
        <v>0</v>
      </c>
      <c r="AL6176">
        <v>0</v>
      </c>
      <c r="AM6176">
        <v>100</v>
      </c>
      <c r="AN6176">
        <v>0</v>
      </c>
      <c r="AO6176">
        <v>0</v>
      </c>
      <c r="AP6176">
        <v>0</v>
      </c>
      <c r="AQ6176">
        <v>0</v>
      </c>
      <c r="AS6176">
        <v>0</v>
      </c>
      <c r="AT6176">
        <v>0</v>
      </c>
      <c r="AV6176">
        <v>0</v>
      </c>
      <c r="AW6176">
        <v>0</v>
      </c>
      <c r="AY6176">
        <v>0</v>
      </c>
      <c r="AZ6176">
        <v>0</v>
      </c>
      <c r="BA6176">
        <v>70</v>
      </c>
      <c r="BE6176" t="str">
        <f>T("9791164099764")</f>
        <v>9791164099764</v>
      </c>
      <c r="BF6176" t="str">
        <f>T("k201750")</f>
        <v>k201750</v>
      </c>
      <c r="BG6176" t="str">
        <f>T("로판 웹소설 &gt; 서양풍 로판")</f>
        <v>로판 웹소설 &gt; 서양풍 로판</v>
      </c>
    </row>
    <row r="6177" spans="1:59">
      <c r="A6177" t="s">
        <v>60</v>
      </c>
      <c r="B6177" s="1">
        <v>46129</v>
      </c>
      <c r="C6177">
        <v>2378059762</v>
      </c>
      <c r="D6177">
        <v>2378060517</v>
      </c>
      <c r="E6177" t="str">
        <f>T("칼레이 백작가의 매맞이 하녀 72화")</f>
        <v>칼레이 백작가의 매맞이 하녀 72화</v>
      </c>
      <c r="F6177">
        <v>72</v>
      </c>
      <c r="G6177" t="str">
        <f>T("뮤사203")</f>
        <v>뮤사203</v>
      </c>
      <c r="J6177" t="str">
        <f>T("시계토끼")</f>
        <v>시계토끼</v>
      </c>
      <c r="K6177" t="str">
        <f>T("칼레이 백작가의 매맞이 하녀")</f>
        <v>칼레이 백작가의 매맞이 하녀</v>
      </c>
      <c r="L6177">
        <v>100</v>
      </c>
      <c r="M6177">
        <v>100</v>
      </c>
      <c r="N6177">
        <v>1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0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0</v>
      </c>
      <c r="AE6177">
        <v>0</v>
      </c>
      <c r="AF6177">
        <v>0</v>
      </c>
      <c r="AG6177">
        <v>0</v>
      </c>
      <c r="AH6177">
        <v>0</v>
      </c>
      <c r="AI6177">
        <v>100</v>
      </c>
      <c r="AJ6177">
        <v>1</v>
      </c>
      <c r="AK6177">
        <v>0</v>
      </c>
      <c r="AL6177">
        <v>0</v>
      </c>
      <c r="AM6177">
        <v>100</v>
      </c>
      <c r="AN6177">
        <v>0</v>
      </c>
      <c r="AO6177">
        <v>0</v>
      </c>
      <c r="AP6177">
        <v>0</v>
      </c>
      <c r="AQ6177">
        <v>0</v>
      </c>
      <c r="AS6177">
        <v>0</v>
      </c>
      <c r="AT6177">
        <v>0</v>
      </c>
      <c r="AV6177">
        <v>0</v>
      </c>
      <c r="AW6177">
        <v>0</v>
      </c>
      <c r="AY6177">
        <v>0</v>
      </c>
      <c r="AZ6177">
        <v>0</v>
      </c>
      <c r="BA6177">
        <v>70</v>
      </c>
      <c r="BE6177" t="str">
        <f>T("9791164099764")</f>
        <v>9791164099764</v>
      </c>
      <c r="BF6177" t="str">
        <f>T("k201751")</f>
        <v>k201751</v>
      </c>
      <c r="BG6177" t="str">
        <f>T("로판 웹소설 &gt; 서양풍 로판")</f>
        <v>로판 웹소설 &gt; 서양풍 로판</v>
      </c>
    </row>
    <row r="6178" spans="1:59">
      <c r="A6178" t="s">
        <v>60</v>
      </c>
      <c r="B6178" s="1">
        <v>46129</v>
      </c>
      <c r="C6178">
        <v>2378059762</v>
      </c>
      <c r="D6178">
        <v>2378060518</v>
      </c>
      <c r="E6178" t="str">
        <f>T("칼레이 백작가의 매맞이 하녀 73화")</f>
        <v>칼레이 백작가의 매맞이 하녀 73화</v>
      </c>
      <c r="F6178">
        <v>73</v>
      </c>
      <c r="G6178" t="str">
        <f>T("뮤사203")</f>
        <v>뮤사203</v>
      </c>
      <c r="J6178" t="str">
        <f>T("시계토끼")</f>
        <v>시계토끼</v>
      </c>
      <c r="K6178" t="str">
        <f>T("칼레이 백작가의 매맞이 하녀")</f>
        <v>칼레이 백작가의 매맞이 하녀</v>
      </c>
      <c r="L6178">
        <v>100</v>
      </c>
      <c r="M6178">
        <v>100</v>
      </c>
      <c r="N6178">
        <v>1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0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0</v>
      </c>
      <c r="AE6178">
        <v>0</v>
      </c>
      <c r="AF6178">
        <v>0</v>
      </c>
      <c r="AG6178">
        <v>0</v>
      </c>
      <c r="AH6178">
        <v>0</v>
      </c>
      <c r="AI6178">
        <v>100</v>
      </c>
      <c r="AJ6178">
        <v>1</v>
      </c>
      <c r="AK6178">
        <v>0</v>
      </c>
      <c r="AL6178">
        <v>0</v>
      </c>
      <c r="AM6178">
        <v>100</v>
      </c>
      <c r="AN6178">
        <v>0</v>
      </c>
      <c r="AO6178">
        <v>0</v>
      </c>
      <c r="AP6178">
        <v>0</v>
      </c>
      <c r="AQ6178">
        <v>0</v>
      </c>
      <c r="AS6178">
        <v>0</v>
      </c>
      <c r="AT6178">
        <v>0</v>
      </c>
      <c r="AV6178">
        <v>0</v>
      </c>
      <c r="AW6178">
        <v>0</v>
      </c>
      <c r="AY6178">
        <v>0</v>
      </c>
      <c r="AZ6178">
        <v>0</v>
      </c>
      <c r="BA6178">
        <v>70</v>
      </c>
      <c r="BE6178" t="str">
        <f>T("9791164099764")</f>
        <v>9791164099764</v>
      </c>
      <c r="BF6178" t="str">
        <f>T("k201752")</f>
        <v>k201752</v>
      </c>
      <c r="BG6178" t="str">
        <f>T("로판 웹소설 &gt; 서양풍 로판")</f>
        <v>로판 웹소설 &gt; 서양풍 로판</v>
      </c>
    </row>
    <row r="6179" spans="1:59">
      <c r="A6179" t="s">
        <v>60</v>
      </c>
      <c r="B6179" s="1">
        <v>46129</v>
      </c>
      <c r="C6179">
        <v>2378059762</v>
      </c>
      <c r="D6179">
        <v>2378060519</v>
      </c>
      <c r="E6179" t="str">
        <f>T("칼레이 백작가의 매맞이 하녀 74화")</f>
        <v>칼레이 백작가의 매맞이 하녀 74화</v>
      </c>
      <c r="F6179">
        <v>74</v>
      </c>
      <c r="G6179" t="str">
        <f>T("뮤사203")</f>
        <v>뮤사203</v>
      </c>
      <c r="J6179" t="str">
        <f>T("시계토끼")</f>
        <v>시계토끼</v>
      </c>
      <c r="K6179" t="str">
        <f>T("칼레이 백작가의 매맞이 하녀")</f>
        <v>칼레이 백작가의 매맞이 하녀</v>
      </c>
      <c r="L6179">
        <v>100</v>
      </c>
      <c r="M6179">
        <v>100</v>
      </c>
      <c r="N6179">
        <v>1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0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0</v>
      </c>
      <c r="AE6179">
        <v>0</v>
      </c>
      <c r="AF6179">
        <v>0</v>
      </c>
      <c r="AG6179">
        <v>0</v>
      </c>
      <c r="AH6179">
        <v>0</v>
      </c>
      <c r="AI6179">
        <v>100</v>
      </c>
      <c r="AJ6179">
        <v>1</v>
      </c>
      <c r="AK6179">
        <v>0</v>
      </c>
      <c r="AL6179">
        <v>0</v>
      </c>
      <c r="AM6179">
        <v>100</v>
      </c>
      <c r="AN6179">
        <v>0</v>
      </c>
      <c r="AO6179">
        <v>0</v>
      </c>
      <c r="AP6179">
        <v>0</v>
      </c>
      <c r="AQ6179">
        <v>0</v>
      </c>
      <c r="AS6179">
        <v>0</v>
      </c>
      <c r="AT6179">
        <v>0</v>
      </c>
      <c r="AV6179">
        <v>0</v>
      </c>
      <c r="AW6179">
        <v>0</v>
      </c>
      <c r="AY6179">
        <v>0</v>
      </c>
      <c r="AZ6179">
        <v>0</v>
      </c>
      <c r="BA6179">
        <v>70</v>
      </c>
      <c r="BE6179" t="str">
        <f>T("9791164099764")</f>
        <v>9791164099764</v>
      </c>
      <c r="BF6179" t="str">
        <f>T("k201753")</f>
        <v>k201753</v>
      </c>
      <c r="BG6179" t="str">
        <f>T("로판 웹소설 &gt; 서양풍 로판")</f>
        <v>로판 웹소설 &gt; 서양풍 로판</v>
      </c>
    </row>
    <row r="6180" spans="1:59">
      <c r="A6180" t="s">
        <v>60</v>
      </c>
      <c r="B6180" s="1">
        <v>46129</v>
      </c>
      <c r="C6180">
        <v>2378059762</v>
      </c>
      <c r="D6180">
        <v>2378060520</v>
      </c>
      <c r="E6180" t="str">
        <f>T("칼레이 백작가의 매맞이 하녀 75화")</f>
        <v>칼레이 백작가의 매맞이 하녀 75화</v>
      </c>
      <c r="F6180">
        <v>75</v>
      </c>
      <c r="G6180" t="str">
        <f>T("뮤사203")</f>
        <v>뮤사203</v>
      </c>
      <c r="J6180" t="str">
        <f>T("시계토끼")</f>
        <v>시계토끼</v>
      </c>
      <c r="K6180" t="str">
        <f>T("칼레이 백작가의 매맞이 하녀")</f>
        <v>칼레이 백작가의 매맞이 하녀</v>
      </c>
      <c r="L6180">
        <v>100</v>
      </c>
      <c r="M6180">
        <v>100</v>
      </c>
      <c r="N6180">
        <v>1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0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0</v>
      </c>
      <c r="AE6180">
        <v>0</v>
      </c>
      <c r="AF6180">
        <v>0</v>
      </c>
      <c r="AG6180">
        <v>0</v>
      </c>
      <c r="AH6180">
        <v>0</v>
      </c>
      <c r="AI6180">
        <v>100</v>
      </c>
      <c r="AJ6180">
        <v>1</v>
      </c>
      <c r="AK6180">
        <v>0</v>
      </c>
      <c r="AL6180">
        <v>0</v>
      </c>
      <c r="AM6180">
        <v>100</v>
      </c>
      <c r="AN6180">
        <v>0</v>
      </c>
      <c r="AO6180">
        <v>0</v>
      </c>
      <c r="AP6180">
        <v>0</v>
      </c>
      <c r="AQ6180">
        <v>0</v>
      </c>
      <c r="AS6180">
        <v>0</v>
      </c>
      <c r="AT6180">
        <v>0</v>
      </c>
      <c r="AV6180">
        <v>0</v>
      </c>
      <c r="AW6180">
        <v>0</v>
      </c>
      <c r="AY6180">
        <v>0</v>
      </c>
      <c r="AZ6180">
        <v>0</v>
      </c>
      <c r="BA6180">
        <v>70</v>
      </c>
      <c r="BE6180" t="str">
        <f>T("9791164099764")</f>
        <v>9791164099764</v>
      </c>
      <c r="BF6180" t="str">
        <f>T("k201754")</f>
        <v>k201754</v>
      </c>
      <c r="BG6180" t="str">
        <f>T("로판 웹소설 &gt; 서양풍 로판")</f>
        <v>로판 웹소설 &gt; 서양풍 로판</v>
      </c>
    </row>
    <row r="6181" spans="1:59">
      <c r="A6181" t="s">
        <v>60</v>
      </c>
      <c r="B6181" s="1">
        <v>46129</v>
      </c>
      <c r="C6181">
        <v>2378059762</v>
      </c>
      <c r="D6181">
        <v>2378060521</v>
      </c>
      <c r="E6181" t="str">
        <f>T("칼레이 백작가의 매맞이 하녀 76화")</f>
        <v>칼레이 백작가의 매맞이 하녀 76화</v>
      </c>
      <c r="F6181">
        <v>76</v>
      </c>
      <c r="G6181" t="str">
        <f>T("뮤사203")</f>
        <v>뮤사203</v>
      </c>
      <c r="J6181" t="str">
        <f>T("시계토끼")</f>
        <v>시계토끼</v>
      </c>
      <c r="K6181" t="str">
        <f>T("칼레이 백작가의 매맞이 하녀")</f>
        <v>칼레이 백작가의 매맞이 하녀</v>
      </c>
      <c r="L6181">
        <v>100</v>
      </c>
      <c r="M6181">
        <v>100</v>
      </c>
      <c r="N6181">
        <v>1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0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0</v>
      </c>
      <c r="AE6181">
        <v>0</v>
      </c>
      <c r="AF6181">
        <v>0</v>
      </c>
      <c r="AG6181">
        <v>0</v>
      </c>
      <c r="AH6181">
        <v>0</v>
      </c>
      <c r="AI6181">
        <v>100</v>
      </c>
      <c r="AJ6181">
        <v>1</v>
      </c>
      <c r="AK6181">
        <v>0</v>
      </c>
      <c r="AL6181">
        <v>0</v>
      </c>
      <c r="AM6181">
        <v>100</v>
      </c>
      <c r="AN6181">
        <v>0</v>
      </c>
      <c r="AO6181">
        <v>0</v>
      </c>
      <c r="AP6181">
        <v>0</v>
      </c>
      <c r="AQ6181">
        <v>0</v>
      </c>
      <c r="AS6181">
        <v>0</v>
      </c>
      <c r="AT6181">
        <v>0</v>
      </c>
      <c r="AV6181">
        <v>0</v>
      </c>
      <c r="AW6181">
        <v>0</v>
      </c>
      <c r="AY6181">
        <v>0</v>
      </c>
      <c r="AZ6181">
        <v>0</v>
      </c>
      <c r="BA6181">
        <v>70</v>
      </c>
      <c r="BE6181" t="str">
        <f>T("9791164099764")</f>
        <v>9791164099764</v>
      </c>
      <c r="BF6181" t="str">
        <f>T("k201755")</f>
        <v>k201755</v>
      </c>
      <c r="BG6181" t="str">
        <f>T("로판 웹소설 &gt; 서양풍 로판")</f>
        <v>로판 웹소설 &gt; 서양풍 로판</v>
      </c>
    </row>
    <row r="6182" spans="1:59">
      <c r="A6182" t="s">
        <v>60</v>
      </c>
      <c r="B6182" s="1">
        <v>46129</v>
      </c>
      <c r="C6182">
        <v>2378059762</v>
      </c>
      <c r="D6182">
        <v>2378060522</v>
      </c>
      <c r="E6182" t="str">
        <f>T("칼레이 백작가의 매맞이 하녀 77화")</f>
        <v>칼레이 백작가의 매맞이 하녀 77화</v>
      </c>
      <c r="F6182">
        <v>77</v>
      </c>
      <c r="G6182" t="str">
        <f>T("뮤사203")</f>
        <v>뮤사203</v>
      </c>
      <c r="J6182" t="str">
        <f>T("시계토끼")</f>
        <v>시계토끼</v>
      </c>
      <c r="K6182" t="str">
        <f>T("칼레이 백작가의 매맞이 하녀")</f>
        <v>칼레이 백작가의 매맞이 하녀</v>
      </c>
      <c r="L6182">
        <v>100</v>
      </c>
      <c r="M6182">
        <v>100</v>
      </c>
      <c r="N6182">
        <v>1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0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0</v>
      </c>
      <c r="AE6182">
        <v>0</v>
      </c>
      <c r="AF6182">
        <v>0</v>
      </c>
      <c r="AG6182">
        <v>0</v>
      </c>
      <c r="AH6182">
        <v>0</v>
      </c>
      <c r="AI6182">
        <v>100</v>
      </c>
      <c r="AJ6182">
        <v>1</v>
      </c>
      <c r="AK6182">
        <v>0</v>
      </c>
      <c r="AL6182">
        <v>0</v>
      </c>
      <c r="AM6182">
        <v>100</v>
      </c>
      <c r="AN6182">
        <v>0</v>
      </c>
      <c r="AO6182">
        <v>0</v>
      </c>
      <c r="AP6182">
        <v>0</v>
      </c>
      <c r="AQ6182">
        <v>0</v>
      </c>
      <c r="AS6182">
        <v>0</v>
      </c>
      <c r="AT6182">
        <v>0</v>
      </c>
      <c r="AV6182">
        <v>0</v>
      </c>
      <c r="AW6182">
        <v>0</v>
      </c>
      <c r="AY6182">
        <v>0</v>
      </c>
      <c r="AZ6182">
        <v>0</v>
      </c>
      <c r="BA6182">
        <v>70</v>
      </c>
      <c r="BE6182" t="str">
        <f>T("9791164099764")</f>
        <v>9791164099764</v>
      </c>
      <c r="BF6182" t="str">
        <f>T("k201756")</f>
        <v>k201756</v>
      </c>
      <c r="BG6182" t="str">
        <f>T("로판 웹소설 &gt; 서양풍 로판")</f>
        <v>로판 웹소설 &gt; 서양풍 로판</v>
      </c>
    </row>
    <row r="6183" spans="1:59">
      <c r="A6183" t="s">
        <v>60</v>
      </c>
      <c r="B6183" s="1">
        <v>46129</v>
      </c>
      <c r="C6183">
        <v>2378059762</v>
      </c>
      <c r="D6183">
        <v>2378061434</v>
      </c>
      <c r="E6183" t="str">
        <f>T("칼레이 백작가의 매맞이 하녀 78화")</f>
        <v>칼레이 백작가의 매맞이 하녀 78화</v>
      </c>
      <c r="F6183">
        <v>78</v>
      </c>
      <c r="G6183" t="str">
        <f>T("뮤사203")</f>
        <v>뮤사203</v>
      </c>
      <c r="J6183" t="str">
        <f>T("시계토끼")</f>
        <v>시계토끼</v>
      </c>
      <c r="K6183" t="str">
        <f>T("칼레이 백작가의 매맞이 하녀")</f>
        <v>칼레이 백작가의 매맞이 하녀</v>
      </c>
      <c r="L6183">
        <v>100</v>
      </c>
      <c r="M6183">
        <v>100</v>
      </c>
      <c r="N6183">
        <v>1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0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0</v>
      </c>
      <c r="AE6183">
        <v>0</v>
      </c>
      <c r="AF6183">
        <v>0</v>
      </c>
      <c r="AG6183">
        <v>0</v>
      </c>
      <c r="AH6183">
        <v>0</v>
      </c>
      <c r="AI6183">
        <v>100</v>
      </c>
      <c r="AJ6183">
        <v>1</v>
      </c>
      <c r="AK6183">
        <v>0</v>
      </c>
      <c r="AL6183">
        <v>0</v>
      </c>
      <c r="AM6183">
        <v>100</v>
      </c>
      <c r="AN6183">
        <v>0</v>
      </c>
      <c r="AO6183">
        <v>0</v>
      </c>
      <c r="AP6183">
        <v>0</v>
      </c>
      <c r="AQ6183">
        <v>0</v>
      </c>
      <c r="AS6183">
        <v>0</v>
      </c>
      <c r="AT6183">
        <v>0</v>
      </c>
      <c r="AV6183">
        <v>0</v>
      </c>
      <c r="AW6183">
        <v>0</v>
      </c>
      <c r="AY6183">
        <v>0</v>
      </c>
      <c r="AZ6183">
        <v>0</v>
      </c>
      <c r="BA6183">
        <v>70</v>
      </c>
      <c r="BE6183" t="str">
        <f>T("9791164099764")</f>
        <v>9791164099764</v>
      </c>
      <c r="BF6183" t="str">
        <f>T("k201757")</f>
        <v>k201757</v>
      </c>
      <c r="BG6183" t="str">
        <f>T("로판 웹소설 &gt; 서양풍 로판")</f>
        <v>로판 웹소설 &gt; 서양풍 로판</v>
      </c>
    </row>
    <row r="6184" spans="1:59">
      <c r="A6184" t="s">
        <v>60</v>
      </c>
      <c r="B6184" s="1">
        <v>46129</v>
      </c>
      <c r="C6184">
        <v>2378059762</v>
      </c>
      <c r="D6184">
        <v>2378061435</v>
      </c>
      <c r="E6184" t="str">
        <f>T("칼레이 백작가의 매맞이 하녀 79화")</f>
        <v>칼레이 백작가의 매맞이 하녀 79화</v>
      </c>
      <c r="F6184">
        <v>79</v>
      </c>
      <c r="G6184" t="str">
        <f>T("뮤사203")</f>
        <v>뮤사203</v>
      </c>
      <c r="J6184" t="str">
        <f>T("시계토끼")</f>
        <v>시계토끼</v>
      </c>
      <c r="K6184" t="str">
        <f>T("칼레이 백작가의 매맞이 하녀")</f>
        <v>칼레이 백작가의 매맞이 하녀</v>
      </c>
      <c r="L6184">
        <v>100</v>
      </c>
      <c r="M6184">
        <v>200</v>
      </c>
      <c r="N6184">
        <v>2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0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0</v>
      </c>
      <c r="AE6184">
        <v>0</v>
      </c>
      <c r="AF6184">
        <v>0</v>
      </c>
      <c r="AG6184">
        <v>0</v>
      </c>
      <c r="AH6184">
        <v>0</v>
      </c>
      <c r="AI6184">
        <v>200</v>
      </c>
      <c r="AJ6184">
        <v>2</v>
      </c>
      <c r="AK6184">
        <v>0</v>
      </c>
      <c r="AL6184">
        <v>0</v>
      </c>
      <c r="AM6184">
        <v>170</v>
      </c>
      <c r="AN6184">
        <v>0</v>
      </c>
      <c r="AO6184">
        <v>36</v>
      </c>
      <c r="AP6184">
        <v>-10.8</v>
      </c>
      <c r="AQ6184">
        <v>0</v>
      </c>
      <c r="AR6184">
        <v>36</v>
      </c>
      <c r="AS6184">
        <v>-10.8</v>
      </c>
      <c r="AT6184">
        <v>0</v>
      </c>
      <c r="AV6184">
        <v>0</v>
      </c>
      <c r="AW6184">
        <v>0</v>
      </c>
      <c r="AY6184">
        <v>0</v>
      </c>
      <c r="AZ6184">
        <v>0</v>
      </c>
      <c r="BA6184">
        <v>136.63999999999999</v>
      </c>
      <c r="BE6184" t="str">
        <f>T("9791164099764")</f>
        <v>9791164099764</v>
      </c>
      <c r="BF6184" t="str">
        <f>T("k201758")</f>
        <v>k201758</v>
      </c>
      <c r="BG6184" t="str">
        <f>T("로판 웹소설 &gt; 서양풍 로판")</f>
        <v>로판 웹소설 &gt; 서양풍 로판</v>
      </c>
    </row>
    <row r="6185" spans="1:59">
      <c r="A6185" t="s">
        <v>60</v>
      </c>
      <c r="B6185" s="1">
        <v>46129</v>
      </c>
      <c r="C6185">
        <v>2378059762</v>
      </c>
      <c r="D6185">
        <v>2378061685</v>
      </c>
      <c r="E6185" t="str">
        <f>T("칼레이 백작가의 매맞이 하녀 80화")</f>
        <v>칼레이 백작가의 매맞이 하녀 80화</v>
      </c>
      <c r="F6185">
        <v>80</v>
      </c>
      <c r="G6185" t="str">
        <f>T("뮤사203")</f>
        <v>뮤사203</v>
      </c>
      <c r="J6185" t="str">
        <f>T("시계토끼")</f>
        <v>시계토끼</v>
      </c>
      <c r="K6185" t="str">
        <f>T("칼레이 백작가의 매맞이 하녀")</f>
        <v>칼레이 백작가의 매맞이 하녀</v>
      </c>
      <c r="L6185">
        <v>100</v>
      </c>
      <c r="M6185">
        <v>200</v>
      </c>
      <c r="N6185">
        <v>2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0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0</v>
      </c>
      <c r="AE6185">
        <v>0</v>
      </c>
      <c r="AF6185">
        <v>0</v>
      </c>
      <c r="AG6185">
        <v>0</v>
      </c>
      <c r="AH6185">
        <v>0</v>
      </c>
      <c r="AI6185">
        <v>200</v>
      </c>
      <c r="AJ6185">
        <v>2</v>
      </c>
      <c r="AK6185">
        <v>0</v>
      </c>
      <c r="AL6185">
        <v>0</v>
      </c>
      <c r="AM6185">
        <v>200</v>
      </c>
      <c r="AN6185">
        <v>0</v>
      </c>
      <c r="AO6185">
        <v>0</v>
      </c>
      <c r="AP6185">
        <v>0</v>
      </c>
      <c r="AQ6185">
        <v>0</v>
      </c>
      <c r="AS6185">
        <v>0</v>
      </c>
      <c r="AT6185">
        <v>0</v>
      </c>
      <c r="AV6185">
        <v>0</v>
      </c>
      <c r="AW6185">
        <v>0</v>
      </c>
      <c r="AY6185">
        <v>0</v>
      </c>
      <c r="AZ6185">
        <v>0</v>
      </c>
      <c r="BA6185">
        <v>140</v>
      </c>
      <c r="BE6185" t="str">
        <f>T("9791164099764")</f>
        <v>9791164099764</v>
      </c>
      <c r="BF6185" t="str">
        <f>T("k201759")</f>
        <v>k201759</v>
      </c>
      <c r="BG6185" t="str">
        <f>T("로판 웹소설 &gt; 서양풍 로판")</f>
        <v>로판 웹소설 &gt; 서양풍 로판</v>
      </c>
    </row>
    <row r="6186" spans="1:59">
      <c r="A6186" t="s">
        <v>60</v>
      </c>
      <c r="B6186" s="1">
        <v>46129</v>
      </c>
      <c r="C6186">
        <v>2378059762</v>
      </c>
      <c r="D6186">
        <v>2378061686</v>
      </c>
      <c r="E6186" t="str">
        <f>T("칼레이 백작가의 매맞이 하녀 81화")</f>
        <v>칼레이 백작가의 매맞이 하녀 81화</v>
      </c>
      <c r="F6186">
        <v>81</v>
      </c>
      <c r="G6186" t="str">
        <f>T("뮤사203")</f>
        <v>뮤사203</v>
      </c>
      <c r="J6186" t="str">
        <f>T("시계토끼")</f>
        <v>시계토끼</v>
      </c>
      <c r="K6186" t="str">
        <f>T("칼레이 백작가의 매맞이 하녀")</f>
        <v>칼레이 백작가의 매맞이 하녀</v>
      </c>
      <c r="L6186">
        <v>100</v>
      </c>
      <c r="M6186">
        <v>100</v>
      </c>
      <c r="N6186">
        <v>1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0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0</v>
      </c>
      <c r="AE6186">
        <v>0</v>
      </c>
      <c r="AF6186">
        <v>0</v>
      </c>
      <c r="AG6186">
        <v>0</v>
      </c>
      <c r="AH6186">
        <v>0</v>
      </c>
      <c r="AI6186">
        <v>100</v>
      </c>
      <c r="AJ6186">
        <v>1</v>
      </c>
      <c r="AK6186">
        <v>0</v>
      </c>
      <c r="AL6186">
        <v>0</v>
      </c>
      <c r="AM6186">
        <v>100</v>
      </c>
      <c r="AN6186">
        <v>0</v>
      </c>
      <c r="AO6186">
        <v>0</v>
      </c>
      <c r="AP6186">
        <v>0</v>
      </c>
      <c r="AQ6186">
        <v>0</v>
      </c>
      <c r="AS6186">
        <v>0</v>
      </c>
      <c r="AT6186">
        <v>0</v>
      </c>
      <c r="AV6186">
        <v>0</v>
      </c>
      <c r="AW6186">
        <v>0</v>
      </c>
      <c r="AY6186">
        <v>0</v>
      </c>
      <c r="AZ6186">
        <v>0</v>
      </c>
      <c r="BA6186">
        <v>70</v>
      </c>
      <c r="BE6186" t="str">
        <f>T("9791164099764")</f>
        <v>9791164099764</v>
      </c>
      <c r="BF6186" t="str">
        <f>T("k212711")</f>
        <v>k212711</v>
      </c>
      <c r="BG6186" t="str">
        <f>T("로판 웹소설 &gt; 서양풍 로판")</f>
        <v>로판 웹소설 &gt; 서양풍 로판</v>
      </c>
    </row>
    <row r="6187" spans="1:59">
      <c r="A6187" t="s">
        <v>60</v>
      </c>
      <c r="B6187" s="1">
        <v>46129</v>
      </c>
      <c r="C6187">
        <v>2378059762</v>
      </c>
      <c r="D6187">
        <v>2378061687</v>
      </c>
      <c r="E6187" t="str">
        <f>T("칼레이 백작가의 매맞이 하녀 82화")</f>
        <v>칼레이 백작가의 매맞이 하녀 82화</v>
      </c>
      <c r="F6187">
        <v>82</v>
      </c>
      <c r="G6187" t="str">
        <f>T("뮤사203")</f>
        <v>뮤사203</v>
      </c>
      <c r="J6187" t="str">
        <f>T("시계토끼")</f>
        <v>시계토끼</v>
      </c>
      <c r="K6187" t="str">
        <f>T("칼레이 백작가의 매맞이 하녀")</f>
        <v>칼레이 백작가의 매맞이 하녀</v>
      </c>
      <c r="L6187">
        <v>100</v>
      </c>
      <c r="M6187">
        <v>200</v>
      </c>
      <c r="N6187">
        <v>2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0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0</v>
      </c>
      <c r="AE6187">
        <v>0</v>
      </c>
      <c r="AF6187">
        <v>0</v>
      </c>
      <c r="AG6187">
        <v>0</v>
      </c>
      <c r="AH6187">
        <v>0</v>
      </c>
      <c r="AI6187">
        <v>200</v>
      </c>
      <c r="AJ6187">
        <v>2</v>
      </c>
      <c r="AK6187">
        <v>0</v>
      </c>
      <c r="AL6187">
        <v>0</v>
      </c>
      <c r="AM6187">
        <v>200</v>
      </c>
      <c r="AN6187">
        <v>0</v>
      </c>
      <c r="AO6187">
        <v>0</v>
      </c>
      <c r="AP6187">
        <v>0</v>
      </c>
      <c r="AQ6187">
        <v>0</v>
      </c>
      <c r="AS6187">
        <v>0</v>
      </c>
      <c r="AT6187">
        <v>0</v>
      </c>
      <c r="AV6187">
        <v>0</v>
      </c>
      <c r="AW6187">
        <v>0</v>
      </c>
      <c r="AY6187">
        <v>0</v>
      </c>
      <c r="AZ6187">
        <v>0</v>
      </c>
      <c r="BA6187">
        <v>140</v>
      </c>
      <c r="BE6187" t="str">
        <f>T("9791164099764")</f>
        <v>9791164099764</v>
      </c>
      <c r="BF6187" t="str">
        <f>T("k217701")</f>
        <v>k217701</v>
      </c>
      <c r="BG6187" t="str">
        <f>T("로판 웹소설 &gt; 서양풍 로판")</f>
        <v>로판 웹소설 &gt; 서양풍 로판</v>
      </c>
    </row>
    <row r="6188" spans="1:59">
      <c r="A6188" t="s">
        <v>60</v>
      </c>
      <c r="B6188" s="1">
        <v>46129</v>
      </c>
      <c r="C6188">
        <v>2378059762</v>
      </c>
      <c r="D6188">
        <v>2378061688</v>
      </c>
      <c r="E6188" t="str">
        <f>T("칼레이 백작가의 매맞이 하녀 83화")</f>
        <v>칼레이 백작가의 매맞이 하녀 83화</v>
      </c>
      <c r="F6188">
        <v>83</v>
      </c>
      <c r="G6188" t="str">
        <f>T("뮤사203")</f>
        <v>뮤사203</v>
      </c>
      <c r="J6188" t="str">
        <f>T("시계토끼")</f>
        <v>시계토끼</v>
      </c>
      <c r="K6188" t="str">
        <f>T("칼레이 백작가의 매맞이 하녀")</f>
        <v>칼레이 백작가의 매맞이 하녀</v>
      </c>
      <c r="L6188">
        <v>100</v>
      </c>
      <c r="M6188">
        <v>100</v>
      </c>
      <c r="N6188">
        <v>1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0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0</v>
      </c>
      <c r="AE6188">
        <v>0</v>
      </c>
      <c r="AF6188">
        <v>0</v>
      </c>
      <c r="AG6188">
        <v>0</v>
      </c>
      <c r="AH6188">
        <v>0</v>
      </c>
      <c r="AI6188">
        <v>100</v>
      </c>
      <c r="AJ6188">
        <v>1</v>
      </c>
      <c r="AK6188">
        <v>0</v>
      </c>
      <c r="AL6188">
        <v>0</v>
      </c>
      <c r="AM6188">
        <v>100</v>
      </c>
      <c r="AN6188">
        <v>0</v>
      </c>
      <c r="AO6188">
        <v>0</v>
      </c>
      <c r="AP6188">
        <v>0</v>
      </c>
      <c r="AQ6188">
        <v>0</v>
      </c>
      <c r="AS6188">
        <v>0</v>
      </c>
      <c r="AT6188">
        <v>0</v>
      </c>
      <c r="AV6188">
        <v>0</v>
      </c>
      <c r="AW6188">
        <v>0</v>
      </c>
      <c r="AY6188">
        <v>0</v>
      </c>
      <c r="AZ6188">
        <v>0</v>
      </c>
      <c r="BA6188">
        <v>70</v>
      </c>
      <c r="BE6188" t="str">
        <f>T("9791164099764")</f>
        <v>9791164099764</v>
      </c>
      <c r="BF6188" t="str">
        <f>T("k217702")</f>
        <v>k217702</v>
      </c>
      <c r="BG6188" t="str">
        <f>T("로판 웹소설 &gt; 서양풍 로판")</f>
        <v>로판 웹소설 &gt; 서양풍 로판</v>
      </c>
    </row>
    <row r="6189" spans="1:59">
      <c r="A6189" t="s">
        <v>60</v>
      </c>
      <c r="B6189" s="1">
        <v>46129</v>
      </c>
      <c r="C6189">
        <v>2378059762</v>
      </c>
      <c r="D6189">
        <v>2378061790</v>
      </c>
      <c r="E6189" t="str">
        <f>T("칼레이 백작가의 매맞이 하녀 85화")</f>
        <v>칼레이 백작가의 매맞이 하녀 85화</v>
      </c>
      <c r="F6189">
        <v>85</v>
      </c>
      <c r="G6189" t="str">
        <f>T("뮤사203")</f>
        <v>뮤사203</v>
      </c>
      <c r="J6189" t="str">
        <f>T("시계토끼")</f>
        <v>시계토끼</v>
      </c>
      <c r="K6189" t="str">
        <f>T("칼레이 백작가의 매맞이 하녀")</f>
        <v>칼레이 백작가의 매맞이 하녀</v>
      </c>
      <c r="L6189">
        <v>100</v>
      </c>
      <c r="M6189">
        <v>200</v>
      </c>
      <c r="N6189">
        <v>2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0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0</v>
      </c>
      <c r="AE6189">
        <v>0</v>
      </c>
      <c r="AF6189">
        <v>0</v>
      </c>
      <c r="AG6189">
        <v>0</v>
      </c>
      <c r="AH6189">
        <v>0</v>
      </c>
      <c r="AI6189">
        <v>200</v>
      </c>
      <c r="AJ6189">
        <v>2</v>
      </c>
      <c r="AK6189">
        <v>0</v>
      </c>
      <c r="AL6189">
        <v>0</v>
      </c>
      <c r="AM6189">
        <v>200</v>
      </c>
      <c r="AN6189">
        <v>0</v>
      </c>
      <c r="AO6189">
        <v>0</v>
      </c>
      <c r="AP6189">
        <v>0</v>
      </c>
      <c r="AQ6189">
        <v>0</v>
      </c>
      <c r="AS6189">
        <v>0</v>
      </c>
      <c r="AT6189">
        <v>0</v>
      </c>
      <c r="AV6189">
        <v>0</v>
      </c>
      <c r="AW6189">
        <v>0</v>
      </c>
      <c r="AY6189">
        <v>0</v>
      </c>
      <c r="AZ6189">
        <v>0</v>
      </c>
      <c r="BA6189">
        <v>140</v>
      </c>
      <c r="BE6189" t="str">
        <f>T("9791164099764")</f>
        <v>9791164099764</v>
      </c>
      <c r="BF6189" t="str">
        <f>T("k217704")</f>
        <v>k217704</v>
      </c>
      <c r="BG6189" t="str">
        <f>T("로판 웹소설 &gt; 서양풍 로판")</f>
        <v>로판 웹소설 &gt; 서양풍 로판</v>
      </c>
    </row>
    <row r="6190" spans="1:59">
      <c r="A6190" t="s">
        <v>60</v>
      </c>
      <c r="B6190" s="1">
        <v>46129</v>
      </c>
      <c r="C6190">
        <v>2378059762</v>
      </c>
      <c r="D6190">
        <v>2378061951</v>
      </c>
      <c r="E6190" t="str">
        <f>T("칼레이 백작가의 매맞이 하녀 90화")</f>
        <v>칼레이 백작가의 매맞이 하녀 90화</v>
      </c>
      <c r="F6190">
        <v>90</v>
      </c>
      <c r="G6190" t="str">
        <f>T("뮤사203")</f>
        <v>뮤사203</v>
      </c>
      <c r="J6190" t="str">
        <f>T("시계토끼")</f>
        <v>시계토끼</v>
      </c>
      <c r="K6190" t="str">
        <f>T("칼레이 백작가의 매맞이 하녀")</f>
        <v>칼레이 백작가의 매맞이 하녀</v>
      </c>
      <c r="L6190">
        <v>100</v>
      </c>
      <c r="M6190">
        <v>100</v>
      </c>
      <c r="N6190">
        <v>1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0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0</v>
      </c>
      <c r="AE6190">
        <v>0</v>
      </c>
      <c r="AF6190">
        <v>0</v>
      </c>
      <c r="AG6190">
        <v>0</v>
      </c>
      <c r="AH6190">
        <v>0</v>
      </c>
      <c r="AI6190">
        <v>100</v>
      </c>
      <c r="AJ6190">
        <v>1</v>
      </c>
      <c r="AK6190">
        <v>0</v>
      </c>
      <c r="AL6190">
        <v>0</v>
      </c>
      <c r="AM6190">
        <v>100</v>
      </c>
      <c r="AN6190">
        <v>0</v>
      </c>
      <c r="AO6190">
        <v>0</v>
      </c>
      <c r="AP6190">
        <v>0</v>
      </c>
      <c r="AQ6190">
        <v>0</v>
      </c>
      <c r="AS6190">
        <v>0</v>
      </c>
      <c r="AT6190">
        <v>0</v>
      </c>
      <c r="AV6190">
        <v>0</v>
      </c>
      <c r="AW6190">
        <v>0</v>
      </c>
      <c r="AY6190">
        <v>0</v>
      </c>
      <c r="AZ6190">
        <v>0</v>
      </c>
      <c r="BA6190">
        <v>70</v>
      </c>
      <c r="BE6190" t="str">
        <f>T("9791164099764")</f>
        <v>9791164099764</v>
      </c>
      <c r="BF6190" t="str">
        <f>T("k239476")</f>
        <v>k239476</v>
      </c>
      <c r="BG6190" t="str">
        <f>T("로판 웹소설 &gt; 서양풍 로판")</f>
        <v>로판 웹소설 &gt; 서양풍 로판</v>
      </c>
    </row>
    <row r="6191" spans="1:59">
      <c r="A6191" t="s">
        <v>60</v>
      </c>
      <c r="B6191" s="1">
        <v>46129</v>
      </c>
      <c r="C6191">
        <v>2378059762</v>
      </c>
      <c r="D6191">
        <v>2378061953</v>
      </c>
      <c r="E6191" t="str">
        <f>T("칼레이 백작가의 매맞이 하녀 92화")</f>
        <v>칼레이 백작가의 매맞이 하녀 92화</v>
      </c>
      <c r="F6191">
        <v>92</v>
      </c>
      <c r="G6191" t="str">
        <f>T("뮤사203")</f>
        <v>뮤사203</v>
      </c>
      <c r="J6191" t="str">
        <f>T("시계토끼")</f>
        <v>시계토끼</v>
      </c>
      <c r="K6191" t="str">
        <f>T("칼레이 백작가의 매맞이 하녀")</f>
        <v>칼레이 백작가의 매맞이 하녀</v>
      </c>
      <c r="L6191">
        <v>100</v>
      </c>
      <c r="M6191">
        <v>100</v>
      </c>
      <c r="N6191">
        <v>1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0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0</v>
      </c>
      <c r="AE6191">
        <v>0</v>
      </c>
      <c r="AF6191">
        <v>0</v>
      </c>
      <c r="AG6191">
        <v>0</v>
      </c>
      <c r="AH6191">
        <v>0</v>
      </c>
      <c r="AI6191">
        <v>100</v>
      </c>
      <c r="AJ6191">
        <v>1</v>
      </c>
      <c r="AK6191">
        <v>0</v>
      </c>
      <c r="AL6191">
        <v>0</v>
      </c>
      <c r="AM6191">
        <v>100</v>
      </c>
      <c r="AN6191">
        <v>0</v>
      </c>
      <c r="AO6191">
        <v>0</v>
      </c>
      <c r="AP6191">
        <v>0</v>
      </c>
      <c r="AQ6191">
        <v>0</v>
      </c>
      <c r="AS6191">
        <v>0</v>
      </c>
      <c r="AT6191">
        <v>0</v>
      </c>
      <c r="AV6191">
        <v>0</v>
      </c>
      <c r="AW6191">
        <v>0</v>
      </c>
      <c r="AY6191">
        <v>0</v>
      </c>
      <c r="AZ6191">
        <v>0</v>
      </c>
      <c r="BA6191">
        <v>70</v>
      </c>
      <c r="BE6191" t="str">
        <f>T("9791164099764")</f>
        <v>9791164099764</v>
      </c>
      <c r="BF6191" t="str">
        <f>T("k239478")</f>
        <v>k239478</v>
      </c>
      <c r="BG6191" t="str">
        <f>T("로판 웹소설 &gt; 서양풍 로판")</f>
        <v>로판 웹소설 &gt; 서양풍 로판</v>
      </c>
    </row>
    <row r="6192" spans="1:59">
      <c r="A6192" t="s">
        <v>60</v>
      </c>
      <c r="B6192" s="1">
        <v>46129</v>
      </c>
      <c r="C6192">
        <v>2378059762</v>
      </c>
      <c r="D6192">
        <v>2378062154</v>
      </c>
      <c r="E6192" t="str">
        <f>T("칼레이 백작가의 매맞이 하녀 96화")</f>
        <v>칼레이 백작가의 매맞이 하녀 96화</v>
      </c>
      <c r="F6192">
        <v>96</v>
      </c>
      <c r="G6192" t="str">
        <f>T("뮤사203")</f>
        <v>뮤사203</v>
      </c>
      <c r="J6192" t="str">
        <f>T("시계토끼")</f>
        <v>시계토끼</v>
      </c>
      <c r="K6192" t="str">
        <f>T("칼레이 백작가의 매맞이 하녀")</f>
        <v>칼레이 백작가의 매맞이 하녀</v>
      </c>
      <c r="L6192">
        <v>100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1</v>
      </c>
      <c r="S6192">
        <v>0</v>
      </c>
      <c r="T6192">
        <v>0</v>
      </c>
      <c r="U6192">
        <v>0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0</v>
      </c>
      <c r="AE6192">
        <v>0</v>
      </c>
      <c r="AF6192">
        <v>0</v>
      </c>
      <c r="AG6192">
        <v>0</v>
      </c>
      <c r="AH6192">
        <v>0</v>
      </c>
      <c r="AI6192">
        <v>0</v>
      </c>
      <c r="AJ6192">
        <v>1</v>
      </c>
      <c r="AK6192">
        <v>0</v>
      </c>
      <c r="AL6192">
        <v>0</v>
      </c>
      <c r="AM6192">
        <v>0</v>
      </c>
      <c r="AN6192">
        <v>0</v>
      </c>
      <c r="AO6192">
        <v>0</v>
      </c>
      <c r="AP6192">
        <v>0</v>
      </c>
      <c r="AQ6192">
        <v>0</v>
      </c>
      <c r="AS6192">
        <v>0</v>
      </c>
      <c r="AT6192">
        <v>0</v>
      </c>
      <c r="AV6192">
        <v>0</v>
      </c>
      <c r="AW6192">
        <v>0</v>
      </c>
      <c r="AY6192">
        <v>0</v>
      </c>
      <c r="AZ6192">
        <v>0</v>
      </c>
      <c r="BA6192">
        <v>0</v>
      </c>
      <c r="BE6192" t="str">
        <f>T("9791164099764")</f>
        <v>9791164099764</v>
      </c>
      <c r="BF6192" t="str">
        <f>T("k239907")</f>
        <v>k239907</v>
      </c>
      <c r="BG6192" t="str">
        <f>T("로판 웹소설 &gt; 서양풍 로판")</f>
        <v>로판 웹소설 &gt; 서양풍 로판</v>
      </c>
    </row>
    <row r="6193" spans="1:59">
      <c r="A6193" t="s">
        <v>60</v>
      </c>
      <c r="B6193" s="1">
        <v>46129</v>
      </c>
      <c r="C6193">
        <v>2378059762</v>
      </c>
      <c r="D6193">
        <v>2378062566</v>
      </c>
      <c r="E6193" t="str">
        <f>T("칼레이 백작가의 매맞이 하녀 97화")</f>
        <v>칼레이 백작가의 매맞이 하녀 97화</v>
      </c>
      <c r="F6193">
        <v>97</v>
      </c>
      <c r="G6193" t="str">
        <f>T("뮤사203")</f>
        <v>뮤사203</v>
      </c>
      <c r="J6193" t="str">
        <f>T("시계토끼")</f>
        <v>시계토끼</v>
      </c>
      <c r="K6193" t="str">
        <f>T("칼레이 백작가의 매맞이 하녀")</f>
        <v>칼레이 백작가의 매맞이 하녀</v>
      </c>
      <c r="L6193">
        <v>100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1</v>
      </c>
      <c r="S6193">
        <v>0</v>
      </c>
      <c r="T6193">
        <v>0</v>
      </c>
      <c r="U6193">
        <v>0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0</v>
      </c>
      <c r="AE6193">
        <v>0</v>
      </c>
      <c r="AF6193">
        <v>0</v>
      </c>
      <c r="AG6193">
        <v>0</v>
      </c>
      <c r="AH6193">
        <v>0</v>
      </c>
      <c r="AI6193">
        <v>0</v>
      </c>
      <c r="AJ6193">
        <v>1</v>
      </c>
      <c r="AK6193">
        <v>0</v>
      </c>
      <c r="AL6193">
        <v>0</v>
      </c>
      <c r="AM6193">
        <v>0</v>
      </c>
      <c r="AN6193">
        <v>0</v>
      </c>
      <c r="AO6193">
        <v>0</v>
      </c>
      <c r="AP6193">
        <v>0</v>
      </c>
      <c r="AQ6193">
        <v>0</v>
      </c>
      <c r="AS6193">
        <v>0</v>
      </c>
      <c r="AT6193">
        <v>0</v>
      </c>
      <c r="AV6193">
        <v>0</v>
      </c>
      <c r="AW6193">
        <v>0</v>
      </c>
      <c r="AY6193">
        <v>0</v>
      </c>
      <c r="AZ6193">
        <v>0</v>
      </c>
      <c r="BA6193">
        <v>0</v>
      </c>
      <c r="BE6193" t="str">
        <f>T("9791164099764")</f>
        <v>9791164099764</v>
      </c>
      <c r="BF6193" t="str">
        <f>T("k239908")</f>
        <v>k239908</v>
      </c>
      <c r="BG6193" t="str">
        <f>T("로판 웹소설 &gt; 서양풍 로판")</f>
        <v>로판 웹소설 &gt; 서양풍 로판</v>
      </c>
    </row>
    <row r="6194" spans="1:59">
      <c r="A6194" t="s">
        <v>60</v>
      </c>
      <c r="B6194" s="1">
        <v>46129</v>
      </c>
      <c r="C6194">
        <v>2378059762</v>
      </c>
      <c r="D6194">
        <v>2378062568</v>
      </c>
      <c r="E6194" t="str">
        <f>T("칼레이 백작가의 매맞이 하녀 99화")</f>
        <v>칼레이 백작가의 매맞이 하녀 99화</v>
      </c>
      <c r="F6194">
        <v>99</v>
      </c>
      <c r="G6194" t="str">
        <f>T("뮤사203")</f>
        <v>뮤사203</v>
      </c>
      <c r="J6194" t="str">
        <f>T("시계토끼")</f>
        <v>시계토끼</v>
      </c>
      <c r="K6194" t="str">
        <f>T("칼레이 백작가의 매맞이 하녀")</f>
        <v>칼레이 백작가의 매맞이 하녀</v>
      </c>
      <c r="L6194">
        <v>100</v>
      </c>
      <c r="M6194">
        <v>100</v>
      </c>
      <c r="N6194">
        <v>1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0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0</v>
      </c>
      <c r="AE6194">
        <v>0</v>
      </c>
      <c r="AF6194">
        <v>0</v>
      </c>
      <c r="AG6194">
        <v>0</v>
      </c>
      <c r="AH6194">
        <v>0</v>
      </c>
      <c r="AI6194">
        <v>100</v>
      </c>
      <c r="AJ6194">
        <v>1</v>
      </c>
      <c r="AK6194">
        <v>0</v>
      </c>
      <c r="AL6194">
        <v>0</v>
      </c>
      <c r="AM6194">
        <v>100</v>
      </c>
      <c r="AN6194">
        <v>0</v>
      </c>
      <c r="AO6194">
        <v>0</v>
      </c>
      <c r="AP6194">
        <v>0</v>
      </c>
      <c r="AQ6194">
        <v>0</v>
      </c>
      <c r="AS6194">
        <v>0</v>
      </c>
      <c r="AT6194">
        <v>0</v>
      </c>
      <c r="AV6194">
        <v>0</v>
      </c>
      <c r="AW6194">
        <v>0</v>
      </c>
      <c r="AY6194">
        <v>0</v>
      </c>
      <c r="AZ6194">
        <v>0</v>
      </c>
      <c r="BA6194">
        <v>70</v>
      </c>
      <c r="BE6194" t="str">
        <f>T("9791164099764")</f>
        <v>9791164099764</v>
      </c>
      <c r="BF6194" t="str">
        <f>T("k244193")</f>
        <v>k244193</v>
      </c>
      <c r="BG6194" t="str">
        <f>T("로판 웹소설 &gt; 서양풍 로판")</f>
        <v>로판 웹소설 &gt; 서양풍 로판</v>
      </c>
    </row>
    <row r="6195" spans="1:59">
      <c r="A6195" t="s">
        <v>60</v>
      </c>
      <c r="B6195" s="1">
        <v>46129</v>
      </c>
      <c r="C6195">
        <v>2378059762</v>
      </c>
      <c r="D6195">
        <v>2378062569</v>
      </c>
      <c r="E6195" t="str">
        <f>T("칼레이 백작가의 매맞이 하녀 100화")</f>
        <v>칼레이 백작가의 매맞이 하녀 100화</v>
      </c>
      <c r="F6195">
        <v>100</v>
      </c>
      <c r="G6195" t="str">
        <f>T("뮤사203")</f>
        <v>뮤사203</v>
      </c>
      <c r="J6195" t="str">
        <f>T("시계토끼")</f>
        <v>시계토끼</v>
      </c>
      <c r="K6195" t="str">
        <f>T("칼레이 백작가의 매맞이 하녀")</f>
        <v>칼레이 백작가의 매맞이 하녀</v>
      </c>
      <c r="L6195">
        <v>100</v>
      </c>
      <c r="M6195">
        <v>200</v>
      </c>
      <c r="N6195">
        <v>2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0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0</v>
      </c>
      <c r="AE6195">
        <v>0</v>
      </c>
      <c r="AF6195">
        <v>0</v>
      </c>
      <c r="AG6195">
        <v>0</v>
      </c>
      <c r="AH6195">
        <v>0</v>
      </c>
      <c r="AI6195">
        <v>200</v>
      </c>
      <c r="AJ6195">
        <v>2</v>
      </c>
      <c r="AK6195">
        <v>0</v>
      </c>
      <c r="AL6195">
        <v>0</v>
      </c>
      <c r="AM6195">
        <v>100</v>
      </c>
      <c r="AN6195">
        <v>0</v>
      </c>
      <c r="AO6195">
        <v>120</v>
      </c>
      <c r="AP6195">
        <v>-12</v>
      </c>
      <c r="AQ6195">
        <v>0</v>
      </c>
      <c r="AS6195">
        <v>0</v>
      </c>
      <c r="AT6195">
        <v>0</v>
      </c>
      <c r="AU6195">
        <v>120</v>
      </c>
      <c r="AV6195">
        <v>-12</v>
      </c>
      <c r="AW6195">
        <v>0</v>
      </c>
      <c r="AY6195">
        <v>0</v>
      </c>
      <c r="AZ6195">
        <v>0</v>
      </c>
      <c r="BA6195">
        <v>145.6</v>
      </c>
      <c r="BE6195" t="str">
        <f>T("9791164099764")</f>
        <v>9791164099764</v>
      </c>
      <c r="BF6195" t="str">
        <f>T("k244194")</f>
        <v>k244194</v>
      </c>
      <c r="BG6195" t="str">
        <f>T("로판 웹소설 &gt; 서양풍 로판")</f>
        <v>로판 웹소설 &gt; 서양풍 로판</v>
      </c>
    </row>
    <row r="6196" spans="1:59">
      <c r="A6196" t="s">
        <v>60</v>
      </c>
      <c r="B6196" s="1">
        <v>46129</v>
      </c>
      <c r="C6196">
        <v>2378059762</v>
      </c>
      <c r="D6196">
        <v>2378062650</v>
      </c>
      <c r="E6196" t="str">
        <f>T("칼레이 백작가의 매맞이 하녀 101화")</f>
        <v>칼레이 백작가의 매맞이 하녀 101화</v>
      </c>
      <c r="F6196">
        <v>101</v>
      </c>
      <c r="G6196" t="str">
        <f>T("뮤사203")</f>
        <v>뮤사203</v>
      </c>
      <c r="J6196" t="str">
        <f>T("시계토끼")</f>
        <v>시계토끼</v>
      </c>
      <c r="K6196" t="str">
        <f>T("칼레이 백작가의 매맞이 하녀")</f>
        <v>칼레이 백작가의 매맞이 하녀</v>
      </c>
      <c r="L6196">
        <v>100</v>
      </c>
      <c r="M6196">
        <v>100</v>
      </c>
      <c r="N6196">
        <v>1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0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0</v>
      </c>
      <c r="AE6196">
        <v>0</v>
      </c>
      <c r="AF6196">
        <v>0</v>
      </c>
      <c r="AG6196">
        <v>0</v>
      </c>
      <c r="AH6196">
        <v>0</v>
      </c>
      <c r="AI6196">
        <v>100</v>
      </c>
      <c r="AJ6196">
        <v>1</v>
      </c>
      <c r="AK6196">
        <v>0</v>
      </c>
      <c r="AL6196">
        <v>0</v>
      </c>
      <c r="AM6196">
        <v>100</v>
      </c>
      <c r="AN6196">
        <v>0</v>
      </c>
      <c r="AO6196">
        <v>0</v>
      </c>
      <c r="AP6196">
        <v>0</v>
      </c>
      <c r="AQ6196">
        <v>0</v>
      </c>
      <c r="AS6196">
        <v>0</v>
      </c>
      <c r="AT6196">
        <v>0</v>
      </c>
      <c r="AV6196">
        <v>0</v>
      </c>
      <c r="AW6196">
        <v>0</v>
      </c>
      <c r="AY6196">
        <v>0</v>
      </c>
      <c r="AZ6196">
        <v>0</v>
      </c>
      <c r="BA6196">
        <v>70</v>
      </c>
      <c r="BE6196" t="str">
        <f>T("9791164099764")</f>
        <v>9791164099764</v>
      </c>
      <c r="BF6196" t="str">
        <f>T("k244195")</f>
        <v>k244195</v>
      </c>
      <c r="BG6196" t="str">
        <f>T("로판 웹소설 &gt; 서양풍 로판")</f>
        <v>로판 웹소설 &gt; 서양풍 로판</v>
      </c>
    </row>
    <row r="6197" spans="1:59">
      <c r="A6197" t="s">
        <v>60</v>
      </c>
      <c r="B6197" s="1">
        <v>46129</v>
      </c>
      <c r="C6197">
        <v>2378059762</v>
      </c>
      <c r="D6197">
        <v>2378062651</v>
      </c>
      <c r="E6197" t="str">
        <f>T("칼레이 백작가의 매맞이 하녀 102화")</f>
        <v>칼레이 백작가의 매맞이 하녀 102화</v>
      </c>
      <c r="F6197">
        <v>102</v>
      </c>
      <c r="G6197" t="str">
        <f>T("뮤사203")</f>
        <v>뮤사203</v>
      </c>
      <c r="J6197" t="str">
        <f>T("시계토끼")</f>
        <v>시계토끼</v>
      </c>
      <c r="K6197" t="str">
        <f>T("칼레이 백작가의 매맞이 하녀")</f>
        <v>칼레이 백작가의 매맞이 하녀</v>
      </c>
      <c r="L6197">
        <v>100</v>
      </c>
      <c r="M6197">
        <v>100</v>
      </c>
      <c r="N6197">
        <v>1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0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0</v>
      </c>
      <c r="AE6197">
        <v>0</v>
      </c>
      <c r="AF6197">
        <v>0</v>
      </c>
      <c r="AG6197">
        <v>0</v>
      </c>
      <c r="AH6197">
        <v>0</v>
      </c>
      <c r="AI6197">
        <v>100</v>
      </c>
      <c r="AJ6197">
        <v>1</v>
      </c>
      <c r="AK6197">
        <v>0</v>
      </c>
      <c r="AL6197">
        <v>0</v>
      </c>
      <c r="AM6197">
        <v>100</v>
      </c>
      <c r="AN6197">
        <v>0</v>
      </c>
      <c r="AO6197">
        <v>0</v>
      </c>
      <c r="AP6197">
        <v>0</v>
      </c>
      <c r="AQ6197">
        <v>0</v>
      </c>
      <c r="AS6197">
        <v>0</v>
      </c>
      <c r="AT6197">
        <v>0</v>
      </c>
      <c r="AV6197">
        <v>0</v>
      </c>
      <c r="AW6197">
        <v>0</v>
      </c>
      <c r="AY6197">
        <v>0</v>
      </c>
      <c r="AZ6197">
        <v>0</v>
      </c>
      <c r="BA6197">
        <v>70</v>
      </c>
      <c r="BE6197" t="str">
        <f>T("9791164099764")</f>
        <v>9791164099764</v>
      </c>
      <c r="BF6197" t="str">
        <f>T("k248573")</f>
        <v>k248573</v>
      </c>
      <c r="BG6197" t="str">
        <f>T("로판 웹소설 &gt; 서양풍 로판")</f>
        <v>로판 웹소설 &gt; 서양풍 로판</v>
      </c>
    </row>
    <row r="6198" spans="1:59">
      <c r="A6198" t="s">
        <v>60</v>
      </c>
      <c r="B6198" s="1">
        <v>46129</v>
      </c>
      <c r="C6198">
        <v>2378059762</v>
      </c>
      <c r="D6198">
        <v>2378063409</v>
      </c>
      <c r="E6198" t="str">
        <f>T("칼레이 백작가의 매맞이 하녀 104화")</f>
        <v>칼레이 백작가의 매맞이 하녀 104화</v>
      </c>
      <c r="F6198">
        <v>104</v>
      </c>
      <c r="G6198" t="str">
        <f>T("뮤사203")</f>
        <v>뮤사203</v>
      </c>
      <c r="J6198" t="str">
        <f>T("시계토끼")</f>
        <v>시계토끼</v>
      </c>
      <c r="K6198" t="str">
        <f>T("칼레이 백작가의 매맞이 하녀")</f>
        <v>칼레이 백작가의 매맞이 하녀</v>
      </c>
      <c r="L6198">
        <v>100</v>
      </c>
      <c r="M6198">
        <v>100</v>
      </c>
      <c r="N6198">
        <v>1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0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0</v>
      </c>
      <c r="AE6198">
        <v>0</v>
      </c>
      <c r="AF6198">
        <v>0</v>
      </c>
      <c r="AG6198">
        <v>0</v>
      </c>
      <c r="AH6198">
        <v>0</v>
      </c>
      <c r="AI6198">
        <v>100</v>
      </c>
      <c r="AJ6198">
        <v>1</v>
      </c>
      <c r="AK6198">
        <v>0</v>
      </c>
      <c r="AL6198">
        <v>0</v>
      </c>
      <c r="AM6198">
        <v>100</v>
      </c>
      <c r="AN6198">
        <v>0</v>
      </c>
      <c r="AO6198">
        <v>0</v>
      </c>
      <c r="AP6198">
        <v>0</v>
      </c>
      <c r="AQ6198">
        <v>0</v>
      </c>
      <c r="AS6198">
        <v>0</v>
      </c>
      <c r="AT6198">
        <v>0</v>
      </c>
      <c r="AV6198">
        <v>0</v>
      </c>
      <c r="AW6198">
        <v>0</v>
      </c>
      <c r="AY6198">
        <v>0</v>
      </c>
      <c r="AZ6198">
        <v>0</v>
      </c>
      <c r="BA6198">
        <v>70</v>
      </c>
      <c r="BE6198" t="str">
        <f>T("9791164099764")</f>
        <v>9791164099764</v>
      </c>
      <c r="BF6198" t="str">
        <f>T("k248575")</f>
        <v>k248575</v>
      </c>
      <c r="BG6198" t="str">
        <f>T("로판 웹소설 &gt; 서양풍 로판")</f>
        <v>로판 웹소설 &gt; 서양풍 로판</v>
      </c>
    </row>
    <row r="6199" spans="1:59">
      <c r="A6199" t="s">
        <v>60</v>
      </c>
      <c r="B6199" s="1">
        <v>46129</v>
      </c>
      <c r="C6199">
        <v>2378059762</v>
      </c>
      <c r="D6199">
        <v>2378063410</v>
      </c>
      <c r="E6199" t="str">
        <f>T("칼레이 백작가의 매맞이 하녀 105화")</f>
        <v>칼레이 백작가의 매맞이 하녀 105화</v>
      </c>
      <c r="F6199">
        <v>105</v>
      </c>
      <c r="G6199" t="str">
        <f>T("뮤사203")</f>
        <v>뮤사203</v>
      </c>
      <c r="J6199" t="str">
        <f>T("시계토끼")</f>
        <v>시계토끼</v>
      </c>
      <c r="K6199" t="str">
        <f>T("칼레이 백작가의 매맞이 하녀")</f>
        <v>칼레이 백작가의 매맞이 하녀</v>
      </c>
      <c r="L6199">
        <v>100</v>
      </c>
      <c r="M6199">
        <v>100</v>
      </c>
      <c r="N6199">
        <v>1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0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0</v>
      </c>
      <c r="AE6199">
        <v>0</v>
      </c>
      <c r="AF6199">
        <v>0</v>
      </c>
      <c r="AG6199">
        <v>0</v>
      </c>
      <c r="AH6199">
        <v>0</v>
      </c>
      <c r="AI6199">
        <v>100</v>
      </c>
      <c r="AJ6199">
        <v>1</v>
      </c>
      <c r="AK6199">
        <v>0</v>
      </c>
      <c r="AL6199">
        <v>0</v>
      </c>
      <c r="AM6199">
        <v>100</v>
      </c>
      <c r="AN6199">
        <v>0</v>
      </c>
      <c r="AO6199">
        <v>0</v>
      </c>
      <c r="AP6199">
        <v>0</v>
      </c>
      <c r="AQ6199">
        <v>0</v>
      </c>
      <c r="AS6199">
        <v>0</v>
      </c>
      <c r="AT6199">
        <v>0</v>
      </c>
      <c r="AV6199">
        <v>0</v>
      </c>
      <c r="AW6199">
        <v>0</v>
      </c>
      <c r="AY6199">
        <v>0</v>
      </c>
      <c r="AZ6199">
        <v>0</v>
      </c>
      <c r="BA6199">
        <v>70</v>
      </c>
      <c r="BE6199" t="str">
        <f>T("9791164099764")</f>
        <v>9791164099764</v>
      </c>
      <c r="BF6199" t="str">
        <f>T("k248576")</f>
        <v>k248576</v>
      </c>
      <c r="BG6199" t="str">
        <f>T("로판 웹소설 &gt; 서양풍 로판")</f>
        <v>로판 웹소설 &gt; 서양풍 로판</v>
      </c>
    </row>
    <row r="6200" spans="1:59">
      <c r="A6200" t="s">
        <v>60</v>
      </c>
      <c r="B6200" s="1">
        <v>46129</v>
      </c>
      <c r="C6200">
        <v>2378059762</v>
      </c>
      <c r="D6200">
        <v>2378063411</v>
      </c>
      <c r="E6200" t="str">
        <f>T("칼레이 백작가의 매맞이 하녀 106화")</f>
        <v>칼레이 백작가의 매맞이 하녀 106화</v>
      </c>
      <c r="F6200">
        <v>106</v>
      </c>
      <c r="G6200" t="str">
        <f>T("뮤사203")</f>
        <v>뮤사203</v>
      </c>
      <c r="J6200" t="str">
        <f>T("시계토끼")</f>
        <v>시계토끼</v>
      </c>
      <c r="K6200" t="str">
        <f>T("칼레이 백작가의 매맞이 하녀")</f>
        <v>칼레이 백작가의 매맞이 하녀</v>
      </c>
      <c r="L6200">
        <v>100</v>
      </c>
      <c r="M6200">
        <v>100</v>
      </c>
      <c r="N6200">
        <v>1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0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0</v>
      </c>
      <c r="AE6200">
        <v>0</v>
      </c>
      <c r="AF6200">
        <v>0</v>
      </c>
      <c r="AG6200">
        <v>0</v>
      </c>
      <c r="AH6200">
        <v>0</v>
      </c>
      <c r="AI6200">
        <v>100</v>
      </c>
      <c r="AJ6200">
        <v>1</v>
      </c>
      <c r="AK6200">
        <v>0</v>
      </c>
      <c r="AL6200">
        <v>0</v>
      </c>
      <c r="AM6200">
        <v>100</v>
      </c>
      <c r="AN6200">
        <v>0</v>
      </c>
      <c r="AO6200">
        <v>0</v>
      </c>
      <c r="AP6200">
        <v>0</v>
      </c>
      <c r="AQ6200">
        <v>0</v>
      </c>
      <c r="AS6200">
        <v>0</v>
      </c>
      <c r="AT6200">
        <v>0</v>
      </c>
      <c r="AV6200">
        <v>0</v>
      </c>
      <c r="AW6200">
        <v>0</v>
      </c>
      <c r="AY6200">
        <v>0</v>
      </c>
      <c r="AZ6200">
        <v>0</v>
      </c>
      <c r="BA6200">
        <v>70</v>
      </c>
      <c r="BE6200" t="str">
        <f>T("9791164099764")</f>
        <v>9791164099764</v>
      </c>
      <c r="BF6200" t="str">
        <f>T("k250327")</f>
        <v>k250327</v>
      </c>
      <c r="BG6200" t="str">
        <f>T("로판 웹소설 &gt; 서양풍 로판")</f>
        <v>로판 웹소설 &gt; 서양풍 로판</v>
      </c>
    </row>
    <row r="6201" spans="1:59">
      <c r="A6201" t="s">
        <v>60</v>
      </c>
      <c r="B6201" s="1">
        <v>46129</v>
      </c>
      <c r="C6201">
        <v>2378059762</v>
      </c>
      <c r="D6201">
        <v>2378063698</v>
      </c>
      <c r="E6201" t="str">
        <f>T("칼레이 백작가의 매맞이 하녀 110화")</f>
        <v>칼레이 백작가의 매맞이 하녀 110화</v>
      </c>
      <c r="F6201">
        <v>110</v>
      </c>
      <c r="G6201" t="str">
        <f>T("뮤사203")</f>
        <v>뮤사203</v>
      </c>
      <c r="J6201" t="str">
        <f>T("시계토끼")</f>
        <v>시계토끼</v>
      </c>
      <c r="K6201" t="str">
        <f>T("칼레이 백작가의 매맞이 하녀")</f>
        <v>칼레이 백작가의 매맞이 하녀</v>
      </c>
      <c r="L6201">
        <v>100</v>
      </c>
      <c r="M6201">
        <v>200</v>
      </c>
      <c r="N6201">
        <v>2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0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0</v>
      </c>
      <c r="AE6201">
        <v>0</v>
      </c>
      <c r="AF6201">
        <v>0</v>
      </c>
      <c r="AG6201">
        <v>0</v>
      </c>
      <c r="AH6201">
        <v>0</v>
      </c>
      <c r="AI6201">
        <v>200</v>
      </c>
      <c r="AJ6201">
        <v>2</v>
      </c>
      <c r="AK6201">
        <v>0</v>
      </c>
      <c r="AL6201">
        <v>0</v>
      </c>
      <c r="AM6201">
        <v>100</v>
      </c>
      <c r="AN6201">
        <v>0</v>
      </c>
      <c r="AO6201">
        <v>120</v>
      </c>
      <c r="AP6201">
        <v>-12</v>
      </c>
      <c r="AQ6201">
        <v>0</v>
      </c>
      <c r="AS6201">
        <v>0</v>
      </c>
      <c r="AT6201">
        <v>0</v>
      </c>
      <c r="AU6201">
        <v>120</v>
      </c>
      <c r="AV6201">
        <v>-12</v>
      </c>
      <c r="AW6201">
        <v>0</v>
      </c>
      <c r="AY6201">
        <v>0</v>
      </c>
      <c r="AZ6201">
        <v>0</v>
      </c>
      <c r="BA6201">
        <v>145.6</v>
      </c>
      <c r="BE6201" t="str">
        <f>T("9791164099764")</f>
        <v>9791164099764</v>
      </c>
      <c r="BF6201" t="str">
        <f>T("k250809")</f>
        <v>k250809</v>
      </c>
      <c r="BG6201" t="str">
        <f>T("로판 웹소설 &gt; 서양풍 로판")</f>
        <v>로판 웹소설 &gt; 서양풍 로판</v>
      </c>
    </row>
    <row r="6202" spans="1:59">
      <c r="A6202" t="s">
        <v>60</v>
      </c>
      <c r="B6202" s="1">
        <v>46129</v>
      </c>
      <c r="C6202">
        <v>2378059762</v>
      </c>
      <c r="D6202">
        <v>2378063699</v>
      </c>
      <c r="E6202" t="str">
        <f>T("칼레이 백작가의 매맞이 하녀 111화")</f>
        <v>칼레이 백작가의 매맞이 하녀 111화</v>
      </c>
      <c r="F6202">
        <v>111</v>
      </c>
      <c r="G6202" t="str">
        <f>T("뮤사203")</f>
        <v>뮤사203</v>
      </c>
      <c r="J6202" t="str">
        <f>T("시계토끼")</f>
        <v>시계토끼</v>
      </c>
      <c r="K6202" t="str">
        <f>T("칼레이 백작가의 매맞이 하녀")</f>
        <v>칼레이 백작가의 매맞이 하녀</v>
      </c>
      <c r="L6202">
        <v>100</v>
      </c>
      <c r="M6202">
        <v>200</v>
      </c>
      <c r="N6202">
        <v>2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0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0</v>
      </c>
      <c r="AE6202">
        <v>0</v>
      </c>
      <c r="AF6202">
        <v>0</v>
      </c>
      <c r="AG6202">
        <v>0</v>
      </c>
      <c r="AH6202">
        <v>0</v>
      </c>
      <c r="AI6202">
        <v>200</v>
      </c>
      <c r="AJ6202">
        <v>2</v>
      </c>
      <c r="AK6202">
        <v>0</v>
      </c>
      <c r="AL6202">
        <v>0</v>
      </c>
      <c r="AM6202">
        <v>100</v>
      </c>
      <c r="AN6202">
        <v>0</v>
      </c>
      <c r="AO6202">
        <v>120</v>
      </c>
      <c r="AP6202">
        <v>-12</v>
      </c>
      <c r="AQ6202">
        <v>0</v>
      </c>
      <c r="AS6202">
        <v>0</v>
      </c>
      <c r="AT6202">
        <v>0</v>
      </c>
      <c r="AU6202">
        <v>120</v>
      </c>
      <c r="AV6202">
        <v>-12</v>
      </c>
      <c r="AW6202">
        <v>0</v>
      </c>
      <c r="AY6202">
        <v>0</v>
      </c>
      <c r="AZ6202">
        <v>0</v>
      </c>
      <c r="BA6202">
        <v>145.6</v>
      </c>
      <c r="BE6202" t="str">
        <f>T("9791164099764")</f>
        <v>9791164099764</v>
      </c>
      <c r="BF6202" t="str">
        <f>T("k250810")</f>
        <v>k250810</v>
      </c>
      <c r="BG6202" t="str">
        <f>T("로판 웹소설 &gt; 서양풍 로판")</f>
        <v>로판 웹소설 &gt; 서양풍 로판</v>
      </c>
    </row>
    <row r="6203" spans="1:59">
      <c r="A6203" t="s">
        <v>60</v>
      </c>
      <c r="B6203" s="1">
        <v>46129</v>
      </c>
      <c r="C6203">
        <v>2378059762</v>
      </c>
      <c r="D6203">
        <v>2378063700</v>
      </c>
      <c r="E6203" t="str">
        <f>T("칼레이 백작가의 매맞이 하녀 112화")</f>
        <v>칼레이 백작가의 매맞이 하녀 112화</v>
      </c>
      <c r="F6203">
        <v>112</v>
      </c>
      <c r="G6203" t="str">
        <f>T("뮤사203")</f>
        <v>뮤사203</v>
      </c>
      <c r="J6203" t="str">
        <f>T("시계토끼")</f>
        <v>시계토끼</v>
      </c>
      <c r="K6203" t="str">
        <f>T("칼레이 백작가의 매맞이 하녀")</f>
        <v>칼레이 백작가의 매맞이 하녀</v>
      </c>
      <c r="L6203">
        <v>100</v>
      </c>
      <c r="M6203">
        <v>100</v>
      </c>
      <c r="N6203">
        <v>1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0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0</v>
      </c>
      <c r="AE6203">
        <v>0</v>
      </c>
      <c r="AF6203">
        <v>0</v>
      </c>
      <c r="AG6203">
        <v>0</v>
      </c>
      <c r="AH6203">
        <v>0</v>
      </c>
      <c r="AI6203">
        <v>100</v>
      </c>
      <c r="AJ6203">
        <v>1</v>
      </c>
      <c r="AK6203">
        <v>0</v>
      </c>
      <c r="AL6203">
        <v>0</v>
      </c>
      <c r="AM6203">
        <v>100</v>
      </c>
      <c r="AN6203">
        <v>0</v>
      </c>
      <c r="AO6203">
        <v>0</v>
      </c>
      <c r="AP6203">
        <v>0</v>
      </c>
      <c r="AQ6203">
        <v>0</v>
      </c>
      <c r="AS6203">
        <v>0</v>
      </c>
      <c r="AT6203">
        <v>0</v>
      </c>
      <c r="AV6203">
        <v>0</v>
      </c>
      <c r="AW6203">
        <v>0</v>
      </c>
      <c r="AY6203">
        <v>0</v>
      </c>
      <c r="AZ6203">
        <v>0</v>
      </c>
      <c r="BA6203">
        <v>70</v>
      </c>
      <c r="BE6203" t="str">
        <f>T("9791164099764")</f>
        <v>9791164099764</v>
      </c>
      <c r="BF6203" t="str">
        <f>T("k250811")</f>
        <v>k250811</v>
      </c>
      <c r="BG6203" t="str">
        <f>T("로판 웹소설 &gt; 서양풍 로판")</f>
        <v>로판 웹소설 &gt; 서양풍 로판</v>
      </c>
    </row>
    <row r="6204" spans="1:59">
      <c r="A6204" t="s">
        <v>60</v>
      </c>
      <c r="B6204" s="1">
        <v>46129</v>
      </c>
      <c r="C6204">
        <v>2378059762</v>
      </c>
      <c r="D6204">
        <v>2378063701</v>
      </c>
      <c r="E6204" t="str">
        <f>T("칼레이 백작가의 매맞이 하녀 113화")</f>
        <v>칼레이 백작가의 매맞이 하녀 113화</v>
      </c>
      <c r="F6204">
        <v>113</v>
      </c>
      <c r="G6204" t="str">
        <f>T("뮤사203")</f>
        <v>뮤사203</v>
      </c>
      <c r="J6204" t="str">
        <f>T("시계토끼")</f>
        <v>시계토끼</v>
      </c>
      <c r="K6204" t="str">
        <f>T("칼레이 백작가의 매맞이 하녀")</f>
        <v>칼레이 백작가의 매맞이 하녀</v>
      </c>
      <c r="L6204">
        <v>100</v>
      </c>
      <c r="M6204">
        <v>200</v>
      </c>
      <c r="N6204">
        <v>2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0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0</v>
      </c>
      <c r="AE6204">
        <v>0</v>
      </c>
      <c r="AF6204">
        <v>0</v>
      </c>
      <c r="AG6204">
        <v>0</v>
      </c>
      <c r="AH6204">
        <v>0</v>
      </c>
      <c r="AI6204">
        <v>200</v>
      </c>
      <c r="AJ6204">
        <v>2</v>
      </c>
      <c r="AK6204">
        <v>0</v>
      </c>
      <c r="AL6204">
        <v>0</v>
      </c>
      <c r="AM6204">
        <v>100</v>
      </c>
      <c r="AN6204">
        <v>0</v>
      </c>
      <c r="AO6204">
        <v>120</v>
      </c>
      <c r="AP6204">
        <v>-12</v>
      </c>
      <c r="AQ6204">
        <v>0</v>
      </c>
      <c r="AS6204">
        <v>0</v>
      </c>
      <c r="AT6204">
        <v>0</v>
      </c>
      <c r="AU6204">
        <v>120</v>
      </c>
      <c r="AV6204">
        <v>-12</v>
      </c>
      <c r="AW6204">
        <v>0</v>
      </c>
      <c r="AY6204">
        <v>0</v>
      </c>
      <c r="AZ6204">
        <v>0</v>
      </c>
      <c r="BA6204">
        <v>145.6</v>
      </c>
      <c r="BE6204" t="str">
        <f>T("9791164099764")</f>
        <v>9791164099764</v>
      </c>
      <c r="BF6204" t="str">
        <f>T("k250812")</f>
        <v>k250812</v>
      </c>
      <c r="BG6204" t="str">
        <f>T("로판 웹소설 &gt; 서양풍 로판")</f>
        <v>로판 웹소설 &gt; 서양풍 로판</v>
      </c>
    </row>
    <row r="6205" spans="1:59">
      <c r="A6205" t="s">
        <v>60</v>
      </c>
      <c r="B6205" s="1">
        <v>46129</v>
      </c>
      <c r="C6205">
        <v>2378059762</v>
      </c>
      <c r="D6205">
        <v>2378063702</v>
      </c>
      <c r="E6205" t="str">
        <f>T("칼레이 백작가의 매맞이 하녀 114화")</f>
        <v>칼레이 백작가의 매맞이 하녀 114화</v>
      </c>
      <c r="F6205">
        <v>114</v>
      </c>
      <c r="G6205" t="str">
        <f>T("뮤사203")</f>
        <v>뮤사203</v>
      </c>
      <c r="J6205" t="str">
        <f>T("시계토끼")</f>
        <v>시계토끼</v>
      </c>
      <c r="K6205" t="str">
        <f>T("칼레이 백작가의 매맞이 하녀")</f>
        <v>칼레이 백작가의 매맞이 하녀</v>
      </c>
      <c r="L6205">
        <v>100</v>
      </c>
      <c r="M6205">
        <v>100</v>
      </c>
      <c r="N6205">
        <v>1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0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0</v>
      </c>
      <c r="AE6205">
        <v>0</v>
      </c>
      <c r="AF6205">
        <v>0</v>
      </c>
      <c r="AG6205">
        <v>0</v>
      </c>
      <c r="AH6205">
        <v>0</v>
      </c>
      <c r="AI6205">
        <v>100</v>
      </c>
      <c r="AJ6205">
        <v>1</v>
      </c>
      <c r="AK6205">
        <v>0</v>
      </c>
      <c r="AL6205">
        <v>0</v>
      </c>
      <c r="AM6205">
        <v>100</v>
      </c>
      <c r="AN6205">
        <v>0</v>
      </c>
      <c r="AO6205">
        <v>0</v>
      </c>
      <c r="AP6205">
        <v>0</v>
      </c>
      <c r="AQ6205">
        <v>0</v>
      </c>
      <c r="AS6205">
        <v>0</v>
      </c>
      <c r="AT6205">
        <v>0</v>
      </c>
      <c r="AV6205">
        <v>0</v>
      </c>
      <c r="AW6205">
        <v>0</v>
      </c>
      <c r="AY6205">
        <v>0</v>
      </c>
      <c r="AZ6205">
        <v>0</v>
      </c>
      <c r="BA6205">
        <v>70</v>
      </c>
      <c r="BE6205" t="str">
        <f>T("9791164099764")</f>
        <v>9791164099764</v>
      </c>
      <c r="BF6205" t="str">
        <f>T("k255133")</f>
        <v>k255133</v>
      </c>
      <c r="BG6205" t="str">
        <f>T("로판 웹소설 &gt; 서양풍 로판")</f>
        <v>로판 웹소설 &gt; 서양풍 로판</v>
      </c>
    </row>
    <row r="6206" spans="1:59">
      <c r="A6206" t="s">
        <v>60</v>
      </c>
      <c r="B6206" s="1">
        <v>46129</v>
      </c>
      <c r="C6206">
        <v>2378059762</v>
      </c>
      <c r="D6206">
        <v>2378063826</v>
      </c>
      <c r="E6206" t="str">
        <f>T("칼레이 백작가의 매맞이 하녀 115화")</f>
        <v>칼레이 백작가의 매맞이 하녀 115화</v>
      </c>
      <c r="F6206">
        <v>115</v>
      </c>
      <c r="G6206" t="str">
        <f>T("뮤사203")</f>
        <v>뮤사203</v>
      </c>
      <c r="J6206" t="str">
        <f>T("시계토끼")</f>
        <v>시계토끼</v>
      </c>
      <c r="K6206" t="str">
        <f>T("칼레이 백작가의 매맞이 하녀")</f>
        <v>칼레이 백작가의 매맞이 하녀</v>
      </c>
      <c r="L6206">
        <v>100</v>
      </c>
      <c r="M6206">
        <v>100</v>
      </c>
      <c r="N6206">
        <v>1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0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0</v>
      </c>
      <c r="AE6206">
        <v>0</v>
      </c>
      <c r="AF6206">
        <v>0</v>
      </c>
      <c r="AG6206">
        <v>0</v>
      </c>
      <c r="AH6206">
        <v>0</v>
      </c>
      <c r="AI6206">
        <v>100</v>
      </c>
      <c r="AJ6206">
        <v>1</v>
      </c>
      <c r="AK6206">
        <v>0</v>
      </c>
      <c r="AL6206">
        <v>0</v>
      </c>
      <c r="AM6206">
        <v>100</v>
      </c>
      <c r="AN6206">
        <v>0</v>
      </c>
      <c r="AO6206">
        <v>0</v>
      </c>
      <c r="AP6206">
        <v>0</v>
      </c>
      <c r="AQ6206">
        <v>0</v>
      </c>
      <c r="AS6206">
        <v>0</v>
      </c>
      <c r="AT6206">
        <v>0</v>
      </c>
      <c r="AV6206">
        <v>0</v>
      </c>
      <c r="AW6206">
        <v>0</v>
      </c>
      <c r="AY6206">
        <v>0</v>
      </c>
      <c r="AZ6206">
        <v>0</v>
      </c>
      <c r="BA6206">
        <v>70</v>
      </c>
      <c r="BE6206" t="str">
        <f>T("9791164099764")</f>
        <v>9791164099764</v>
      </c>
      <c r="BF6206" t="str">
        <f>T("k255134")</f>
        <v>k255134</v>
      </c>
      <c r="BG6206" t="str">
        <f>T("로판 웹소설 &gt; 서양풍 로판")</f>
        <v>로판 웹소설 &gt; 서양풍 로판</v>
      </c>
    </row>
    <row r="6207" spans="1:59">
      <c r="A6207" t="s">
        <v>60</v>
      </c>
      <c r="B6207" s="1">
        <v>46129</v>
      </c>
      <c r="C6207">
        <v>2378059762</v>
      </c>
      <c r="D6207">
        <v>2378063827</v>
      </c>
      <c r="E6207" t="str">
        <f>T("칼레이 백작가의 매맞이 하녀 116화")</f>
        <v>칼레이 백작가의 매맞이 하녀 116화</v>
      </c>
      <c r="F6207">
        <v>116</v>
      </c>
      <c r="G6207" t="str">
        <f>T("뮤사203")</f>
        <v>뮤사203</v>
      </c>
      <c r="J6207" t="str">
        <f>T("시계토끼")</f>
        <v>시계토끼</v>
      </c>
      <c r="K6207" t="str">
        <f>T("칼레이 백작가의 매맞이 하녀")</f>
        <v>칼레이 백작가의 매맞이 하녀</v>
      </c>
      <c r="L6207">
        <v>100</v>
      </c>
      <c r="M6207">
        <v>100</v>
      </c>
      <c r="N6207">
        <v>1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0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0</v>
      </c>
      <c r="AE6207">
        <v>0</v>
      </c>
      <c r="AF6207">
        <v>0</v>
      </c>
      <c r="AG6207">
        <v>0</v>
      </c>
      <c r="AH6207">
        <v>0</v>
      </c>
      <c r="AI6207">
        <v>100</v>
      </c>
      <c r="AJ6207">
        <v>1</v>
      </c>
      <c r="AK6207">
        <v>0</v>
      </c>
      <c r="AL6207">
        <v>0</v>
      </c>
      <c r="AM6207">
        <v>100</v>
      </c>
      <c r="AN6207">
        <v>0</v>
      </c>
      <c r="AO6207">
        <v>0</v>
      </c>
      <c r="AP6207">
        <v>0</v>
      </c>
      <c r="AQ6207">
        <v>0</v>
      </c>
      <c r="AS6207">
        <v>0</v>
      </c>
      <c r="AT6207">
        <v>0</v>
      </c>
      <c r="AV6207">
        <v>0</v>
      </c>
      <c r="AW6207">
        <v>0</v>
      </c>
      <c r="AY6207">
        <v>0</v>
      </c>
      <c r="AZ6207">
        <v>0</v>
      </c>
      <c r="BA6207">
        <v>70</v>
      </c>
      <c r="BE6207" t="str">
        <f>T("9791164099764")</f>
        <v>9791164099764</v>
      </c>
      <c r="BF6207" t="str">
        <f>T("k255135")</f>
        <v>k255135</v>
      </c>
      <c r="BG6207" t="str">
        <f>T("로판 웹소설 &gt; 서양풍 로판")</f>
        <v>로판 웹소설 &gt; 서양풍 로판</v>
      </c>
    </row>
    <row r="6208" spans="1:59">
      <c r="A6208" t="s">
        <v>60</v>
      </c>
      <c r="B6208" s="1">
        <v>46129</v>
      </c>
      <c r="C6208">
        <v>2378059762</v>
      </c>
      <c r="D6208">
        <v>2378063896</v>
      </c>
      <c r="E6208" t="str">
        <f>T("칼레이 백작가의 매맞이 하녀 117화")</f>
        <v>칼레이 백작가의 매맞이 하녀 117화</v>
      </c>
      <c r="F6208">
        <v>117</v>
      </c>
      <c r="G6208" t="str">
        <f>T("뮤사203")</f>
        <v>뮤사203</v>
      </c>
      <c r="J6208" t="str">
        <f>T("시계토끼")</f>
        <v>시계토끼</v>
      </c>
      <c r="K6208" t="str">
        <f>T("칼레이 백작가의 매맞이 하녀")</f>
        <v>칼레이 백작가의 매맞이 하녀</v>
      </c>
      <c r="L6208">
        <v>100</v>
      </c>
      <c r="M6208">
        <v>100</v>
      </c>
      <c r="N6208">
        <v>1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0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0</v>
      </c>
      <c r="AE6208">
        <v>0</v>
      </c>
      <c r="AF6208">
        <v>0</v>
      </c>
      <c r="AG6208">
        <v>0</v>
      </c>
      <c r="AH6208">
        <v>0</v>
      </c>
      <c r="AI6208">
        <v>100</v>
      </c>
      <c r="AJ6208">
        <v>1</v>
      </c>
      <c r="AK6208">
        <v>0</v>
      </c>
      <c r="AL6208">
        <v>0</v>
      </c>
      <c r="AM6208">
        <v>100</v>
      </c>
      <c r="AN6208">
        <v>0</v>
      </c>
      <c r="AO6208">
        <v>0</v>
      </c>
      <c r="AP6208">
        <v>0</v>
      </c>
      <c r="AQ6208">
        <v>0</v>
      </c>
      <c r="AS6208">
        <v>0</v>
      </c>
      <c r="AT6208">
        <v>0</v>
      </c>
      <c r="AV6208">
        <v>0</v>
      </c>
      <c r="AW6208">
        <v>0</v>
      </c>
      <c r="AY6208">
        <v>0</v>
      </c>
      <c r="AZ6208">
        <v>0</v>
      </c>
      <c r="BA6208">
        <v>70</v>
      </c>
      <c r="BE6208" t="str">
        <f>T("9791164099764")</f>
        <v>9791164099764</v>
      </c>
      <c r="BF6208" t="str">
        <f>T("k255136")</f>
        <v>k255136</v>
      </c>
      <c r="BG6208" t="str">
        <f>T("로판 웹소설 &gt; 서양풍 로판")</f>
        <v>로판 웹소설 &gt; 서양풍 로판</v>
      </c>
    </row>
    <row r="6209" spans="1:59">
      <c r="A6209" t="s">
        <v>60</v>
      </c>
      <c r="B6209" s="1">
        <v>46129</v>
      </c>
      <c r="C6209">
        <v>2378059762</v>
      </c>
      <c r="D6209">
        <v>2378063899</v>
      </c>
      <c r="E6209" t="str">
        <f>T("칼레이 백작가의 매맞이 하녀 120화")</f>
        <v>칼레이 백작가의 매맞이 하녀 120화</v>
      </c>
      <c r="F6209">
        <v>120</v>
      </c>
      <c r="G6209" t="str">
        <f>T("뮤사203")</f>
        <v>뮤사203</v>
      </c>
      <c r="J6209" t="str">
        <f>T("시계토끼")</f>
        <v>시계토끼</v>
      </c>
      <c r="K6209" t="str">
        <f>T("칼레이 백작가의 매맞이 하녀")</f>
        <v>칼레이 백작가의 매맞이 하녀</v>
      </c>
      <c r="L6209">
        <v>100</v>
      </c>
      <c r="M6209">
        <v>100</v>
      </c>
      <c r="N6209">
        <v>1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0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0</v>
      </c>
      <c r="AE6209">
        <v>0</v>
      </c>
      <c r="AF6209">
        <v>0</v>
      </c>
      <c r="AG6209">
        <v>0</v>
      </c>
      <c r="AH6209">
        <v>0</v>
      </c>
      <c r="AI6209">
        <v>100</v>
      </c>
      <c r="AJ6209">
        <v>1</v>
      </c>
      <c r="AK6209">
        <v>0</v>
      </c>
      <c r="AL6209">
        <v>0</v>
      </c>
      <c r="AM6209">
        <v>0</v>
      </c>
      <c r="AN6209">
        <v>0</v>
      </c>
      <c r="AO6209">
        <v>120</v>
      </c>
      <c r="AP6209">
        <v>-12</v>
      </c>
      <c r="AQ6209">
        <v>0</v>
      </c>
      <c r="AS6209">
        <v>0</v>
      </c>
      <c r="AT6209">
        <v>0</v>
      </c>
      <c r="AU6209">
        <v>120</v>
      </c>
      <c r="AV6209">
        <v>-12</v>
      </c>
      <c r="AW6209">
        <v>0</v>
      </c>
      <c r="AY6209">
        <v>0</v>
      </c>
      <c r="AZ6209">
        <v>0</v>
      </c>
      <c r="BA6209">
        <v>75.599999999999994</v>
      </c>
      <c r="BE6209" t="str">
        <f>T("9791164099764")</f>
        <v>9791164099764</v>
      </c>
      <c r="BF6209" t="str">
        <f>T("k262225")</f>
        <v>k262225</v>
      </c>
      <c r="BG6209" t="str">
        <f>T("로판 웹소설 &gt; 서양풍 로판")</f>
        <v>로판 웹소설 &gt; 서양풍 로판</v>
      </c>
    </row>
    <row r="6210" spans="1:59">
      <c r="A6210" t="s">
        <v>60</v>
      </c>
      <c r="B6210" s="1">
        <v>46129</v>
      </c>
      <c r="C6210">
        <v>2378059762</v>
      </c>
      <c r="D6210">
        <v>2378065378</v>
      </c>
      <c r="E6210" t="str">
        <f>T("칼레이 백작가의 매맞이 하녀 130화")</f>
        <v>칼레이 백작가의 매맞이 하녀 130화</v>
      </c>
      <c r="F6210">
        <v>130</v>
      </c>
      <c r="G6210" t="str">
        <f>T("뮤사203")</f>
        <v>뮤사203</v>
      </c>
      <c r="J6210" t="str">
        <f>T("시계토끼")</f>
        <v>시계토끼</v>
      </c>
      <c r="K6210" t="str">
        <f>T("칼레이 백작가의 매맞이 하녀")</f>
        <v>칼레이 백작가의 매맞이 하녀</v>
      </c>
      <c r="L6210">
        <v>100</v>
      </c>
      <c r="M6210">
        <v>100</v>
      </c>
      <c r="N6210">
        <v>1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0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0</v>
      </c>
      <c r="AE6210">
        <v>0</v>
      </c>
      <c r="AF6210">
        <v>0</v>
      </c>
      <c r="AG6210">
        <v>0</v>
      </c>
      <c r="AH6210">
        <v>0</v>
      </c>
      <c r="AI6210">
        <v>100</v>
      </c>
      <c r="AJ6210">
        <v>1</v>
      </c>
      <c r="AK6210">
        <v>0</v>
      </c>
      <c r="AL6210">
        <v>0</v>
      </c>
      <c r="AM6210">
        <v>100</v>
      </c>
      <c r="AN6210">
        <v>0</v>
      </c>
      <c r="AO6210">
        <v>0</v>
      </c>
      <c r="AP6210">
        <v>0</v>
      </c>
      <c r="AQ6210">
        <v>0</v>
      </c>
      <c r="AS6210">
        <v>0</v>
      </c>
      <c r="AT6210">
        <v>0</v>
      </c>
      <c r="AV6210">
        <v>0</v>
      </c>
      <c r="AW6210">
        <v>0</v>
      </c>
      <c r="AY6210">
        <v>0</v>
      </c>
      <c r="AZ6210">
        <v>0</v>
      </c>
      <c r="BA6210">
        <v>70</v>
      </c>
      <c r="BE6210" t="str">
        <f>T("9791164099764")</f>
        <v>9791164099764</v>
      </c>
      <c r="BF6210" t="str">
        <f>T("k284248")</f>
        <v>k284248</v>
      </c>
      <c r="BG6210" t="str">
        <f>T("로판 웹소설 &gt; 서양풍 로판")</f>
        <v>로판 웹소설 &gt; 서양풍 로판</v>
      </c>
    </row>
    <row r="6211" spans="1:59">
      <c r="A6211" t="s">
        <v>60</v>
      </c>
      <c r="B6211" s="1">
        <v>46129</v>
      </c>
      <c r="C6211">
        <v>2378059762</v>
      </c>
      <c r="D6211">
        <v>2378065379</v>
      </c>
      <c r="E6211" t="str">
        <f>T("칼레이 백작가의 매맞이 하녀 131화")</f>
        <v>칼레이 백작가의 매맞이 하녀 131화</v>
      </c>
      <c r="F6211">
        <v>131</v>
      </c>
      <c r="G6211" t="str">
        <f>T("뮤사203")</f>
        <v>뮤사203</v>
      </c>
      <c r="J6211" t="str">
        <f>T("시계토끼")</f>
        <v>시계토끼</v>
      </c>
      <c r="K6211" t="str">
        <f>T("칼레이 백작가의 매맞이 하녀")</f>
        <v>칼레이 백작가의 매맞이 하녀</v>
      </c>
      <c r="L6211">
        <v>100</v>
      </c>
      <c r="M6211">
        <v>100</v>
      </c>
      <c r="N6211">
        <v>1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0</v>
      </c>
      <c r="AE6211">
        <v>0</v>
      </c>
      <c r="AF6211">
        <v>0</v>
      </c>
      <c r="AG6211">
        <v>0</v>
      </c>
      <c r="AH6211">
        <v>0</v>
      </c>
      <c r="AI6211">
        <v>100</v>
      </c>
      <c r="AJ6211">
        <v>1</v>
      </c>
      <c r="AK6211">
        <v>0</v>
      </c>
      <c r="AL6211">
        <v>0</v>
      </c>
      <c r="AM6211">
        <v>100</v>
      </c>
      <c r="AN6211">
        <v>0</v>
      </c>
      <c r="AO6211">
        <v>0</v>
      </c>
      <c r="AP6211">
        <v>0</v>
      </c>
      <c r="AQ6211">
        <v>0</v>
      </c>
      <c r="AS6211">
        <v>0</v>
      </c>
      <c r="AT6211">
        <v>0</v>
      </c>
      <c r="AV6211">
        <v>0</v>
      </c>
      <c r="AW6211">
        <v>0</v>
      </c>
      <c r="AY6211">
        <v>0</v>
      </c>
      <c r="AZ6211">
        <v>0</v>
      </c>
      <c r="BA6211">
        <v>70</v>
      </c>
      <c r="BE6211" t="str">
        <f>T("9791164099764")</f>
        <v>9791164099764</v>
      </c>
      <c r="BF6211" t="str">
        <f>T("k284249")</f>
        <v>k284249</v>
      </c>
      <c r="BG6211" t="str">
        <f>T("로판 웹소설 &gt; 서양풍 로판")</f>
        <v>로판 웹소설 &gt; 서양풍 로판</v>
      </c>
    </row>
    <row r="6212" spans="1:59">
      <c r="A6212" t="s">
        <v>60</v>
      </c>
      <c r="B6212" s="1">
        <v>46129</v>
      </c>
      <c r="C6212">
        <v>2378059762</v>
      </c>
      <c r="D6212">
        <v>2378065380</v>
      </c>
      <c r="E6212" t="str">
        <f>T("칼레이 백작가의 매맞이 하녀 132화")</f>
        <v>칼레이 백작가의 매맞이 하녀 132화</v>
      </c>
      <c r="F6212">
        <v>132</v>
      </c>
      <c r="G6212" t="str">
        <f>T("뮤사203")</f>
        <v>뮤사203</v>
      </c>
      <c r="J6212" t="str">
        <f>T("시계토끼")</f>
        <v>시계토끼</v>
      </c>
      <c r="K6212" t="str">
        <f>T("칼레이 백작가의 매맞이 하녀")</f>
        <v>칼레이 백작가의 매맞이 하녀</v>
      </c>
      <c r="L6212">
        <v>100</v>
      </c>
      <c r="M6212">
        <v>100</v>
      </c>
      <c r="N6212">
        <v>1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0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0</v>
      </c>
      <c r="AE6212">
        <v>0</v>
      </c>
      <c r="AF6212">
        <v>0</v>
      </c>
      <c r="AG6212">
        <v>0</v>
      </c>
      <c r="AH6212">
        <v>0</v>
      </c>
      <c r="AI6212">
        <v>100</v>
      </c>
      <c r="AJ6212">
        <v>1</v>
      </c>
      <c r="AK6212">
        <v>0</v>
      </c>
      <c r="AL6212">
        <v>0</v>
      </c>
      <c r="AM6212">
        <v>100</v>
      </c>
      <c r="AN6212">
        <v>0</v>
      </c>
      <c r="AO6212">
        <v>0</v>
      </c>
      <c r="AP6212">
        <v>0</v>
      </c>
      <c r="AQ6212">
        <v>0</v>
      </c>
      <c r="AS6212">
        <v>0</v>
      </c>
      <c r="AT6212">
        <v>0</v>
      </c>
      <c r="AV6212">
        <v>0</v>
      </c>
      <c r="AW6212">
        <v>0</v>
      </c>
      <c r="AY6212">
        <v>0</v>
      </c>
      <c r="AZ6212">
        <v>0</v>
      </c>
      <c r="BA6212">
        <v>70</v>
      </c>
      <c r="BE6212" t="str">
        <f>T("9791164099764")</f>
        <v>9791164099764</v>
      </c>
      <c r="BF6212" t="str">
        <f>T("k284250")</f>
        <v>k284250</v>
      </c>
      <c r="BG6212" t="str">
        <f>T("로판 웹소설 &gt; 서양풍 로판")</f>
        <v>로판 웹소설 &gt; 서양풍 로판</v>
      </c>
    </row>
    <row r="6213" spans="1:59">
      <c r="A6213" t="s">
        <v>60</v>
      </c>
      <c r="B6213" s="1">
        <v>46129</v>
      </c>
      <c r="C6213">
        <v>2378059762</v>
      </c>
      <c r="D6213">
        <v>2378065381</v>
      </c>
      <c r="E6213" t="str">
        <f>T("칼레이 백작가의 매맞이 하녀 133화")</f>
        <v>칼레이 백작가의 매맞이 하녀 133화</v>
      </c>
      <c r="F6213">
        <v>133</v>
      </c>
      <c r="G6213" t="str">
        <f>T("뮤사203")</f>
        <v>뮤사203</v>
      </c>
      <c r="J6213" t="str">
        <f>T("시계토끼")</f>
        <v>시계토끼</v>
      </c>
      <c r="K6213" t="str">
        <f>T("칼레이 백작가의 매맞이 하녀")</f>
        <v>칼레이 백작가의 매맞이 하녀</v>
      </c>
      <c r="L6213">
        <v>100</v>
      </c>
      <c r="M6213">
        <v>100</v>
      </c>
      <c r="N6213">
        <v>1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0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0</v>
      </c>
      <c r="AE6213">
        <v>0</v>
      </c>
      <c r="AF6213">
        <v>0</v>
      </c>
      <c r="AG6213">
        <v>0</v>
      </c>
      <c r="AH6213">
        <v>0</v>
      </c>
      <c r="AI6213">
        <v>100</v>
      </c>
      <c r="AJ6213">
        <v>1</v>
      </c>
      <c r="AK6213">
        <v>0</v>
      </c>
      <c r="AL6213">
        <v>0</v>
      </c>
      <c r="AM6213">
        <v>100</v>
      </c>
      <c r="AN6213">
        <v>0</v>
      </c>
      <c r="AO6213">
        <v>0</v>
      </c>
      <c r="AP6213">
        <v>0</v>
      </c>
      <c r="AQ6213">
        <v>0</v>
      </c>
      <c r="AS6213">
        <v>0</v>
      </c>
      <c r="AT6213">
        <v>0</v>
      </c>
      <c r="AV6213">
        <v>0</v>
      </c>
      <c r="AW6213">
        <v>0</v>
      </c>
      <c r="AY6213">
        <v>0</v>
      </c>
      <c r="AZ6213">
        <v>0</v>
      </c>
      <c r="BA6213">
        <v>70</v>
      </c>
      <c r="BE6213" t="str">
        <f>T("9791164099764")</f>
        <v>9791164099764</v>
      </c>
      <c r="BF6213" t="str">
        <f>T("k284251")</f>
        <v>k284251</v>
      </c>
      <c r="BG6213" t="str">
        <f>T("로판 웹소설 &gt; 서양풍 로판")</f>
        <v>로판 웹소설 &gt; 서양풍 로판</v>
      </c>
    </row>
    <row r="6214" spans="1:59">
      <c r="A6214" t="s">
        <v>60</v>
      </c>
      <c r="B6214" s="1">
        <v>46129</v>
      </c>
      <c r="C6214">
        <v>2378059762</v>
      </c>
      <c r="D6214">
        <v>2378065678</v>
      </c>
      <c r="E6214" t="str">
        <f>T("칼레이 백작가의 매맞이 하녀 134화")</f>
        <v>칼레이 백작가의 매맞이 하녀 134화</v>
      </c>
      <c r="F6214">
        <v>134</v>
      </c>
      <c r="G6214" t="str">
        <f>T("뮤사203")</f>
        <v>뮤사203</v>
      </c>
      <c r="J6214" t="str">
        <f>T("시계토끼")</f>
        <v>시계토끼</v>
      </c>
      <c r="K6214" t="str">
        <f>T("칼레이 백작가의 매맞이 하녀")</f>
        <v>칼레이 백작가의 매맞이 하녀</v>
      </c>
      <c r="L6214">
        <v>100</v>
      </c>
      <c r="M6214">
        <v>100</v>
      </c>
      <c r="N6214">
        <v>1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0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0</v>
      </c>
      <c r="AE6214">
        <v>0</v>
      </c>
      <c r="AF6214">
        <v>0</v>
      </c>
      <c r="AG6214">
        <v>0</v>
      </c>
      <c r="AH6214">
        <v>0</v>
      </c>
      <c r="AI6214">
        <v>100</v>
      </c>
      <c r="AJ6214">
        <v>1</v>
      </c>
      <c r="AK6214">
        <v>0</v>
      </c>
      <c r="AL6214">
        <v>0</v>
      </c>
      <c r="AM6214">
        <v>100</v>
      </c>
      <c r="AN6214">
        <v>0</v>
      </c>
      <c r="AO6214">
        <v>0</v>
      </c>
      <c r="AP6214">
        <v>0</v>
      </c>
      <c r="AQ6214">
        <v>0</v>
      </c>
      <c r="AS6214">
        <v>0</v>
      </c>
      <c r="AT6214">
        <v>0</v>
      </c>
      <c r="AV6214">
        <v>0</v>
      </c>
      <c r="AW6214">
        <v>0</v>
      </c>
      <c r="AY6214">
        <v>0</v>
      </c>
      <c r="AZ6214">
        <v>0</v>
      </c>
      <c r="BA6214">
        <v>70</v>
      </c>
      <c r="BE6214" t="str">
        <f>T("9791164099764")</f>
        <v>9791164099764</v>
      </c>
      <c r="BF6214" t="str">
        <f>T("k289801")</f>
        <v>k289801</v>
      </c>
      <c r="BG6214" t="str">
        <f>T("로판 웹소설 &gt; 서양풍 로판")</f>
        <v>로판 웹소설 &gt; 서양풍 로판</v>
      </c>
    </row>
    <row r="6215" spans="1:59">
      <c r="A6215" t="s">
        <v>60</v>
      </c>
      <c r="B6215" s="1">
        <v>46129</v>
      </c>
      <c r="C6215">
        <v>2378059762</v>
      </c>
      <c r="D6215">
        <v>2378065679</v>
      </c>
      <c r="E6215" t="str">
        <f>T("칼레이 백작가의 매맞이 하녀 135화")</f>
        <v>칼레이 백작가의 매맞이 하녀 135화</v>
      </c>
      <c r="F6215">
        <v>135</v>
      </c>
      <c r="G6215" t="str">
        <f>T("뮤사203")</f>
        <v>뮤사203</v>
      </c>
      <c r="J6215" t="str">
        <f>T("시계토끼")</f>
        <v>시계토끼</v>
      </c>
      <c r="K6215" t="str">
        <f>T("칼레이 백작가의 매맞이 하녀")</f>
        <v>칼레이 백작가의 매맞이 하녀</v>
      </c>
      <c r="L6215">
        <v>100</v>
      </c>
      <c r="M6215">
        <v>100</v>
      </c>
      <c r="N6215">
        <v>1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0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0</v>
      </c>
      <c r="AE6215">
        <v>0</v>
      </c>
      <c r="AF6215">
        <v>0</v>
      </c>
      <c r="AG6215">
        <v>0</v>
      </c>
      <c r="AH6215">
        <v>0</v>
      </c>
      <c r="AI6215">
        <v>100</v>
      </c>
      <c r="AJ6215">
        <v>1</v>
      </c>
      <c r="AK6215">
        <v>0</v>
      </c>
      <c r="AL6215">
        <v>0</v>
      </c>
      <c r="AM6215">
        <v>100</v>
      </c>
      <c r="AN6215">
        <v>0</v>
      </c>
      <c r="AO6215">
        <v>0</v>
      </c>
      <c r="AP6215">
        <v>0</v>
      </c>
      <c r="AQ6215">
        <v>0</v>
      </c>
      <c r="AS6215">
        <v>0</v>
      </c>
      <c r="AT6215">
        <v>0</v>
      </c>
      <c r="AV6215">
        <v>0</v>
      </c>
      <c r="AW6215">
        <v>0</v>
      </c>
      <c r="AY6215">
        <v>0</v>
      </c>
      <c r="AZ6215">
        <v>0</v>
      </c>
      <c r="BA6215">
        <v>70</v>
      </c>
      <c r="BE6215" t="str">
        <f>T("9791164099764")</f>
        <v>9791164099764</v>
      </c>
      <c r="BF6215" t="str">
        <f>T("k289802")</f>
        <v>k289802</v>
      </c>
      <c r="BG6215" t="str">
        <f>T("로판 웹소설 &gt; 서양풍 로판")</f>
        <v>로판 웹소설 &gt; 서양풍 로판</v>
      </c>
    </row>
    <row r="6216" spans="1:59">
      <c r="A6216" t="s">
        <v>60</v>
      </c>
      <c r="B6216" s="1">
        <v>46129</v>
      </c>
      <c r="C6216">
        <v>2378059762</v>
      </c>
      <c r="D6216">
        <v>2378065680</v>
      </c>
      <c r="E6216" t="str">
        <f>T("칼레이 백작가의 매맞이 하녀 136화")</f>
        <v>칼레이 백작가의 매맞이 하녀 136화</v>
      </c>
      <c r="F6216">
        <v>136</v>
      </c>
      <c r="G6216" t="str">
        <f>T("뮤사203")</f>
        <v>뮤사203</v>
      </c>
      <c r="J6216" t="str">
        <f>T("시계토끼")</f>
        <v>시계토끼</v>
      </c>
      <c r="K6216" t="str">
        <f>T("칼레이 백작가의 매맞이 하녀")</f>
        <v>칼레이 백작가의 매맞이 하녀</v>
      </c>
      <c r="L6216">
        <v>100</v>
      </c>
      <c r="M6216">
        <v>100</v>
      </c>
      <c r="N6216">
        <v>1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0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0</v>
      </c>
      <c r="AE6216">
        <v>0</v>
      </c>
      <c r="AF6216">
        <v>0</v>
      </c>
      <c r="AG6216">
        <v>0</v>
      </c>
      <c r="AH6216">
        <v>0</v>
      </c>
      <c r="AI6216">
        <v>100</v>
      </c>
      <c r="AJ6216">
        <v>1</v>
      </c>
      <c r="AK6216">
        <v>0</v>
      </c>
      <c r="AL6216">
        <v>0</v>
      </c>
      <c r="AM6216">
        <v>100</v>
      </c>
      <c r="AN6216">
        <v>0</v>
      </c>
      <c r="AO6216">
        <v>0</v>
      </c>
      <c r="AP6216">
        <v>0</v>
      </c>
      <c r="AQ6216">
        <v>0</v>
      </c>
      <c r="AS6216">
        <v>0</v>
      </c>
      <c r="AT6216">
        <v>0</v>
      </c>
      <c r="AV6216">
        <v>0</v>
      </c>
      <c r="AW6216">
        <v>0</v>
      </c>
      <c r="AY6216">
        <v>0</v>
      </c>
      <c r="AZ6216">
        <v>0</v>
      </c>
      <c r="BA6216">
        <v>70</v>
      </c>
      <c r="BE6216" t="str">
        <f>T("9791164099764")</f>
        <v>9791164099764</v>
      </c>
      <c r="BF6216" t="str">
        <f>T("k289803")</f>
        <v>k289803</v>
      </c>
      <c r="BG6216" t="str">
        <f>T("로판 웹소설 &gt; 서양풍 로판")</f>
        <v>로판 웹소설 &gt; 서양풍 로판</v>
      </c>
    </row>
    <row r="6217" spans="1:59">
      <c r="A6217" t="s">
        <v>60</v>
      </c>
      <c r="B6217" s="1">
        <v>46129</v>
      </c>
      <c r="C6217">
        <v>2378059762</v>
      </c>
      <c r="D6217">
        <v>2378066472</v>
      </c>
      <c r="E6217" t="str">
        <f>T("칼레이 백작가의 매맞이 하녀 150화")</f>
        <v>칼레이 백작가의 매맞이 하녀 150화</v>
      </c>
      <c r="F6217">
        <v>150</v>
      </c>
      <c r="G6217" t="str">
        <f>T("뮤사203")</f>
        <v>뮤사203</v>
      </c>
      <c r="J6217" t="str">
        <f>T("시계토끼")</f>
        <v>시계토끼</v>
      </c>
      <c r="K6217" t="str">
        <f>T("칼레이 백작가의 매맞이 하녀")</f>
        <v>칼레이 백작가의 매맞이 하녀</v>
      </c>
      <c r="L6217">
        <v>100</v>
      </c>
      <c r="M6217">
        <v>100</v>
      </c>
      <c r="N6217">
        <v>1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0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0</v>
      </c>
      <c r="AE6217">
        <v>0</v>
      </c>
      <c r="AF6217">
        <v>0</v>
      </c>
      <c r="AG6217">
        <v>0</v>
      </c>
      <c r="AH6217">
        <v>0</v>
      </c>
      <c r="AI6217">
        <v>100</v>
      </c>
      <c r="AJ6217">
        <v>1</v>
      </c>
      <c r="AK6217">
        <v>0</v>
      </c>
      <c r="AL6217">
        <v>0</v>
      </c>
      <c r="AM6217">
        <v>100</v>
      </c>
      <c r="AN6217">
        <v>0</v>
      </c>
      <c r="AO6217">
        <v>0</v>
      </c>
      <c r="AP6217">
        <v>0</v>
      </c>
      <c r="AQ6217">
        <v>0</v>
      </c>
      <c r="AS6217">
        <v>0</v>
      </c>
      <c r="AT6217">
        <v>0</v>
      </c>
      <c r="AV6217">
        <v>0</v>
      </c>
      <c r="AW6217">
        <v>0</v>
      </c>
      <c r="AY6217">
        <v>0</v>
      </c>
      <c r="AZ6217">
        <v>0</v>
      </c>
      <c r="BA6217">
        <v>70</v>
      </c>
      <c r="BE6217" t="str">
        <f>T("9791164099764")</f>
        <v>9791164099764</v>
      </c>
      <c r="BF6217" t="str">
        <f>T("k298227")</f>
        <v>k298227</v>
      </c>
      <c r="BG6217" t="str">
        <f>T("로판 웹소설 &gt; 서양풍 로판")</f>
        <v>로판 웹소설 &gt; 서양풍 로판</v>
      </c>
    </row>
    <row r="6218" spans="1:59">
      <c r="A6218" t="s">
        <v>60</v>
      </c>
      <c r="B6218" s="1">
        <v>46129</v>
      </c>
      <c r="C6218">
        <v>2378059762</v>
      </c>
      <c r="D6218">
        <v>2378066473</v>
      </c>
      <c r="E6218" t="str">
        <f>T("칼레이 백작가의 매맞이 하녀 151화")</f>
        <v>칼레이 백작가의 매맞이 하녀 151화</v>
      </c>
      <c r="F6218">
        <v>151</v>
      </c>
      <c r="G6218" t="str">
        <f>T("뮤사203")</f>
        <v>뮤사203</v>
      </c>
      <c r="J6218" t="str">
        <f>T("시계토끼")</f>
        <v>시계토끼</v>
      </c>
      <c r="K6218" t="str">
        <f>T("칼레이 백작가의 매맞이 하녀")</f>
        <v>칼레이 백작가의 매맞이 하녀</v>
      </c>
      <c r="L6218">
        <v>100</v>
      </c>
      <c r="M6218">
        <v>100</v>
      </c>
      <c r="N6218">
        <v>1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0</v>
      </c>
      <c r="AE6218">
        <v>0</v>
      </c>
      <c r="AF6218">
        <v>0</v>
      </c>
      <c r="AG6218">
        <v>0</v>
      </c>
      <c r="AH6218">
        <v>0</v>
      </c>
      <c r="AI6218">
        <v>100</v>
      </c>
      <c r="AJ6218">
        <v>1</v>
      </c>
      <c r="AK6218">
        <v>0</v>
      </c>
      <c r="AL6218">
        <v>0</v>
      </c>
      <c r="AM6218">
        <v>100</v>
      </c>
      <c r="AN6218">
        <v>0</v>
      </c>
      <c r="AO6218">
        <v>0</v>
      </c>
      <c r="AP6218">
        <v>0</v>
      </c>
      <c r="AQ6218">
        <v>0</v>
      </c>
      <c r="AS6218">
        <v>0</v>
      </c>
      <c r="AT6218">
        <v>0</v>
      </c>
      <c r="AV6218">
        <v>0</v>
      </c>
      <c r="AW6218">
        <v>0</v>
      </c>
      <c r="AY6218">
        <v>0</v>
      </c>
      <c r="AZ6218">
        <v>0</v>
      </c>
      <c r="BA6218">
        <v>70</v>
      </c>
      <c r="BE6218" t="str">
        <f>T("9791164099764")</f>
        <v>9791164099764</v>
      </c>
      <c r="BF6218" t="str">
        <f>T("k300779")</f>
        <v>k300779</v>
      </c>
      <c r="BG6218" t="str">
        <f>T("로판 웹소설 &gt; 서양풍 로판")</f>
        <v>로판 웹소설 &gt; 서양풍 로판</v>
      </c>
    </row>
    <row r="6219" spans="1:59">
      <c r="A6219" t="s">
        <v>60</v>
      </c>
      <c r="B6219" s="1">
        <v>46129</v>
      </c>
      <c r="C6219">
        <v>2378059762</v>
      </c>
      <c r="D6219">
        <v>2378066474</v>
      </c>
      <c r="E6219" t="str">
        <f>T("칼레이 백작가의 매맞이 하녀 152화")</f>
        <v>칼레이 백작가의 매맞이 하녀 152화</v>
      </c>
      <c r="F6219">
        <v>152</v>
      </c>
      <c r="G6219" t="str">
        <f>T("뮤사203")</f>
        <v>뮤사203</v>
      </c>
      <c r="J6219" t="str">
        <f>T("시계토끼")</f>
        <v>시계토끼</v>
      </c>
      <c r="K6219" t="str">
        <f>T("칼레이 백작가의 매맞이 하녀")</f>
        <v>칼레이 백작가의 매맞이 하녀</v>
      </c>
      <c r="L6219">
        <v>100</v>
      </c>
      <c r="M6219">
        <v>100</v>
      </c>
      <c r="N6219">
        <v>1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0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0</v>
      </c>
      <c r="AE6219">
        <v>0</v>
      </c>
      <c r="AF6219">
        <v>0</v>
      </c>
      <c r="AG6219">
        <v>0</v>
      </c>
      <c r="AH6219">
        <v>0</v>
      </c>
      <c r="AI6219">
        <v>100</v>
      </c>
      <c r="AJ6219">
        <v>1</v>
      </c>
      <c r="AK6219">
        <v>0</v>
      </c>
      <c r="AL6219">
        <v>0</v>
      </c>
      <c r="AM6219">
        <v>100</v>
      </c>
      <c r="AN6219">
        <v>0</v>
      </c>
      <c r="AO6219">
        <v>0</v>
      </c>
      <c r="AP6219">
        <v>0</v>
      </c>
      <c r="AQ6219">
        <v>0</v>
      </c>
      <c r="AS6219">
        <v>0</v>
      </c>
      <c r="AT6219">
        <v>0</v>
      </c>
      <c r="AV6219">
        <v>0</v>
      </c>
      <c r="AW6219">
        <v>0</v>
      </c>
      <c r="AY6219">
        <v>0</v>
      </c>
      <c r="AZ6219">
        <v>0</v>
      </c>
      <c r="BA6219">
        <v>70</v>
      </c>
      <c r="BE6219" t="str">
        <f>T("9791164099764")</f>
        <v>9791164099764</v>
      </c>
      <c r="BF6219" t="str">
        <f>T("k300780")</f>
        <v>k300780</v>
      </c>
      <c r="BG6219" t="str">
        <f>T("로판 웹소설 &gt; 서양풍 로판")</f>
        <v>로판 웹소설 &gt; 서양풍 로판</v>
      </c>
    </row>
    <row r="6220" spans="1:59">
      <c r="A6220" t="s">
        <v>60</v>
      </c>
      <c r="B6220" s="1">
        <v>46129</v>
      </c>
      <c r="C6220">
        <v>2378059762</v>
      </c>
      <c r="D6220">
        <v>2378066475</v>
      </c>
      <c r="E6220" t="str">
        <f>T("칼레이 백작가의 매맞이 하녀 153화 (완결)")</f>
        <v>칼레이 백작가의 매맞이 하녀 153화 (완결)</v>
      </c>
      <c r="F6220">
        <v>153</v>
      </c>
      <c r="G6220" t="str">
        <f>T("뮤사203")</f>
        <v>뮤사203</v>
      </c>
      <c r="J6220" t="str">
        <f>T("시계토끼")</f>
        <v>시계토끼</v>
      </c>
      <c r="K6220" t="str">
        <f>T("칼레이 백작가의 매맞이 하녀")</f>
        <v>칼레이 백작가의 매맞이 하녀</v>
      </c>
      <c r="L6220">
        <v>100</v>
      </c>
      <c r="M6220">
        <v>200</v>
      </c>
      <c r="N6220">
        <v>2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0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0</v>
      </c>
      <c r="AE6220">
        <v>0</v>
      </c>
      <c r="AF6220">
        <v>0</v>
      </c>
      <c r="AG6220">
        <v>0</v>
      </c>
      <c r="AH6220">
        <v>0</v>
      </c>
      <c r="AI6220">
        <v>200</v>
      </c>
      <c r="AJ6220">
        <v>2</v>
      </c>
      <c r="AK6220">
        <v>0</v>
      </c>
      <c r="AL6220">
        <v>0</v>
      </c>
      <c r="AM6220">
        <v>100</v>
      </c>
      <c r="AN6220">
        <v>0</v>
      </c>
      <c r="AO6220">
        <v>120</v>
      </c>
      <c r="AP6220">
        <v>-12</v>
      </c>
      <c r="AQ6220">
        <v>0</v>
      </c>
      <c r="AS6220">
        <v>0</v>
      </c>
      <c r="AT6220">
        <v>0</v>
      </c>
      <c r="AU6220">
        <v>120</v>
      </c>
      <c r="AV6220">
        <v>-12</v>
      </c>
      <c r="AW6220">
        <v>0</v>
      </c>
      <c r="AY6220">
        <v>0</v>
      </c>
      <c r="AZ6220">
        <v>0</v>
      </c>
      <c r="BA6220">
        <v>145.6</v>
      </c>
      <c r="BE6220" t="str">
        <f>T("9791164099764")</f>
        <v>9791164099764</v>
      </c>
      <c r="BF6220" t="str">
        <f>T("k300781")</f>
        <v>k300781</v>
      </c>
      <c r="BG6220" t="str">
        <f>T("로판 웹소설 &gt; 서양풍 로판")</f>
        <v>로판 웹소설 &gt; 서양풍 로판</v>
      </c>
    </row>
    <row r="6221" spans="1:59">
      <c r="A6221" t="s">
        <v>60</v>
      </c>
      <c r="B6221" s="1">
        <v>46129</v>
      </c>
      <c r="C6221">
        <v>2378059762</v>
      </c>
      <c r="D6221">
        <v>2378079045</v>
      </c>
      <c r="E6221" t="str">
        <f>T("칼레이 백작가의 매맞이 하녀 추가 외전 1화")</f>
        <v>칼레이 백작가의 매맞이 하녀 추가 외전 1화</v>
      </c>
      <c r="F6221">
        <v>185</v>
      </c>
      <c r="G6221" t="str">
        <f>T("뮤사203")</f>
        <v>뮤사203</v>
      </c>
      <c r="J6221" t="str">
        <f>T("시계토끼")</f>
        <v>시계토끼</v>
      </c>
      <c r="K6221" t="str">
        <f>T("칼레이 백작가의 매맞이 하녀")</f>
        <v>칼레이 백작가의 매맞이 하녀</v>
      </c>
      <c r="L6221">
        <v>100</v>
      </c>
      <c r="M6221">
        <v>200</v>
      </c>
      <c r="N6221">
        <v>2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0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0</v>
      </c>
      <c r="AE6221">
        <v>0</v>
      </c>
      <c r="AF6221">
        <v>0</v>
      </c>
      <c r="AG6221">
        <v>0</v>
      </c>
      <c r="AH6221">
        <v>0</v>
      </c>
      <c r="AI6221">
        <v>200</v>
      </c>
      <c r="AJ6221">
        <v>2</v>
      </c>
      <c r="AK6221">
        <v>0</v>
      </c>
      <c r="AL6221">
        <v>0</v>
      </c>
      <c r="AM6221">
        <v>200</v>
      </c>
      <c r="AN6221">
        <v>0</v>
      </c>
      <c r="AO6221">
        <v>0</v>
      </c>
      <c r="AP6221">
        <v>0</v>
      </c>
      <c r="AQ6221">
        <v>0</v>
      </c>
      <c r="AS6221">
        <v>0</v>
      </c>
      <c r="AT6221">
        <v>0</v>
      </c>
      <c r="AV6221">
        <v>0</v>
      </c>
      <c r="AW6221">
        <v>0</v>
      </c>
      <c r="AY6221">
        <v>0</v>
      </c>
      <c r="AZ6221">
        <v>0</v>
      </c>
      <c r="BA6221">
        <v>140</v>
      </c>
      <c r="BE6221" t="str">
        <f>T("9791164099764")</f>
        <v>9791164099764</v>
      </c>
      <c r="BF6221" t="str">
        <f>T("D180747")</f>
        <v>D180747</v>
      </c>
      <c r="BG6221" t="str">
        <f>T("로판 웹소설 &gt; 서양풍 로판")</f>
        <v>로판 웹소설 &gt; 서양풍 로판</v>
      </c>
    </row>
    <row r="6222" spans="1:59">
      <c r="A6222" t="s">
        <v>60</v>
      </c>
      <c r="B6222" s="1">
        <v>46129</v>
      </c>
      <c r="C6222">
        <v>2378059762</v>
      </c>
      <c r="D6222">
        <v>2378079046</v>
      </c>
      <c r="E6222" t="str">
        <f>T("칼레이 백작가의 매맞이 하녀 추가 외전 2화")</f>
        <v>칼레이 백작가의 매맞이 하녀 추가 외전 2화</v>
      </c>
      <c r="F6222">
        <v>186</v>
      </c>
      <c r="G6222" t="str">
        <f>T("뮤사203")</f>
        <v>뮤사203</v>
      </c>
      <c r="J6222" t="str">
        <f>T("시계토끼")</f>
        <v>시계토끼</v>
      </c>
      <c r="K6222" t="str">
        <f>T("칼레이 백작가의 매맞이 하녀")</f>
        <v>칼레이 백작가의 매맞이 하녀</v>
      </c>
      <c r="L6222">
        <v>100</v>
      </c>
      <c r="M6222">
        <v>300</v>
      </c>
      <c r="N6222">
        <v>3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0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0</v>
      </c>
      <c r="AE6222">
        <v>0</v>
      </c>
      <c r="AF6222">
        <v>0</v>
      </c>
      <c r="AG6222">
        <v>0</v>
      </c>
      <c r="AH6222">
        <v>0</v>
      </c>
      <c r="AI6222">
        <v>300</v>
      </c>
      <c r="AJ6222">
        <v>3</v>
      </c>
      <c r="AK6222">
        <v>0</v>
      </c>
      <c r="AL6222">
        <v>0</v>
      </c>
      <c r="AM6222">
        <v>300</v>
      </c>
      <c r="AN6222">
        <v>0</v>
      </c>
      <c r="AO6222">
        <v>0</v>
      </c>
      <c r="AP6222">
        <v>0</v>
      </c>
      <c r="AQ6222">
        <v>0</v>
      </c>
      <c r="AS6222">
        <v>0</v>
      </c>
      <c r="AT6222">
        <v>0</v>
      </c>
      <c r="AV6222">
        <v>0</v>
      </c>
      <c r="AW6222">
        <v>0</v>
      </c>
      <c r="AY6222">
        <v>0</v>
      </c>
      <c r="AZ6222">
        <v>0</v>
      </c>
      <c r="BA6222">
        <v>210</v>
      </c>
      <c r="BE6222" t="str">
        <f>T("9791164099764")</f>
        <v>9791164099764</v>
      </c>
      <c r="BF6222" t="str">
        <f>T("D180748")</f>
        <v>D180748</v>
      </c>
      <c r="BG6222" t="str">
        <f>T("로판 웹소설 &gt; 서양풍 로판")</f>
        <v>로판 웹소설 &gt; 서양풍 로판</v>
      </c>
    </row>
    <row r="6223" spans="1:59">
      <c r="A6223" t="s">
        <v>60</v>
      </c>
      <c r="B6223" s="1">
        <v>46129</v>
      </c>
      <c r="C6223">
        <v>2378059762</v>
      </c>
      <c r="D6223">
        <v>2378079047</v>
      </c>
      <c r="E6223" t="str">
        <f>T("칼레이 백작가의 매맞이 하녀 추가 외전 3화")</f>
        <v>칼레이 백작가의 매맞이 하녀 추가 외전 3화</v>
      </c>
      <c r="F6223">
        <v>187</v>
      </c>
      <c r="G6223" t="str">
        <f>T("뮤사203")</f>
        <v>뮤사203</v>
      </c>
      <c r="J6223" t="str">
        <f>T("시계토끼")</f>
        <v>시계토끼</v>
      </c>
      <c r="K6223" t="str">
        <f>T("칼레이 백작가의 매맞이 하녀")</f>
        <v>칼레이 백작가의 매맞이 하녀</v>
      </c>
      <c r="L6223">
        <v>100</v>
      </c>
      <c r="M6223">
        <v>400</v>
      </c>
      <c r="N6223">
        <v>4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0</v>
      </c>
      <c r="AE6223">
        <v>0</v>
      </c>
      <c r="AF6223">
        <v>0</v>
      </c>
      <c r="AG6223">
        <v>0</v>
      </c>
      <c r="AH6223">
        <v>0</v>
      </c>
      <c r="AI6223">
        <v>400</v>
      </c>
      <c r="AJ6223">
        <v>4</v>
      </c>
      <c r="AK6223">
        <v>0</v>
      </c>
      <c r="AL6223">
        <v>0</v>
      </c>
      <c r="AM6223">
        <v>400</v>
      </c>
      <c r="AN6223">
        <v>0</v>
      </c>
      <c r="AO6223">
        <v>0</v>
      </c>
      <c r="AP6223">
        <v>0</v>
      </c>
      <c r="AQ6223">
        <v>0</v>
      </c>
      <c r="AS6223">
        <v>0</v>
      </c>
      <c r="AT6223">
        <v>0</v>
      </c>
      <c r="AV6223">
        <v>0</v>
      </c>
      <c r="AW6223">
        <v>0</v>
      </c>
      <c r="AY6223">
        <v>0</v>
      </c>
      <c r="AZ6223">
        <v>0</v>
      </c>
      <c r="BA6223">
        <v>280</v>
      </c>
      <c r="BE6223" t="str">
        <f>T("9791164099764")</f>
        <v>9791164099764</v>
      </c>
      <c r="BF6223" t="str">
        <f>T("D180749")</f>
        <v>D180749</v>
      </c>
      <c r="BG6223" t="str">
        <f>T("로판 웹소설 &gt; 서양풍 로판")</f>
        <v>로판 웹소설 &gt; 서양풍 로판</v>
      </c>
    </row>
    <row r="6224" spans="1:59">
      <c r="A6224" t="s">
        <v>60</v>
      </c>
      <c r="B6224" s="1">
        <v>46129</v>
      </c>
      <c r="C6224">
        <v>2378059762</v>
      </c>
      <c r="D6224">
        <v>2378079048</v>
      </c>
      <c r="E6224" t="str">
        <f>T("칼레이 백작가의 매맞이 하녀 추가 외전 4화")</f>
        <v>칼레이 백작가의 매맞이 하녀 추가 외전 4화</v>
      </c>
      <c r="F6224">
        <v>188</v>
      </c>
      <c r="G6224" t="str">
        <f>T("뮤사203")</f>
        <v>뮤사203</v>
      </c>
      <c r="J6224" t="str">
        <f>T("시계토끼")</f>
        <v>시계토끼</v>
      </c>
      <c r="K6224" t="str">
        <f>T("칼레이 백작가의 매맞이 하녀")</f>
        <v>칼레이 백작가의 매맞이 하녀</v>
      </c>
      <c r="L6224">
        <v>100</v>
      </c>
      <c r="M6224">
        <v>300</v>
      </c>
      <c r="N6224">
        <v>3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0</v>
      </c>
      <c r="AE6224">
        <v>0</v>
      </c>
      <c r="AF6224">
        <v>0</v>
      </c>
      <c r="AG6224">
        <v>0</v>
      </c>
      <c r="AH6224">
        <v>0</v>
      </c>
      <c r="AI6224">
        <v>300</v>
      </c>
      <c r="AJ6224">
        <v>3</v>
      </c>
      <c r="AK6224">
        <v>0</v>
      </c>
      <c r="AL6224">
        <v>0</v>
      </c>
      <c r="AM6224">
        <v>300</v>
      </c>
      <c r="AN6224">
        <v>0</v>
      </c>
      <c r="AO6224">
        <v>0</v>
      </c>
      <c r="AP6224">
        <v>0</v>
      </c>
      <c r="AQ6224">
        <v>0</v>
      </c>
      <c r="AS6224">
        <v>0</v>
      </c>
      <c r="AT6224">
        <v>0</v>
      </c>
      <c r="AV6224">
        <v>0</v>
      </c>
      <c r="AW6224">
        <v>0</v>
      </c>
      <c r="AY6224">
        <v>0</v>
      </c>
      <c r="AZ6224">
        <v>0</v>
      </c>
      <c r="BA6224">
        <v>210</v>
      </c>
      <c r="BE6224" t="str">
        <f>T("9791164099764")</f>
        <v>9791164099764</v>
      </c>
      <c r="BF6224" t="str">
        <f>T("D180750")</f>
        <v>D180750</v>
      </c>
      <c r="BG6224" t="str">
        <f>T("로판 웹소설 &gt; 서양풍 로판")</f>
        <v>로판 웹소설 &gt; 서양풍 로판</v>
      </c>
    </row>
    <row r="6225" spans="1:59">
      <c r="A6225" t="s">
        <v>60</v>
      </c>
      <c r="B6225" s="1">
        <v>46129</v>
      </c>
      <c r="C6225">
        <v>2378059762</v>
      </c>
      <c r="D6225">
        <v>2378079049</v>
      </c>
      <c r="E6225" t="str">
        <f>T("칼레이 백작가의 매맞이 하녀 추가 외전 5화")</f>
        <v>칼레이 백작가의 매맞이 하녀 추가 외전 5화</v>
      </c>
      <c r="F6225">
        <v>189</v>
      </c>
      <c r="G6225" t="str">
        <f>T("뮤사203")</f>
        <v>뮤사203</v>
      </c>
      <c r="J6225" t="str">
        <f>T("시계토끼")</f>
        <v>시계토끼</v>
      </c>
      <c r="K6225" t="str">
        <f>T("칼레이 백작가의 매맞이 하녀")</f>
        <v>칼레이 백작가의 매맞이 하녀</v>
      </c>
      <c r="L6225">
        <v>100</v>
      </c>
      <c r="M6225">
        <v>200</v>
      </c>
      <c r="N6225">
        <v>2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0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0</v>
      </c>
      <c r="AE6225">
        <v>0</v>
      </c>
      <c r="AF6225">
        <v>0</v>
      </c>
      <c r="AG6225">
        <v>0</v>
      </c>
      <c r="AH6225">
        <v>0</v>
      </c>
      <c r="AI6225">
        <v>200</v>
      </c>
      <c r="AJ6225">
        <v>2</v>
      </c>
      <c r="AK6225">
        <v>0</v>
      </c>
      <c r="AL6225">
        <v>0</v>
      </c>
      <c r="AM6225">
        <v>200</v>
      </c>
      <c r="AN6225">
        <v>0</v>
      </c>
      <c r="AO6225">
        <v>0</v>
      </c>
      <c r="AP6225">
        <v>0</v>
      </c>
      <c r="AQ6225">
        <v>0</v>
      </c>
      <c r="AS6225">
        <v>0</v>
      </c>
      <c r="AT6225">
        <v>0</v>
      </c>
      <c r="AV6225">
        <v>0</v>
      </c>
      <c r="AW6225">
        <v>0</v>
      </c>
      <c r="AY6225">
        <v>0</v>
      </c>
      <c r="AZ6225">
        <v>0</v>
      </c>
      <c r="BA6225">
        <v>140</v>
      </c>
      <c r="BE6225" t="str">
        <f>T("9791164099764")</f>
        <v>9791164099764</v>
      </c>
      <c r="BF6225" t="str">
        <f>T("D180751")</f>
        <v>D180751</v>
      </c>
      <c r="BG6225" t="str">
        <f>T("로판 웹소설 &gt; 서양풍 로판")</f>
        <v>로판 웹소설 &gt; 서양풍 로판</v>
      </c>
    </row>
    <row r="6226" spans="1:59">
      <c r="A6226" t="s">
        <v>60</v>
      </c>
      <c r="B6226" s="1">
        <v>46129</v>
      </c>
      <c r="C6226">
        <v>2378059762</v>
      </c>
      <c r="D6226">
        <v>2378079050</v>
      </c>
      <c r="E6226" t="str">
        <f>T("칼레이 백작가의 매맞이 하녀 추가 외전 6화")</f>
        <v>칼레이 백작가의 매맞이 하녀 추가 외전 6화</v>
      </c>
      <c r="F6226">
        <v>190</v>
      </c>
      <c r="G6226" t="str">
        <f>T("뮤사203")</f>
        <v>뮤사203</v>
      </c>
      <c r="J6226" t="str">
        <f>T("시계토끼")</f>
        <v>시계토끼</v>
      </c>
      <c r="K6226" t="str">
        <f>T("칼레이 백작가의 매맞이 하녀")</f>
        <v>칼레이 백작가의 매맞이 하녀</v>
      </c>
      <c r="L6226">
        <v>100</v>
      </c>
      <c r="M6226">
        <v>100</v>
      </c>
      <c r="N6226">
        <v>1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0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0</v>
      </c>
      <c r="AE6226">
        <v>0</v>
      </c>
      <c r="AF6226">
        <v>0</v>
      </c>
      <c r="AG6226">
        <v>0</v>
      </c>
      <c r="AH6226">
        <v>0</v>
      </c>
      <c r="AI6226">
        <v>100</v>
      </c>
      <c r="AJ6226">
        <v>1</v>
      </c>
      <c r="AK6226">
        <v>0</v>
      </c>
      <c r="AL6226">
        <v>0</v>
      </c>
      <c r="AM6226">
        <v>100</v>
      </c>
      <c r="AN6226">
        <v>0</v>
      </c>
      <c r="AO6226">
        <v>0</v>
      </c>
      <c r="AP6226">
        <v>0</v>
      </c>
      <c r="AQ6226">
        <v>0</v>
      </c>
      <c r="AS6226">
        <v>0</v>
      </c>
      <c r="AT6226">
        <v>0</v>
      </c>
      <c r="AV6226">
        <v>0</v>
      </c>
      <c r="AW6226">
        <v>0</v>
      </c>
      <c r="AY6226">
        <v>0</v>
      </c>
      <c r="AZ6226">
        <v>0</v>
      </c>
      <c r="BA6226">
        <v>70</v>
      </c>
      <c r="BE6226" t="str">
        <f>T("9791164099764")</f>
        <v>9791164099764</v>
      </c>
      <c r="BF6226" t="str">
        <f>T("D180752")</f>
        <v>D180752</v>
      </c>
      <c r="BG6226" t="str">
        <f>T("로판 웹소설 &gt; 서양풍 로판")</f>
        <v>로판 웹소설 &gt; 서양풍 로판</v>
      </c>
    </row>
    <row r="6227" spans="1:59">
      <c r="A6227" t="s">
        <v>60</v>
      </c>
      <c r="B6227" s="1">
        <v>46129</v>
      </c>
      <c r="C6227">
        <v>2378059762</v>
      </c>
      <c r="D6227">
        <v>2378079051</v>
      </c>
      <c r="E6227" t="str">
        <f>T("칼레이 백작가의 매맞이 하녀 추가 외전 7화")</f>
        <v>칼레이 백작가의 매맞이 하녀 추가 외전 7화</v>
      </c>
      <c r="F6227">
        <v>191</v>
      </c>
      <c r="G6227" t="str">
        <f>T("뮤사203")</f>
        <v>뮤사203</v>
      </c>
      <c r="J6227" t="str">
        <f>T("시계토끼")</f>
        <v>시계토끼</v>
      </c>
      <c r="K6227" t="str">
        <f>T("칼레이 백작가의 매맞이 하녀")</f>
        <v>칼레이 백작가의 매맞이 하녀</v>
      </c>
      <c r="L6227">
        <v>100</v>
      </c>
      <c r="M6227">
        <v>200</v>
      </c>
      <c r="N6227">
        <v>2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0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0</v>
      </c>
      <c r="AE6227">
        <v>0</v>
      </c>
      <c r="AF6227">
        <v>0</v>
      </c>
      <c r="AG6227">
        <v>0</v>
      </c>
      <c r="AH6227">
        <v>0</v>
      </c>
      <c r="AI6227">
        <v>200</v>
      </c>
      <c r="AJ6227">
        <v>2</v>
      </c>
      <c r="AK6227">
        <v>0</v>
      </c>
      <c r="AL6227">
        <v>0</v>
      </c>
      <c r="AM6227">
        <v>200</v>
      </c>
      <c r="AN6227">
        <v>0</v>
      </c>
      <c r="AO6227">
        <v>0</v>
      </c>
      <c r="AP6227">
        <v>0</v>
      </c>
      <c r="AQ6227">
        <v>0</v>
      </c>
      <c r="AS6227">
        <v>0</v>
      </c>
      <c r="AT6227">
        <v>0</v>
      </c>
      <c r="AV6227">
        <v>0</v>
      </c>
      <c r="AW6227">
        <v>0</v>
      </c>
      <c r="AY6227">
        <v>0</v>
      </c>
      <c r="AZ6227">
        <v>0</v>
      </c>
      <c r="BA6227">
        <v>140</v>
      </c>
      <c r="BE6227" t="str">
        <f>T("9791164099764")</f>
        <v>9791164099764</v>
      </c>
      <c r="BF6227" t="str">
        <f>T("D180753")</f>
        <v>D180753</v>
      </c>
      <c r="BG6227" t="str">
        <f>T("로판 웹소설 &gt; 서양풍 로판")</f>
        <v>로판 웹소설 &gt; 서양풍 로판</v>
      </c>
    </row>
    <row r="6228" spans="1:59">
      <c r="A6228" t="s">
        <v>60</v>
      </c>
      <c r="B6228" s="1">
        <v>46129</v>
      </c>
      <c r="C6228">
        <v>2378059762</v>
      </c>
      <c r="D6228">
        <v>2378079052</v>
      </c>
      <c r="E6228" t="str">
        <f>T("칼레이 백작가의 매맞이 하녀 추가 외전 8화")</f>
        <v>칼레이 백작가의 매맞이 하녀 추가 외전 8화</v>
      </c>
      <c r="F6228">
        <v>192</v>
      </c>
      <c r="G6228" t="str">
        <f>T("뮤사203")</f>
        <v>뮤사203</v>
      </c>
      <c r="J6228" t="str">
        <f>T("시계토끼")</f>
        <v>시계토끼</v>
      </c>
      <c r="K6228" t="str">
        <f>T("칼레이 백작가의 매맞이 하녀")</f>
        <v>칼레이 백작가의 매맞이 하녀</v>
      </c>
      <c r="L6228">
        <v>100</v>
      </c>
      <c r="M6228">
        <v>100</v>
      </c>
      <c r="N6228">
        <v>1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0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0</v>
      </c>
      <c r="AE6228">
        <v>0</v>
      </c>
      <c r="AF6228">
        <v>0</v>
      </c>
      <c r="AG6228">
        <v>0</v>
      </c>
      <c r="AH6228">
        <v>0</v>
      </c>
      <c r="AI6228">
        <v>100</v>
      </c>
      <c r="AJ6228">
        <v>1</v>
      </c>
      <c r="AK6228">
        <v>0</v>
      </c>
      <c r="AL6228">
        <v>0</v>
      </c>
      <c r="AM6228">
        <v>100</v>
      </c>
      <c r="AN6228">
        <v>0</v>
      </c>
      <c r="AO6228">
        <v>0</v>
      </c>
      <c r="AP6228">
        <v>0</v>
      </c>
      <c r="AQ6228">
        <v>0</v>
      </c>
      <c r="AS6228">
        <v>0</v>
      </c>
      <c r="AT6228">
        <v>0</v>
      </c>
      <c r="AV6228">
        <v>0</v>
      </c>
      <c r="AW6228">
        <v>0</v>
      </c>
      <c r="AY6228">
        <v>0</v>
      </c>
      <c r="AZ6228">
        <v>0</v>
      </c>
      <c r="BA6228">
        <v>70</v>
      </c>
      <c r="BE6228" t="str">
        <f>T("9791164099764")</f>
        <v>9791164099764</v>
      </c>
      <c r="BF6228" t="str">
        <f>T("D180754")</f>
        <v>D180754</v>
      </c>
      <c r="BG6228" t="str">
        <f>T("로판 웹소설 &gt; 서양풍 로판")</f>
        <v>로판 웹소설 &gt; 서양풍 로판</v>
      </c>
    </row>
    <row r="6229" spans="1:59">
      <c r="A6229" t="s">
        <v>60</v>
      </c>
      <c r="B6229" s="1">
        <v>46129</v>
      </c>
      <c r="C6229">
        <v>2378059762</v>
      </c>
      <c r="D6229">
        <v>2378079053</v>
      </c>
      <c r="E6229" t="str">
        <f>T("칼레이 백작가의 매맞이 하녀 추가 외전 9화")</f>
        <v>칼레이 백작가의 매맞이 하녀 추가 외전 9화</v>
      </c>
      <c r="F6229">
        <v>193</v>
      </c>
      <c r="G6229" t="str">
        <f>T("뮤사203")</f>
        <v>뮤사203</v>
      </c>
      <c r="J6229" t="str">
        <f>T("시계토끼")</f>
        <v>시계토끼</v>
      </c>
      <c r="K6229" t="str">
        <f>T("칼레이 백작가의 매맞이 하녀")</f>
        <v>칼레이 백작가의 매맞이 하녀</v>
      </c>
      <c r="L6229">
        <v>100</v>
      </c>
      <c r="M6229">
        <v>200</v>
      </c>
      <c r="N6229">
        <v>2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0</v>
      </c>
      <c r="AE6229">
        <v>0</v>
      </c>
      <c r="AF6229">
        <v>0</v>
      </c>
      <c r="AG6229">
        <v>0</v>
      </c>
      <c r="AH6229">
        <v>0</v>
      </c>
      <c r="AI6229">
        <v>200</v>
      </c>
      <c r="AJ6229">
        <v>2</v>
      </c>
      <c r="AK6229">
        <v>0</v>
      </c>
      <c r="AL6229">
        <v>0</v>
      </c>
      <c r="AM6229">
        <v>200</v>
      </c>
      <c r="AN6229">
        <v>0</v>
      </c>
      <c r="AO6229">
        <v>0</v>
      </c>
      <c r="AP6229">
        <v>0</v>
      </c>
      <c r="AQ6229">
        <v>0</v>
      </c>
      <c r="AS6229">
        <v>0</v>
      </c>
      <c r="AT6229">
        <v>0</v>
      </c>
      <c r="AV6229">
        <v>0</v>
      </c>
      <c r="AW6229">
        <v>0</v>
      </c>
      <c r="AY6229">
        <v>0</v>
      </c>
      <c r="AZ6229">
        <v>0</v>
      </c>
      <c r="BA6229">
        <v>140</v>
      </c>
      <c r="BE6229" t="str">
        <f>T("9791164099764")</f>
        <v>9791164099764</v>
      </c>
      <c r="BF6229" t="str">
        <f>T("D180755")</f>
        <v>D180755</v>
      </c>
      <c r="BG6229" t="str">
        <f>T("로판 웹소설 &gt; 서양풍 로판")</f>
        <v>로판 웹소설 &gt; 서양풍 로판</v>
      </c>
    </row>
    <row r="6230" spans="1:59">
      <c r="A6230" t="s">
        <v>60</v>
      </c>
      <c r="B6230" s="1">
        <v>46129</v>
      </c>
      <c r="C6230">
        <v>2378059762</v>
      </c>
      <c r="D6230">
        <v>2378079054</v>
      </c>
      <c r="E6230" t="str">
        <f>T("칼레이 백작가의 매맞이 하녀 추가 외전 10화")</f>
        <v>칼레이 백작가의 매맞이 하녀 추가 외전 10화</v>
      </c>
      <c r="F6230">
        <v>194</v>
      </c>
      <c r="G6230" t="str">
        <f>T("뮤사203")</f>
        <v>뮤사203</v>
      </c>
      <c r="J6230" t="str">
        <f>T("시계토끼")</f>
        <v>시계토끼</v>
      </c>
      <c r="K6230" t="str">
        <f>T("칼레이 백작가의 매맞이 하녀")</f>
        <v>칼레이 백작가의 매맞이 하녀</v>
      </c>
      <c r="L6230">
        <v>100</v>
      </c>
      <c r="M6230">
        <v>200</v>
      </c>
      <c r="N6230">
        <v>2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0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0</v>
      </c>
      <c r="AE6230">
        <v>0</v>
      </c>
      <c r="AF6230">
        <v>0</v>
      </c>
      <c r="AG6230">
        <v>0</v>
      </c>
      <c r="AH6230">
        <v>0</v>
      </c>
      <c r="AI6230">
        <v>200</v>
      </c>
      <c r="AJ6230">
        <v>2</v>
      </c>
      <c r="AK6230">
        <v>0</v>
      </c>
      <c r="AL6230">
        <v>0</v>
      </c>
      <c r="AM6230">
        <v>100</v>
      </c>
      <c r="AN6230">
        <v>0</v>
      </c>
      <c r="AO6230">
        <v>120</v>
      </c>
      <c r="AP6230">
        <v>-12</v>
      </c>
      <c r="AQ6230">
        <v>0</v>
      </c>
      <c r="AS6230">
        <v>0</v>
      </c>
      <c r="AT6230">
        <v>0</v>
      </c>
      <c r="AU6230">
        <v>120</v>
      </c>
      <c r="AV6230">
        <v>-12</v>
      </c>
      <c r="AW6230">
        <v>0</v>
      </c>
      <c r="AY6230">
        <v>0</v>
      </c>
      <c r="AZ6230">
        <v>0</v>
      </c>
      <c r="BA6230">
        <v>145.6</v>
      </c>
      <c r="BE6230" t="str">
        <f>T("9791164099764")</f>
        <v>9791164099764</v>
      </c>
      <c r="BF6230" t="str">
        <f>T("D180756")</f>
        <v>D180756</v>
      </c>
      <c r="BG6230" t="str">
        <f>T("로판 웹소설 &gt; 서양풍 로판")</f>
        <v>로판 웹소설 &gt; 서양풍 로판</v>
      </c>
    </row>
    <row r="6231" spans="1:59">
      <c r="A6231" t="s">
        <v>60</v>
      </c>
      <c r="B6231" s="1">
        <v>46130</v>
      </c>
      <c r="C6231">
        <v>2378059762</v>
      </c>
      <c r="D6231">
        <v>2378063899</v>
      </c>
      <c r="E6231" t="str">
        <f>T("칼레이 백작가의 매맞이 하녀 120화")</f>
        <v>칼레이 백작가의 매맞이 하녀 120화</v>
      </c>
      <c r="F6231">
        <v>120</v>
      </c>
      <c r="G6231" t="str">
        <f>T("뮤사203")</f>
        <v>뮤사203</v>
      </c>
      <c r="J6231" t="str">
        <f>T("시계토끼")</f>
        <v>시계토끼</v>
      </c>
      <c r="K6231" t="str">
        <f>T("칼레이 백작가의 매맞이 하녀")</f>
        <v>칼레이 백작가의 매맞이 하녀</v>
      </c>
      <c r="L6231">
        <v>100</v>
      </c>
      <c r="M6231">
        <v>100</v>
      </c>
      <c r="N6231">
        <v>1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0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0</v>
      </c>
      <c r="AE6231">
        <v>0</v>
      </c>
      <c r="AF6231">
        <v>0</v>
      </c>
      <c r="AG6231">
        <v>0</v>
      </c>
      <c r="AH6231">
        <v>0</v>
      </c>
      <c r="AI6231">
        <v>100</v>
      </c>
      <c r="AJ6231">
        <v>1</v>
      </c>
      <c r="AK6231">
        <v>0</v>
      </c>
      <c r="AL6231">
        <v>0</v>
      </c>
      <c r="AM6231">
        <v>100</v>
      </c>
      <c r="AN6231">
        <v>0</v>
      </c>
      <c r="AO6231">
        <v>0</v>
      </c>
      <c r="AP6231">
        <v>0</v>
      </c>
      <c r="AQ6231">
        <v>0</v>
      </c>
      <c r="AS6231">
        <v>0</v>
      </c>
      <c r="AT6231">
        <v>0</v>
      </c>
      <c r="AV6231">
        <v>0</v>
      </c>
      <c r="AW6231">
        <v>0</v>
      </c>
      <c r="AY6231">
        <v>0</v>
      </c>
      <c r="AZ6231">
        <v>0</v>
      </c>
      <c r="BA6231">
        <v>70</v>
      </c>
      <c r="BE6231" t="str">
        <f>T("9791164099764")</f>
        <v>9791164099764</v>
      </c>
      <c r="BF6231" t="str">
        <f>T("k262225")</f>
        <v>k262225</v>
      </c>
      <c r="BG6231" t="str">
        <f>T("로판 웹소설 &gt; 서양풍 로판")</f>
        <v>로판 웹소설 &gt; 서양풍 로판</v>
      </c>
    </row>
    <row r="6232" spans="1:59">
      <c r="A6232" t="s">
        <v>60</v>
      </c>
      <c r="B6232" s="1">
        <v>46130</v>
      </c>
      <c r="C6232">
        <v>2378059762</v>
      </c>
      <c r="D6232">
        <v>2378063900</v>
      </c>
      <c r="E6232" t="str">
        <f>T("칼레이 백작가의 매맞이 하녀 121화")</f>
        <v>칼레이 백작가의 매맞이 하녀 121화</v>
      </c>
      <c r="F6232">
        <v>121</v>
      </c>
      <c r="G6232" t="str">
        <f>T("뮤사203")</f>
        <v>뮤사203</v>
      </c>
      <c r="J6232" t="str">
        <f>T("시계토끼")</f>
        <v>시계토끼</v>
      </c>
      <c r="K6232" t="str">
        <f>T("칼레이 백작가의 매맞이 하녀")</f>
        <v>칼레이 백작가의 매맞이 하녀</v>
      </c>
      <c r="L6232">
        <v>100</v>
      </c>
      <c r="M6232">
        <v>200</v>
      </c>
      <c r="N6232">
        <v>2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0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0</v>
      </c>
      <c r="AE6232">
        <v>0</v>
      </c>
      <c r="AF6232">
        <v>0</v>
      </c>
      <c r="AG6232">
        <v>0</v>
      </c>
      <c r="AH6232">
        <v>0</v>
      </c>
      <c r="AI6232">
        <v>200</v>
      </c>
      <c r="AJ6232">
        <v>2</v>
      </c>
      <c r="AK6232">
        <v>0</v>
      </c>
      <c r="AL6232">
        <v>0</v>
      </c>
      <c r="AM6232">
        <v>100</v>
      </c>
      <c r="AN6232">
        <v>0</v>
      </c>
      <c r="AO6232">
        <v>120</v>
      </c>
      <c r="AP6232">
        <v>-12</v>
      </c>
      <c r="AQ6232">
        <v>0</v>
      </c>
      <c r="AS6232">
        <v>0</v>
      </c>
      <c r="AT6232">
        <v>0</v>
      </c>
      <c r="AU6232">
        <v>120</v>
      </c>
      <c r="AV6232">
        <v>-12</v>
      </c>
      <c r="AW6232">
        <v>0</v>
      </c>
      <c r="AY6232">
        <v>0</v>
      </c>
      <c r="AZ6232">
        <v>0</v>
      </c>
      <c r="BA6232">
        <v>145.6</v>
      </c>
      <c r="BE6232" t="str">
        <f>T("9791164099764")</f>
        <v>9791164099764</v>
      </c>
      <c r="BF6232" t="str">
        <f>T("k262226")</f>
        <v>k262226</v>
      </c>
      <c r="BG6232" t="str">
        <f>T("로판 웹소설 &gt; 서양풍 로판")</f>
        <v>로판 웹소설 &gt; 서양풍 로판</v>
      </c>
    </row>
    <row r="6233" spans="1:59">
      <c r="A6233" t="s">
        <v>60</v>
      </c>
      <c r="B6233" s="1">
        <v>46130</v>
      </c>
      <c r="C6233">
        <v>2378059762</v>
      </c>
      <c r="D6233">
        <v>2378059788</v>
      </c>
      <c r="E6233" t="str">
        <f>T("칼레이 백작가의 매맞이 하녀 27화")</f>
        <v>칼레이 백작가의 매맞이 하녀 27화</v>
      </c>
      <c r="F6233">
        <v>27</v>
      </c>
      <c r="G6233" t="str">
        <f>T("뮤사203")</f>
        <v>뮤사203</v>
      </c>
      <c r="J6233" t="str">
        <f>T("시계토끼")</f>
        <v>시계토끼</v>
      </c>
      <c r="K6233" t="str">
        <f>T("칼레이 백작가의 매맞이 하녀")</f>
        <v>칼레이 백작가의 매맞이 하녀</v>
      </c>
      <c r="L6233">
        <v>100</v>
      </c>
      <c r="M6233">
        <v>100</v>
      </c>
      <c r="N6233">
        <v>1</v>
      </c>
      <c r="O6233">
        <v>0</v>
      </c>
      <c r="P6233">
        <v>0</v>
      </c>
      <c r="Q6233">
        <v>0</v>
      </c>
      <c r="R6233">
        <v>2</v>
      </c>
      <c r="S6233">
        <v>0</v>
      </c>
      <c r="T6233">
        <v>0</v>
      </c>
      <c r="U6233">
        <v>0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0</v>
      </c>
      <c r="AE6233">
        <v>0</v>
      </c>
      <c r="AF6233">
        <v>0</v>
      </c>
      <c r="AG6233">
        <v>0</v>
      </c>
      <c r="AH6233">
        <v>0</v>
      </c>
      <c r="AI6233">
        <v>100</v>
      </c>
      <c r="AJ6233">
        <v>3</v>
      </c>
      <c r="AK6233">
        <v>0</v>
      </c>
      <c r="AL6233">
        <v>0</v>
      </c>
      <c r="AM6233">
        <v>100</v>
      </c>
      <c r="AN6233">
        <v>0</v>
      </c>
      <c r="AO6233">
        <v>0</v>
      </c>
      <c r="AP6233">
        <v>0</v>
      </c>
      <c r="AQ6233">
        <v>0</v>
      </c>
      <c r="AS6233">
        <v>0</v>
      </c>
      <c r="AT6233">
        <v>0</v>
      </c>
      <c r="AV6233">
        <v>0</v>
      </c>
      <c r="AW6233">
        <v>0</v>
      </c>
      <c r="AY6233">
        <v>0</v>
      </c>
      <c r="AZ6233">
        <v>0</v>
      </c>
      <c r="BA6233">
        <v>70</v>
      </c>
      <c r="BE6233" t="str">
        <f>T("9791164099764")</f>
        <v>9791164099764</v>
      </c>
      <c r="BF6233" t="str">
        <f>T("k201706")</f>
        <v>k201706</v>
      </c>
      <c r="BG6233" t="str">
        <f>T("로판 웹소설 &gt; 서양풍 로판")</f>
        <v>로판 웹소설 &gt; 서양풍 로판</v>
      </c>
    </row>
    <row r="6234" spans="1:59">
      <c r="A6234" t="s">
        <v>60</v>
      </c>
      <c r="B6234" s="1">
        <v>46130</v>
      </c>
      <c r="C6234">
        <v>2378059762</v>
      </c>
      <c r="D6234">
        <v>2378059793</v>
      </c>
      <c r="E6234" t="str">
        <f>T("칼레이 백작가의 매맞이 하녀 32화")</f>
        <v>칼레이 백작가의 매맞이 하녀 32화</v>
      </c>
      <c r="F6234">
        <v>32</v>
      </c>
      <c r="G6234" t="str">
        <f>T("뮤사203")</f>
        <v>뮤사203</v>
      </c>
      <c r="J6234" t="str">
        <f>T("시계토끼")</f>
        <v>시계토끼</v>
      </c>
      <c r="K6234" t="str">
        <f>T("칼레이 백작가의 매맞이 하녀")</f>
        <v>칼레이 백작가의 매맞이 하녀</v>
      </c>
      <c r="L6234">
        <v>100</v>
      </c>
      <c r="M6234">
        <v>100</v>
      </c>
      <c r="N6234">
        <v>1</v>
      </c>
      <c r="O6234">
        <v>0</v>
      </c>
      <c r="P6234">
        <v>0</v>
      </c>
      <c r="Q6234">
        <v>0</v>
      </c>
      <c r="R6234">
        <v>1</v>
      </c>
      <c r="S6234">
        <v>0</v>
      </c>
      <c r="T6234">
        <v>0</v>
      </c>
      <c r="U6234">
        <v>0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0</v>
      </c>
      <c r="AE6234">
        <v>0</v>
      </c>
      <c r="AF6234">
        <v>0</v>
      </c>
      <c r="AG6234">
        <v>0</v>
      </c>
      <c r="AH6234">
        <v>0</v>
      </c>
      <c r="AI6234">
        <v>100</v>
      </c>
      <c r="AJ6234">
        <v>2</v>
      </c>
      <c r="AK6234">
        <v>0</v>
      </c>
      <c r="AL6234">
        <v>0</v>
      </c>
      <c r="AM6234">
        <v>100</v>
      </c>
      <c r="AN6234">
        <v>0</v>
      </c>
      <c r="AO6234">
        <v>0</v>
      </c>
      <c r="AP6234">
        <v>0</v>
      </c>
      <c r="AQ6234">
        <v>0</v>
      </c>
      <c r="AS6234">
        <v>0</v>
      </c>
      <c r="AT6234">
        <v>0</v>
      </c>
      <c r="AV6234">
        <v>0</v>
      </c>
      <c r="AW6234">
        <v>0</v>
      </c>
      <c r="AY6234">
        <v>0</v>
      </c>
      <c r="AZ6234">
        <v>0</v>
      </c>
      <c r="BA6234">
        <v>70</v>
      </c>
      <c r="BE6234" t="str">
        <f>T("9791164099764")</f>
        <v>9791164099764</v>
      </c>
      <c r="BF6234" t="str">
        <f>T("k201711")</f>
        <v>k201711</v>
      </c>
      <c r="BG6234" t="str">
        <f>T("로판 웹소설 &gt; 서양풍 로판")</f>
        <v>로판 웹소설 &gt; 서양풍 로판</v>
      </c>
    </row>
    <row r="6235" spans="1:59">
      <c r="A6235" t="s">
        <v>60</v>
      </c>
      <c r="B6235" s="1">
        <v>46130</v>
      </c>
      <c r="C6235">
        <v>2378059762</v>
      </c>
      <c r="D6235">
        <v>2378059797</v>
      </c>
      <c r="E6235" t="str">
        <f>T("칼레이 백작가의 매맞이 하녀 36화")</f>
        <v>칼레이 백작가의 매맞이 하녀 36화</v>
      </c>
      <c r="F6235">
        <v>36</v>
      </c>
      <c r="G6235" t="str">
        <f>T("뮤사203")</f>
        <v>뮤사203</v>
      </c>
      <c r="J6235" t="str">
        <f>T("시계토끼")</f>
        <v>시계토끼</v>
      </c>
      <c r="K6235" t="str">
        <f>T("칼레이 백작가의 매맞이 하녀")</f>
        <v>칼레이 백작가의 매맞이 하녀</v>
      </c>
      <c r="L6235">
        <v>100</v>
      </c>
      <c r="M6235">
        <v>200</v>
      </c>
      <c r="N6235">
        <v>2</v>
      </c>
      <c r="O6235">
        <v>0</v>
      </c>
      <c r="P6235">
        <v>0</v>
      </c>
      <c r="Q6235">
        <v>0</v>
      </c>
      <c r="R6235">
        <v>2</v>
      </c>
      <c r="S6235">
        <v>0</v>
      </c>
      <c r="T6235">
        <v>0</v>
      </c>
      <c r="U6235">
        <v>0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0</v>
      </c>
      <c r="AE6235">
        <v>0</v>
      </c>
      <c r="AF6235">
        <v>0</v>
      </c>
      <c r="AG6235">
        <v>0</v>
      </c>
      <c r="AH6235">
        <v>0</v>
      </c>
      <c r="AI6235">
        <v>200</v>
      </c>
      <c r="AJ6235">
        <v>4</v>
      </c>
      <c r="AK6235">
        <v>0</v>
      </c>
      <c r="AL6235">
        <v>0</v>
      </c>
      <c r="AM6235">
        <v>200</v>
      </c>
      <c r="AN6235">
        <v>0</v>
      </c>
      <c r="AO6235">
        <v>0</v>
      </c>
      <c r="AP6235">
        <v>0</v>
      </c>
      <c r="AQ6235">
        <v>0</v>
      </c>
      <c r="AS6235">
        <v>0</v>
      </c>
      <c r="AT6235">
        <v>0</v>
      </c>
      <c r="AV6235">
        <v>0</v>
      </c>
      <c r="AW6235">
        <v>0</v>
      </c>
      <c r="AY6235">
        <v>0</v>
      </c>
      <c r="AZ6235">
        <v>0</v>
      </c>
      <c r="BA6235">
        <v>140</v>
      </c>
      <c r="BE6235" t="str">
        <f>T("9791164099764")</f>
        <v>9791164099764</v>
      </c>
      <c r="BF6235" t="str">
        <f>T("k201715")</f>
        <v>k201715</v>
      </c>
      <c r="BG6235" t="str">
        <f>T("로판 웹소설 &gt; 서양풍 로판")</f>
        <v>로판 웹소설 &gt; 서양풍 로판</v>
      </c>
    </row>
    <row r="6236" spans="1:59">
      <c r="A6236" t="s">
        <v>60</v>
      </c>
      <c r="B6236" s="1">
        <v>46130</v>
      </c>
      <c r="C6236">
        <v>2378059762</v>
      </c>
      <c r="D6236">
        <v>2378059796</v>
      </c>
      <c r="E6236" t="str">
        <f>T("칼레이 백작가의 매맞이 하녀 35화")</f>
        <v>칼레이 백작가의 매맞이 하녀 35화</v>
      </c>
      <c r="F6236">
        <v>35</v>
      </c>
      <c r="G6236" t="str">
        <f>T("뮤사203")</f>
        <v>뮤사203</v>
      </c>
      <c r="J6236" t="str">
        <f>T("시계토끼")</f>
        <v>시계토끼</v>
      </c>
      <c r="K6236" t="str">
        <f>T("칼레이 백작가의 매맞이 하녀")</f>
        <v>칼레이 백작가의 매맞이 하녀</v>
      </c>
      <c r="L6236">
        <v>100</v>
      </c>
      <c r="M6236">
        <v>300</v>
      </c>
      <c r="N6236">
        <v>3</v>
      </c>
      <c r="O6236">
        <v>0</v>
      </c>
      <c r="P6236">
        <v>0</v>
      </c>
      <c r="Q6236">
        <v>0</v>
      </c>
      <c r="R6236">
        <v>1</v>
      </c>
      <c r="S6236">
        <v>0</v>
      </c>
      <c r="T6236">
        <v>0</v>
      </c>
      <c r="U6236">
        <v>0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0</v>
      </c>
      <c r="AE6236">
        <v>0</v>
      </c>
      <c r="AF6236">
        <v>0</v>
      </c>
      <c r="AG6236">
        <v>0</v>
      </c>
      <c r="AH6236">
        <v>0</v>
      </c>
      <c r="AI6236">
        <v>300</v>
      </c>
      <c r="AJ6236">
        <v>4</v>
      </c>
      <c r="AK6236">
        <v>0</v>
      </c>
      <c r="AL6236">
        <v>0</v>
      </c>
      <c r="AM6236">
        <v>200</v>
      </c>
      <c r="AN6236">
        <v>0</v>
      </c>
      <c r="AO6236">
        <v>120</v>
      </c>
      <c r="AP6236">
        <v>-36</v>
      </c>
      <c r="AQ6236">
        <v>0</v>
      </c>
      <c r="AR6236">
        <v>120</v>
      </c>
      <c r="AS6236">
        <v>-36</v>
      </c>
      <c r="AT6236">
        <v>0</v>
      </c>
      <c r="AV6236">
        <v>0</v>
      </c>
      <c r="AW6236">
        <v>0</v>
      </c>
      <c r="AY6236">
        <v>0</v>
      </c>
      <c r="AZ6236">
        <v>0</v>
      </c>
      <c r="BA6236">
        <v>198.8</v>
      </c>
      <c r="BE6236" t="str">
        <f>T("9791164099764")</f>
        <v>9791164099764</v>
      </c>
      <c r="BF6236" t="str">
        <f>T("k201714")</f>
        <v>k201714</v>
      </c>
      <c r="BG6236" t="str">
        <f>T("로판 웹소설 &gt; 서양풍 로판")</f>
        <v>로판 웹소설 &gt; 서양풍 로판</v>
      </c>
    </row>
    <row r="6237" spans="1:59">
      <c r="A6237" t="s">
        <v>60</v>
      </c>
      <c r="B6237" s="1">
        <v>46130</v>
      </c>
      <c r="C6237">
        <v>2378059762</v>
      </c>
      <c r="D6237">
        <v>2378059798</v>
      </c>
      <c r="E6237" t="str">
        <f>T("칼레이 백작가의 매맞이 하녀 37화")</f>
        <v>칼레이 백작가의 매맞이 하녀 37화</v>
      </c>
      <c r="F6237">
        <v>37</v>
      </c>
      <c r="G6237" t="str">
        <f>T("뮤사203")</f>
        <v>뮤사203</v>
      </c>
      <c r="J6237" t="str">
        <f>T("시계토끼")</f>
        <v>시계토끼</v>
      </c>
      <c r="K6237" t="str">
        <f>T("칼레이 백작가의 매맞이 하녀")</f>
        <v>칼레이 백작가의 매맞이 하녀</v>
      </c>
      <c r="L6237">
        <v>100</v>
      </c>
      <c r="M6237">
        <v>300</v>
      </c>
      <c r="N6237">
        <v>3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0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0</v>
      </c>
      <c r="AE6237">
        <v>0</v>
      </c>
      <c r="AF6237">
        <v>0</v>
      </c>
      <c r="AG6237">
        <v>0</v>
      </c>
      <c r="AH6237">
        <v>0</v>
      </c>
      <c r="AI6237">
        <v>300</v>
      </c>
      <c r="AJ6237">
        <v>3</v>
      </c>
      <c r="AK6237">
        <v>0</v>
      </c>
      <c r="AL6237">
        <v>0</v>
      </c>
      <c r="AM6237">
        <v>300</v>
      </c>
      <c r="AN6237">
        <v>0</v>
      </c>
      <c r="AO6237">
        <v>0</v>
      </c>
      <c r="AP6237">
        <v>0</v>
      </c>
      <c r="AQ6237">
        <v>0</v>
      </c>
      <c r="AS6237">
        <v>0</v>
      </c>
      <c r="AT6237">
        <v>0</v>
      </c>
      <c r="AV6237">
        <v>0</v>
      </c>
      <c r="AW6237">
        <v>0</v>
      </c>
      <c r="AY6237">
        <v>0</v>
      </c>
      <c r="AZ6237">
        <v>0</v>
      </c>
      <c r="BA6237">
        <v>210</v>
      </c>
      <c r="BE6237" t="str">
        <f>T("9791164099764")</f>
        <v>9791164099764</v>
      </c>
      <c r="BF6237" t="str">
        <f>T("k201716")</f>
        <v>k201716</v>
      </c>
      <c r="BG6237" t="str">
        <f>T("로판 웹소설 &gt; 서양풍 로판")</f>
        <v>로판 웹소설 &gt; 서양풍 로판</v>
      </c>
    </row>
    <row r="6238" spans="1:59">
      <c r="A6238" t="s">
        <v>60</v>
      </c>
      <c r="B6238" s="1">
        <v>46130</v>
      </c>
      <c r="C6238">
        <v>2378059762</v>
      </c>
      <c r="D6238">
        <v>2378062152</v>
      </c>
      <c r="E6238" t="str">
        <f>T("칼레이 백작가의 매맞이 하녀 94화")</f>
        <v>칼레이 백작가의 매맞이 하녀 94화</v>
      </c>
      <c r="F6238">
        <v>94</v>
      </c>
      <c r="G6238" t="str">
        <f>T("뮤사203")</f>
        <v>뮤사203</v>
      </c>
      <c r="J6238" t="str">
        <f>T("시계토끼")</f>
        <v>시계토끼</v>
      </c>
      <c r="K6238" t="str">
        <f>T("칼레이 백작가의 매맞이 하녀")</f>
        <v>칼레이 백작가의 매맞이 하녀</v>
      </c>
      <c r="L6238">
        <v>100</v>
      </c>
      <c r="M6238">
        <v>100</v>
      </c>
      <c r="N6238">
        <v>1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0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0</v>
      </c>
      <c r="AE6238">
        <v>0</v>
      </c>
      <c r="AF6238">
        <v>0</v>
      </c>
      <c r="AG6238">
        <v>0</v>
      </c>
      <c r="AH6238">
        <v>0</v>
      </c>
      <c r="AI6238">
        <v>100</v>
      </c>
      <c r="AJ6238">
        <v>1</v>
      </c>
      <c r="AK6238">
        <v>0</v>
      </c>
      <c r="AL6238">
        <v>0</v>
      </c>
      <c r="AM6238">
        <v>100</v>
      </c>
      <c r="AN6238">
        <v>0</v>
      </c>
      <c r="AO6238">
        <v>0</v>
      </c>
      <c r="AP6238">
        <v>0</v>
      </c>
      <c r="AQ6238">
        <v>0</v>
      </c>
      <c r="AS6238">
        <v>0</v>
      </c>
      <c r="AT6238">
        <v>0</v>
      </c>
      <c r="AV6238">
        <v>0</v>
      </c>
      <c r="AW6238">
        <v>0</v>
      </c>
      <c r="AY6238">
        <v>0</v>
      </c>
      <c r="AZ6238">
        <v>0</v>
      </c>
      <c r="BA6238">
        <v>70</v>
      </c>
      <c r="BE6238" t="str">
        <f>T("9791164099764")</f>
        <v>9791164099764</v>
      </c>
      <c r="BF6238" t="str">
        <f>T("k239905")</f>
        <v>k239905</v>
      </c>
      <c r="BG6238" t="str">
        <f>T("로판 웹소설 &gt; 서양풍 로판")</f>
        <v>로판 웹소설 &gt; 서양풍 로판</v>
      </c>
    </row>
    <row r="6239" spans="1:59">
      <c r="A6239" t="s">
        <v>60</v>
      </c>
      <c r="B6239" s="1">
        <v>46130</v>
      </c>
      <c r="C6239">
        <v>2378059762</v>
      </c>
      <c r="D6239">
        <v>2378062151</v>
      </c>
      <c r="E6239" t="str">
        <f>T("칼레이 백작가의 매맞이 하녀 93화")</f>
        <v>칼레이 백작가의 매맞이 하녀 93화</v>
      </c>
      <c r="F6239">
        <v>93</v>
      </c>
      <c r="G6239" t="str">
        <f>T("뮤사203")</f>
        <v>뮤사203</v>
      </c>
      <c r="J6239" t="str">
        <f>T("시계토끼")</f>
        <v>시계토끼</v>
      </c>
      <c r="K6239" t="str">
        <f>T("칼레이 백작가의 매맞이 하녀")</f>
        <v>칼레이 백작가의 매맞이 하녀</v>
      </c>
      <c r="L6239">
        <v>100</v>
      </c>
      <c r="M6239">
        <v>100</v>
      </c>
      <c r="N6239">
        <v>1</v>
      </c>
      <c r="O6239">
        <v>0</v>
      </c>
      <c r="P6239">
        <v>200</v>
      </c>
      <c r="Q6239">
        <v>2</v>
      </c>
      <c r="R6239">
        <v>0</v>
      </c>
      <c r="S6239">
        <v>0</v>
      </c>
      <c r="T6239">
        <v>0</v>
      </c>
      <c r="U6239">
        <v>0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0</v>
      </c>
      <c r="AE6239">
        <v>0</v>
      </c>
      <c r="AF6239">
        <v>0</v>
      </c>
      <c r="AG6239">
        <v>0</v>
      </c>
      <c r="AH6239">
        <v>0</v>
      </c>
      <c r="AI6239">
        <v>300</v>
      </c>
      <c r="AJ6239">
        <v>3</v>
      </c>
      <c r="AK6239">
        <v>0</v>
      </c>
      <c r="AL6239">
        <v>0</v>
      </c>
      <c r="AM6239">
        <v>300</v>
      </c>
      <c r="AN6239">
        <v>0</v>
      </c>
      <c r="AO6239">
        <v>0</v>
      </c>
      <c r="AP6239">
        <v>0</v>
      </c>
      <c r="AQ6239">
        <v>0</v>
      </c>
      <c r="AS6239">
        <v>0</v>
      </c>
      <c r="AT6239">
        <v>0</v>
      </c>
      <c r="AV6239">
        <v>0</v>
      </c>
      <c r="AW6239">
        <v>0</v>
      </c>
      <c r="AY6239">
        <v>0</v>
      </c>
      <c r="AZ6239">
        <v>0</v>
      </c>
      <c r="BA6239">
        <v>210</v>
      </c>
      <c r="BE6239" t="str">
        <f>T("9791164099764")</f>
        <v>9791164099764</v>
      </c>
      <c r="BF6239" t="str">
        <f>T("k239479")</f>
        <v>k239479</v>
      </c>
      <c r="BG6239" t="str">
        <f>T("로판 웹소설 &gt; 서양풍 로판")</f>
        <v>로판 웹소설 &gt; 서양풍 로판</v>
      </c>
    </row>
    <row r="6240" spans="1:59">
      <c r="A6240" t="s">
        <v>60</v>
      </c>
      <c r="B6240" s="1">
        <v>46130</v>
      </c>
      <c r="C6240">
        <v>2378059762</v>
      </c>
      <c r="D6240">
        <v>2378062153</v>
      </c>
      <c r="E6240" t="str">
        <f>T("칼레이 백작가의 매맞이 하녀 95화")</f>
        <v>칼레이 백작가의 매맞이 하녀 95화</v>
      </c>
      <c r="F6240">
        <v>95</v>
      </c>
      <c r="G6240" t="str">
        <f>T("뮤사203")</f>
        <v>뮤사203</v>
      </c>
      <c r="J6240" t="str">
        <f>T("시계토끼")</f>
        <v>시계토끼</v>
      </c>
      <c r="K6240" t="str">
        <f>T("칼레이 백작가의 매맞이 하녀")</f>
        <v>칼레이 백작가의 매맞이 하녀</v>
      </c>
      <c r="L6240">
        <v>100</v>
      </c>
      <c r="M6240">
        <v>100</v>
      </c>
      <c r="N6240">
        <v>1</v>
      </c>
      <c r="O6240">
        <v>0</v>
      </c>
      <c r="P6240">
        <v>100</v>
      </c>
      <c r="Q6240">
        <v>1</v>
      </c>
      <c r="R6240">
        <v>0</v>
      </c>
      <c r="S6240">
        <v>0</v>
      </c>
      <c r="T6240">
        <v>0</v>
      </c>
      <c r="U6240">
        <v>0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0</v>
      </c>
      <c r="AE6240">
        <v>0</v>
      </c>
      <c r="AF6240">
        <v>0</v>
      </c>
      <c r="AG6240">
        <v>0</v>
      </c>
      <c r="AH6240">
        <v>0</v>
      </c>
      <c r="AI6240">
        <v>200</v>
      </c>
      <c r="AJ6240">
        <v>2</v>
      </c>
      <c r="AK6240">
        <v>0</v>
      </c>
      <c r="AL6240">
        <v>0</v>
      </c>
      <c r="AM6240">
        <v>200</v>
      </c>
      <c r="AN6240">
        <v>0</v>
      </c>
      <c r="AO6240">
        <v>0</v>
      </c>
      <c r="AP6240">
        <v>0</v>
      </c>
      <c r="AQ6240">
        <v>0</v>
      </c>
      <c r="AS6240">
        <v>0</v>
      </c>
      <c r="AT6240">
        <v>0</v>
      </c>
      <c r="AV6240">
        <v>0</v>
      </c>
      <c r="AW6240">
        <v>0</v>
      </c>
      <c r="AY6240">
        <v>0</v>
      </c>
      <c r="AZ6240">
        <v>0</v>
      </c>
      <c r="BA6240">
        <v>140</v>
      </c>
      <c r="BE6240" t="str">
        <f>T("9791164099764")</f>
        <v>9791164099764</v>
      </c>
      <c r="BF6240" t="str">
        <f>T("k239906")</f>
        <v>k239906</v>
      </c>
      <c r="BG6240" t="str">
        <f>T("로판 웹소설 &gt; 서양풍 로판")</f>
        <v>로판 웹소설 &gt; 서양풍 로판</v>
      </c>
    </row>
    <row r="6241" spans="1:59">
      <c r="A6241" t="s">
        <v>60</v>
      </c>
      <c r="B6241" s="1">
        <v>46130</v>
      </c>
      <c r="C6241">
        <v>2378059762</v>
      </c>
      <c r="D6241">
        <v>2378061435</v>
      </c>
      <c r="E6241" t="str">
        <f>T("칼레이 백작가의 매맞이 하녀 79화")</f>
        <v>칼레이 백작가의 매맞이 하녀 79화</v>
      </c>
      <c r="F6241">
        <v>79</v>
      </c>
      <c r="G6241" t="str">
        <f>T("뮤사203")</f>
        <v>뮤사203</v>
      </c>
      <c r="J6241" t="str">
        <f>T("시계토끼")</f>
        <v>시계토끼</v>
      </c>
      <c r="K6241" t="str">
        <f>T("칼레이 백작가의 매맞이 하녀")</f>
        <v>칼레이 백작가의 매맞이 하녀</v>
      </c>
      <c r="L6241">
        <v>100</v>
      </c>
      <c r="M6241">
        <v>100</v>
      </c>
      <c r="N6241">
        <v>1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0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0</v>
      </c>
      <c r="AE6241">
        <v>0</v>
      </c>
      <c r="AF6241">
        <v>0</v>
      </c>
      <c r="AG6241">
        <v>0</v>
      </c>
      <c r="AH6241">
        <v>0</v>
      </c>
      <c r="AI6241">
        <v>100</v>
      </c>
      <c r="AJ6241">
        <v>1</v>
      </c>
      <c r="AK6241">
        <v>0</v>
      </c>
      <c r="AL6241">
        <v>0</v>
      </c>
      <c r="AM6241">
        <v>100</v>
      </c>
      <c r="AN6241">
        <v>0</v>
      </c>
      <c r="AO6241">
        <v>0</v>
      </c>
      <c r="AP6241">
        <v>0</v>
      </c>
      <c r="AQ6241">
        <v>0</v>
      </c>
      <c r="AS6241">
        <v>0</v>
      </c>
      <c r="AT6241">
        <v>0</v>
      </c>
      <c r="AV6241">
        <v>0</v>
      </c>
      <c r="AW6241">
        <v>0</v>
      </c>
      <c r="AY6241">
        <v>0</v>
      </c>
      <c r="AZ6241">
        <v>0</v>
      </c>
      <c r="BA6241">
        <v>70</v>
      </c>
      <c r="BE6241" t="str">
        <f>T("9791164099764")</f>
        <v>9791164099764</v>
      </c>
      <c r="BF6241" t="str">
        <f>T("k201758")</f>
        <v>k201758</v>
      </c>
      <c r="BG6241" t="str">
        <f>T("로판 웹소설 &gt; 서양풍 로판")</f>
        <v>로판 웹소설 &gt; 서양풍 로판</v>
      </c>
    </row>
    <row r="6242" spans="1:59">
      <c r="A6242" t="s">
        <v>60</v>
      </c>
      <c r="B6242" s="1">
        <v>46130</v>
      </c>
      <c r="C6242">
        <v>2378059762</v>
      </c>
      <c r="D6242">
        <v>2378060140</v>
      </c>
      <c r="E6242" t="str">
        <f>T("칼레이 백작가의 매맞이 하녀 67화")</f>
        <v>칼레이 백작가의 매맞이 하녀 67화</v>
      </c>
      <c r="F6242">
        <v>67</v>
      </c>
      <c r="G6242" t="str">
        <f>T("뮤사203")</f>
        <v>뮤사203</v>
      </c>
      <c r="J6242" t="str">
        <f>T("시계토끼")</f>
        <v>시계토끼</v>
      </c>
      <c r="K6242" t="str">
        <f>T("칼레이 백작가의 매맞이 하녀")</f>
        <v>칼레이 백작가의 매맞이 하녀</v>
      </c>
      <c r="L6242">
        <v>100</v>
      </c>
      <c r="M6242">
        <v>100</v>
      </c>
      <c r="N6242">
        <v>1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0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0</v>
      </c>
      <c r="AE6242">
        <v>0</v>
      </c>
      <c r="AF6242">
        <v>0</v>
      </c>
      <c r="AG6242">
        <v>0</v>
      </c>
      <c r="AH6242">
        <v>0</v>
      </c>
      <c r="AI6242">
        <v>100</v>
      </c>
      <c r="AJ6242">
        <v>1</v>
      </c>
      <c r="AK6242">
        <v>0</v>
      </c>
      <c r="AL6242">
        <v>0</v>
      </c>
      <c r="AM6242">
        <v>100</v>
      </c>
      <c r="AN6242">
        <v>0</v>
      </c>
      <c r="AO6242">
        <v>0</v>
      </c>
      <c r="AP6242">
        <v>0</v>
      </c>
      <c r="AQ6242">
        <v>0</v>
      </c>
      <c r="AS6242">
        <v>0</v>
      </c>
      <c r="AT6242">
        <v>0</v>
      </c>
      <c r="AV6242">
        <v>0</v>
      </c>
      <c r="AW6242">
        <v>0</v>
      </c>
      <c r="AY6242">
        <v>0</v>
      </c>
      <c r="AZ6242">
        <v>0</v>
      </c>
      <c r="BA6242">
        <v>70</v>
      </c>
      <c r="BE6242" t="str">
        <f>T("9791164099764")</f>
        <v>9791164099764</v>
      </c>
      <c r="BF6242" t="str">
        <f>T("k201746")</f>
        <v>k201746</v>
      </c>
      <c r="BG6242" t="str">
        <f>T("로판 웹소설 &gt; 서양풍 로판")</f>
        <v>로판 웹소설 &gt; 서양풍 로판</v>
      </c>
    </row>
    <row r="6243" spans="1:59">
      <c r="A6243" t="s">
        <v>60</v>
      </c>
      <c r="B6243" s="1">
        <v>46130</v>
      </c>
      <c r="C6243">
        <v>2378059762</v>
      </c>
      <c r="D6243">
        <v>2378060520</v>
      </c>
      <c r="E6243" t="str">
        <f>T("칼레이 백작가의 매맞이 하녀 75화")</f>
        <v>칼레이 백작가의 매맞이 하녀 75화</v>
      </c>
      <c r="F6243">
        <v>75</v>
      </c>
      <c r="G6243" t="str">
        <f>T("뮤사203")</f>
        <v>뮤사203</v>
      </c>
      <c r="J6243" t="str">
        <f>T("시계토끼")</f>
        <v>시계토끼</v>
      </c>
      <c r="K6243" t="str">
        <f>T("칼레이 백작가의 매맞이 하녀")</f>
        <v>칼레이 백작가의 매맞이 하녀</v>
      </c>
      <c r="L6243">
        <v>100</v>
      </c>
      <c r="M6243">
        <v>100</v>
      </c>
      <c r="N6243">
        <v>1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0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0</v>
      </c>
      <c r="AE6243">
        <v>0</v>
      </c>
      <c r="AF6243">
        <v>0</v>
      </c>
      <c r="AG6243">
        <v>0</v>
      </c>
      <c r="AH6243">
        <v>0</v>
      </c>
      <c r="AI6243">
        <v>100</v>
      </c>
      <c r="AJ6243">
        <v>1</v>
      </c>
      <c r="AK6243">
        <v>0</v>
      </c>
      <c r="AL6243">
        <v>0</v>
      </c>
      <c r="AM6243">
        <v>100</v>
      </c>
      <c r="AN6243">
        <v>0</v>
      </c>
      <c r="AO6243">
        <v>0</v>
      </c>
      <c r="AP6243">
        <v>0</v>
      </c>
      <c r="AQ6243">
        <v>0</v>
      </c>
      <c r="AS6243">
        <v>0</v>
      </c>
      <c r="AT6243">
        <v>0</v>
      </c>
      <c r="AV6243">
        <v>0</v>
      </c>
      <c r="AW6243">
        <v>0</v>
      </c>
      <c r="AY6243">
        <v>0</v>
      </c>
      <c r="AZ6243">
        <v>0</v>
      </c>
      <c r="BA6243">
        <v>70</v>
      </c>
      <c r="BE6243" t="str">
        <f>T("9791164099764")</f>
        <v>9791164099764</v>
      </c>
      <c r="BF6243" t="str">
        <f>T("k201754")</f>
        <v>k201754</v>
      </c>
      <c r="BG6243" t="str">
        <f>T("로판 웹소설 &gt; 서양풍 로판")</f>
        <v>로판 웹소설 &gt; 서양풍 로판</v>
      </c>
    </row>
    <row r="6244" spans="1:59">
      <c r="A6244" t="s">
        <v>60</v>
      </c>
      <c r="B6244" s="1">
        <v>46130</v>
      </c>
      <c r="C6244">
        <v>2378059762</v>
      </c>
      <c r="D6244">
        <v>2378061687</v>
      </c>
      <c r="E6244" t="str">
        <f>T("칼레이 백작가의 매맞이 하녀 82화")</f>
        <v>칼레이 백작가의 매맞이 하녀 82화</v>
      </c>
      <c r="F6244">
        <v>82</v>
      </c>
      <c r="G6244" t="str">
        <f>T("뮤사203")</f>
        <v>뮤사203</v>
      </c>
      <c r="J6244" t="str">
        <f>T("시계토끼")</f>
        <v>시계토끼</v>
      </c>
      <c r="K6244" t="str">
        <f>T("칼레이 백작가의 매맞이 하녀")</f>
        <v>칼레이 백작가의 매맞이 하녀</v>
      </c>
      <c r="L6244">
        <v>100</v>
      </c>
      <c r="M6244">
        <v>100</v>
      </c>
      <c r="N6244">
        <v>1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0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0</v>
      </c>
      <c r="AE6244">
        <v>0</v>
      </c>
      <c r="AF6244">
        <v>0</v>
      </c>
      <c r="AG6244">
        <v>0</v>
      </c>
      <c r="AH6244">
        <v>0</v>
      </c>
      <c r="AI6244">
        <v>100</v>
      </c>
      <c r="AJ6244">
        <v>1</v>
      </c>
      <c r="AK6244">
        <v>0</v>
      </c>
      <c r="AL6244">
        <v>0</v>
      </c>
      <c r="AM6244">
        <v>100</v>
      </c>
      <c r="AN6244">
        <v>0</v>
      </c>
      <c r="AO6244">
        <v>0</v>
      </c>
      <c r="AP6244">
        <v>0</v>
      </c>
      <c r="AQ6244">
        <v>0</v>
      </c>
      <c r="AS6244">
        <v>0</v>
      </c>
      <c r="AT6244">
        <v>0</v>
      </c>
      <c r="AV6244">
        <v>0</v>
      </c>
      <c r="AW6244">
        <v>0</v>
      </c>
      <c r="AY6244">
        <v>0</v>
      </c>
      <c r="AZ6244">
        <v>0</v>
      </c>
      <c r="BA6244">
        <v>70</v>
      </c>
      <c r="BE6244" t="str">
        <f>T("9791164099764")</f>
        <v>9791164099764</v>
      </c>
      <c r="BF6244" t="str">
        <f>T("k217701")</f>
        <v>k217701</v>
      </c>
      <c r="BG6244" t="str">
        <f>T("로판 웹소설 &gt; 서양풍 로판")</f>
        <v>로판 웹소설 &gt; 서양풍 로판</v>
      </c>
    </row>
    <row r="6245" spans="1:59">
      <c r="A6245" t="s">
        <v>60</v>
      </c>
      <c r="B6245" s="1">
        <v>46130</v>
      </c>
      <c r="C6245">
        <v>2378059762</v>
      </c>
      <c r="D6245">
        <v>2378061867</v>
      </c>
      <c r="E6245" t="str">
        <f>T("칼레이 백작가의 매맞이 하녀 88화")</f>
        <v>칼레이 백작가의 매맞이 하녀 88화</v>
      </c>
      <c r="F6245">
        <v>88</v>
      </c>
      <c r="G6245" t="str">
        <f>T("뮤사203")</f>
        <v>뮤사203</v>
      </c>
      <c r="J6245" t="str">
        <f>T("시계토끼")</f>
        <v>시계토끼</v>
      </c>
      <c r="K6245" t="str">
        <f>T("칼레이 백작가의 매맞이 하녀")</f>
        <v>칼레이 백작가의 매맞이 하녀</v>
      </c>
      <c r="L6245">
        <v>100</v>
      </c>
      <c r="M6245">
        <v>100</v>
      </c>
      <c r="N6245">
        <v>1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0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0</v>
      </c>
      <c r="AE6245">
        <v>0</v>
      </c>
      <c r="AF6245">
        <v>0</v>
      </c>
      <c r="AG6245">
        <v>0</v>
      </c>
      <c r="AH6245">
        <v>0</v>
      </c>
      <c r="AI6245">
        <v>100</v>
      </c>
      <c r="AJ6245">
        <v>1</v>
      </c>
      <c r="AK6245">
        <v>0</v>
      </c>
      <c r="AL6245">
        <v>0</v>
      </c>
      <c r="AM6245">
        <v>100</v>
      </c>
      <c r="AN6245">
        <v>0</v>
      </c>
      <c r="AO6245">
        <v>0</v>
      </c>
      <c r="AP6245">
        <v>0</v>
      </c>
      <c r="AQ6245">
        <v>0</v>
      </c>
      <c r="AS6245">
        <v>0</v>
      </c>
      <c r="AT6245">
        <v>0</v>
      </c>
      <c r="AV6245">
        <v>0</v>
      </c>
      <c r="AW6245">
        <v>0</v>
      </c>
      <c r="AY6245">
        <v>0</v>
      </c>
      <c r="AZ6245">
        <v>0</v>
      </c>
      <c r="BA6245">
        <v>70</v>
      </c>
      <c r="BE6245" t="str">
        <f>T("9791164099764")</f>
        <v>9791164099764</v>
      </c>
      <c r="BF6245" t="str">
        <f>T("k225188")</f>
        <v>k225188</v>
      </c>
      <c r="BG6245" t="str">
        <f>T("로판 웹소설 &gt; 서양풍 로판")</f>
        <v>로판 웹소설 &gt; 서양풍 로판</v>
      </c>
    </row>
    <row r="6246" spans="1:59">
      <c r="A6246" t="s">
        <v>60</v>
      </c>
      <c r="B6246" s="1">
        <v>46130</v>
      </c>
      <c r="C6246">
        <v>2378059762</v>
      </c>
      <c r="D6246">
        <v>2378059840</v>
      </c>
      <c r="E6246" t="str">
        <f>T("칼레이 백작가의 매맞이 하녀 61화")</f>
        <v>칼레이 백작가의 매맞이 하녀 61화</v>
      </c>
      <c r="F6246">
        <v>61</v>
      </c>
      <c r="G6246" t="str">
        <f>T("뮤사203")</f>
        <v>뮤사203</v>
      </c>
      <c r="J6246" t="str">
        <f>T("시계토끼")</f>
        <v>시계토끼</v>
      </c>
      <c r="K6246" t="str">
        <f>T("칼레이 백작가의 매맞이 하녀")</f>
        <v>칼레이 백작가의 매맞이 하녀</v>
      </c>
      <c r="L6246">
        <v>100</v>
      </c>
      <c r="M6246">
        <v>100</v>
      </c>
      <c r="N6246">
        <v>1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0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0</v>
      </c>
      <c r="AE6246">
        <v>0</v>
      </c>
      <c r="AF6246">
        <v>0</v>
      </c>
      <c r="AG6246">
        <v>0</v>
      </c>
      <c r="AH6246">
        <v>0</v>
      </c>
      <c r="AI6246">
        <v>100</v>
      </c>
      <c r="AJ6246">
        <v>1</v>
      </c>
      <c r="AK6246">
        <v>0</v>
      </c>
      <c r="AL6246">
        <v>0</v>
      </c>
      <c r="AM6246">
        <v>100</v>
      </c>
      <c r="AN6246">
        <v>0</v>
      </c>
      <c r="AO6246">
        <v>0</v>
      </c>
      <c r="AP6246">
        <v>0</v>
      </c>
      <c r="AQ6246">
        <v>0</v>
      </c>
      <c r="AS6246">
        <v>0</v>
      </c>
      <c r="AT6246">
        <v>0</v>
      </c>
      <c r="AV6246">
        <v>0</v>
      </c>
      <c r="AW6246">
        <v>0</v>
      </c>
      <c r="AY6246">
        <v>0</v>
      </c>
      <c r="AZ6246">
        <v>0</v>
      </c>
      <c r="BA6246">
        <v>70</v>
      </c>
      <c r="BE6246" t="str">
        <f>T("9791164099764")</f>
        <v>9791164099764</v>
      </c>
      <c r="BF6246" t="str">
        <f>T("k201740")</f>
        <v>k201740</v>
      </c>
      <c r="BG6246" t="str">
        <f>T("로판 웹소설 &gt; 서양풍 로판")</f>
        <v>로판 웹소설 &gt; 서양풍 로판</v>
      </c>
    </row>
    <row r="6247" spans="1:59">
      <c r="A6247" t="s">
        <v>60</v>
      </c>
      <c r="B6247" s="1">
        <v>46130</v>
      </c>
      <c r="C6247">
        <v>2378059762</v>
      </c>
      <c r="D6247">
        <v>2378059820</v>
      </c>
      <c r="E6247" t="str">
        <f>T("칼레이 백작가의 매맞이 하녀 59화")</f>
        <v>칼레이 백작가의 매맞이 하녀 59화</v>
      </c>
      <c r="F6247">
        <v>59</v>
      </c>
      <c r="G6247" t="str">
        <f>T("뮤사203")</f>
        <v>뮤사203</v>
      </c>
      <c r="J6247" t="str">
        <f>T("시계토끼")</f>
        <v>시계토끼</v>
      </c>
      <c r="K6247" t="str">
        <f>T("칼레이 백작가의 매맞이 하녀")</f>
        <v>칼레이 백작가의 매맞이 하녀</v>
      </c>
      <c r="L6247">
        <v>100</v>
      </c>
      <c r="M6247">
        <v>100</v>
      </c>
      <c r="N6247">
        <v>1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0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0</v>
      </c>
      <c r="AE6247">
        <v>0</v>
      </c>
      <c r="AF6247">
        <v>0</v>
      </c>
      <c r="AG6247">
        <v>0</v>
      </c>
      <c r="AH6247">
        <v>0</v>
      </c>
      <c r="AI6247">
        <v>100</v>
      </c>
      <c r="AJ6247">
        <v>1</v>
      </c>
      <c r="AK6247">
        <v>0</v>
      </c>
      <c r="AL6247">
        <v>0</v>
      </c>
      <c r="AM6247">
        <v>100</v>
      </c>
      <c r="AN6247">
        <v>0</v>
      </c>
      <c r="AO6247">
        <v>0</v>
      </c>
      <c r="AP6247">
        <v>0</v>
      </c>
      <c r="AQ6247">
        <v>0</v>
      </c>
      <c r="AS6247">
        <v>0</v>
      </c>
      <c r="AT6247">
        <v>0</v>
      </c>
      <c r="AV6247">
        <v>0</v>
      </c>
      <c r="AW6247">
        <v>0</v>
      </c>
      <c r="AY6247">
        <v>0</v>
      </c>
      <c r="AZ6247">
        <v>0</v>
      </c>
      <c r="BA6247">
        <v>70</v>
      </c>
      <c r="BE6247" t="str">
        <f>T("9791164099764")</f>
        <v>9791164099764</v>
      </c>
      <c r="BF6247" t="str">
        <f>T("k201738")</f>
        <v>k201738</v>
      </c>
      <c r="BG6247" t="str">
        <f>T("로판 웹소설 &gt; 서양풍 로판")</f>
        <v>로판 웹소설 &gt; 서양풍 로판</v>
      </c>
    </row>
    <row r="6248" spans="1:59">
      <c r="A6248" t="s">
        <v>60</v>
      </c>
      <c r="B6248" s="1">
        <v>46130</v>
      </c>
      <c r="C6248">
        <v>2378059762</v>
      </c>
      <c r="D6248">
        <v>2378060522</v>
      </c>
      <c r="E6248" t="str">
        <f>T("칼레이 백작가의 매맞이 하녀 77화")</f>
        <v>칼레이 백작가의 매맞이 하녀 77화</v>
      </c>
      <c r="F6248">
        <v>77</v>
      </c>
      <c r="G6248" t="str">
        <f>T("뮤사203")</f>
        <v>뮤사203</v>
      </c>
      <c r="J6248" t="str">
        <f>T("시계토끼")</f>
        <v>시계토끼</v>
      </c>
      <c r="K6248" t="str">
        <f>T("칼레이 백작가의 매맞이 하녀")</f>
        <v>칼레이 백작가의 매맞이 하녀</v>
      </c>
      <c r="L6248">
        <v>100</v>
      </c>
      <c r="M6248">
        <v>100</v>
      </c>
      <c r="N6248">
        <v>1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0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0</v>
      </c>
      <c r="AE6248">
        <v>0</v>
      </c>
      <c r="AF6248">
        <v>0</v>
      </c>
      <c r="AG6248">
        <v>0</v>
      </c>
      <c r="AH6248">
        <v>0</v>
      </c>
      <c r="AI6248">
        <v>100</v>
      </c>
      <c r="AJ6248">
        <v>1</v>
      </c>
      <c r="AK6248">
        <v>0</v>
      </c>
      <c r="AL6248">
        <v>0</v>
      </c>
      <c r="AM6248">
        <v>100</v>
      </c>
      <c r="AN6248">
        <v>0</v>
      </c>
      <c r="AO6248">
        <v>0</v>
      </c>
      <c r="AP6248">
        <v>0</v>
      </c>
      <c r="AQ6248">
        <v>0</v>
      </c>
      <c r="AS6248">
        <v>0</v>
      </c>
      <c r="AT6248">
        <v>0</v>
      </c>
      <c r="AV6248">
        <v>0</v>
      </c>
      <c r="AW6248">
        <v>0</v>
      </c>
      <c r="AY6248">
        <v>0</v>
      </c>
      <c r="AZ6248">
        <v>0</v>
      </c>
      <c r="BA6248">
        <v>70</v>
      </c>
      <c r="BE6248" t="str">
        <f>T("9791164099764")</f>
        <v>9791164099764</v>
      </c>
      <c r="BF6248" t="str">
        <f>T("k201756")</f>
        <v>k201756</v>
      </c>
      <c r="BG6248" t="str">
        <f>T("로판 웹소설 &gt; 서양풍 로판")</f>
        <v>로판 웹소설 &gt; 서양풍 로판</v>
      </c>
    </row>
    <row r="6249" spans="1:59">
      <c r="A6249" t="s">
        <v>60</v>
      </c>
      <c r="B6249" s="1">
        <v>46130</v>
      </c>
      <c r="C6249">
        <v>2378059762</v>
      </c>
      <c r="D6249">
        <v>2378061434</v>
      </c>
      <c r="E6249" t="str">
        <f>T("칼레이 백작가의 매맞이 하녀 78화")</f>
        <v>칼레이 백작가의 매맞이 하녀 78화</v>
      </c>
      <c r="F6249">
        <v>78</v>
      </c>
      <c r="G6249" t="str">
        <f>T("뮤사203")</f>
        <v>뮤사203</v>
      </c>
      <c r="J6249" t="str">
        <f>T("시계토끼")</f>
        <v>시계토끼</v>
      </c>
      <c r="K6249" t="str">
        <f>T("칼레이 백작가의 매맞이 하녀")</f>
        <v>칼레이 백작가의 매맞이 하녀</v>
      </c>
      <c r="L6249">
        <v>100</v>
      </c>
      <c r="M6249">
        <v>100</v>
      </c>
      <c r="N6249">
        <v>1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0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0</v>
      </c>
      <c r="AE6249">
        <v>0</v>
      </c>
      <c r="AF6249">
        <v>0</v>
      </c>
      <c r="AG6249">
        <v>0</v>
      </c>
      <c r="AH6249">
        <v>0</v>
      </c>
      <c r="AI6249">
        <v>100</v>
      </c>
      <c r="AJ6249">
        <v>1</v>
      </c>
      <c r="AK6249">
        <v>0</v>
      </c>
      <c r="AL6249">
        <v>0</v>
      </c>
      <c r="AM6249">
        <v>100</v>
      </c>
      <c r="AN6249">
        <v>0</v>
      </c>
      <c r="AO6249">
        <v>0</v>
      </c>
      <c r="AP6249">
        <v>0</v>
      </c>
      <c r="AQ6249">
        <v>0</v>
      </c>
      <c r="AS6249">
        <v>0</v>
      </c>
      <c r="AT6249">
        <v>0</v>
      </c>
      <c r="AV6249">
        <v>0</v>
      </c>
      <c r="AW6249">
        <v>0</v>
      </c>
      <c r="AY6249">
        <v>0</v>
      </c>
      <c r="AZ6249">
        <v>0</v>
      </c>
      <c r="BA6249">
        <v>70</v>
      </c>
      <c r="BE6249" t="str">
        <f>T("9791164099764")</f>
        <v>9791164099764</v>
      </c>
      <c r="BF6249" t="str">
        <f>T("k201757")</f>
        <v>k201757</v>
      </c>
      <c r="BG6249" t="str">
        <f>T("로판 웹소설 &gt; 서양풍 로판")</f>
        <v>로판 웹소설 &gt; 서양풍 로판</v>
      </c>
    </row>
    <row r="6250" spans="1:59">
      <c r="A6250" t="s">
        <v>60</v>
      </c>
      <c r="B6250" s="1">
        <v>46130</v>
      </c>
      <c r="C6250">
        <v>2378059762</v>
      </c>
      <c r="D6250">
        <v>2378063702</v>
      </c>
      <c r="E6250" t="str">
        <f>T("칼레이 백작가의 매맞이 하녀 114화")</f>
        <v>칼레이 백작가의 매맞이 하녀 114화</v>
      </c>
      <c r="F6250">
        <v>114</v>
      </c>
      <c r="G6250" t="str">
        <f>T("뮤사203")</f>
        <v>뮤사203</v>
      </c>
      <c r="J6250" t="str">
        <f>T("시계토끼")</f>
        <v>시계토끼</v>
      </c>
      <c r="K6250" t="str">
        <f>T("칼레이 백작가의 매맞이 하녀")</f>
        <v>칼레이 백작가의 매맞이 하녀</v>
      </c>
      <c r="L6250">
        <v>100</v>
      </c>
      <c r="M6250">
        <v>100</v>
      </c>
      <c r="N6250">
        <v>1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0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0</v>
      </c>
      <c r="AE6250">
        <v>0</v>
      </c>
      <c r="AF6250">
        <v>0</v>
      </c>
      <c r="AG6250">
        <v>0</v>
      </c>
      <c r="AH6250">
        <v>0</v>
      </c>
      <c r="AI6250">
        <v>100</v>
      </c>
      <c r="AJ6250">
        <v>1</v>
      </c>
      <c r="AK6250">
        <v>0</v>
      </c>
      <c r="AL6250">
        <v>0</v>
      </c>
      <c r="AM6250">
        <v>100</v>
      </c>
      <c r="AN6250">
        <v>0</v>
      </c>
      <c r="AO6250">
        <v>0</v>
      </c>
      <c r="AP6250">
        <v>0</v>
      </c>
      <c r="AQ6250">
        <v>0</v>
      </c>
      <c r="AS6250">
        <v>0</v>
      </c>
      <c r="AT6250">
        <v>0</v>
      </c>
      <c r="AV6250">
        <v>0</v>
      </c>
      <c r="AW6250">
        <v>0</v>
      </c>
      <c r="AY6250">
        <v>0</v>
      </c>
      <c r="AZ6250">
        <v>0</v>
      </c>
      <c r="BA6250">
        <v>70</v>
      </c>
      <c r="BE6250" t="str">
        <f>T("9791164099764")</f>
        <v>9791164099764</v>
      </c>
      <c r="BF6250" t="str">
        <f>T("k255133")</f>
        <v>k255133</v>
      </c>
      <c r="BG6250" t="str">
        <f>T("로판 웹소설 &gt; 서양풍 로판")</f>
        <v>로판 웹소설 &gt; 서양풍 로판</v>
      </c>
    </row>
    <row r="6251" spans="1:59">
      <c r="A6251" t="s">
        <v>60</v>
      </c>
      <c r="B6251" s="1">
        <v>46130</v>
      </c>
      <c r="C6251">
        <v>2378059762</v>
      </c>
      <c r="D6251">
        <v>2378068926</v>
      </c>
      <c r="E6251" t="str">
        <f>T("칼레이 백작가의 매맞이 하녀 외전 4화")</f>
        <v>칼레이 백작가의 매맞이 하녀 외전 4화</v>
      </c>
      <c r="F6251">
        <v>157</v>
      </c>
      <c r="G6251" t="str">
        <f>T("뮤사203")</f>
        <v>뮤사203</v>
      </c>
      <c r="J6251" t="str">
        <f>T("시계토끼")</f>
        <v>시계토끼</v>
      </c>
      <c r="K6251" t="str">
        <f>T("칼레이 백작가의 매맞이 하녀")</f>
        <v>칼레이 백작가의 매맞이 하녀</v>
      </c>
      <c r="L6251">
        <v>100</v>
      </c>
      <c r="M6251">
        <v>200</v>
      </c>
      <c r="N6251">
        <v>2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0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0</v>
      </c>
      <c r="AE6251">
        <v>0</v>
      </c>
      <c r="AF6251">
        <v>0</v>
      </c>
      <c r="AG6251">
        <v>0</v>
      </c>
      <c r="AH6251">
        <v>0</v>
      </c>
      <c r="AI6251">
        <v>200</v>
      </c>
      <c r="AJ6251">
        <v>2</v>
      </c>
      <c r="AK6251">
        <v>0</v>
      </c>
      <c r="AL6251">
        <v>0</v>
      </c>
      <c r="AM6251">
        <v>100</v>
      </c>
      <c r="AN6251">
        <v>0</v>
      </c>
      <c r="AO6251">
        <v>120</v>
      </c>
      <c r="AP6251">
        <v>-12</v>
      </c>
      <c r="AQ6251">
        <v>0</v>
      </c>
      <c r="AS6251">
        <v>0</v>
      </c>
      <c r="AT6251">
        <v>0</v>
      </c>
      <c r="AU6251">
        <v>120</v>
      </c>
      <c r="AV6251">
        <v>-12</v>
      </c>
      <c r="AW6251">
        <v>0</v>
      </c>
      <c r="AY6251">
        <v>0</v>
      </c>
      <c r="AZ6251">
        <v>0</v>
      </c>
      <c r="BA6251">
        <v>145.6</v>
      </c>
      <c r="BE6251" t="str">
        <f>T("9791164099764")</f>
        <v>9791164099764</v>
      </c>
      <c r="BF6251" t="str">
        <f>T("k398565")</f>
        <v>k398565</v>
      </c>
      <c r="BG6251" t="str">
        <f>T("로판 웹소설 &gt; 서양풍 로판")</f>
        <v>로판 웹소설 &gt; 서양풍 로판</v>
      </c>
    </row>
    <row r="6252" spans="1:59">
      <c r="A6252" t="s">
        <v>60</v>
      </c>
      <c r="B6252" s="1">
        <v>46130</v>
      </c>
      <c r="C6252">
        <v>2378059762</v>
      </c>
      <c r="D6252">
        <v>2378068924</v>
      </c>
      <c r="E6252" t="str">
        <f>T("칼레이 백작가의 매맞이 하녀 외전 2화")</f>
        <v>칼레이 백작가의 매맞이 하녀 외전 2화</v>
      </c>
      <c r="F6252">
        <v>155</v>
      </c>
      <c r="G6252" t="str">
        <f>T("뮤사203")</f>
        <v>뮤사203</v>
      </c>
      <c r="J6252" t="str">
        <f>T("시계토끼")</f>
        <v>시계토끼</v>
      </c>
      <c r="K6252" t="str">
        <f>T("칼레이 백작가의 매맞이 하녀")</f>
        <v>칼레이 백작가의 매맞이 하녀</v>
      </c>
      <c r="L6252">
        <v>100</v>
      </c>
      <c r="M6252">
        <v>200</v>
      </c>
      <c r="N6252">
        <v>2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0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0</v>
      </c>
      <c r="AE6252">
        <v>0</v>
      </c>
      <c r="AF6252">
        <v>0</v>
      </c>
      <c r="AG6252">
        <v>0</v>
      </c>
      <c r="AH6252">
        <v>0</v>
      </c>
      <c r="AI6252">
        <v>200</v>
      </c>
      <c r="AJ6252">
        <v>2</v>
      </c>
      <c r="AK6252">
        <v>0</v>
      </c>
      <c r="AL6252">
        <v>0</v>
      </c>
      <c r="AM6252">
        <v>100</v>
      </c>
      <c r="AN6252">
        <v>0</v>
      </c>
      <c r="AO6252">
        <v>120</v>
      </c>
      <c r="AP6252">
        <v>-12</v>
      </c>
      <c r="AQ6252">
        <v>0</v>
      </c>
      <c r="AS6252">
        <v>0</v>
      </c>
      <c r="AT6252">
        <v>0</v>
      </c>
      <c r="AU6252">
        <v>120</v>
      </c>
      <c r="AV6252">
        <v>-12</v>
      </c>
      <c r="AW6252">
        <v>0</v>
      </c>
      <c r="AY6252">
        <v>0</v>
      </c>
      <c r="AZ6252">
        <v>0</v>
      </c>
      <c r="BA6252">
        <v>145.6</v>
      </c>
      <c r="BE6252" t="str">
        <f>T("9791164099764")</f>
        <v>9791164099764</v>
      </c>
      <c r="BF6252" t="str">
        <f>T("k300783")</f>
        <v>k300783</v>
      </c>
      <c r="BG6252" t="str">
        <f>T("로판 웹소설 &gt; 서양풍 로판")</f>
        <v>로판 웹소설 &gt; 서양풍 로판</v>
      </c>
    </row>
    <row r="6253" spans="1:59">
      <c r="A6253" t="s">
        <v>60</v>
      </c>
      <c r="B6253" s="1">
        <v>46130</v>
      </c>
      <c r="C6253">
        <v>2378059762</v>
      </c>
      <c r="D6253">
        <v>2378068923</v>
      </c>
      <c r="E6253" t="str">
        <f>T("칼레이 백작가의 매맞이 하녀 외전 1화")</f>
        <v>칼레이 백작가의 매맞이 하녀 외전 1화</v>
      </c>
      <c r="F6253">
        <v>154</v>
      </c>
      <c r="G6253" t="str">
        <f>T("뮤사203")</f>
        <v>뮤사203</v>
      </c>
      <c r="J6253" t="str">
        <f>T("시계토끼")</f>
        <v>시계토끼</v>
      </c>
      <c r="K6253" t="str">
        <f>T("칼레이 백작가의 매맞이 하녀")</f>
        <v>칼레이 백작가의 매맞이 하녀</v>
      </c>
      <c r="L6253">
        <v>100</v>
      </c>
      <c r="M6253">
        <v>200</v>
      </c>
      <c r="N6253">
        <v>2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0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0</v>
      </c>
      <c r="AE6253">
        <v>0</v>
      </c>
      <c r="AF6253">
        <v>0</v>
      </c>
      <c r="AG6253">
        <v>0</v>
      </c>
      <c r="AH6253">
        <v>0</v>
      </c>
      <c r="AI6253">
        <v>200</v>
      </c>
      <c r="AJ6253">
        <v>2</v>
      </c>
      <c r="AK6253">
        <v>0</v>
      </c>
      <c r="AL6253">
        <v>0</v>
      </c>
      <c r="AM6253">
        <v>100</v>
      </c>
      <c r="AN6253">
        <v>0</v>
      </c>
      <c r="AO6253">
        <v>120</v>
      </c>
      <c r="AP6253">
        <v>-12</v>
      </c>
      <c r="AQ6253">
        <v>0</v>
      </c>
      <c r="AS6253">
        <v>0</v>
      </c>
      <c r="AT6253">
        <v>0</v>
      </c>
      <c r="AU6253">
        <v>120</v>
      </c>
      <c r="AV6253">
        <v>-12</v>
      </c>
      <c r="AW6253">
        <v>0</v>
      </c>
      <c r="AY6253">
        <v>0</v>
      </c>
      <c r="AZ6253">
        <v>0</v>
      </c>
      <c r="BA6253">
        <v>145.6</v>
      </c>
      <c r="BE6253" t="str">
        <f>T("9791164099764")</f>
        <v>9791164099764</v>
      </c>
      <c r="BF6253" t="str">
        <f>T("k300782")</f>
        <v>k300782</v>
      </c>
      <c r="BG6253" t="str">
        <f>T("로판 웹소설 &gt; 서양풍 로판")</f>
        <v>로판 웹소설 &gt; 서양풍 로판</v>
      </c>
    </row>
    <row r="6254" spans="1:59">
      <c r="A6254" t="s">
        <v>60</v>
      </c>
      <c r="B6254" s="1">
        <v>46130</v>
      </c>
      <c r="C6254">
        <v>2378059762</v>
      </c>
      <c r="D6254">
        <v>2378059795</v>
      </c>
      <c r="E6254" t="str">
        <f>T("칼레이 백작가의 매맞이 하녀 34화")</f>
        <v>칼레이 백작가의 매맞이 하녀 34화</v>
      </c>
      <c r="F6254">
        <v>34</v>
      </c>
      <c r="G6254" t="str">
        <f>T("뮤사203")</f>
        <v>뮤사203</v>
      </c>
      <c r="J6254" t="str">
        <f>T("시계토끼")</f>
        <v>시계토끼</v>
      </c>
      <c r="K6254" t="str">
        <f>T("칼레이 백작가의 매맞이 하녀")</f>
        <v>칼레이 백작가의 매맞이 하녀</v>
      </c>
      <c r="L6254">
        <v>100</v>
      </c>
      <c r="M6254">
        <v>100</v>
      </c>
      <c r="N6254">
        <v>1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0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0</v>
      </c>
      <c r="AE6254">
        <v>0</v>
      </c>
      <c r="AF6254">
        <v>0</v>
      </c>
      <c r="AG6254">
        <v>0</v>
      </c>
      <c r="AH6254">
        <v>0</v>
      </c>
      <c r="AI6254">
        <v>100</v>
      </c>
      <c r="AJ6254">
        <v>1</v>
      </c>
      <c r="AK6254">
        <v>0</v>
      </c>
      <c r="AL6254">
        <v>0</v>
      </c>
      <c r="AM6254">
        <v>100</v>
      </c>
      <c r="AN6254">
        <v>0</v>
      </c>
      <c r="AO6254">
        <v>0</v>
      </c>
      <c r="AP6254">
        <v>0</v>
      </c>
      <c r="AQ6254">
        <v>0</v>
      </c>
      <c r="AS6254">
        <v>0</v>
      </c>
      <c r="AT6254">
        <v>0</v>
      </c>
      <c r="AV6254">
        <v>0</v>
      </c>
      <c r="AW6254">
        <v>0</v>
      </c>
      <c r="AY6254">
        <v>0</v>
      </c>
      <c r="AZ6254">
        <v>0</v>
      </c>
      <c r="BA6254">
        <v>70</v>
      </c>
      <c r="BE6254" t="str">
        <f>T("9791164099764")</f>
        <v>9791164099764</v>
      </c>
      <c r="BF6254" t="str">
        <f>T("k201713")</f>
        <v>k201713</v>
      </c>
      <c r="BG6254" t="str">
        <f>T("로판 웹소설 &gt; 서양풍 로판")</f>
        <v>로판 웹소설 &gt; 서양풍 로판</v>
      </c>
    </row>
    <row r="6255" spans="1:59">
      <c r="A6255" t="s">
        <v>60</v>
      </c>
      <c r="B6255" s="1">
        <v>46130</v>
      </c>
      <c r="C6255">
        <v>2378059762</v>
      </c>
      <c r="D6255">
        <v>2378061953</v>
      </c>
      <c r="E6255" t="str">
        <f>T("칼레이 백작가의 매맞이 하녀 92화")</f>
        <v>칼레이 백작가의 매맞이 하녀 92화</v>
      </c>
      <c r="F6255">
        <v>92</v>
      </c>
      <c r="G6255" t="str">
        <f>T("뮤사203")</f>
        <v>뮤사203</v>
      </c>
      <c r="J6255" t="str">
        <f>T("시계토끼")</f>
        <v>시계토끼</v>
      </c>
      <c r="K6255" t="str">
        <f>T("칼레이 백작가의 매맞이 하녀")</f>
        <v>칼레이 백작가의 매맞이 하녀</v>
      </c>
      <c r="L6255">
        <v>100</v>
      </c>
      <c r="M6255">
        <v>0</v>
      </c>
      <c r="N6255">
        <v>0</v>
      </c>
      <c r="O6255">
        <v>0</v>
      </c>
      <c r="P6255">
        <v>100</v>
      </c>
      <c r="Q6255">
        <v>1</v>
      </c>
      <c r="R6255">
        <v>0</v>
      </c>
      <c r="S6255">
        <v>0</v>
      </c>
      <c r="T6255">
        <v>0</v>
      </c>
      <c r="U6255">
        <v>0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0</v>
      </c>
      <c r="AE6255">
        <v>0</v>
      </c>
      <c r="AF6255">
        <v>0</v>
      </c>
      <c r="AG6255">
        <v>0</v>
      </c>
      <c r="AH6255">
        <v>0</v>
      </c>
      <c r="AI6255">
        <v>100</v>
      </c>
      <c r="AJ6255">
        <v>1</v>
      </c>
      <c r="AK6255">
        <v>0</v>
      </c>
      <c r="AL6255">
        <v>0</v>
      </c>
      <c r="AM6255">
        <v>100</v>
      </c>
      <c r="AN6255">
        <v>0</v>
      </c>
      <c r="AO6255">
        <v>0</v>
      </c>
      <c r="AP6255">
        <v>0</v>
      </c>
      <c r="AQ6255">
        <v>0</v>
      </c>
      <c r="AS6255">
        <v>0</v>
      </c>
      <c r="AT6255">
        <v>0</v>
      </c>
      <c r="AV6255">
        <v>0</v>
      </c>
      <c r="AW6255">
        <v>0</v>
      </c>
      <c r="AY6255">
        <v>0</v>
      </c>
      <c r="AZ6255">
        <v>0</v>
      </c>
      <c r="BA6255">
        <v>70</v>
      </c>
      <c r="BE6255" t="str">
        <f>T("9791164099764")</f>
        <v>9791164099764</v>
      </c>
      <c r="BF6255" t="str">
        <f>T("k239478")</f>
        <v>k239478</v>
      </c>
      <c r="BG6255" t="str">
        <f>T("로판 웹소설 &gt; 서양풍 로판")</f>
        <v>로판 웹소설 &gt; 서양풍 로판</v>
      </c>
    </row>
    <row r="6256" spans="1:59">
      <c r="A6256" t="s">
        <v>60</v>
      </c>
      <c r="B6256" s="1">
        <v>46130</v>
      </c>
      <c r="C6256">
        <v>2378059762</v>
      </c>
      <c r="D6256">
        <v>2378062154</v>
      </c>
      <c r="E6256" t="str">
        <f>T("칼레이 백작가의 매맞이 하녀 96화")</f>
        <v>칼레이 백작가의 매맞이 하녀 96화</v>
      </c>
      <c r="F6256">
        <v>96</v>
      </c>
      <c r="G6256" t="str">
        <f>T("뮤사203")</f>
        <v>뮤사203</v>
      </c>
      <c r="J6256" t="str">
        <f>T("시계토끼")</f>
        <v>시계토끼</v>
      </c>
      <c r="K6256" t="str">
        <f>T("칼레이 백작가의 매맞이 하녀")</f>
        <v>칼레이 백작가의 매맞이 하녀</v>
      </c>
      <c r="L6256">
        <v>100</v>
      </c>
      <c r="M6256">
        <v>0</v>
      </c>
      <c r="N6256">
        <v>0</v>
      </c>
      <c r="O6256">
        <v>0</v>
      </c>
      <c r="P6256">
        <v>100</v>
      </c>
      <c r="Q6256">
        <v>1</v>
      </c>
      <c r="R6256">
        <v>0</v>
      </c>
      <c r="S6256">
        <v>0</v>
      </c>
      <c r="T6256">
        <v>0</v>
      </c>
      <c r="U6256">
        <v>0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0</v>
      </c>
      <c r="AE6256">
        <v>0</v>
      </c>
      <c r="AF6256">
        <v>0</v>
      </c>
      <c r="AG6256">
        <v>0</v>
      </c>
      <c r="AH6256">
        <v>0</v>
      </c>
      <c r="AI6256">
        <v>100</v>
      </c>
      <c r="AJ6256">
        <v>1</v>
      </c>
      <c r="AK6256">
        <v>0</v>
      </c>
      <c r="AL6256">
        <v>0</v>
      </c>
      <c r="AM6256">
        <v>100</v>
      </c>
      <c r="AN6256">
        <v>0</v>
      </c>
      <c r="AO6256">
        <v>0</v>
      </c>
      <c r="AP6256">
        <v>0</v>
      </c>
      <c r="AQ6256">
        <v>0</v>
      </c>
      <c r="AS6256">
        <v>0</v>
      </c>
      <c r="AT6256">
        <v>0</v>
      </c>
      <c r="AV6256">
        <v>0</v>
      </c>
      <c r="AW6256">
        <v>0</v>
      </c>
      <c r="AY6256">
        <v>0</v>
      </c>
      <c r="AZ6256">
        <v>0</v>
      </c>
      <c r="BA6256">
        <v>70</v>
      </c>
      <c r="BE6256" t="str">
        <f>T("9791164099764")</f>
        <v>9791164099764</v>
      </c>
      <c r="BF6256" t="str">
        <f>T("k239907")</f>
        <v>k239907</v>
      </c>
      <c r="BG6256" t="str">
        <f>T("로판 웹소설 &gt; 서양풍 로판")</f>
        <v>로판 웹소설 &gt; 서양풍 로판</v>
      </c>
    </row>
    <row r="6257" spans="1:59">
      <c r="A6257" t="s">
        <v>60</v>
      </c>
      <c r="B6257" s="1">
        <v>46130</v>
      </c>
      <c r="C6257">
        <v>2378059762</v>
      </c>
      <c r="D6257">
        <v>2378062567</v>
      </c>
      <c r="E6257" t="str">
        <f>T("칼레이 백작가의 매맞이 하녀 98화")</f>
        <v>칼레이 백작가의 매맞이 하녀 98화</v>
      </c>
      <c r="F6257">
        <v>98</v>
      </c>
      <c r="G6257" t="str">
        <f>T("뮤사203")</f>
        <v>뮤사203</v>
      </c>
      <c r="J6257" t="str">
        <f>T("시계토끼")</f>
        <v>시계토끼</v>
      </c>
      <c r="K6257" t="str">
        <f>T("칼레이 백작가의 매맞이 하녀")</f>
        <v>칼레이 백작가의 매맞이 하녀</v>
      </c>
      <c r="L6257">
        <v>100</v>
      </c>
      <c r="M6257">
        <v>0</v>
      </c>
      <c r="N6257">
        <v>0</v>
      </c>
      <c r="O6257">
        <v>0</v>
      </c>
      <c r="P6257">
        <v>100</v>
      </c>
      <c r="Q6257">
        <v>1</v>
      </c>
      <c r="R6257">
        <v>0</v>
      </c>
      <c r="S6257">
        <v>0</v>
      </c>
      <c r="T6257">
        <v>0</v>
      </c>
      <c r="U6257">
        <v>0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0</v>
      </c>
      <c r="AE6257">
        <v>0</v>
      </c>
      <c r="AF6257">
        <v>0</v>
      </c>
      <c r="AG6257">
        <v>0</v>
      </c>
      <c r="AH6257">
        <v>0</v>
      </c>
      <c r="AI6257">
        <v>100</v>
      </c>
      <c r="AJ6257">
        <v>1</v>
      </c>
      <c r="AK6257">
        <v>0</v>
      </c>
      <c r="AL6257">
        <v>0</v>
      </c>
      <c r="AM6257">
        <v>100</v>
      </c>
      <c r="AN6257">
        <v>0</v>
      </c>
      <c r="AO6257">
        <v>0</v>
      </c>
      <c r="AP6257">
        <v>0</v>
      </c>
      <c r="AQ6257">
        <v>0</v>
      </c>
      <c r="AS6257">
        <v>0</v>
      </c>
      <c r="AT6257">
        <v>0</v>
      </c>
      <c r="AV6257">
        <v>0</v>
      </c>
      <c r="AW6257">
        <v>0</v>
      </c>
      <c r="AY6257">
        <v>0</v>
      </c>
      <c r="AZ6257">
        <v>0</v>
      </c>
      <c r="BA6257">
        <v>70</v>
      </c>
      <c r="BE6257" t="str">
        <f>T("9791164099764")</f>
        <v>9791164099764</v>
      </c>
      <c r="BF6257" t="str">
        <f>T("k244192")</f>
        <v>k244192</v>
      </c>
      <c r="BG6257" t="str">
        <f>T("로판 웹소설 &gt; 서양풍 로판")</f>
        <v>로판 웹소설 &gt; 서양풍 로판</v>
      </c>
    </row>
    <row r="6258" spans="1:59">
      <c r="A6258" t="s">
        <v>60</v>
      </c>
      <c r="B6258" s="1">
        <v>46130</v>
      </c>
      <c r="C6258">
        <v>2378059762</v>
      </c>
      <c r="D6258">
        <v>2378059771</v>
      </c>
      <c r="E6258" t="str">
        <f>T("칼레이 백작가의 매맞이 하녀 10화")</f>
        <v>칼레이 백작가의 매맞이 하녀 10화</v>
      </c>
      <c r="F6258">
        <v>10</v>
      </c>
      <c r="G6258" t="str">
        <f>T("뮤사203")</f>
        <v>뮤사203</v>
      </c>
      <c r="J6258" t="str">
        <f>T("시계토끼")</f>
        <v>시계토끼</v>
      </c>
      <c r="K6258" t="str">
        <f>T("칼레이 백작가의 매맞이 하녀")</f>
        <v>칼레이 백작가의 매맞이 하녀</v>
      </c>
      <c r="L6258">
        <v>100</v>
      </c>
      <c r="M6258">
        <v>100</v>
      </c>
      <c r="N6258">
        <v>1</v>
      </c>
      <c r="O6258">
        <v>0</v>
      </c>
      <c r="P6258">
        <v>0</v>
      </c>
      <c r="Q6258">
        <v>0</v>
      </c>
      <c r="R6258">
        <v>1</v>
      </c>
      <c r="S6258">
        <v>0</v>
      </c>
      <c r="T6258">
        <v>0</v>
      </c>
      <c r="U6258">
        <v>0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0</v>
      </c>
      <c r="AE6258">
        <v>0</v>
      </c>
      <c r="AF6258">
        <v>0</v>
      </c>
      <c r="AG6258">
        <v>0</v>
      </c>
      <c r="AH6258">
        <v>0</v>
      </c>
      <c r="AI6258">
        <v>100</v>
      </c>
      <c r="AJ6258">
        <v>2</v>
      </c>
      <c r="AK6258">
        <v>0</v>
      </c>
      <c r="AL6258">
        <v>0</v>
      </c>
      <c r="AM6258">
        <v>100</v>
      </c>
      <c r="AN6258">
        <v>0</v>
      </c>
      <c r="AO6258">
        <v>0</v>
      </c>
      <c r="AP6258">
        <v>0</v>
      </c>
      <c r="AQ6258">
        <v>0</v>
      </c>
      <c r="AS6258">
        <v>0</v>
      </c>
      <c r="AT6258">
        <v>0</v>
      </c>
      <c r="AV6258">
        <v>0</v>
      </c>
      <c r="AW6258">
        <v>0</v>
      </c>
      <c r="AY6258">
        <v>0</v>
      </c>
      <c r="AZ6258">
        <v>0</v>
      </c>
      <c r="BA6258">
        <v>70</v>
      </c>
      <c r="BE6258" t="str">
        <f>T("9791164099764")</f>
        <v>9791164099764</v>
      </c>
      <c r="BF6258" t="str">
        <f>T("k201689")</f>
        <v>k201689</v>
      </c>
      <c r="BG6258" t="str">
        <f>T("로판 웹소설 &gt; 서양풍 로판")</f>
        <v>로판 웹소설 &gt; 서양풍 로판</v>
      </c>
    </row>
    <row r="6259" spans="1:59">
      <c r="A6259" t="s">
        <v>60</v>
      </c>
      <c r="B6259" s="1">
        <v>46130</v>
      </c>
      <c r="C6259">
        <v>2378059762</v>
      </c>
      <c r="D6259">
        <v>2378062569</v>
      </c>
      <c r="E6259" t="str">
        <f>T("칼레이 백작가의 매맞이 하녀 100화")</f>
        <v>칼레이 백작가의 매맞이 하녀 100화</v>
      </c>
      <c r="F6259">
        <v>100</v>
      </c>
      <c r="G6259" t="str">
        <f>T("뮤사203")</f>
        <v>뮤사203</v>
      </c>
      <c r="J6259" t="str">
        <f>T("시계토끼")</f>
        <v>시계토끼</v>
      </c>
      <c r="K6259" t="str">
        <f>T("칼레이 백작가의 매맞이 하녀")</f>
        <v>칼레이 백작가의 매맞이 하녀</v>
      </c>
      <c r="L6259">
        <v>100</v>
      </c>
      <c r="M6259">
        <v>0</v>
      </c>
      <c r="N6259">
        <v>0</v>
      </c>
      <c r="O6259">
        <v>0</v>
      </c>
      <c r="P6259">
        <v>0</v>
      </c>
      <c r="Q6259">
        <v>0</v>
      </c>
      <c r="R6259">
        <v>1</v>
      </c>
      <c r="S6259">
        <v>0</v>
      </c>
      <c r="T6259">
        <v>0</v>
      </c>
      <c r="U6259">
        <v>0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0</v>
      </c>
      <c r="AE6259">
        <v>0</v>
      </c>
      <c r="AF6259">
        <v>0</v>
      </c>
      <c r="AG6259">
        <v>0</v>
      </c>
      <c r="AH6259">
        <v>0</v>
      </c>
      <c r="AI6259">
        <v>0</v>
      </c>
      <c r="AJ6259">
        <v>1</v>
      </c>
      <c r="AK6259">
        <v>0</v>
      </c>
      <c r="AL6259">
        <v>0</v>
      </c>
      <c r="AM6259">
        <v>0</v>
      </c>
      <c r="AN6259">
        <v>0</v>
      </c>
      <c r="AO6259">
        <v>0</v>
      </c>
      <c r="AP6259">
        <v>0</v>
      </c>
      <c r="AQ6259">
        <v>0</v>
      </c>
      <c r="AS6259">
        <v>0</v>
      </c>
      <c r="AT6259">
        <v>0</v>
      </c>
      <c r="AV6259">
        <v>0</v>
      </c>
      <c r="AW6259">
        <v>0</v>
      </c>
      <c r="AY6259">
        <v>0</v>
      </c>
      <c r="AZ6259">
        <v>0</v>
      </c>
      <c r="BA6259">
        <v>0</v>
      </c>
      <c r="BE6259" t="str">
        <f>T("9791164099764")</f>
        <v>9791164099764</v>
      </c>
      <c r="BF6259" t="str">
        <f>T("k244194")</f>
        <v>k244194</v>
      </c>
      <c r="BG6259" t="str">
        <f>T("로판 웹소설 &gt; 서양풍 로판")</f>
        <v>로판 웹소설 &gt; 서양풍 로판</v>
      </c>
    </row>
    <row r="6260" spans="1:59">
      <c r="A6260" t="s">
        <v>60</v>
      </c>
      <c r="B6260" s="1">
        <v>46130</v>
      </c>
      <c r="C6260">
        <v>2378059762</v>
      </c>
      <c r="D6260">
        <v>2378062650</v>
      </c>
      <c r="E6260" t="str">
        <f>T("칼레이 백작가의 매맞이 하녀 101화")</f>
        <v>칼레이 백작가의 매맞이 하녀 101화</v>
      </c>
      <c r="F6260">
        <v>101</v>
      </c>
      <c r="G6260" t="str">
        <f>T("뮤사203")</f>
        <v>뮤사203</v>
      </c>
      <c r="J6260" t="str">
        <f>T("시계토끼")</f>
        <v>시계토끼</v>
      </c>
      <c r="K6260" t="str">
        <f>T("칼레이 백작가의 매맞이 하녀")</f>
        <v>칼레이 백작가의 매맞이 하녀</v>
      </c>
      <c r="L6260">
        <v>100</v>
      </c>
      <c r="M6260">
        <v>0</v>
      </c>
      <c r="N6260">
        <v>0</v>
      </c>
      <c r="O6260">
        <v>0</v>
      </c>
      <c r="P6260">
        <v>0</v>
      </c>
      <c r="Q6260">
        <v>0</v>
      </c>
      <c r="R6260">
        <v>1</v>
      </c>
      <c r="S6260">
        <v>0</v>
      </c>
      <c r="T6260">
        <v>0</v>
      </c>
      <c r="U6260">
        <v>0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0</v>
      </c>
      <c r="AE6260">
        <v>0</v>
      </c>
      <c r="AF6260">
        <v>0</v>
      </c>
      <c r="AG6260">
        <v>0</v>
      </c>
      <c r="AH6260">
        <v>0</v>
      </c>
      <c r="AI6260">
        <v>0</v>
      </c>
      <c r="AJ6260">
        <v>1</v>
      </c>
      <c r="AK6260">
        <v>0</v>
      </c>
      <c r="AL6260">
        <v>0</v>
      </c>
      <c r="AM6260">
        <v>0</v>
      </c>
      <c r="AN6260">
        <v>0</v>
      </c>
      <c r="AO6260">
        <v>0</v>
      </c>
      <c r="AP6260">
        <v>0</v>
      </c>
      <c r="AQ6260">
        <v>0</v>
      </c>
      <c r="AS6260">
        <v>0</v>
      </c>
      <c r="AT6260">
        <v>0</v>
      </c>
      <c r="AV6260">
        <v>0</v>
      </c>
      <c r="AW6260">
        <v>0</v>
      </c>
      <c r="AY6260">
        <v>0</v>
      </c>
      <c r="AZ6260">
        <v>0</v>
      </c>
      <c r="BA6260">
        <v>0</v>
      </c>
      <c r="BE6260" t="str">
        <f>T("9791164099764")</f>
        <v>9791164099764</v>
      </c>
      <c r="BF6260" t="str">
        <f>T("k244195")</f>
        <v>k244195</v>
      </c>
      <c r="BG6260" t="str">
        <f>T("로판 웹소설 &gt; 서양풍 로판")</f>
        <v>로판 웹소설 &gt; 서양풍 로판</v>
      </c>
    </row>
    <row r="6261" spans="1:59">
      <c r="A6261" t="s">
        <v>60</v>
      </c>
      <c r="B6261" s="1">
        <v>46130</v>
      </c>
      <c r="C6261">
        <v>2378059762</v>
      </c>
      <c r="D6261">
        <v>2378062651</v>
      </c>
      <c r="E6261" t="str">
        <f>T("칼레이 백작가의 매맞이 하녀 102화")</f>
        <v>칼레이 백작가의 매맞이 하녀 102화</v>
      </c>
      <c r="F6261">
        <v>102</v>
      </c>
      <c r="G6261" t="str">
        <f>T("뮤사203")</f>
        <v>뮤사203</v>
      </c>
      <c r="J6261" t="str">
        <f>T("시계토끼")</f>
        <v>시계토끼</v>
      </c>
      <c r="K6261" t="str">
        <f>T("칼레이 백작가의 매맞이 하녀")</f>
        <v>칼레이 백작가의 매맞이 하녀</v>
      </c>
      <c r="L6261">
        <v>100</v>
      </c>
      <c r="M6261">
        <v>0</v>
      </c>
      <c r="N6261">
        <v>0</v>
      </c>
      <c r="O6261">
        <v>0</v>
      </c>
      <c r="P6261">
        <v>0</v>
      </c>
      <c r="Q6261">
        <v>0</v>
      </c>
      <c r="R6261">
        <v>1</v>
      </c>
      <c r="S6261">
        <v>0</v>
      </c>
      <c r="T6261">
        <v>0</v>
      </c>
      <c r="U6261">
        <v>0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0</v>
      </c>
      <c r="AE6261">
        <v>0</v>
      </c>
      <c r="AF6261">
        <v>0</v>
      </c>
      <c r="AG6261">
        <v>0</v>
      </c>
      <c r="AH6261">
        <v>0</v>
      </c>
      <c r="AI6261">
        <v>0</v>
      </c>
      <c r="AJ6261">
        <v>1</v>
      </c>
      <c r="AK6261">
        <v>0</v>
      </c>
      <c r="AL6261">
        <v>0</v>
      </c>
      <c r="AM6261">
        <v>0</v>
      </c>
      <c r="AN6261">
        <v>0</v>
      </c>
      <c r="AO6261">
        <v>0</v>
      </c>
      <c r="AP6261">
        <v>0</v>
      </c>
      <c r="AQ6261">
        <v>0</v>
      </c>
      <c r="AS6261">
        <v>0</v>
      </c>
      <c r="AT6261">
        <v>0</v>
      </c>
      <c r="AV6261">
        <v>0</v>
      </c>
      <c r="AW6261">
        <v>0</v>
      </c>
      <c r="AY6261">
        <v>0</v>
      </c>
      <c r="AZ6261">
        <v>0</v>
      </c>
      <c r="BA6261">
        <v>0</v>
      </c>
      <c r="BE6261" t="str">
        <f>T("9791164099764")</f>
        <v>9791164099764</v>
      </c>
      <c r="BF6261" t="str">
        <f>T("k248573")</f>
        <v>k248573</v>
      </c>
      <c r="BG6261" t="str">
        <f>T("로판 웹소설 &gt; 서양풍 로판")</f>
        <v>로판 웹소설 &gt; 서양풍 로판</v>
      </c>
    </row>
    <row r="6262" spans="1:59">
      <c r="A6262" t="s">
        <v>60</v>
      </c>
      <c r="B6262" s="1">
        <v>46130</v>
      </c>
      <c r="C6262">
        <v>2378059762</v>
      </c>
      <c r="D6262">
        <v>2378066472</v>
      </c>
      <c r="E6262" t="str">
        <f>T("칼레이 백작가의 매맞이 하녀 150화")</f>
        <v>칼레이 백작가의 매맞이 하녀 150화</v>
      </c>
      <c r="F6262">
        <v>150</v>
      </c>
      <c r="G6262" t="str">
        <f>T("뮤사203")</f>
        <v>뮤사203</v>
      </c>
      <c r="J6262" t="str">
        <f>T("시계토끼")</f>
        <v>시계토끼</v>
      </c>
      <c r="K6262" t="str">
        <f>T("칼레이 백작가의 매맞이 하녀")</f>
        <v>칼레이 백작가의 매맞이 하녀</v>
      </c>
      <c r="L6262">
        <v>100</v>
      </c>
      <c r="M6262">
        <v>200</v>
      </c>
      <c r="N6262">
        <v>2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0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0</v>
      </c>
      <c r="AE6262">
        <v>0</v>
      </c>
      <c r="AF6262">
        <v>0</v>
      </c>
      <c r="AG6262">
        <v>0</v>
      </c>
      <c r="AH6262">
        <v>0</v>
      </c>
      <c r="AI6262">
        <v>200</v>
      </c>
      <c r="AJ6262">
        <v>2</v>
      </c>
      <c r="AK6262">
        <v>0</v>
      </c>
      <c r="AL6262">
        <v>0</v>
      </c>
      <c r="AM6262">
        <v>100</v>
      </c>
      <c r="AN6262">
        <v>0</v>
      </c>
      <c r="AO6262">
        <v>120</v>
      </c>
      <c r="AP6262">
        <v>-12</v>
      </c>
      <c r="AQ6262">
        <v>0</v>
      </c>
      <c r="AS6262">
        <v>0</v>
      </c>
      <c r="AT6262">
        <v>0</v>
      </c>
      <c r="AU6262">
        <v>120</v>
      </c>
      <c r="AV6262">
        <v>-12</v>
      </c>
      <c r="AW6262">
        <v>0</v>
      </c>
      <c r="AY6262">
        <v>0</v>
      </c>
      <c r="AZ6262">
        <v>0</v>
      </c>
      <c r="BA6262">
        <v>145.6</v>
      </c>
      <c r="BE6262" t="str">
        <f>T("9791164099764")</f>
        <v>9791164099764</v>
      </c>
      <c r="BF6262" t="str">
        <f>T("k298227")</f>
        <v>k298227</v>
      </c>
      <c r="BG6262" t="str">
        <f>T("로판 웹소설 &gt; 서양풍 로판")</f>
        <v>로판 웹소설 &gt; 서양풍 로판</v>
      </c>
    </row>
    <row r="6263" spans="1:59">
      <c r="A6263" t="s">
        <v>60</v>
      </c>
      <c r="B6263" s="1">
        <v>46130</v>
      </c>
      <c r="C6263">
        <v>2378059762</v>
      </c>
      <c r="D6263">
        <v>2378062652</v>
      </c>
      <c r="E6263" t="str">
        <f>T("칼레이 백작가의 매맞이 하녀 103화")</f>
        <v>칼레이 백작가의 매맞이 하녀 103화</v>
      </c>
      <c r="F6263">
        <v>103</v>
      </c>
      <c r="G6263" t="str">
        <f>T("뮤사203")</f>
        <v>뮤사203</v>
      </c>
      <c r="J6263" t="str">
        <f>T("시계토끼")</f>
        <v>시계토끼</v>
      </c>
      <c r="K6263" t="str">
        <f>T("칼레이 백작가의 매맞이 하녀")</f>
        <v>칼레이 백작가의 매맞이 하녀</v>
      </c>
      <c r="L6263">
        <v>100</v>
      </c>
      <c r="M6263">
        <v>0</v>
      </c>
      <c r="N6263">
        <v>0</v>
      </c>
      <c r="O6263">
        <v>0</v>
      </c>
      <c r="P6263">
        <v>0</v>
      </c>
      <c r="Q6263">
        <v>0</v>
      </c>
      <c r="R6263">
        <v>1</v>
      </c>
      <c r="S6263">
        <v>0</v>
      </c>
      <c r="T6263">
        <v>0</v>
      </c>
      <c r="U6263">
        <v>0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0</v>
      </c>
      <c r="AE6263">
        <v>0</v>
      </c>
      <c r="AF6263">
        <v>0</v>
      </c>
      <c r="AG6263">
        <v>0</v>
      </c>
      <c r="AH6263">
        <v>0</v>
      </c>
      <c r="AI6263">
        <v>0</v>
      </c>
      <c r="AJ6263">
        <v>1</v>
      </c>
      <c r="AK6263">
        <v>0</v>
      </c>
      <c r="AL6263">
        <v>0</v>
      </c>
      <c r="AM6263">
        <v>0</v>
      </c>
      <c r="AN6263">
        <v>0</v>
      </c>
      <c r="AO6263">
        <v>0</v>
      </c>
      <c r="AP6263">
        <v>0</v>
      </c>
      <c r="AQ6263">
        <v>0</v>
      </c>
      <c r="AS6263">
        <v>0</v>
      </c>
      <c r="AT6263">
        <v>0</v>
      </c>
      <c r="AV6263">
        <v>0</v>
      </c>
      <c r="AW6263">
        <v>0</v>
      </c>
      <c r="AY6263">
        <v>0</v>
      </c>
      <c r="AZ6263">
        <v>0</v>
      </c>
      <c r="BA6263">
        <v>0</v>
      </c>
      <c r="BE6263" t="str">
        <f>T("9791164099764")</f>
        <v>9791164099764</v>
      </c>
      <c r="BF6263" t="str">
        <f>T("k248574")</f>
        <v>k248574</v>
      </c>
      <c r="BG6263" t="str">
        <f>T("로판 웹소설 &gt; 서양풍 로판")</f>
        <v>로판 웹소설 &gt; 서양풍 로판</v>
      </c>
    </row>
    <row r="6264" spans="1:59">
      <c r="A6264" t="s">
        <v>60</v>
      </c>
      <c r="B6264" s="1">
        <v>46130</v>
      </c>
      <c r="C6264">
        <v>2378059762</v>
      </c>
      <c r="D6264">
        <v>2378063409</v>
      </c>
      <c r="E6264" t="str">
        <f>T("칼레이 백작가의 매맞이 하녀 104화")</f>
        <v>칼레이 백작가의 매맞이 하녀 104화</v>
      </c>
      <c r="F6264">
        <v>104</v>
      </c>
      <c r="G6264" t="str">
        <f>T("뮤사203")</f>
        <v>뮤사203</v>
      </c>
      <c r="J6264" t="str">
        <f>T("시계토끼")</f>
        <v>시계토끼</v>
      </c>
      <c r="K6264" t="str">
        <f>T("칼레이 백작가의 매맞이 하녀")</f>
        <v>칼레이 백작가의 매맞이 하녀</v>
      </c>
      <c r="L6264">
        <v>100</v>
      </c>
      <c r="M6264">
        <v>0</v>
      </c>
      <c r="N6264">
        <v>0</v>
      </c>
      <c r="O6264">
        <v>0</v>
      </c>
      <c r="P6264">
        <v>0</v>
      </c>
      <c r="Q6264">
        <v>0</v>
      </c>
      <c r="R6264">
        <v>1</v>
      </c>
      <c r="S6264">
        <v>0</v>
      </c>
      <c r="T6264">
        <v>0</v>
      </c>
      <c r="U6264">
        <v>0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0</v>
      </c>
      <c r="AE6264">
        <v>0</v>
      </c>
      <c r="AF6264">
        <v>0</v>
      </c>
      <c r="AG6264">
        <v>0</v>
      </c>
      <c r="AH6264">
        <v>0</v>
      </c>
      <c r="AI6264">
        <v>0</v>
      </c>
      <c r="AJ6264">
        <v>1</v>
      </c>
      <c r="AK6264">
        <v>0</v>
      </c>
      <c r="AL6264">
        <v>0</v>
      </c>
      <c r="AM6264">
        <v>0</v>
      </c>
      <c r="AN6264">
        <v>0</v>
      </c>
      <c r="AO6264">
        <v>0</v>
      </c>
      <c r="AP6264">
        <v>0</v>
      </c>
      <c r="AQ6264">
        <v>0</v>
      </c>
      <c r="AS6264">
        <v>0</v>
      </c>
      <c r="AT6264">
        <v>0</v>
      </c>
      <c r="AV6264">
        <v>0</v>
      </c>
      <c r="AW6264">
        <v>0</v>
      </c>
      <c r="AY6264">
        <v>0</v>
      </c>
      <c r="AZ6264">
        <v>0</v>
      </c>
      <c r="BA6264">
        <v>0</v>
      </c>
      <c r="BE6264" t="str">
        <f>T("9791164099764")</f>
        <v>9791164099764</v>
      </c>
      <c r="BF6264" t="str">
        <f>T("k248575")</f>
        <v>k248575</v>
      </c>
      <c r="BG6264" t="str">
        <f>T("로판 웹소설 &gt; 서양풍 로판")</f>
        <v>로판 웹소설 &gt; 서양풍 로판</v>
      </c>
    </row>
    <row r="6265" spans="1:59">
      <c r="A6265" t="s">
        <v>60</v>
      </c>
      <c r="B6265" s="1">
        <v>46130</v>
      </c>
      <c r="C6265">
        <v>2378059762</v>
      </c>
      <c r="D6265">
        <v>2378063410</v>
      </c>
      <c r="E6265" t="str">
        <f>T("칼레이 백작가의 매맞이 하녀 105화")</f>
        <v>칼레이 백작가의 매맞이 하녀 105화</v>
      </c>
      <c r="F6265">
        <v>105</v>
      </c>
      <c r="G6265" t="str">
        <f>T("뮤사203")</f>
        <v>뮤사203</v>
      </c>
      <c r="J6265" t="str">
        <f>T("시계토끼")</f>
        <v>시계토끼</v>
      </c>
      <c r="K6265" t="str">
        <f>T("칼레이 백작가의 매맞이 하녀")</f>
        <v>칼레이 백작가의 매맞이 하녀</v>
      </c>
      <c r="L6265">
        <v>100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1</v>
      </c>
      <c r="S6265">
        <v>0</v>
      </c>
      <c r="T6265">
        <v>0</v>
      </c>
      <c r="U6265">
        <v>0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0</v>
      </c>
      <c r="AE6265">
        <v>0</v>
      </c>
      <c r="AF6265">
        <v>0</v>
      </c>
      <c r="AG6265">
        <v>0</v>
      </c>
      <c r="AH6265">
        <v>0</v>
      </c>
      <c r="AI6265">
        <v>0</v>
      </c>
      <c r="AJ6265">
        <v>1</v>
      </c>
      <c r="AK6265">
        <v>0</v>
      </c>
      <c r="AL6265">
        <v>0</v>
      </c>
      <c r="AM6265">
        <v>0</v>
      </c>
      <c r="AN6265">
        <v>0</v>
      </c>
      <c r="AO6265">
        <v>0</v>
      </c>
      <c r="AP6265">
        <v>0</v>
      </c>
      <c r="AQ6265">
        <v>0</v>
      </c>
      <c r="AS6265">
        <v>0</v>
      </c>
      <c r="AT6265">
        <v>0</v>
      </c>
      <c r="AV6265">
        <v>0</v>
      </c>
      <c r="AW6265">
        <v>0</v>
      </c>
      <c r="AY6265">
        <v>0</v>
      </c>
      <c r="AZ6265">
        <v>0</v>
      </c>
      <c r="BA6265">
        <v>0</v>
      </c>
      <c r="BE6265" t="str">
        <f>T("9791164099764")</f>
        <v>9791164099764</v>
      </c>
      <c r="BF6265" t="str">
        <f>T("k248576")</f>
        <v>k248576</v>
      </c>
      <c r="BG6265" t="str">
        <f>T("로판 웹소설 &gt; 서양풍 로판")</f>
        <v>로판 웹소설 &gt; 서양풍 로판</v>
      </c>
    </row>
    <row r="6266" spans="1:59">
      <c r="A6266" t="s">
        <v>60</v>
      </c>
      <c r="B6266" s="1">
        <v>46130</v>
      </c>
      <c r="C6266">
        <v>2378059762</v>
      </c>
      <c r="D6266">
        <v>2378063411</v>
      </c>
      <c r="E6266" t="str">
        <f>T("칼레이 백작가의 매맞이 하녀 106화")</f>
        <v>칼레이 백작가의 매맞이 하녀 106화</v>
      </c>
      <c r="F6266">
        <v>106</v>
      </c>
      <c r="G6266" t="str">
        <f>T("뮤사203")</f>
        <v>뮤사203</v>
      </c>
      <c r="J6266" t="str">
        <f>T("시계토끼")</f>
        <v>시계토끼</v>
      </c>
      <c r="K6266" t="str">
        <f>T("칼레이 백작가의 매맞이 하녀")</f>
        <v>칼레이 백작가의 매맞이 하녀</v>
      </c>
      <c r="L6266">
        <v>100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1</v>
      </c>
      <c r="S6266">
        <v>0</v>
      </c>
      <c r="T6266">
        <v>0</v>
      </c>
      <c r="U6266">
        <v>0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0</v>
      </c>
      <c r="AE6266">
        <v>0</v>
      </c>
      <c r="AF6266">
        <v>0</v>
      </c>
      <c r="AG6266">
        <v>0</v>
      </c>
      <c r="AH6266">
        <v>0</v>
      </c>
      <c r="AI6266">
        <v>0</v>
      </c>
      <c r="AJ6266">
        <v>1</v>
      </c>
      <c r="AK6266">
        <v>0</v>
      </c>
      <c r="AL6266">
        <v>0</v>
      </c>
      <c r="AM6266">
        <v>0</v>
      </c>
      <c r="AN6266">
        <v>0</v>
      </c>
      <c r="AO6266">
        <v>0</v>
      </c>
      <c r="AP6266">
        <v>0</v>
      </c>
      <c r="AQ6266">
        <v>0</v>
      </c>
      <c r="AS6266">
        <v>0</v>
      </c>
      <c r="AT6266">
        <v>0</v>
      </c>
      <c r="AV6266">
        <v>0</v>
      </c>
      <c r="AW6266">
        <v>0</v>
      </c>
      <c r="AY6266">
        <v>0</v>
      </c>
      <c r="AZ6266">
        <v>0</v>
      </c>
      <c r="BA6266">
        <v>0</v>
      </c>
      <c r="BE6266" t="str">
        <f>T("9791164099764")</f>
        <v>9791164099764</v>
      </c>
      <c r="BF6266" t="str">
        <f>T("k250327")</f>
        <v>k250327</v>
      </c>
      <c r="BG6266" t="str">
        <f>T("로판 웹소설 &gt; 서양풍 로판")</f>
        <v>로판 웹소설 &gt; 서양풍 로판</v>
      </c>
    </row>
    <row r="6267" spans="1:59">
      <c r="A6267" t="s">
        <v>60</v>
      </c>
      <c r="B6267" s="1">
        <v>46130</v>
      </c>
      <c r="C6267">
        <v>2378059762</v>
      </c>
      <c r="D6267">
        <v>2378063412</v>
      </c>
      <c r="E6267" t="str">
        <f>T("칼레이 백작가의 매맞이 하녀 107화")</f>
        <v>칼레이 백작가의 매맞이 하녀 107화</v>
      </c>
      <c r="F6267">
        <v>107</v>
      </c>
      <c r="G6267" t="str">
        <f>T("뮤사203")</f>
        <v>뮤사203</v>
      </c>
      <c r="J6267" t="str">
        <f>T("시계토끼")</f>
        <v>시계토끼</v>
      </c>
      <c r="K6267" t="str">
        <f>T("칼레이 백작가의 매맞이 하녀")</f>
        <v>칼레이 백작가의 매맞이 하녀</v>
      </c>
      <c r="L6267">
        <v>100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1</v>
      </c>
      <c r="S6267">
        <v>0</v>
      </c>
      <c r="T6267">
        <v>0</v>
      </c>
      <c r="U6267">
        <v>0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0</v>
      </c>
      <c r="AE6267">
        <v>0</v>
      </c>
      <c r="AF6267">
        <v>0</v>
      </c>
      <c r="AG6267">
        <v>0</v>
      </c>
      <c r="AH6267">
        <v>0</v>
      </c>
      <c r="AI6267">
        <v>0</v>
      </c>
      <c r="AJ6267">
        <v>1</v>
      </c>
      <c r="AK6267">
        <v>0</v>
      </c>
      <c r="AL6267">
        <v>0</v>
      </c>
      <c r="AM6267">
        <v>0</v>
      </c>
      <c r="AN6267">
        <v>0</v>
      </c>
      <c r="AO6267">
        <v>0</v>
      </c>
      <c r="AP6267">
        <v>0</v>
      </c>
      <c r="AQ6267">
        <v>0</v>
      </c>
      <c r="AS6267">
        <v>0</v>
      </c>
      <c r="AT6267">
        <v>0</v>
      </c>
      <c r="AV6267">
        <v>0</v>
      </c>
      <c r="AW6267">
        <v>0</v>
      </c>
      <c r="AY6267">
        <v>0</v>
      </c>
      <c r="AZ6267">
        <v>0</v>
      </c>
      <c r="BA6267">
        <v>0</v>
      </c>
      <c r="BE6267" t="str">
        <f>T("9791164099764")</f>
        <v>9791164099764</v>
      </c>
      <c r="BF6267" t="str">
        <f>T("k250328")</f>
        <v>k250328</v>
      </c>
      <c r="BG6267" t="str">
        <f>T("로판 웹소설 &gt; 서양풍 로판")</f>
        <v>로판 웹소설 &gt; 서양풍 로판</v>
      </c>
    </row>
    <row r="6268" spans="1:59">
      <c r="A6268" t="s">
        <v>60</v>
      </c>
      <c r="B6268" s="1">
        <v>46130</v>
      </c>
      <c r="C6268">
        <v>2378059762</v>
      </c>
      <c r="D6268">
        <v>2378063413</v>
      </c>
      <c r="E6268" t="str">
        <f>T("칼레이 백작가의 매맞이 하녀 108화")</f>
        <v>칼레이 백작가의 매맞이 하녀 108화</v>
      </c>
      <c r="F6268">
        <v>108</v>
      </c>
      <c r="G6268" t="str">
        <f>T("뮤사203")</f>
        <v>뮤사203</v>
      </c>
      <c r="J6268" t="str">
        <f>T("시계토끼")</f>
        <v>시계토끼</v>
      </c>
      <c r="K6268" t="str">
        <f>T("칼레이 백작가의 매맞이 하녀")</f>
        <v>칼레이 백작가의 매맞이 하녀</v>
      </c>
      <c r="L6268">
        <v>100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1</v>
      </c>
      <c r="S6268">
        <v>0</v>
      </c>
      <c r="T6268">
        <v>0</v>
      </c>
      <c r="U6268">
        <v>0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0</v>
      </c>
      <c r="AE6268">
        <v>0</v>
      </c>
      <c r="AF6268">
        <v>0</v>
      </c>
      <c r="AG6268">
        <v>0</v>
      </c>
      <c r="AH6268">
        <v>0</v>
      </c>
      <c r="AI6268">
        <v>0</v>
      </c>
      <c r="AJ6268">
        <v>1</v>
      </c>
      <c r="AK6268">
        <v>0</v>
      </c>
      <c r="AL6268">
        <v>0</v>
      </c>
      <c r="AM6268">
        <v>0</v>
      </c>
      <c r="AN6268">
        <v>0</v>
      </c>
      <c r="AO6268">
        <v>0</v>
      </c>
      <c r="AP6268">
        <v>0</v>
      </c>
      <c r="AQ6268">
        <v>0</v>
      </c>
      <c r="AS6268">
        <v>0</v>
      </c>
      <c r="AT6268">
        <v>0</v>
      </c>
      <c r="AV6268">
        <v>0</v>
      </c>
      <c r="AW6268">
        <v>0</v>
      </c>
      <c r="AY6268">
        <v>0</v>
      </c>
      <c r="AZ6268">
        <v>0</v>
      </c>
      <c r="BA6268">
        <v>0</v>
      </c>
      <c r="BE6268" t="str">
        <f>T("9791164099764")</f>
        <v>9791164099764</v>
      </c>
      <c r="BF6268" t="str">
        <f>T("k250329")</f>
        <v>k250329</v>
      </c>
      <c r="BG6268" t="str">
        <f>T("로판 웹소설 &gt; 서양풍 로판")</f>
        <v>로판 웹소설 &gt; 서양풍 로판</v>
      </c>
    </row>
    <row r="6269" spans="1:59">
      <c r="A6269" t="s">
        <v>60</v>
      </c>
      <c r="B6269" s="1">
        <v>46130</v>
      </c>
      <c r="C6269">
        <v>2378059762</v>
      </c>
      <c r="D6269">
        <v>2378063414</v>
      </c>
      <c r="E6269" t="str">
        <f>T("칼레이 백작가의 매맞이 하녀 109화")</f>
        <v>칼레이 백작가의 매맞이 하녀 109화</v>
      </c>
      <c r="F6269">
        <v>109</v>
      </c>
      <c r="G6269" t="str">
        <f>T("뮤사203")</f>
        <v>뮤사203</v>
      </c>
      <c r="J6269" t="str">
        <f>T("시계토끼")</f>
        <v>시계토끼</v>
      </c>
      <c r="K6269" t="str">
        <f>T("칼레이 백작가의 매맞이 하녀")</f>
        <v>칼레이 백작가의 매맞이 하녀</v>
      </c>
      <c r="L6269">
        <v>100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1</v>
      </c>
      <c r="S6269">
        <v>0</v>
      </c>
      <c r="T6269">
        <v>0</v>
      </c>
      <c r="U6269">
        <v>0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0</v>
      </c>
      <c r="AE6269">
        <v>0</v>
      </c>
      <c r="AF6269">
        <v>0</v>
      </c>
      <c r="AG6269">
        <v>0</v>
      </c>
      <c r="AH6269">
        <v>0</v>
      </c>
      <c r="AI6269">
        <v>0</v>
      </c>
      <c r="AJ6269">
        <v>1</v>
      </c>
      <c r="AK6269">
        <v>0</v>
      </c>
      <c r="AL6269">
        <v>0</v>
      </c>
      <c r="AM6269">
        <v>0</v>
      </c>
      <c r="AN6269">
        <v>0</v>
      </c>
      <c r="AO6269">
        <v>0</v>
      </c>
      <c r="AP6269">
        <v>0</v>
      </c>
      <c r="AQ6269">
        <v>0</v>
      </c>
      <c r="AS6269">
        <v>0</v>
      </c>
      <c r="AT6269">
        <v>0</v>
      </c>
      <c r="AV6269">
        <v>0</v>
      </c>
      <c r="AW6269">
        <v>0</v>
      </c>
      <c r="AY6269">
        <v>0</v>
      </c>
      <c r="AZ6269">
        <v>0</v>
      </c>
      <c r="BA6269">
        <v>0</v>
      </c>
      <c r="BE6269" t="str">
        <f>T("9791164099764")</f>
        <v>9791164099764</v>
      </c>
      <c r="BF6269" t="str">
        <f>T("k250330")</f>
        <v>k250330</v>
      </c>
      <c r="BG6269" t="str">
        <f>T("로판 웹소설 &gt; 서양풍 로판")</f>
        <v>로판 웹소설 &gt; 서양풍 로판</v>
      </c>
    </row>
    <row r="6270" spans="1:59">
      <c r="A6270" t="s">
        <v>60</v>
      </c>
      <c r="B6270" s="1">
        <v>46130</v>
      </c>
      <c r="C6270">
        <v>2378059762</v>
      </c>
      <c r="D6270">
        <v>2378059843</v>
      </c>
      <c r="E6270" t="str">
        <f>T("칼레이 백작가의 매맞이 하녀 64화")</f>
        <v>칼레이 백작가의 매맞이 하녀 64화</v>
      </c>
      <c r="F6270">
        <v>64</v>
      </c>
      <c r="G6270" t="str">
        <f>T("뮤사203")</f>
        <v>뮤사203</v>
      </c>
      <c r="J6270" t="str">
        <f>T("시계토끼")</f>
        <v>시계토끼</v>
      </c>
      <c r="K6270" t="str">
        <f>T("칼레이 백작가의 매맞이 하녀")</f>
        <v>칼레이 백작가의 매맞이 하녀</v>
      </c>
      <c r="L6270">
        <v>100</v>
      </c>
      <c r="M6270">
        <v>100</v>
      </c>
      <c r="N6270">
        <v>1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0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0</v>
      </c>
      <c r="AE6270">
        <v>0</v>
      </c>
      <c r="AF6270">
        <v>0</v>
      </c>
      <c r="AG6270">
        <v>0</v>
      </c>
      <c r="AH6270">
        <v>0</v>
      </c>
      <c r="AI6270">
        <v>100</v>
      </c>
      <c r="AJ6270">
        <v>1</v>
      </c>
      <c r="AK6270">
        <v>0</v>
      </c>
      <c r="AL6270">
        <v>0</v>
      </c>
      <c r="AM6270">
        <v>0</v>
      </c>
      <c r="AN6270">
        <v>0</v>
      </c>
      <c r="AO6270">
        <v>120</v>
      </c>
      <c r="AP6270">
        <v>-12</v>
      </c>
      <c r="AQ6270">
        <v>0</v>
      </c>
      <c r="AS6270">
        <v>0</v>
      </c>
      <c r="AT6270">
        <v>0</v>
      </c>
      <c r="AU6270">
        <v>120</v>
      </c>
      <c r="AV6270">
        <v>-12</v>
      </c>
      <c r="AW6270">
        <v>0</v>
      </c>
      <c r="AY6270">
        <v>0</v>
      </c>
      <c r="AZ6270">
        <v>0</v>
      </c>
      <c r="BA6270">
        <v>75.599999999999994</v>
      </c>
      <c r="BE6270" t="str">
        <f>T("9791164099764")</f>
        <v>9791164099764</v>
      </c>
      <c r="BF6270" t="str">
        <f>T("k201743")</f>
        <v>k201743</v>
      </c>
      <c r="BG6270" t="str">
        <f>T("로판 웹소설 &gt; 서양풍 로판")</f>
        <v>로판 웹소설 &gt; 서양풍 로판</v>
      </c>
    </row>
    <row r="6271" spans="1:59">
      <c r="A6271" t="s">
        <v>60</v>
      </c>
      <c r="B6271" s="1">
        <v>46130</v>
      </c>
      <c r="C6271">
        <v>2378059762</v>
      </c>
      <c r="D6271">
        <v>2378063698</v>
      </c>
      <c r="E6271" t="str">
        <f>T("칼레이 백작가의 매맞이 하녀 110화")</f>
        <v>칼레이 백작가의 매맞이 하녀 110화</v>
      </c>
      <c r="F6271">
        <v>110</v>
      </c>
      <c r="G6271" t="str">
        <f>T("뮤사203")</f>
        <v>뮤사203</v>
      </c>
      <c r="J6271" t="str">
        <f>T("시계토끼")</f>
        <v>시계토끼</v>
      </c>
      <c r="K6271" t="str">
        <f>T("칼레이 백작가의 매맞이 하녀")</f>
        <v>칼레이 백작가의 매맞이 하녀</v>
      </c>
      <c r="L6271">
        <v>100</v>
      </c>
      <c r="M6271">
        <v>0</v>
      </c>
      <c r="N6271">
        <v>0</v>
      </c>
      <c r="O6271">
        <v>0</v>
      </c>
      <c r="P6271">
        <v>0</v>
      </c>
      <c r="Q6271">
        <v>0</v>
      </c>
      <c r="R6271">
        <v>1</v>
      </c>
      <c r="S6271">
        <v>0</v>
      </c>
      <c r="T6271">
        <v>0</v>
      </c>
      <c r="U6271">
        <v>0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0</v>
      </c>
      <c r="AE6271">
        <v>0</v>
      </c>
      <c r="AF6271">
        <v>0</v>
      </c>
      <c r="AG6271">
        <v>0</v>
      </c>
      <c r="AH6271">
        <v>0</v>
      </c>
      <c r="AI6271">
        <v>0</v>
      </c>
      <c r="AJ6271">
        <v>1</v>
      </c>
      <c r="AK6271">
        <v>0</v>
      </c>
      <c r="AL6271">
        <v>0</v>
      </c>
      <c r="AM6271">
        <v>0</v>
      </c>
      <c r="AN6271">
        <v>0</v>
      </c>
      <c r="AO6271">
        <v>0</v>
      </c>
      <c r="AP6271">
        <v>0</v>
      </c>
      <c r="AQ6271">
        <v>0</v>
      </c>
      <c r="AS6271">
        <v>0</v>
      </c>
      <c r="AT6271">
        <v>0</v>
      </c>
      <c r="AV6271">
        <v>0</v>
      </c>
      <c r="AW6271">
        <v>0</v>
      </c>
      <c r="AY6271">
        <v>0</v>
      </c>
      <c r="AZ6271">
        <v>0</v>
      </c>
      <c r="BA6271">
        <v>0</v>
      </c>
      <c r="BE6271" t="str">
        <f>T("9791164099764")</f>
        <v>9791164099764</v>
      </c>
      <c r="BF6271" t="str">
        <f>T("k250809")</f>
        <v>k250809</v>
      </c>
      <c r="BG6271" t="str">
        <f>T("로판 웹소설 &gt; 서양풍 로판")</f>
        <v>로판 웹소설 &gt; 서양풍 로판</v>
      </c>
    </row>
    <row r="6272" spans="1:59">
      <c r="A6272" t="s">
        <v>60</v>
      </c>
      <c r="B6272" s="1">
        <v>46130</v>
      </c>
      <c r="C6272">
        <v>2378059762</v>
      </c>
      <c r="D6272">
        <v>2378063699</v>
      </c>
      <c r="E6272" t="str">
        <f>T("칼레이 백작가의 매맞이 하녀 111화")</f>
        <v>칼레이 백작가의 매맞이 하녀 111화</v>
      </c>
      <c r="F6272">
        <v>111</v>
      </c>
      <c r="G6272" t="str">
        <f>T("뮤사203")</f>
        <v>뮤사203</v>
      </c>
      <c r="J6272" t="str">
        <f>T("시계토끼")</f>
        <v>시계토끼</v>
      </c>
      <c r="K6272" t="str">
        <f>T("칼레이 백작가의 매맞이 하녀")</f>
        <v>칼레이 백작가의 매맞이 하녀</v>
      </c>
      <c r="L6272">
        <v>100</v>
      </c>
      <c r="M6272">
        <v>0</v>
      </c>
      <c r="N6272">
        <v>0</v>
      </c>
      <c r="O6272">
        <v>0</v>
      </c>
      <c r="P6272">
        <v>0</v>
      </c>
      <c r="Q6272">
        <v>0</v>
      </c>
      <c r="R6272">
        <v>1</v>
      </c>
      <c r="S6272">
        <v>0</v>
      </c>
      <c r="T6272">
        <v>0</v>
      </c>
      <c r="U6272">
        <v>0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0</v>
      </c>
      <c r="AE6272">
        <v>0</v>
      </c>
      <c r="AF6272">
        <v>0</v>
      </c>
      <c r="AG6272">
        <v>0</v>
      </c>
      <c r="AH6272">
        <v>0</v>
      </c>
      <c r="AI6272">
        <v>0</v>
      </c>
      <c r="AJ6272">
        <v>1</v>
      </c>
      <c r="AK6272">
        <v>0</v>
      </c>
      <c r="AL6272">
        <v>0</v>
      </c>
      <c r="AM6272">
        <v>0</v>
      </c>
      <c r="AN6272">
        <v>0</v>
      </c>
      <c r="AO6272">
        <v>0</v>
      </c>
      <c r="AP6272">
        <v>0</v>
      </c>
      <c r="AQ6272">
        <v>0</v>
      </c>
      <c r="AS6272">
        <v>0</v>
      </c>
      <c r="AT6272">
        <v>0</v>
      </c>
      <c r="AV6272">
        <v>0</v>
      </c>
      <c r="AW6272">
        <v>0</v>
      </c>
      <c r="AY6272">
        <v>0</v>
      </c>
      <c r="AZ6272">
        <v>0</v>
      </c>
      <c r="BA6272">
        <v>0</v>
      </c>
      <c r="BE6272" t="str">
        <f>T("9791164099764")</f>
        <v>9791164099764</v>
      </c>
      <c r="BF6272" t="str">
        <f>T("k250810")</f>
        <v>k250810</v>
      </c>
      <c r="BG6272" t="str">
        <f>T("로판 웹소설 &gt; 서양풍 로판")</f>
        <v>로판 웹소설 &gt; 서양풍 로판</v>
      </c>
    </row>
    <row r="6273" spans="1:59">
      <c r="A6273" t="s">
        <v>60</v>
      </c>
      <c r="B6273" s="1">
        <v>46130</v>
      </c>
      <c r="C6273">
        <v>2378059762</v>
      </c>
      <c r="D6273">
        <v>2378063701</v>
      </c>
      <c r="E6273" t="str">
        <f>T("칼레이 백작가의 매맞이 하녀 113화")</f>
        <v>칼레이 백작가의 매맞이 하녀 113화</v>
      </c>
      <c r="F6273">
        <v>113</v>
      </c>
      <c r="G6273" t="str">
        <f>T("뮤사203")</f>
        <v>뮤사203</v>
      </c>
      <c r="J6273" t="str">
        <f>T("시계토끼")</f>
        <v>시계토끼</v>
      </c>
      <c r="K6273" t="str">
        <f>T("칼레이 백작가의 매맞이 하녀")</f>
        <v>칼레이 백작가의 매맞이 하녀</v>
      </c>
      <c r="L6273">
        <v>100</v>
      </c>
      <c r="M6273">
        <v>0</v>
      </c>
      <c r="N6273">
        <v>0</v>
      </c>
      <c r="O6273">
        <v>0</v>
      </c>
      <c r="P6273">
        <v>100</v>
      </c>
      <c r="Q6273">
        <v>1</v>
      </c>
      <c r="R6273">
        <v>0</v>
      </c>
      <c r="S6273">
        <v>0</v>
      </c>
      <c r="T6273">
        <v>0</v>
      </c>
      <c r="U6273">
        <v>0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0</v>
      </c>
      <c r="AE6273">
        <v>0</v>
      </c>
      <c r="AF6273">
        <v>0</v>
      </c>
      <c r="AG6273">
        <v>0</v>
      </c>
      <c r="AH6273">
        <v>0</v>
      </c>
      <c r="AI6273">
        <v>100</v>
      </c>
      <c r="AJ6273">
        <v>1</v>
      </c>
      <c r="AK6273">
        <v>0</v>
      </c>
      <c r="AL6273">
        <v>0</v>
      </c>
      <c r="AM6273">
        <v>100</v>
      </c>
      <c r="AN6273">
        <v>0</v>
      </c>
      <c r="AO6273">
        <v>0</v>
      </c>
      <c r="AP6273">
        <v>0</v>
      </c>
      <c r="AQ6273">
        <v>0</v>
      </c>
      <c r="AS6273">
        <v>0</v>
      </c>
      <c r="AT6273">
        <v>0</v>
      </c>
      <c r="AV6273">
        <v>0</v>
      </c>
      <c r="AW6273">
        <v>0</v>
      </c>
      <c r="AY6273">
        <v>0</v>
      </c>
      <c r="AZ6273">
        <v>0</v>
      </c>
      <c r="BA6273">
        <v>70</v>
      </c>
      <c r="BE6273" t="str">
        <f>T("9791164099764")</f>
        <v>9791164099764</v>
      </c>
      <c r="BF6273" t="str">
        <f>T("k250812")</f>
        <v>k250812</v>
      </c>
      <c r="BG6273" t="str">
        <f>T("로판 웹소설 &gt; 서양풍 로판")</f>
        <v>로판 웹소설 &gt; 서양풍 로판</v>
      </c>
    </row>
    <row r="6274" spans="1:59">
      <c r="A6274" t="s">
        <v>60</v>
      </c>
      <c r="B6274" s="1">
        <v>46130</v>
      </c>
      <c r="C6274">
        <v>2378059762</v>
      </c>
      <c r="D6274">
        <v>2378059799</v>
      </c>
      <c r="E6274" t="str">
        <f>T("칼레이 백작가의 매맞이 하녀 38화")</f>
        <v>칼레이 백작가의 매맞이 하녀 38화</v>
      </c>
      <c r="F6274">
        <v>38</v>
      </c>
      <c r="G6274" t="str">
        <f>T("뮤사203")</f>
        <v>뮤사203</v>
      </c>
      <c r="J6274" t="str">
        <f>T("시계토끼")</f>
        <v>시계토끼</v>
      </c>
      <c r="K6274" t="str">
        <f>T("칼레이 백작가의 매맞이 하녀")</f>
        <v>칼레이 백작가의 매맞이 하녀</v>
      </c>
      <c r="L6274">
        <v>100</v>
      </c>
      <c r="M6274">
        <v>200</v>
      </c>
      <c r="N6274">
        <v>2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0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0</v>
      </c>
      <c r="AE6274">
        <v>0</v>
      </c>
      <c r="AF6274">
        <v>0</v>
      </c>
      <c r="AG6274">
        <v>0</v>
      </c>
      <c r="AH6274">
        <v>0</v>
      </c>
      <c r="AI6274">
        <v>200</v>
      </c>
      <c r="AJ6274">
        <v>2</v>
      </c>
      <c r="AK6274">
        <v>0</v>
      </c>
      <c r="AL6274">
        <v>0</v>
      </c>
      <c r="AM6274">
        <v>200</v>
      </c>
      <c r="AN6274">
        <v>0</v>
      </c>
      <c r="AO6274">
        <v>0</v>
      </c>
      <c r="AP6274">
        <v>0</v>
      </c>
      <c r="AQ6274">
        <v>0</v>
      </c>
      <c r="AS6274">
        <v>0</v>
      </c>
      <c r="AT6274">
        <v>0</v>
      </c>
      <c r="AV6274">
        <v>0</v>
      </c>
      <c r="AW6274">
        <v>0</v>
      </c>
      <c r="AY6274">
        <v>0</v>
      </c>
      <c r="AZ6274">
        <v>0</v>
      </c>
      <c r="BA6274">
        <v>140</v>
      </c>
      <c r="BE6274" t="str">
        <f>T("9791164099764")</f>
        <v>9791164099764</v>
      </c>
      <c r="BF6274" t="str">
        <f>T("k201717")</f>
        <v>k201717</v>
      </c>
      <c r="BG6274" t="str">
        <f>T("로판 웹소설 &gt; 서양풍 로판")</f>
        <v>로판 웹소설 &gt; 서양풍 로판</v>
      </c>
    </row>
    <row r="6275" spans="1:59">
      <c r="A6275" t="s">
        <v>60</v>
      </c>
      <c r="B6275" s="1">
        <v>46130</v>
      </c>
      <c r="C6275">
        <v>2378059762</v>
      </c>
      <c r="D6275">
        <v>2378059800</v>
      </c>
      <c r="E6275" t="str">
        <f>T("칼레이 백작가의 매맞이 하녀 39화")</f>
        <v>칼레이 백작가의 매맞이 하녀 39화</v>
      </c>
      <c r="F6275">
        <v>39</v>
      </c>
      <c r="G6275" t="str">
        <f>T("뮤사203")</f>
        <v>뮤사203</v>
      </c>
      <c r="J6275" t="str">
        <f>T("시계토끼")</f>
        <v>시계토끼</v>
      </c>
      <c r="K6275" t="str">
        <f>T("칼레이 백작가의 매맞이 하녀")</f>
        <v>칼레이 백작가의 매맞이 하녀</v>
      </c>
      <c r="L6275">
        <v>100</v>
      </c>
      <c r="M6275">
        <v>200</v>
      </c>
      <c r="N6275">
        <v>2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0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0</v>
      </c>
      <c r="AE6275">
        <v>0</v>
      </c>
      <c r="AF6275">
        <v>0</v>
      </c>
      <c r="AG6275">
        <v>0</v>
      </c>
      <c r="AH6275">
        <v>0</v>
      </c>
      <c r="AI6275">
        <v>200</v>
      </c>
      <c r="AJ6275">
        <v>2</v>
      </c>
      <c r="AK6275">
        <v>0</v>
      </c>
      <c r="AL6275">
        <v>0</v>
      </c>
      <c r="AM6275">
        <v>200</v>
      </c>
      <c r="AN6275">
        <v>0</v>
      </c>
      <c r="AO6275">
        <v>0</v>
      </c>
      <c r="AP6275">
        <v>0</v>
      </c>
      <c r="AQ6275">
        <v>0</v>
      </c>
      <c r="AS6275">
        <v>0</v>
      </c>
      <c r="AT6275">
        <v>0</v>
      </c>
      <c r="AV6275">
        <v>0</v>
      </c>
      <c r="AW6275">
        <v>0</v>
      </c>
      <c r="AY6275">
        <v>0</v>
      </c>
      <c r="AZ6275">
        <v>0</v>
      </c>
      <c r="BA6275">
        <v>140</v>
      </c>
      <c r="BE6275" t="str">
        <f>T("9791164099764")</f>
        <v>9791164099764</v>
      </c>
      <c r="BF6275" t="str">
        <f>T("k201718")</f>
        <v>k201718</v>
      </c>
      <c r="BG6275" t="str">
        <f>T("로판 웹소설 &gt; 서양풍 로판")</f>
        <v>로판 웹소설 &gt; 서양풍 로판</v>
      </c>
    </row>
    <row r="6276" spans="1:59">
      <c r="A6276" t="s">
        <v>60</v>
      </c>
      <c r="B6276" s="1">
        <v>46130</v>
      </c>
      <c r="C6276">
        <v>2378059762</v>
      </c>
      <c r="D6276">
        <v>2378059801</v>
      </c>
      <c r="E6276" t="str">
        <f>T("칼레이 백작가의 매맞이 하녀 40화")</f>
        <v>칼레이 백작가의 매맞이 하녀 40화</v>
      </c>
      <c r="F6276">
        <v>40</v>
      </c>
      <c r="G6276" t="str">
        <f>T("뮤사203")</f>
        <v>뮤사203</v>
      </c>
      <c r="J6276" t="str">
        <f>T("시계토끼")</f>
        <v>시계토끼</v>
      </c>
      <c r="K6276" t="str">
        <f>T("칼레이 백작가의 매맞이 하녀")</f>
        <v>칼레이 백작가의 매맞이 하녀</v>
      </c>
      <c r="L6276">
        <v>100</v>
      </c>
      <c r="M6276">
        <v>200</v>
      </c>
      <c r="N6276">
        <v>2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0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0</v>
      </c>
      <c r="AE6276">
        <v>0</v>
      </c>
      <c r="AF6276">
        <v>0</v>
      </c>
      <c r="AG6276">
        <v>0</v>
      </c>
      <c r="AH6276">
        <v>0</v>
      </c>
      <c r="AI6276">
        <v>200</v>
      </c>
      <c r="AJ6276">
        <v>2</v>
      </c>
      <c r="AK6276">
        <v>0</v>
      </c>
      <c r="AL6276">
        <v>0</v>
      </c>
      <c r="AM6276">
        <v>200</v>
      </c>
      <c r="AN6276">
        <v>0</v>
      </c>
      <c r="AO6276">
        <v>0</v>
      </c>
      <c r="AP6276">
        <v>0</v>
      </c>
      <c r="AQ6276">
        <v>0</v>
      </c>
      <c r="AS6276">
        <v>0</v>
      </c>
      <c r="AT6276">
        <v>0</v>
      </c>
      <c r="AV6276">
        <v>0</v>
      </c>
      <c r="AW6276">
        <v>0</v>
      </c>
      <c r="AY6276">
        <v>0</v>
      </c>
      <c r="AZ6276">
        <v>0</v>
      </c>
      <c r="BA6276">
        <v>140</v>
      </c>
      <c r="BE6276" t="str">
        <f>T("9791164099764")</f>
        <v>9791164099764</v>
      </c>
      <c r="BF6276" t="str">
        <f>T("k201719")</f>
        <v>k201719</v>
      </c>
      <c r="BG6276" t="str">
        <f>T("로판 웹소설 &gt; 서양풍 로판")</f>
        <v>로판 웹소설 &gt; 서양풍 로판</v>
      </c>
    </row>
    <row r="6277" spans="1:59">
      <c r="A6277" t="s">
        <v>60</v>
      </c>
      <c r="B6277" s="1">
        <v>46130</v>
      </c>
      <c r="C6277">
        <v>2378059762</v>
      </c>
      <c r="D6277">
        <v>2378059802</v>
      </c>
      <c r="E6277" t="str">
        <f>T("칼레이 백작가의 매맞이 하녀 41화")</f>
        <v>칼레이 백작가의 매맞이 하녀 41화</v>
      </c>
      <c r="F6277">
        <v>41</v>
      </c>
      <c r="G6277" t="str">
        <f>T("뮤사203")</f>
        <v>뮤사203</v>
      </c>
      <c r="J6277" t="str">
        <f>T("시계토끼")</f>
        <v>시계토끼</v>
      </c>
      <c r="K6277" t="str">
        <f>T("칼레이 백작가의 매맞이 하녀")</f>
        <v>칼레이 백작가의 매맞이 하녀</v>
      </c>
      <c r="L6277">
        <v>100</v>
      </c>
      <c r="M6277">
        <v>200</v>
      </c>
      <c r="N6277">
        <v>2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0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0</v>
      </c>
      <c r="AE6277">
        <v>0</v>
      </c>
      <c r="AF6277">
        <v>0</v>
      </c>
      <c r="AG6277">
        <v>0</v>
      </c>
      <c r="AH6277">
        <v>0</v>
      </c>
      <c r="AI6277">
        <v>200</v>
      </c>
      <c r="AJ6277">
        <v>2</v>
      </c>
      <c r="AK6277">
        <v>0</v>
      </c>
      <c r="AL6277">
        <v>0</v>
      </c>
      <c r="AM6277">
        <v>200</v>
      </c>
      <c r="AN6277">
        <v>0</v>
      </c>
      <c r="AO6277">
        <v>0</v>
      </c>
      <c r="AP6277">
        <v>0</v>
      </c>
      <c r="AQ6277">
        <v>0</v>
      </c>
      <c r="AS6277">
        <v>0</v>
      </c>
      <c r="AT6277">
        <v>0</v>
      </c>
      <c r="AV6277">
        <v>0</v>
      </c>
      <c r="AW6277">
        <v>0</v>
      </c>
      <c r="AY6277">
        <v>0</v>
      </c>
      <c r="AZ6277">
        <v>0</v>
      </c>
      <c r="BA6277">
        <v>140</v>
      </c>
      <c r="BE6277" t="str">
        <f>T("9791164099764")</f>
        <v>9791164099764</v>
      </c>
      <c r="BF6277" t="str">
        <f>T("k201720")</f>
        <v>k201720</v>
      </c>
      <c r="BG6277" t="str">
        <f>T("로판 웹소설 &gt; 서양풍 로판")</f>
        <v>로판 웹소설 &gt; 서양풍 로판</v>
      </c>
    </row>
    <row r="6278" spans="1:59">
      <c r="A6278" t="s">
        <v>60</v>
      </c>
      <c r="B6278" s="1">
        <v>46130</v>
      </c>
      <c r="C6278">
        <v>2378059762</v>
      </c>
      <c r="D6278">
        <v>2378059803</v>
      </c>
      <c r="E6278" t="str">
        <f>T("칼레이 백작가의 매맞이 하녀 42화")</f>
        <v>칼레이 백작가의 매맞이 하녀 42화</v>
      </c>
      <c r="F6278">
        <v>42</v>
      </c>
      <c r="G6278" t="str">
        <f>T("뮤사203")</f>
        <v>뮤사203</v>
      </c>
      <c r="J6278" t="str">
        <f>T("시계토끼")</f>
        <v>시계토끼</v>
      </c>
      <c r="K6278" t="str">
        <f>T("칼레이 백작가의 매맞이 하녀")</f>
        <v>칼레이 백작가의 매맞이 하녀</v>
      </c>
      <c r="L6278">
        <v>100</v>
      </c>
      <c r="M6278">
        <v>200</v>
      </c>
      <c r="N6278">
        <v>2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0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0</v>
      </c>
      <c r="AE6278">
        <v>0</v>
      </c>
      <c r="AF6278">
        <v>0</v>
      </c>
      <c r="AG6278">
        <v>0</v>
      </c>
      <c r="AH6278">
        <v>0</v>
      </c>
      <c r="AI6278">
        <v>200</v>
      </c>
      <c r="AJ6278">
        <v>2</v>
      </c>
      <c r="AK6278">
        <v>0</v>
      </c>
      <c r="AL6278">
        <v>0</v>
      </c>
      <c r="AM6278">
        <v>200</v>
      </c>
      <c r="AN6278">
        <v>0</v>
      </c>
      <c r="AO6278">
        <v>0</v>
      </c>
      <c r="AP6278">
        <v>0</v>
      </c>
      <c r="AQ6278">
        <v>0</v>
      </c>
      <c r="AS6278">
        <v>0</v>
      </c>
      <c r="AT6278">
        <v>0</v>
      </c>
      <c r="AV6278">
        <v>0</v>
      </c>
      <c r="AW6278">
        <v>0</v>
      </c>
      <c r="AY6278">
        <v>0</v>
      </c>
      <c r="AZ6278">
        <v>0</v>
      </c>
      <c r="BA6278">
        <v>140</v>
      </c>
      <c r="BE6278" t="str">
        <f>T("9791164099764")</f>
        <v>9791164099764</v>
      </c>
      <c r="BF6278" t="str">
        <f>T("k201721")</f>
        <v>k201721</v>
      </c>
      <c r="BG6278" t="str">
        <f>T("로판 웹소설 &gt; 서양풍 로판")</f>
        <v>로판 웹소설 &gt; 서양풍 로판</v>
      </c>
    </row>
    <row r="6279" spans="1:59">
      <c r="A6279" t="s">
        <v>60</v>
      </c>
      <c r="B6279" s="1">
        <v>46130</v>
      </c>
      <c r="C6279">
        <v>2378059762</v>
      </c>
      <c r="D6279">
        <v>2378059804</v>
      </c>
      <c r="E6279" t="str">
        <f>T("칼레이 백작가의 매맞이 하녀 43화")</f>
        <v>칼레이 백작가의 매맞이 하녀 43화</v>
      </c>
      <c r="F6279">
        <v>43</v>
      </c>
      <c r="G6279" t="str">
        <f>T("뮤사203")</f>
        <v>뮤사203</v>
      </c>
      <c r="J6279" t="str">
        <f>T("시계토끼")</f>
        <v>시계토끼</v>
      </c>
      <c r="K6279" t="str">
        <f>T("칼레이 백작가의 매맞이 하녀")</f>
        <v>칼레이 백작가의 매맞이 하녀</v>
      </c>
      <c r="L6279">
        <v>100</v>
      </c>
      <c r="M6279">
        <v>200</v>
      </c>
      <c r="N6279">
        <v>2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0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0</v>
      </c>
      <c r="AE6279">
        <v>0</v>
      </c>
      <c r="AF6279">
        <v>0</v>
      </c>
      <c r="AG6279">
        <v>0</v>
      </c>
      <c r="AH6279">
        <v>0</v>
      </c>
      <c r="AI6279">
        <v>200</v>
      </c>
      <c r="AJ6279">
        <v>2</v>
      </c>
      <c r="AK6279">
        <v>0</v>
      </c>
      <c r="AL6279">
        <v>0</v>
      </c>
      <c r="AM6279">
        <v>200</v>
      </c>
      <c r="AN6279">
        <v>0</v>
      </c>
      <c r="AO6279">
        <v>0</v>
      </c>
      <c r="AP6279">
        <v>0</v>
      </c>
      <c r="AQ6279">
        <v>0</v>
      </c>
      <c r="AS6279">
        <v>0</v>
      </c>
      <c r="AT6279">
        <v>0</v>
      </c>
      <c r="AV6279">
        <v>0</v>
      </c>
      <c r="AW6279">
        <v>0</v>
      </c>
      <c r="AY6279">
        <v>0</v>
      </c>
      <c r="AZ6279">
        <v>0</v>
      </c>
      <c r="BA6279">
        <v>140</v>
      </c>
      <c r="BE6279" t="str">
        <f>T("9791164099764")</f>
        <v>9791164099764</v>
      </c>
      <c r="BF6279" t="str">
        <f>T("k201722")</f>
        <v>k201722</v>
      </c>
      <c r="BG6279" t="str">
        <f>T("로판 웹소설 &gt; 서양풍 로판")</f>
        <v>로판 웹소설 &gt; 서양풍 로판</v>
      </c>
    </row>
    <row r="6280" spans="1:59">
      <c r="A6280" t="s">
        <v>60</v>
      </c>
      <c r="B6280" s="1">
        <v>46130</v>
      </c>
      <c r="C6280">
        <v>2378059762</v>
      </c>
      <c r="D6280">
        <v>2378059805</v>
      </c>
      <c r="E6280" t="str">
        <f>T("칼레이 백작가의 매맞이 하녀 44화")</f>
        <v>칼레이 백작가의 매맞이 하녀 44화</v>
      </c>
      <c r="F6280">
        <v>44</v>
      </c>
      <c r="G6280" t="str">
        <f>T("뮤사203")</f>
        <v>뮤사203</v>
      </c>
      <c r="J6280" t="str">
        <f>T("시계토끼")</f>
        <v>시계토끼</v>
      </c>
      <c r="K6280" t="str">
        <f>T("칼레이 백작가의 매맞이 하녀")</f>
        <v>칼레이 백작가의 매맞이 하녀</v>
      </c>
      <c r="L6280">
        <v>100</v>
      </c>
      <c r="M6280">
        <v>200</v>
      </c>
      <c r="N6280">
        <v>2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0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0</v>
      </c>
      <c r="AE6280">
        <v>0</v>
      </c>
      <c r="AF6280">
        <v>0</v>
      </c>
      <c r="AG6280">
        <v>0</v>
      </c>
      <c r="AH6280">
        <v>0</v>
      </c>
      <c r="AI6280">
        <v>200</v>
      </c>
      <c r="AJ6280">
        <v>2</v>
      </c>
      <c r="AK6280">
        <v>0</v>
      </c>
      <c r="AL6280">
        <v>0</v>
      </c>
      <c r="AM6280">
        <v>200</v>
      </c>
      <c r="AN6280">
        <v>0</v>
      </c>
      <c r="AO6280">
        <v>0</v>
      </c>
      <c r="AP6280">
        <v>0</v>
      </c>
      <c r="AQ6280">
        <v>0</v>
      </c>
      <c r="AS6280">
        <v>0</v>
      </c>
      <c r="AT6280">
        <v>0</v>
      </c>
      <c r="AV6280">
        <v>0</v>
      </c>
      <c r="AW6280">
        <v>0</v>
      </c>
      <c r="AY6280">
        <v>0</v>
      </c>
      <c r="AZ6280">
        <v>0</v>
      </c>
      <c r="BA6280">
        <v>140</v>
      </c>
      <c r="BE6280" t="str">
        <f>T("9791164099764")</f>
        <v>9791164099764</v>
      </c>
      <c r="BF6280" t="str">
        <f>T("k201723")</f>
        <v>k201723</v>
      </c>
      <c r="BG6280" t="str">
        <f>T("로판 웹소설 &gt; 서양풍 로판")</f>
        <v>로판 웹소설 &gt; 서양풍 로판</v>
      </c>
    </row>
    <row r="6281" spans="1:59">
      <c r="A6281" t="s">
        <v>60</v>
      </c>
      <c r="B6281" s="1">
        <v>46130</v>
      </c>
      <c r="C6281">
        <v>2378059762</v>
      </c>
      <c r="D6281">
        <v>2378059766</v>
      </c>
      <c r="E6281" t="str">
        <f>T("칼레이 백작가의 매맞이 하녀 5화")</f>
        <v>칼레이 백작가의 매맞이 하녀 5화</v>
      </c>
      <c r="F6281">
        <v>5</v>
      </c>
      <c r="G6281" t="str">
        <f>T("뮤사203")</f>
        <v>뮤사203</v>
      </c>
      <c r="J6281" t="str">
        <f>T("시계토끼")</f>
        <v>시계토끼</v>
      </c>
      <c r="K6281" t="str">
        <f>T("칼레이 백작가의 매맞이 하녀")</f>
        <v>칼레이 백작가의 매맞이 하녀</v>
      </c>
      <c r="L6281">
        <v>100</v>
      </c>
      <c r="M6281">
        <v>100</v>
      </c>
      <c r="N6281">
        <v>1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0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0</v>
      </c>
      <c r="AE6281">
        <v>0</v>
      </c>
      <c r="AF6281">
        <v>0</v>
      </c>
      <c r="AG6281">
        <v>0</v>
      </c>
      <c r="AH6281">
        <v>0</v>
      </c>
      <c r="AI6281">
        <v>100</v>
      </c>
      <c r="AJ6281">
        <v>1</v>
      </c>
      <c r="AK6281">
        <v>0</v>
      </c>
      <c r="AL6281">
        <v>0</v>
      </c>
      <c r="AM6281">
        <v>100</v>
      </c>
      <c r="AN6281">
        <v>0</v>
      </c>
      <c r="AO6281">
        <v>0</v>
      </c>
      <c r="AP6281">
        <v>0</v>
      </c>
      <c r="AQ6281">
        <v>0</v>
      </c>
      <c r="AS6281">
        <v>0</v>
      </c>
      <c r="AT6281">
        <v>0</v>
      </c>
      <c r="AV6281">
        <v>0</v>
      </c>
      <c r="AW6281">
        <v>0</v>
      </c>
      <c r="AY6281">
        <v>0</v>
      </c>
      <c r="AZ6281">
        <v>0</v>
      </c>
      <c r="BA6281">
        <v>70</v>
      </c>
      <c r="BE6281" t="str">
        <f>T("9791164099764")</f>
        <v>9791164099764</v>
      </c>
      <c r="BF6281" t="str">
        <f>T("k201684")</f>
        <v>k201684</v>
      </c>
      <c r="BG6281" t="str">
        <f>T("로판 웹소설 &gt; 서양풍 로판")</f>
        <v>로판 웹소설 &gt; 서양풍 로판</v>
      </c>
    </row>
    <row r="6282" spans="1:59">
      <c r="A6282" t="s">
        <v>60</v>
      </c>
      <c r="B6282" s="1">
        <v>46130</v>
      </c>
      <c r="C6282">
        <v>2378059762</v>
      </c>
      <c r="D6282">
        <v>2378059767</v>
      </c>
      <c r="E6282" t="str">
        <f>T("칼레이 백작가의 매맞이 하녀 6화")</f>
        <v>칼레이 백작가의 매맞이 하녀 6화</v>
      </c>
      <c r="F6282">
        <v>6</v>
      </c>
      <c r="G6282" t="str">
        <f>T("뮤사203")</f>
        <v>뮤사203</v>
      </c>
      <c r="J6282" t="str">
        <f>T("시계토끼")</f>
        <v>시계토끼</v>
      </c>
      <c r="K6282" t="str">
        <f>T("칼레이 백작가의 매맞이 하녀")</f>
        <v>칼레이 백작가의 매맞이 하녀</v>
      </c>
      <c r="L6282">
        <v>100</v>
      </c>
      <c r="M6282">
        <v>100</v>
      </c>
      <c r="N6282">
        <v>1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0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0</v>
      </c>
      <c r="AE6282">
        <v>0</v>
      </c>
      <c r="AF6282">
        <v>0</v>
      </c>
      <c r="AG6282">
        <v>0</v>
      </c>
      <c r="AH6282">
        <v>0</v>
      </c>
      <c r="AI6282">
        <v>100</v>
      </c>
      <c r="AJ6282">
        <v>1</v>
      </c>
      <c r="AK6282">
        <v>0</v>
      </c>
      <c r="AL6282">
        <v>0</v>
      </c>
      <c r="AM6282">
        <v>100</v>
      </c>
      <c r="AN6282">
        <v>0</v>
      </c>
      <c r="AO6282">
        <v>0</v>
      </c>
      <c r="AP6282">
        <v>0</v>
      </c>
      <c r="AQ6282">
        <v>0</v>
      </c>
      <c r="AS6282">
        <v>0</v>
      </c>
      <c r="AT6282">
        <v>0</v>
      </c>
      <c r="AV6282">
        <v>0</v>
      </c>
      <c r="AW6282">
        <v>0</v>
      </c>
      <c r="AY6282">
        <v>0</v>
      </c>
      <c r="AZ6282">
        <v>0</v>
      </c>
      <c r="BA6282">
        <v>70</v>
      </c>
      <c r="BE6282" t="str">
        <f>T("9791164099764")</f>
        <v>9791164099764</v>
      </c>
      <c r="BF6282" t="str">
        <f>T("k201685")</f>
        <v>k201685</v>
      </c>
      <c r="BG6282" t="str">
        <f>T("로판 웹소설 &gt; 서양풍 로판")</f>
        <v>로판 웹소설 &gt; 서양풍 로판</v>
      </c>
    </row>
    <row r="6283" spans="1:59">
      <c r="A6283" t="s">
        <v>60</v>
      </c>
      <c r="B6283" s="1">
        <v>46130</v>
      </c>
      <c r="C6283">
        <v>2378059762</v>
      </c>
      <c r="D6283">
        <v>2378063826</v>
      </c>
      <c r="E6283" t="str">
        <f>T("칼레이 백작가의 매맞이 하녀 115화")</f>
        <v>칼레이 백작가의 매맞이 하녀 115화</v>
      </c>
      <c r="F6283">
        <v>115</v>
      </c>
      <c r="G6283" t="str">
        <f>T("뮤사203")</f>
        <v>뮤사203</v>
      </c>
      <c r="J6283" t="str">
        <f>T("시계토끼")</f>
        <v>시계토끼</v>
      </c>
      <c r="K6283" t="str">
        <f>T("칼레이 백작가의 매맞이 하녀")</f>
        <v>칼레이 백작가의 매맞이 하녀</v>
      </c>
      <c r="L6283">
        <v>100</v>
      </c>
      <c r="M6283">
        <v>0</v>
      </c>
      <c r="N6283">
        <v>0</v>
      </c>
      <c r="O6283">
        <v>0</v>
      </c>
      <c r="P6283">
        <v>100</v>
      </c>
      <c r="Q6283">
        <v>1</v>
      </c>
      <c r="R6283">
        <v>0</v>
      </c>
      <c r="S6283">
        <v>0</v>
      </c>
      <c r="T6283">
        <v>0</v>
      </c>
      <c r="U6283">
        <v>0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0</v>
      </c>
      <c r="AE6283">
        <v>0</v>
      </c>
      <c r="AF6283">
        <v>0</v>
      </c>
      <c r="AG6283">
        <v>0</v>
      </c>
      <c r="AH6283">
        <v>0</v>
      </c>
      <c r="AI6283">
        <v>100</v>
      </c>
      <c r="AJ6283">
        <v>1</v>
      </c>
      <c r="AK6283">
        <v>0</v>
      </c>
      <c r="AL6283">
        <v>0</v>
      </c>
      <c r="AM6283">
        <v>100</v>
      </c>
      <c r="AN6283">
        <v>0</v>
      </c>
      <c r="AO6283">
        <v>0</v>
      </c>
      <c r="AP6283">
        <v>0</v>
      </c>
      <c r="AQ6283">
        <v>0</v>
      </c>
      <c r="AS6283">
        <v>0</v>
      </c>
      <c r="AT6283">
        <v>0</v>
      </c>
      <c r="AV6283">
        <v>0</v>
      </c>
      <c r="AW6283">
        <v>0</v>
      </c>
      <c r="AY6283">
        <v>0</v>
      </c>
      <c r="AZ6283">
        <v>0</v>
      </c>
      <c r="BA6283">
        <v>70</v>
      </c>
      <c r="BE6283" t="str">
        <f>T("9791164099764")</f>
        <v>9791164099764</v>
      </c>
      <c r="BF6283" t="str">
        <f>T("k255134")</f>
        <v>k255134</v>
      </c>
      <c r="BG6283" t="str">
        <f>T("로판 웹소설 &gt; 서양풍 로판")</f>
        <v>로판 웹소설 &gt; 서양풍 로판</v>
      </c>
    </row>
    <row r="6284" spans="1:59">
      <c r="A6284" t="s">
        <v>60</v>
      </c>
      <c r="B6284" s="1">
        <v>46130</v>
      </c>
      <c r="C6284">
        <v>2378059762</v>
      </c>
      <c r="D6284">
        <v>2378079045</v>
      </c>
      <c r="E6284" t="str">
        <f>T("칼레이 백작가의 매맞이 하녀 추가 외전 1화")</f>
        <v>칼레이 백작가의 매맞이 하녀 추가 외전 1화</v>
      </c>
      <c r="F6284">
        <v>185</v>
      </c>
      <c r="G6284" t="str">
        <f>T("뮤사203")</f>
        <v>뮤사203</v>
      </c>
      <c r="J6284" t="str">
        <f>T("시계토끼")</f>
        <v>시계토끼</v>
      </c>
      <c r="K6284" t="str">
        <f>T("칼레이 백작가의 매맞이 하녀")</f>
        <v>칼레이 백작가의 매맞이 하녀</v>
      </c>
      <c r="L6284">
        <v>100</v>
      </c>
      <c r="M6284">
        <v>0</v>
      </c>
      <c r="N6284">
        <v>0</v>
      </c>
      <c r="O6284">
        <v>0</v>
      </c>
      <c r="P6284">
        <v>100</v>
      </c>
      <c r="Q6284">
        <v>1</v>
      </c>
      <c r="R6284">
        <v>1</v>
      </c>
      <c r="S6284">
        <v>0</v>
      </c>
      <c r="T6284">
        <v>0</v>
      </c>
      <c r="U6284">
        <v>0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0</v>
      </c>
      <c r="AE6284">
        <v>0</v>
      </c>
      <c r="AF6284">
        <v>0</v>
      </c>
      <c r="AG6284">
        <v>0</v>
      </c>
      <c r="AH6284">
        <v>0</v>
      </c>
      <c r="AI6284">
        <v>100</v>
      </c>
      <c r="AJ6284">
        <v>2</v>
      </c>
      <c r="AK6284">
        <v>0</v>
      </c>
      <c r="AL6284">
        <v>0</v>
      </c>
      <c r="AM6284">
        <v>100</v>
      </c>
      <c r="AN6284">
        <v>0</v>
      </c>
      <c r="AO6284">
        <v>0</v>
      </c>
      <c r="AP6284">
        <v>0</v>
      </c>
      <c r="AQ6284">
        <v>0</v>
      </c>
      <c r="AS6284">
        <v>0</v>
      </c>
      <c r="AT6284">
        <v>0</v>
      </c>
      <c r="AV6284">
        <v>0</v>
      </c>
      <c r="AW6284">
        <v>0</v>
      </c>
      <c r="AY6284">
        <v>0</v>
      </c>
      <c r="AZ6284">
        <v>0</v>
      </c>
      <c r="BA6284">
        <v>70</v>
      </c>
      <c r="BE6284" t="str">
        <f>T("9791164099764")</f>
        <v>9791164099764</v>
      </c>
      <c r="BF6284" t="str">
        <f>T("D180747")</f>
        <v>D180747</v>
      </c>
      <c r="BG6284" t="str">
        <f>T("로판 웹소설 &gt; 서양풍 로판")</f>
        <v>로판 웹소설 &gt; 서양풍 로판</v>
      </c>
    </row>
    <row r="6285" spans="1:59">
      <c r="A6285" t="s">
        <v>60</v>
      </c>
      <c r="B6285" s="1">
        <v>46130</v>
      </c>
      <c r="C6285">
        <v>2378059762</v>
      </c>
      <c r="D6285">
        <v>2378079046</v>
      </c>
      <c r="E6285" t="str">
        <f>T("칼레이 백작가의 매맞이 하녀 추가 외전 2화")</f>
        <v>칼레이 백작가의 매맞이 하녀 추가 외전 2화</v>
      </c>
      <c r="F6285">
        <v>186</v>
      </c>
      <c r="G6285" t="str">
        <f>T("뮤사203")</f>
        <v>뮤사203</v>
      </c>
      <c r="J6285" t="str">
        <f>T("시계토끼")</f>
        <v>시계토끼</v>
      </c>
      <c r="K6285" t="str">
        <f>T("칼레이 백작가의 매맞이 하녀")</f>
        <v>칼레이 백작가의 매맞이 하녀</v>
      </c>
      <c r="L6285">
        <v>100</v>
      </c>
      <c r="M6285">
        <v>0</v>
      </c>
      <c r="N6285">
        <v>0</v>
      </c>
      <c r="O6285">
        <v>0</v>
      </c>
      <c r="P6285">
        <v>0</v>
      </c>
      <c r="Q6285">
        <v>0</v>
      </c>
      <c r="R6285">
        <v>1</v>
      </c>
      <c r="S6285">
        <v>0</v>
      </c>
      <c r="T6285">
        <v>0</v>
      </c>
      <c r="U6285">
        <v>0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0</v>
      </c>
      <c r="AE6285">
        <v>0</v>
      </c>
      <c r="AF6285">
        <v>0</v>
      </c>
      <c r="AG6285">
        <v>0</v>
      </c>
      <c r="AH6285">
        <v>0</v>
      </c>
      <c r="AI6285">
        <v>0</v>
      </c>
      <c r="AJ6285">
        <v>1</v>
      </c>
      <c r="AK6285">
        <v>0</v>
      </c>
      <c r="AL6285">
        <v>0</v>
      </c>
      <c r="AM6285">
        <v>0</v>
      </c>
      <c r="AN6285">
        <v>0</v>
      </c>
      <c r="AO6285">
        <v>0</v>
      </c>
      <c r="AP6285">
        <v>0</v>
      </c>
      <c r="AQ6285">
        <v>0</v>
      </c>
      <c r="AS6285">
        <v>0</v>
      </c>
      <c r="AT6285">
        <v>0</v>
      </c>
      <c r="AV6285">
        <v>0</v>
      </c>
      <c r="AW6285">
        <v>0</v>
      </c>
      <c r="AY6285">
        <v>0</v>
      </c>
      <c r="AZ6285">
        <v>0</v>
      </c>
      <c r="BA6285">
        <v>0</v>
      </c>
      <c r="BE6285" t="str">
        <f>T("9791164099764")</f>
        <v>9791164099764</v>
      </c>
      <c r="BF6285" t="str">
        <f>T("D180748")</f>
        <v>D180748</v>
      </c>
      <c r="BG6285" t="str">
        <f>T("로판 웹소설 &gt; 서양풍 로판")</f>
        <v>로판 웹소설 &gt; 서양풍 로판</v>
      </c>
    </row>
    <row r="6286" spans="1:59">
      <c r="A6286" t="s">
        <v>60</v>
      </c>
      <c r="B6286" s="1">
        <v>46130</v>
      </c>
      <c r="C6286">
        <v>2378059762</v>
      </c>
      <c r="D6286">
        <v>2378079047</v>
      </c>
      <c r="E6286" t="str">
        <f>T("칼레이 백작가의 매맞이 하녀 추가 외전 3화")</f>
        <v>칼레이 백작가의 매맞이 하녀 추가 외전 3화</v>
      </c>
      <c r="F6286">
        <v>187</v>
      </c>
      <c r="G6286" t="str">
        <f>T("뮤사203")</f>
        <v>뮤사203</v>
      </c>
      <c r="J6286" t="str">
        <f>T("시계토끼")</f>
        <v>시계토끼</v>
      </c>
      <c r="K6286" t="str">
        <f>T("칼레이 백작가의 매맞이 하녀")</f>
        <v>칼레이 백작가의 매맞이 하녀</v>
      </c>
      <c r="L6286">
        <v>100</v>
      </c>
      <c r="M6286">
        <v>0</v>
      </c>
      <c r="N6286">
        <v>0</v>
      </c>
      <c r="O6286">
        <v>0</v>
      </c>
      <c r="P6286">
        <v>0</v>
      </c>
      <c r="Q6286">
        <v>0</v>
      </c>
      <c r="R6286">
        <v>1</v>
      </c>
      <c r="S6286">
        <v>0</v>
      </c>
      <c r="T6286">
        <v>0</v>
      </c>
      <c r="U6286">
        <v>0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0</v>
      </c>
      <c r="AE6286">
        <v>0</v>
      </c>
      <c r="AF6286">
        <v>0</v>
      </c>
      <c r="AG6286">
        <v>0</v>
      </c>
      <c r="AH6286">
        <v>0</v>
      </c>
      <c r="AI6286">
        <v>0</v>
      </c>
      <c r="AJ6286">
        <v>1</v>
      </c>
      <c r="AK6286">
        <v>0</v>
      </c>
      <c r="AL6286">
        <v>0</v>
      </c>
      <c r="AM6286">
        <v>0</v>
      </c>
      <c r="AN6286">
        <v>0</v>
      </c>
      <c r="AO6286">
        <v>0</v>
      </c>
      <c r="AP6286">
        <v>0</v>
      </c>
      <c r="AQ6286">
        <v>0</v>
      </c>
      <c r="AS6286">
        <v>0</v>
      </c>
      <c r="AT6286">
        <v>0</v>
      </c>
      <c r="AV6286">
        <v>0</v>
      </c>
      <c r="AW6286">
        <v>0</v>
      </c>
      <c r="AY6286">
        <v>0</v>
      </c>
      <c r="AZ6286">
        <v>0</v>
      </c>
      <c r="BA6286">
        <v>0</v>
      </c>
      <c r="BE6286" t="str">
        <f>T("9791164099764")</f>
        <v>9791164099764</v>
      </c>
      <c r="BF6286" t="str">
        <f>T("D180749")</f>
        <v>D180749</v>
      </c>
      <c r="BG6286" t="str">
        <f>T("로판 웹소설 &gt; 서양풍 로판")</f>
        <v>로판 웹소설 &gt; 서양풍 로판</v>
      </c>
    </row>
    <row r="6287" spans="1:59">
      <c r="A6287" t="s">
        <v>60</v>
      </c>
      <c r="B6287" s="1">
        <v>46130</v>
      </c>
      <c r="C6287">
        <v>2378059762</v>
      </c>
      <c r="D6287">
        <v>2378079048</v>
      </c>
      <c r="E6287" t="str">
        <f>T("칼레이 백작가의 매맞이 하녀 추가 외전 4화")</f>
        <v>칼레이 백작가의 매맞이 하녀 추가 외전 4화</v>
      </c>
      <c r="F6287">
        <v>188</v>
      </c>
      <c r="G6287" t="str">
        <f>T("뮤사203")</f>
        <v>뮤사203</v>
      </c>
      <c r="J6287" t="str">
        <f>T("시계토끼")</f>
        <v>시계토끼</v>
      </c>
      <c r="K6287" t="str">
        <f>T("칼레이 백작가의 매맞이 하녀")</f>
        <v>칼레이 백작가의 매맞이 하녀</v>
      </c>
      <c r="L6287">
        <v>100</v>
      </c>
      <c r="M6287">
        <v>100</v>
      </c>
      <c r="N6287">
        <v>1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0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0</v>
      </c>
      <c r="AE6287">
        <v>0</v>
      </c>
      <c r="AF6287">
        <v>0</v>
      </c>
      <c r="AG6287">
        <v>0</v>
      </c>
      <c r="AH6287">
        <v>0</v>
      </c>
      <c r="AI6287">
        <v>100</v>
      </c>
      <c r="AJ6287">
        <v>1</v>
      </c>
      <c r="AK6287">
        <v>0</v>
      </c>
      <c r="AL6287">
        <v>0</v>
      </c>
      <c r="AM6287">
        <v>100</v>
      </c>
      <c r="AN6287">
        <v>0</v>
      </c>
      <c r="AO6287">
        <v>0</v>
      </c>
      <c r="AP6287">
        <v>0</v>
      </c>
      <c r="AQ6287">
        <v>0</v>
      </c>
      <c r="AS6287">
        <v>0</v>
      </c>
      <c r="AT6287">
        <v>0</v>
      </c>
      <c r="AV6287">
        <v>0</v>
      </c>
      <c r="AW6287">
        <v>0</v>
      </c>
      <c r="AY6287">
        <v>0</v>
      </c>
      <c r="AZ6287">
        <v>0</v>
      </c>
      <c r="BA6287">
        <v>70</v>
      </c>
      <c r="BE6287" t="str">
        <f>T("9791164099764")</f>
        <v>9791164099764</v>
      </c>
      <c r="BF6287" t="str">
        <f>T("D180750")</f>
        <v>D180750</v>
      </c>
      <c r="BG6287" t="str">
        <f>T("로판 웹소설 &gt; 서양풍 로판")</f>
        <v>로판 웹소설 &gt; 서양풍 로판</v>
      </c>
    </row>
    <row r="6288" spans="1:59">
      <c r="A6288" t="s">
        <v>60</v>
      </c>
      <c r="B6288" s="1">
        <v>46130</v>
      </c>
      <c r="C6288">
        <v>2378059762</v>
      </c>
      <c r="D6288">
        <v>2378079049</v>
      </c>
      <c r="E6288" t="str">
        <f>T("칼레이 백작가의 매맞이 하녀 추가 외전 5화")</f>
        <v>칼레이 백작가의 매맞이 하녀 추가 외전 5화</v>
      </c>
      <c r="F6288">
        <v>189</v>
      </c>
      <c r="G6288" t="str">
        <f>T("뮤사203")</f>
        <v>뮤사203</v>
      </c>
      <c r="J6288" t="str">
        <f>T("시계토끼")</f>
        <v>시계토끼</v>
      </c>
      <c r="K6288" t="str">
        <f>T("칼레이 백작가의 매맞이 하녀")</f>
        <v>칼레이 백작가의 매맞이 하녀</v>
      </c>
      <c r="L6288">
        <v>100</v>
      </c>
      <c r="M6288">
        <v>100</v>
      </c>
      <c r="N6288">
        <v>1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0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0</v>
      </c>
      <c r="AE6288">
        <v>0</v>
      </c>
      <c r="AF6288">
        <v>0</v>
      </c>
      <c r="AG6288">
        <v>0</v>
      </c>
      <c r="AH6288">
        <v>0</v>
      </c>
      <c r="AI6288">
        <v>100</v>
      </c>
      <c r="AJ6288">
        <v>1</v>
      </c>
      <c r="AK6288">
        <v>0</v>
      </c>
      <c r="AL6288">
        <v>0</v>
      </c>
      <c r="AM6288">
        <v>100</v>
      </c>
      <c r="AN6288">
        <v>0</v>
      </c>
      <c r="AO6288">
        <v>0</v>
      </c>
      <c r="AP6288">
        <v>0</v>
      </c>
      <c r="AQ6288">
        <v>0</v>
      </c>
      <c r="AS6288">
        <v>0</v>
      </c>
      <c r="AT6288">
        <v>0</v>
      </c>
      <c r="AV6288">
        <v>0</v>
      </c>
      <c r="AW6288">
        <v>0</v>
      </c>
      <c r="AY6288">
        <v>0</v>
      </c>
      <c r="AZ6288">
        <v>0</v>
      </c>
      <c r="BA6288">
        <v>70</v>
      </c>
      <c r="BE6288" t="str">
        <f>T("9791164099764")</f>
        <v>9791164099764</v>
      </c>
      <c r="BF6288" t="str">
        <f>T("D180751")</f>
        <v>D180751</v>
      </c>
      <c r="BG6288" t="str">
        <f>T("로판 웹소설 &gt; 서양풍 로판")</f>
        <v>로판 웹소설 &gt; 서양풍 로판</v>
      </c>
    </row>
    <row r="6289" spans="1:59">
      <c r="A6289" t="s">
        <v>60</v>
      </c>
      <c r="B6289" s="1">
        <v>46130</v>
      </c>
      <c r="C6289">
        <v>2378059762</v>
      </c>
      <c r="D6289">
        <v>2378079050</v>
      </c>
      <c r="E6289" t="str">
        <f>T("칼레이 백작가의 매맞이 하녀 추가 외전 6화")</f>
        <v>칼레이 백작가의 매맞이 하녀 추가 외전 6화</v>
      </c>
      <c r="F6289">
        <v>190</v>
      </c>
      <c r="G6289" t="str">
        <f>T("뮤사203")</f>
        <v>뮤사203</v>
      </c>
      <c r="J6289" t="str">
        <f>T("시계토끼")</f>
        <v>시계토끼</v>
      </c>
      <c r="K6289" t="str">
        <f>T("칼레이 백작가의 매맞이 하녀")</f>
        <v>칼레이 백작가의 매맞이 하녀</v>
      </c>
      <c r="L6289">
        <v>100</v>
      </c>
      <c r="M6289">
        <v>100</v>
      </c>
      <c r="N6289">
        <v>1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0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0</v>
      </c>
      <c r="AE6289">
        <v>0</v>
      </c>
      <c r="AF6289">
        <v>0</v>
      </c>
      <c r="AG6289">
        <v>0</v>
      </c>
      <c r="AH6289">
        <v>0</v>
      </c>
      <c r="AI6289">
        <v>100</v>
      </c>
      <c r="AJ6289">
        <v>1</v>
      </c>
      <c r="AK6289">
        <v>0</v>
      </c>
      <c r="AL6289">
        <v>0</v>
      </c>
      <c r="AM6289">
        <v>100</v>
      </c>
      <c r="AN6289">
        <v>0</v>
      </c>
      <c r="AO6289">
        <v>0</v>
      </c>
      <c r="AP6289">
        <v>0</v>
      </c>
      <c r="AQ6289">
        <v>0</v>
      </c>
      <c r="AS6289">
        <v>0</v>
      </c>
      <c r="AT6289">
        <v>0</v>
      </c>
      <c r="AV6289">
        <v>0</v>
      </c>
      <c r="AW6289">
        <v>0</v>
      </c>
      <c r="AY6289">
        <v>0</v>
      </c>
      <c r="AZ6289">
        <v>0</v>
      </c>
      <c r="BA6289">
        <v>70</v>
      </c>
      <c r="BE6289" t="str">
        <f>T("9791164099764")</f>
        <v>9791164099764</v>
      </c>
      <c r="BF6289" t="str">
        <f>T("D180752")</f>
        <v>D180752</v>
      </c>
      <c r="BG6289" t="str">
        <f>T("로판 웹소설 &gt; 서양풍 로판")</f>
        <v>로판 웹소설 &gt; 서양풍 로판</v>
      </c>
    </row>
    <row r="6290" spans="1:59">
      <c r="A6290" t="s">
        <v>60</v>
      </c>
      <c r="B6290" s="1">
        <v>46130</v>
      </c>
      <c r="C6290">
        <v>2378059762</v>
      </c>
      <c r="D6290">
        <v>2378079051</v>
      </c>
      <c r="E6290" t="str">
        <f>T("칼레이 백작가의 매맞이 하녀 추가 외전 7화")</f>
        <v>칼레이 백작가의 매맞이 하녀 추가 외전 7화</v>
      </c>
      <c r="F6290">
        <v>191</v>
      </c>
      <c r="G6290" t="str">
        <f>T("뮤사203")</f>
        <v>뮤사203</v>
      </c>
      <c r="J6290" t="str">
        <f>T("시계토끼")</f>
        <v>시계토끼</v>
      </c>
      <c r="K6290" t="str">
        <f>T("칼레이 백작가의 매맞이 하녀")</f>
        <v>칼레이 백작가의 매맞이 하녀</v>
      </c>
      <c r="L6290">
        <v>100</v>
      </c>
      <c r="M6290">
        <v>100</v>
      </c>
      <c r="N6290">
        <v>1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0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0</v>
      </c>
      <c r="AE6290">
        <v>0</v>
      </c>
      <c r="AF6290">
        <v>0</v>
      </c>
      <c r="AG6290">
        <v>0</v>
      </c>
      <c r="AH6290">
        <v>0</v>
      </c>
      <c r="AI6290">
        <v>100</v>
      </c>
      <c r="AJ6290">
        <v>1</v>
      </c>
      <c r="AK6290">
        <v>0</v>
      </c>
      <c r="AL6290">
        <v>0</v>
      </c>
      <c r="AM6290">
        <v>100</v>
      </c>
      <c r="AN6290">
        <v>0</v>
      </c>
      <c r="AO6290">
        <v>0</v>
      </c>
      <c r="AP6290">
        <v>0</v>
      </c>
      <c r="AQ6290">
        <v>0</v>
      </c>
      <c r="AS6290">
        <v>0</v>
      </c>
      <c r="AT6290">
        <v>0</v>
      </c>
      <c r="AV6290">
        <v>0</v>
      </c>
      <c r="AW6290">
        <v>0</v>
      </c>
      <c r="AY6290">
        <v>0</v>
      </c>
      <c r="AZ6290">
        <v>0</v>
      </c>
      <c r="BA6290">
        <v>70</v>
      </c>
      <c r="BE6290" t="str">
        <f>T("9791164099764")</f>
        <v>9791164099764</v>
      </c>
      <c r="BF6290" t="str">
        <f>T("D180753")</f>
        <v>D180753</v>
      </c>
      <c r="BG6290" t="str">
        <f>T("로판 웹소설 &gt; 서양풍 로판")</f>
        <v>로판 웹소설 &gt; 서양풍 로판</v>
      </c>
    </row>
    <row r="6291" spans="1:59">
      <c r="A6291" t="s">
        <v>60</v>
      </c>
      <c r="B6291" s="1">
        <v>46130</v>
      </c>
      <c r="C6291">
        <v>2378059762</v>
      </c>
      <c r="D6291">
        <v>2378079052</v>
      </c>
      <c r="E6291" t="str">
        <f>T("칼레이 백작가의 매맞이 하녀 추가 외전 8화")</f>
        <v>칼레이 백작가의 매맞이 하녀 추가 외전 8화</v>
      </c>
      <c r="F6291">
        <v>192</v>
      </c>
      <c r="G6291" t="str">
        <f>T("뮤사203")</f>
        <v>뮤사203</v>
      </c>
      <c r="J6291" t="str">
        <f>T("시계토끼")</f>
        <v>시계토끼</v>
      </c>
      <c r="K6291" t="str">
        <f>T("칼레이 백작가의 매맞이 하녀")</f>
        <v>칼레이 백작가의 매맞이 하녀</v>
      </c>
      <c r="L6291">
        <v>100</v>
      </c>
      <c r="M6291">
        <v>100</v>
      </c>
      <c r="N6291">
        <v>1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0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0</v>
      </c>
      <c r="AE6291">
        <v>0</v>
      </c>
      <c r="AF6291">
        <v>0</v>
      </c>
      <c r="AG6291">
        <v>0</v>
      </c>
      <c r="AH6291">
        <v>0</v>
      </c>
      <c r="AI6291">
        <v>100</v>
      </c>
      <c r="AJ6291">
        <v>1</v>
      </c>
      <c r="AK6291">
        <v>0</v>
      </c>
      <c r="AL6291">
        <v>0</v>
      </c>
      <c r="AM6291">
        <v>100</v>
      </c>
      <c r="AN6291">
        <v>0</v>
      </c>
      <c r="AO6291">
        <v>0</v>
      </c>
      <c r="AP6291">
        <v>0</v>
      </c>
      <c r="AQ6291">
        <v>0</v>
      </c>
      <c r="AS6291">
        <v>0</v>
      </c>
      <c r="AT6291">
        <v>0</v>
      </c>
      <c r="AV6291">
        <v>0</v>
      </c>
      <c r="AW6291">
        <v>0</v>
      </c>
      <c r="AY6291">
        <v>0</v>
      </c>
      <c r="AZ6291">
        <v>0</v>
      </c>
      <c r="BA6291">
        <v>70</v>
      </c>
      <c r="BE6291" t="str">
        <f>T("9791164099764")</f>
        <v>9791164099764</v>
      </c>
      <c r="BF6291" t="str">
        <f>T("D180754")</f>
        <v>D180754</v>
      </c>
      <c r="BG6291" t="str">
        <f>T("로판 웹소설 &gt; 서양풍 로판")</f>
        <v>로판 웹소설 &gt; 서양풍 로판</v>
      </c>
    </row>
    <row r="6292" spans="1:59">
      <c r="A6292" t="s">
        <v>60</v>
      </c>
      <c r="B6292" s="1">
        <v>46130</v>
      </c>
      <c r="C6292">
        <v>2378059762</v>
      </c>
      <c r="D6292">
        <v>2378079053</v>
      </c>
      <c r="E6292" t="str">
        <f>T("칼레이 백작가의 매맞이 하녀 추가 외전 9화")</f>
        <v>칼레이 백작가의 매맞이 하녀 추가 외전 9화</v>
      </c>
      <c r="F6292">
        <v>193</v>
      </c>
      <c r="G6292" t="str">
        <f>T("뮤사203")</f>
        <v>뮤사203</v>
      </c>
      <c r="J6292" t="str">
        <f>T("시계토끼")</f>
        <v>시계토끼</v>
      </c>
      <c r="K6292" t="str">
        <f>T("칼레이 백작가의 매맞이 하녀")</f>
        <v>칼레이 백작가의 매맞이 하녀</v>
      </c>
      <c r="L6292">
        <v>100</v>
      </c>
      <c r="M6292">
        <v>100</v>
      </c>
      <c r="N6292">
        <v>1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0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0</v>
      </c>
      <c r="AE6292">
        <v>0</v>
      </c>
      <c r="AF6292">
        <v>0</v>
      </c>
      <c r="AG6292">
        <v>0</v>
      </c>
      <c r="AH6292">
        <v>0</v>
      </c>
      <c r="AI6292">
        <v>100</v>
      </c>
      <c r="AJ6292">
        <v>1</v>
      </c>
      <c r="AK6292">
        <v>0</v>
      </c>
      <c r="AL6292">
        <v>0</v>
      </c>
      <c r="AM6292">
        <v>100</v>
      </c>
      <c r="AN6292">
        <v>0</v>
      </c>
      <c r="AO6292">
        <v>0</v>
      </c>
      <c r="AP6292">
        <v>0</v>
      </c>
      <c r="AQ6292">
        <v>0</v>
      </c>
      <c r="AS6292">
        <v>0</v>
      </c>
      <c r="AT6292">
        <v>0</v>
      </c>
      <c r="AV6292">
        <v>0</v>
      </c>
      <c r="AW6292">
        <v>0</v>
      </c>
      <c r="AY6292">
        <v>0</v>
      </c>
      <c r="AZ6292">
        <v>0</v>
      </c>
      <c r="BA6292">
        <v>70</v>
      </c>
      <c r="BE6292" t="str">
        <f>T("9791164099764")</f>
        <v>9791164099764</v>
      </c>
      <c r="BF6292" t="str">
        <f>T("D180755")</f>
        <v>D180755</v>
      </c>
      <c r="BG6292" t="str">
        <f>T("로판 웹소설 &gt; 서양풍 로판")</f>
        <v>로판 웹소설 &gt; 서양풍 로판</v>
      </c>
    </row>
    <row r="6293" spans="1:59">
      <c r="A6293" t="s">
        <v>60</v>
      </c>
      <c r="B6293" s="1">
        <v>46130</v>
      </c>
      <c r="C6293">
        <v>2378059762</v>
      </c>
      <c r="D6293">
        <v>2378079054</v>
      </c>
      <c r="E6293" t="str">
        <f>T("칼레이 백작가의 매맞이 하녀 추가 외전 10화")</f>
        <v>칼레이 백작가의 매맞이 하녀 추가 외전 10화</v>
      </c>
      <c r="F6293">
        <v>194</v>
      </c>
      <c r="G6293" t="str">
        <f>T("뮤사203")</f>
        <v>뮤사203</v>
      </c>
      <c r="J6293" t="str">
        <f>T("시계토끼")</f>
        <v>시계토끼</v>
      </c>
      <c r="K6293" t="str">
        <f>T("칼레이 백작가의 매맞이 하녀")</f>
        <v>칼레이 백작가의 매맞이 하녀</v>
      </c>
      <c r="L6293">
        <v>100</v>
      </c>
      <c r="M6293">
        <v>100</v>
      </c>
      <c r="N6293">
        <v>1</v>
      </c>
      <c r="O6293">
        <v>0</v>
      </c>
      <c r="P6293">
        <v>100</v>
      </c>
      <c r="Q6293">
        <v>1</v>
      </c>
      <c r="R6293">
        <v>1</v>
      </c>
      <c r="S6293">
        <v>0</v>
      </c>
      <c r="T6293">
        <v>0</v>
      </c>
      <c r="U6293">
        <v>0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0</v>
      </c>
      <c r="AE6293">
        <v>0</v>
      </c>
      <c r="AF6293">
        <v>0</v>
      </c>
      <c r="AG6293">
        <v>0</v>
      </c>
      <c r="AH6293">
        <v>0</v>
      </c>
      <c r="AI6293">
        <v>200</v>
      </c>
      <c r="AJ6293">
        <v>3</v>
      </c>
      <c r="AK6293">
        <v>0</v>
      </c>
      <c r="AL6293">
        <v>0</v>
      </c>
      <c r="AM6293">
        <v>200</v>
      </c>
      <c r="AN6293">
        <v>0</v>
      </c>
      <c r="AO6293">
        <v>0</v>
      </c>
      <c r="AP6293">
        <v>0</v>
      </c>
      <c r="AQ6293">
        <v>0</v>
      </c>
      <c r="AS6293">
        <v>0</v>
      </c>
      <c r="AT6293">
        <v>0</v>
      </c>
      <c r="AV6293">
        <v>0</v>
      </c>
      <c r="AW6293">
        <v>0</v>
      </c>
      <c r="AY6293">
        <v>0</v>
      </c>
      <c r="AZ6293">
        <v>0</v>
      </c>
      <c r="BA6293">
        <v>140</v>
      </c>
      <c r="BE6293" t="str">
        <f>T("9791164099764")</f>
        <v>9791164099764</v>
      </c>
      <c r="BF6293" t="str">
        <f>T("D180756")</f>
        <v>D180756</v>
      </c>
      <c r="BG6293" t="str">
        <f>T("로판 웹소설 &gt; 서양풍 로판")</f>
        <v>로판 웹소설 &gt; 서양풍 로판</v>
      </c>
    </row>
    <row r="6294" spans="1:59">
      <c r="A6294" t="s">
        <v>60</v>
      </c>
      <c r="B6294" s="1">
        <v>46130</v>
      </c>
      <c r="C6294">
        <v>2378059762</v>
      </c>
      <c r="D6294">
        <v>2378066475</v>
      </c>
      <c r="E6294" t="str">
        <f>T("칼레이 백작가의 매맞이 하녀 153화 (완결)")</f>
        <v>칼레이 백작가의 매맞이 하녀 153화 (완결)</v>
      </c>
      <c r="F6294">
        <v>153</v>
      </c>
      <c r="G6294" t="str">
        <f>T("뮤사203")</f>
        <v>뮤사203</v>
      </c>
      <c r="J6294" t="str">
        <f>T("시계토끼")</f>
        <v>시계토끼</v>
      </c>
      <c r="K6294" t="str">
        <f>T("칼레이 백작가의 매맞이 하녀")</f>
        <v>칼레이 백작가의 매맞이 하녀</v>
      </c>
      <c r="L6294">
        <v>100</v>
      </c>
      <c r="M6294">
        <v>100</v>
      </c>
      <c r="N6294">
        <v>1</v>
      </c>
      <c r="O6294">
        <v>0</v>
      </c>
      <c r="P6294">
        <v>100</v>
      </c>
      <c r="Q6294">
        <v>1</v>
      </c>
      <c r="R6294">
        <v>0</v>
      </c>
      <c r="S6294">
        <v>0</v>
      </c>
      <c r="T6294">
        <v>0</v>
      </c>
      <c r="U6294">
        <v>0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0</v>
      </c>
      <c r="AE6294">
        <v>0</v>
      </c>
      <c r="AF6294">
        <v>0</v>
      </c>
      <c r="AG6294">
        <v>0</v>
      </c>
      <c r="AH6294">
        <v>0</v>
      </c>
      <c r="AI6294">
        <v>200</v>
      </c>
      <c r="AJ6294">
        <v>2</v>
      </c>
      <c r="AK6294">
        <v>0</v>
      </c>
      <c r="AL6294">
        <v>0</v>
      </c>
      <c r="AM6294">
        <v>100</v>
      </c>
      <c r="AN6294">
        <v>0</v>
      </c>
      <c r="AO6294">
        <v>120</v>
      </c>
      <c r="AP6294">
        <v>-12</v>
      </c>
      <c r="AQ6294">
        <v>0</v>
      </c>
      <c r="AS6294">
        <v>0</v>
      </c>
      <c r="AT6294">
        <v>0</v>
      </c>
      <c r="AU6294">
        <v>120</v>
      </c>
      <c r="AV6294">
        <v>-12</v>
      </c>
      <c r="AW6294">
        <v>0</v>
      </c>
      <c r="AY6294">
        <v>0</v>
      </c>
      <c r="AZ6294">
        <v>0</v>
      </c>
      <c r="BA6294">
        <v>145.6</v>
      </c>
      <c r="BE6294" t="str">
        <f>T("9791164099764")</f>
        <v>9791164099764</v>
      </c>
      <c r="BF6294" t="str">
        <f>T("k300781")</f>
        <v>k300781</v>
      </c>
      <c r="BG6294" t="str">
        <f>T("로판 웹소설 &gt; 서양풍 로판")</f>
        <v>로판 웹소설 &gt; 서양풍 로판</v>
      </c>
    </row>
    <row r="6295" spans="1:59">
      <c r="A6295" t="s">
        <v>60</v>
      </c>
      <c r="B6295" s="1">
        <v>46130</v>
      </c>
      <c r="C6295">
        <v>2378059762</v>
      </c>
      <c r="D6295">
        <v>2378066473</v>
      </c>
      <c r="E6295" t="str">
        <f>T("칼레이 백작가의 매맞이 하녀 151화")</f>
        <v>칼레이 백작가의 매맞이 하녀 151화</v>
      </c>
      <c r="F6295">
        <v>151</v>
      </c>
      <c r="G6295" t="str">
        <f>T("뮤사203")</f>
        <v>뮤사203</v>
      </c>
      <c r="J6295" t="str">
        <f>T("시계토끼")</f>
        <v>시계토끼</v>
      </c>
      <c r="K6295" t="str">
        <f>T("칼레이 백작가의 매맞이 하녀")</f>
        <v>칼레이 백작가의 매맞이 하녀</v>
      </c>
      <c r="L6295">
        <v>100</v>
      </c>
      <c r="M6295">
        <v>300</v>
      </c>
      <c r="N6295">
        <v>3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0</v>
      </c>
      <c r="AE6295">
        <v>0</v>
      </c>
      <c r="AF6295">
        <v>0</v>
      </c>
      <c r="AG6295">
        <v>0</v>
      </c>
      <c r="AH6295">
        <v>0</v>
      </c>
      <c r="AI6295">
        <v>300</v>
      </c>
      <c r="AJ6295">
        <v>3</v>
      </c>
      <c r="AK6295">
        <v>0</v>
      </c>
      <c r="AL6295">
        <v>0</v>
      </c>
      <c r="AM6295">
        <v>200</v>
      </c>
      <c r="AN6295">
        <v>0</v>
      </c>
      <c r="AO6295">
        <v>120</v>
      </c>
      <c r="AP6295">
        <v>-12</v>
      </c>
      <c r="AQ6295">
        <v>0</v>
      </c>
      <c r="AS6295">
        <v>0</v>
      </c>
      <c r="AT6295">
        <v>0</v>
      </c>
      <c r="AU6295">
        <v>120</v>
      </c>
      <c r="AV6295">
        <v>-12</v>
      </c>
      <c r="AW6295">
        <v>0</v>
      </c>
      <c r="AY6295">
        <v>0</v>
      </c>
      <c r="AZ6295">
        <v>0</v>
      </c>
      <c r="BA6295">
        <v>215.6</v>
      </c>
      <c r="BE6295" t="str">
        <f>T("9791164099764")</f>
        <v>9791164099764</v>
      </c>
      <c r="BF6295" t="str">
        <f>T("k300779")</f>
        <v>k300779</v>
      </c>
      <c r="BG6295" t="str">
        <f>T("로판 웹소설 &gt; 서양풍 로판")</f>
        <v>로판 웹소설 &gt; 서양풍 로판</v>
      </c>
    </row>
    <row r="6296" spans="1:59">
      <c r="A6296" t="s">
        <v>60</v>
      </c>
      <c r="B6296" s="1">
        <v>46130</v>
      </c>
      <c r="C6296">
        <v>2378059762</v>
      </c>
      <c r="D6296">
        <v>2378059762</v>
      </c>
      <c r="E6296" t="str">
        <f>T("칼레이 백작가의 매맞이 하녀 1화")</f>
        <v>칼레이 백작가의 매맞이 하녀 1화</v>
      </c>
      <c r="F6296">
        <v>1</v>
      </c>
      <c r="G6296" t="str">
        <f>T("뮤사203")</f>
        <v>뮤사203</v>
      </c>
      <c r="J6296" t="str">
        <f>T("시계토끼")</f>
        <v>시계토끼</v>
      </c>
      <c r="K6296" t="str">
        <f>T("칼레이 백작가의 매맞이 하녀")</f>
        <v>칼레이 백작가의 매맞이 하녀</v>
      </c>
      <c r="L6296">
        <v>0</v>
      </c>
      <c r="M6296">
        <v>0</v>
      </c>
      <c r="N6296">
        <v>0</v>
      </c>
      <c r="O6296">
        <v>4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0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0</v>
      </c>
      <c r="AE6296">
        <v>0</v>
      </c>
      <c r="AF6296">
        <v>0</v>
      </c>
      <c r="AG6296">
        <v>0</v>
      </c>
      <c r="AH6296">
        <v>0</v>
      </c>
      <c r="AI6296">
        <v>0</v>
      </c>
      <c r="AJ6296">
        <v>4</v>
      </c>
      <c r="AK6296">
        <v>0</v>
      </c>
      <c r="AL6296">
        <v>0</v>
      </c>
      <c r="AM6296">
        <v>0</v>
      </c>
      <c r="AN6296">
        <v>0</v>
      </c>
      <c r="AO6296">
        <v>0</v>
      </c>
      <c r="AP6296">
        <v>0</v>
      </c>
      <c r="AQ6296">
        <v>0</v>
      </c>
      <c r="AS6296">
        <v>0</v>
      </c>
      <c r="AT6296">
        <v>0</v>
      </c>
      <c r="AV6296">
        <v>0</v>
      </c>
      <c r="AW6296">
        <v>0</v>
      </c>
      <c r="AY6296">
        <v>0</v>
      </c>
      <c r="AZ6296">
        <v>0</v>
      </c>
      <c r="BA6296">
        <v>0</v>
      </c>
      <c r="BE6296" t="str">
        <f>T("9791164099764")</f>
        <v>9791164099764</v>
      </c>
      <c r="BF6296" t="str">
        <f>T("k201680")</f>
        <v>k201680</v>
      </c>
      <c r="BG6296" t="str">
        <f>T("로판 웹소설 &gt; 서양풍 로판")</f>
        <v>로판 웹소설 &gt; 서양풍 로판</v>
      </c>
    </row>
    <row r="6297" spans="1:59">
      <c r="A6297" t="s">
        <v>60</v>
      </c>
      <c r="B6297" s="1">
        <v>46130</v>
      </c>
      <c r="C6297">
        <v>2378059762</v>
      </c>
      <c r="D6297">
        <v>2378061950</v>
      </c>
      <c r="E6297" t="str">
        <f>T("칼레이 백작가의 매맞이 하녀 89화")</f>
        <v>칼레이 백작가의 매맞이 하녀 89화</v>
      </c>
      <c r="F6297">
        <v>89</v>
      </c>
      <c r="G6297" t="str">
        <f>T("뮤사203")</f>
        <v>뮤사203</v>
      </c>
      <c r="J6297" t="str">
        <f>T("시계토끼")</f>
        <v>시계토끼</v>
      </c>
      <c r="K6297" t="str">
        <f>T("칼레이 백작가의 매맞이 하녀")</f>
        <v>칼레이 백작가의 매맞이 하녀</v>
      </c>
      <c r="L6297">
        <v>100</v>
      </c>
      <c r="M6297">
        <v>0</v>
      </c>
      <c r="N6297">
        <v>0</v>
      </c>
      <c r="O6297">
        <v>0</v>
      </c>
      <c r="P6297">
        <v>100</v>
      </c>
      <c r="Q6297">
        <v>1</v>
      </c>
      <c r="R6297">
        <v>0</v>
      </c>
      <c r="S6297">
        <v>0</v>
      </c>
      <c r="T6297">
        <v>0</v>
      </c>
      <c r="U6297">
        <v>0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0</v>
      </c>
      <c r="AE6297">
        <v>0</v>
      </c>
      <c r="AF6297">
        <v>0</v>
      </c>
      <c r="AG6297">
        <v>0</v>
      </c>
      <c r="AH6297">
        <v>0</v>
      </c>
      <c r="AI6297">
        <v>100</v>
      </c>
      <c r="AJ6297">
        <v>1</v>
      </c>
      <c r="AK6297">
        <v>0</v>
      </c>
      <c r="AL6297">
        <v>0</v>
      </c>
      <c r="AM6297">
        <v>100</v>
      </c>
      <c r="AN6297">
        <v>0</v>
      </c>
      <c r="AO6297">
        <v>0</v>
      </c>
      <c r="AP6297">
        <v>0</v>
      </c>
      <c r="AQ6297">
        <v>0</v>
      </c>
      <c r="AS6297">
        <v>0</v>
      </c>
      <c r="AT6297">
        <v>0</v>
      </c>
      <c r="AV6297">
        <v>0</v>
      </c>
      <c r="AW6297">
        <v>0</v>
      </c>
      <c r="AY6297">
        <v>0</v>
      </c>
      <c r="AZ6297">
        <v>0</v>
      </c>
      <c r="BA6297">
        <v>70</v>
      </c>
      <c r="BE6297" t="str">
        <f>T("9791164099764")</f>
        <v>9791164099764</v>
      </c>
      <c r="BF6297" t="str">
        <f>T("k225189")</f>
        <v>k225189</v>
      </c>
      <c r="BG6297" t="str">
        <f>T("로판 웹소설 &gt; 서양풍 로판")</f>
        <v>로판 웹소설 &gt; 서양풍 로판</v>
      </c>
    </row>
    <row r="6298" spans="1:59">
      <c r="A6298" t="s">
        <v>60</v>
      </c>
      <c r="B6298" s="1">
        <v>46130</v>
      </c>
      <c r="C6298">
        <v>2378059762</v>
      </c>
      <c r="D6298">
        <v>2378059763</v>
      </c>
      <c r="E6298" t="str">
        <f>T("칼레이 백작가의 매맞이 하녀 2화")</f>
        <v>칼레이 백작가의 매맞이 하녀 2화</v>
      </c>
      <c r="F6298">
        <v>2</v>
      </c>
      <c r="G6298" t="str">
        <f>T("뮤사203")</f>
        <v>뮤사203</v>
      </c>
      <c r="J6298" t="str">
        <f>T("시계토끼")</f>
        <v>시계토끼</v>
      </c>
      <c r="K6298" t="str">
        <f>T("칼레이 백작가의 매맞이 하녀")</f>
        <v>칼레이 백작가의 매맞이 하녀</v>
      </c>
      <c r="L6298">
        <v>0</v>
      </c>
      <c r="M6298">
        <v>0</v>
      </c>
      <c r="N6298">
        <v>0</v>
      </c>
      <c r="O6298">
        <v>3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0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0</v>
      </c>
      <c r="AE6298">
        <v>0</v>
      </c>
      <c r="AF6298">
        <v>0</v>
      </c>
      <c r="AG6298">
        <v>0</v>
      </c>
      <c r="AH6298">
        <v>0</v>
      </c>
      <c r="AI6298">
        <v>0</v>
      </c>
      <c r="AJ6298">
        <v>3</v>
      </c>
      <c r="AK6298">
        <v>0</v>
      </c>
      <c r="AL6298">
        <v>0</v>
      </c>
      <c r="AM6298">
        <v>0</v>
      </c>
      <c r="AN6298">
        <v>0</v>
      </c>
      <c r="AO6298">
        <v>0</v>
      </c>
      <c r="AP6298">
        <v>0</v>
      </c>
      <c r="AQ6298">
        <v>0</v>
      </c>
      <c r="AS6298">
        <v>0</v>
      </c>
      <c r="AT6298">
        <v>0</v>
      </c>
      <c r="AV6298">
        <v>0</v>
      </c>
      <c r="AW6298">
        <v>0</v>
      </c>
      <c r="AY6298">
        <v>0</v>
      </c>
      <c r="AZ6298">
        <v>0</v>
      </c>
      <c r="BA6298">
        <v>0</v>
      </c>
      <c r="BE6298" t="str">
        <f>T("9791164099764")</f>
        <v>9791164099764</v>
      </c>
      <c r="BF6298" t="str">
        <f>T("k201681")</f>
        <v>k201681</v>
      </c>
      <c r="BG6298" t="str">
        <f>T("로판 웹소설 &gt; 서양풍 로판")</f>
        <v>로판 웹소설 &gt; 서양풍 로판</v>
      </c>
    </row>
    <row r="6299" spans="1:59">
      <c r="A6299" t="s">
        <v>60</v>
      </c>
      <c r="B6299" s="1">
        <v>46130</v>
      </c>
      <c r="C6299">
        <v>2378059762</v>
      </c>
      <c r="D6299">
        <v>2378059764</v>
      </c>
      <c r="E6299" t="str">
        <f>T("칼레이 백작가의 매맞이 하녀 3화")</f>
        <v>칼레이 백작가의 매맞이 하녀 3화</v>
      </c>
      <c r="F6299">
        <v>3</v>
      </c>
      <c r="G6299" t="str">
        <f>T("뮤사203")</f>
        <v>뮤사203</v>
      </c>
      <c r="J6299" t="str">
        <f>T("시계토끼")</f>
        <v>시계토끼</v>
      </c>
      <c r="K6299" t="str">
        <f>T("칼레이 백작가의 매맞이 하녀")</f>
        <v>칼레이 백작가의 매맞이 하녀</v>
      </c>
      <c r="L6299">
        <v>0</v>
      </c>
      <c r="M6299">
        <v>0</v>
      </c>
      <c r="N6299">
        <v>0</v>
      </c>
      <c r="O6299">
        <v>3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0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0</v>
      </c>
      <c r="AE6299">
        <v>0</v>
      </c>
      <c r="AF6299">
        <v>0</v>
      </c>
      <c r="AG6299">
        <v>0</v>
      </c>
      <c r="AH6299">
        <v>0</v>
      </c>
      <c r="AI6299">
        <v>0</v>
      </c>
      <c r="AJ6299">
        <v>3</v>
      </c>
      <c r="AK6299">
        <v>0</v>
      </c>
      <c r="AL6299">
        <v>0</v>
      </c>
      <c r="AM6299">
        <v>0</v>
      </c>
      <c r="AN6299">
        <v>0</v>
      </c>
      <c r="AO6299">
        <v>0</v>
      </c>
      <c r="AP6299">
        <v>0</v>
      </c>
      <c r="AQ6299">
        <v>0</v>
      </c>
      <c r="AS6299">
        <v>0</v>
      </c>
      <c r="AT6299">
        <v>0</v>
      </c>
      <c r="AV6299">
        <v>0</v>
      </c>
      <c r="AW6299">
        <v>0</v>
      </c>
      <c r="AY6299">
        <v>0</v>
      </c>
      <c r="AZ6299">
        <v>0</v>
      </c>
      <c r="BA6299">
        <v>0</v>
      </c>
      <c r="BE6299" t="str">
        <f>T("9791164099764")</f>
        <v>9791164099764</v>
      </c>
      <c r="BF6299" t="str">
        <f>T("k201682")</f>
        <v>k201682</v>
      </c>
      <c r="BG6299" t="str">
        <f>T("로판 웹소설 &gt; 서양풍 로판")</f>
        <v>로판 웹소설 &gt; 서양풍 로판</v>
      </c>
    </row>
    <row r="6300" spans="1:59">
      <c r="A6300" t="s">
        <v>60</v>
      </c>
      <c r="B6300" s="1">
        <v>46130</v>
      </c>
      <c r="C6300">
        <v>2378059762</v>
      </c>
      <c r="D6300">
        <v>2378068925</v>
      </c>
      <c r="E6300" t="str">
        <f>T("칼레이 백작가의 매맞이 하녀 외전 3화")</f>
        <v>칼레이 백작가의 매맞이 하녀 외전 3화</v>
      </c>
      <c r="F6300">
        <v>156</v>
      </c>
      <c r="G6300" t="str">
        <f>T("뮤사203")</f>
        <v>뮤사203</v>
      </c>
      <c r="J6300" t="str">
        <f>T("시계토끼")</f>
        <v>시계토끼</v>
      </c>
      <c r="K6300" t="str">
        <f>T("칼레이 백작가의 매맞이 하녀")</f>
        <v>칼레이 백작가의 매맞이 하녀</v>
      </c>
      <c r="L6300">
        <v>100</v>
      </c>
      <c r="M6300">
        <v>200</v>
      </c>
      <c r="N6300">
        <v>2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0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0</v>
      </c>
      <c r="AE6300">
        <v>0</v>
      </c>
      <c r="AF6300">
        <v>0</v>
      </c>
      <c r="AG6300">
        <v>0</v>
      </c>
      <c r="AH6300">
        <v>0</v>
      </c>
      <c r="AI6300">
        <v>200</v>
      </c>
      <c r="AJ6300">
        <v>2</v>
      </c>
      <c r="AK6300">
        <v>0</v>
      </c>
      <c r="AL6300">
        <v>0</v>
      </c>
      <c r="AM6300">
        <v>0</v>
      </c>
      <c r="AN6300">
        <v>0</v>
      </c>
      <c r="AO6300">
        <v>240</v>
      </c>
      <c r="AP6300">
        <v>-48</v>
      </c>
      <c r="AQ6300">
        <v>0</v>
      </c>
      <c r="AR6300">
        <v>120</v>
      </c>
      <c r="AS6300">
        <v>-36</v>
      </c>
      <c r="AT6300">
        <v>0</v>
      </c>
      <c r="AU6300">
        <v>120</v>
      </c>
      <c r="AV6300">
        <v>-12</v>
      </c>
      <c r="AW6300">
        <v>0</v>
      </c>
      <c r="AY6300">
        <v>0</v>
      </c>
      <c r="AZ6300">
        <v>0</v>
      </c>
      <c r="BA6300">
        <v>134.4</v>
      </c>
      <c r="BE6300" t="str">
        <f>T("9791164099764")</f>
        <v>9791164099764</v>
      </c>
      <c r="BF6300" t="str">
        <f>T("k398564")</f>
        <v>k398564</v>
      </c>
      <c r="BG6300" t="str">
        <f>T("로판 웹소설 &gt; 서양풍 로판")</f>
        <v>로판 웹소설 &gt; 서양풍 로판</v>
      </c>
    </row>
    <row r="6301" spans="1:59">
      <c r="A6301" t="s">
        <v>60</v>
      </c>
      <c r="B6301" s="1">
        <v>46130</v>
      </c>
      <c r="C6301">
        <v>2378059762</v>
      </c>
      <c r="D6301">
        <v>2378068932</v>
      </c>
      <c r="E6301" t="str">
        <f>T("칼레이 백작가의 매맞이 하녀 외전 10화")</f>
        <v>칼레이 백작가의 매맞이 하녀 외전 10화</v>
      </c>
      <c r="F6301">
        <v>163</v>
      </c>
      <c r="G6301" t="str">
        <f>T("뮤사203")</f>
        <v>뮤사203</v>
      </c>
      <c r="J6301" t="str">
        <f>T("시계토끼")</f>
        <v>시계토끼</v>
      </c>
      <c r="K6301" t="str">
        <f>T("칼레이 백작가의 매맞이 하녀")</f>
        <v>칼레이 백작가의 매맞이 하녀</v>
      </c>
      <c r="L6301">
        <v>100</v>
      </c>
      <c r="M6301">
        <v>100</v>
      </c>
      <c r="N6301">
        <v>1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0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0</v>
      </c>
      <c r="AE6301">
        <v>0</v>
      </c>
      <c r="AF6301">
        <v>0</v>
      </c>
      <c r="AG6301">
        <v>0</v>
      </c>
      <c r="AH6301">
        <v>0</v>
      </c>
      <c r="AI6301">
        <v>100</v>
      </c>
      <c r="AJ6301">
        <v>1</v>
      </c>
      <c r="AK6301">
        <v>0</v>
      </c>
      <c r="AL6301">
        <v>0</v>
      </c>
      <c r="AM6301">
        <v>0</v>
      </c>
      <c r="AN6301">
        <v>0</v>
      </c>
      <c r="AO6301">
        <v>120</v>
      </c>
      <c r="AP6301">
        <v>-36</v>
      </c>
      <c r="AQ6301">
        <v>0</v>
      </c>
      <c r="AR6301">
        <v>120</v>
      </c>
      <c r="AS6301">
        <v>-36</v>
      </c>
      <c r="AT6301">
        <v>0</v>
      </c>
      <c r="AV6301">
        <v>0</v>
      </c>
      <c r="AW6301">
        <v>0</v>
      </c>
      <c r="AY6301">
        <v>0</v>
      </c>
      <c r="AZ6301">
        <v>0</v>
      </c>
      <c r="BA6301">
        <v>58.8</v>
      </c>
      <c r="BE6301" t="str">
        <f>T("9791164099764")</f>
        <v>9791164099764</v>
      </c>
      <c r="BF6301" t="str">
        <f>T("k398571")</f>
        <v>k398571</v>
      </c>
      <c r="BG6301" t="str">
        <f>T("로판 웹소설 &gt; 서양풍 로판")</f>
        <v>로판 웹소설 &gt; 서양풍 로판</v>
      </c>
    </row>
    <row r="6302" spans="1:59">
      <c r="A6302" t="s">
        <v>60</v>
      </c>
      <c r="B6302" s="1">
        <v>46130</v>
      </c>
      <c r="C6302">
        <v>2378059762</v>
      </c>
      <c r="D6302">
        <v>2378059768</v>
      </c>
      <c r="E6302" t="str">
        <f>T("칼레이 백작가의 매맞이 하녀 7화")</f>
        <v>칼레이 백작가의 매맞이 하녀 7화</v>
      </c>
      <c r="F6302">
        <v>7</v>
      </c>
      <c r="G6302" t="str">
        <f>T("뮤사203")</f>
        <v>뮤사203</v>
      </c>
      <c r="J6302" t="str">
        <f>T("시계토끼")</f>
        <v>시계토끼</v>
      </c>
      <c r="K6302" t="str">
        <f>T("칼레이 백작가의 매맞이 하녀")</f>
        <v>칼레이 백작가의 매맞이 하녀</v>
      </c>
      <c r="L6302">
        <v>100</v>
      </c>
      <c r="M6302">
        <v>100</v>
      </c>
      <c r="N6302">
        <v>1</v>
      </c>
      <c r="O6302">
        <v>0</v>
      </c>
      <c r="P6302">
        <v>0</v>
      </c>
      <c r="Q6302">
        <v>0</v>
      </c>
      <c r="R6302">
        <v>1</v>
      </c>
      <c r="S6302">
        <v>0</v>
      </c>
      <c r="T6302">
        <v>0</v>
      </c>
      <c r="U6302">
        <v>0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0</v>
      </c>
      <c r="AE6302">
        <v>0</v>
      </c>
      <c r="AF6302">
        <v>0</v>
      </c>
      <c r="AG6302">
        <v>0</v>
      </c>
      <c r="AH6302">
        <v>0</v>
      </c>
      <c r="AI6302">
        <v>100</v>
      </c>
      <c r="AJ6302">
        <v>2</v>
      </c>
      <c r="AK6302">
        <v>0</v>
      </c>
      <c r="AL6302">
        <v>0</v>
      </c>
      <c r="AM6302">
        <v>100</v>
      </c>
      <c r="AN6302">
        <v>0</v>
      </c>
      <c r="AO6302">
        <v>0</v>
      </c>
      <c r="AP6302">
        <v>0</v>
      </c>
      <c r="AQ6302">
        <v>0</v>
      </c>
      <c r="AS6302">
        <v>0</v>
      </c>
      <c r="AT6302">
        <v>0</v>
      </c>
      <c r="AV6302">
        <v>0</v>
      </c>
      <c r="AW6302">
        <v>0</v>
      </c>
      <c r="AY6302">
        <v>0</v>
      </c>
      <c r="AZ6302">
        <v>0</v>
      </c>
      <c r="BA6302">
        <v>70</v>
      </c>
      <c r="BE6302" t="str">
        <f>T("9791164099764")</f>
        <v>9791164099764</v>
      </c>
      <c r="BF6302" t="str">
        <f>T("k201686")</f>
        <v>k201686</v>
      </c>
      <c r="BG6302" t="str">
        <f>T("로판 웹소설 &gt; 서양풍 로판")</f>
        <v>로판 웹소설 &gt; 서양풍 로판</v>
      </c>
    </row>
    <row r="6303" spans="1:59">
      <c r="A6303" t="s">
        <v>60</v>
      </c>
      <c r="B6303" s="1">
        <v>46130</v>
      </c>
      <c r="C6303">
        <v>2378059762</v>
      </c>
      <c r="D6303">
        <v>2378059769</v>
      </c>
      <c r="E6303" t="str">
        <f>T("칼레이 백작가의 매맞이 하녀 8화")</f>
        <v>칼레이 백작가의 매맞이 하녀 8화</v>
      </c>
      <c r="F6303">
        <v>8</v>
      </c>
      <c r="G6303" t="str">
        <f>T("뮤사203")</f>
        <v>뮤사203</v>
      </c>
      <c r="J6303" t="str">
        <f>T("시계토끼")</f>
        <v>시계토끼</v>
      </c>
      <c r="K6303" t="str">
        <f>T("칼레이 백작가의 매맞이 하녀")</f>
        <v>칼레이 백작가의 매맞이 하녀</v>
      </c>
      <c r="L6303">
        <v>100</v>
      </c>
      <c r="M6303">
        <v>100</v>
      </c>
      <c r="N6303">
        <v>1</v>
      </c>
      <c r="O6303">
        <v>0</v>
      </c>
      <c r="P6303">
        <v>0</v>
      </c>
      <c r="Q6303">
        <v>0</v>
      </c>
      <c r="R6303">
        <v>1</v>
      </c>
      <c r="S6303">
        <v>0</v>
      </c>
      <c r="T6303">
        <v>0</v>
      </c>
      <c r="U6303">
        <v>0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0</v>
      </c>
      <c r="AE6303">
        <v>0</v>
      </c>
      <c r="AF6303">
        <v>0</v>
      </c>
      <c r="AG6303">
        <v>0</v>
      </c>
      <c r="AH6303">
        <v>0</v>
      </c>
      <c r="AI6303">
        <v>100</v>
      </c>
      <c r="AJ6303">
        <v>2</v>
      </c>
      <c r="AK6303">
        <v>0</v>
      </c>
      <c r="AL6303">
        <v>0</v>
      </c>
      <c r="AM6303">
        <v>100</v>
      </c>
      <c r="AN6303">
        <v>0</v>
      </c>
      <c r="AO6303">
        <v>0</v>
      </c>
      <c r="AP6303">
        <v>0</v>
      </c>
      <c r="AQ6303">
        <v>0</v>
      </c>
      <c r="AS6303">
        <v>0</v>
      </c>
      <c r="AT6303">
        <v>0</v>
      </c>
      <c r="AV6303">
        <v>0</v>
      </c>
      <c r="AW6303">
        <v>0</v>
      </c>
      <c r="AY6303">
        <v>0</v>
      </c>
      <c r="AZ6303">
        <v>0</v>
      </c>
      <c r="BA6303">
        <v>70</v>
      </c>
      <c r="BE6303" t="str">
        <f>T("9791164099764")</f>
        <v>9791164099764</v>
      </c>
      <c r="BF6303" t="str">
        <f>T("k201687")</f>
        <v>k201687</v>
      </c>
      <c r="BG6303" t="str">
        <f>T("로판 웹소설 &gt; 서양풍 로판")</f>
        <v>로판 웹소설 &gt; 서양풍 로판</v>
      </c>
    </row>
    <row r="6304" spans="1:59">
      <c r="A6304" t="s">
        <v>60</v>
      </c>
      <c r="B6304" s="1">
        <v>46130</v>
      </c>
      <c r="C6304">
        <v>2378059762</v>
      </c>
      <c r="D6304">
        <v>2378059806</v>
      </c>
      <c r="E6304" t="str">
        <f>T("칼레이 백작가의 매맞이 하녀 45화")</f>
        <v>칼레이 백작가의 매맞이 하녀 45화</v>
      </c>
      <c r="F6304">
        <v>45</v>
      </c>
      <c r="G6304" t="str">
        <f>T("뮤사203")</f>
        <v>뮤사203</v>
      </c>
      <c r="J6304" t="str">
        <f>T("시계토끼")</f>
        <v>시계토끼</v>
      </c>
      <c r="K6304" t="str">
        <f>T("칼레이 백작가의 매맞이 하녀")</f>
        <v>칼레이 백작가의 매맞이 하녀</v>
      </c>
      <c r="L6304">
        <v>100</v>
      </c>
      <c r="M6304">
        <v>300</v>
      </c>
      <c r="N6304">
        <v>3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0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0</v>
      </c>
      <c r="AE6304">
        <v>0</v>
      </c>
      <c r="AF6304">
        <v>0</v>
      </c>
      <c r="AG6304">
        <v>0</v>
      </c>
      <c r="AH6304">
        <v>0</v>
      </c>
      <c r="AI6304">
        <v>300</v>
      </c>
      <c r="AJ6304">
        <v>3</v>
      </c>
      <c r="AK6304">
        <v>0</v>
      </c>
      <c r="AL6304">
        <v>0</v>
      </c>
      <c r="AM6304">
        <v>200</v>
      </c>
      <c r="AN6304">
        <v>0</v>
      </c>
      <c r="AO6304">
        <v>120</v>
      </c>
      <c r="AP6304">
        <v>-36</v>
      </c>
      <c r="AQ6304">
        <v>0</v>
      </c>
      <c r="AR6304">
        <v>120</v>
      </c>
      <c r="AS6304">
        <v>-36</v>
      </c>
      <c r="AT6304">
        <v>0</v>
      </c>
      <c r="AV6304">
        <v>0</v>
      </c>
      <c r="AW6304">
        <v>0</v>
      </c>
      <c r="AY6304">
        <v>0</v>
      </c>
      <c r="AZ6304">
        <v>0</v>
      </c>
      <c r="BA6304">
        <v>198.8</v>
      </c>
      <c r="BE6304" t="str">
        <f>T("9791164099764")</f>
        <v>9791164099764</v>
      </c>
      <c r="BF6304" t="str">
        <f>T("k201724")</f>
        <v>k201724</v>
      </c>
      <c r="BG6304" t="str">
        <f>T("로판 웹소설 &gt; 서양풍 로판")</f>
        <v>로판 웹소설 &gt; 서양풍 로판</v>
      </c>
    </row>
    <row r="6305" spans="1:59">
      <c r="A6305" t="s">
        <v>60</v>
      </c>
      <c r="B6305" s="1">
        <v>46130</v>
      </c>
      <c r="C6305">
        <v>2378059762</v>
      </c>
      <c r="D6305">
        <v>2378063827</v>
      </c>
      <c r="E6305" t="str">
        <f>T("칼레이 백작가의 매맞이 하녀 116화")</f>
        <v>칼레이 백작가의 매맞이 하녀 116화</v>
      </c>
      <c r="F6305">
        <v>116</v>
      </c>
      <c r="G6305" t="str">
        <f>T("뮤사203")</f>
        <v>뮤사203</v>
      </c>
      <c r="J6305" t="str">
        <f>T("시계토끼")</f>
        <v>시계토끼</v>
      </c>
      <c r="K6305" t="str">
        <f>T("칼레이 백작가의 매맞이 하녀")</f>
        <v>칼레이 백작가의 매맞이 하녀</v>
      </c>
      <c r="L6305">
        <v>100</v>
      </c>
      <c r="M6305">
        <v>0</v>
      </c>
      <c r="N6305">
        <v>0</v>
      </c>
      <c r="O6305">
        <v>0</v>
      </c>
      <c r="P6305">
        <v>0</v>
      </c>
      <c r="Q6305">
        <v>0</v>
      </c>
      <c r="R6305">
        <v>1</v>
      </c>
      <c r="S6305">
        <v>0</v>
      </c>
      <c r="T6305">
        <v>0</v>
      </c>
      <c r="U6305">
        <v>0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0</v>
      </c>
      <c r="AE6305">
        <v>0</v>
      </c>
      <c r="AF6305">
        <v>0</v>
      </c>
      <c r="AG6305">
        <v>0</v>
      </c>
      <c r="AH6305">
        <v>0</v>
      </c>
      <c r="AI6305">
        <v>0</v>
      </c>
      <c r="AJ6305">
        <v>1</v>
      </c>
      <c r="AK6305">
        <v>0</v>
      </c>
      <c r="AL6305">
        <v>0</v>
      </c>
      <c r="AM6305">
        <v>0</v>
      </c>
      <c r="AN6305">
        <v>0</v>
      </c>
      <c r="AO6305">
        <v>0</v>
      </c>
      <c r="AP6305">
        <v>0</v>
      </c>
      <c r="AQ6305">
        <v>0</v>
      </c>
      <c r="AS6305">
        <v>0</v>
      </c>
      <c r="AT6305">
        <v>0</v>
      </c>
      <c r="AV6305">
        <v>0</v>
      </c>
      <c r="AW6305">
        <v>0</v>
      </c>
      <c r="AY6305">
        <v>0</v>
      </c>
      <c r="AZ6305">
        <v>0</v>
      </c>
      <c r="BA6305">
        <v>0</v>
      </c>
      <c r="BE6305" t="str">
        <f>T("9791164099764")</f>
        <v>9791164099764</v>
      </c>
      <c r="BF6305" t="str">
        <f>T("k255135")</f>
        <v>k255135</v>
      </c>
      <c r="BG6305" t="str">
        <f>T("로판 웹소설 &gt; 서양풍 로판")</f>
        <v>로판 웹소설 &gt; 서양풍 로판</v>
      </c>
    </row>
    <row r="6306" spans="1:59">
      <c r="A6306" t="s">
        <v>60</v>
      </c>
      <c r="B6306" s="1">
        <v>46130</v>
      </c>
      <c r="C6306">
        <v>2378059762</v>
      </c>
      <c r="D6306">
        <v>2378059807</v>
      </c>
      <c r="E6306" t="str">
        <f>T("칼레이 백작가의 매맞이 하녀 46화")</f>
        <v>칼레이 백작가의 매맞이 하녀 46화</v>
      </c>
      <c r="F6306">
        <v>46</v>
      </c>
      <c r="G6306" t="str">
        <f>T("뮤사203")</f>
        <v>뮤사203</v>
      </c>
      <c r="J6306" t="str">
        <f>T("시계토끼")</f>
        <v>시계토끼</v>
      </c>
      <c r="K6306" t="str">
        <f>T("칼레이 백작가의 매맞이 하녀")</f>
        <v>칼레이 백작가의 매맞이 하녀</v>
      </c>
      <c r="L6306">
        <v>100</v>
      </c>
      <c r="M6306">
        <v>300</v>
      </c>
      <c r="N6306">
        <v>3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0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0</v>
      </c>
      <c r="AE6306">
        <v>0</v>
      </c>
      <c r="AF6306">
        <v>0</v>
      </c>
      <c r="AG6306">
        <v>0</v>
      </c>
      <c r="AH6306">
        <v>0</v>
      </c>
      <c r="AI6306">
        <v>300</v>
      </c>
      <c r="AJ6306">
        <v>3</v>
      </c>
      <c r="AK6306">
        <v>0</v>
      </c>
      <c r="AL6306">
        <v>0</v>
      </c>
      <c r="AM6306">
        <v>200</v>
      </c>
      <c r="AN6306">
        <v>0</v>
      </c>
      <c r="AO6306">
        <v>120</v>
      </c>
      <c r="AP6306">
        <v>-36</v>
      </c>
      <c r="AQ6306">
        <v>0</v>
      </c>
      <c r="AR6306">
        <v>120</v>
      </c>
      <c r="AS6306">
        <v>-36</v>
      </c>
      <c r="AT6306">
        <v>0</v>
      </c>
      <c r="AV6306">
        <v>0</v>
      </c>
      <c r="AW6306">
        <v>0</v>
      </c>
      <c r="AY6306">
        <v>0</v>
      </c>
      <c r="AZ6306">
        <v>0</v>
      </c>
      <c r="BA6306">
        <v>198.8</v>
      </c>
      <c r="BE6306" t="str">
        <f>T("9791164099764")</f>
        <v>9791164099764</v>
      </c>
      <c r="BF6306" t="str">
        <f>T("k201725")</f>
        <v>k201725</v>
      </c>
      <c r="BG6306" t="str">
        <f>T("로판 웹소설 &gt; 서양풍 로판")</f>
        <v>로판 웹소설 &gt; 서양풍 로판</v>
      </c>
    </row>
    <row r="6307" spans="1:59">
      <c r="A6307" t="s">
        <v>60</v>
      </c>
      <c r="B6307" s="1">
        <v>46130</v>
      </c>
      <c r="C6307">
        <v>2378059762</v>
      </c>
      <c r="D6307">
        <v>2378059811</v>
      </c>
      <c r="E6307" t="str">
        <f>T("칼레이 백작가의 매맞이 하녀 50화")</f>
        <v>칼레이 백작가의 매맞이 하녀 50화</v>
      </c>
      <c r="F6307">
        <v>50</v>
      </c>
      <c r="G6307" t="str">
        <f>T("뮤사203")</f>
        <v>뮤사203</v>
      </c>
      <c r="J6307" t="str">
        <f>T("시계토끼")</f>
        <v>시계토끼</v>
      </c>
      <c r="K6307" t="str">
        <f>T("칼레이 백작가의 매맞이 하녀")</f>
        <v>칼레이 백작가의 매맞이 하녀</v>
      </c>
      <c r="L6307">
        <v>100</v>
      </c>
      <c r="M6307">
        <v>200</v>
      </c>
      <c r="N6307">
        <v>2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0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0</v>
      </c>
      <c r="AE6307">
        <v>0</v>
      </c>
      <c r="AF6307">
        <v>0</v>
      </c>
      <c r="AG6307">
        <v>0</v>
      </c>
      <c r="AH6307">
        <v>0</v>
      </c>
      <c r="AI6307">
        <v>200</v>
      </c>
      <c r="AJ6307">
        <v>2</v>
      </c>
      <c r="AK6307">
        <v>0</v>
      </c>
      <c r="AL6307">
        <v>0</v>
      </c>
      <c r="AM6307">
        <v>100</v>
      </c>
      <c r="AN6307">
        <v>0</v>
      </c>
      <c r="AO6307">
        <v>120</v>
      </c>
      <c r="AP6307">
        <v>-36</v>
      </c>
      <c r="AQ6307">
        <v>0</v>
      </c>
      <c r="AR6307">
        <v>120</v>
      </c>
      <c r="AS6307">
        <v>-36</v>
      </c>
      <c r="AT6307">
        <v>0</v>
      </c>
      <c r="AV6307">
        <v>0</v>
      </c>
      <c r="AW6307">
        <v>0</v>
      </c>
      <c r="AY6307">
        <v>0</v>
      </c>
      <c r="AZ6307">
        <v>0</v>
      </c>
      <c r="BA6307">
        <v>128.80000000000001</v>
      </c>
      <c r="BE6307" t="str">
        <f>T("9791164099764")</f>
        <v>9791164099764</v>
      </c>
      <c r="BF6307" t="str">
        <f>T("k201729")</f>
        <v>k201729</v>
      </c>
      <c r="BG6307" t="str">
        <f>T("로판 웹소설 &gt; 서양풍 로판")</f>
        <v>로판 웹소설 &gt; 서양풍 로판</v>
      </c>
    </row>
    <row r="6308" spans="1:59">
      <c r="A6308" t="s">
        <v>60</v>
      </c>
      <c r="B6308" s="1">
        <v>46130</v>
      </c>
      <c r="C6308">
        <v>2378059762</v>
      </c>
      <c r="D6308">
        <v>2378059812</v>
      </c>
      <c r="E6308" t="str">
        <f>T("칼레이 백작가의 매맞이 하녀 51화")</f>
        <v>칼레이 백작가의 매맞이 하녀 51화</v>
      </c>
      <c r="F6308">
        <v>51</v>
      </c>
      <c r="G6308" t="str">
        <f>T("뮤사203")</f>
        <v>뮤사203</v>
      </c>
      <c r="J6308" t="str">
        <f>T("시계토끼")</f>
        <v>시계토끼</v>
      </c>
      <c r="K6308" t="str">
        <f>T("칼레이 백작가의 매맞이 하녀")</f>
        <v>칼레이 백작가의 매맞이 하녀</v>
      </c>
      <c r="L6308">
        <v>100</v>
      </c>
      <c r="M6308">
        <v>200</v>
      </c>
      <c r="N6308">
        <v>2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0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0</v>
      </c>
      <c r="AE6308">
        <v>0</v>
      </c>
      <c r="AF6308">
        <v>0</v>
      </c>
      <c r="AG6308">
        <v>0</v>
      </c>
      <c r="AH6308">
        <v>0</v>
      </c>
      <c r="AI6308">
        <v>200</v>
      </c>
      <c r="AJ6308">
        <v>2</v>
      </c>
      <c r="AK6308">
        <v>0</v>
      </c>
      <c r="AL6308">
        <v>0</v>
      </c>
      <c r="AM6308">
        <v>100</v>
      </c>
      <c r="AN6308">
        <v>0</v>
      </c>
      <c r="AO6308">
        <v>120</v>
      </c>
      <c r="AP6308">
        <v>-36</v>
      </c>
      <c r="AQ6308">
        <v>0</v>
      </c>
      <c r="AR6308">
        <v>120</v>
      </c>
      <c r="AS6308">
        <v>-36</v>
      </c>
      <c r="AT6308">
        <v>0</v>
      </c>
      <c r="AV6308">
        <v>0</v>
      </c>
      <c r="AW6308">
        <v>0</v>
      </c>
      <c r="AY6308">
        <v>0</v>
      </c>
      <c r="AZ6308">
        <v>0</v>
      </c>
      <c r="BA6308">
        <v>128.80000000000001</v>
      </c>
      <c r="BE6308" t="str">
        <f>T("9791164099764")</f>
        <v>9791164099764</v>
      </c>
      <c r="BF6308" t="str">
        <f>T("k201730")</f>
        <v>k201730</v>
      </c>
      <c r="BG6308" t="str">
        <f>T("로판 웹소설 &gt; 서양풍 로판")</f>
        <v>로판 웹소설 &gt; 서양풍 로판</v>
      </c>
    </row>
    <row r="6309" spans="1:59">
      <c r="A6309" t="s">
        <v>60</v>
      </c>
      <c r="B6309" s="1">
        <v>46130</v>
      </c>
      <c r="C6309">
        <v>2378059762</v>
      </c>
      <c r="D6309">
        <v>2378059817</v>
      </c>
      <c r="E6309" t="str">
        <f>T("칼레이 백작가의 매맞이 하녀 56화")</f>
        <v>칼레이 백작가의 매맞이 하녀 56화</v>
      </c>
      <c r="F6309">
        <v>56</v>
      </c>
      <c r="G6309" t="str">
        <f>T("뮤사203")</f>
        <v>뮤사203</v>
      </c>
      <c r="J6309" t="str">
        <f>T("시계토끼")</f>
        <v>시계토끼</v>
      </c>
      <c r="K6309" t="str">
        <f>T("칼레이 백작가의 매맞이 하녀")</f>
        <v>칼레이 백작가의 매맞이 하녀</v>
      </c>
      <c r="L6309">
        <v>100</v>
      </c>
      <c r="M6309">
        <v>200</v>
      </c>
      <c r="N6309">
        <v>2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0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0</v>
      </c>
      <c r="AE6309">
        <v>0</v>
      </c>
      <c r="AF6309">
        <v>0</v>
      </c>
      <c r="AG6309">
        <v>0</v>
      </c>
      <c r="AH6309">
        <v>0</v>
      </c>
      <c r="AI6309">
        <v>200</v>
      </c>
      <c r="AJ6309">
        <v>2</v>
      </c>
      <c r="AK6309">
        <v>0</v>
      </c>
      <c r="AL6309">
        <v>0</v>
      </c>
      <c r="AM6309">
        <v>100</v>
      </c>
      <c r="AN6309">
        <v>0</v>
      </c>
      <c r="AO6309">
        <v>120</v>
      </c>
      <c r="AP6309">
        <v>-36</v>
      </c>
      <c r="AQ6309">
        <v>0</v>
      </c>
      <c r="AR6309">
        <v>120</v>
      </c>
      <c r="AS6309">
        <v>-36</v>
      </c>
      <c r="AT6309">
        <v>0</v>
      </c>
      <c r="AV6309">
        <v>0</v>
      </c>
      <c r="AW6309">
        <v>0</v>
      </c>
      <c r="AY6309">
        <v>0</v>
      </c>
      <c r="AZ6309">
        <v>0</v>
      </c>
      <c r="BA6309">
        <v>128.80000000000001</v>
      </c>
      <c r="BE6309" t="str">
        <f>T("9791164099764")</f>
        <v>9791164099764</v>
      </c>
      <c r="BF6309" t="str">
        <f>T("k201735")</f>
        <v>k201735</v>
      </c>
      <c r="BG6309" t="str">
        <f>T("로판 웹소설 &gt; 서양풍 로판")</f>
        <v>로판 웹소설 &gt; 서양풍 로판</v>
      </c>
    </row>
    <row r="6310" spans="1:59">
      <c r="A6310" t="s">
        <v>60</v>
      </c>
      <c r="B6310" s="1">
        <v>46130</v>
      </c>
      <c r="C6310">
        <v>2378059762</v>
      </c>
      <c r="D6310">
        <v>2378063896</v>
      </c>
      <c r="E6310" t="str">
        <f>T("칼레이 백작가의 매맞이 하녀 117화")</f>
        <v>칼레이 백작가의 매맞이 하녀 117화</v>
      </c>
      <c r="F6310">
        <v>117</v>
      </c>
      <c r="G6310" t="str">
        <f>T("뮤사203")</f>
        <v>뮤사203</v>
      </c>
      <c r="J6310" t="str">
        <f>T("시계토끼")</f>
        <v>시계토끼</v>
      </c>
      <c r="K6310" t="str">
        <f>T("칼레이 백작가의 매맞이 하녀")</f>
        <v>칼레이 백작가의 매맞이 하녀</v>
      </c>
      <c r="L6310">
        <v>100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1</v>
      </c>
      <c r="S6310">
        <v>0</v>
      </c>
      <c r="T6310">
        <v>0</v>
      </c>
      <c r="U6310">
        <v>0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0</v>
      </c>
      <c r="AE6310">
        <v>0</v>
      </c>
      <c r="AF6310">
        <v>0</v>
      </c>
      <c r="AG6310">
        <v>0</v>
      </c>
      <c r="AH6310">
        <v>0</v>
      </c>
      <c r="AI6310">
        <v>0</v>
      </c>
      <c r="AJ6310">
        <v>1</v>
      </c>
      <c r="AK6310">
        <v>0</v>
      </c>
      <c r="AL6310">
        <v>0</v>
      </c>
      <c r="AM6310">
        <v>0</v>
      </c>
      <c r="AN6310">
        <v>0</v>
      </c>
      <c r="AO6310">
        <v>0</v>
      </c>
      <c r="AP6310">
        <v>0</v>
      </c>
      <c r="AQ6310">
        <v>0</v>
      </c>
      <c r="AS6310">
        <v>0</v>
      </c>
      <c r="AT6310">
        <v>0</v>
      </c>
      <c r="AV6310">
        <v>0</v>
      </c>
      <c r="AW6310">
        <v>0</v>
      </c>
      <c r="AY6310">
        <v>0</v>
      </c>
      <c r="AZ6310">
        <v>0</v>
      </c>
      <c r="BA6310">
        <v>0</v>
      </c>
      <c r="BE6310" t="str">
        <f>T("9791164099764")</f>
        <v>9791164099764</v>
      </c>
      <c r="BF6310" t="str">
        <f>T("k255136")</f>
        <v>k255136</v>
      </c>
      <c r="BG6310" t="str">
        <f>T("로판 웹소설 &gt; 서양풍 로판")</f>
        <v>로판 웹소설 &gt; 서양풍 로판</v>
      </c>
    </row>
    <row r="6311" spans="1:59">
      <c r="A6311" t="s">
        <v>60</v>
      </c>
      <c r="B6311" s="1">
        <v>46130</v>
      </c>
      <c r="C6311">
        <v>2378059762</v>
      </c>
      <c r="D6311">
        <v>2378059818</v>
      </c>
      <c r="E6311" t="str">
        <f>T("칼레이 백작가의 매맞이 하녀 57화")</f>
        <v>칼레이 백작가의 매맞이 하녀 57화</v>
      </c>
      <c r="F6311">
        <v>57</v>
      </c>
      <c r="G6311" t="str">
        <f>T("뮤사203")</f>
        <v>뮤사203</v>
      </c>
      <c r="J6311" t="str">
        <f>T("시계토끼")</f>
        <v>시계토끼</v>
      </c>
      <c r="K6311" t="str">
        <f>T("칼레이 백작가의 매맞이 하녀")</f>
        <v>칼레이 백작가의 매맞이 하녀</v>
      </c>
      <c r="L6311">
        <v>100</v>
      </c>
      <c r="M6311">
        <v>200</v>
      </c>
      <c r="N6311">
        <v>2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0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0</v>
      </c>
      <c r="AE6311">
        <v>0</v>
      </c>
      <c r="AF6311">
        <v>0</v>
      </c>
      <c r="AG6311">
        <v>0</v>
      </c>
      <c r="AH6311">
        <v>0</v>
      </c>
      <c r="AI6311">
        <v>200</v>
      </c>
      <c r="AJ6311">
        <v>2</v>
      </c>
      <c r="AK6311">
        <v>0</v>
      </c>
      <c r="AL6311">
        <v>0</v>
      </c>
      <c r="AM6311">
        <v>100</v>
      </c>
      <c r="AN6311">
        <v>0</v>
      </c>
      <c r="AO6311">
        <v>120</v>
      </c>
      <c r="AP6311">
        <v>-36</v>
      </c>
      <c r="AQ6311">
        <v>0</v>
      </c>
      <c r="AR6311">
        <v>120</v>
      </c>
      <c r="AS6311">
        <v>-36</v>
      </c>
      <c r="AT6311">
        <v>0</v>
      </c>
      <c r="AV6311">
        <v>0</v>
      </c>
      <c r="AW6311">
        <v>0</v>
      </c>
      <c r="AY6311">
        <v>0</v>
      </c>
      <c r="AZ6311">
        <v>0</v>
      </c>
      <c r="BA6311">
        <v>128.80000000000001</v>
      </c>
      <c r="BE6311" t="str">
        <f>T("9791164099764")</f>
        <v>9791164099764</v>
      </c>
      <c r="BF6311" t="str">
        <f>T("k201736")</f>
        <v>k201736</v>
      </c>
      <c r="BG6311" t="str">
        <f>T("로판 웹소설 &gt; 서양풍 로판")</f>
        <v>로판 웹소설 &gt; 서양풍 로판</v>
      </c>
    </row>
    <row r="6312" spans="1:59">
      <c r="A6312" t="s">
        <v>60</v>
      </c>
      <c r="B6312" s="1">
        <v>46130</v>
      </c>
      <c r="C6312">
        <v>2378059762</v>
      </c>
      <c r="D6312">
        <v>2378063897</v>
      </c>
      <c r="E6312" t="str">
        <f>T("칼레이 백작가의 매맞이 하녀 118화")</f>
        <v>칼레이 백작가의 매맞이 하녀 118화</v>
      </c>
      <c r="F6312">
        <v>118</v>
      </c>
      <c r="G6312" t="str">
        <f>T("뮤사203")</f>
        <v>뮤사203</v>
      </c>
      <c r="J6312" t="str">
        <f>T("시계토끼")</f>
        <v>시계토끼</v>
      </c>
      <c r="K6312" t="str">
        <f>T("칼레이 백작가의 매맞이 하녀")</f>
        <v>칼레이 백작가의 매맞이 하녀</v>
      </c>
      <c r="L6312">
        <v>100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1</v>
      </c>
      <c r="S6312">
        <v>0</v>
      </c>
      <c r="T6312">
        <v>0</v>
      </c>
      <c r="U6312">
        <v>0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0</v>
      </c>
      <c r="AE6312">
        <v>0</v>
      </c>
      <c r="AF6312">
        <v>0</v>
      </c>
      <c r="AG6312">
        <v>0</v>
      </c>
      <c r="AH6312">
        <v>0</v>
      </c>
      <c r="AI6312">
        <v>0</v>
      </c>
      <c r="AJ6312">
        <v>1</v>
      </c>
      <c r="AK6312">
        <v>0</v>
      </c>
      <c r="AL6312">
        <v>0</v>
      </c>
      <c r="AM6312">
        <v>0</v>
      </c>
      <c r="AN6312">
        <v>0</v>
      </c>
      <c r="AO6312">
        <v>0</v>
      </c>
      <c r="AP6312">
        <v>0</v>
      </c>
      <c r="AQ6312">
        <v>0</v>
      </c>
      <c r="AS6312">
        <v>0</v>
      </c>
      <c r="AT6312">
        <v>0</v>
      </c>
      <c r="AV6312">
        <v>0</v>
      </c>
      <c r="AW6312">
        <v>0</v>
      </c>
      <c r="AY6312">
        <v>0</v>
      </c>
      <c r="AZ6312">
        <v>0</v>
      </c>
      <c r="BA6312">
        <v>0</v>
      </c>
      <c r="BE6312" t="str">
        <f>T("9791164099764")</f>
        <v>9791164099764</v>
      </c>
      <c r="BF6312" t="str">
        <f>T("k262223")</f>
        <v>k262223</v>
      </c>
      <c r="BG6312" t="str">
        <f>T("로판 웹소설 &gt; 서양풍 로판")</f>
        <v>로판 웹소설 &gt; 서양풍 로판</v>
      </c>
    </row>
    <row r="6313" spans="1:59">
      <c r="A6313" t="s">
        <v>60</v>
      </c>
      <c r="B6313" s="1">
        <v>46130</v>
      </c>
      <c r="C6313">
        <v>2378059762</v>
      </c>
      <c r="D6313">
        <v>2378059819</v>
      </c>
      <c r="E6313" t="str">
        <f>T("칼레이 백작가의 매맞이 하녀 58화")</f>
        <v>칼레이 백작가의 매맞이 하녀 58화</v>
      </c>
      <c r="F6313">
        <v>58</v>
      </c>
      <c r="G6313" t="str">
        <f>T("뮤사203")</f>
        <v>뮤사203</v>
      </c>
      <c r="J6313" t="str">
        <f>T("시계토끼")</f>
        <v>시계토끼</v>
      </c>
      <c r="K6313" t="str">
        <f>T("칼레이 백작가의 매맞이 하녀")</f>
        <v>칼레이 백작가의 매맞이 하녀</v>
      </c>
      <c r="L6313">
        <v>100</v>
      </c>
      <c r="M6313">
        <v>100</v>
      </c>
      <c r="N6313">
        <v>1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>
        <v>0</v>
      </c>
      <c r="V6313">
        <v>0</v>
      </c>
      <c r="W6313">
        <v>0</v>
      </c>
      <c r="X6313">
        <v>0</v>
      </c>
      <c r="Y6313">
        <v>0</v>
      </c>
      <c r="Z6313">
        <v>0</v>
      </c>
      <c r="AA6313">
        <v>0</v>
      </c>
      <c r="AB6313">
        <v>0</v>
      </c>
      <c r="AC6313">
        <v>0</v>
      </c>
      <c r="AD6313">
        <v>0</v>
      </c>
      <c r="AE6313">
        <v>0</v>
      </c>
      <c r="AF6313">
        <v>0</v>
      </c>
      <c r="AG6313">
        <v>0</v>
      </c>
      <c r="AH6313">
        <v>0</v>
      </c>
      <c r="AI6313">
        <v>100</v>
      </c>
      <c r="AJ6313">
        <v>1</v>
      </c>
      <c r="AK6313">
        <v>0</v>
      </c>
      <c r="AL6313">
        <v>0</v>
      </c>
      <c r="AM6313">
        <v>0</v>
      </c>
      <c r="AN6313">
        <v>0</v>
      </c>
      <c r="AO6313">
        <v>120</v>
      </c>
      <c r="AP6313">
        <v>-36</v>
      </c>
      <c r="AQ6313">
        <v>0</v>
      </c>
      <c r="AR6313">
        <v>120</v>
      </c>
      <c r="AS6313">
        <v>-36</v>
      </c>
      <c r="AT6313">
        <v>0</v>
      </c>
      <c r="AV6313">
        <v>0</v>
      </c>
      <c r="AW6313">
        <v>0</v>
      </c>
      <c r="AY6313">
        <v>0</v>
      </c>
      <c r="AZ6313">
        <v>0</v>
      </c>
      <c r="BA6313">
        <v>58.8</v>
      </c>
      <c r="BE6313" t="str">
        <f>T("9791164099764")</f>
        <v>9791164099764</v>
      </c>
      <c r="BF6313" t="str">
        <f>T("k201737")</f>
        <v>k201737</v>
      </c>
      <c r="BG6313" t="str">
        <f>T("로판 웹소설 &gt; 서양풍 로판")</f>
        <v>로판 웹소설 &gt; 서양풍 로판</v>
      </c>
    </row>
    <row r="6314" spans="1:59">
      <c r="A6314" t="s">
        <v>60</v>
      </c>
      <c r="B6314" s="1">
        <v>46130</v>
      </c>
      <c r="C6314">
        <v>2378059762</v>
      </c>
      <c r="D6314">
        <v>2378064180</v>
      </c>
      <c r="E6314" t="str">
        <f>T("칼레이 백작가의 매맞이 하녀 122화")</f>
        <v>칼레이 백작가의 매맞이 하녀 122화</v>
      </c>
      <c r="F6314">
        <v>122</v>
      </c>
      <c r="G6314" t="str">
        <f>T("뮤사203")</f>
        <v>뮤사203</v>
      </c>
      <c r="J6314" t="str">
        <f>T("시계토끼")</f>
        <v>시계토끼</v>
      </c>
      <c r="K6314" t="str">
        <f>T("칼레이 백작가의 매맞이 하녀")</f>
        <v>칼레이 백작가의 매맞이 하녀</v>
      </c>
      <c r="L6314">
        <v>100</v>
      </c>
      <c r="M6314">
        <v>100</v>
      </c>
      <c r="N6314">
        <v>1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>
        <v>0</v>
      </c>
      <c r="V6314">
        <v>0</v>
      </c>
      <c r="W6314">
        <v>0</v>
      </c>
      <c r="X6314">
        <v>0</v>
      </c>
      <c r="Y6314">
        <v>0</v>
      </c>
      <c r="Z6314">
        <v>0</v>
      </c>
      <c r="AA6314">
        <v>0</v>
      </c>
      <c r="AB6314">
        <v>0</v>
      </c>
      <c r="AC6314">
        <v>0</v>
      </c>
      <c r="AD6314">
        <v>0</v>
      </c>
      <c r="AE6314">
        <v>0</v>
      </c>
      <c r="AF6314">
        <v>0</v>
      </c>
      <c r="AG6314">
        <v>0</v>
      </c>
      <c r="AH6314">
        <v>0</v>
      </c>
      <c r="AI6314">
        <v>100</v>
      </c>
      <c r="AJ6314">
        <v>1</v>
      </c>
      <c r="AK6314">
        <v>0</v>
      </c>
      <c r="AL6314">
        <v>0</v>
      </c>
      <c r="AM6314">
        <v>0</v>
      </c>
      <c r="AN6314">
        <v>0</v>
      </c>
      <c r="AO6314">
        <v>120</v>
      </c>
      <c r="AP6314">
        <v>-12</v>
      </c>
      <c r="AQ6314">
        <v>0</v>
      </c>
      <c r="AS6314">
        <v>0</v>
      </c>
      <c r="AT6314">
        <v>0</v>
      </c>
      <c r="AU6314">
        <v>120</v>
      </c>
      <c r="AV6314">
        <v>-12</v>
      </c>
      <c r="AW6314">
        <v>0</v>
      </c>
      <c r="AY6314">
        <v>0</v>
      </c>
      <c r="AZ6314">
        <v>0</v>
      </c>
      <c r="BA6314">
        <v>75.599999999999994</v>
      </c>
      <c r="BE6314" t="str">
        <f>T("9791164099764")</f>
        <v>9791164099764</v>
      </c>
      <c r="BF6314" t="str">
        <f>T("k269777")</f>
        <v>k269777</v>
      </c>
      <c r="BG6314" t="str">
        <f>T("로판 웹소설 &gt; 서양풍 로판")</f>
        <v>로판 웹소설 &gt; 서양풍 로판</v>
      </c>
    </row>
    <row r="6315" spans="1:59">
      <c r="A6315" t="s">
        <v>60</v>
      </c>
      <c r="B6315" s="1">
        <v>46130</v>
      </c>
      <c r="C6315">
        <v>2378059762</v>
      </c>
      <c r="D6315">
        <v>2378064342</v>
      </c>
      <c r="E6315" t="str">
        <f>T("칼레이 백작가의 매맞이 하녀 123화")</f>
        <v>칼레이 백작가의 매맞이 하녀 123화</v>
      </c>
      <c r="F6315">
        <v>123</v>
      </c>
      <c r="G6315" t="str">
        <f>T("뮤사203")</f>
        <v>뮤사203</v>
      </c>
      <c r="J6315" t="str">
        <f>T("시계토끼")</f>
        <v>시계토끼</v>
      </c>
      <c r="K6315" t="str">
        <f>T("칼레이 백작가의 매맞이 하녀")</f>
        <v>칼레이 백작가의 매맞이 하녀</v>
      </c>
      <c r="L6315">
        <v>100</v>
      </c>
      <c r="M6315">
        <v>100</v>
      </c>
      <c r="N6315">
        <v>1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>
        <v>0</v>
      </c>
      <c r="V6315">
        <v>0</v>
      </c>
      <c r="W6315">
        <v>0</v>
      </c>
      <c r="X6315">
        <v>0</v>
      </c>
      <c r="Y6315">
        <v>0</v>
      </c>
      <c r="Z6315">
        <v>0</v>
      </c>
      <c r="AA6315">
        <v>0</v>
      </c>
      <c r="AB6315">
        <v>0</v>
      </c>
      <c r="AC6315">
        <v>0</v>
      </c>
      <c r="AD6315">
        <v>0</v>
      </c>
      <c r="AE6315">
        <v>0</v>
      </c>
      <c r="AF6315">
        <v>0</v>
      </c>
      <c r="AG6315">
        <v>0</v>
      </c>
      <c r="AH6315">
        <v>0</v>
      </c>
      <c r="AI6315">
        <v>100</v>
      </c>
      <c r="AJ6315">
        <v>1</v>
      </c>
      <c r="AK6315">
        <v>0</v>
      </c>
      <c r="AL6315">
        <v>0</v>
      </c>
      <c r="AM6315">
        <v>0</v>
      </c>
      <c r="AN6315">
        <v>0</v>
      </c>
      <c r="AO6315">
        <v>120</v>
      </c>
      <c r="AP6315">
        <v>-12</v>
      </c>
      <c r="AQ6315">
        <v>0</v>
      </c>
      <c r="AS6315">
        <v>0</v>
      </c>
      <c r="AT6315">
        <v>0</v>
      </c>
      <c r="AU6315">
        <v>120</v>
      </c>
      <c r="AV6315">
        <v>-12</v>
      </c>
      <c r="AW6315">
        <v>0</v>
      </c>
      <c r="AY6315">
        <v>0</v>
      </c>
      <c r="AZ6315">
        <v>0</v>
      </c>
      <c r="BA6315">
        <v>75.599999999999994</v>
      </c>
      <c r="BE6315" t="str">
        <f>T("9791164099764")</f>
        <v>9791164099764</v>
      </c>
      <c r="BF6315" t="str">
        <f>T("k269778")</f>
        <v>k269778</v>
      </c>
      <c r="BG6315" t="str">
        <f>T("로판 웹소설 &gt; 서양풍 로판")</f>
        <v>로판 웹소설 &gt; 서양풍 로판</v>
      </c>
    </row>
    <row r="6316" spans="1:59">
      <c r="A6316" t="s">
        <v>60</v>
      </c>
      <c r="B6316" s="1">
        <v>46130</v>
      </c>
      <c r="C6316">
        <v>2378059762</v>
      </c>
      <c r="D6316">
        <v>2378064343</v>
      </c>
      <c r="E6316" t="str">
        <f>T("칼레이 백작가의 매맞이 하녀 124화")</f>
        <v>칼레이 백작가의 매맞이 하녀 124화</v>
      </c>
      <c r="F6316">
        <v>124</v>
      </c>
      <c r="G6316" t="str">
        <f>T("뮤사203")</f>
        <v>뮤사203</v>
      </c>
      <c r="J6316" t="str">
        <f>T("시계토끼")</f>
        <v>시계토끼</v>
      </c>
      <c r="K6316" t="str">
        <f>T("칼레이 백작가의 매맞이 하녀")</f>
        <v>칼레이 백작가의 매맞이 하녀</v>
      </c>
      <c r="L6316">
        <v>100</v>
      </c>
      <c r="M6316">
        <v>100</v>
      </c>
      <c r="N6316">
        <v>1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>
        <v>0</v>
      </c>
      <c r="V6316">
        <v>0</v>
      </c>
      <c r="W6316">
        <v>0</v>
      </c>
      <c r="X6316">
        <v>0</v>
      </c>
      <c r="Y6316">
        <v>0</v>
      </c>
      <c r="Z6316">
        <v>0</v>
      </c>
      <c r="AA6316">
        <v>0</v>
      </c>
      <c r="AB6316">
        <v>0</v>
      </c>
      <c r="AC6316">
        <v>0</v>
      </c>
      <c r="AD6316">
        <v>0</v>
      </c>
      <c r="AE6316">
        <v>0</v>
      </c>
      <c r="AF6316">
        <v>0</v>
      </c>
      <c r="AG6316">
        <v>0</v>
      </c>
      <c r="AH6316">
        <v>0</v>
      </c>
      <c r="AI6316">
        <v>100</v>
      </c>
      <c r="AJ6316">
        <v>1</v>
      </c>
      <c r="AK6316">
        <v>0</v>
      </c>
      <c r="AL6316">
        <v>0</v>
      </c>
      <c r="AM6316">
        <v>0</v>
      </c>
      <c r="AN6316">
        <v>0</v>
      </c>
      <c r="AO6316">
        <v>120</v>
      </c>
      <c r="AP6316">
        <v>-12</v>
      </c>
      <c r="AQ6316">
        <v>0</v>
      </c>
      <c r="AS6316">
        <v>0</v>
      </c>
      <c r="AT6316">
        <v>0</v>
      </c>
      <c r="AU6316">
        <v>120</v>
      </c>
      <c r="AV6316">
        <v>-12</v>
      </c>
      <c r="AW6316">
        <v>0</v>
      </c>
      <c r="AY6316">
        <v>0</v>
      </c>
      <c r="AZ6316">
        <v>0</v>
      </c>
      <c r="BA6316">
        <v>75.599999999999994</v>
      </c>
      <c r="BE6316" t="str">
        <f>T("9791164099764")</f>
        <v>9791164099764</v>
      </c>
      <c r="BF6316" t="str">
        <f>T("k269779")</f>
        <v>k269779</v>
      </c>
      <c r="BG6316" t="str">
        <f>T("로판 웹소설 &gt; 서양풍 로판")</f>
        <v>로판 웹소설 &gt; 서양풍 로판</v>
      </c>
    </row>
    <row r="6317" spans="1:59">
      <c r="A6317" t="s">
        <v>60</v>
      </c>
      <c r="B6317" s="1">
        <v>46130</v>
      </c>
      <c r="C6317">
        <v>2378059762</v>
      </c>
      <c r="D6317">
        <v>2378065913</v>
      </c>
      <c r="E6317" t="str">
        <f>T("칼레이 백작가의 매맞이 하녀 138화")</f>
        <v>칼레이 백작가의 매맞이 하녀 138화</v>
      </c>
      <c r="F6317">
        <v>138</v>
      </c>
      <c r="G6317" t="str">
        <f>T("뮤사203")</f>
        <v>뮤사203</v>
      </c>
      <c r="J6317" t="str">
        <f>T("시계토끼")</f>
        <v>시계토끼</v>
      </c>
      <c r="K6317" t="str">
        <f>T("칼레이 백작가의 매맞이 하녀")</f>
        <v>칼레이 백작가의 매맞이 하녀</v>
      </c>
      <c r="L6317">
        <v>100</v>
      </c>
      <c r="M6317">
        <v>200</v>
      </c>
      <c r="N6317">
        <v>2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>
        <v>0</v>
      </c>
      <c r="V6317">
        <v>0</v>
      </c>
      <c r="W6317">
        <v>0</v>
      </c>
      <c r="X6317">
        <v>0</v>
      </c>
      <c r="Y6317">
        <v>0</v>
      </c>
      <c r="Z6317">
        <v>0</v>
      </c>
      <c r="AA6317">
        <v>0</v>
      </c>
      <c r="AB6317">
        <v>0</v>
      </c>
      <c r="AC6317">
        <v>0</v>
      </c>
      <c r="AD6317">
        <v>0</v>
      </c>
      <c r="AE6317">
        <v>0</v>
      </c>
      <c r="AF6317">
        <v>0</v>
      </c>
      <c r="AG6317">
        <v>0</v>
      </c>
      <c r="AH6317">
        <v>0</v>
      </c>
      <c r="AI6317">
        <v>200</v>
      </c>
      <c r="AJ6317">
        <v>2</v>
      </c>
      <c r="AK6317">
        <v>0</v>
      </c>
      <c r="AL6317">
        <v>0</v>
      </c>
      <c r="AM6317">
        <v>0</v>
      </c>
      <c r="AN6317">
        <v>0</v>
      </c>
      <c r="AO6317">
        <v>240</v>
      </c>
      <c r="AP6317">
        <v>-24</v>
      </c>
      <c r="AQ6317">
        <v>0</v>
      </c>
      <c r="AS6317">
        <v>0</v>
      </c>
      <c r="AT6317">
        <v>0</v>
      </c>
      <c r="AU6317">
        <v>240</v>
      </c>
      <c r="AV6317">
        <v>-24</v>
      </c>
      <c r="AW6317">
        <v>0</v>
      </c>
      <c r="AY6317">
        <v>0</v>
      </c>
      <c r="AZ6317">
        <v>0</v>
      </c>
      <c r="BA6317">
        <v>151.19999999999999</v>
      </c>
      <c r="BE6317" t="str">
        <f>T("9791164099764")</f>
        <v>9791164099764</v>
      </c>
      <c r="BF6317" t="str">
        <f>T("k294720")</f>
        <v>k294720</v>
      </c>
      <c r="BG6317" t="str">
        <f>T("로판 웹소설 &gt; 서양풍 로판")</f>
        <v>로판 웹소설 &gt; 서양풍 로판</v>
      </c>
    </row>
    <row r="6318" spans="1:59">
      <c r="A6318" t="s">
        <v>60</v>
      </c>
      <c r="B6318" s="1">
        <v>46130</v>
      </c>
      <c r="C6318">
        <v>2378059762</v>
      </c>
      <c r="D6318">
        <v>2378065945</v>
      </c>
      <c r="E6318" t="str">
        <f>T("칼레이 백작가의 매맞이 하녀 139화")</f>
        <v>칼레이 백작가의 매맞이 하녀 139화</v>
      </c>
      <c r="F6318">
        <v>139</v>
      </c>
      <c r="G6318" t="str">
        <f>T("뮤사203")</f>
        <v>뮤사203</v>
      </c>
      <c r="J6318" t="str">
        <f>T("시계토끼")</f>
        <v>시계토끼</v>
      </c>
      <c r="K6318" t="str">
        <f>T("칼레이 백작가의 매맞이 하녀")</f>
        <v>칼레이 백작가의 매맞이 하녀</v>
      </c>
      <c r="L6318">
        <v>100</v>
      </c>
      <c r="M6318">
        <v>100</v>
      </c>
      <c r="N6318">
        <v>1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>
        <v>0</v>
      </c>
      <c r="V6318">
        <v>0</v>
      </c>
      <c r="W6318">
        <v>0</v>
      </c>
      <c r="X6318">
        <v>0</v>
      </c>
      <c r="Y6318">
        <v>0</v>
      </c>
      <c r="Z6318">
        <v>0</v>
      </c>
      <c r="AA6318">
        <v>0</v>
      </c>
      <c r="AB6318">
        <v>0</v>
      </c>
      <c r="AC6318">
        <v>0</v>
      </c>
      <c r="AD6318">
        <v>0</v>
      </c>
      <c r="AE6318">
        <v>0</v>
      </c>
      <c r="AF6318">
        <v>0</v>
      </c>
      <c r="AG6318">
        <v>0</v>
      </c>
      <c r="AH6318">
        <v>0</v>
      </c>
      <c r="AI6318">
        <v>100</v>
      </c>
      <c r="AJ6318">
        <v>1</v>
      </c>
      <c r="AK6318">
        <v>0</v>
      </c>
      <c r="AL6318">
        <v>0</v>
      </c>
      <c r="AM6318">
        <v>0</v>
      </c>
      <c r="AN6318">
        <v>0</v>
      </c>
      <c r="AO6318">
        <v>120</v>
      </c>
      <c r="AP6318">
        <v>-12</v>
      </c>
      <c r="AQ6318">
        <v>0</v>
      </c>
      <c r="AS6318">
        <v>0</v>
      </c>
      <c r="AT6318">
        <v>0</v>
      </c>
      <c r="AU6318">
        <v>120</v>
      </c>
      <c r="AV6318">
        <v>-12</v>
      </c>
      <c r="AW6318">
        <v>0</v>
      </c>
      <c r="AY6318">
        <v>0</v>
      </c>
      <c r="AZ6318">
        <v>0</v>
      </c>
      <c r="BA6318">
        <v>75.599999999999994</v>
      </c>
      <c r="BE6318" t="str">
        <f>T("9791164099764")</f>
        <v>9791164099764</v>
      </c>
      <c r="BF6318" t="str">
        <f>T("k294721")</f>
        <v>k294721</v>
      </c>
      <c r="BG6318" t="str">
        <f>T("로판 웹소설 &gt; 서양풍 로판")</f>
        <v>로판 웹소설 &gt; 서양풍 로판</v>
      </c>
    </row>
    <row r="6319" spans="1:59">
      <c r="A6319" t="s">
        <v>60</v>
      </c>
      <c r="B6319" s="1">
        <v>46130</v>
      </c>
      <c r="C6319">
        <v>2378059762</v>
      </c>
      <c r="D6319">
        <v>2378064397</v>
      </c>
      <c r="E6319" t="str">
        <f>T("칼레이 백작가의 매맞이 하녀 125화")</f>
        <v>칼레이 백작가의 매맞이 하녀 125화</v>
      </c>
      <c r="F6319">
        <v>125</v>
      </c>
      <c r="G6319" t="str">
        <f>T("뮤사203")</f>
        <v>뮤사203</v>
      </c>
      <c r="J6319" t="str">
        <f>T("시계토끼")</f>
        <v>시계토끼</v>
      </c>
      <c r="K6319" t="str">
        <f>T("칼레이 백작가의 매맞이 하녀")</f>
        <v>칼레이 백작가의 매맞이 하녀</v>
      </c>
      <c r="L6319">
        <v>100</v>
      </c>
      <c r="M6319">
        <v>100</v>
      </c>
      <c r="N6319">
        <v>1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>
        <v>0</v>
      </c>
      <c r="V6319">
        <v>0</v>
      </c>
      <c r="W6319">
        <v>0</v>
      </c>
      <c r="X6319">
        <v>0</v>
      </c>
      <c r="Y6319">
        <v>0</v>
      </c>
      <c r="Z6319">
        <v>0</v>
      </c>
      <c r="AA6319">
        <v>0</v>
      </c>
      <c r="AB6319">
        <v>0</v>
      </c>
      <c r="AC6319">
        <v>0</v>
      </c>
      <c r="AD6319">
        <v>0</v>
      </c>
      <c r="AE6319">
        <v>0</v>
      </c>
      <c r="AF6319">
        <v>0</v>
      </c>
      <c r="AG6319">
        <v>0</v>
      </c>
      <c r="AH6319">
        <v>0</v>
      </c>
      <c r="AI6319">
        <v>100</v>
      </c>
      <c r="AJ6319">
        <v>1</v>
      </c>
      <c r="AK6319">
        <v>0</v>
      </c>
      <c r="AL6319">
        <v>0</v>
      </c>
      <c r="AM6319">
        <v>0</v>
      </c>
      <c r="AN6319">
        <v>0</v>
      </c>
      <c r="AO6319">
        <v>120</v>
      </c>
      <c r="AP6319">
        <v>-12</v>
      </c>
      <c r="AQ6319">
        <v>0</v>
      </c>
      <c r="AS6319">
        <v>0</v>
      </c>
      <c r="AT6319">
        <v>0</v>
      </c>
      <c r="AU6319">
        <v>120</v>
      </c>
      <c r="AV6319">
        <v>-12</v>
      </c>
      <c r="AW6319">
        <v>0</v>
      </c>
      <c r="AY6319">
        <v>0</v>
      </c>
      <c r="AZ6319">
        <v>0</v>
      </c>
      <c r="BA6319">
        <v>75.599999999999994</v>
      </c>
      <c r="BE6319" t="str">
        <f>T("9791164099764")</f>
        <v>9791164099764</v>
      </c>
      <c r="BF6319" t="str">
        <f>T("k269780")</f>
        <v>k269780</v>
      </c>
      <c r="BG6319" t="str">
        <f>T("로판 웹소설 &gt; 서양풍 로판")</f>
        <v>로판 웹소설 &gt; 서양풍 로판</v>
      </c>
    </row>
    <row r="6320" spans="1:59">
      <c r="A6320" t="s">
        <v>60</v>
      </c>
      <c r="B6320" s="1">
        <v>46130</v>
      </c>
      <c r="C6320">
        <v>2378059762</v>
      </c>
      <c r="D6320">
        <v>2378065946</v>
      </c>
      <c r="E6320" t="str">
        <f>T("칼레이 백작가의 매맞이 하녀 140화")</f>
        <v>칼레이 백작가의 매맞이 하녀 140화</v>
      </c>
      <c r="F6320">
        <v>140</v>
      </c>
      <c r="G6320" t="str">
        <f>T("뮤사203")</f>
        <v>뮤사203</v>
      </c>
      <c r="J6320" t="str">
        <f>T("시계토끼")</f>
        <v>시계토끼</v>
      </c>
      <c r="K6320" t="str">
        <f>T("칼레이 백작가의 매맞이 하녀")</f>
        <v>칼레이 백작가의 매맞이 하녀</v>
      </c>
      <c r="L6320">
        <v>100</v>
      </c>
      <c r="M6320">
        <v>100</v>
      </c>
      <c r="N6320">
        <v>1</v>
      </c>
      <c r="O6320">
        <v>0</v>
      </c>
      <c r="P6320">
        <v>0</v>
      </c>
      <c r="Q6320">
        <v>0</v>
      </c>
      <c r="R6320">
        <v>1</v>
      </c>
      <c r="S6320">
        <v>0</v>
      </c>
      <c r="T6320">
        <v>0</v>
      </c>
      <c r="U6320">
        <v>0</v>
      </c>
      <c r="V6320">
        <v>0</v>
      </c>
      <c r="W6320">
        <v>0</v>
      </c>
      <c r="X6320">
        <v>0</v>
      </c>
      <c r="Y6320">
        <v>0</v>
      </c>
      <c r="Z6320">
        <v>0</v>
      </c>
      <c r="AA6320">
        <v>0</v>
      </c>
      <c r="AB6320">
        <v>0</v>
      </c>
      <c r="AC6320">
        <v>0</v>
      </c>
      <c r="AD6320">
        <v>0</v>
      </c>
      <c r="AE6320">
        <v>0</v>
      </c>
      <c r="AF6320">
        <v>0</v>
      </c>
      <c r="AG6320">
        <v>0</v>
      </c>
      <c r="AH6320">
        <v>0</v>
      </c>
      <c r="AI6320">
        <v>100</v>
      </c>
      <c r="AJ6320">
        <v>2</v>
      </c>
      <c r="AK6320">
        <v>0</v>
      </c>
      <c r="AL6320">
        <v>0</v>
      </c>
      <c r="AM6320">
        <v>0</v>
      </c>
      <c r="AN6320">
        <v>0</v>
      </c>
      <c r="AO6320">
        <v>120</v>
      </c>
      <c r="AP6320">
        <v>-12</v>
      </c>
      <c r="AQ6320">
        <v>0</v>
      </c>
      <c r="AS6320">
        <v>0</v>
      </c>
      <c r="AT6320">
        <v>0</v>
      </c>
      <c r="AU6320">
        <v>120</v>
      </c>
      <c r="AV6320">
        <v>-12</v>
      </c>
      <c r="AW6320">
        <v>0</v>
      </c>
      <c r="AY6320">
        <v>0</v>
      </c>
      <c r="AZ6320">
        <v>0</v>
      </c>
      <c r="BA6320">
        <v>75.599999999999994</v>
      </c>
      <c r="BE6320" t="str">
        <f>T("9791164099764")</f>
        <v>9791164099764</v>
      </c>
      <c r="BF6320" t="str">
        <f>T("k294722")</f>
        <v>k294722</v>
      </c>
      <c r="BG6320" t="str">
        <f>T("로판 웹소설 &gt; 서양풍 로판")</f>
        <v>로판 웹소설 &gt; 서양풍 로판</v>
      </c>
    </row>
    <row r="6321" spans="1:59">
      <c r="A6321" t="s">
        <v>60</v>
      </c>
      <c r="B6321" s="1">
        <v>46130</v>
      </c>
      <c r="C6321">
        <v>2378059762</v>
      </c>
      <c r="D6321">
        <v>2378066157</v>
      </c>
      <c r="E6321" t="str">
        <f>T("칼레이 백작가의 매맞이 하녀 141화")</f>
        <v>칼레이 백작가의 매맞이 하녀 141화</v>
      </c>
      <c r="F6321">
        <v>141</v>
      </c>
      <c r="G6321" t="str">
        <f>T("뮤사203")</f>
        <v>뮤사203</v>
      </c>
      <c r="J6321" t="str">
        <f>T("시계토끼")</f>
        <v>시계토끼</v>
      </c>
      <c r="K6321" t="str">
        <f>T("칼레이 백작가의 매맞이 하녀")</f>
        <v>칼레이 백작가의 매맞이 하녀</v>
      </c>
      <c r="L6321">
        <v>100</v>
      </c>
      <c r="M6321">
        <v>100</v>
      </c>
      <c r="N6321">
        <v>1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>
        <v>0</v>
      </c>
      <c r="V6321">
        <v>0</v>
      </c>
      <c r="W6321">
        <v>0</v>
      </c>
      <c r="X6321">
        <v>0</v>
      </c>
      <c r="Y6321">
        <v>0</v>
      </c>
      <c r="Z6321">
        <v>0</v>
      </c>
      <c r="AA6321">
        <v>0</v>
      </c>
      <c r="AB6321">
        <v>0</v>
      </c>
      <c r="AC6321">
        <v>0</v>
      </c>
      <c r="AD6321">
        <v>0</v>
      </c>
      <c r="AE6321">
        <v>0</v>
      </c>
      <c r="AF6321">
        <v>0</v>
      </c>
      <c r="AG6321">
        <v>0</v>
      </c>
      <c r="AH6321">
        <v>0</v>
      </c>
      <c r="AI6321">
        <v>100</v>
      </c>
      <c r="AJ6321">
        <v>1</v>
      </c>
      <c r="AK6321">
        <v>0</v>
      </c>
      <c r="AL6321">
        <v>0</v>
      </c>
      <c r="AM6321">
        <v>0</v>
      </c>
      <c r="AN6321">
        <v>0</v>
      </c>
      <c r="AO6321">
        <v>120</v>
      </c>
      <c r="AP6321">
        <v>-12</v>
      </c>
      <c r="AQ6321">
        <v>0</v>
      </c>
      <c r="AS6321">
        <v>0</v>
      </c>
      <c r="AT6321">
        <v>0</v>
      </c>
      <c r="AU6321">
        <v>120</v>
      </c>
      <c r="AV6321">
        <v>-12</v>
      </c>
      <c r="AW6321">
        <v>0</v>
      </c>
      <c r="AY6321">
        <v>0</v>
      </c>
      <c r="AZ6321">
        <v>0</v>
      </c>
      <c r="BA6321">
        <v>75.599999999999994</v>
      </c>
      <c r="BE6321" t="str">
        <f>T("9791164099764")</f>
        <v>9791164099764</v>
      </c>
      <c r="BF6321" t="str">
        <f>T("k296768")</f>
        <v>k296768</v>
      </c>
      <c r="BG6321" t="str">
        <f>T("로판 웹소설 &gt; 서양풍 로판")</f>
        <v>로판 웹소설 &gt; 서양풍 로판</v>
      </c>
    </row>
    <row r="6322" spans="1:59">
      <c r="A6322" t="s">
        <v>60</v>
      </c>
      <c r="B6322" s="1">
        <v>46130</v>
      </c>
      <c r="C6322">
        <v>2378059762</v>
      </c>
      <c r="D6322">
        <v>2378064422</v>
      </c>
      <c r="E6322" t="str">
        <f>T("칼레이 백작가의 매맞이 하녀 126화")</f>
        <v>칼레이 백작가의 매맞이 하녀 126화</v>
      </c>
      <c r="F6322">
        <v>126</v>
      </c>
      <c r="G6322" t="str">
        <f>T("뮤사203")</f>
        <v>뮤사203</v>
      </c>
      <c r="J6322" t="str">
        <f>T("시계토끼")</f>
        <v>시계토끼</v>
      </c>
      <c r="K6322" t="str">
        <f>T("칼레이 백작가의 매맞이 하녀")</f>
        <v>칼레이 백작가의 매맞이 하녀</v>
      </c>
      <c r="L6322">
        <v>100</v>
      </c>
      <c r="M6322">
        <v>100</v>
      </c>
      <c r="N6322">
        <v>1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>
        <v>0</v>
      </c>
      <c r="V6322">
        <v>0</v>
      </c>
      <c r="W6322">
        <v>0</v>
      </c>
      <c r="X6322">
        <v>0</v>
      </c>
      <c r="Y6322">
        <v>0</v>
      </c>
      <c r="Z6322">
        <v>0</v>
      </c>
      <c r="AA6322">
        <v>0</v>
      </c>
      <c r="AB6322">
        <v>0</v>
      </c>
      <c r="AC6322">
        <v>0</v>
      </c>
      <c r="AD6322">
        <v>0</v>
      </c>
      <c r="AE6322">
        <v>0</v>
      </c>
      <c r="AF6322">
        <v>0</v>
      </c>
      <c r="AG6322">
        <v>0</v>
      </c>
      <c r="AH6322">
        <v>0</v>
      </c>
      <c r="AI6322">
        <v>100</v>
      </c>
      <c r="AJ6322">
        <v>1</v>
      </c>
      <c r="AK6322">
        <v>0</v>
      </c>
      <c r="AL6322">
        <v>0</v>
      </c>
      <c r="AM6322">
        <v>0</v>
      </c>
      <c r="AN6322">
        <v>0</v>
      </c>
      <c r="AO6322">
        <v>120</v>
      </c>
      <c r="AP6322">
        <v>-12</v>
      </c>
      <c r="AQ6322">
        <v>0</v>
      </c>
      <c r="AS6322">
        <v>0</v>
      </c>
      <c r="AT6322">
        <v>0</v>
      </c>
      <c r="AU6322">
        <v>120</v>
      </c>
      <c r="AV6322">
        <v>-12</v>
      </c>
      <c r="AW6322">
        <v>0</v>
      </c>
      <c r="AY6322">
        <v>0</v>
      </c>
      <c r="AZ6322">
        <v>0</v>
      </c>
      <c r="BA6322">
        <v>75.599999999999994</v>
      </c>
      <c r="BE6322" t="str">
        <f>T("9791164099764")</f>
        <v>9791164099764</v>
      </c>
      <c r="BF6322" t="str">
        <f>T("k275205")</f>
        <v>k275205</v>
      </c>
      <c r="BG6322" t="str">
        <f>T("로판 웹소설 &gt; 서양풍 로판")</f>
        <v>로판 웹소설 &gt; 서양풍 로판</v>
      </c>
    </row>
    <row r="6323" spans="1:59">
      <c r="A6323" t="s">
        <v>60</v>
      </c>
      <c r="B6323" s="1">
        <v>46130</v>
      </c>
      <c r="C6323">
        <v>2378059762</v>
      </c>
      <c r="D6323">
        <v>2378066158</v>
      </c>
      <c r="E6323" t="str">
        <f>T("칼레이 백작가의 매맞이 하녀 142화")</f>
        <v>칼레이 백작가의 매맞이 하녀 142화</v>
      </c>
      <c r="F6323">
        <v>142</v>
      </c>
      <c r="G6323" t="str">
        <f>T("뮤사203")</f>
        <v>뮤사203</v>
      </c>
      <c r="J6323" t="str">
        <f>T("시계토끼")</f>
        <v>시계토끼</v>
      </c>
      <c r="K6323" t="str">
        <f>T("칼레이 백작가의 매맞이 하녀")</f>
        <v>칼레이 백작가의 매맞이 하녀</v>
      </c>
      <c r="L6323">
        <v>100</v>
      </c>
      <c r="M6323">
        <v>100</v>
      </c>
      <c r="N6323">
        <v>1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>
        <v>0</v>
      </c>
      <c r="V6323">
        <v>0</v>
      </c>
      <c r="W6323">
        <v>0</v>
      </c>
      <c r="X6323">
        <v>0</v>
      </c>
      <c r="Y6323">
        <v>0</v>
      </c>
      <c r="Z6323">
        <v>0</v>
      </c>
      <c r="AA6323">
        <v>0</v>
      </c>
      <c r="AB6323">
        <v>0</v>
      </c>
      <c r="AC6323">
        <v>0</v>
      </c>
      <c r="AD6323">
        <v>0</v>
      </c>
      <c r="AE6323">
        <v>0</v>
      </c>
      <c r="AF6323">
        <v>0</v>
      </c>
      <c r="AG6323">
        <v>0</v>
      </c>
      <c r="AH6323">
        <v>0</v>
      </c>
      <c r="AI6323">
        <v>100</v>
      </c>
      <c r="AJ6323">
        <v>1</v>
      </c>
      <c r="AK6323">
        <v>0</v>
      </c>
      <c r="AL6323">
        <v>0</v>
      </c>
      <c r="AM6323">
        <v>0</v>
      </c>
      <c r="AN6323">
        <v>0</v>
      </c>
      <c r="AO6323">
        <v>120</v>
      </c>
      <c r="AP6323">
        <v>-12</v>
      </c>
      <c r="AQ6323">
        <v>0</v>
      </c>
      <c r="AS6323">
        <v>0</v>
      </c>
      <c r="AT6323">
        <v>0</v>
      </c>
      <c r="AU6323">
        <v>120</v>
      </c>
      <c r="AV6323">
        <v>-12</v>
      </c>
      <c r="AW6323">
        <v>0</v>
      </c>
      <c r="AY6323">
        <v>0</v>
      </c>
      <c r="AZ6323">
        <v>0</v>
      </c>
      <c r="BA6323">
        <v>75.599999999999994</v>
      </c>
      <c r="BE6323" t="str">
        <f>T("9791164099764")</f>
        <v>9791164099764</v>
      </c>
      <c r="BF6323" t="str">
        <f>T("k297664")</f>
        <v>k297664</v>
      </c>
      <c r="BG6323" t="str">
        <f>T("로판 웹소설 &gt; 서양풍 로판")</f>
        <v>로판 웹소설 &gt; 서양풍 로판</v>
      </c>
    </row>
    <row r="6324" spans="1:59">
      <c r="A6324" t="s">
        <v>60</v>
      </c>
      <c r="B6324" s="1">
        <v>46130</v>
      </c>
      <c r="C6324">
        <v>2378059762</v>
      </c>
      <c r="D6324">
        <v>2378066159</v>
      </c>
      <c r="E6324" t="str">
        <f>T("칼레이 백작가의 매맞이 하녀 143화")</f>
        <v>칼레이 백작가의 매맞이 하녀 143화</v>
      </c>
      <c r="F6324">
        <v>143</v>
      </c>
      <c r="G6324" t="str">
        <f>T("뮤사203")</f>
        <v>뮤사203</v>
      </c>
      <c r="J6324" t="str">
        <f>T("시계토끼")</f>
        <v>시계토끼</v>
      </c>
      <c r="K6324" t="str">
        <f>T("칼레이 백작가의 매맞이 하녀")</f>
        <v>칼레이 백작가의 매맞이 하녀</v>
      </c>
      <c r="L6324">
        <v>100</v>
      </c>
      <c r="M6324">
        <v>100</v>
      </c>
      <c r="N6324">
        <v>1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0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0</v>
      </c>
      <c r="AE6324">
        <v>0</v>
      </c>
      <c r="AF6324">
        <v>0</v>
      </c>
      <c r="AG6324">
        <v>0</v>
      </c>
      <c r="AH6324">
        <v>0</v>
      </c>
      <c r="AI6324">
        <v>100</v>
      </c>
      <c r="AJ6324">
        <v>1</v>
      </c>
      <c r="AK6324">
        <v>0</v>
      </c>
      <c r="AL6324">
        <v>0</v>
      </c>
      <c r="AM6324">
        <v>0</v>
      </c>
      <c r="AN6324">
        <v>0</v>
      </c>
      <c r="AO6324">
        <v>120</v>
      </c>
      <c r="AP6324">
        <v>-12</v>
      </c>
      <c r="AQ6324">
        <v>0</v>
      </c>
      <c r="AS6324">
        <v>0</v>
      </c>
      <c r="AT6324">
        <v>0</v>
      </c>
      <c r="AU6324">
        <v>120</v>
      </c>
      <c r="AV6324">
        <v>-12</v>
      </c>
      <c r="AW6324">
        <v>0</v>
      </c>
      <c r="AY6324">
        <v>0</v>
      </c>
      <c r="AZ6324">
        <v>0</v>
      </c>
      <c r="BA6324">
        <v>75.599999999999994</v>
      </c>
      <c r="BE6324" t="str">
        <f>T("9791164099764")</f>
        <v>9791164099764</v>
      </c>
      <c r="BF6324" t="str">
        <f>T("k297665")</f>
        <v>k297665</v>
      </c>
      <c r="BG6324" t="str">
        <f>T("로판 웹소설 &gt; 서양풍 로판")</f>
        <v>로판 웹소설 &gt; 서양풍 로판</v>
      </c>
    </row>
    <row r="6325" spans="1:59">
      <c r="A6325" t="s">
        <v>60</v>
      </c>
      <c r="B6325" s="1">
        <v>46130</v>
      </c>
      <c r="C6325">
        <v>2378059762</v>
      </c>
      <c r="D6325">
        <v>2378065301</v>
      </c>
      <c r="E6325" t="str">
        <f>T("칼레이 백작가의 매맞이 하녀 127화")</f>
        <v>칼레이 백작가의 매맞이 하녀 127화</v>
      </c>
      <c r="F6325">
        <v>127</v>
      </c>
      <c r="G6325" t="str">
        <f>T("뮤사203")</f>
        <v>뮤사203</v>
      </c>
      <c r="J6325" t="str">
        <f>T("시계토끼")</f>
        <v>시계토끼</v>
      </c>
      <c r="K6325" t="str">
        <f>T("칼레이 백작가의 매맞이 하녀")</f>
        <v>칼레이 백작가의 매맞이 하녀</v>
      </c>
      <c r="L6325">
        <v>100</v>
      </c>
      <c r="M6325">
        <v>100</v>
      </c>
      <c r="N6325">
        <v>1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0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0</v>
      </c>
      <c r="AE6325">
        <v>0</v>
      </c>
      <c r="AF6325">
        <v>0</v>
      </c>
      <c r="AG6325">
        <v>0</v>
      </c>
      <c r="AH6325">
        <v>0</v>
      </c>
      <c r="AI6325">
        <v>100</v>
      </c>
      <c r="AJ6325">
        <v>1</v>
      </c>
      <c r="AK6325">
        <v>0</v>
      </c>
      <c r="AL6325">
        <v>0</v>
      </c>
      <c r="AM6325">
        <v>0</v>
      </c>
      <c r="AN6325">
        <v>0</v>
      </c>
      <c r="AO6325">
        <v>120</v>
      </c>
      <c r="AP6325">
        <v>-12</v>
      </c>
      <c r="AQ6325">
        <v>0</v>
      </c>
      <c r="AS6325">
        <v>0</v>
      </c>
      <c r="AT6325">
        <v>0</v>
      </c>
      <c r="AU6325">
        <v>120</v>
      </c>
      <c r="AV6325">
        <v>-12</v>
      </c>
      <c r="AW6325">
        <v>0</v>
      </c>
      <c r="AY6325">
        <v>0</v>
      </c>
      <c r="AZ6325">
        <v>0</v>
      </c>
      <c r="BA6325">
        <v>75.599999999999994</v>
      </c>
      <c r="BE6325" t="str">
        <f>T("9791164099764")</f>
        <v>9791164099764</v>
      </c>
      <c r="BF6325" t="str">
        <f>T("k275206")</f>
        <v>k275206</v>
      </c>
      <c r="BG6325" t="str">
        <f>T("로판 웹소설 &gt; 서양풍 로판")</f>
        <v>로판 웹소설 &gt; 서양풍 로판</v>
      </c>
    </row>
    <row r="6326" spans="1:59">
      <c r="A6326" t="s">
        <v>60</v>
      </c>
      <c r="B6326" s="1">
        <v>46130</v>
      </c>
      <c r="C6326">
        <v>2378059762</v>
      </c>
      <c r="D6326">
        <v>2378066206</v>
      </c>
      <c r="E6326" t="str">
        <f>T("칼레이 백작가의 매맞이 하녀 144화")</f>
        <v>칼레이 백작가의 매맞이 하녀 144화</v>
      </c>
      <c r="F6326">
        <v>144</v>
      </c>
      <c r="G6326" t="str">
        <f>T("뮤사203")</f>
        <v>뮤사203</v>
      </c>
      <c r="J6326" t="str">
        <f>T("시계토끼")</f>
        <v>시계토끼</v>
      </c>
      <c r="K6326" t="str">
        <f>T("칼레이 백작가의 매맞이 하녀")</f>
        <v>칼레이 백작가의 매맞이 하녀</v>
      </c>
      <c r="L6326">
        <v>100</v>
      </c>
      <c r="M6326">
        <v>100</v>
      </c>
      <c r="N6326">
        <v>1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0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0</v>
      </c>
      <c r="AE6326">
        <v>0</v>
      </c>
      <c r="AF6326">
        <v>0</v>
      </c>
      <c r="AG6326">
        <v>0</v>
      </c>
      <c r="AH6326">
        <v>0</v>
      </c>
      <c r="AI6326">
        <v>100</v>
      </c>
      <c r="AJ6326">
        <v>1</v>
      </c>
      <c r="AK6326">
        <v>0</v>
      </c>
      <c r="AL6326">
        <v>0</v>
      </c>
      <c r="AM6326">
        <v>0</v>
      </c>
      <c r="AN6326">
        <v>0</v>
      </c>
      <c r="AO6326">
        <v>120</v>
      </c>
      <c r="AP6326">
        <v>-12</v>
      </c>
      <c r="AQ6326">
        <v>0</v>
      </c>
      <c r="AS6326">
        <v>0</v>
      </c>
      <c r="AT6326">
        <v>0</v>
      </c>
      <c r="AU6326">
        <v>120</v>
      </c>
      <c r="AV6326">
        <v>-12</v>
      </c>
      <c r="AW6326">
        <v>0</v>
      </c>
      <c r="AY6326">
        <v>0</v>
      </c>
      <c r="AZ6326">
        <v>0</v>
      </c>
      <c r="BA6326">
        <v>75.599999999999994</v>
      </c>
      <c r="BE6326" t="str">
        <f>T("9791164099764")</f>
        <v>9791164099764</v>
      </c>
      <c r="BF6326" t="str">
        <f>T("k297666")</f>
        <v>k297666</v>
      </c>
      <c r="BG6326" t="str">
        <f>T("로판 웹소설 &gt; 서양풍 로판")</f>
        <v>로판 웹소설 &gt; 서양풍 로판</v>
      </c>
    </row>
    <row r="6327" spans="1:59">
      <c r="A6327" t="s">
        <v>60</v>
      </c>
      <c r="B6327" s="1">
        <v>46130</v>
      </c>
      <c r="C6327">
        <v>2378059762</v>
      </c>
      <c r="D6327">
        <v>2378065302</v>
      </c>
      <c r="E6327" t="str">
        <f>T("칼레이 백작가의 매맞이 하녀 128화")</f>
        <v>칼레이 백작가의 매맞이 하녀 128화</v>
      </c>
      <c r="F6327">
        <v>128</v>
      </c>
      <c r="G6327" t="str">
        <f>T("뮤사203")</f>
        <v>뮤사203</v>
      </c>
      <c r="J6327" t="str">
        <f>T("시계토끼")</f>
        <v>시계토끼</v>
      </c>
      <c r="K6327" t="str">
        <f>T("칼레이 백작가의 매맞이 하녀")</f>
        <v>칼레이 백작가의 매맞이 하녀</v>
      </c>
      <c r="L6327">
        <v>100</v>
      </c>
      <c r="M6327">
        <v>100</v>
      </c>
      <c r="N6327">
        <v>1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0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0</v>
      </c>
      <c r="AE6327">
        <v>0</v>
      </c>
      <c r="AF6327">
        <v>0</v>
      </c>
      <c r="AG6327">
        <v>0</v>
      </c>
      <c r="AH6327">
        <v>0</v>
      </c>
      <c r="AI6327">
        <v>100</v>
      </c>
      <c r="AJ6327">
        <v>1</v>
      </c>
      <c r="AK6327">
        <v>0</v>
      </c>
      <c r="AL6327">
        <v>0</v>
      </c>
      <c r="AM6327">
        <v>0</v>
      </c>
      <c r="AN6327">
        <v>0</v>
      </c>
      <c r="AO6327">
        <v>120</v>
      </c>
      <c r="AP6327">
        <v>-12</v>
      </c>
      <c r="AQ6327">
        <v>0</v>
      </c>
      <c r="AS6327">
        <v>0</v>
      </c>
      <c r="AT6327">
        <v>0</v>
      </c>
      <c r="AU6327">
        <v>120</v>
      </c>
      <c r="AV6327">
        <v>-12</v>
      </c>
      <c r="AW6327">
        <v>0</v>
      </c>
      <c r="AY6327">
        <v>0</v>
      </c>
      <c r="AZ6327">
        <v>0</v>
      </c>
      <c r="BA6327">
        <v>75.599999999999994</v>
      </c>
      <c r="BE6327" t="str">
        <f>T("9791164099764")</f>
        <v>9791164099764</v>
      </c>
      <c r="BF6327" t="str">
        <f>T("k275207")</f>
        <v>k275207</v>
      </c>
      <c r="BG6327" t="str">
        <f>T("로판 웹소설 &gt; 서양풍 로판")</f>
        <v>로판 웹소설 &gt; 서양풍 로판</v>
      </c>
    </row>
    <row r="6328" spans="1:59">
      <c r="A6328" t="s">
        <v>60</v>
      </c>
      <c r="B6328" s="1">
        <v>46130</v>
      </c>
      <c r="C6328">
        <v>2378059762</v>
      </c>
      <c r="D6328">
        <v>2378066207</v>
      </c>
      <c r="E6328" t="str">
        <f>T("칼레이 백작가의 매맞이 하녀 145화")</f>
        <v>칼레이 백작가의 매맞이 하녀 145화</v>
      </c>
      <c r="F6328">
        <v>145</v>
      </c>
      <c r="G6328" t="str">
        <f>T("뮤사203")</f>
        <v>뮤사203</v>
      </c>
      <c r="J6328" t="str">
        <f>T("시계토끼")</f>
        <v>시계토끼</v>
      </c>
      <c r="K6328" t="str">
        <f>T("칼레이 백작가의 매맞이 하녀")</f>
        <v>칼레이 백작가의 매맞이 하녀</v>
      </c>
      <c r="L6328">
        <v>100</v>
      </c>
      <c r="M6328">
        <v>100</v>
      </c>
      <c r="N6328">
        <v>1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0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0</v>
      </c>
      <c r="AE6328">
        <v>0</v>
      </c>
      <c r="AF6328">
        <v>0</v>
      </c>
      <c r="AG6328">
        <v>0</v>
      </c>
      <c r="AH6328">
        <v>0</v>
      </c>
      <c r="AI6328">
        <v>100</v>
      </c>
      <c r="AJ6328">
        <v>1</v>
      </c>
      <c r="AK6328">
        <v>0</v>
      </c>
      <c r="AL6328">
        <v>0</v>
      </c>
      <c r="AM6328">
        <v>0</v>
      </c>
      <c r="AN6328">
        <v>0</v>
      </c>
      <c r="AO6328">
        <v>120</v>
      </c>
      <c r="AP6328">
        <v>-12</v>
      </c>
      <c r="AQ6328">
        <v>0</v>
      </c>
      <c r="AS6328">
        <v>0</v>
      </c>
      <c r="AT6328">
        <v>0</v>
      </c>
      <c r="AU6328">
        <v>120</v>
      </c>
      <c r="AV6328">
        <v>-12</v>
      </c>
      <c r="AW6328">
        <v>0</v>
      </c>
      <c r="AY6328">
        <v>0</v>
      </c>
      <c r="AZ6328">
        <v>0</v>
      </c>
      <c r="BA6328">
        <v>75.599999999999994</v>
      </c>
      <c r="BE6328" t="str">
        <f>T("9791164099764")</f>
        <v>9791164099764</v>
      </c>
      <c r="BF6328" t="str">
        <f>T("k297667")</f>
        <v>k297667</v>
      </c>
      <c r="BG6328" t="str">
        <f>T("로판 웹소설 &gt; 서양풍 로판")</f>
        <v>로판 웹소설 &gt; 서양풍 로판</v>
      </c>
    </row>
    <row r="6329" spans="1:59">
      <c r="A6329" t="s">
        <v>60</v>
      </c>
      <c r="B6329" s="1">
        <v>46130</v>
      </c>
      <c r="C6329">
        <v>2378059762</v>
      </c>
      <c r="D6329">
        <v>2378065303</v>
      </c>
      <c r="E6329" t="str">
        <f>T("칼레이 백작가의 매맞이 하녀 129화")</f>
        <v>칼레이 백작가의 매맞이 하녀 129화</v>
      </c>
      <c r="F6329">
        <v>129</v>
      </c>
      <c r="G6329" t="str">
        <f>T("뮤사203")</f>
        <v>뮤사203</v>
      </c>
      <c r="J6329" t="str">
        <f>T("시계토끼")</f>
        <v>시계토끼</v>
      </c>
      <c r="K6329" t="str">
        <f>T("칼레이 백작가의 매맞이 하녀")</f>
        <v>칼레이 백작가의 매맞이 하녀</v>
      </c>
      <c r="L6329">
        <v>100</v>
      </c>
      <c r="M6329">
        <v>100</v>
      </c>
      <c r="N6329">
        <v>1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0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0</v>
      </c>
      <c r="AE6329">
        <v>0</v>
      </c>
      <c r="AF6329">
        <v>0</v>
      </c>
      <c r="AG6329">
        <v>0</v>
      </c>
      <c r="AH6329">
        <v>0</v>
      </c>
      <c r="AI6329">
        <v>100</v>
      </c>
      <c r="AJ6329">
        <v>1</v>
      </c>
      <c r="AK6329">
        <v>0</v>
      </c>
      <c r="AL6329">
        <v>0</v>
      </c>
      <c r="AM6329">
        <v>0</v>
      </c>
      <c r="AN6329">
        <v>0</v>
      </c>
      <c r="AO6329">
        <v>120</v>
      </c>
      <c r="AP6329">
        <v>-12</v>
      </c>
      <c r="AQ6329">
        <v>0</v>
      </c>
      <c r="AS6329">
        <v>0</v>
      </c>
      <c r="AT6329">
        <v>0</v>
      </c>
      <c r="AU6329">
        <v>120</v>
      </c>
      <c r="AV6329">
        <v>-12</v>
      </c>
      <c r="AW6329">
        <v>0</v>
      </c>
      <c r="AY6329">
        <v>0</v>
      </c>
      <c r="AZ6329">
        <v>0</v>
      </c>
      <c r="BA6329">
        <v>75.599999999999994</v>
      </c>
      <c r="BE6329" t="str">
        <f>T("9791164099764")</f>
        <v>9791164099764</v>
      </c>
      <c r="BF6329" t="str">
        <f>T("k275208")</f>
        <v>k275208</v>
      </c>
      <c r="BG6329" t="str">
        <f>T("로판 웹소설 &gt; 서양풍 로판")</f>
        <v>로판 웹소설 &gt; 서양풍 로판</v>
      </c>
    </row>
    <row r="6330" spans="1:59">
      <c r="A6330" t="s">
        <v>60</v>
      </c>
      <c r="B6330" s="1">
        <v>46130</v>
      </c>
      <c r="C6330">
        <v>2378059762</v>
      </c>
      <c r="D6330">
        <v>2378066208</v>
      </c>
      <c r="E6330" t="str">
        <f>T("칼레이 백작가의 매맞이 하녀 146화")</f>
        <v>칼레이 백작가의 매맞이 하녀 146화</v>
      </c>
      <c r="F6330">
        <v>146</v>
      </c>
      <c r="G6330" t="str">
        <f>T("뮤사203")</f>
        <v>뮤사203</v>
      </c>
      <c r="J6330" t="str">
        <f>T("시계토끼")</f>
        <v>시계토끼</v>
      </c>
      <c r="K6330" t="str">
        <f>T("칼레이 백작가의 매맞이 하녀")</f>
        <v>칼레이 백작가의 매맞이 하녀</v>
      </c>
      <c r="L6330">
        <v>100</v>
      </c>
      <c r="M6330">
        <v>100</v>
      </c>
      <c r="N6330">
        <v>1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0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0</v>
      </c>
      <c r="AE6330">
        <v>0</v>
      </c>
      <c r="AF6330">
        <v>0</v>
      </c>
      <c r="AG6330">
        <v>0</v>
      </c>
      <c r="AH6330">
        <v>0</v>
      </c>
      <c r="AI6330">
        <v>100</v>
      </c>
      <c r="AJ6330">
        <v>1</v>
      </c>
      <c r="AK6330">
        <v>0</v>
      </c>
      <c r="AL6330">
        <v>0</v>
      </c>
      <c r="AM6330">
        <v>0</v>
      </c>
      <c r="AN6330">
        <v>0</v>
      </c>
      <c r="AO6330">
        <v>120</v>
      </c>
      <c r="AP6330">
        <v>-12</v>
      </c>
      <c r="AQ6330">
        <v>0</v>
      </c>
      <c r="AS6330">
        <v>0</v>
      </c>
      <c r="AT6330">
        <v>0</v>
      </c>
      <c r="AU6330">
        <v>120</v>
      </c>
      <c r="AV6330">
        <v>-12</v>
      </c>
      <c r="AW6330">
        <v>0</v>
      </c>
      <c r="AY6330">
        <v>0</v>
      </c>
      <c r="AZ6330">
        <v>0</v>
      </c>
      <c r="BA6330">
        <v>75.599999999999994</v>
      </c>
      <c r="BE6330" t="str">
        <f>T("9791164099764")</f>
        <v>9791164099764</v>
      </c>
      <c r="BF6330" t="str">
        <f>T("k298223")</f>
        <v>k298223</v>
      </c>
      <c r="BG6330" t="str">
        <f>T("로판 웹소설 &gt; 서양풍 로판")</f>
        <v>로판 웹소설 &gt; 서양풍 로판</v>
      </c>
    </row>
    <row r="6331" spans="1:59">
      <c r="A6331" t="s">
        <v>60</v>
      </c>
      <c r="B6331" s="1">
        <v>46130</v>
      </c>
      <c r="C6331">
        <v>2378059762</v>
      </c>
      <c r="D6331">
        <v>2378066416</v>
      </c>
      <c r="E6331" t="str">
        <f>T("칼레이 백작가의 매맞이 하녀 147화")</f>
        <v>칼레이 백작가의 매맞이 하녀 147화</v>
      </c>
      <c r="F6331">
        <v>147</v>
      </c>
      <c r="G6331" t="str">
        <f>T("뮤사203")</f>
        <v>뮤사203</v>
      </c>
      <c r="J6331" t="str">
        <f>T("시계토끼")</f>
        <v>시계토끼</v>
      </c>
      <c r="K6331" t="str">
        <f>T("칼레이 백작가의 매맞이 하녀")</f>
        <v>칼레이 백작가의 매맞이 하녀</v>
      </c>
      <c r="L6331">
        <v>100</v>
      </c>
      <c r="M6331">
        <v>100</v>
      </c>
      <c r="N6331">
        <v>1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0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0</v>
      </c>
      <c r="AE6331">
        <v>0</v>
      </c>
      <c r="AF6331">
        <v>0</v>
      </c>
      <c r="AG6331">
        <v>0</v>
      </c>
      <c r="AH6331">
        <v>0</v>
      </c>
      <c r="AI6331">
        <v>100</v>
      </c>
      <c r="AJ6331">
        <v>1</v>
      </c>
      <c r="AK6331">
        <v>0</v>
      </c>
      <c r="AL6331">
        <v>0</v>
      </c>
      <c r="AM6331">
        <v>0</v>
      </c>
      <c r="AN6331">
        <v>0</v>
      </c>
      <c r="AO6331">
        <v>120</v>
      </c>
      <c r="AP6331">
        <v>-12</v>
      </c>
      <c r="AQ6331">
        <v>0</v>
      </c>
      <c r="AS6331">
        <v>0</v>
      </c>
      <c r="AT6331">
        <v>0</v>
      </c>
      <c r="AU6331">
        <v>120</v>
      </c>
      <c r="AV6331">
        <v>-12</v>
      </c>
      <c r="AW6331">
        <v>0</v>
      </c>
      <c r="AY6331">
        <v>0</v>
      </c>
      <c r="AZ6331">
        <v>0</v>
      </c>
      <c r="BA6331">
        <v>75.599999999999994</v>
      </c>
      <c r="BE6331" t="str">
        <f>T("9791164099764")</f>
        <v>9791164099764</v>
      </c>
      <c r="BF6331" t="str">
        <f>T("k298224")</f>
        <v>k298224</v>
      </c>
      <c r="BG6331" t="str">
        <f>T("로판 웹소설 &gt; 서양풍 로판")</f>
        <v>로판 웹소설 &gt; 서양풍 로판</v>
      </c>
    </row>
    <row r="6332" spans="1:59">
      <c r="A6332" t="s">
        <v>60</v>
      </c>
      <c r="B6332" s="1">
        <v>46130</v>
      </c>
      <c r="C6332">
        <v>2378059762</v>
      </c>
      <c r="D6332">
        <v>2378059770</v>
      </c>
      <c r="E6332" t="str">
        <f>T("칼레이 백작가의 매맞이 하녀 9화")</f>
        <v>칼레이 백작가의 매맞이 하녀 9화</v>
      </c>
      <c r="F6332">
        <v>9</v>
      </c>
      <c r="G6332" t="str">
        <f>T("뮤사203")</f>
        <v>뮤사203</v>
      </c>
      <c r="J6332" t="str">
        <f>T("시계토끼")</f>
        <v>시계토끼</v>
      </c>
      <c r="K6332" t="str">
        <f>T("칼레이 백작가의 매맞이 하녀")</f>
        <v>칼레이 백작가의 매맞이 하녀</v>
      </c>
      <c r="L6332">
        <v>100</v>
      </c>
      <c r="M6332">
        <v>100</v>
      </c>
      <c r="N6332">
        <v>1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0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0</v>
      </c>
      <c r="AE6332">
        <v>0</v>
      </c>
      <c r="AF6332">
        <v>0</v>
      </c>
      <c r="AG6332">
        <v>0</v>
      </c>
      <c r="AH6332">
        <v>0</v>
      </c>
      <c r="AI6332">
        <v>100</v>
      </c>
      <c r="AJ6332">
        <v>1</v>
      </c>
      <c r="AK6332">
        <v>0</v>
      </c>
      <c r="AL6332">
        <v>0</v>
      </c>
      <c r="AM6332">
        <v>100</v>
      </c>
      <c r="AN6332">
        <v>0</v>
      </c>
      <c r="AO6332">
        <v>0</v>
      </c>
      <c r="AP6332">
        <v>0</v>
      </c>
      <c r="AQ6332">
        <v>0</v>
      </c>
      <c r="AS6332">
        <v>0</v>
      </c>
      <c r="AT6332">
        <v>0</v>
      </c>
      <c r="AV6332">
        <v>0</v>
      </c>
      <c r="AW6332">
        <v>0</v>
      </c>
      <c r="AY6332">
        <v>0</v>
      </c>
      <c r="AZ6332">
        <v>0</v>
      </c>
      <c r="BA6332">
        <v>70</v>
      </c>
      <c r="BE6332" t="str">
        <f>T("9791164099764")</f>
        <v>9791164099764</v>
      </c>
      <c r="BF6332" t="str">
        <f>T("k201688")</f>
        <v>k201688</v>
      </c>
      <c r="BG6332" t="str">
        <f>T("로판 웹소설 &gt; 서양풍 로판")</f>
        <v>로판 웹소설 &gt; 서양풍 로판</v>
      </c>
    </row>
    <row r="6333" spans="1:59">
      <c r="A6333" t="s">
        <v>60</v>
      </c>
      <c r="B6333" s="1">
        <v>46130</v>
      </c>
      <c r="C6333">
        <v>2378059762</v>
      </c>
      <c r="D6333">
        <v>2378065378</v>
      </c>
      <c r="E6333" t="str">
        <f>T("칼레이 백작가의 매맞이 하녀 130화")</f>
        <v>칼레이 백작가의 매맞이 하녀 130화</v>
      </c>
      <c r="F6333">
        <v>130</v>
      </c>
      <c r="G6333" t="str">
        <f>T("뮤사203")</f>
        <v>뮤사203</v>
      </c>
      <c r="J6333" t="str">
        <f>T("시계토끼")</f>
        <v>시계토끼</v>
      </c>
      <c r="K6333" t="str">
        <f>T("칼레이 백작가의 매맞이 하녀")</f>
        <v>칼레이 백작가의 매맞이 하녀</v>
      </c>
      <c r="L6333">
        <v>100</v>
      </c>
      <c r="M6333">
        <v>100</v>
      </c>
      <c r="N6333">
        <v>1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0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0</v>
      </c>
      <c r="AE6333">
        <v>0</v>
      </c>
      <c r="AF6333">
        <v>0</v>
      </c>
      <c r="AG6333">
        <v>0</v>
      </c>
      <c r="AH6333">
        <v>0</v>
      </c>
      <c r="AI6333">
        <v>100</v>
      </c>
      <c r="AJ6333">
        <v>1</v>
      </c>
      <c r="AK6333">
        <v>0</v>
      </c>
      <c r="AL6333">
        <v>0</v>
      </c>
      <c r="AM6333">
        <v>0</v>
      </c>
      <c r="AN6333">
        <v>0</v>
      </c>
      <c r="AO6333">
        <v>120</v>
      </c>
      <c r="AP6333">
        <v>-12</v>
      </c>
      <c r="AQ6333">
        <v>0</v>
      </c>
      <c r="AS6333">
        <v>0</v>
      </c>
      <c r="AT6333">
        <v>0</v>
      </c>
      <c r="AU6333">
        <v>120</v>
      </c>
      <c r="AV6333">
        <v>-12</v>
      </c>
      <c r="AW6333">
        <v>0</v>
      </c>
      <c r="AY6333">
        <v>0</v>
      </c>
      <c r="AZ6333">
        <v>0</v>
      </c>
      <c r="BA6333">
        <v>75.599999999999994</v>
      </c>
      <c r="BE6333" t="str">
        <f>T("9791164099764")</f>
        <v>9791164099764</v>
      </c>
      <c r="BF6333" t="str">
        <f>T("k284248")</f>
        <v>k284248</v>
      </c>
      <c r="BG6333" t="str">
        <f>T("로판 웹소설 &gt; 서양풍 로판")</f>
        <v>로판 웹소설 &gt; 서양풍 로판</v>
      </c>
    </row>
    <row r="6334" spans="1:59">
      <c r="A6334" t="s">
        <v>60</v>
      </c>
      <c r="B6334" s="1">
        <v>46130</v>
      </c>
      <c r="C6334">
        <v>2378059762</v>
      </c>
      <c r="D6334">
        <v>2378066417</v>
      </c>
      <c r="E6334" t="str">
        <f>T("칼레이 백작가의 매맞이 하녀 148화")</f>
        <v>칼레이 백작가의 매맞이 하녀 148화</v>
      </c>
      <c r="F6334">
        <v>148</v>
      </c>
      <c r="G6334" t="str">
        <f>T("뮤사203")</f>
        <v>뮤사203</v>
      </c>
      <c r="J6334" t="str">
        <f>T("시계토끼")</f>
        <v>시계토끼</v>
      </c>
      <c r="K6334" t="str">
        <f>T("칼레이 백작가의 매맞이 하녀")</f>
        <v>칼레이 백작가의 매맞이 하녀</v>
      </c>
      <c r="L6334">
        <v>100</v>
      </c>
      <c r="M6334">
        <v>100</v>
      </c>
      <c r="N6334">
        <v>1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0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0</v>
      </c>
      <c r="AE6334">
        <v>0</v>
      </c>
      <c r="AF6334">
        <v>0</v>
      </c>
      <c r="AG6334">
        <v>0</v>
      </c>
      <c r="AH6334">
        <v>0</v>
      </c>
      <c r="AI6334">
        <v>100</v>
      </c>
      <c r="AJ6334">
        <v>1</v>
      </c>
      <c r="AK6334">
        <v>0</v>
      </c>
      <c r="AL6334">
        <v>0</v>
      </c>
      <c r="AM6334">
        <v>0</v>
      </c>
      <c r="AN6334">
        <v>0</v>
      </c>
      <c r="AO6334">
        <v>120</v>
      </c>
      <c r="AP6334">
        <v>-12</v>
      </c>
      <c r="AQ6334">
        <v>0</v>
      </c>
      <c r="AS6334">
        <v>0</v>
      </c>
      <c r="AT6334">
        <v>0</v>
      </c>
      <c r="AU6334">
        <v>120</v>
      </c>
      <c r="AV6334">
        <v>-12</v>
      </c>
      <c r="AW6334">
        <v>0</v>
      </c>
      <c r="AY6334">
        <v>0</v>
      </c>
      <c r="AZ6334">
        <v>0</v>
      </c>
      <c r="BA6334">
        <v>75.599999999999994</v>
      </c>
      <c r="BE6334" t="str">
        <f>T("9791164099764")</f>
        <v>9791164099764</v>
      </c>
      <c r="BF6334" t="str">
        <f>T("k298225")</f>
        <v>k298225</v>
      </c>
      <c r="BG6334" t="str">
        <f>T("로판 웹소설 &gt; 서양풍 로판")</f>
        <v>로판 웹소설 &gt; 서양풍 로판</v>
      </c>
    </row>
    <row r="6335" spans="1:59">
      <c r="A6335" t="s">
        <v>60</v>
      </c>
      <c r="B6335" s="1">
        <v>46130</v>
      </c>
      <c r="C6335">
        <v>2378059762</v>
      </c>
      <c r="D6335">
        <v>2378066418</v>
      </c>
      <c r="E6335" t="str">
        <f>T("칼레이 백작가의 매맞이 하녀 149화")</f>
        <v>칼레이 백작가의 매맞이 하녀 149화</v>
      </c>
      <c r="F6335">
        <v>149</v>
      </c>
      <c r="G6335" t="str">
        <f>T("뮤사203")</f>
        <v>뮤사203</v>
      </c>
      <c r="J6335" t="str">
        <f>T("시계토끼")</f>
        <v>시계토끼</v>
      </c>
      <c r="K6335" t="str">
        <f>T("칼레이 백작가의 매맞이 하녀")</f>
        <v>칼레이 백작가의 매맞이 하녀</v>
      </c>
      <c r="L6335">
        <v>100</v>
      </c>
      <c r="M6335">
        <v>100</v>
      </c>
      <c r="N6335">
        <v>1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0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0</v>
      </c>
      <c r="AE6335">
        <v>0</v>
      </c>
      <c r="AF6335">
        <v>0</v>
      </c>
      <c r="AG6335">
        <v>0</v>
      </c>
      <c r="AH6335">
        <v>0</v>
      </c>
      <c r="AI6335">
        <v>100</v>
      </c>
      <c r="AJ6335">
        <v>1</v>
      </c>
      <c r="AK6335">
        <v>0</v>
      </c>
      <c r="AL6335">
        <v>0</v>
      </c>
      <c r="AM6335">
        <v>0</v>
      </c>
      <c r="AN6335">
        <v>0</v>
      </c>
      <c r="AO6335">
        <v>120</v>
      </c>
      <c r="AP6335">
        <v>-12</v>
      </c>
      <c r="AQ6335">
        <v>0</v>
      </c>
      <c r="AS6335">
        <v>0</v>
      </c>
      <c r="AT6335">
        <v>0</v>
      </c>
      <c r="AU6335">
        <v>120</v>
      </c>
      <c r="AV6335">
        <v>-12</v>
      </c>
      <c r="AW6335">
        <v>0</v>
      </c>
      <c r="AY6335">
        <v>0</v>
      </c>
      <c r="AZ6335">
        <v>0</v>
      </c>
      <c r="BA6335">
        <v>75.599999999999994</v>
      </c>
      <c r="BE6335" t="str">
        <f>T("9791164099764")</f>
        <v>9791164099764</v>
      </c>
      <c r="BF6335" t="str">
        <f>T("k298226")</f>
        <v>k298226</v>
      </c>
      <c r="BG6335" t="str">
        <f>T("로판 웹소설 &gt; 서양풍 로판")</f>
        <v>로판 웹소설 &gt; 서양풍 로판</v>
      </c>
    </row>
    <row r="6336" spans="1:59">
      <c r="A6336" t="s">
        <v>60</v>
      </c>
      <c r="B6336" s="1">
        <v>46130</v>
      </c>
      <c r="C6336">
        <v>2378059762</v>
      </c>
      <c r="D6336">
        <v>2378065379</v>
      </c>
      <c r="E6336" t="str">
        <f>T("칼레이 백작가의 매맞이 하녀 131화")</f>
        <v>칼레이 백작가의 매맞이 하녀 131화</v>
      </c>
      <c r="F6336">
        <v>131</v>
      </c>
      <c r="G6336" t="str">
        <f>T("뮤사203")</f>
        <v>뮤사203</v>
      </c>
      <c r="J6336" t="str">
        <f>T("시계토끼")</f>
        <v>시계토끼</v>
      </c>
      <c r="K6336" t="str">
        <f>T("칼레이 백작가의 매맞이 하녀")</f>
        <v>칼레이 백작가의 매맞이 하녀</v>
      </c>
      <c r="L6336">
        <v>100</v>
      </c>
      <c r="M6336">
        <v>100</v>
      </c>
      <c r="N6336">
        <v>1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0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0</v>
      </c>
      <c r="AE6336">
        <v>0</v>
      </c>
      <c r="AF6336">
        <v>0</v>
      </c>
      <c r="AG6336">
        <v>0</v>
      </c>
      <c r="AH6336">
        <v>0</v>
      </c>
      <c r="AI6336">
        <v>100</v>
      </c>
      <c r="AJ6336">
        <v>1</v>
      </c>
      <c r="AK6336">
        <v>0</v>
      </c>
      <c r="AL6336">
        <v>0</v>
      </c>
      <c r="AM6336">
        <v>0</v>
      </c>
      <c r="AN6336">
        <v>0</v>
      </c>
      <c r="AO6336">
        <v>120</v>
      </c>
      <c r="AP6336">
        <v>-12</v>
      </c>
      <c r="AQ6336">
        <v>0</v>
      </c>
      <c r="AS6336">
        <v>0</v>
      </c>
      <c r="AT6336">
        <v>0</v>
      </c>
      <c r="AU6336">
        <v>120</v>
      </c>
      <c r="AV6336">
        <v>-12</v>
      </c>
      <c r="AW6336">
        <v>0</v>
      </c>
      <c r="AY6336">
        <v>0</v>
      </c>
      <c r="AZ6336">
        <v>0</v>
      </c>
      <c r="BA6336">
        <v>75.599999999999994</v>
      </c>
      <c r="BE6336" t="str">
        <f>T("9791164099764")</f>
        <v>9791164099764</v>
      </c>
      <c r="BF6336" t="str">
        <f>T("k284249")</f>
        <v>k284249</v>
      </c>
      <c r="BG6336" t="str">
        <f>T("로판 웹소설 &gt; 서양풍 로판")</f>
        <v>로판 웹소설 &gt; 서양풍 로판</v>
      </c>
    </row>
    <row r="6337" spans="1:59">
      <c r="A6337" t="s">
        <v>60</v>
      </c>
      <c r="B6337" s="1">
        <v>46130</v>
      </c>
      <c r="C6337">
        <v>2378059762</v>
      </c>
      <c r="D6337">
        <v>2378066474</v>
      </c>
      <c r="E6337" t="str">
        <f>T("칼레이 백작가의 매맞이 하녀 152화")</f>
        <v>칼레이 백작가의 매맞이 하녀 152화</v>
      </c>
      <c r="F6337">
        <v>152</v>
      </c>
      <c r="G6337" t="str">
        <f>T("뮤사203")</f>
        <v>뮤사203</v>
      </c>
      <c r="J6337" t="str">
        <f>T("시계토끼")</f>
        <v>시계토끼</v>
      </c>
      <c r="K6337" t="str">
        <f>T("칼레이 백작가의 매맞이 하녀")</f>
        <v>칼레이 백작가의 매맞이 하녀</v>
      </c>
      <c r="L6337">
        <v>100</v>
      </c>
      <c r="M6337">
        <v>100</v>
      </c>
      <c r="N6337">
        <v>1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0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0</v>
      </c>
      <c r="AE6337">
        <v>0</v>
      </c>
      <c r="AF6337">
        <v>0</v>
      </c>
      <c r="AG6337">
        <v>0</v>
      </c>
      <c r="AH6337">
        <v>0</v>
      </c>
      <c r="AI6337">
        <v>100</v>
      </c>
      <c r="AJ6337">
        <v>1</v>
      </c>
      <c r="AK6337">
        <v>0</v>
      </c>
      <c r="AL6337">
        <v>0</v>
      </c>
      <c r="AM6337">
        <v>0</v>
      </c>
      <c r="AN6337">
        <v>0</v>
      </c>
      <c r="AO6337">
        <v>120</v>
      </c>
      <c r="AP6337">
        <v>-12</v>
      </c>
      <c r="AQ6337">
        <v>0</v>
      </c>
      <c r="AS6337">
        <v>0</v>
      </c>
      <c r="AT6337">
        <v>0</v>
      </c>
      <c r="AU6337">
        <v>120</v>
      </c>
      <c r="AV6337">
        <v>-12</v>
      </c>
      <c r="AW6337">
        <v>0</v>
      </c>
      <c r="AY6337">
        <v>0</v>
      </c>
      <c r="AZ6337">
        <v>0</v>
      </c>
      <c r="BA6337">
        <v>75.599999999999994</v>
      </c>
      <c r="BE6337" t="str">
        <f>T("9791164099764")</f>
        <v>9791164099764</v>
      </c>
      <c r="BF6337" t="str">
        <f>T("k300780")</f>
        <v>k300780</v>
      </c>
      <c r="BG6337" t="str">
        <f>T("로판 웹소설 &gt; 서양풍 로판")</f>
        <v>로판 웹소설 &gt; 서양풍 로판</v>
      </c>
    </row>
    <row r="6338" spans="1:59">
      <c r="A6338" t="s">
        <v>60</v>
      </c>
      <c r="B6338" s="1">
        <v>46130</v>
      </c>
      <c r="C6338">
        <v>2378059762</v>
      </c>
      <c r="D6338">
        <v>2378059772</v>
      </c>
      <c r="E6338" t="str">
        <f>T("칼레이 백작가의 매맞이 하녀 11화")</f>
        <v>칼레이 백작가의 매맞이 하녀 11화</v>
      </c>
      <c r="F6338">
        <v>11</v>
      </c>
      <c r="G6338" t="str">
        <f>T("뮤사203")</f>
        <v>뮤사203</v>
      </c>
      <c r="J6338" t="str">
        <f>T("시계토끼")</f>
        <v>시계토끼</v>
      </c>
      <c r="K6338" t="str">
        <f>T("칼레이 백작가의 매맞이 하녀")</f>
        <v>칼레이 백작가의 매맞이 하녀</v>
      </c>
      <c r="L6338">
        <v>100</v>
      </c>
      <c r="M6338">
        <v>100</v>
      </c>
      <c r="N6338">
        <v>1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0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0</v>
      </c>
      <c r="AE6338">
        <v>0</v>
      </c>
      <c r="AF6338">
        <v>0</v>
      </c>
      <c r="AG6338">
        <v>0</v>
      </c>
      <c r="AH6338">
        <v>0</v>
      </c>
      <c r="AI6338">
        <v>100</v>
      </c>
      <c r="AJ6338">
        <v>1</v>
      </c>
      <c r="AK6338">
        <v>0</v>
      </c>
      <c r="AL6338">
        <v>0</v>
      </c>
      <c r="AM6338">
        <v>100</v>
      </c>
      <c r="AN6338">
        <v>0</v>
      </c>
      <c r="AO6338">
        <v>0</v>
      </c>
      <c r="AP6338">
        <v>0</v>
      </c>
      <c r="AQ6338">
        <v>0</v>
      </c>
      <c r="AS6338">
        <v>0</v>
      </c>
      <c r="AT6338">
        <v>0</v>
      </c>
      <c r="AV6338">
        <v>0</v>
      </c>
      <c r="AW6338">
        <v>0</v>
      </c>
      <c r="AY6338">
        <v>0</v>
      </c>
      <c r="AZ6338">
        <v>0</v>
      </c>
      <c r="BA6338">
        <v>70</v>
      </c>
      <c r="BE6338" t="str">
        <f>T("9791164099764")</f>
        <v>9791164099764</v>
      </c>
      <c r="BF6338" t="str">
        <f>T("k201690")</f>
        <v>k201690</v>
      </c>
      <c r="BG6338" t="str">
        <f>T("로판 웹소설 &gt; 서양풍 로판")</f>
        <v>로판 웹소설 &gt; 서양풍 로판</v>
      </c>
    </row>
    <row r="6339" spans="1:59">
      <c r="A6339" t="s">
        <v>60</v>
      </c>
      <c r="B6339" s="1">
        <v>46130</v>
      </c>
      <c r="C6339">
        <v>2378059762</v>
      </c>
      <c r="D6339">
        <v>2378065380</v>
      </c>
      <c r="E6339" t="str">
        <f>T("칼레이 백작가의 매맞이 하녀 132화")</f>
        <v>칼레이 백작가의 매맞이 하녀 132화</v>
      </c>
      <c r="F6339">
        <v>132</v>
      </c>
      <c r="G6339" t="str">
        <f>T("뮤사203")</f>
        <v>뮤사203</v>
      </c>
      <c r="J6339" t="str">
        <f>T("시계토끼")</f>
        <v>시계토끼</v>
      </c>
      <c r="K6339" t="str">
        <f>T("칼레이 백작가의 매맞이 하녀")</f>
        <v>칼레이 백작가의 매맞이 하녀</v>
      </c>
      <c r="L6339">
        <v>100</v>
      </c>
      <c r="M6339">
        <v>100</v>
      </c>
      <c r="N6339">
        <v>1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0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0</v>
      </c>
      <c r="AE6339">
        <v>0</v>
      </c>
      <c r="AF6339">
        <v>0</v>
      </c>
      <c r="AG6339">
        <v>0</v>
      </c>
      <c r="AH6339">
        <v>0</v>
      </c>
      <c r="AI6339">
        <v>100</v>
      </c>
      <c r="AJ6339">
        <v>1</v>
      </c>
      <c r="AK6339">
        <v>0</v>
      </c>
      <c r="AL6339">
        <v>0</v>
      </c>
      <c r="AM6339">
        <v>0</v>
      </c>
      <c r="AN6339">
        <v>0</v>
      </c>
      <c r="AO6339">
        <v>120</v>
      </c>
      <c r="AP6339">
        <v>-12</v>
      </c>
      <c r="AQ6339">
        <v>0</v>
      </c>
      <c r="AS6339">
        <v>0</v>
      </c>
      <c r="AT6339">
        <v>0</v>
      </c>
      <c r="AU6339">
        <v>120</v>
      </c>
      <c r="AV6339">
        <v>-12</v>
      </c>
      <c r="AW6339">
        <v>0</v>
      </c>
      <c r="AY6339">
        <v>0</v>
      </c>
      <c r="AZ6339">
        <v>0</v>
      </c>
      <c r="BA6339">
        <v>75.599999999999994</v>
      </c>
      <c r="BE6339" t="str">
        <f>T("9791164099764")</f>
        <v>9791164099764</v>
      </c>
      <c r="BF6339" t="str">
        <f>T("k284250")</f>
        <v>k284250</v>
      </c>
      <c r="BG6339" t="str">
        <f>T("로판 웹소설 &gt; 서양풍 로판")</f>
        <v>로판 웹소설 &gt; 서양풍 로판</v>
      </c>
    </row>
    <row r="6340" spans="1:59">
      <c r="A6340" t="s">
        <v>60</v>
      </c>
      <c r="B6340" s="1">
        <v>46130</v>
      </c>
      <c r="C6340">
        <v>2378059762</v>
      </c>
      <c r="D6340">
        <v>2378059773</v>
      </c>
      <c r="E6340" t="str">
        <f>T("칼레이 백작가의 매맞이 하녀 12화")</f>
        <v>칼레이 백작가의 매맞이 하녀 12화</v>
      </c>
      <c r="F6340">
        <v>12</v>
      </c>
      <c r="G6340" t="str">
        <f>T("뮤사203")</f>
        <v>뮤사203</v>
      </c>
      <c r="J6340" t="str">
        <f>T("시계토끼")</f>
        <v>시계토끼</v>
      </c>
      <c r="K6340" t="str">
        <f>T("칼레이 백작가의 매맞이 하녀")</f>
        <v>칼레이 백작가의 매맞이 하녀</v>
      </c>
      <c r="L6340">
        <v>100</v>
      </c>
      <c r="M6340">
        <v>100</v>
      </c>
      <c r="N6340">
        <v>1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0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0</v>
      </c>
      <c r="AE6340">
        <v>0</v>
      </c>
      <c r="AF6340">
        <v>0</v>
      </c>
      <c r="AG6340">
        <v>0</v>
      </c>
      <c r="AH6340">
        <v>0</v>
      </c>
      <c r="AI6340">
        <v>100</v>
      </c>
      <c r="AJ6340">
        <v>1</v>
      </c>
      <c r="AK6340">
        <v>0</v>
      </c>
      <c r="AL6340">
        <v>0</v>
      </c>
      <c r="AM6340">
        <v>100</v>
      </c>
      <c r="AN6340">
        <v>0</v>
      </c>
      <c r="AO6340">
        <v>0</v>
      </c>
      <c r="AP6340">
        <v>0</v>
      </c>
      <c r="AQ6340">
        <v>0</v>
      </c>
      <c r="AS6340">
        <v>0</v>
      </c>
      <c r="AT6340">
        <v>0</v>
      </c>
      <c r="AV6340">
        <v>0</v>
      </c>
      <c r="AW6340">
        <v>0</v>
      </c>
      <c r="AY6340">
        <v>0</v>
      </c>
      <c r="AZ6340">
        <v>0</v>
      </c>
      <c r="BA6340">
        <v>70</v>
      </c>
      <c r="BE6340" t="str">
        <f>T("9791164099764")</f>
        <v>9791164099764</v>
      </c>
      <c r="BF6340" t="str">
        <f>T("k201691")</f>
        <v>k201691</v>
      </c>
      <c r="BG6340" t="str">
        <f>T("로판 웹소설 &gt; 서양풍 로판")</f>
        <v>로판 웹소설 &gt; 서양풍 로판</v>
      </c>
    </row>
    <row r="6341" spans="1:59">
      <c r="A6341" t="s">
        <v>60</v>
      </c>
      <c r="B6341" s="1">
        <v>46130</v>
      </c>
      <c r="C6341">
        <v>2378059762</v>
      </c>
      <c r="D6341">
        <v>2378059774</v>
      </c>
      <c r="E6341" t="str">
        <f>T("칼레이 백작가의 매맞이 하녀 13화")</f>
        <v>칼레이 백작가의 매맞이 하녀 13화</v>
      </c>
      <c r="F6341">
        <v>13</v>
      </c>
      <c r="G6341" t="str">
        <f>T("뮤사203")</f>
        <v>뮤사203</v>
      </c>
      <c r="J6341" t="str">
        <f>T("시계토끼")</f>
        <v>시계토끼</v>
      </c>
      <c r="K6341" t="str">
        <f>T("칼레이 백작가의 매맞이 하녀")</f>
        <v>칼레이 백작가의 매맞이 하녀</v>
      </c>
      <c r="L6341">
        <v>100</v>
      </c>
      <c r="M6341">
        <v>100</v>
      </c>
      <c r="N6341">
        <v>1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0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0</v>
      </c>
      <c r="AE6341">
        <v>0</v>
      </c>
      <c r="AF6341">
        <v>0</v>
      </c>
      <c r="AG6341">
        <v>0</v>
      </c>
      <c r="AH6341">
        <v>0</v>
      </c>
      <c r="AI6341">
        <v>100</v>
      </c>
      <c r="AJ6341">
        <v>1</v>
      </c>
      <c r="AK6341">
        <v>0</v>
      </c>
      <c r="AL6341">
        <v>0</v>
      </c>
      <c r="AM6341">
        <v>100</v>
      </c>
      <c r="AN6341">
        <v>0</v>
      </c>
      <c r="AO6341">
        <v>0</v>
      </c>
      <c r="AP6341">
        <v>0</v>
      </c>
      <c r="AQ6341">
        <v>0</v>
      </c>
      <c r="AS6341">
        <v>0</v>
      </c>
      <c r="AT6341">
        <v>0</v>
      </c>
      <c r="AV6341">
        <v>0</v>
      </c>
      <c r="AW6341">
        <v>0</v>
      </c>
      <c r="AY6341">
        <v>0</v>
      </c>
      <c r="AZ6341">
        <v>0</v>
      </c>
      <c r="BA6341">
        <v>70</v>
      </c>
      <c r="BE6341" t="str">
        <f>T("9791164099764")</f>
        <v>9791164099764</v>
      </c>
      <c r="BF6341" t="str">
        <f>T("k201692")</f>
        <v>k201692</v>
      </c>
      <c r="BG6341" t="str">
        <f>T("로판 웹소설 &gt; 서양풍 로판")</f>
        <v>로판 웹소설 &gt; 서양풍 로판</v>
      </c>
    </row>
    <row r="6342" spans="1:59">
      <c r="A6342" t="s">
        <v>60</v>
      </c>
      <c r="B6342" s="1">
        <v>46130</v>
      </c>
      <c r="C6342">
        <v>2378059762</v>
      </c>
      <c r="D6342">
        <v>2378059775</v>
      </c>
      <c r="E6342" t="str">
        <f>T("칼레이 백작가의 매맞이 하녀 14화")</f>
        <v>칼레이 백작가의 매맞이 하녀 14화</v>
      </c>
      <c r="F6342">
        <v>14</v>
      </c>
      <c r="G6342" t="str">
        <f>T("뮤사203")</f>
        <v>뮤사203</v>
      </c>
      <c r="J6342" t="str">
        <f>T("시계토끼")</f>
        <v>시계토끼</v>
      </c>
      <c r="K6342" t="str">
        <f>T("칼레이 백작가의 매맞이 하녀")</f>
        <v>칼레이 백작가의 매맞이 하녀</v>
      </c>
      <c r="L6342">
        <v>100</v>
      </c>
      <c r="M6342">
        <v>100</v>
      </c>
      <c r="N6342">
        <v>1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0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0</v>
      </c>
      <c r="AE6342">
        <v>0</v>
      </c>
      <c r="AF6342">
        <v>0</v>
      </c>
      <c r="AG6342">
        <v>0</v>
      </c>
      <c r="AH6342">
        <v>0</v>
      </c>
      <c r="AI6342">
        <v>100</v>
      </c>
      <c r="AJ6342">
        <v>1</v>
      </c>
      <c r="AK6342">
        <v>0</v>
      </c>
      <c r="AL6342">
        <v>0</v>
      </c>
      <c r="AM6342">
        <v>100</v>
      </c>
      <c r="AN6342">
        <v>0</v>
      </c>
      <c r="AO6342">
        <v>0</v>
      </c>
      <c r="AP6342">
        <v>0</v>
      </c>
      <c r="AQ6342">
        <v>0</v>
      </c>
      <c r="AS6342">
        <v>0</v>
      </c>
      <c r="AT6342">
        <v>0</v>
      </c>
      <c r="AV6342">
        <v>0</v>
      </c>
      <c r="AW6342">
        <v>0</v>
      </c>
      <c r="AY6342">
        <v>0</v>
      </c>
      <c r="AZ6342">
        <v>0</v>
      </c>
      <c r="BA6342">
        <v>70</v>
      </c>
      <c r="BE6342" t="str">
        <f>T("9791164099764")</f>
        <v>9791164099764</v>
      </c>
      <c r="BF6342" t="str">
        <f>T("k201693")</f>
        <v>k201693</v>
      </c>
      <c r="BG6342" t="str">
        <f>T("로판 웹소설 &gt; 서양풍 로판")</f>
        <v>로판 웹소설 &gt; 서양풍 로판</v>
      </c>
    </row>
    <row r="6343" spans="1:59">
      <c r="A6343" t="s">
        <v>60</v>
      </c>
      <c r="B6343" s="1">
        <v>46130</v>
      </c>
      <c r="C6343">
        <v>2378059762</v>
      </c>
      <c r="D6343">
        <v>2378059776</v>
      </c>
      <c r="E6343" t="str">
        <f>T("칼레이 백작가의 매맞이 하녀 15화")</f>
        <v>칼레이 백작가의 매맞이 하녀 15화</v>
      </c>
      <c r="F6343">
        <v>15</v>
      </c>
      <c r="G6343" t="str">
        <f>T("뮤사203")</f>
        <v>뮤사203</v>
      </c>
      <c r="J6343" t="str">
        <f>T("시계토끼")</f>
        <v>시계토끼</v>
      </c>
      <c r="K6343" t="str">
        <f>T("칼레이 백작가의 매맞이 하녀")</f>
        <v>칼레이 백작가의 매맞이 하녀</v>
      </c>
      <c r="L6343">
        <v>100</v>
      </c>
      <c r="M6343">
        <v>100</v>
      </c>
      <c r="N6343">
        <v>1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0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0</v>
      </c>
      <c r="AE6343">
        <v>0</v>
      </c>
      <c r="AF6343">
        <v>0</v>
      </c>
      <c r="AG6343">
        <v>0</v>
      </c>
      <c r="AH6343">
        <v>0</v>
      </c>
      <c r="AI6343">
        <v>100</v>
      </c>
      <c r="AJ6343">
        <v>1</v>
      </c>
      <c r="AK6343">
        <v>0</v>
      </c>
      <c r="AL6343">
        <v>0</v>
      </c>
      <c r="AM6343">
        <v>100</v>
      </c>
      <c r="AN6343">
        <v>0</v>
      </c>
      <c r="AO6343">
        <v>0</v>
      </c>
      <c r="AP6343">
        <v>0</v>
      </c>
      <c r="AQ6343">
        <v>0</v>
      </c>
      <c r="AS6343">
        <v>0</v>
      </c>
      <c r="AT6343">
        <v>0</v>
      </c>
      <c r="AV6343">
        <v>0</v>
      </c>
      <c r="AW6343">
        <v>0</v>
      </c>
      <c r="AY6343">
        <v>0</v>
      </c>
      <c r="AZ6343">
        <v>0</v>
      </c>
      <c r="BA6343">
        <v>70</v>
      </c>
      <c r="BE6343" t="str">
        <f>T("9791164099764")</f>
        <v>9791164099764</v>
      </c>
      <c r="BF6343" t="str">
        <f>T("k201694")</f>
        <v>k201694</v>
      </c>
      <c r="BG6343" t="str">
        <f>T("로판 웹소설 &gt; 서양풍 로판")</f>
        <v>로판 웹소설 &gt; 서양풍 로판</v>
      </c>
    </row>
    <row r="6344" spans="1:59">
      <c r="A6344" t="s">
        <v>60</v>
      </c>
      <c r="B6344" s="1">
        <v>46130</v>
      </c>
      <c r="C6344">
        <v>2378059762</v>
      </c>
      <c r="D6344">
        <v>2378059777</v>
      </c>
      <c r="E6344" t="str">
        <f>T("칼레이 백작가의 매맞이 하녀 16화")</f>
        <v>칼레이 백작가의 매맞이 하녀 16화</v>
      </c>
      <c r="F6344">
        <v>16</v>
      </c>
      <c r="G6344" t="str">
        <f>T("뮤사203")</f>
        <v>뮤사203</v>
      </c>
      <c r="J6344" t="str">
        <f>T("시계토끼")</f>
        <v>시계토끼</v>
      </c>
      <c r="K6344" t="str">
        <f>T("칼레이 백작가의 매맞이 하녀")</f>
        <v>칼레이 백작가의 매맞이 하녀</v>
      </c>
      <c r="L6344">
        <v>100</v>
      </c>
      <c r="M6344">
        <v>100</v>
      </c>
      <c r="N6344">
        <v>1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0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0</v>
      </c>
      <c r="AE6344">
        <v>0</v>
      </c>
      <c r="AF6344">
        <v>0</v>
      </c>
      <c r="AG6344">
        <v>0</v>
      </c>
      <c r="AH6344">
        <v>0</v>
      </c>
      <c r="AI6344">
        <v>100</v>
      </c>
      <c r="AJ6344">
        <v>1</v>
      </c>
      <c r="AK6344">
        <v>0</v>
      </c>
      <c r="AL6344">
        <v>0</v>
      </c>
      <c r="AM6344">
        <v>100</v>
      </c>
      <c r="AN6344">
        <v>0</v>
      </c>
      <c r="AO6344">
        <v>0</v>
      </c>
      <c r="AP6344">
        <v>0</v>
      </c>
      <c r="AQ6344">
        <v>0</v>
      </c>
      <c r="AS6344">
        <v>0</v>
      </c>
      <c r="AT6344">
        <v>0</v>
      </c>
      <c r="AV6344">
        <v>0</v>
      </c>
      <c r="AW6344">
        <v>0</v>
      </c>
      <c r="AY6344">
        <v>0</v>
      </c>
      <c r="AZ6344">
        <v>0</v>
      </c>
      <c r="BA6344">
        <v>70</v>
      </c>
      <c r="BE6344" t="str">
        <f>T("9791164099764")</f>
        <v>9791164099764</v>
      </c>
      <c r="BF6344" t="str">
        <f>T("k201695")</f>
        <v>k201695</v>
      </c>
      <c r="BG6344" t="str">
        <f>T("로판 웹소설 &gt; 서양풍 로판")</f>
        <v>로판 웹소설 &gt; 서양풍 로판</v>
      </c>
    </row>
    <row r="6345" spans="1:59">
      <c r="A6345" t="s">
        <v>60</v>
      </c>
      <c r="B6345" s="1">
        <v>46130</v>
      </c>
      <c r="C6345">
        <v>2378059762</v>
      </c>
      <c r="D6345">
        <v>2378068927</v>
      </c>
      <c r="E6345" t="str">
        <f>T("칼레이 백작가의 매맞이 하녀 외전 5화")</f>
        <v>칼레이 백작가의 매맞이 하녀 외전 5화</v>
      </c>
      <c r="F6345">
        <v>158</v>
      </c>
      <c r="G6345" t="str">
        <f>T("뮤사203")</f>
        <v>뮤사203</v>
      </c>
      <c r="J6345" t="str">
        <f>T("시계토끼")</f>
        <v>시계토끼</v>
      </c>
      <c r="K6345" t="str">
        <f>T("칼레이 백작가의 매맞이 하녀")</f>
        <v>칼레이 백작가의 매맞이 하녀</v>
      </c>
      <c r="L6345">
        <v>100</v>
      </c>
      <c r="M6345">
        <v>100</v>
      </c>
      <c r="N6345">
        <v>1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0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0</v>
      </c>
      <c r="AE6345">
        <v>0</v>
      </c>
      <c r="AF6345">
        <v>0</v>
      </c>
      <c r="AG6345">
        <v>0</v>
      </c>
      <c r="AH6345">
        <v>0</v>
      </c>
      <c r="AI6345">
        <v>100</v>
      </c>
      <c r="AJ6345">
        <v>1</v>
      </c>
      <c r="AK6345">
        <v>0</v>
      </c>
      <c r="AL6345">
        <v>0</v>
      </c>
      <c r="AM6345">
        <v>0</v>
      </c>
      <c r="AN6345">
        <v>0</v>
      </c>
      <c r="AO6345">
        <v>120</v>
      </c>
      <c r="AP6345">
        <v>-12</v>
      </c>
      <c r="AQ6345">
        <v>0</v>
      </c>
      <c r="AS6345">
        <v>0</v>
      </c>
      <c r="AT6345">
        <v>0</v>
      </c>
      <c r="AU6345">
        <v>120</v>
      </c>
      <c r="AV6345">
        <v>-12</v>
      </c>
      <c r="AW6345">
        <v>0</v>
      </c>
      <c r="AY6345">
        <v>0</v>
      </c>
      <c r="AZ6345">
        <v>0</v>
      </c>
      <c r="BA6345">
        <v>75.599999999999994</v>
      </c>
      <c r="BE6345" t="str">
        <f>T("9791164099764")</f>
        <v>9791164099764</v>
      </c>
      <c r="BF6345" t="str">
        <f>T("k398566")</f>
        <v>k398566</v>
      </c>
      <c r="BG6345" t="str">
        <f>T("로판 웹소설 &gt; 서양풍 로판")</f>
        <v>로판 웹소설 &gt; 서양풍 로판</v>
      </c>
    </row>
    <row r="6346" spans="1:59">
      <c r="A6346" t="s">
        <v>60</v>
      </c>
      <c r="B6346" s="1">
        <v>46130</v>
      </c>
      <c r="C6346">
        <v>2378059762</v>
      </c>
      <c r="D6346">
        <v>2378065381</v>
      </c>
      <c r="E6346" t="str">
        <f>T("칼레이 백작가의 매맞이 하녀 133화")</f>
        <v>칼레이 백작가의 매맞이 하녀 133화</v>
      </c>
      <c r="F6346">
        <v>133</v>
      </c>
      <c r="G6346" t="str">
        <f>T("뮤사203")</f>
        <v>뮤사203</v>
      </c>
      <c r="J6346" t="str">
        <f>T("시계토끼")</f>
        <v>시계토끼</v>
      </c>
      <c r="K6346" t="str">
        <f>T("칼레이 백작가의 매맞이 하녀")</f>
        <v>칼레이 백작가의 매맞이 하녀</v>
      </c>
      <c r="L6346">
        <v>100</v>
      </c>
      <c r="M6346">
        <v>100</v>
      </c>
      <c r="N6346">
        <v>1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0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0</v>
      </c>
      <c r="AE6346">
        <v>0</v>
      </c>
      <c r="AF6346">
        <v>0</v>
      </c>
      <c r="AG6346">
        <v>0</v>
      </c>
      <c r="AH6346">
        <v>0</v>
      </c>
      <c r="AI6346">
        <v>100</v>
      </c>
      <c r="AJ6346">
        <v>1</v>
      </c>
      <c r="AK6346">
        <v>0</v>
      </c>
      <c r="AL6346">
        <v>0</v>
      </c>
      <c r="AM6346">
        <v>0</v>
      </c>
      <c r="AN6346">
        <v>0</v>
      </c>
      <c r="AO6346">
        <v>120</v>
      </c>
      <c r="AP6346">
        <v>-12</v>
      </c>
      <c r="AQ6346">
        <v>0</v>
      </c>
      <c r="AS6346">
        <v>0</v>
      </c>
      <c r="AT6346">
        <v>0</v>
      </c>
      <c r="AU6346">
        <v>120</v>
      </c>
      <c r="AV6346">
        <v>-12</v>
      </c>
      <c r="AW6346">
        <v>0</v>
      </c>
      <c r="AY6346">
        <v>0</v>
      </c>
      <c r="AZ6346">
        <v>0</v>
      </c>
      <c r="BA6346">
        <v>75.599999999999994</v>
      </c>
      <c r="BE6346" t="str">
        <f>T("9791164099764")</f>
        <v>9791164099764</v>
      </c>
      <c r="BF6346" t="str">
        <f>T("k284251")</f>
        <v>k284251</v>
      </c>
      <c r="BG6346" t="str">
        <f>T("로판 웹소설 &gt; 서양풍 로판")</f>
        <v>로판 웹소설 &gt; 서양풍 로판</v>
      </c>
    </row>
    <row r="6347" spans="1:59">
      <c r="A6347" t="s">
        <v>60</v>
      </c>
      <c r="B6347" s="1">
        <v>46130</v>
      </c>
      <c r="C6347">
        <v>2378059762</v>
      </c>
      <c r="D6347">
        <v>2378068928</v>
      </c>
      <c r="E6347" t="str">
        <f>T("칼레이 백작가의 매맞이 하녀 외전 6화")</f>
        <v>칼레이 백작가의 매맞이 하녀 외전 6화</v>
      </c>
      <c r="F6347">
        <v>159</v>
      </c>
      <c r="G6347" t="str">
        <f>T("뮤사203")</f>
        <v>뮤사203</v>
      </c>
      <c r="J6347" t="str">
        <f>T("시계토끼")</f>
        <v>시계토끼</v>
      </c>
      <c r="K6347" t="str">
        <f>T("칼레이 백작가의 매맞이 하녀")</f>
        <v>칼레이 백작가의 매맞이 하녀</v>
      </c>
      <c r="L6347">
        <v>100</v>
      </c>
      <c r="M6347">
        <v>100</v>
      </c>
      <c r="N6347">
        <v>1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>
        <v>0</v>
      </c>
      <c r="V6347">
        <v>0</v>
      </c>
      <c r="W6347">
        <v>0</v>
      </c>
      <c r="X6347">
        <v>0</v>
      </c>
      <c r="Y6347">
        <v>0</v>
      </c>
      <c r="Z6347">
        <v>0</v>
      </c>
      <c r="AA6347">
        <v>0</v>
      </c>
      <c r="AB6347">
        <v>0</v>
      </c>
      <c r="AC6347">
        <v>0</v>
      </c>
      <c r="AD6347">
        <v>0</v>
      </c>
      <c r="AE6347">
        <v>0</v>
      </c>
      <c r="AF6347">
        <v>0</v>
      </c>
      <c r="AG6347">
        <v>0</v>
      </c>
      <c r="AH6347">
        <v>0</v>
      </c>
      <c r="AI6347">
        <v>100</v>
      </c>
      <c r="AJ6347">
        <v>1</v>
      </c>
      <c r="AK6347">
        <v>0</v>
      </c>
      <c r="AL6347">
        <v>0</v>
      </c>
      <c r="AM6347">
        <v>0</v>
      </c>
      <c r="AN6347">
        <v>0</v>
      </c>
      <c r="AO6347">
        <v>120</v>
      </c>
      <c r="AP6347">
        <v>-12</v>
      </c>
      <c r="AQ6347">
        <v>0</v>
      </c>
      <c r="AS6347">
        <v>0</v>
      </c>
      <c r="AT6347">
        <v>0</v>
      </c>
      <c r="AU6347">
        <v>120</v>
      </c>
      <c r="AV6347">
        <v>-12</v>
      </c>
      <c r="AW6347">
        <v>0</v>
      </c>
      <c r="AY6347">
        <v>0</v>
      </c>
      <c r="AZ6347">
        <v>0</v>
      </c>
      <c r="BA6347">
        <v>75.599999999999994</v>
      </c>
      <c r="BE6347" t="str">
        <f>T("9791164099764")</f>
        <v>9791164099764</v>
      </c>
      <c r="BF6347" t="str">
        <f>T("k398567")</f>
        <v>k398567</v>
      </c>
      <c r="BG6347" t="str">
        <f>T("로판 웹소설 &gt; 서양풍 로판")</f>
        <v>로판 웹소설 &gt; 서양풍 로판</v>
      </c>
    </row>
    <row r="6348" spans="1:59">
      <c r="A6348" t="s">
        <v>60</v>
      </c>
      <c r="B6348" s="1">
        <v>46130</v>
      </c>
      <c r="C6348">
        <v>2378059762</v>
      </c>
      <c r="D6348">
        <v>2378059778</v>
      </c>
      <c r="E6348" t="str">
        <f>T("칼레이 백작가의 매맞이 하녀 17화")</f>
        <v>칼레이 백작가의 매맞이 하녀 17화</v>
      </c>
      <c r="F6348">
        <v>17</v>
      </c>
      <c r="G6348" t="str">
        <f>T("뮤사203")</f>
        <v>뮤사203</v>
      </c>
      <c r="J6348" t="str">
        <f>T("시계토끼")</f>
        <v>시계토끼</v>
      </c>
      <c r="K6348" t="str">
        <f>T("칼레이 백작가의 매맞이 하녀")</f>
        <v>칼레이 백작가의 매맞이 하녀</v>
      </c>
      <c r="L6348">
        <v>100</v>
      </c>
      <c r="M6348">
        <v>100</v>
      </c>
      <c r="N6348">
        <v>1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>
        <v>0</v>
      </c>
      <c r="V6348">
        <v>0</v>
      </c>
      <c r="W6348">
        <v>0</v>
      </c>
      <c r="X6348">
        <v>0</v>
      </c>
      <c r="Y6348">
        <v>0</v>
      </c>
      <c r="Z6348">
        <v>0</v>
      </c>
      <c r="AA6348">
        <v>0</v>
      </c>
      <c r="AB6348">
        <v>0</v>
      </c>
      <c r="AC6348">
        <v>0</v>
      </c>
      <c r="AD6348">
        <v>0</v>
      </c>
      <c r="AE6348">
        <v>0</v>
      </c>
      <c r="AF6348">
        <v>0</v>
      </c>
      <c r="AG6348">
        <v>0</v>
      </c>
      <c r="AH6348">
        <v>0</v>
      </c>
      <c r="AI6348">
        <v>100</v>
      </c>
      <c r="AJ6348">
        <v>1</v>
      </c>
      <c r="AK6348">
        <v>0</v>
      </c>
      <c r="AL6348">
        <v>0</v>
      </c>
      <c r="AM6348">
        <v>100</v>
      </c>
      <c r="AN6348">
        <v>0</v>
      </c>
      <c r="AO6348">
        <v>0</v>
      </c>
      <c r="AP6348">
        <v>0</v>
      </c>
      <c r="AQ6348">
        <v>0</v>
      </c>
      <c r="AS6348">
        <v>0</v>
      </c>
      <c r="AT6348">
        <v>0</v>
      </c>
      <c r="AV6348">
        <v>0</v>
      </c>
      <c r="AW6348">
        <v>0</v>
      </c>
      <c r="AY6348">
        <v>0</v>
      </c>
      <c r="AZ6348">
        <v>0</v>
      </c>
      <c r="BA6348">
        <v>70</v>
      </c>
      <c r="BE6348" t="str">
        <f>T("9791164099764")</f>
        <v>9791164099764</v>
      </c>
      <c r="BF6348" t="str">
        <f>T("k201696")</f>
        <v>k201696</v>
      </c>
      <c r="BG6348" t="str">
        <f>T("로판 웹소설 &gt; 서양풍 로판")</f>
        <v>로판 웹소설 &gt; 서양풍 로판</v>
      </c>
    </row>
    <row r="6349" spans="1:59">
      <c r="A6349" t="s">
        <v>60</v>
      </c>
      <c r="B6349" s="1">
        <v>46130</v>
      </c>
      <c r="C6349">
        <v>2378059762</v>
      </c>
      <c r="D6349">
        <v>2378068929</v>
      </c>
      <c r="E6349" t="str">
        <f>T("칼레이 백작가의 매맞이 하녀 외전 7화")</f>
        <v>칼레이 백작가의 매맞이 하녀 외전 7화</v>
      </c>
      <c r="F6349">
        <v>160</v>
      </c>
      <c r="G6349" t="str">
        <f>T("뮤사203")</f>
        <v>뮤사203</v>
      </c>
      <c r="J6349" t="str">
        <f>T("시계토끼")</f>
        <v>시계토끼</v>
      </c>
      <c r="K6349" t="str">
        <f>T("칼레이 백작가의 매맞이 하녀")</f>
        <v>칼레이 백작가의 매맞이 하녀</v>
      </c>
      <c r="L6349">
        <v>100</v>
      </c>
      <c r="M6349">
        <v>100</v>
      </c>
      <c r="N6349">
        <v>1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>
        <v>0</v>
      </c>
      <c r="V6349">
        <v>0</v>
      </c>
      <c r="W6349">
        <v>0</v>
      </c>
      <c r="X6349">
        <v>0</v>
      </c>
      <c r="Y6349">
        <v>0</v>
      </c>
      <c r="Z6349">
        <v>0</v>
      </c>
      <c r="AA6349">
        <v>0</v>
      </c>
      <c r="AB6349">
        <v>0</v>
      </c>
      <c r="AC6349">
        <v>0</v>
      </c>
      <c r="AD6349">
        <v>0</v>
      </c>
      <c r="AE6349">
        <v>0</v>
      </c>
      <c r="AF6349">
        <v>0</v>
      </c>
      <c r="AG6349">
        <v>0</v>
      </c>
      <c r="AH6349">
        <v>0</v>
      </c>
      <c r="AI6349">
        <v>100</v>
      </c>
      <c r="AJ6349">
        <v>1</v>
      </c>
      <c r="AK6349">
        <v>0</v>
      </c>
      <c r="AL6349">
        <v>0</v>
      </c>
      <c r="AM6349">
        <v>0</v>
      </c>
      <c r="AN6349">
        <v>0</v>
      </c>
      <c r="AO6349">
        <v>120</v>
      </c>
      <c r="AP6349">
        <v>-12</v>
      </c>
      <c r="AQ6349">
        <v>0</v>
      </c>
      <c r="AS6349">
        <v>0</v>
      </c>
      <c r="AT6349">
        <v>0</v>
      </c>
      <c r="AU6349">
        <v>120</v>
      </c>
      <c r="AV6349">
        <v>-12</v>
      </c>
      <c r="AW6349">
        <v>0</v>
      </c>
      <c r="AY6349">
        <v>0</v>
      </c>
      <c r="AZ6349">
        <v>0</v>
      </c>
      <c r="BA6349">
        <v>75.599999999999994</v>
      </c>
      <c r="BE6349" t="str">
        <f>T("9791164099764")</f>
        <v>9791164099764</v>
      </c>
      <c r="BF6349" t="str">
        <f>T("k398568")</f>
        <v>k398568</v>
      </c>
      <c r="BG6349" t="str">
        <f>T("로판 웹소설 &gt; 서양풍 로판")</f>
        <v>로판 웹소설 &gt; 서양풍 로판</v>
      </c>
    </row>
    <row r="6350" spans="1:59">
      <c r="A6350" t="s">
        <v>60</v>
      </c>
      <c r="B6350" s="1">
        <v>46130</v>
      </c>
      <c r="C6350">
        <v>2378059762</v>
      </c>
      <c r="D6350">
        <v>2378059779</v>
      </c>
      <c r="E6350" t="str">
        <f>T("칼레이 백작가의 매맞이 하녀 18화")</f>
        <v>칼레이 백작가의 매맞이 하녀 18화</v>
      </c>
      <c r="F6350">
        <v>18</v>
      </c>
      <c r="G6350" t="str">
        <f>T("뮤사203")</f>
        <v>뮤사203</v>
      </c>
      <c r="J6350" t="str">
        <f>T("시계토끼")</f>
        <v>시계토끼</v>
      </c>
      <c r="K6350" t="str">
        <f>T("칼레이 백작가의 매맞이 하녀")</f>
        <v>칼레이 백작가의 매맞이 하녀</v>
      </c>
      <c r="L6350">
        <v>100</v>
      </c>
      <c r="M6350">
        <v>100</v>
      </c>
      <c r="N6350">
        <v>1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>
        <v>0</v>
      </c>
      <c r="V6350">
        <v>0</v>
      </c>
      <c r="W6350">
        <v>0</v>
      </c>
      <c r="X6350">
        <v>0</v>
      </c>
      <c r="Y6350">
        <v>0</v>
      </c>
      <c r="Z6350">
        <v>0</v>
      </c>
      <c r="AA6350">
        <v>0</v>
      </c>
      <c r="AB6350">
        <v>0</v>
      </c>
      <c r="AC6350">
        <v>0</v>
      </c>
      <c r="AD6350">
        <v>0</v>
      </c>
      <c r="AE6350">
        <v>0</v>
      </c>
      <c r="AF6350">
        <v>0</v>
      </c>
      <c r="AG6350">
        <v>0</v>
      </c>
      <c r="AH6350">
        <v>0</v>
      </c>
      <c r="AI6350">
        <v>100</v>
      </c>
      <c r="AJ6350">
        <v>1</v>
      </c>
      <c r="AK6350">
        <v>0</v>
      </c>
      <c r="AL6350">
        <v>0</v>
      </c>
      <c r="AM6350">
        <v>100</v>
      </c>
      <c r="AN6350">
        <v>0</v>
      </c>
      <c r="AO6350">
        <v>0</v>
      </c>
      <c r="AP6350">
        <v>0</v>
      </c>
      <c r="AQ6350">
        <v>0</v>
      </c>
      <c r="AS6350">
        <v>0</v>
      </c>
      <c r="AT6350">
        <v>0</v>
      </c>
      <c r="AV6350">
        <v>0</v>
      </c>
      <c r="AW6350">
        <v>0</v>
      </c>
      <c r="AY6350">
        <v>0</v>
      </c>
      <c r="AZ6350">
        <v>0</v>
      </c>
      <c r="BA6350">
        <v>70</v>
      </c>
      <c r="BE6350" t="str">
        <f>T("9791164099764")</f>
        <v>9791164099764</v>
      </c>
      <c r="BF6350" t="str">
        <f>T("k201697")</f>
        <v>k201697</v>
      </c>
      <c r="BG6350" t="str">
        <f>T("로판 웹소설 &gt; 서양풍 로판")</f>
        <v>로판 웹소설 &gt; 서양풍 로판</v>
      </c>
    </row>
    <row r="6351" spans="1:59">
      <c r="A6351" t="s">
        <v>60</v>
      </c>
      <c r="B6351" s="1">
        <v>46130</v>
      </c>
      <c r="C6351">
        <v>2378059762</v>
      </c>
      <c r="D6351">
        <v>2378065678</v>
      </c>
      <c r="E6351" t="str">
        <f>T("칼레이 백작가의 매맞이 하녀 134화")</f>
        <v>칼레이 백작가의 매맞이 하녀 134화</v>
      </c>
      <c r="F6351">
        <v>134</v>
      </c>
      <c r="G6351" t="str">
        <f>T("뮤사203")</f>
        <v>뮤사203</v>
      </c>
      <c r="J6351" t="str">
        <f>T("시계토끼")</f>
        <v>시계토끼</v>
      </c>
      <c r="K6351" t="str">
        <f>T("칼레이 백작가의 매맞이 하녀")</f>
        <v>칼레이 백작가의 매맞이 하녀</v>
      </c>
      <c r="L6351">
        <v>100</v>
      </c>
      <c r="M6351">
        <v>100</v>
      </c>
      <c r="N6351">
        <v>1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>
        <v>0</v>
      </c>
      <c r="V6351">
        <v>0</v>
      </c>
      <c r="W6351">
        <v>0</v>
      </c>
      <c r="X6351">
        <v>0</v>
      </c>
      <c r="Y6351">
        <v>0</v>
      </c>
      <c r="Z6351">
        <v>0</v>
      </c>
      <c r="AA6351">
        <v>0</v>
      </c>
      <c r="AB6351">
        <v>0</v>
      </c>
      <c r="AC6351">
        <v>0</v>
      </c>
      <c r="AD6351">
        <v>0</v>
      </c>
      <c r="AE6351">
        <v>0</v>
      </c>
      <c r="AF6351">
        <v>0</v>
      </c>
      <c r="AG6351">
        <v>0</v>
      </c>
      <c r="AH6351">
        <v>0</v>
      </c>
      <c r="AI6351">
        <v>100</v>
      </c>
      <c r="AJ6351">
        <v>1</v>
      </c>
      <c r="AK6351">
        <v>0</v>
      </c>
      <c r="AL6351">
        <v>0</v>
      </c>
      <c r="AM6351">
        <v>0</v>
      </c>
      <c r="AN6351">
        <v>0</v>
      </c>
      <c r="AO6351">
        <v>120</v>
      </c>
      <c r="AP6351">
        <v>-12</v>
      </c>
      <c r="AQ6351">
        <v>0</v>
      </c>
      <c r="AS6351">
        <v>0</v>
      </c>
      <c r="AT6351">
        <v>0</v>
      </c>
      <c r="AU6351">
        <v>120</v>
      </c>
      <c r="AV6351">
        <v>-12</v>
      </c>
      <c r="AW6351">
        <v>0</v>
      </c>
      <c r="AY6351">
        <v>0</v>
      </c>
      <c r="AZ6351">
        <v>0</v>
      </c>
      <c r="BA6351">
        <v>75.599999999999994</v>
      </c>
      <c r="BE6351" t="str">
        <f>T("9791164099764")</f>
        <v>9791164099764</v>
      </c>
      <c r="BF6351" t="str">
        <f>T("k289801")</f>
        <v>k289801</v>
      </c>
      <c r="BG6351" t="str">
        <f>T("로판 웹소설 &gt; 서양풍 로판")</f>
        <v>로판 웹소설 &gt; 서양풍 로판</v>
      </c>
    </row>
    <row r="6352" spans="1:59">
      <c r="A6352" t="s">
        <v>60</v>
      </c>
      <c r="B6352" s="1">
        <v>46130</v>
      </c>
      <c r="C6352">
        <v>2378059762</v>
      </c>
      <c r="D6352">
        <v>2378059780</v>
      </c>
      <c r="E6352" t="str">
        <f>T("칼레이 백작가의 매맞이 하녀 19화")</f>
        <v>칼레이 백작가의 매맞이 하녀 19화</v>
      </c>
      <c r="F6352">
        <v>19</v>
      </c>
      <c r="G6352" t="str">
        <f>T("뮤사203")</f>
        <v>뮤사203</v>
      </c>
      <c r="J6352" t="str">
        <f>T("시계토끼")</f>
        <v>시계토끼</v>
      </c>
      <c r="K6352" t="str">
        <f>T("칼레이 백작가의 매맞이 하녀")</f>
        <v>칼레이 백작가의 매맞이 하녀</v>
      </c>
      <c r="L6352">
        <v>100</v>
      </c>
      <c r="M6352">
        <v>100</v>
      </c>
      <c r="N6352">
        <v>1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>
        <v>0</v>
      </c>
      <c r="V6352">
        <v>0</v>
      </c>
      <c r="W6352">
        <v>0</v>
      </c>
      <c r="X6352">
        <v>0</v>
      </c>
      <c r="Y6352">
        <v>0</v>
      </c>
      <c r="Z6352">
        <v>0</v>
      </c>
      <c r="AA6352">
        <v>0</v>
      </c>
      <c r="AB6352">
        <v>0</v>
      </c>
      <c r="AC6352">
        <v>0</v>
      </c>
      <c r="AD6352">
        <v>0</v>
      </c>
      <c r="AE6352">
        <v>0</v>
      </c>
      <c r="AF6352">
        <v>0</v>
      </c>
      <c r="AG6352">
        <v>0</v>
      </c>
      <c r="AH6352">
        <v>0</v>
      </c>
      <c r="AI6352">
        <v>100</v>
      </c>
      <c r="AJ6352">
        <v>1</v>
      </c>
      <c r="AK6352">
        <v>0</v>
      </c>
      <c r="AL6352">
        <v>0</v>
      </c>
      <c r="AM6352">
        <v>100</v>
      </c>
      <c r="AN6352">
        <v>0</v>
      </c>
      <c r="AO6352">
        <v>0</v>
      </c>
      <c r="AP6352">
        <v>0</v>
      </c>
      <c r="AQ6352">
        <v>0</v>
      </c>
      <c r="AS6352">
        <v>0</v>
      </c>
      <c r="AT6352">
        <v>0</v>
      </c>
      <c r="AV6352">
        <v>0</v>
      </c>
      <c r="AW6352">
        <v>0</v>
      </c>
      <c r="AY6352">
        <v>0</v>
      </c>
      <c r="AZ6352">
        <v>0</v>
      </c>
      <c r="BA6352">
        <v>70</v>
      </c>
      <c r="BE6352" t="str">
        <f>T("9791164099764")</f>
        <v>9791164099764</v>
      </c>
      <c r="BF6352" t="str">
        <f>T("k201698")</f>
        <v>k201698</v>
      </c>
      <c r="BG6352" t="str">
        <f>T("로판 웹소설 &gt; 서양풍 로판")</f>
        <v>로판 웹소설 &gt; 서양풍 로판</v>
      </c>
    </row>
    <row r="6353" spans="1:59">
      <c r="A6353" t="s">
        <v>60</v>
      </c>
      <c r="B6353" s="1">
        <v>46130</v>
      </c>
      <c r="C6353">
        <v>2378059762</v>
      </c>
      <c r="D6353">
        <v>2378059781</v>
      </c>
      <c r="E6353" t="str">
        <f>T("칼레이 백작가의 매맞이 하녀 20화")</f>
        <v>칼레이 백작가의 매맞이 하녀 20화</v>
      </c>
      <c r="F6353">
        <v>20</v>
      </c>
      <c r="G6353" t="str">
        <f>T("뮤사203")</f>
        <v>뮤사203</v>
      </c>
      <c r="J6353" t="str">
        <f>T("시계토끼")</f>
        <v>시계토끼</v>
      </c>
      <c r="K6353" t="str">
        <f>T("칼레이 백작가의 매맞이 하녀")</f>
        <v>칼레이 백작가의 매맞이 하녀</v>
      </c>
      <c r="L6353">
        <v>100</v>
      </c>
      <c r="M6353">
        <v>100</v>
      </c>
      <c r="N6353">
        <v>1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>
        <v>0</v>
      </c>
      <c r="V6353">
        <v>0</v>
      </c>
      <c r="W6353">
        <v>0</v>
      </c>
      <c r="X6353">
        <v>0</v>
      </c>
      <c r="Y6353">
        <v>0</v>
      </c>
      <c r="Z6353">
        <v>0</v>
      </c>
      <c r="AA6353">
        <v>0</v>
      </c>
      <c r="AB6353">
        <v>0</v>
      </c>
      <c r="AC6353">
        <v>0</v>
      </c>
      <c r="AD6353">
        <v>0</v>
      </c>
      <c r="AE6353">
        <v>0</v>
      </c>
      <c r="AF6353">
        <v>0</v>
      </c>
      <c r="AG6353">
        <v>0</v>
      </c>
      <c r="AH6353">
        <v>0</v>
      </c>
      <c r="AI6353">
        <v>100</v>
      </c>
      <c r="AJ6353">
        <v>1</v>
      </c>
      <c r="AK6353">
        <v>0</v>
      </c>
      <c r="AL6353">
        <v>0</v>
      </c>
      <c r="AM6353">
        <v>100</v>
      </c>
      <c r="AN6353">
        <v>0</v>
      </c>
      <c r="AO6353">
        <v>0</v>
      </c>
      <c r="AP6353">
        <v>0</v>
      </c>
      <c r="AQ6353">
        <v>0</v>
      </c>
      <c r="AS6353">
        <v>0</v>
      </c>
      <c r="AT6353">
        <v>0</v>
      </c>
      <c r="AV6353">
        <v>0</v>
      </c>
      <c r="AW6353">
        <v>0</v>
      </c>
      <c r="AY6353">
        <v>0</v>
      </c>
      <c r="AZ6353">
        <v>0</v>
      </c>
      <c r="BA6353">
        <v>70</v>
      </c>
      <c r="BE6353" t="str">
        <f>T("9791164099764")</f>
        <v>9791164099764</v>
      </c>
      <c r="BF6353" t="str">
        <f>T("k201699")</f>
        <v>k201699</v>
      </c>
      <c r="BG6353" t="str">
        <f>T("로판 웹소설 &gt; 서양풍 로판")</f>
        <v>로판 웹소설 &gt; 서양풍 로판</v>
      </c>
    </row>
    <row r="6354" spans="1:59">
      <c r="A6354" t="s">
        <v>60</v>
      </c>
      <c r="B6354" s="1">
        <v>46130</v>
      </c>
      <c r="C6354">
        <v>2378059762</v>
      </c>
      <c r="D6354">
        <v>2378059782</v>
      </c>
      <c r="E6354" t="str">
        <f>T("칼레이 백작가의 매맞이 하녀 21화")</f>
        <v>칼레이 백작가의 매맞이 하녀 21화</v>
      </c>
      <c r="F6354">
        <v>21</v>
      </c>
      <c r="G6354" t="str">
        <f>T("뮤사203")</f>
        <v>뮤사203</v>
      </c>
      <c r="J6354" t="str">
        <f>T("시계토끼")</f>
        <v>시계토끼</v>
      </c>
      <c r="K6354" t="str">
        <f>T("칼레이 백작가의 매맞이 하녀")</f>
        <v>칼레이 백작가의 매맞이 하녀</v>
      </c>
      <c r="L6354">
        <v>100</v>
      </c>
      <c r="M6354">
        <v>100</v>
      </c>
      <c r="N6354">
        <v>1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0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0</v>
      </c>
      <c r="AE6354">
        <v>0</v>
      </c>
      <c r="AF6354">
        <v>0</v>
      </c>
      <c r="AG6354">
        <v>0</v>
      </c>
      <c r="AH6354">
        <v>0</v>
      </c>
      <c r="AI6354">
        <v>100</v>
      </c>
      <c r="AJ6354">
        <v>1</v>
      </c>
      <c r="AK6354">
        <v>0</v>
      </c>
      <c r="AL6354">
        <v>0</v>
      </c>
      <c r="AM6354">
        <v>100</v>
      </c>
      <c r="AN6354">
        <v>0</v>
      </c>
      <c r="AO6354">
        <v>0</v>
      </c>
      <c r="AP6354">
        <v>0</v>
      </c>
      <c r="AQ6354">
        <v>0</v>
      </c>
      <c r="AS6354">
        <v>0</v>
      </c>
      <c r="AT6354">
        <v>0</v>
      </c>
      <c r="AV6354">
        <v>0</v>
      </c>
      <c r="AW6354">
        <v>0</v>
      </c>
      <c r="AY6354">
        <v>0</v>
      </c>
      <c r="AZ6354">
        <v>0</v>
      </c>
      <c r="BA6354">
        <v>70</v>
      </c>
      <c r="BE6354" t="str">
        <f>T("9791164099764")</f>
        <v>9791164099764</v>
      </c>
      <c r="BF6354" t="str">
        <f>T("k201700")</f>
        <v>k201700</v>
      </c>
      <c r="BG6354" t="str">
        <f>T("로판 웹소설 &gt; 서양풍 로판")</f>
        <v>로판 웹소설 &gt; 서양풍 로판</v>
      </c>
    </row>
    <row r="6355" spans="1:59">
      <c r="A6355" t="s">
        <v>60</v>
      </c>
      <c r="B6355" s="1">
        <v>46130</v>
      </c>
      <c r="C6355">
        <v>2378059762</v>
      </c>
      <c r="D6355">
        <v>2378065679</v>
      </c>
      <c r="E6355" t="str">
        <f>T("칼레이 백작가의 매맞이 하녀 135화")</f>
        <v>칼레이 백작가의 매맞이 하녀 135화</v>
      </c>
      <c r="F6355">
        <v>135</v>
      </c>
      <c r="G6355" t="str">
        <f>T("뮤사203")</f>
        <v>뮤사203</v>
      </c>
      <c r="J6355" t="str">
        <f>T("시계토끼")</f>
        <v>시계토끼</v>
      </c>
      <c r="K6355" t="str">
        <f>T("칼레이 백작가의 매맞이 하녀")</f>
        <v>칼레이 백작가의 매맞이 하녀</v>
      </c>
      <c r="L6355">
        <v>100</v>
      </c>
      <c r="M6355">
        <v>100</v>
      </c>
      <c r="N6355">
        <v>1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0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0</v>
      </c>
      <c r="AE6355">
        <v>0</v>
      </c>
      <c r="AF6355">
        <v>0</v>
      </c>
      <c r="AG6355">
        <v>0</v>
      </c>
      <c r="AH6355">
        <v>0</v>
      </c>
      <c r="AI6355">
        <v>100</v>
      </c>
      <c r="AJ6355">
        <v>1</v>
      </c>
      <c r="AK6355">
        <v>0</v>
      </c>
      <c r="AL6355">
        <v>0</v>
      </c>
      <c r="AM6355">
        <v>0</v>
      </c>
      <c r="AN6355">
        <v>0</v>
      </c>
      <c r="AO6355">
        <v>120</v>
      </c>
      <c r="AP6355">
        <v>-12</v>
      </c>
      <c r="AQ6355">
        <v>0</v>
      </c>
      <c r="AS6355">
        <v>0</v>
      </c>
      <c r="AT6355">
        <v>0</v>
      </c>
      <c r="AU6355">
        <v>120</v>
      </c>
      <c r="AV6355">
        <v>-12</v>
      </c>
      <c r="AW6355">
        <v>0</v>
      </c>
      <c r="AY6355">
        <v>0</v>
      </c>
      <c r="AZ6355">
        <v>0</v>
      </c>
      <c r="BA6355">
        <v>75.599999999999994</v>
      </c>
      <c r="BE6355" t="str">
        <f>T("9791164099764")</f>
        <v>9791164099764</v>
      </c>
      <c r="BF6355" t="str">
        <f>T("k289802")</f>
        <v>k289802</v>
      </c>
      <c r="BG6355" t="str">
        <f>T("로판 웹소설 &gt; 서양풍 로판")</f>
        <v>로판 웹소설 &gt; 서양풍 로판</v>
      </c>
    </row>
    <row r="6356" spans="1:59">
      <c r="A6356" t="s">
        <v>60</v>
      </c>
      <c r="B6356" s="1">
        <v>46130</v>
      </c>
      <c r="C6356">
        <v>2378059762</v>
      </c>
      <c r="D6356">
        <v>2378059783</v>
      </c>
      <c r="E6356" t="str">
        <f>T("칼레이 백작가의 매맞이 하녀 22화")</f>
        <v>칼레이 백작가의 매맞이 하녀 22화</v>
      </c>
      <c r="F6356">
        <v>22</v>
      </c>
      <c r="G6356" t="str">
        <f>T("뮤사203")</f>
        <v>뮤사203</v>
      </c>
      <c r="J6356" t="str">
        <f>T("시계토끼")</f>
        <v>시계토끼</v>
      </c>
      <c r="K6356" t="str">
        <f>T("칼레이 백작가의 매맞이 하녀")</f>
        <v>칼레이 백작가의 매맞이 하녀</v>
      </c>
      <c r="L6356">
        <v>100</v>
      </c>
      <c r="M6356">
        <v>100</v>
      </c>
      <c r="N6356">
        <v>1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0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0</v>
      </c>
      <c r="AE6356">
        <v>0</v>
      </c>
      <c r="AF6356">
        <v>0</v>
      </c>
      <c r="AG6356">
        <v>0</v>
      </c>
      <c r="AH6356">
        <v>0</v>
      </c>
      <c r="AI6356">
        <v>100</v>
      </c>
      <c r="AJ6356">
        <v>1</v>
      </c>
      <c r="AK6356">
        <v>0</v>
      </c>
      <c r="AL6356">
        <v>0</v>
      </c>
      <c r="AM6356">
        <v>100</v>
      </c>
      <c r="AN6356">
        <v>0</v>
      </c>
      <c r="AO6356">
        <v>0</v>
      </c>
      <c r="AP6356">
        <v>0</v>
      </c>
      <c r="AQ6356">
        <v>0</v>
      </c>
      <c r="AS6356">
        <v>0</v>
      </c>
      <c r="AT6356">
        <v>0</v>
      </c>
      <c r="AV6356">
        <v>0</v>
      </c>
      <c r="AW6356">
        <v>0</v>
      </c>
      <c r="AY6356">
        <v>0</v>
      </c>
      <c r="AZ6356">
        <v>0</v>
      </c>
      <c r="BA6356">
        <v>70</v>
      </c>
      <c r="BE6356" t="str">
        <f>T("9791164099764")</f>
        <v>9791164099764</v>
      </c>
      <c r="BF6356" t="str">
        <f>T("k201701")</f>
        <v>k201701</v>
      </c>
      <c r="BG6356" t="str">
        <f>T("로판 웹소설 &gt; 서양풍 로판")</f>
        <v>로판 웹소설 &gt; 서양풍 로판</v>
      </c>
    </row>
    <row r="6357" spans="1:59">
      <c r="A6357" t="s">
        <v>60</v>
      </c>
      <c r="B6357" s="1">
        <v>46130</v>
      </c>
      <c r="C6357">
        <v>2378059762</v>
      </c>
      <c r="D6357">
        <v>2378059808</v>
      </c>
      <c r="E6357" t="str">
        <f>T("칼레이 백작가의 매맞이 하녀 47화")</f>
        <v>칼레이 백작가의 매맞이 하녀 47화</v>
      </c>
      <c r="F6357">
        <v>47</v>
      </c>
      <c r="G6357" t="str">
        <f>T("뮤사203")</f>
        <v>뮤사203</v>
      </c>
      <c r="J6357" t="str">
        <f>T("시계토끼")</f>
        <v>시계토끼</v>
      </c>
      <c r="K6357" t="str">
        <f>T("칼레이 백작가의 매맞이 하녀")</f>
        <v>칼레이 백작가의 매맞이 하녀</v>
      </c>
      <c r="L6357">
        <v>100</v>
      </c>
      <c r="M6357">
        <v>200</v>
      </c>
      <c r="N6357">
        <v>2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0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0</v>
      </c>
      <c r="AE6357">
        <v>0</v>
      </c>
      <c r="AF6357">
        <v>0</v>
      </c>
      <c r="AG6357">
        <v>0</v>
      </c>
      <c r="AH6357">
        <v>0</v>
      </c>
      <c r="AI6357">
        <v>200</v>
      </c>
      <c r="AJ6357">
        <v>2</v>
      </c>
      <c r="AK6357">
        <v>0</v>
      </c>
      <c r="AL6357">
        <v>0</v>
      </c>
      <c r="AM6357">
        <v>200</v>
      </c>
      <c r="AN6357">
        <v>0</v>
      </c>
      <c r="AO6357">
        <v>0</v>
      </c>
      <c r="AP6357">
        <v>0</v>
      </c>
      <c r="AQ6357">
        <v>0</v>
      </c>
      <c r="AS6357">
        <v>0</v>
      </c>
      <c r="AT6357">
        <v>0</v>
      </c>
      <c r="AV6357">
        <v>0</v>
      </c>
      <c r="AW6357">
        <v>0</v>
      </c>
      <c r="AY6357">
        <v>0</v>
      </c>
      <c r="AZ6357">
        <v>0</v>
      </c>
      <c r="BA6357">
        <v>140</v>
      </c>
      <c r="BE6357" t="str">
        <f>T("9791164099764")</f>
        <v>9791164099764</v>
      </c>
      <c r="BF6357" t="str">
        <f>T("k201726")</f>
        <v>k201726</v>
      </c>
      <c r="BG6357" t="str">
        <f>T("로판 웹소설 &gt; 서양풍 로판")</f>
        <v>로판 웹소설 &gt; 서양풍 로판</v>
      </c>
    </row>
    <row r="6358" spans="1:59">
      <c r="A6358" t="s">
        <v>60</v>
      </c>
      <c r="B6358" s="1">
        <v>46130</v>
      </c>
      <c r="C6358">
        <v>2378059762</v>
      </c>
      <c r="D6358">
        <v>2378059784</v>
      </c>
      <c r="E6358" t="str">
        <f>T("칼레이 백작가의 매맞이 하녀 23화")</f>
        <v>칼레이 백작가의 매맞이 하녀 23화</v>
      </c>
      <c r="F6358">
        <v>23</v>
      </c>
      <c r="G6358" t="str">
        <f>T("뮤사203")</f>
        <v>뮤사203</v>
      </c>
      <c r="J6358" t="str">
        <f>T("시계토끼")</f>
        <v>시계토끼</v>
      </c>
      <c r="K6358" t="str">
        <f>T("칼레이 백작가의 매맞이 하녀")</f>
        <v>칼레이 백작가의 매맞이 하녀</v>
      </c>
      <c r="L6358">
        <v>100</v>
      </c>
      <c r="M6358">
        <v>100</v>
      </c>
      <c r="N6358">
        <v>1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0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0</v>
      </c>
      <c r="AE6358">
        <v>0</v>
      </c>
      <c r="AF6358">
        <v>0</v>
      </c>
      <c r="AG6358">
        <v>0</v>
      </c>
      <c r="AH6358">
        <v>0</v>
      </c>
      <c r="AI6358">
        <v>100</v>
      </c>
      <c r="AJ6358">
        <v>1</v>
      </c>
      <c r="AK6358">
        <v>0</v>
      </c>
      <c r="AL6358">
        <v>0</v>
      </c>
      <c r="AM6358">
        <v>100</v>
      </c>
      <c r="AN6358">
        <v>0</v>
      </c>
      <c r="AO6358">
        <v>0</v>
      </c>
      <c r="AP6358">
        <v>0</v>
      </c>
      <c r="AQ6358">
        <v>0</v>
      </c>
      <c r="AS6358">
        <v>0</v>
      </c>
      <c r="AT6358">
        <v>0</v>
      </c>
      <c r="AV6358">
        <v>0</v>
      </c>
      <c r="AW6358">
        <v>0</v>
      </c>
      <c r="AY6358">
        <v>0</v>
      </c>
      <c r="AZ6358">
        <v>0</v>
      </c>
      <c r="BA6358">
        <v>70</v>
      </c>
      <c r="BE6358" t="str">
        <f>T("9791164099764")</f>
        <v>9791164099764</v>
      </c>
      <c r="BF6358" t="str">
        <f>T("k201702")</f>
        <v>k201702</v>
      </c>
      <c r="BG6358" t="str">
        <f>T("로판 웹소설 &gt; 서양풍 로판")</f>
        <v>로판 웹소설 &gt; 서양풍 로판</v>
      </c>
    </row>
    <row r="6359" spans="1:59">
      <c r="A6359" t="s">
        <v>60</v>
      </c>
      <c r="B6359" s="1">
        <v>46130</v>
      </c>
      <c r="C6359">
        <v>2378059762</v>
      </c>
      <c r="D6359">
        <v>2378059809</v>
      </c>
      <c r="E6359" t="str">
        <f>T("칼레이 백작가의 매맞이 하녀 48화")</f>
        <v>칼레이 백작가의 매맞이 하녀 48화</v>
      </c>
      <c r="F6359">
        <v>48</v>
      </c>
      <c r="G6359" t="str">
        <f>T("뮤사203")</f>
        <v>뮤사203</v>
      </c>
      <c r="J6359" t="str">
        <f>T("시계토끼")</f>
        <v>시계토끼</v>
      </c>
      <c r="K6359" t="str">
        <f>T("칼레이 백작가의 매맞이 하녀")</f>
        <v>칼레이 백작가의 매맞이 하녀</v>
      </c>
      <c r="L6359">
        <v>100</v>
      </c>
      <c r="M6359">
        <v>200</v>
      </c>
      <c r="N6359">
        <v>2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0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0</v>
      </c>
      <c r="AE6359">
        <v>0</v>
      </c>
      <c r="AF6359">
        <v>0</v>
      </c>
      <c r="AG6359">
        <v>0</v>
      </c>
      <c r="AH6359">
        <v>0</v>
      </c>
      <c r="AI6359">
        <v>200</v>
      </c>
      <c r="AJ6359">
        <v>2</v>
      </c>
      <c r="AK6359">
        <v>0</v>
      </c>
      <c r="AL6359">
        <v>0</v>
      </c>
      <c r="AM6359">
        <v>200</v>
      </c>
      <c r="AN6359">
        <v>0</v>
      </c>
      <c r="AO6359">
        <v>0</v>
      </c>
      <c r="AP6359">
        <v>0</v>
      </c>
      <c r="AQ6359">
        <v>0</v>
      </c>
      <c r="AS6359">
        <v>0</v>
      </c>
      <c r="AT6359">
        <v>0</v>
      </c>
      <c r="AV6359">
        <v>0</v>
      </c>
      <c r="AW6359">
        <v>0</v>
      </c>
      <c r="AY6359">
        <v>0</v>
      </c>
      <c r="AZ6359">
        <v>0</v>
      </c>
      <c r="BA6359">
        <v>140</v>
      </c>
      <c r="BE6359" t="str">
        <f>T("9791164099764")</f>
        <v>9791164099764</v>
      </c>
      <c r="BF6359" t="str">
        <f>T("k201727")</f>
        <v>k201727</v>
      </c>
      <c r="BG6359" t="str">
        <f>T("로판 웹소설 &gt; 서양풍 로판")</f>
        <v>로판 웹소설 &gt; 서양풍 로판</v>
      </c>
    </row>
    <row r="6360" spans="1:59">
      <c r="A6360" t="s">
        <v>60</v>
      </c>
      <c r="B6360" s="1">
        <v>46130</v>
      </c>
      <c r="C6360">
        <v>2378059762</v>
      </c>
      <c r="D6360">
        <v>2378059810</v>
      </c>
      <c r="E6360" t="str">
        <f>T("칼레이 백작가의 매맞이 하녀 49화")</f>
        <v>칼레이 백작가의 매맞이 하녀 49화</v>
      </c>
      <c r="F6360">
        <v>49</v>
      </c>
      <c r="G6360" t="str">
        <f>T("뮤사203")</f>
        <v>뮤사203</v>
      </c>
      <c r="J6360" t="str">
        <f>T("시계토끼")</f>
        <v>시계토끼</v>
      </c>
      <c r="K6360" t="str">
        <f>T("칼레이 백작가의 매맞이 하녀")</f>
        <v>칼레이 백작가의 매맞이 하녀</v>
      </c>
      <c r="L6360">
        <v>100</v>
      </c>
      <c r="M6360">
        <v>200</v>
      </c>
      <c r="N6360">
        <v>2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0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0</v>
      </c>
      <c r="AE6360">
        <v>0</v>
      </c>
      <c r="AF6360">
        <v>0</v>
      </c>
      <c r="AG6360">
        <v>0</v>
      </c>
      <c r="AH6360">
        <v>0</v>
      </c>
      <c r="AI6360">
        <v>200</v>
      </c>
      <c r="AJ6360">
        <v>2</v>
      </c>
      <c r="AK6360">
        <v>0</v>
      </c>
      <c r="AL6360">
        <v>0</v>
      </c>
      <c r="AM6360">
        <v>100</v>
      </c>
      <c r="AN6360">
        <v>0</v>
      </c>
      <c r="AO6360">
        <v>120</v>
      </c>
      <c r="AP6360">
        <v>-12</v>
      </c>
      <c r="AQ6360">
        <v>0</v>
      </c>
      <c r="AS6360">
        <v>0</v>
      </c>
      <c r="AT6360">
        <v>0</v>
      </c>
      <c r="AU6360">
        <v>120</v>
      </c>
      <c r="AV6360">
        <v>-12</v>
      </c>
      <c r="AW6360">
        <v>0</v>
      </c>
      <c r="AY6360">
        <v>0</v>
      </c>
      <c r="AZ6360">
        <v>0</v>
      </c>
      <c r="BA6360">
        <v>145.6</v>
      </c>
      <c r="BE6360" t="str">
        <f>T("9791164099764")</f>
        <v>9791164099764</v>
      </c>
      <c r="BF6360" t="str">
        <f>T("k201728")</f>
        <v>k201728</v>
      </c>
      <c r="BG6360" t="str">
        <f>T("로판 웹소설 &gt; 서양풍 로판")</f>
        <v>로판 웹소설 &gt; 서양풍 로판</v>
      </c>
    </row>
    <row r="6361" spans="1:59">
      <c r="A6361" t="s">
        <v>60</v>
      </c>
      <c r="B6361" s="1">
        <v>46130</v>
      </c>
      <c r="C6361">
        <v>2378059762</v>
      </c>
      <c r="D6361">
        <v>2378059785</v>
      </c>
      <c r="E6361" t="str">
        <f>T("칼레이 백작가의 매맞이 하녀 24화")</f>
        <v>칼레이 백작가의 매맞이 하녀 24화</v>
      </c>
      <c r="F6361">
        <v>24</v>
      </c>
      <c r="G6361" t="str">
        <f>T("뮤사203")</f>
        <v>뮤사203</v>
      </c>
      <c r="J6361" t="str">
        <f>T("시계토끼")</f>
        <v>시계토끼</v>
      </c>
      <c r="K6361" t="str">
        <f>T("칼레이 백작가의 매맞이 하녀")</f>
        <v>칼레이 백작가의 매맞이 하녀</v>
      </c>
      <c r="L6361">
        <v>100</v>
      </c>
      <c r="M6361">
        <v>100</v>
      </c>
      <c r="N6361">
        <v>1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0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0</v>
      </c>
      <c r="AE6361">
        <v>0</v>
      </c>
      <c r="AF6361">
        <v>0</v>
      </c>
      <c r="AG6361">
        <v>0</v>
      </c>
      <c r="AH6361">
        <v>0</v>
      </c>
      <c r="AI6361">
        <v>100</v>
      </c>
      <c r="AJ6361">
        <v>1</v>
      </c>
      <c r="AK6361">
        <v>0</v>
      </c>
      <c r="AL6361">
        <v>0</v>
      </c>
      <c r="AM6361">
        <v>100</v>
      </c>
      <c r="AN6361">
        <v>0</v>
      </c>
      <c r="AO6361">
        <v>0</v>
      </c>
      <c r="AP6361">
        <v>0</v>
      </c>
      <c r="AQ6361">
        <v>0</v>
      </c>
      <c r="AS6361">
        <v>0</v>
      </c>
      <c r="AT6361">
        <v>0</v>
      </c>
      <c r="AV6361">
        <v>0</v>
      </c>
      <c r="AW6361">
        <v>0</v>
      </c>
      <c r="AY6361">
        <v>0</v>
      </c>
      <c r="AZ6361">
        <v>0</v>
      </c>
      <c r="BA6361">
        <v>70</v>
      </c>
      <c r="BE6361" t="str">
        <f>T("9791164099764")</f>
        <v>9791164099764</v>
      </c>
      <c r="BF6361" t="str">
        <f>T("k201703")</f>
        <v>k201703</v>
      </c>
      <c r="BG6361" t="str">
        <f>T("로판 웹소설 &gt; 서양풍 로판")</f>
        <v>로판 웹소설 &gt; 서양풍 로판</v>
      </c>
    </row>
    <row r="6362" spans="1:59">
      <c r="A6362" t="s">
        <v>60</v>
      </c>
      <c r="B6362" s="1">
        <v>46130</v>
      </c>
      <c r="C6362">
        <v>2378059762</v>
      </c>
      <c r="D6362">
        <v>2378059786</v>
      </c>
      <c r="E6362" t="str">
        <f>T("칼레이 백작가의 매맞이 하녀 25화")</f>
        <v>칼레이 백작가의 매맞이 하녀 25화</v>
      </c>
      <c r="F6362">
        <v>25</v>
      </c>
      <c r="G6362" t="str">
        <f>T("뮤사203")</f>
        <v>뮤사203</v>
      </c>
      <c r="J6362" t="str">
        <f>T("시계토끼")</f>
        <v>시계토끼</v>
      </c>
      <c r="K6362" t="str">
        <f>T("칼레이 백작가의 매맞이 하녀")</f>
        <v>칼레이 백작가의 매맞이 하녀</v>
      </c>
      <c r="L6362">
        <v>100</v>
      </c>
      <c r="M6362">
        <v>100</v>
      </c>
      <c r="N6362">
        <v>1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0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0</v>
      </c>
      <c r="AE6362">
        <v>0</v>
      </c>
      <c r="AF6362">
        <v>0</v>
      </c>
      <c r="AG6362">
        <v>0</v>
      </c>
      <c r="AH6362">
        <v>0</v>
      </c>
      <c r="AI6362">
        <v>100</v>
      </c>
      <c r="AJ6362">
        <v>1</v>
      </c>
      <c r="AK6362">
        <v>0</v>
      </c>
      <c r="AL6362">
        <v>0</v>
      </c>
      <c r="AM6362">
        <v>100</v>
      </c>
      <c r="AN6362">
        <v>0</v>
      </c>
      <c r="AO6362">
        <v>0</v>
      </c>
      <c r="AP6362">
        <v>0</v>
      </c>
      <c r="AQ6362">
        <v>0</v>
      </c>
      <c r="AS6362">
        <v>0</v>
      </c>
      <c r="AT6362">
        <v>0</v>
      </c>
      <c r="AV6362">
        <v>0</v>
      </c>
      <c r="AW6362">
        <v>0</v>
      </c>
      <c r="AY6362">
        <v>0</v>
      </c>
      <c r="AZ6362">
        <v>0</v>
      </c>
      <c r="BA6362">
        <v>70</v>
      </c>
      <c r="BE6362" t="str">
        <f>T("9791164099764")</f>
        <v>9791164099764</v>
      </c>
      <c r="BF6362" t="str">
        <f>T("k201704")</f>
        <v>k201704</v>
      </c>
      <c r="BG6362" t="str">
        <f>T("로판 웹소설 &gt; 서양풍 로판")</f>
        <v>로판 웹소설 &gt; 서양풍 로판</v>
      </c>
    </row>
    <row r="6363" spans="1:59">
      <c r="A6363" t="s">
        <v>60</v>
      </c>
      <c r="B6363" s="1">
        <v>46130</v>
      </c>
      <c r="C6363">
        <v>2378059762</v>
      </c>
      <c r="D6363">
        <v>2378059813</v>
      </c>
      <c r="E6363" t="str">
        <f>T("칼레이 백작가의 매맞이 하녀 52화")</f>
        <v>칼레이 백작가의 매맞이 하녀 52화</v>
      </c>
      <c r="F6363">
        <v>52</v>
      </c>
      <c r="G6363" t="str">
        <f>T("뮤사203")</f>
        <v>뮤사203</v>
      </c>
      <c r="J6363" t="str">
        <f>T("시계토끼")</f>
        <v>시계토끼</v>
      </c>
      <c r="K6363" t="str">
        <f>T("칼레이 백작가의 매맞이 하녀")</f>
        <v>칼레이 백작가의 매맞이 하녀</v>
      </c>
      <c r="L6363">
        <v>100</v>
      </c>
      <c r="M6363">
        <v>100</v>
      </c>
      <c r="N6363">
        <v>1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0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0</v>
      </c>
      <c r="AE6363">
        <v>0</v>
      </c>
      <c r="AF6363">
        <v>0</v>
      </c>
      <c r="AG6363">
        <v>0</v>
      </c>
      <c r="AH6363">
        <v>0</v>
      </c>
      <c r="AI6363">
        <v>100</v>
      </c>
      <c r="AJ6363">
        <v>1</v>
      </c>
      <c r="AK6363">
        <v>0</v>
      </c>
      <c r="AL6363">
        <v>0</v>
      </c>
      <c r="AM6363">
        <v>100</v>
      </c>
      <c r="AN6363">
        <v>0</v>
      </c>
      <c r="AO6363">
        <v>0</v>
      </c>
      <c r="AP6363">
        <v>0</v>
      </c>
      <c r="AQ6363">
        <v>0</v>
      </c>
      <c r="AS6363">
        <v>0</v>
      </c>
      <c r="AT6363">
        <v>0</v>
      </c>
      <c r="AV6363">
        <v>0</v>
      </c>
      <c r="AW6363">
        <v>0</v>
      </c>
      <c r="AY6363">
        <v>0</v>
      </c>
      <c r="AZ6363">
        <v>0</v>
      </c>
      <c r="BA6363">
        <v>70</v>
      </c>
      <c r="BE6363" t="str">
        <f>T("9791164099764")</f>
        <v>9791164099764</v>
      </c>
      <c r="BF6363" t="str">
        <f>T("k201731")</f>
        <v>k201731</v>
      </c>
      <c r="BG6363" t="str">
        <f>T("로판 웹소설 &gt; 서양풍 로판")</f>
        <v>로판 웹소설 &gt; 서양풍 로판</v>
      </c>
    </row>
    <row r="6364" spans="1:59">
      <c r="A6364" t="s">
        <v>60</v>
      </c>
      <c r="B6364" s="1">
        <v>46130</v>
      </c>
      <c r="C6364">
        <v>2378059762</v>
      </c>
      <c r="D6364">
        <v>2378065680</v>
      </c>
      <c r="E6364" t="str">
        <f>T("칼레이 백작가의 매맞이 하녀 136화")</f>
        <v>칼레이 백작가의 매맞이 하녀 136화</v>
      </c>
      <c r="F6364">
        <v>136</v>
      </c>
      <c r="G6364" t="str">
        <f>T("뮤사203")</f>
        <v>뮤사203</v>
      </c>
      <c r="J6364" t="str">
        <f>T("시계토끼")</f>
        <v>시계토끼</v>
      </c>
      <c r="K6364" t="str">
        <f>T("칼레이 백작가의 매맞이 하녀")</f>
        <v>칼레이 백작가의 매맞이 하녀</v>
      </c>
      <c r="L6364">
        <v>100</v>
      </c>
      <c r="M6364">
        <v>100</v>
      </c>
      <c r="N6364">
        <v>1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0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0</v>
      </c>
      <c r="AE6364">
        <v>0</v>
      </c>
      <c r="AF6364">
        <v>0</v>
      </c>
      <c r="AG6364">
        <v>0</v>
      </c>
      <c r="AH6364">
        <v>0</v>
      </c>
      <c r="AI6364">
        <v>100</v>
      </c>
      <c r="AJ6364">
        <v>1</v>
      </c>
      <c r="AK6364">
        <v>0</v>
      </c>
      <c r="AL6364">
        <v>0</v>
      </c>
      <c r="AM6364">
        <v>0</v>
      </c>
      <c r="AN6364">
        <v>0</v>
      </c>
      <c r="AO6364">
        <v>120</v>
      </c>
      <c r="AP6364">
        <v>-12</v>
      </c>
      <c r="AQ6364">
        <v>0</v>
      </c>
      <c r="AS6364">
        <v>0</v>
      </c>
      <c r="AT6364">
        <v>0</v>
      </c>
      <c r="AU6364">
        <v>120</v>
      </c>
      <c r="AV6364">
        <v>-12</v>
      </c>
      <c r="AW6364">
        <v>0</v>
      </c>
      <c r="AY6364">
        <v>0</v>
      </c>
      <c r="AZ6364">
        <v>0</v>
      </c>
      <c r="BA6364">
        <v>75.599999999999994</v>
      </c>
      <c r="BE6364" t="str">
        <f>T("9791164099764")</f>
        <v>9791164099764</v>
      </c>
      <c r="BF6364" t="str">
        <f>T("k289803")</f>
        <v>k289803</v>
      </c>
      <c r="BG6364" t="str">
        <f>T("로판 웹소설 &gt; 서양풍 로판")</f>
        <v>로판 웹소설 &gt; 서양풍 로판</v>
      </c>
    </row>
    <row r="6365" spans="1:59">
      <c r="A6365" t="s">
        <v>60</v>
      </c>
      <c r="B6365" s="1">
        <v>46130</v>
      </c>
      <c r="C6365">
        <v>2378059762</v>
      </c>
      <c r="D6365">
        <v>2378059814</v>
      </c>
      <c r="E6365" t="str">
        <f>T("칼레이 백작가의 매맞이 하녀 53화")</f>
        <v>칼레이 백작가의 매맞이 하녀 53화</v>
      </c>
      <c r="F6365">
        <v>53</v>
      </c>
      <c r="G6365" t="str">
        <f>T("뮤사203")</f>
        <v>뮤사203</v>
      </c>
      <c r="J6365" t="str">
        <f>T("시계토끼")</f>
        <v>시계토끼</v>
      </c>
      <c r="K6365" t="str">
        <f>T("칼레이 백작가의 매맞이 하녀")</f>
        <v>칼레이 백작가의 매맞이 하녀</v>
      </c>
      <c r="L6365">
        <v>100</v>
      </c>
      <c r="M6365">
        <v>100</v>
      </c>
      <c r="N6365">
        <v>1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0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0</v>
      </c>
      <c r="AE6365">
        <v>0</v>
      </c>
      <c r="AF6365">
        <v>0</v>
      </c>
      <c r="AG6365">
        <v>0</v>
      </c>
      <c r="AH6365">
        <v>0</v>
      </c>
      <c r="AI6365">
        <v>100</v>
      </c>
      <c r="AJ6365">
        <v>1</v>
      </c>
      <c r="AK6365">
        <v>0</v>
      </c>
      <c r="AL6365">
        <v>0</v>
      </c>
      <c r="AM6365">
        <v>100</v>
      </c>
      <c r="AN6365">
        <v>0</v>
      </c>
      <c r="AO6365">
        <v>0</v>
      </c>
      <c r="AP6365">
        <v>0</v>
      </c>
      <c r="AQ6365">
        <v>0</v>
      </c>
      <c r="AS6365">
        <v>0</v>
      </c>
      <c r="AT6365">
        <v>0</v>
      </c>
      <c r="AV6365">
        <v>0</v>
      </c>
      <c r="AW6365">
        <v>0</v>
      </c>
      <c r="AY6365">
        <v>0</v>
      </c>
      <c r="AZ6365">
        <v>0</v>
      </c>
      <c r="BA6365">
        <v>70</v>
      </c>
      <c r="BE6365" t="str">
        <f>T("9791164099764")</f>
        <v>9791164099764</v>
      </c>
      <c r="BF6365" t="str">
        <f>T("k201732")</f>
        <v>k201732</v>
      </c>
      <c r="BG6365" t="str">
        <f>T("로판 웹소설 &gt; 서양풍 로판")</f>
        <v>로판 웹소설 &gt; 서양풍 로판</v>
      </c>
    </row>
    <row r="6366" spans="1:59">
      <c r="A6366" t="s">
        <v>60</v>
      </c>
      <c r="B6366" s="1">
        <v>46130</v>
      </c>
      <c r="C6366">
        <v>2378059762</v>
      </c>
      <c r="D6366">
        <v>2378059815</v>
      </c>
      <c r="E6366" t="str">
        <f>T("칼레이 백작가의 매맞이 하녀 54화")</f>
        <v>칼레이 백작가의 매맞이 하녀 54화</v>
      </c>
      <c r="F6366">
        <v>54</v>
      </c>
      <c r="G6366" t="str">
        <f>T("뮤사203")</f>
        <v>뮤사203</v>
      </c>
      <c r="J6366" t="str">
        <f>T("시계토끼")</f>
        <v>시계토끼</v>
      </c>
      <c r="K6366" t="str">
        <f>T("칼레이 백작가의 매맞이 하녀")</f>
        <v>칼레이 백작가의 매맞이 하녀</v>
      </c>
      <c r="L6366">
        <v>100</v>
      </c>
      <c r="M6366">
        <v>100</v>
      </c>
      <c r="N6366">
        <v>1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0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0</v>
      </c>
      <c r="AE6366">
        <v>0</v>
      </c>
      <c r="AF6366">
        <v>0</v>
      </c>
      <c r="AG6366">
        <v>0</v>
      </c>
      <c r="AH6366">
        <v>0</v>
      </c>
      <c r="AI6366">
        <v>100</v>
      </c>
      <c r="AJ6366">
        <v>1</v>
      </c>
      <c r="AK6366">
        <v>0</v>
      </c>
      <c r="AL6366">
        <v>0</v>
      </c>
      <c r="AM6366">
        <v>100</v>
      </c>
      <c r="AN6366">
        <v>0</v>
      </c>
      <c r="AO6366">
        <v>0</v>
      </c>
      <c r="AP6366">
        <v>0</v>
      </c>
      <c r="AQ6366">
        <v>0</v>
      </c>
      <c r="AS6366">
        <v>0</v>
      </c>
      <c r="AT6366">
        <v>0</v>
      </c>
      <c r="AV6366">
        <v>0</v>
      </c>
      <c r="AW6366">
        <v>0</v>
      </c>
      <c r="AY6366">
        <v>0</v>
      </c>
      <c r="AZ6366">
        <v>0</v>
      </c>
      <c r="BA6366">
        <v>70</v>
      </c>
      <c r="BE6366" t="str">
        <f>T("9791164099764")</f>
        <v>9791164099764</v>
      </c>
      <c r="BF6366" t="str">
        <f>T("k201733")</f>
        <v>k201733</v>
      </c>
      <c r="BG6366" t="str">
        <f>T("로판 웹소설 &gt; 서양풍 로판")</f>
        <v>로판 웹소설 &gt; 서양풍 로판</v>
      </c>
    </row>
    <row r="6367" spans="1:59">
      <c r="A6367" t="s">
        <v>60</v>
      </c>
      <c r="B6367" s="1">
        <v>46130</v>
      </c>
      <c r="C6367">
        <v>2378059762</v>
      </c>
      <c r="D6367">
        <v>2378059816</v>
      </c>
      <c r="E6367" t="str">
        <f>T("칼레이 백작가의 매맞이 하녀 55화")</f>
        <v>칼레이 백작가의 매맞이 하녀 55화</v>
      </c>
      <c r="F6367">
        <v>55</v>
      </c>
      <c r="G6367" t="str">
        <f>T("뮤사203")</f>
        <v>뮤사203</v>
      </c>
      <c r="J6367" t="str">
        <f>T("시계토끼")</f>
        <v>시계토끼</v>
      </c>
      <c r="K6367" t="str">
        <f>T("칼레이 백작가의 매맞이 하녀")</f>
        <v>칼레이 백작가의 매맞이 하녀</v>
      </c>
      <c r="L6367">
        <v>100</v>
      </c>
      <c r="M6367">
        <v>100</v>
      </c>
      <c r="N6367">
        <v>1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0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0</v>
      </c>
      <c r="AE6367">
        <v>0</v>
      </c>
      <c r="AF6367">
        <v>0</v>
      </c>
      <c r="AG6367">
        <v>0</v>
      </c>
      <c r="AH6367">
        <v>0</v>
      </c>
      <c r="AI6367">
        <v>100</v>
      </c>
      <c r="AJ6367">
        <v>1</v>
      </c>
      <c r="AK6367">
        <v>0</v>
      </c>
      <c r="AL6367">
        <v>0</v>
      </c>
      <c r="AM6367">
        <v>100</v>
      </c>
      <c r="AN6367">
        <v>0</v>
      </c>
      <c r="AO6367">
        <v>0</v>
      </c>
      <c r="AP6367">
        <v>0</v>
      </c>
      <c r="AQ6367">
        <v>0</v>
      </c>
      <c r="AS6367">
        <v>0</v>
      </c>
      <c r="AT6367">
        <v>0</v>
      </c>
      <c r="AV6367">
        <v>0</v>
      </c>
      <c r="AW6367">
        <v>0</v>
      </c>
      <c r="AY6367">
        <v>0</v>
      </c>
      <c r="AZ6367">
        <v>0</v>
      </c>
      <c r="BA6367">
        <v>70</v>
      </c>
      <c r="BE6367" t="str">
        <f>T("9791164099764")</f>
        <v>9791164099764</v>
      </c>
      <c r="BF6367" t="str">
        <f>T("k201734")</f>
        <v>k201734</v>
      </c>
      <c r="BG6367" t="str">
        <f>T("로판 웹소설 &gt; 서양풍 로판")</f>
        <v>로판 웹소설 &gt; 서양풍 로판</v>
      </c>
    </row>
    <row r="6368" spans="1:59">
      <c r="A6368" t="s">
        <v>60</v>
      </c>
      <c r="B6368" s="1">
        <v>46130</v>
      </c>
      <c r="C6368">
        <v>2378059762</v>
      </c>
      <c r="D6368">
        <v>2378065681</v>
      </c>
      <c r="E6368" t="str">
        <f>T("칼레이 백작가의 매맞이 하녀 137화")</f>
        <v>칼레이 백작가의 매맞이 하녀 137화</v>
      </c>
      <c r="F6368">
        <v>137</v>
      </c>
      <c r="G6368" t="str">
        <f>T("뮤사203")</f>
        <v>뮤사203</v>
      </c>
      <c r="J6368" t="str">
        <f>T("시계토끼")</f>
        <v>시계토끼</v>
      </c>
      <c r="K6368" t="str">
        <f>T("칼레이 백작가의 매맞이 하녀")</f>
        <v>칼레이 백작가의 매맞이 하녀</v>
      </c>
      <c r="L6368">
        <v>100</v>
      </c>
      <c r="M6368">
        <v>100</v>
      </c>
      <c r="N6368">
        <v>1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0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0</v>
      </c>
      <c r="AE6368">
        <v>0</v>
      </c>
      <c r="AF6368">
        <v>0</v>
      </c>
      <c r="AG6368">
        <v>0</v>
      </c>
      <c r="AH6368">
        <v>0</v>
      </c>
      <c r="AI6368">
        <v>100</v>
      </c>
      <c r="AJ6368">
        <v>1</v>
      </c>
      <c r="AK6368">
        <v>0</v>
      </c>
      <c r="AL6368">
        <v>0</v>
      </c>
      <c r="AM6368">
        <v>0</v>
      </c>
      <c r="AN6368">
        <v>0</v>
      </c>
      <c r="AO6368">
        <v>120</v>
      </c>
      <c r="AP6368">
        <v>-12</v>
      </c>
      <c r="AQ6368">
        <v>0</v>
      </c>
      <c r="AS6368">
        <v>0</v>
      </c>
      <c r="AT6368">
        <v>0</v>
      </c>
      <c r="AU6368">
        <v>120</v>
      </c>
      <c r="AV6368">
        <v>-12</v>
      </c>
      <c r="AW6368">
        <v>0</v>
      </c>
      <c r="AY6368">
        <v>0</v>
      </c>
      <c r="AZ6368">
        <v>0</v>
      </c>
      <c r="BA6368">
        <v>75.599999999999994</v>
      </c>
      <c r="BE6368" t="str">
        <f>T("9791164099764")</f>
        <v>9791164099764</v>
      </c>
      <c r="BF6368" t="str">
        <f>T("k294719")</f>
        <v>k294719</v>
      </c>
      <c r="BG6368" t="str">
        <f>T("로판 웹소설 &gt; 서양풍 로판")</f>
        <v>로판 웹소설 &gt; 서양풍 로판</v>
      </c>
    </row>
    <row r="6369" spans="1:59">
      <c r="A6369" t="s">
        <v>60</v>
      </c>
      <c r="B6369" s="1">
        <v>46130</v>
      </c>
      <c r="C6369">
        <v>2378059762</v>
      </c>
      <c r="D6369">
        <v>2378059787</v>
      </c>
      <c r="E6369" t="str">
        <f>T("칼레이 백작가의 매맞이 하녀 26화")</f>
        <v>칼레이 백작가의 매맞이 하녀 26화</v>
      </c>
      <c r="F6369">
        <v>26</v>
      </c>
      <c r="G6369" t="str">
        <f>T("뮤사203")</f>
        <v>뮤사203</v>
      </c>
      <c r="J6369" t="str">
        <f>T("시계토끼")</f>
        <v>시계토끼</v>
      </c>
      <c r="K6369" t="str">
        <f>T("칼레이 백작가의 매맞이 하녀")</f>
        <v>칼레이 백작가의 매맞이 하녀</v>
      </c>
      <c r="L6369">
        <v>100</v>
      </c>
      <c r="M6369">
        <v>100</v>
      </c>
      <c r="N6369">
        <v>1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0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0</v>
      </c>
      <c r="AE6369">
        <v>0</v>
      </c>
      <c r="AF6369">
        <v>0</v>
      </c>
      <c r="AG6369">
        <v>0</v>
      </c>
      <c r="AH6369">
        <v>0</v>
      </c>
      <c r="AI6369">
        <v>100</v>
      </c>
      <c r="AJ6369">
        <v>1</v>
      </c>
      <c r="AK6369">
        <v>0</v>
      </c>
      <c r="AL6369">
        <v>0</v>
      </c>
      <c r="AM6369">
        <v>100</v>
      </c>
      <c r="AN6369">
        <v>0</v>
      </c>
      <c r="AO6369">
        <v>0</v>
      </c>
      <c r="AP6369">
        <v>0</v>
      </c>
      <c r="AQ6369">
        <v>0</v>
      </c>
      <c r="AS6369">
        <v>0</v>
      </c>
      <c r="AT6369">
        <v>0</v>
      </c>
      <c r="AV6369">
        <v>0</v>
      </c>
      <c r="AW6369">
        <v>0</v>
      </c>
      <c r="AY6369">
        <v>0</v>
      </c>
      <c r="AZ6369">
        <v>0</v>
      </c>
      <c r="BA6369">
        <v>70</v>
      </c>
      <c r="BE6369" t="str">
        <f>T("9791164099764")</f>
        <v>9791164099764</v>
      </c>
      <c r="BF6369" t="str">
        <f>T("k201705")</f>
        <v>k201705</v>
      </c>
      <c r="BG6369" t="str">
        <f>T("로판 웹소설 &gt; 서양풍 로판")</f>
        <v>로판 웹소설 &gt; 서양풍 로판</v>
      </c>
    </row>
    <row r="6370" spans="1:59">
      <c r="A6370" t="s">
        <v>60</v>
      </c>
      <c r="B6370" s="1">
        <v>46130</v>
      </c>
      <c r="C6370">
        <v>2378059762</v>
      </c>
      <c r="D6370">
        <v>2378059789</v>
      </c>
      <c r="E6370" t="str">
        <f>T("칼레이 백작가의 매맞이 하녀 28화")</f>
        <v>칼레이 백작가의 매맞이 하녀 28화</v>
      </c>
      <c r="F6370">
        <v>28</v>
      </c>
      <c r="G6370" t="str">
        <f>T("뮤사203")</f>
        <v>뮤사203</v>
      </c>
      <c r="J6370" t="str">
        <f>T("시계토끼")</f>
        <v>시계토끼</v>
      </c>
      <c r="K6370" t="str">
        <f>T("칼레이 백작가의 매맞이 하녀")</f>
        <v>칼레이 백작가의 매맞이 하녀</v>
      </c>
      <c r="L6370">
        <v>100</v>
      </c>
      <c r="M6370">
        <v>100</v>
      </c>
      <c r="N6370">
        <v>1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0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0</v>
      </c>
      <c r="AE6370">
        <v>0</v>
      </c>
      <c r="AF6370">
        <v>0</v>
      </c>
      <c r="AG6370">
        <v>0</v>
      </c>
      <c r="AH6370">
        <v>0</v>
      </c>
      <c r="AI6370">
        <v>100</v>
      </c>
      <c r="AJ6370">
        <v>1</v>
      </c>
      <c r="AK6370">
        <v>0</v>
      </c>
      <c r="AL6370">
        <v>0</v>
      </c>
      <c r="AM6370">
        <v>100</v>
      </c>
      <c r="AN6370">
        <v>0</v>
      </c>
      <c r="AO6370">
        <v>0</v>
      </c>
      <c r="AP6370">
        <v>0</v>
      </c>
      <c r="AQ6370">
        <v>0</v>
      </c>
      <c r="AS6370">
        <v>0</v>
      </c>
      <c r="AT6370">
        <v>0</v>
      </c>
      <c r="AV6370">
        <v>0</v>
      </c>
      <c r="AW6370">
        <v>0</v>
      </c>
      <c r="AY6370">
        <v>0</v>
      </c>
      <c r="AZ6370">
        <v>0</v>
      </c>
      <c r="BA6370">
        <v>70</v>
      </c>
      <c r="BE6370" t="str">
        <f>T("9791164099764")</f>
        <v>9791164099764</v>
      </c>
      <c r="BF6370" t="str">
        <f>T("k201707")</f>
        <v>k201707</v>
      </c>
      <c r="BG6370" t="str">
        <f>T("로판 웹소설 &gt; 서양풍 로판")</f>
        <v>로판 웹소설 &gt; 서양풍 로판</v>
      </c>
    </row>
    <row r="6371" spans="1:59">
      <c r="A6371" t="s">
        <v>60</v>
      </c>
      <c r="B6371" s="1">
        <v>46130</v>
      </c>
      <c r="C6371">
        <v>2378059762</v>
      </c>
      <c r="D6371">
        <v>2378059790</v>
      </c>
      <c r="E6371" t="str">
        <f>T("칼레이 백작가의 매맞이 하녀 29화")</f>
        <v>칼레이 백작가의 매맞이 하녀 29화</v>
      </c>
      <c r="F6371">
        <v>29</v>
      </c>
      <c r="G6371" t="str">
        <f>T("뮤사203")</f>
        <v>뮤사203</v>
      </c>
      <c r="J6371" t="str">
        <f>T("시계토끼")</f>
        <v>시계토끼</v>
      </c>
      <c r="K6371" t="str">
        <f>T("칼레이 백작가의 매맞이 하녀")</f>
        <v>칼레이 백작가의 매맞이 하녀</v>
      </c>
      <c r="L6371">
        <v>100</v>
      </c>
      <c r="M6371">
        <v>100</v>
      </c>
      <c r="N6371">
        <v>1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0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0</v>
      </c>
      <c r="AE6371">
        <v>0</v>
      </c>
      <c r="AF6371">
        <v>0</v>
      </c>
      <c r="AG6371">
        <v>0</v>
      </c>
      <c r="AH6371">
        <v>0</v>
      </c>
      <c r="AI6371">
        <v>100</v>
      </c>
      <c r="AJ6371">
        <v>1</v>
      </c>
      <c r="AK6371">
        <v>0</v>
      </c>
      <c r="AL6371">
        <v>0</v>
      </c>
      <c r="AM6371">
        <v>100</v>
      </c>
      <c r="AN6371">
        <v>0</v>
      </c>
      <c r="AO6371">
        <v>0</v>
      </c>
      <c r="AP6371">
        <v>0</v>
      </c>
      <c r="AQ6371">
        <v>0</v>
      </c>
      <c r="AS6371">
        <v>0</v>
      </c>
      <c r="AT6371">
        <v>0</v>
      </c>
      <c r="AV6371">
        <v>0</v>
      </c>
      <c r="AW6371">
        <v>0</v>
      </c>
      <c r="AY6371">
        <v>0</v>
      </c>
      <c r="AZ6371">
        <v>0</v>
      </c>
      <c r="BA6371">
        <v>70</v>
      </c>
      <c r="BE6371" t="str">
        <f>T("9791164099764")</f>
        <v>9791164099764</v>
      </c>
      <c r="BF6371" t="str">
        <f>T("k201708")</f>
        <v>k201708</v>
      </c>
      <c r="BG6371" t="str">
        <f>T("로판 웹소설 &gt; 서양풍 로판")</f>
        <v>로판 웹소설 &gt; 서양풍 로판</v>
      </c>
    </row>
    <row r="6372" spans="1:59">
      <c r="A6372" t="s">
        <v>60</v>
      </c>
      <c r="B6372" s="1">
        <v>46130</v>
      </c>
      <c r="C6372">
        <v>2378059762</v>
      </c>
      <c r="D6372">
        <v>2378059791</v>
      </c>
      <c r="E6372" t="str">
        <f>T("칼레이 백작가의 매맞이 하녀 30화")</f>
        <v>칼레이 백작가의 매맞이 하녀 30화</v>
      </c>
      <c r="F6372">
        <v>30</v>
      </c>
      <c r="G6372" t="str">
        <f>T("뮤사203")</f>
        <v>뮤사203</v>
      </c>
      <c r="J6372" t="str">
        <f>T("시계토끼")</f>
        <v>시계토끼</v>
      </c>
      <c r="K6372" t="str">
        <f>T("칼레이 백작가의 매맞이 하녀")</f>
        <v>칼레이 백작가의 매맞이 하녀</v>
      </c>
      <c r="L6372">
        <v>100</v>
      </c>
      <c r="M6372">
        <v>100</v>
      </c>
      <c r="N6372">
        <v>1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0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0</v>
      </c>
      <c r="AE6372">
        <v>0</v>
      </c>
      <c r="AF6372">
        <v>0</v>
      </c>
      <c r="AG6372">
        <v>0</v>
      </c>
      <c r="AH6372">
        <v>0</v>
      </c>
      <c r="AI6372">
        <v>100</v>
      </c>
      <c r="AJ6372">
        <v>1</v>
      </c>
      <c r="AK6372">
        <v>0</v>
      </c>
      <c r="AL6372">
        <v>0</v>
      </c>
      <c r="AM6372">
        <v>100</v>
      </c>
      <c r="AN6372">
        <v>0</v>
      </c>
      <c r="AO6372">
        <v>0</v>
      </c>
      <c r="AP6372">
        <v>0</v>
      </c>
      <c r="AQ6372">
        <v>0</v>
      </c>
      <c r="AS6372">
        <v>0</v>
      </c>
      <c r="AT6372">
        <v>0</v>
      </c>
      <c r="AV6372">
        <v>0</v>
      </c>
      <c r="AW6372">
        <v>0</v>
      </c>
      <c r="AY6372">
        <v>0</v>
      </c>
      <c r="AZ6372">
        <v>0</v>
      </c>
      <c r="BA6372">
        <v>70</v>
      </c>
      <c r="BE6372" t="str">
        <f>T("9791164099764")</f>
        <v>9791164099764</v>
      </c>
      <c r="BF6372" t="str">
        <f>T("k201709")</f>
        <v>k201709</v>
      </c>
      <c r="BG6372" t="str">
        <f>T("로판 웹소설 &gt; 서양풍 로판")</f>
        <v>로판 웹소설 &gt; 서양풍 로판</v>
      </c>
    </row>
    <row r="6373" spans="1:59">
      <c r="A6373" t="s">
        <v>60</v>
      </c>
      <c r="B6373" s="1">
        <v>46130</v>
      </c>
      <c r="C6373">
        <v>2378059762</v>
      </c>
      <c r="D6373">
        <v>2378059792</v>
      </c>
      <c r="E6373" t="str">
        <f>T("칼레이 백작가의 매맞이 하녀 31화")</f>
        <v>칼레이 백작가의 매맞이 하녀 31화</v>
      </c>
      <c r="F6373">
        <v>31</v>
      </c>
      <c r="G6373" t="str">
        <f>T("뮤사203")</f>
        <v>뮤사203</v>
      </c>
      <c r="J6373" t="str">
        <f>T("시계토끼")</f>
        <v>시계토끼</v>
      </c>
      <c r="K6373" t="str">
        <f>T("칼레이 백작가의 매맞이 하녀")</f>
        <v>칼레이 백작가의 매맞이 하녀</v>
      </c>
      <c r="L6373">
        <v>100</v>
      </c>
      <c r="M6373">
        <v>100</v>
      </c>
      <c r="N6373">
        <v>1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>
        <v>0</v>
      </c>
      <c r="V6373">
        <v>0</v>
      </c>
      <c r="W6373">
        <v>0</v>
      </c>
      <c r="X6373">
        <v>0</v>
      </c>
      <c r="Y6373">
        <v>0</v>
      </c>
      <c r="Z6373">
        <v>0</v>
      </c>
      <c r="AA6373">
        <v>0</v>
      </c>
      <c r="AB6373">
        <v>0</v>
      </c>
      <c r="AC6373">
        <v>0</v>
      </c>
      <c r="AD6373">
        <v>0</v>
      </c>
      <c r="AE6373">
        <v>0</v>
      </c>
      <c r="AF6373">
        <v>0</v>
      </c>
      <c r="AG6373">
        <v>0</v>
      </c>
      <c r="AH6373">
        <v>0</v>
      </c>
      <c r="AI6373">
        <v>100</v>
      </c>
      <c r="AJ6373">
        <v>1</v>
      </c>
      <c r="AK6373">
        <v>0</v>
      </c>
      <c r="AL6373">
        <v>0</v>
      </c>
      <c r="AM6373">
        <v>100</v>
      </c>
      <c r="AN6373">
        <v>0</v>
      </c>
      <c r="AO6373">
        <v>0</v>
      </c>
      <c r="AP6373">
        <v>0</v>
      </c>
      <c r="AQ6373">
        <v>0</v>
      </c>
      <c r="AS6373">
        <v>0</v>
      </c>
      <c r="AT6373">
        <v>0</v>
      </c>
      <c r="AV6373">
        <v>0</v>
      </c>
      <c r="AW6373">
        <v>0</v>
      </c>
      <c r="AY6373">
        <v>0</v>
      </c>
      <c r="AZ6373">
        <v>0</v>
      </c>
      <c r="BA6373">
        <v>70</v>
      </c>
      <c r="BE6373" t="str">
        <f>T("9791164099764")</f>
        <v>9791164099764</v>
      </c>
      <c r="BF6373" t="str">
        <f>T("k201710")</f>
        <v>k201710</v>
      </c>
      <c r="BG6373" t="str">
        <f>T("로판 웹소설 &gt; 서양풍 로판")</f>
        <v>로판 웹소설 &gt; 서양풍 로판</v>
      </c>
    </row>
    <row r="6374" spans="1:59">
      <c r="A6374" t="s">
        <v>60</v>
      </c>
      <c r="B6374" s="1">
        <v>46130</v>
      </c>
      <c r="C6374">
        <v>2378059762</v>
      </c>
      <c r="D6374">
        <v>2378059794</v>
      </c>
      <c r="E6374" t="str">
        <f>T("칼레이 백작가의 매맞이 하녀 33화")</f>
        <v>칼레이 백작가의 매맞이 하녀 33화</v>
      </c>
      <c r="F6374">
        <v>33</v>
      </c>
      <c r="G6374" t="str">
        <f>T("뮤사203")</f>
        <v>뮤사203</v>
      </c>
      <c r="J6374" t="str">
        <f>T("시계토끼")</f>
        <v>시계토끼</v>
      </c>
      <c r="K6374" t="str">
        <f>T("칼레이 백작가의 매맞이 하녀")</f>
        <v>칼레이 백작가의 매맞이 하녀</v>
      </c>
      <c r="L6374">
        <v>100</v>
      </c>
      <c r="M6374">
        <v>100</v>
      </c>
      <c r="N6374">
        <v>1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0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0</v>
      </c>
      <c r="AE6374">
        <v>0</v>
      </c>
      <c r="AF6374">
        <v>0</v>
      </c>
      <c r="AG6374">
        <v>0</v>
      </c>
      <c r="AH6374">
        <v>0</v>
      </c>
      <c r="AI6374">
        <v>100</v>
      </c>
      <c r="AJ6374">
        <v>1</v>
      </c>
      <c r="AK6374">
        <v>0</v>
      </c>
      <c r="AL6374">
        <v>0</v>
      </c>
      <c r="AM6374">
        <v>100</v>
      </c>
      <c r="AN6374">
        <v>0</v>
      </c>
      <c r="AO6374">
        <v>0</v>
      </c>
      <c r="AP6374">
        <v>0</v>
      </c>
      <c r="AQ6374">
        <v>0</v>
      </c>
      <c r="AS6374">
        <v>0</v>
      </c>
      <c r="AT6374">
        <v>0</v>
      </c>
      <c r="AV6374">
        <v>0</v>
      </c>
      <c r="AW6374">
        <v>0</v>
      </c>
      <c r="AY6374">
        <v>0</v>
      </c>
      <c r="AZ6374">
        <v>0</v>
      </c>
      <c r="BA6374">
        <v>70</v>
      </c>
      <c r="BE6374" t="str">
        <f>T("9791164099764")</f>
        <v>9791164099764</v>
      </c>
      <c r="BF6374" t="str">
        <f>T("k201712")</f>
        <v>k201712</v>
      </c>
      <c r="BG6374" t="str">
        <f>T("로판 웹소설 &gt; 서양풍 로판")</f>
        <v>로판 웹소설 &gt; 서양풍 로판</v>
      </c>
    </row>
    <row r="6375" spans="1:59">
      <c r="A6375" t="s">
        <v>60</v>
      </c>
      <c r="B6375" s="1">
        <v>46131</v>
      </c>
      <c r="C6375">
        <v>2378059762</v>
      </c>
      <c r="D6375">
        <v>2378059810</v>
      </c>
      <c r="E6375" t="str">
        <f>T("칼레이 백작가의 매맞이 하녀 49화")</f>
        <v>칼레이 백작가의 매맞이 하녀 49화</v>
      </c>
      <c r="F6375">
        <v>49</v>
      </c>
      <c r="G6375" t="str">
        <f>T("뮤사203")</f>
        <v>뮤사203</v>
      </c>
      <c r="J6375" t="str">
        <f>T("시계토끼")</f>
        <v>시계토끼</v>
      </c>
      <c r="K6375" t="str">
        <f>T("칼레이 백작가의 매맞이 하녀")</f>
        <v>칼레이 백작가의 매맞이 하녀</v>
      </c>
      <c r="L6375">
        <v>100</v>
      </c>
      <c r="M6375">
        <v>100</v>
      </c>
      <c r="N6375">
        <v>1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0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0</v>
      </c>
      <c r="AE6375">
        <v>0</v>
      </c>
      <c r="AF6375">
        <v>0</v>
      </c>
      <c r="AG6375">
        <v>0</v>
      </c>
      <c r="AH6375">
        <v>0</v>
      </c>
      <c r="AI6375">
        <v>100</v>
      </c>
      <c r="AJ6375">
        <v>1</v>
      </c>
      <c r="AK6375">
        <v>0</v>
      </c>
      <c r="AL6375">
        <v>0</v>
      </c>
      <c r="AM6375">
        <v>100</v>
      </c>
      <c r="AN6375">
        <v>0</v>
      </c>
      <c r="AO6375">
        <v>0</v>
      </c>
      <c r="AP6375">
        <v>0</v>
      </c>
      <c r="AQ6375">
        <v>0</v>
      </c>
      <c r="AS6375">
        <v>0</v>
      </c>
      <c r="AT6375">
        <v>0</v>
      </c>
      <c r="AV6375">
        <v>0</v>
      </c>
      <c r="AW6375">
        <v>0</v>
      </c>
      <c r="AY6375">
        <v>0</v>
      </c>
      <c r="AZ6375">
        <v>0</v>
      </c>
      <c r="BA6375">
        <v>70</v>
      </c>
      <c r="BE6375" t="str">
        <f>T("9791164099764")</f>
        <v>9791164099764</v>
      </c>
      <c r="BF6375" t="str">
        <f>T("k201728")</f>
        <v>k201728</v>
      </c>
      <c r="BG6375" t="str">
        <f>T("로판 웹소설 &gt; 서양풍 로판")</f>
        <v>로판 웹소설 &gt; 서양풍 로판</v>
      </c>
    </row>
    <row r="6376" spans="1:59">
      <c r="A6376" t="s">
        <v>60</v>
      </c>
      <c r="B6376" s="1">
        <v>46131</v>
      </c>
      <c r="C6376">
        <v>2378059762</v>
      </c>
      <c r="D6376">
        <v>2378059811</v>
      </c>
      <c r="E6376" t="str">
        <f>T("칼레이 백작가의 매맞이 하녀 50화")</f>
        <v>칼레이 백작가의 매맞이 하녀 50화</v>
      </c>
      <c r="F6376">
        <v>50</v>
      </c>
      <c r="G6376" t="str">
        <f>T("뮤사203")</f>
        <v>뮤사203</v>
      </c>
      <c r="J6376" t="str">
        <f>T("시계토끼")</f>
        <v>시계토끼</v>
      </c>
      <c r="K6376" t="str">
        <f>T("칼레이 백작가의 매맞이 하녀")</f>
        <v>칼레이 백작가의 매맞이 하녀</v>
      </c>
      <c r="L6376">
        <v>100</v>
      </c>
      <c r="M6376">
        <v>200</v>
      </c>
      <c r="N6376">
        <v>2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0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0</v>
      </c>
      <c r="AE6376">
        <v>0</v>
      </c>
      <c r="AF6376">
        <v>0</v>
      </c>
      <c r="AG6376">
        <v>0</v>
      </c>
      <c r="AH6376">
        <v>0</v>
      </c>
      <c r="AI6376">
        <v>200</v>
      </c>
      <c r="AJ6376">
        <v>2</v>
      </c>
      <c r="AK6376">
        <v>0</v>
      </c>
      <c r="AL6376">
        <v>0</v>
      </c>
      <c r="AM6376">
        <v>100</v>
      </c>
      <c r="AN6376">
        <v>0</v>
      </c>
      <c r="AO6376">
        <v>120</v>
      </c>
      <c r="AP6376">
        <v>-36</v>
      </c>
      <c r="AQ6376">
        <v>0</v>
      </c>
      <c r="AR6376">
        <v>120</v>
      </c>
      <c r="AS6376">
        <v>-36</v>
      </c>
      <c r="AT6376">
        <v>0</v>
      </c>
      <c r="AV6376">
        <v>0</v>
      </c>
      <c r="AW6376">
        <v>0</v>
      </c>
      <c r="AY6376">
        <v>0</v>
      </c>
      <c r="AZ6376">
        <v>0</v>
      </c>
      <c r="BA6376">
        <v>128.80000000000001</v>
      </c>
      <c r="BE6376" t="str">
        <f>T("9791164099764")</f>
        <v>9791164099764</v>
      </c>
      <c r="BF6376" t="str">
        <f>T("k201729")</f>
        <v>k201729</v>
      </c>
      <c r="BG6376" t="str">
        <f>T("로판 웹소설 &gt; 서양풍 로판")</f>
        <v>로판 웹소설 &gt; 서양풍 로판</v>
      </c>
    </row>
    <row r="6377" spans="1:59">
      <c r="A6377" t="s">
        <v>60</v>
      </c>
      <c r="B6377" s="1">
        <v>46131</v>
      </c>
      <c r="C6377">
        <v>2378059762</v>
      </c>
      <c r="D6377">
        <v>2378059762</v>
      </c>
      <c r="E6377" t="str">
        <f>T("칼레이 백작가의 매맞이 하녀 1화")</f>
        <v>칼레이 백작가의 매맞이 하녀 1화</v>
      </c>
      <c r="F6377">
        <v>1</v>
      </c>
      <c r="G6377" t="str">
        <f>T("뮤사203")</f>
        <v>뮤사203</v>
      </c>
      <c r="J6377" t="str">
        <f>T("시계토끼")</f>
        <v>시계토끼</v>
      </c>
      <c r="K6377" t="str">
        <f>T("칼레이 백작가의 매맞이 하녀")</f>
        <v>칼레이 백작가의 매맞이 하녀</v>
      </c>
      <c r="L6377">
        <v>0</v>
      </c>
      <c r="M6377">
        <v>0</v>
      </c>
      <c r="N6377">
        <v>0</v>
      </c>
      <c r="O6377">
        <v>9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0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0</v>
      </c>
      <c r="AE6377">
        <v>0</v>
      </c>
      <c r="AF6377">
        <v>0</v>
      </c>
      <c r="AG6377">
        <v>0</v>
      </c>
      <c r="AH6377">
        <v>0</v>
      </c>
      <c r="AI6377">
        <v>0</v>
      </c>
      <c r="AJ6377">
        <v>9</v>
      </c>
      <c r="AK6377">
        <v>0</v>
      </c>
      <c r="AL6377">
        <v>0</v>
      </c>
      <c r="AM6377">
        <v>0</v>
      </c>
      <c r="AN6377">
        <v>0</v>
      </c>
      <c r="AO6377">
        <v>0</v>
      </c>
      <c r="AP6377">
        <v>0</v>
      </c>
      <c r="AQ6377">
        <v>0</v>
      </c>
      <c r="AS6377">
        <v>0</v>
      </c>
      <c r="AT6377">
        <v>0</v>
      </c>
      <c r="AV6377">
        <v>0</v>
      </c>
      <c r="AW6377">
        <v>0</v>
      </c>
      <c r="AY6377">
        <v>0</v>
      </c>
      <c r="AZ6377">
        <v>0</v>
      </c>
      <c r="BA6377">
        <v>0</v>
      </c>
      <c r="BE6377" t="str">
        <f>T("9791164099764")</f>
        <v>9791164099764</v>
      </c>
      <c r="BF6377" t="str">
        <f>T("k201680")</f>
        <v>k201680</v>
      </c>
      <c r="BG6377" t="str">
        <f>T("로판 웹소설 &gt; 서양풍 로판")</f>
        <v>로판 웹소설 &gt; 서양풍 로판</v>
      </c>
    </row>
    <row r="6378" spans="1:59">
      <c r="A6378" t="s">
        <v>60</v>
      </c>
      <c r="B6378" s="1">
        <v>46131</v>
      </c>
      <c r="C6378">
        <v>2378059762</v>
      </c>
      <c r="D6378">
        <v>2378059812</v>
      </c>
      <c r="E6378" t="str">
        <f>T("칼레이 백작가의 매맞이 하녀 51화")</f>
        <v>칼레이 백작가의 매맞이 하녀 51화</v>
      </c>
      <c r="F6378">
        <v>51</v>
      </c>
      <c r="G6378" t="str">
        <f>T("뮤사203")</f>
        <v>뮤사203</v>
      </c>
      <c r="J6378" t="str">
        <f>T("시계토끼")</f>
        <v>시계토끼</v>
      </c>
      <c r="K6378" t="str">
        <f>T("칼레이 백작가의 매맞이 하녀")</f>
        <v>칼레이 백작가의 매맞이 하녀</v>
      </c>
      <c r="L6378">
        <v>100</v>
      </c>
      <c r="M6378">
        <v>200</v>
      </c>
      <c r="N6378">
        <v>2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0</v>
      </c>
      <c r="AE6378">
        <v>0</v>
      </c>
      <c r="AF6378">
        <v>0</v>
      </c>
      <c r="AG6378">
        <v>0</v>
      </c>
      <c r="AH6378">
        <v>0</v>
      </c>
      <c r="AI6378">
        <v>200</v>
      </c>
      <c r="AJ6378">
        <v>2</v>
      </c>
      <c r="AK6378">
        <v>0</v>
      </c>
      <c r="AL6378">
        <v>0</v>
      </c>
      <c r="AM6378">
        <v>100</v>
      </c>
      <c r="AN6378">
        <v>0</v>
      </c>
      <c r="AO6378">
        <v>120</v>
      </c>
      <c r="AP6378">
        <v>-36</v>
      </c>
      <c r="AQ6378">
        <v>0</v>
      </c>
      <c r="AR6378">
        <v>120</v>
      </c>
      <c r="AS6378">
        <v>-36</v>
      </c>
      <c r="AT6378">
        <v>0</v>
      </c>
      <c r="AV6378">
        <v>0</v>
      </c>
      <c r="AW6378">
        <v>0</v>
      </c>
      <c r="AY6378">
        <v>0</v>
      </c>
      <c r="AZ6378">
        <v>0</v>
      </c>
      <c r="BA6378">
        <v>128.80000000000001</v>
      </c>
      <c r="BE6378" t="str">
        <f>T("9791164099764")</f>
        <v>9791164099764</v>
      </c>
      <c r="BF6378" t="str">
        <f>T("k201730")</f>
        <v>k201730</v>
      </c>
      <c r="BG6378" t="str">
        <f>T("로판 웹소설 &gt; 서양풍 로판")</f>
        <v>로판 웹소설 &gt; 서양풍 로판</v>
      </c>
    </row>
    <row r="6379" spans="1:59">
      <c r="A6379" t="s">
        <v>60</v>
      </c>
      <c r="B6379" s="1">
        <v>46131</v>
      </c>
      <c r="C6379">
        <v>2378059762</v>
      </c>
      <c r="D6379">
        <v>2378059813</v>
      </c>
      <c r="E6379" t="str">
        <f>T("칼레이 백작가의 매맞이 하녀 52화")</f>
        <v>칼레이 백작가의 매맞이 하녀 52화</v>
      </c>
      <c r="F6379">
        <v>52</v>
      </c>
      <c r="G6379" t="str">
        <f>T("뮤사203")</f>
        <v>뮤사203</v>
      </c>
      <c r="J6379" t="str">
        <f>T("시계토끼")</f>
        <v>시계토끼</v>
      </c>
      <c r="K6379" t="str">
        <f>T("칼레이 백작가의 매맞이 하녀")</f>
        <v>칼레이 백작가의 매맞이 하녀</v>
      </c>
      <c r="L6379">
        <v>100</v>
      </c>
      <c r="M6379">
        <v>100</v>
      </c>
      <c r="N6379">
        <v>1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0</v>
      </c>
      <c r="AE6379">
        <v>0</v>
      </c>
      <c r="AF6379">
        <v>0</v>
      </c>
      <c r="AG6379">
        <v>0</v>
      </c>
      <c r="AH6379">
        <v>0</v>
      </c>
      <c r="AI6379">
        <v>100</v>
      </c>
      <c r="AJ6379">
        <v>1</v>
      </c>
      <c r="AK6379">
        <v>0</v>
      </c>
      <c r="AL6379">
        <v>0</v>
      </c>
      <c r="AM6379">
        <v>100</v>
      </c>
      <c r="AN6379">
        <v>0</v>
      </c>
      <c r="AO6379">
        <v>0</v>
      </c>
      <c r="AP6379">
        <v>0</v>
      </c>
      <c r="AQ6379">
        <v>0</v>
      </c>
      <c r="AS6379">
        <v>0</v>
      </c>
      <c r="AT6379">
        <v>0</v>
      </c>
      <c r="AV6379">
        <v>0</v>
      </c>
      <c r="AW6379">
        <v>0</v>
      </c>
      <c r="AY6379">
        <v>0</v>
      </c>
      <c r="AZ6379">
        <v>0</v>
      </c>
      <c r="BA6379">
        <v>70</v>
      </c>
      <c r="BE6379" t="str">
        <f>T("9791164099764")</f>
        <v>9791164099764</v>
      </c>
      <c r="BF6379" t="str">
        <f>T("k201731")</f>
        <v>k201731</v>
      </c>
      <c r="BG6379" t="str">
        <f>T("로판 웹소설 &gt; 서양풍 로판")</f>
        <v>로판 웹소설 &gt; 서양풍 로판</v>
      </c>
    </row>
    <row r="6380" spans="1:59">
      <c r="A6380" t="s">
        <v>60</v>
      </c>
      <c r="B6380" s="1">
        <v>46131</v>
      </c>
      <c r="C6380">
        <v>2378059762</v>
      </c>
      <c r="D6380">
        <v>2378059814</v>
      </c>
      <c r="E6380" t="str">
        <f>T("칼레이 백작가의 매맞이 하녀 53화")</f>
        <v>칼레이 백작가의 매맞이 하녀 53화</v>
      </c>
      <c r="F6380">
        <v>53</v>
      </c>
      <c r="G6380" t="str">
        <f>T("뮤사203")</f>
        <v>뮤사203</v>
      </c>
      <c r="J6380" t="str">
        <f>T("시계토끼")</f>
        <v>시계토끼</v>
      </c>
      <c r="K6380" t="str">
        <f>T("칼레이 백작가의 매맞이 하녀")</f>
        <v>칼레이 백작가의 매맞이 하녀</v>
      </c>
      <c r="L6380">
        <v>100</v>
      </c>
      <c r="M6380">
        <v>100</v>
      </c>
      <c r="N6380">
        <v>1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0</v>
      </c>
      <c r="AE6380">
        <v>0</v>
      </c>
      <c r="AF6380">
        <v>0</v>
      </c>
      <c r="AG6380">
        <v>0</v>
      </c>
      <c r="AH6380">
        <v>0</v>
      </c>
      <c r="AI6380">
        <v>100</v>
      </c>
      <c r="AJ6380">
        <v>1</v>
      </c>
      <c r="AK6380">
        <v>0</v>
      </c>
      <c r="AL6380">
        <v>0</v>
      </c>
      <c r="AM6380">
        <v>100</v>
      </c>
      <c r="AN6380">
        <v>0</v>
      </c>
      <c r="AO6380">
        <v>0</v>
      </c>
      <c r="AP6380">
        <v>0</v>
      </c>
      <c r="AQ6380">
        <v>0</v>
      </c>
      <c r="AS6380">
        <v>0</v>
      </c>
      <c r="AT6380">
        <v>0</v>
      </c>
      <c r="AV6380">
        <v>0</v>
      </c>
      <c r="AW6380">
        <v>0</v>
      </c>
      <c r="AY6380">
        <v>0</v>
      </c>
      <c r="AZ6380">
        <v>0</v>
      </c>
      <c r="BA6380">
        <v>70</v>
      </c>
      <c r="BE6380" t="str">
        <f>T("9791164099764")</f>
        <v>9791164099764</v>
      </c>
      <c r="BF6380" t="str">
        <f>T("k201732")</f>
        <v>k201732</v>
      </c>
      <c r="BG6380" t="str">
        <f>T("로판 웹소설 &gt; 서양풍 로판")</f>
        <v>로판 웹소설 &gt; 서양풍 로판</v>
      </c>
    </row>
    <row r="6381" spans="1:59">
      <c r="A6381" t="s">
        <v>60</v>
      </c>
      <c r="B6381" s="1">
        <v>46131</v>
      </c>
      <c r="C6381">
        <v>2378059762</v>
      </c>
      <c r="D6381">
        <v>2378059815</v>
      </c>
      <c r="E6381" t="str">
        <f>T("칼레이 백작가의 매맞이 하녀 54화")</f>
        <v>칼레이 백작가의 매맞이 하녀 54화</v>
      </c>
      <c r="F6381">
        <v>54</v>
      </c>
      <c r="G6381" t="str">
        <f>T("뮤사203")</f>
        <v>뮤사203</v>
      </c>
      <c r="J6381" t="str">
        <f>T("시계토끼")</f>
        <v>시계토끼</v>
      </c>
      <c r="K6381" t="str">
        <f>T("칼레이 백작가의 매맞이 하녀")</f>
        <v>칼레이 백작가의 매맞이 하녀</v>
      </c>
      <c r="L6381">
        <v>100</v>
      </c>
      <c r="M6381">
        <v>200</v>
      </c>
      <c r="N6381">
        <v>2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0</v>
      </c>
      <c r="AE6381">
        <v>0</v>
      </c>
      <c r="AF6381">
        <v>0</v>
      </c>
      <c r="AG6381">
        <v>0</v>
      </c>
      <c r="AH6381">
        <v>0</v>
      </c>
      <c r="AI6381">
        <v>200</v>
      </c>
      <c r="AJ6381">
        <v>2</v>
      </c>
      <c r="AK6381">
        <v>0</v>
      </c>
      <c r="AL6381">
        <v>0</v>
      </c>
      <c r="AM6381">
        <v>200</v>
      </c>
      <c r="AN6381">
        <v>0</v>
      </c>
      <c r="AO6381">
        <v>0</v>
      </c>
      <c r="AP6381">
        <v>0</v>
      </c>
      <c r="AQ6381">
        <v>0</v>
      </c>
      <c r="AS6381">
        <v>0</v>
      </c>
      <c r="AT6381">
        <v>0</v>
      </c>
      <c r="AV6381">
        <v>0</v>
      </c>
      <c r="AW6381">
        <v>0</v>
      </c>
      <c r="AY6381">
        <v>0</v>
      </c>
      <c r="AZ6381">
        <v>0</v>
      </c>
      <c r="BA6381">
        <v>140</v>
      </c>
      <c r="BE6381" t="str">
        <f>T("9791164099764")</f>
        <v>9791164099764</v>
      </c>
      <c r="BF6381" t="str">
        <f>T("k201733")</f>
        <v>k201733</v>
      </c>
      <c r="BG6381" t="str">
        <f>T("로판 웹소설 &gt; 서양풍 로판")</f>
        <v>로판 웹소설 &gt; 서양풍 로판</v>
      </c>
    </row>
    <row r="6382" spans="1:59">
      <c r="A6382" t="s">
        <v>60</v>
      </c>
      <c r="B6382" s="1">
        <v>46131</v>
      </c>
      <c r="C6382">
        <v>2378059762</v>
      </c>
      <c r="D6382">
        <v>2378059816</v>
      </c>
      <c r="E6382" t="str">
        <f>T("칼레이 백작가의 매맞이 하녀 55화")</f>
        <v>칼레이 백작가의 매맞이 하녀 55화</v>
      </c>
      <c r="F6382">
        <v>55</v>
      </c>
      <c r="G6382" t="str">
        <f>T("뮤사203")</f>
        <v>뮤사203</v>
      </c>
      <c r="J6382" t="str">
        <f>T("시계토끼")</f>
        <v>시계토끼</v>
      </c>
      <c r="K6382" t="str">
        <f>T("칼레이 백작가의 매맞이 하녀")</f>
        <v>칼레이 백작가의 매맞이 하녀</v>
      </c>
      <c r="L6382">
        <v>100</v>
      </c>
      <c r="M6382">
        <v>200</v>
      </c>
      <c r="N6382">
        <v>2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0</v>
      </c>
      <c r="AE6382">
        <v>0</v>
      </c>
      <c r="AF6382">
        <v>0</v>
      </c>
      <c r="AG6382">
        <v>0</v>
      </c>
      <c r="AH6382">
        <v>0</v>
      </c>
      <c r="AI6382">
        <v>200</v>
      </c>
      <c r="AJ6382">
        <v>2</v>
      </c>
      <c r="AK6382">
        <v>0</v>
      </c>
      <c r="AL6382">
        <v>0</v>
      </c>
      <c r="AM6382">
        <v>200</v>
      </c>
      <c r="AN6382">
        <v>0</v>
      </c>
      <c r="AO6382">
        <v>0</v>
      </c>
      <c r="AP6382">
        <v>0</v>
      </c>
      <c r="AQ6382">
        <v>0</v>
      </c>
      <c r="AS6382">
        <v>0</v>
      </c>
      <c r="AT6382">
        <v>0</v>
      </c>
      <c r="AV6382">
        <v>0</v>
      </c>
      <c r="AW6382">
        <v>0</v>
      </c>
      <c r="AY6382">
        <v>0</v>
      </c>
      <c r="AZ6382">
        <v>0</v>
      </c>
      <c r="BA6382">
        <v>140</v>
      </c>
      <c r="BE6382" t="str">
        <f>T("9791164099764")</f>
        <v>9791164099764</v>
      </c>
      <c r="BF6382" t="str">
        <f>T("k201734")</f>
        <v>k201734</v>
      </c>
      <c r="BG6382" t="str">
        <f>T("로판 웹소설 &gt; 서양풍 로판")</f>
        <v>로판 웹소설 &gt; 서양풍 로판</v>
      </c>
    </row>
    <row r="6383" spans="1:59">
      <c r="A6383" t="s">
        <v>60</v>
      </c>
      <c r="B6383" s="1">
        <v>46131</v>
      </c>
      <c r="C6383">
        <v>2378059762</v>
      </c>
      <c r="D6383">
        <v>2378059817</v>
      </c>
      <c r="E6383" t="str">
        <f>T("칼레이 백작가의 매맞이 하녀 56화")</f>
        <v>칼레이 백작가의 매맞이 하녀 56화</v>
      </c>
      <c r="F6383">
        <v>56</v>
      </c>
      <c r="G6383" t="str">
        <f>T("뮤사203")</f>
        <v>뮤사203</v>
      </c>
      <c r="J6383" t="str">
        <f>T("시계토끼")</f>
        <v>시계토끼</v>
      </c>
      <c r="K6383" t="str">
        <f>T("칼레이 백작가의 매맞이 하녀")</f>
        <v>칼레이 백작가의 매맞이 하녀</v>
      </c>
      <c r="L6383">
        <v>100</v>
      </c>
      <c r="M6383">
        <v>200</v>
      </c>
      <c r="N6383">
        <v>2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0</v>
      </c>
      <c r="AE6383">
        <v>0</v>
      </c>
      <c r="AF6383">
        <v>0</v>
      </c>
      <c r="AG6383">
        <v>0</v>
      </c>
      <c r="AH6383">
        <v>0</v>
      </c>
      <c r="AI6383">
        <v>200</v>
      </c>
      <c r="AJ6383">
        <v>2</v>
      </c>
      <c r="AK6383">
        <v>0</v>
      </c>
      <c r="AL6383">
        <v>0</v>
      </c>
      <c r="AM6383">
        <v>200</v>
      </c>
      <c r="AN6383">
        <v>0</v>
      </c>
      <c r="AO6383">
        <v>0</v>
      </c>
      <c r="AP6383">
        <v>0</v>
      </c>
      <c r="AQ6383">
        <v>0</v>
      </c>
      <c r="AS6383">
        <v>0</v>
      </c>
      <c r="AT6383">
        <v>0</v>
      </c>
      <c r="AV6383">
        <v>0</v>
      </c>
      <c r="AW6383">
        <v>0</v>
      </c>
      <c r="AY6383">
        <v>0</v>
      </c>
      <c r="AZ6383">
        <v>0</v>
      </c>
      <c r="BA6383">
        <v>140</v>
      </c>
      <c r="BE6383" t="str">
        <f>T("9791164099764")</f>
        <v>9791164099764</v>
      </c>
      <c r="BF6383" t="str">
        <f>T("k201735")</f>
        <v>k201735</v>
      </c>
      <c r="BG6383" t="str">
        <f>T("로판 웹소설 &gt; 서양풍 로판")</f>
        <v>로판 웹소설 &gt; 서양풍 로판</v>
      </c>
    </row>
    <row r="6384" spans="1:59">
      <c r="A6384" t="s">
        <v>60</v>
      </c>
      <c r="B6384" s="1">
        <v>46131</v>
      </c>
      <c r="C6384">
        <v>2378059762</v>
      </c>
      <c r="D6384">
        <v>2378059818</v>
      </c>
      <c r="E6384" t="str">
        <f>T("칼레이 백작가의 매맞이 하녀 57화")</f>
        <v>칼레이 백작가의 매맞이 하녀 57화</v>
      </c>
      <c r="F6384">
        <v>57</v>
      </c>
      <c r="G6384" t="str">
        <f>T("뮤사203")</f>
        <v>뮤사203</v>
      </c>
      <c r="J6384" t="str">
        <f>T("시계토끼")</f>
        <v>시계토끼</v>
      </c>
      <c r="K6384" t="str">
        <f>T("칼레이 백작가의 매맞이 하녀")</f>
        <v>칼레이 백작가의 매맞이 하녀</v>
      </c>
      <c r="L6384">
        <v>100</v>
      </c>
      <c r="M6384">
        <v>200</v>
      </c>
      <c r="N6384">
        <v>2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0</v>
      </c>
      <c r="AE6384">
        <v>0</v>
      </c>
      <c r="AF6384">
        <v>0</v>
      </c>
      <c r="AG6384">
        <v>0</v>
      </c>
      <c r="AH6384">
        <v>0</v>
      </c>
      <c r="AI6384">
        <v>200</v>
      </c>
      <c r="AJ6384">
        <v>2</v>
      </c>
      <c r="AK6384">
        <v>0</v>
      </c>
      <c r="AL6384">
        <v>0</v>
      </c>
      <c r="AM6384">
        <v>100</v>
      </c>
      <c r="AN6384">
        <v>0</v>
      </c>
      <c r="AO6384">
        <v>120</v>
      </c>
      <c r="AP6384">
        <v>-36</v>
      </c>
      <c r="AQ6384">
        <v>0</v>
      </c>
      <c r="AR6384">
        <v>120</v>
      </c>
      <c r="AS6384">
        <v>-36</v>
      </c>
      <c r="AT6384">
        <v>0</v>
      </c>
      <c r="AV6384">
        <v>0</v>
      </c>
      <c r="AW6384">
        <v>0</v>
      </c>
      <c r="AY6384">
        <v>0</v>
      </c>
      <c r="AZ6384">
        <v>0</v>
      </c>
      <c r="BA6384">
        <v>128.80000000000001</v>
      </c>
      <c r="BE6384" t="str">
        <f>T("9791164099764")</f>
        <v>9791164099764</v>
      </c>
      <c r="BF6384" t="str">
        <f>T("k201736")</f>
        <v>k201736</v>
      </c>
      <c r="BG6384" t="str">
        <f>T("로판 웹소설 &gt; 서양풍 로판")</f>
        <v>로판 웹소설 &gt; 서양풍 로판</v>
      </c>
    </row>
    <row r="6385" spans="1:59">
      <c r="A6385" t="s">
        <v>60</v>
      </c>
      <c r="B6385" s="1">
        <v>46131</v>
      </c>
      <c r="C6385">
        <v>2378059762</v>
      </c>
      <c r="D6385">
        <v>2378059819</v>
      </c>
      <c r="E6385" t="str">
        <f>T("칼레이 백작가의 매맞이 하녀 58화")</f>
        <v>칼레이 백작가의 매맞이 하녀 58화</v>
      </c>
      <c r="F6385">
        <v>58</v>
      </c>
      <c r="G6385" t="str">
        <f>T("뮤사203")</f>
        <v>뮤사203</v>
      </c>
      <c r="J6385" t="str">
        <f>T("시계토끼")</f>
        <v>시계토끼</v>
      </c>
      <c r="K6385" t="str">
        <f>T("칼레이 백작가의 매맞이 하녀")</f>
        <v>칼레이 백작가의 매맞이 하녀</v>
      </c>
      <c r="L6385">
        <v>100</v>
      </c>
      <c r="M6385">
        <v>200</v>
      </c>
      <c r="N6385">
        <v>2</v>
      </c>
      <c r="O6385">
        <v>0</v>
      </c>
      <c r="P6385">
        <v>0</v>
      </c>
      <c r="Q6385">
        <v>0</v>
      </c>
      <c r="R6385">
        <v>1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0</v>
      </c>
      <c r="AE6385">
        <v>0</v>
      </c>
      <c r="AF6385">
        <v>0</v>
      </c>
      <c r="AG6385">
        <v>0</v>
      </c>
      <c r="AH6385">
        <v>0</v>
      </c>
      <c r="AI6385">
        <v>200</v>
      </c>
      <c r="AJ6385">
        <v>3</v>
      </c>
      <c r="AK6385">
        <v>0</v>
      </c>
      <c r="AL6385">
        <v>0</v>
      </c>
      <c r="AM6385">
        <v>100</v>
      </c>
      <c r="AN6385">
        <v>0</v>
      </c>
      <c r="AO6385">
        <v>120</v>
      </c>
      <c r="AP6385">
        <v>-36</v>
      </c>
      <c r="AQ6385">
        <v>0</v>
      </c>
      <c r="AR6385">
        <v>120</v>
      </c>
      <c r="AS6385">
        <v>-36</v>
      </c>
      <c r="AT6385">
        <v>0</v>
      </c>
      <c r="AV6385">
        <v>0</v>
      </c>
      <c r="AW6385">
        <v>0</v>
      </c>
      <c r="AY6385">
        <v>0</v>
      </c>
      <c r="AZ6385">
        <v>0</v>
      </c>
      <c r="BA6385">
        <v>128.80000000000001</v>
      </c>
      <c r="BE6385" t="str">
        <f>T("9791164099764")</f>
        <v>9791164099764</v>
      </c>
      <c r="BF6385" t="str">
        <f>T("k201737")</f>
        <v>k201737</v>
      </c>
      <c r="BG6385" t="str">
        <f>T("로판 웹소설 &gt; 서양풍 로판")</f>
        <v>로판 웹소설 &gt; 서양풍 로판</v>
      </c>
    </row>
    <row r="6386" spans="1:59">
      <c r="A6386" t="s">
        <v>60</v>
      </c>
      <c r="B6386" s="1">
        <v>46131</v>
      </c>
      <c r="C6386">
        <v>2378059762</v>
      </c>
      <c r="D6386">
        <v>2378059820</v>
      </c>
      <c r="E6386" t="str">
        <f>T("칼레이 백작가의 매맞이 하녀 59화")</f>
        <v>칼레이 백작가의 매맞이 하녀 59화</v>
      </c>
      <c r="F6386">
        <v>59</v>
      </c>
      <c r="G6386" t="str">
        <f>T("뮤사203")</f>
        <v>뮤사203</v>
      </c>
      <c r="J6386" t="str">
        <f>T("시계토끼")</f>
        <v>시계토끼</v>
      </c>
      <c r="K6386" t="str">
        <f>T("칼레이 백작가의 매맞이 하녀")</f>
        <v>칼레이 백작가의 매맞이 하녀</v>
      </c>
      <c r="L6386">
        <v>100</v>
      </c>
      <c r="M6386">
        <v>200</v>
      </c>
      <c r="N6386">
        <v>2</v>
      </c>
      <c r="O6386">
        <v>0</v>
      </c>
      <c r="P6386">
        <v>0</v>
      </c>
      <c r="Q6386">
        <v>0</v>
      </c>
      <c r="R6386">
        <v>1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0</v>
      </c>
      <c r="AE6386">
        <v>0</v>
      </c>
      <c r="AF6386">
        <v>0</v>
      </c>
      <c r="AG6386">
        <v>0</v>
      </c>
      <c r="AH6386">
        <v>0</v>
      </c>
      <c r="AI6386">
        <v>200</v>
      </c>
      <c r="AJ6386">
        <v>3</v>
      </c>
      <c r="AK6386">
        <v>0</v>
      </c>
      <c r="AL6386">
        <v>0</v>
      </c>
      <c r="AM6386">
        <v>200</v>
      </c>
      <c r="AN6386">
        <v>0</v>
      </c>
      <c r="AO6386">
        <v>0</v>
      </c>
      <c r="AP6386">
        <v>0</v>
      </c>
      <c r="AQ6386">
        <v>0</v>
      </c>
      <c r="AS6386">
        <v>0</v>
      </c>
      <c r="AT6386">
        <v>0</v>
      </c>
      <c r="AV6386">
        <v>0</v>
      </c>
      <c r="AW6386">
        <v>0</v>
      </c>
      <c r="AY6386">
        <v>0</v>
      </c>
      <c r="AZ6386">
        <v>0</v>
      </c>
      <c r="BA6386">
        <v>140</v>
      </c>
      <c r="BE6386" t="str">
        <f>T("9791164099764")</f>
        <v>9791164099764</v>
      </c>
      <c r="BF6386" t="str">
        <f>T("k201738")</f>
        <v>k201738</v>
      </c>
      <c r="BG6386" t="str">
        <f>T("로판 웹소설 &gt; 서양풍 로판")</f>
        <v>로판 웹소설 &gt; 서양풍 로판</v>
      </c>
    </row>
    <row r="6387" spans="1:59">
      <c r="A6387" t="s">
        <v>60</v>
      </c>
      <c r="B6387" s="1">
        <v>46131</v>
      </c>
      <c r="C6387">
        <v>2378059762</v>
      </c>
      <c r="D6387">
        <v>2378059821</v>
      </c>
      <c r="E6387" t="str">
        <f>T("칼레이 백작가의 매맞이 하녀 60화")</f>
        <v>칼레이 백작가의 매맞이 하녀 60화</v>
      </c>
      <c r="F6387">
        <v>60</v>
      </c>
      <c r="G6387" t="str">
        <f>T("뮤사203")</f>
        <v>뮤사203</v>
      </c>
      <c r="J6387" t="str">
        <f>T("시계토끼")</f>
        <v>시계토끼</v>
      </c>
      <c r="K6387" t="str">
        <f>T("칼레이 백작가의 매맞이 하녀")</f>
        <v>칼레이 백작가의 매맞이 하녀</v>
      </c>
      <c r="L6387">
        <v>100</v>
      </c>
      <c r="M6387">
        <v>200</v>
      </c>
      <c r="N6387">
        <v>2</v>
      </c>
      <c r="O6387">
        <v>0</v>
      </c>
      <c r="P6387">
        <v>0</v>
      </c>
      <c r="Q6387">
        <v>0</v>
      </c>
      <c r="R6387">
        <v>1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0</v>
      </c>
      <c r="AE6387">
        <v>0</v>
      </c>
      <c r="AF6387">
        <v>0</v>
      </c>
      <c r="AG6387">
        <v>0</v>
      </c>
      <c r="AH6387">
        <v>0</v>
      </c>
      <c r="AI6387">
        <v>200</v>
      </c>
      <c r="AJ6387">
        <v>3</v>
      </c>
      <c r="AK6387">
        <v>0</v>
      </c>
      <c r="AL6387">
        <v>0</v>
      </c>
      <c r="AM6387">
        <v>200</v>
      </c>
      <c r="AN6387">
        <v>0</v>
      </c>
      <c r="AO6387">
        <v>0</v>
      </c>
      <c r="AP6387">
        <v>0</v>
      </c>
      <c r="AQ6387">
        <v>0</v>
      </c>
      <c r="AS6387">
        <v>0</v>
      </c>
      <c r="AT6387">
        <v>0</v>
      </c>
      <c r="AV6387">
        <v>0</v>
      </c>
      <c r="AW6387">
        <v>0</v>
      </c>
      <c r="AY6387">
        <v>0</v>
      </c>
      <c r="AZ6387">
        <v>0</v>
      </c>
      <c r="BA6387">
        <v>140</v>
      </c>
      <c r="BE6387" t="str">
        <f>T("9791164099764")</f>
        <v>9791164099764</v>
      </c>
      <c r="BF6387" t="str">
        <f>T("k201739")</f>
        <v>k201739</v>
      </c>
      <c r="BG6387" t="str">
        <f>T("로판 웹소설 &gt; 서양풍 로판")</f>
        <v>로판 웹소설 &gt; 서양풍 로판</v>
      </c>
    </row>
    <row r="6388" spans="1:59">
      <c r="A6388" t="s">
        <v>60</v>
      </c>
      <c r="B6388" s="1">
        <v>46131</v>
      </c>
      <c r="C6388">
        <v>2378059762</v>
      </c>
      <c r="D6388">
        <v>2378059840</v>
      </c>
      <c r="E6388" t="str">
        <f>T("칼레이 백작가의 매맞이 하녀 61화")</f>
        <v>칼레이 백작가의 매맞이 하녀 61화</v>
      </c>
      <c r="F6388">
        <v>61</v>
      </c>
      <c r="G6388" t="str">
        <f>T("뮤사203")</f>
        <v>뮤사203</v>
      </c>
      <c r="J6388" t="str">
        <f>T("시계토끼")</f>
        <v>시계토끼</v>
      </c>
      <c r="K6388" t="str">
        <f>T("칼레이 백작가의 매맞이 하녀")</f>
        <v>칼레이 백작가의 매맞이 하녀</v>
      </c>
      <c r="L6388">
        <v>100</v>
      </c>
      <c r="M6388">
        <v>200</v>
      </c>
      <c r="N6388">
        <v>2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0</v>
      </c>
      <c r="AE6388">
        <v>0</v>
      </c>
      <c r="AF6388">
        <v>0</v>
      </c>
      <c r="AG6388">
        <v>0</v>
      </c>
      <c r="AH6388">
        <v>0</v>
      </c>
      <c r="AI6388">
        <v>200</v>
      </c>
      <c r="AJ6388">
        <v>2</v>
      </c>
      <c r="AK6388">
        <v>0</v>
      </c>
      <c r="AL6388">
        <v>0</v>
      </c>
      <c r="AM6388">
        <v>200</v>
      </c>
      <c r="AN6388">
        <v>0</v>
      </c>
      <c r="AO6388">
        <v>0</v>
      </c>
      <c r="AP6388">
        <v>0</v>
      </c>
      <c r="AQ6388">
        <v>0</v>
      </c>
      <c r="AS6388">
        <v>0</v>
      </c>
      <c r="AT6388">
        <v>0</v>
      </c>
      <c r="AV6388">
        <v>0</v>
      </c>
      <c r="AW6388">
        <v>0</v>
      </c>
      <c r="AY6388">
        <v>0</v>
      </c>
      <c r="AZ6388">
        <v>0</v>
      </c>
      <c r="BA6388">
        <v>140</v>
      </c>
      <c r="BE6388" t="str">
        <f>T("9791164099764")</f>
        <v>9791164099764</v>
      </c>
      <c r="BF6388" t="str">
        <f>T("k201740")</f>
        <v>k201740</v>
      </c>
      <c r="BG6388" t="str">
        <f>T("로판 웹소설 &gt; 서양풍 로판")</f>
        <v>로판 웹소설 &gt; 서양풍 로판</v>
      </c>
    </row>
    <row r="6389" spans="1:59">
      <c r="A6389" t="s">
        <v>60</v>
      </c>
      <c r="B6389" s="1">
        <v>46131</v>
      </c>
      <c r="C6389">
        <v>2378059762</v>
      </c>
      <c r="D6389">
        <v>2378059841</v>
      </c>
      <c r="E6389" t="str">
        <f>T("칼레이 백작가의 매맞이 하녀 62화")</f>
        <v>칼레이 백작가의 매맞이 하녀 62화</v>
      </c>
      <c r="F6389">
        <v>62</v>
      </c>
      <c r="G6389" t="str">
        <f>T("뮤사203")</f>
        <v>뮤사203</v>
      </c>
      <c r="J6389" t="str">
        <f>T("시계토끼")</f>
        <v>시계토끼</v>
      </c>
      <c r="K6389" t="str">
        <f>T("칼레이 백작가의 매맞이 하녀")</f>
        <v>칼레이 백작가의 매맞이 하녀</v>
      </c>
      <c r="L6389">
        <v>100</v>
      </c>
      <c r="M6389">
        <v>300</v>
      </c>
      <c r="N6389">
        <v>3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0</v>
      </c>
      <c r="AE6389">
        <v>0</v>
      </c>
      <c r="AF6389">
        <v>0</v>
      </c>
      <c r="AG6389">
        <v>0</v>
      </c>
      <c r="AH6389">
        <v>0</v>
      </c>
      <c r="AI6389">
        <v>300</v>
      </c>
      <c r="AJ6389">
        <v>3</v>
      </c>
      <c r="AK6389">
        <v>0</v>
      </c>
      <c r="AL6389">
        <v>0</v>
      </c>
      <c r="AM6389">
        <v>300</v>
      </c>
      <c r="AN6389">
        <v>0</v>
      </c>
      <c r="AO6389">
        <v>0</v>
      </c>
      <c r="AP6389">
        <v>0</v>
      </c>
      <c r="AQ6389">
        <v>0</v>
      </c>
      <c r="AS6389">
        <v>0</v>
      </c>
      <c r="AT6389">
        <v>0</v>
      </c>
      <c r="AV6389">
        <v>0</v>
      </c>
      <c r="AW6389">
        <v>0</v>
      </c>
      <c r="AY6389">
        <v>0</v>
      </c>
      <c r="AZ6389">
        <v>0</v>
      </c>
      <c r="BA6389">
        <v>210</v>
      </c>
      <c r="BE6389" t="str">
        <f>T("9791164099764")</f>
        <v>9791164099764</v>
      </c>
      <c r="BF6389" t="str">
        <f>T("k201741")</f>
        <v>k201741</v>
      </c>
      <c r="BG6389" t="str">
        <f>T("로판 웹소설 &gt; 서양풍 로판")</f>
        <v>로판 웹소설 &gt; 서양풍 로판</v>
      </c>
    </row>
    <row r="6390" spans="1:59">
      <c r="A6390" t="s">
        <v>60</v>
      </c>
      <c r="B6390" s="1">
        <v>46131</v>
      </c>
      <c r="C6390">
        <v>2378059762</v>
      </c>
      <c r="D6390">
        <v>2378059842</v>
      </c>
      <c r="E6390" t="str">
        <f>T("칼레이 백작가의 매맞이 하녀 63화")</f>
        <v>칼레이 백작가의 매맞이 하녀 63화</v>
      </c>
      <c r="F6390">
        <v>63</v>
      </c>
      <c r="G6390" t="str">
        <f>T("뮤사203")</f>
        <v>뮤사203</v>
      </c>
      <c r="J6390" t="str">
        <f>T("시계토끼")</f>
        <v>시계토끼</v>
      </c>
      <c r="K6390" t="str">
        <f>T("칼레이 백작가의 매맞이 하녀")</f>
        <v>칼레이 백작가의 매맞이 하녀</v>
      </c>
      <c r="L6390">
        <v>100</v>
      </c>
      <c r="M6390">
        <v>200</v>
      </c>
      <c r="N6390">
        <v>2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0</v>
      </c>
      <c r="AE6390">
        <v>0</v>
      </c>
      <c r="AF6390">
        <v>0</v>
      </c>
      <c r="AG6390">
        <v>0</v>
      </c>
      <c r="AH6390">
        <v>0</v>
      </c>
      <c r="AI6390">
        <v>200</v>
      </c>
      <c r="AJ6390">
        <v>2</v>
      </c>
      <c r="AK6390">
        <v>0</v>
      </c>
      <c r="AL6390">
        <v>0</v>
      </c>
      <c r="AM6390">
        <v>200</v>
      </c>
      <c r="AN6390">
        <v>0</v>
      </c>
      <c r="AO6390">
        <v>0</v>
      </c>
      <c r="AP6390">
        <v>0</v>
      </c>
      <c r="AQ6390">
        <v>0</v>
      </c>
      <c r="AS6390">
        <v>0</v>
      </c>
      <c r="AT6390">
        <v>0</v>
      </c>
      <c r="AV6390">
        <v>0</v>
      </c>
      <c r="AW6390">
        <v>0</v>
      </c>
      <c r="AY6390">
        <v>0</v>
      </c>
      <c r="AZ6390">
        <v>0</v>
      </c>
      <c r="BA6390">
        <v>140</v>
      </c>
      <c r="BE6390" t="str">
        <f>T("9791164099764")</f>
        <v>9791164099764</v>
      </c>
      <c r="BF6390" t="str">
        <f>T("k201742")</f>
        <v>k201742</v>
      </c>
      <c r="BG6390" t="str">
        <f>T("로판 웹소설 &gt; 서양풍 로판")</f>
        <v>로판 웹소설 &gt; 서양풍 로판</v>
      </c>
    </row>
    <row r="6391" spans="1:59">
      <c r="A6391" t="s">
        <v>60</v>
      </c>
      <c r="B6391" s="1">
        <v>46131</v>
      </c>
      <c r="C6391">
        <v>2378059762</v>
      </c>
      <c r="D6391">
        <v>2378059843</v>
      </c>
      <c r="E6391" t="str">
        <f>T("칼레이 백작가의 매맞이 하녀 64화")</f>
        <v>칼레이 백작가의 매맞이 하녀 64화</v>
      </c>
      <c r="F6391">
        <v>64</v>
      </c>
      <c r="G6391" t="str">
        <f>T("뮤사203")</f>
        <v>뮤사203</v>
      </c>
      <c r="J6391" t="str">
        <f>T("시계토끼")</f>
        <v>시계토끼</v>
      </c>
      <c r="K6391" t="str">
        <f>T("칼레이 백작가의 매맞이 하녀")</f>
        <v>칼레이 백작가의 매맞이 하녀</v>
      </c>
      <c r="L6391">
        <v>100</v>
      </c>
      <c r="M6391">
        <v>200</v>
      </c>
      <c r="N6391">
        <v>2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0</v>
      </c>
      <c r="AE6391">
        <v>0</v>
      </c>
      <c r="AF6391">
        <v>0</v>
      </c>
      <c r="AG6391">
        <v>0</v>
      </c>
      <c r="AH6391">
        <v>0</v>
      </c>
      <c r="AI6391">
        <v>200</v>
      </c>
      <c r="AJ6391">
        <v>2</v>
      </c>
      <c r="AK6391">
        <v>0</v>
      </c>
      <c r="AL6391">
        <v>0</v>
      </c>
      <c r="AM6391">
        <v>200</v>
      </c>
      <c r="AN6391">
        <v>0</v>
      </c>
      <c r="AO6391">
        <v>0</v>
      </c>
      <c r="AP6391">
        <v>0</v>
      </c>
      <c r="AQ6391">
        <v>0</v>
      </c>
      <c r="AS6391">
        <v>0</v>
      </c>
      <c r="AT6391">
        <v>0</v>
      </c>
      <c r="AV6391">
        <v>0</v>
      </c>
      <c r="AW6391">
        <v>0</v>
      </c>
      <c r="AY6391">
        <v>0</v>
      </c>
      <c r="AZ6391">
        <v>0</v>
      </c>
      <c r="BA6391">
        <v>140</v>
      </c>
      <c r="BE6391" t="str">
        <f>T("9791164099764")</f>
        <v>9791164099764</v>
      </c>
      <c r="BF6391" t="str">
        <f>T("k201743")</f>
        <v>k201743</v>
      </c>
      <c r="BG6391" t="str">
        <f>T("로판 웹소설 &gt; 서양풍 로판")</f>
        <v>로판 웹소설 &gt; 서양풍 로판</v>
      </c>
    </row>
    <row r="6392" spans="1:59">
      <c r="A6392" t="s">
        <v>60</v>
      </c>
      <c r="B6392" s="1">
        <v>46131</v>
      </c>
      <c r="C6392">
        <v>2378059762</v>
      </c>
      <c r="D6392">
        <v>2378059844</v>
      </c>
      <c r="E6392" t="str">
        <f>T("칼레이 백작가의 매맞이 하녀 65화")</f>
        <v>칼레이 백작가의 매맞이 하녀 65화</v>
      </c>
      <c r="F6392">
        <v>65</v>
      </c>
      <c r="G6392" t="str">
        <f>T("뮤사203")</f>
        <v>뮤사203</v>
      </c>
      <c r="J6392" t="str">
        <f>T("시계토끼")</f>
        <v>시계토끼</v>
      </c>
      <c r="K6392" t="str">
        <f>T("칼레이 백작가의 매맞이 하녀")</f>
        <v>칼레이 백작가의 매맞이 하녀</v>
      </c>
      <c r="L6392">
        <v>100</v>
      </c>
      <c r="M6392">
        <v>200</v>
      </c>
      <c r="N6392">
        <v>2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0</v>
      </c>
      <c r="AE6392">
        <v>0</v>
      </c>
      <c r="AF6392">
        <v>0</v>
      </c>
      <c r="AG6392">
        <v>0</v>
      </c>
      <c r="AH6392">
        <v>0</v>
      </c>
      <c r="AI6392">
        <v>200</v>
      </c>
      <c r="AJ6392">
        <v>2</v>
      </c>
      <c r="AK6392">
        <v>0</v>
      </c>
      <c r="AL6392">
        <v>0</v>
      </c>
      <c r="AM6392">
        <v>200</v>
      </c>
      <c r="AN6392">
        <v>0</v>
      </c>
      <c r="AO6392">
        <v>0</v>
      </c>
      <c r="AP6392">
        <v>0</v>
      </c>
      <c r="AQ6392">
        <v>0</v>
      </c>
      <c r="AS6392">
        <v>0</v>
      </c>
      <c r="AT6392">
        <v>0</v>
      </c>
      <c r="AV6392">
        <v>0</v>
      </c>
      <c r="AW6392">
        <v>0</v>
      </c>
      <c r="AY6392">
        <v>0</v>
      </c>
      <c r="AZ6392">
        <v>0</v>
      </c>
      <c r="BA6392">
        <v>140</v>
      </c>
      <c r="BE6392" t="str">
        <f>T("9791164099764")</f>
        <v>9791164099764</v>
      </c>
      <c r="BF6392" t="str">
        <f>T("k201744")</f>
        <v>k201744</v>
      </c>
      <c r="BG6392" t="str">
        <f>T("로판 웹소설 &gt; 서양풍 로판")</f>
        <v>로판 웹소설 &gt; 서양풍 로판</v>
      </c>
    </row>
    <row r="6393" spans="1:59">
      <c r="A6393" t="s">
        <v>60</v>
      </c>
      <c r="B6393" s="1">
        <v>46131</v>
      </c>
      <c r="C6393">
        <v>2378059762</v>
      </c>
      <c r="D6393">
        <v>2378060139</v>
      </c>
      <c r="E6393" t="str">
        <f>T("칼레이 백작가의 매맞이 하녀 66화")</f>
        <v>칼레이 백작가의 매맞이 하녀 66화</v>
      </c>
      <c r="F6393">
        <v>66</v>
      </c>
      <c r="G6393" t="str">
        <f>T("뮤사203")</f>
        <v>뮤사203</v>
      </c>
      <c r="J6393" t="str">
        <f>T("시계토끼")</f>
        <v>시계토끼</v>
      </c>
      <c r="K6393" t="str">
        <f>T("칼레이 백작가의 매맞이 하녀")</f>
        <v>칼레이 백작가의 매맞이 하녀</v>
      </c>
      <c r="L6393">
        <v>100</v>
      </c>
      <c r="M6393">
        <v>200</v>
      </c>
      <c r="N6393">
        <v>2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0</v>
      </c>
      <c r="AE6393">
        <v>0</v>
      </c>
      <c r="AF6393">
        <v>0</v>
      </c>
      <c r="AG6393">
        <v>0</v>
      </c>
      <c r="AH6393">
        <v>0</v>
      </c>
      <c r="AI6393">
        <v>200</v>
      </c>
      <c r="AJ6393">
        <v>2</v>
      </c>
      <c r="AK6393">
        <v>0</v>
      </c>
      <c r="AL6393">
        <v>0</v>
      </c>
      <c r="AM6393">
        <v>200</v>
      </c>
      <c r="AN6393">
        <v>0</v>
      </c>
      <c r="AO6393">
        <v>0</v>
      </c>
      <c r="AP6393">
        <v>0</v>
      </c>
      <c r="AQ6393">
        <v>0</v>
      </c>
      <c r="AS6393">
        <v>0</v>
      </c>
      <c r="AT6393">
        <v>0</v>
      </c>
      <c r="AV6393">
        <v>0</v>
      </c>
      <c r="AW6393">
        <v>0</v>
      </c>
      <c r="AY6393">
        <v>0</v>
      </c>
      <c r="AZ6393">
        <v>0</v>
      </c>
      <c r="BA6393">
        <v>140</v>
      </c>
      <c r="BE6393" t="str">
        <f>T("9791164099764")</f>
        <v>9791164099764</v>
      </c>
      <c r="BF6393" t="str">
        <f>T("k201745")</f>
        <v>k201745</v>
      </c>
      <c r="BG6393" t="str">
        <f>T("로판 웹소설 &gt; 서양풍 로판")</f>
        <v>로판 웹소설 &gt; 서양풍 로판</v>
      </c>
    </row>
    <row r="6394" spans="1:59">
      <c r="A6394" t="s">
        <v>60</v>
      </c>
      <c r="B6394" s="1">
        <v>46131</v>
      </c>
      <c r="C6394">
        <v>2378059762</v>
      </c>
      <c r="D6394">
        <v>2378060140</v>
      </c>
      <c r="E6394" t="str">
        <f>T("칼레이 백작가의 매맞이 하녀 67화")</f>
        <v>칼레이 백작가의 매맞이 하녀 67화</v>
      </c>
      <c r="F6394">
        <v>67</v>
      </c>
      <c r="G6394" t="str">
        <f>T("뮤사203")</f>
        <v>뮤사203</v>
      </c>
      <c r="J6394" t="str">
        <f>T("시계토끼")</f>
        <v>시계토끼</v>
      </c>
      <c r="K6394" t="str">
        <f>T("칼레이 백작가의 매맞이 하녀")</f>
        <v>칼레이 백작가의 매맞이 하녀</v>
      </c>
      <c r="L6394">
        <v>100</v>
      </c>
      <c r="M6394">
        <v>200</v>
      </c>
      <c r="N6394">
        <v>2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0</v>
      </c>
      <c r="AE6394">
        <v>0</v>
      </c>
      <c r="AF6394">
        <v>0</v>
      </c>
      <c r="AG6394">
        <v>0</v>
      </c>
      <c r="AH6394">
        <v>0</v>
      </c>
      <c r="AI6394">
        <v>200</v>
      </c>
      <c r="AJ6394">
        <v>2</v>
      </c>
      <c r="AK6394">
        <v>0</v>
      </c>
      <c r="AL6394">
        <v>0</v>
      </c>
      <c r="AM6394">
        <v>200</v>
      </c>
      <c r="AN6394">
        <v>0</v>
      </c>
      <c r="AO6394">
        <v>0</v>
      </c>
      <c r="AP6394">
        <v>0</v>
      </c>
      <c r="AQ6394">
        <v>0</v>
      </c>
      <c r="AS6394">
        <v>0</v>
      </c>
      <c r="AT6394">
        <v>0</v>
      </c>
      <c r="AV6394">
        <v>0</v>
      </c>
      <c r="AW6394">
        <v>0</v>
      </c>
      <c r="AY6394">
        <v>0</v>
      </c>
      <c r="AZ6394">
        <v>0</v>
      </c>
      <c r="BA6394">
        <v>140</v>
      </c>
      <c r="BE6394" t="str">
        <f>T("9791164099764")</f>
        <v>9791164099764</v>
      </c>
      <c r="BF6394" t="str">
        <f>T("k201746")</f>
        <v>k201746</v>
      </c>
      <c r="BG6394" t="str">
        <f>T("로판 웹소설 &gt; 서양풍 로판")</f>
        <v>로판 웹소설 &gt; 서양풍 로판</v>
      </c>
    </row>
    <row r="6395" spans="1:59">
      <c r="A6395" t="s">
        <v>60</v>
      </c>
      <c r="B6395" s="1">
        <v>46131</v>
      </c>
      <c r="C6395">
        <v>2378059762</v>
      </c>
      <c r="D6395">
        <v>2378060141</v>
      </c>
      <c r="E6395" t="str">
        <f>T("칼레이 백작가의 매맞이 하녀 68화")</f>
        <v>칼레이 백작가의 매맞이 하녀 68화</v>
      </c>
      <c r="F6395">
        <v>68</v>
      </c>
      <c r="G6395" t="str">
        <f>T("뮤사203")</f>
        <v>뮤사203</v>
      </c>
      <c r="J6395" t="str">
        <f>T("시계토끼")</f>
        <v>시계토끼</v>
      </c>
      <c r="K6395" t="str">
        <f>T("칼레이 백작가의 매맞이 하녀")</f>
        <v>칼레이 백작가의 매맞이 하녀</v>
      </c>
      <c r="L6395">
        <v>100</v>
      </c>
      <c r="M6395">
        <v>200</v>
      </c>
      <c r="N6395">
        <v>2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0</v>
      </c>
      <c r="AE6395">
        <v>0</v>
      </c>
      <c r="AF6395">
        <v>0</v>
      </c>
      <c r="AG6395">
        <v>0</v>
      </c>
      <c r="AH6395">
        <v>0</v>
      </c>
      <c r="AI6395">
        <v>200</v>
      </c>
      <c r="AJ6395">
        <v>2</v>
      </c>
      <c r="AK6395">
        <v>0</v>
      </c>
      <c r="AL6395">
        <v>0</v>
      </c>
      <c r="AM6395">
        <v>200</v>
      </c>
      <c r="AN6395">
        <v>0</v>
      </c>
      <c r="AO6395">
        <v>0</v>
      </c>
      <c r="AP6395">
        <v>0</v>
      </c>
      <c r="AQ6395">
        <v>0</v>
      </c>
      <c r="AS6395">
        <v>0</v>
      </c>
      <c r="AT6395">
        <v>0</v>
      </c>
      <c r="AV6395">
        <v>0</v>
      </c>
      <c r="AW6395">
        <v>0</v>
      </c>
      <c r="AY6395">
        <v>0</v>
      </c>
      <c r="AZ6395">
        <v>0</v>
      </c>
      <c r="BA6395">
        <v>140</v>
      </c>
      <c r="BE6395" t="str">
        <f>T("9791164099764")</f>
        <v>9791164099764</v>
      </c>
      <c r="BF6395" t="str">
        <f>T("k201747")</f>
        <v>k201747</v>
      </c>
      <c r="BG6395" t="str">
        <f>T("로판 웹소설 &gt; 서양풍 로판")</f>
        <v>로판 웹소설 &gt; 서양풍 로판</v>
      </c>
    </row>
    <row r="6396" spans="1:59">
      <c r="A6396" t="s">
        <v>60</v>
      </c>
      <c r="B6396" s="1">
        <v>46131</v>
      </c>
      <c r="C6396">
        <v>2378059762</v>
      </c>
      <c r="D6396">
        <v>2378060142</v>
      </c>
      <c r="E6396" t="str">
        <f>T("칼레이 백작가의 매맞이 하녀 69화")</f>
        <v>칼레이 백작가의 매맞이 하녀 69화</v>
      </c>
      <c r="F6396">
        <v>69</v>
      </c>
      <c r="G6396" t="str">
        <f>T("뮤사203")</f>
        <v>뮤사203</v>
      </c>
      <c r="J6396" t="str">
        <f>T("시계토끼")</f>
        <v>시계토끼</v>
      </c>
      <c r="K6396" t="str">
        <f>T("칼레이 백작가의 매맞이 하녀")</f>
        <v>칼레이 백작가의 매맞이 하녀</v>
      </c>
      <c r="L6396">
        <v>100</v>
      </c>
      <c r="M6396">
        <v>200</v>
      </c>
      <c r="N6396">
        <v>2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0</v>
      </c>
      <c r="AE6396">
        <v>0</v>
      </c>
      <c r="AF6396">
        <v>0</v>
      </c>
      <c r="AG6396">
        <v>0</v>
      </c>
      <c r="AH6396">
        <v>0</v>
      </c>
      <c r="AI6396">
        <v>200</v>
      </c>
      <c r="AJ6396">
        <v>2</v>
      </c>
      <c r="AK6396">
        <v>0</v>
      </c>
      <c r="AL6396">
        <v>0</v>
      </c>
      <c r="AM6396">
        <v>200</v>
      </c>
      <c r="AN6396">
        <v>0</v>
      </c>
      <c r="AO6396">
        <v>0</v>
      </c>
      <c r="AP6396">
        <v>0</v>
      </c>
      <c r="AQ6396">
        <v>0</v>
      </c>
      <c r="AS6396">
        <v>0</v>
      </c>
      <c r="AT6396">
        <v>0</v>
      </c>
      <c r="AV6396">
        <v>0</v>
      </c>
      <c r="AW6396">
        <v>0</v>
      </c>
      <c r="AY6396">
        <v>0</v>
      </c>
      <c r="AZ6396">
        <v>0</v>
      </c>
      <c r="BA6396">
        <v>140</v>
      </c>
      <c r="BE6396" t="str">
        <f>T("9791164099764")</f>
        <v>9791164099764</v>
      </c>
      <c r="BF6396" t="str">
        <f>T("k201748")</f>
        <v>k201748</v>
      </c>
      <c r="BG6396" t="str">
        <f>T("로판 웹소설 &gt; 서양풍 로판")</f>
        <v>로판 웹소설 &gt; 서양풍 로판</v>
      </c>
    </row>
    <row r="6397" spans="1:59">
      <c r="A6397" t="s">
        <v>60</v>
      </c>
      <c r="B6397" s="1">
        <v>46131</v>
      </c>
      <c r="C6397">
        <v>2378059762</v>
      </c>
      <c r="D6397">
        <v>2378060143</v>
      </c>
      <c r="E6397" t="str">
        <f>T("칼레이 백작가의 매맞이 하녀 70화")</f>
        <v>칼레이 백작가의 매맞이 하녀 70화</v>
      </c>
      <c r="F6397">
        <v>70</v>
      </c>
      <c r="G6397" t="str">
        <f>T("뮤사203")</f>
        <v>뮤사203</v>
      </c>
      <c r="J6397" t="str">
        <f>T("시계토끼")</f>
        <v>시계토끼</v>
      </c>
      <c r="K6397" t="str">
        <f>T("칼레이 백작가의 매맞이 하녀")</f>
        <v>칼레이 백작가의 매맞이 하녀</v>
      </c>
      <c r="L6397">
        <v>100</v>
      </c>
      <c r="M6397">
        <v>300</v>
      </c>
      <c r="N6397">
        <v>3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0</v>
      </c>
      <c r="AE6397">
        <v>0</v>
      </c>
      <c r="AF6397">
        <v>0</v>
      </c>
      <c r="AG6397">
        <v>0</v>
      </c>
      <c r="AH6397">
        <v>0</v>
      </c>
      <c r="AI6397">
        <v>300</v>
      </c>
      <c r="AJ6397">
        <v>3</v>
      </c>
      <c r="AK6397">
        <v>0</v>
      </c>
      <c r="AL6397">
        <v>0</v>
      </c>
      <c r="AM6397">
        <v>300</v>
      </c>
      <c r="AN6397">
        <v>0</v>
      </c>
      <c r="AO6397">
        <v>0</v>
      </c>
      <c r="AP6397">
        <v>0</v>
      </c>
      <c r="AQ6397">
        <v>0</v>
      </c>
      <c r="AS6397">
        <v>0</v>
      </c>
      <c r="AT6397">
        <v>0</v>
      </c>
      <c r="AV6397">
        <v>0</v>
      </c>
      <c r="AW6397">
        <v>0</v>
      </c>
      <c r="AY6397">
        <v>0</v>
      </c>
      <c r="AZ6397">
        <v>0</v>
      </c>
      <c r="BA6397">
        <v>210</v>
      </c>
      <c r="BE6397" t="str">
        <f>T("9791164099764")</f>
        <v>9791164099764</v>
      </c>
      <c r="BF6397" t="str">
        <f>T("k201749")</f>
        <v>k201749</v>
      </c>
      <c r="BG6397" t="str">
        <f>T("로판 웹소설 &gt; 서양풍 로판")</f>
        <v>로판 웹소설 &gt; 서양풍 로판</v>
      </c>
    </row>
    <row r="6398" spans="1:59">
      <c r="A6398" t="s">
        <v>60</v>
      </c>
      <c r="B6398" s="1">
        <v>46131</v>
      </c>
      <c r="C6398">
        <v>2378059762</v>
      </c>
      <c r="D6398">
        <v>2378060516</v>
      </c>
      <c r="E6398" t="str">
        <f>T("칼레이 백작가의 매맞이 하녀 71화")</f>
        <v>칼레이 백작가의 매맞이 하녀 71화</v>
      </c>
      <c r="F6398">
        <v>71</v>
      </c>
      <c r="G6398" t="str">
        <f>T("뮤사203")</f>
        <v>뮤사203</v>
      </c>
      <c r="J6398" t="str">
        <f>T("시계토끼")</f>
        <v>시계토끼</v>
      </c>
      <c r="K6398" t="str">
        <f>T("칼레이 백작가의 매맞이 하녀")</f>
        <v>칼레이 백작가의 매맞이 하녀</v>
      </c>
      <c r="L6398">
        <v>100</v>
      </c>
      <c r="M6398">
        <v>300</v>
      </c>
      <c r="N6398">
        <v>3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0</v>
      </c>
      <c r="AE6398">
        <v>0</v>
      </c>
      <c r="AF6398">
        <v>0</v>
      </c>
      <c r="AG6398">
        <v>0</v>
      </c>
      <c r="AH6398">
        <v>0</v>
      </c>
      <c r="AI6398">
        <v>300</v>
      </c>
      <c r="AJ6398">
        <v>3</v>
      </c>
      <c r="AK6398">
        <v>0</v>
      </c>
      <c r="AL6398">
        <v>0</v>
      </c>
      <c r="AM6398">
        <v>200</v>
      </c>
      <c r="AN6398">
        <v>0</v>
      </c>
      <c r="AO6398">
        <v>120</v>
      </c>
      <c r="AP6398">
        <v>-12</v>
      </c>
      <c r="AQ6398">
        <v>0</v>
      </c>
      <c r="AS6398">
        <v>0</v>
      </c>
      <c r="AT6398">
        <v>0</v>
      </c>
      <c r="AU6398">
        <v>120</v>
      </c>
      <c r="AV6398">
        <v>-12</v>
      </c>
      <c r="AW6398">
        <v>0</v>
      </c>
      <c r="AY6398">
        <v>0</v>
      </c>
      <c r="AZ6398">
        <v>0</v>
      </c>
      <c r="BA6398">
        <v>215.6</v>
      </c>
      <c r="BE6398" t="str">
        <f>T("9791164099764")</f>
        <v>9791164099764</v>
      </c>
      <c r="BF6398" t="str">
        <f>T("k201750")</f>
        <v>k201750</v>
      </c>
      <c r="BG6398" t="str">
        <f>T("로판 웹소설 &gt; 서양풍 로판")</f>
        <v>로판 웹소설 &gt; 서양풍 로판</v>
      </c>
    </row>
    <row r="6399" spans="1:59">
      <c r="A6399" t="s">
        <v>60</v>
      </c>
      <c r="B6399" s="1">
        <v>46131</v>
      </c>
      <c r="C6399">
        <v>2378059762</v>
      </c>
      <c r="D6399">
        <v>2378079048</v>
      </c>
      <c r="E6399" t="str">
        <f>T("칼레이 백작가의 매맞이 하녀 추가 외전 4화")</f>
        <v>칼레이 백작가의 매맞이 하녀 추가 외전 4화</v>
      </c>
      <c r="F6399">
        <v>188</v>
      </c>
      <c r="G6399" t="str">
        <f>T("뮤사203")</f>
        <v>뮤사203</v>
      </c>
      <c r="J6399" t="str">
        <f>T("시계토끼")</f>
        <v>시계토끼</v>
      </c>
      <c r="K6399" t="str">
        <f>T("칼레이 백작가의 매맞이 하녀")</f>
        <v>칼레이 백작가의 매맞이 하녀</v>
      </c>
      <c r="L6399">
        <v>100</v>
      </c>
      <c r="M6399">
        <v>100</v>
      </c>
      <c r="N6399">
        <v>1</v>
      </c>
      <c r="O6399">
        <v>0</v>
      </c>
      <c r="P6399">
        <v>0</v>
      </c>
      <c r="Q6399">
        <v>0</v>
      </c>
      <c r="R6399">
        <v>1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0</v>
      </c>
      <c r="AE6399">
        <v>0</v>
      </c>
      <c r="AF6399">
        <v>0</v>
      </c>
      <c r="AG6399">
        <v>0</v>
      </c>
      <c r="AH6399">
        <v>0</v>
      </c>
      <c r="AI6399">
        <v>100</v>
      </c>
      <c r="AJ6399">
        <v>2</v>
      </c>
      <c r="AK6399">
        <v>0</v>
      </c>
      <c r="AL6399">
        <v>0</v>
      </c>
      <c r="AM6399">
        <v>100</v>
      </c>
      <c r="AN6399">
        <v>0</v>
      </c>
      <c r="AO6399">
        <v>0</v>
      </c>
      <c r="AP6399">
        <v>0</v>
      </c>
      <c r="AQ6399">
        <v>0</v>
      </c>
      <c r="AS6399">
        <v>0</v>
      </c>
      <c r="AT6399">
        <v>0</v>
      </c>
      <c r="AV6399">
        <v>0</v>
      </c>
      <c r="AW6399">
        <v>0</v>
      </c>
      <c r="AY6399">
        <v>0</v>
      </c>
      <c r="AZ6399">
        <v>0</v>
      </c>
      <c r="BA6399">
        <v>70</v>
      </c>
      <c r="BE6399" t="str">
        <f>T("9791164099764")</f>
        <v>9791164099764</v>
      </c>
      <c r="BF6399" t="str">
        <f>T("D180750")</f>
        <v>D180750</v>
      </c>
      <c r="BG6399" t="str">
        <f>T("로판 웹소설 &gt; 서양풍 로판")</f>
        <v>로판 웹소설 &gt; 서양풍 로판</v>
      </c>
    </row>
    <row r="6400" spans="1:59">
      <c r="A6400" t="s">
        <v>60</v>
      </c>
      <c r="B6400" s="1">
        <v>46131</v>
      </c>
      <c r="C6400">
        <v>2378059762</v>
      </c>
      <c r="D6400">
        <v>2378079049</v>
      </c>
      <c r="E6400" t="str">
        <f>T("칼레이 백작가의 매맞이 하녀 추가 외전 5화")</f>
        <v>칼레이 백작가의 매맞이 하녀 추가 외전 5화</v>
      </c>
      <c r="F6400">
        <v>189</v>
      </c>
      <c r="G6400" t="str">
        <f>T("뮤사203")</f>
        <v>뮤사203</v>
      </c>
      <c r="J6400" t="str">
        <f>T("시계토끼")</f>
        <v>시계토끼</v>
      </c>
      <c r="K6400" t="str">
        <f>T("칼레이 백작가의 매맞이 하녀")</f>
        <v>칼레이 백작가의 매맞이 하녀</v>
      </c>
      <c r="L6400">
        <v>100</v>
      </c>
      <c r="M6400">
        <v>200</v>
      </c>
      <c r="N6400">
        <v>2</v>
      </c>
      <c r="O6400">
        <v>0</v>
      </c>
      <c r="P6400">
        <v>0</v>
      </c>
      <c r="Q6400">
        <v>0</v>
      </c>
      <c r="R6400">
        <v>1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0</v>
      </c>
      <c r="AE6400">
        <v>0</v>
      </c>
      <c r="AF6400">
        <v>0</v>
      </c>
      <c r="AG6400">
        <v>0</v>
      </c>
      <c r="AH6400">
        <v>0</v>
      </c>
      <c r="AI6400">
        <v>200</v>
      </c>
      <c r="AJ6400">
        <v>3</v>
      </c>
      <c r="AK6400">
        <v>0</v>
      </c>
      <c r="AL6400">
        <v>0</v>
      </c>
      <c r="AM6400">
        <v>200</v>
      </c>
      <c r="AN6400">
        <v>0</v>
      </c>
      <c r="AO6400">
        <v>0</v>
      </c>
      <c r="AP6400">
        <v>0</v>
      </c>
      <c r="AQ6400">
        <v>0</v>
      </c>
      <c r="AS6400">
        <v>0</v>
      </c>
      <c r="AT6400">
        <v>0</v>
      </c>
      <c r="AV6400">
        <v>0</v>
      </c>
      <c r="AW6400">
        <v>0</v>
      </c>
      <c r="AY6400">
        <v>0</v>
      </c>
      <c r="AZ6400">
        <v>0</v>
      </c>
      <c r="BA6400">
        <v>140</v>
      </c>
      <c r="BE6400" t="str">
        <f>T("9791164099764")</f>
        <v>9791164099764</v>
      </c>
      <c r="BF6400" t="str">
        <f>T("D180751")</f>
        <v>D180751</v>
      </c>
      <c r="BG6400" t="str">
        <f>T("로판 웹소설 &gt; 서양풍 로판")</f>
        <v>로판 웹소설 &gt; 서양풍 로판</v>
      </c>
    </row>
    <row r="6401" spans="1:59">
      <c r="A6401" t="s">
        <v>60</v>
      </c>
      <c r="B6401" s="1">
        <v>46131</v>
      </c>
      <c r="C6401">
        <v>2378059762</v>
      </c>
      <c r="D6401">
        <v>2378079050</v>
      </c>
      <c r="E6401" t="str">
        <f>T("칼레이 백작가의 매맞이 하녀 추가 외전 6화")</f>
        <v>칼레이 백작가의 매맞이 하녀 추가 외전 6화</v>
      </c>
      <c r="F6401">
        <v>190</v>
      </c>
      <c r="G6401" t="str">
        <f>T("뮤사203")</f>
        <v>뮤사203</v>
      </c>
      <c r="J6401" t="str">
        <f>T("시계토끼")</f>
        <v>시계토끼</v>
      </c>
      <c r="K6401" t="str">
        <f>T("칼레이 백작가의 매맞이 하녀")</f>
        <v>칼레이 백작가의 매맞이 하녀</v>
      </c>
      <c r="L6401">
        <v>100</v>
      </c>
      <c r="M6401">
        <v>200</v>
      </c>
      <c r="N6401">
        <v>2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0</v>
      </c>
      <c r="AE6401">
        <v>0</v>
      </c>
      <c r="AF6401">
        <v>0</v>
      </c>
      <c r="AG6401">
        <v>0</v>
      </c>
      <c r="AH6401">
        <v>0</v>
      </c>
      <c r="AI6401">
        <v>200</v>
      </c>
      <c r="AJ6401">
        <v>2</v>
      </c>
      <c r="AK6401">
        <v>0</v>
      </c>
      <c r="AL6401">
        <v>0</v>
      </c>
      <c r="AM6401">
        <v>200</v>
      </c>
      <c r="AN6401">
        <v>0</v>
      </c>
      <c r="AO6401">
        <v>0</v>
      </c>
      <c r="AP6401">
        <v>0</v>
      </c>
      <c r="AQ6401">
        <v>0</v>
      </c>
      <c r="AS6401">
        <v>0</v>
      </c>
      <c r="AT6401">
        <v>0</v>
      </c>
      <c r="AV6401">
        <v>0</v>
      </c>
      <c r="AW6401">
        <v>0</v>
      </c>
      <c r="AY6401">
        <v>0</v>
      </c>
      <c r="AZ6401">
        <v>0</v>
      </c>
      <c r="BA6401">
        <v>140</v>
      </c>
      <c r="BE6401" t="str">
        <f>T("9791164099764")</f>
        <v>9791164099764</v>
      </c>
      <c r="BF6401" t="str">
        <f>T("D180752")</f>
        <v>D180752</v>
      </c>
      <c r="BG6401" t="str">
        <f>T("로판 웹소설 &gt; 서양풍 로판")</f>
        <v>로판 웹소설 &gt; 서양풍 로판</v>
      </c>
    </row>
    <row r="6402" spans="1:59">
      <c r="A6402" t="s">
        <v>60</v>
      </c>
      <c r="B6402" s="1">
        <v>46131</v>
      </c>
      <c r="C6402">
        <v>2378059762</v>
      </c>
      <c r="D6402">
        <v>2378079051</v>
      </c>
      <c r="E6402" t="str">
        <f>T("칼레이 백작가의 매맞이 하녀 추가 외전 7화")</f>
        <v>칼레이 백작가의 매맞이 하녀 추가 외전 7화</v>
      </c>
      <c r="F6402">
        <v>191</v>
      </c>
      <c r="G6402" t="str">
        <f>T("뮤사203")</f>
        <v>뮤사203</v>
      </c>
      <c r="J6402" t="str">
        <f>T("시계토끼")</f>
        <v>시계토끼</v>
      </c>
      <c r="K6402" t="str">
        <f>T("칼레이 백작가의 매맞이 하녀")</f>
        <v>칼레이 백작가의 매맞이 하녀</v>
      </c>
      <c r="L6402">
        <v>100</v>
      </c>
      <c r="M6402">
        <v>200</v>
      </c>
      <c r="N6402">
        <v>2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0</v>
      </c>
      <c r="AE6402">
        <v>0</v>
      </c>
      <c r="AF6402">
        <v>0</v>
      </c>
      <c r="AG6402">
        <v>0</v>
      </c>
      <c r="AH6402">
        <v>0</v>
      </c>
      <c r="AI6402">
        <v>200</v>
      </c>
      <c r="AJ6402">
        <v>2</v>
      </c>
      <c r="AK6402">
        <v>0</v>
      </c>
      <c r="AL6402">
        <v>0</v>
      </c>
      <c r="AM6402">
        <v>200</v>
      </c>
      <c r="AN6402">
        <v>0</v>
      </c>
      <c r="AO6402">
        <v>0</v>
      </c>
      <c r="AP6402">
        <v>0</v>
      </c>
      <c r="AQ6402">
        <v>0</v>
      </c>
      <c r="AS6402">
        <v>0</v>
      </c>
      <c r="AT6402">
        <v>0</v>
      </c>
      <c r="AV6402">
        <v>0</v>
      </c>
      <c r="AW6402">
        <v>0</v>
      </c>
      <c r="AY6402">
        <v>0</v>
      </c>
      <c r="AZ6402">
        <v>0</v>
      </c>
      <c r="BA6402">
        <v>140</v>
      </c>
      <c r="BE6402" t="str">
        <f>T("9791164099764")</f>
        <v>9791164099764</v>
      </c>
      <c r="BF6402" t="str">
        <f>T("D180753")</f>
        <v>D180753</v>
      </c>
      <c r="BG6402" t="str">
        <f>T("로판 웹소설 &gt; 서양풍 로판")</f>
        <v>로판 웹소설 &gt; 서양풍 로판</v>
      </c>
    </row>
    <row r="6403" spans="1:59">
      <c r="A6403" t="s">
        <v>60</v>
      </c>
      <c r="B6403" s="1">
        <v>46131</v>
      </c>
      <c r="C6403">
        <v>2378059762</v>
      </c>
      <c r="D6403">
        <v>2378079052</v>
      </c>
      <c r="E6403" t="str">
        <f>T("칼레이 백작가의 매맞이 하녀 추가 외전 8화")</f>
        <v>칼레이 백작가의 매맞이 하녀 추가 외전 8화</v>
      </c>
      <c r="F6403">
        <v>192</v>
      </c>
      <c r="G6403" t="str">
        <f>T("뮤사203")</f>
        <v>뮤사203</v>
      </c>
      <c r="J6403" t="str">
        <f>T("시계토끼")</f>
        <v>시계토끼</v>
      </c>
      <c r="K6403" t="str">
        <f>T("칼레이 백작가의 매맞이 하녀")</f>
        <v>칼레이 백작가의 매맞이 하녀</v>
      </c>
      <c r="L6403">
        <v>100</v>
      </c>
      <c r="M6403">
        <v>100</v>
      </c>
      <c r="N6403">
        <v>1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0</v>
      </c>
      <c r="AE6403">
        <v>0</v>
      </c>
      <c r="AF6403">
        <v>0</v>
      </c>
      <c r="AG6403">
        <v>0</v>
      </c>
      <c r="AH6403">
        <v>0</v>
      </c>
      <c r="AI6403">
        <v>100</v>
      </c>
      <c r="AJ6403">
        <v>1</v>
      </c>
      <c r="AK6403">
        <v>0</v>
      </c>
      <c r="AL6403">
        <v>0</v>
      </c>
      <c r="AM6403">
        <v>100</v>
      </c>
      <c r="AN6403">
        <v>0</v>
      </c>
      <c r="AO6403">
        <v>0</v>
      </c>
      <c r="AP6403">
        <v>0</v>
      </c>
      <c r="AQ6403">
        <v>0</v>
      </c>
      <c r="AS6403">
        <v>0</v>
      </c>
      <c r="AT6403">
        <v>0</v>
      </c>
      <c r="AV6403">
        <v>0</v>
      </c>
      <c r="AW6403">
        <v>0</v>
      </c>
      <c r="AY6403">
        <v>0</v>
      </c>
      <c r="AZ6403">
        <v>0</v>
      </c>
      <c r="BA6403">
        <v>70</v>
      </c>
      <c r="BE6403" t="str">
        <f>T("9791164099764")</f>
        <v>9791164099764</v>
      </c>
      <c r="BF6403" t="str">
        <f>T("D180754")</f>
        <v>D180754</v>
      </c>
      <c r="BG6403" t="str">
        <f>T("로판 웹소설 &gt; 서양풍 로판")</f>
        <v>로판 웹소설 &gt; 서양풍 로판</v>
      </c>
    </row>
    <row r="6404" spans="1:59">
      <c r="A6404" t="s">
        <v>60</v>
      </c>
      <c r="B6404" s="1">
        <v>46131</v>
      </c>
      <c r="C6404">
        <v>2378059762</v>
      </c>
      <c r="D6404">
        <v>2378060517</v>
      </c>
      <c r="E6404" t="str">
        <f>T("칼레이 백작가의 매맞이 하녀 72화")</f>
        <v>칼레이 백작가의 매맞이 하녀 72화</v>
      </c>
      <c r="F6404">
        <v>72</v>
      </c>
      <c r="G6404" t="str">
        <f>T("뮤사203")</f>
        <v>뮤사203</v>
      </c>
      <c r="J6404" t="str">
        <f>T("시계토끼")</f>
        <v>시계토끼</v>
      </c>
      <c r="K6404" t="str">
        <f>T("칼레이 백작가의 매맞이 하녀")</f>
        <v>칼레이 백작가의 매맞이 하녀</v>
      </c>
      <c r="L6404">
        <v>100</v>
      </c>
      <c r="M6404">
        <v>200</v>
      </c>
      <c r="N6404">
        <v>2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0</v>
      </c>
      <c r="AE6404">
        <v>0</v>
      </c>
      <c r="AF6404">
        <v>0</v>
      </c>
      <c r="AG6404">
        <v>0</v>
      </c>
      <c r="AH6404">
        <v>0</v>
      </c>
      <c r="AI6404">
        <v>200</v>
      </c>
      <c r="AJ6404">
        <v>2</v>
      </c>
      <c r="AK6404">
        <v>0</v>
      </c>
      <c r="AL6404">
        <v>0</v>
      </c>
      <c r="AM6404">
        <v>200</v>
      </c>
      <c r="AN6404">
        <v>0</v>
      </c>
      <c r="AO6404">
        <v>0</v>
      </c>
      <c r="AP6404">
        <v>0</v>
      </c>
      <c r="AQ6404">
        <v>0</v>
      </c>
      <c r="AS6404">
        <v>0</v>
      </c>
      <c r="AT6404">
        <v>0</v>
      </c>
      <c r="AV6404">
        <v>0</v>
      </c>
      <c r="AW6404">
        <v>0</v>
      </c>
      <c r="AY6404">
        <v>0</v>
      </c>
      <c r="AZ6404">
        <v>0</v>
      </c>
      <c r="BA6404">
        <v>140</v>
      </c>
      <c r="BE6404" t="str">
        <f>T("9791164099764")</f>
        <v>9791164099764</v>
      </c>
      <c r="BF6404" t="str">
        <f>T("k201751")</f>
        <v>k201751</v>
      </c>
      <c r="BG6404" t="str">
        <f>T("로판 웹소설 &gt; 서양풍 로판")</f>
        <v>로판 웹소설 &gt; 서양풍 로판</v>
      </c>
    </row>
    <row r="6405" spans="1:59">
      <c r="A6405" t="s">
        <v>60</v>
      </c>
      <c r="B6405" s="1">
        <v>46131</v>
      </c>
      <c r="C6405">
        <v>2378059762</v>
      </c>
      <c r="D6405">
        <v>2378060518</v>
      </c>
      <c r="E6405" t="str">
        <f>T("칼레이 백작가의 매맞이 하녀 73화")</f>
        <v>칼레이 백작가의 매맞이 하녀 73화</v>
      </c>
      <c r="F6405">
        <v>73</v>
      </c>
      <c r="G6405" t="str">
        <f>T("뮤사203")</f>
        <v>뮤사203</v>
      </c>
      <c r="J6405" t="str">
        <f>T("시계토끼")</f>
        <v>시계토끼</v>
      </c>
      <c r="K6405" t="str">
        <f>T("칼레이 백작가의 매맞이 하녀")</f>
        <v>칼레이 백작가의 매맞이 하녀</v>
      </c>
      <c r="L6405">
        <v>100</v>
      </c>
      <c r="M6405">
        <v>300</v>
      </c>
      <c r="N6405">
        <v>3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0</v>
      </c>
      <c r="AE6405">
        <v>0</v>
      </c>
      <c r="AF6405">
        <v>0</v>
      </c>
      <c r="AG6405">
        <v>0</v>
      </c>
      <c r="AH6405">
        <v>0</v>
      </c>
      <c r="AI6405">
        <v>300</v>
      </c>
      <c r="AJ6405">
        <v>3</v>
      </c>
      <c r="AK6405">
        <v>0</v>
      </c>
      <c r="AL6405">
        <v>0</v>
      </c>
      <c r="AM6405">
        <v>200</v>
      </c>
      <c r="AN6405">
        <v>0</v>
      </c>
      <c r="AO6405">
        <v>120</v>
      </c>
      <c r="AP6405">
        <v>-12</v>
      </c>
      <c r="AQ6405">
        <v>0</v>
      </c>
      <c r="AS6405">
        <v>0</v>
      </c>
      <c r="AT6405">
        <v>0</v>
      </c>
      <c r="AU6405">
        <v>120</v>
      </c>
      <c r="AV6405">
        <v>-12</v>
      </c>
      <c r="AW6405">
        <v>0</v>
      </c>
      <c r="AY6405">
        <v>0</v>
      </c>
      <c r="AZ6405">
        <v>0</v>
      </c>
      <c r="BA6405">
        <v>215.6</v>
      </c>
      <c r="BE6405" t="str">
        <f>T("9791164099764")</f>
        <v>9791164099764</v>
      </c>
      <c r="BF6405" t="str">
        <f>T("k201752")</f>
        <v>k201752</v>
      </c>
      <c r="BG6405" t="str">
        <f>T("로판 웹소설 &gt; 서양풍 로판")</f>
        <v>로판 웹소설 &gt; 서양풍 로판</v>
      </c>
    </row>
    <row r="6406" spans="1:59">
      <c r="A6406" t="s">
        <v>60</v>
      </c>
      <c r="B6406" s="1">
        <v>46131</v>
      </c>
      <c r="C6406">
        <v>2378059762</v>
      </c>
      <c r="D6406">
        <v>2378059801</v>
      </c>
      <c r="E6406" t="str">
        <f>T("칼레이 백작가의 매맞이 하녀 40화")</f>
        <v>칼레이 백작가의 매맞이 하녀 40화</v>
      </c>
      <c r="F6406">
        <v>40</v>
      </c>
      <c r="G6406" t="str">
        <f>T("뮤사203")</f>
        <v>뮤사203</v>
      </c>
      <c r="J6406" t="str">
        <f>T("시계토끼")</f>
        <v>시계토끼</v>
      </c>
      <c r="K6406" t="str">
        <f>T("칼레이 백작가의 매맞이 하녀")</f>
        <v>칼레이 백작가의 매맞이 하녀</v>
      </c>
      <c r="L6406">
        <v>100</v>
      </c>
      <c r="M6406">
        <v>300</v>
      </c>
      <c r="N6406">
        <v>3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0</v>
      </c>
      <c r="AE6406">
        <v>0</v>
      </c>
      <c r="AF6406">
        <v>0</v>
      </c>
      <c r="AG6406">
        <v>0</v>
      </c>
      <c r="AH6406">
        <v>0</v>
      </c>
      <c r="AI6406">
        <v>300</v>
      </c>
      <c r="AJ6406">
        <v>3</v>
      </c>
      <c r="AK6406">
        <v>0</v>
      </c>
      <c r="AL6406">
        <v>0</v>
      </c>
      <c r="AM6406">
        <v>300</v>
      </c>
      <c r="AN6406">
        <v>0</v>
      </c>
      <c r="AO6406">
        <v>0</v>
      </c>
      <c r="AP6406">
        <v>0</v>
      </c>
      <c r="AQ6406">
        <v>0</v>
      </c>
      <c r="AS6406">
        <v>0</v>
      </c>
      <c r="AT6406">
        <v>0</v>
      </c>
      <c r="AV6406">
        <v>0</v>
      </c>
      <c r="AW6406">
        <v>0</v>
      </c>
      <c r="AY6406">
        <v>0</v>
      </c>
      <c r="AZ6406">
        <v>0</v>
      </c>
      <c r="BA6406">
        <v>210</v>
      </c>
      <c r="BE6406" t="str">
        <f>T("9791164099764")</f>
        <v>9791164099764</v>
      </c>
      <c r="BF6406" t="str">
        <f>T("k201719")</f>
        <v>k201719</v>
      </c>
      <c r="BG6406" t="str">
        <f>T("로판 웹소설 &gt; 서양풍 로판")</f>
        <v>로판 웹소설 &gt; 서양풍 로판</v>
      </c>
    </row>
    <row r="6407" spans="1:59">
      <c r="A6407" t="s">
        <v>60</v>
      </c>
      <c r="B6407" s="1">
        <v>46131</v>
      </c>
      <c r="C6407">
        <v>2378059762</v>
      </c>
      <c r="D6407">
        <v>2378059802</v>
      </c>
      <c r="E6407" t="str">
        <f>T("칼레이 백작가의 매맞이 하녀 41화")</f>
        <v>칼레이 백작가의 매맞이 하녀 41화</v>
      </c>
      <c r="F6407">
        <v>41</v>
      </c>
      <c r="G6407" t="str">
        <f>T("뮤사203")</f>
        <v>뮤사203</v>
      </c>
      <c r="J6407" t="str">
        <f>T("시계토끼")</f>
        <v>시계토끼</v>
      </c>
      <c r="K6407" t="str">
        <f>T("칼레이 백작가의 매맞이 하녀")</f>
        <v>칼레이 백작가의 매맞이 하녀</v>
      </c>
      <c r="L6407">
        <v>100</v>
      </c>
      <c r="M6407">
        <v>300</v>
      </c>
      <c r="N6407">
        <v>3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0</v>
      </c>
      <c r="AE6407">
        <v>0</v>
      </c>
      <c r="AF6407">
        <v>0</v>
      </c>
      <c r="AG6407">
        <v>0</v>
      </c>
      <c r="AH6407">
        <v>0</v>
      </c>
      <c r="AI6407">
        <v>300</v>
      </c>
      <c r="AJ6407">
        <v>3</v>
      </c>
      <c r="AK6407">
        <v>0</v>
      </c>
      <c r="AL6407">
        <v>0</v>
      </c>
      <c r="AM6407">
        <v>300</v>
      </c>
      <c r="AN6407">
        <v>0</v>
      </c>
      <c r="AO6407">
        <v>0</v>
      </c>
      <c r="AP6407">
        <v>0</v>
      </c>
      <c r="AQ6407">
        <v>0</v>
      </c>
      <c r="AS6407">
        <v>0</v>
      </c>
      <c r="AT6407">
        <v>0</v>
      </c>
      <c r="AV6407">
        <v>0</v>
      </c>
      <c r="AW6407">
        <v>0</v>
      </c>
      <c r="AY6407">
        <v>0</v>
      </c>
      <c r="AZ6407">
        <v>0</v>
      </c>
      <c r="BA6407">
        <v>210</v>
      </c>
      <c r="BE6407" t="str">
        <f>T("9791164099764")</f>
        <v>9791164099764</v>
      </c>
      <c r="BF6407" t="str">
        <f>T("k201720")</f>
        <v>k201720</v>
      </c>
      <c r="BG6407" t="str">
        <f>T("로판 웹소설 &gt; 서양풍 로판")</f>
        <v>로판 웹소설 &gt; 서양풍 로판</v>
      </c>
    </row>
    <row r="6408" spans="1:59">
      <c r="A6408" t="s">
        <v>60</v>
      </c>
      <c r="B6408" s="1">
        <v>46131</v>
      </c>
      <c r="C6408">
        <v>2378059762</v>
      </c>
      <c r="D6408">
        <v>2378060519</v>
      </c>
      <c r="E6408" t="str">
        <f>T("칼레이 백작가의 매맞이 하녀 74화")</f>
        <v>칼레이 백작가의 매맞이 하녀 74화</v>
      </c>
      <c r="F6408">
        <v>74</v>
      </c>
      <c r="G6408" t="str">
        <f>T("뮤사203")</f>
        <v>뮤사203</v>
      </c>
      <c r="J6408" t="str">
        <f>T("시계토끼")</f>
        <v>시계토끼</v>
      </c>
      <c r="K6408" t="str">
        <f>T("칼레이 백작가의 매맞이 하녀")</f>
        <v>칼레이 백작가의 매맞이 하녀</v>
      </c>
      <c r="L6408">
        <v>100</v>
      </c>
      <c r="M6408">
        <v>200</v>
      </c>
      <c r="N6408">
        <v>2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0</v>
      </c>
      <c r="AE6408">
        <v>0</v>
      </c>
      <c r="AF6408">
        <v>0</v>
      </c>
      <c r="AG6408">
        <v>0</v>
      </c>
      <c r="AH6408">
        <v>0</v>
      </c>
      <c r="AI6408">
        <v>200</v>
      </c>
      <c r="AJ6408">
        <v>2</v>
      </c>
      <c r="AK6408">
        <v>0</v>
      </c>
      <c r="AL6408">
        <v>0</v>
      </c>
      <c r="AM6408">
        <v>200</v>
      </c>
      <c r="AN6408">
        <v>0</v>
      </c>
      <c r="AO6408">
        <v>0</v>
      </c>
      <c r="AP6408">
        <v>0</v>
      </c>
      <c r="AQ6408">
        <v>0</v>
      </c>
      <c r="AS6408">
        <v>0</v>
      </c>
      <c r="AT6408">
        <v>0</v>
      </c>
      <c r="AV6408">
        <v>0</v>
      </c>
      <c r="AW6408">
        <v>0</v>
      </c>
      <c r="AY6408">
        <v>0</v>
      </c>
      <c r="AZ6408">
        <v>0</v>
      </c>
      <c r="BA6408">
        <v>140</v>
      </c>
      <c r="BE6408" t="str">
        <f>T("9791164099764")</f>
        <v>9791164099764</v>
      </c>
      <c r="BF6408" t="str">
        <f>T("k201753")</f>
        <v>k201753</v>
      </c>
      <c r="BG6408" t="str">
        <f>T("로판 웹소설 &gt; 서양풍 로판")</f>
        <v>로판 웹소설 &gt; 서양풍 로판</v>
      </c>
    </row>
    <row r="6409" spans="1:59">
      <c r="A6409" t="s">
        <v>60</v>
      </c>
      <c r="B6409" s="1">
        <v>46131</v>
      </c>
      <c r="C6409">
        <v>2378059762</v>
      </c>
      <c r="D6409">
        <v>2378060520</v>
      </c>
      <c r="E6409" t="str">
        <f>T("칼레이 백작가의 매맞이 하녀 75화")</f>
        <v>칼레이 백작가의 매맞이 하녀 75화</v>
      </c>
      <c r="F6409">
        <v>75</v>
      </c>
      <c r="G6409" t="str">
        <f>T("뮤사203")</f>
        <v>뮤사203</v>
      </c>
      <c r="J6409" t="str">
        <f>T("시계토끼")</f>
        <v>시계토끼</v>
      </c>
      <c r="K6409" t="str">
        <f>T("칼레이 백작가의 매맞이 하녀")</f>
        <v>칼레이 백작가의 매맞이 하녀</v>
      </c>
      <c r="L6409">
        <v>100</v>
      </c>
      <c r="M6409">
        <v>200</v>
      </c>
      <c r="N6409">
        <v>2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0</v>
      </c>
      <c r="AE6409">
        <v>0</v>
      </c>
      <c r="AF6409">
        <v>0</v>
      </c>
      <c r="AG6409">
        <v>0</v>
      </c>
      <c r="AH6409">
        <v>0</v>
      </c>
      <c r="AI6409">
        <v>200</v>
      </c>
      <c r="AJ6409">
        <v>2</v>
      </c>
      <c r="AK6409">
        <v>0</v>
      </c>
      <c r="AL6409">
        <v>0</v>
      </c>
      <c r="AM6409">
        <v>100</v>
      </c>
      <c r="AN6409">
        <v>0</v>
      </c>
      <c r="AO6409">
        <v>120</v>
      </c>
      <c r="AP6409">
        <v>-36</v>
      </c>
      <c r="AQ6409">
        <v>0</v>
      </c>
      <c r="AR6409">
        <v>120</v>
      </c>
      <c r="AS6409">
        <v>-36</v>
      </c>
      <c r="AT6409">
        <v>0</v>
      </c>
      <c r="AV6409">
        <v>0</v>
      </c>
      <c r="AW6409">
        <v>0</v>
      </c>
      <c r="AY6409">
        <v>0</v>
      </c>
      <c r="AZ6409">
        <v>0</v>
      </c>
      <c r="BA6409">
        <v>128.80000000000001</v>
      </c>
      <c r="BE6409" t="str">
        <f>T("9791164099764")</f>
        <v>9791164099764</v>
      </c>
      <c r="BF6409" t="str">
        <f>T("k201754")</f>
        <v>k201754</v>
      </c>
      <c r="BG6409" t="str">
        <f>T("로판 웹소설 &gt; 서양풍 로판")</f>
        <v>로판 웹소설 &gt; 서양풍 로판</v>
      </c>
    </row>
    <row r="6410" spans="1:59">
      <c r="A6410" t="s">
        <v>60</v>
      </c>
      <c r="B6410" s="1">
        <v>46131</v>
      </c>
      <c r="C6410">
        <v>2378059762</v>
      </c>
      <c r="D6410">
        <v>2378060521</v>
      </c>
      <c r="E6410" t="str">
        <f>T("칼레이 백작가의 매맞이 하녀 76화")</f>
        <v>칼레이 백작가의 매맞이 하녀 76화</v>
      </c>
      <c r="F6410">
        <v>76</v>
      </c>
      <c r="G6410" t="str">
        <f>T("뮤사203")</f>
        <v>뮤사203</v>
      </c>
      <c r="J6410" t="str">
        <f>T("시계토끼")</f>
        <v>시계토끼</v>
      </c>
      <c r="K6410" t="str">
        <f>T("칼레이 백작가의 매맞이 하녀")</f>
        <v>칼레이 백작가의 매맞이 하녀</v>
      </c>
      <c r="L6410">
        <v>100</v>
      </c>
      <c r="M6410">
        <v>100</v>
      </c>
      <c r="N6410">
        <v>1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0</v>
      </c>
      <c r="AE6410">
        <v>0</v>
      </c>
      <c r="AF6410">
        <v>0</v>
      </c>
      <c r="AG6410">
        <v>0</v>
      </c>
      <c r="AH6410">
        <v>0</v>
      </c>
      <c r="AI6410">
        <v>100</v>
      </c>
      <c r="AJ6410">
        <v>1</v>
      </c>
      <c r="AK6410">
        <v>0</v>
      </c>
      <c r="AL6410">
        <v>0</v>
      </c>
      <c r="AM6410">
        <v>100</v>
      </c>
      <c r="AN6410">
        <v>0</v>
      </c>
      <c r="AO6410">
        <v>0</v>
      </c>
      <c r="AP6410">
        <v>0</v>
      </c>
      <c r="AQ6410">
        <v>0</v>
      </c>
      <c r="AS6410">
        <v>0</v>
      </c>
      <c r="AT6410">
        <v>0</v>
      </c>
      <c r="AV6410">
        <v>0</v>
      </c>
      <c r="AW6410">
        <v>0</v>
      </c>
      <c r="AY6410">
        <v>0</v>
      </c>
      <c r="AZ6410">
        <v>0</v>
      </c>
      <c r="BA6410">
        <v>70</v>
      </c>
      <c r="BE6410" t="str">
        <f>T("9791164099764")</f>
        <v>9791164099764</v>
      </c>
      <c r="BF6410" t="str">
        <f>T("k201755")</f>
        <v>k201755</v>
      </c>
      <c r="BG6410" t="str">
        <f>T("로판 웹소설 &gt; 서양풍 로판")</f>
        <v>로판 웹소설 &gt; 서양풍 로판</v>
      </c>
    </row>
    <row r="6411" spans="1:59">
      <c r="A6411" t="s">
        <v>60</v>
      </c>
      <c r="B6411" s="1">
        <v>46131</v>
      </c>
      <c r="C6411">
        <v>2378059762</v>
      </c>
      <c r="D6411">
        <v>2378060522</v>
      </c>
      <c r="E6411" t="str">
        <f>T("칼레이 백작가의 매맞이 하녀 77화")</f>
        <v>칼레이 백작가의 매맞이 하녀 77화</v>
      </c>
      <c r="F6411">
        <v>77</v>
      </c>
      <c r="G6411" t="str">
        <f>T("뮤사203")</f>
        <v>뮤사203</v>
      </c>
      <c r="J6411" t="str">
        <f>T("시계토끼")</f>
        <v>시계토끼</v>
      </c>
      <c r="K6411" t="str">
        <f>T("칼레이 백작가의 매맞이 하녀")</f>
        <v>칼레이 백작가의 매맞이 하녀</v>
      </c>
      <c r="L6411">
        <v>100</v>
      </c>
      <c r="M6411">
        <v>200</v>
      </c>
      <c r="N6411">
        <v>2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0</v>
      </c>
      <c r="AE6411">
        <v>0</v>
      </c>
      <c r="AF6411">
        <v>0</v>
      </c>
      <c r="AG6411">
        <v>0</v>
      </c>
      <c r="AH6411">
        <v>0</v>
      </c>
      <c r="AI6411">
        <v>200</v>
      </c>
      <c r="AJ6411">
        <v>2</v>
      </c>
      <c r="AK6411">
        <v>0</v>
      </c>
      <c r="AL6411">
        <v>0</v>
      </c>
      <c r="AM6411">
        <v>200</v>
      </c>
      <c r="AN6411">
        <v>0</v>
      </c>
      <c r="AO6411">
        <v>0</v>
      </c>
      <c r="AP6411">
        <v>0</v>
      </c>
      <c r="AQ6411">
        <v>0</v>
      </c>
      <c r="AS6411">
        <v>0</v>
      </c>
      <c r="AT6411">
        <v>0</v>
      </c>
      <c r="AV6411">
        <v>0</v>
      </c>
      <c r="AW6411">
        <v>0</v>
      </c>
      <c r="AY6411">
        <v>0</v>
      </c>
      <c r="AZ6411">
        <v>0</v>
      </c>
      <c r="BA6411">
        <v>140</v>
      </c>
      <c r="BE6411" t="str">
        <f>T("9791164099764")</f>
        <v>9791164099764</v>
      </c>
      <c r="BF6411" t="str">
        <f>T("k201756")</f>
        <v>k201756</v>
      </c>
      <c r="BG6411" t="str">
        <f>T("로판 웹소설 &gt; 서양풍 로판")</f>
        <v>로판 웹소설 &gt; 서양풍 로판</v>
      </c>
    </row>
    <row r="6412" spans="1:59">
      <c r="A6412" t="s">
        <v>60</v>
      </c>
      <c r="B6412" s="1">
        <v>46131</v>
      </c>
      <c r="C6412">
        <v>2378059762</v>
      </c>
      <c r="D6412">
        <v>2378061434</v>
      </c>
      <c r="E6412" t="str">
        <f>T("칼레이 백작가의 매맞이 하녀 78화")</f>
        <v>칼레이 백작가의 매맞이 하녀 78화</v>
      </c>
      <c r="F6412">
        <v>78</v>
      </c>
      <c r="G6412" t="str">
        <f>T("뮤사203")</f>
        <v>뮤사203</v>
      </c>
      <c r="J6412" t="str">
        <f>T("시계토끼")</f>
        <v>시계토끼</v>
      </c>
      <c r="K6412" t="str">
        <f>T("칼레이 백작가의 매맞이 하녀")</f>
        <v>칼레이 백작가의 매맞이 하녀</v>
      </c>
      <c r="L6412">
        <v>100</v>
      </c>
      <c r="M6412">
        <v>200</v>
      </c>
      <c r="N6412">
        <v>2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0</v>
      </c>
      <c r="AE6412">
        <v>0</v>
      </c>
      <c r="AF6412">
        <v>0</v>
      </c>
      <c r="AG6412">
        <v>0</v>
      </c>
      <c r="AH6412">
        <v>0</v>
      </c>
      <c r="AI6412">
        <v>200</v>
      </c>
      <c r="AJ6412">
        <v>2</v>
      </c>
      <c r="AK6412">
        <v>0</v>
      </c>
      <c r="AL6412">
        <v>0</v>
      </c>
      <c r="AM6412">
        <v>200</v>
      </c>
      <c r="AN6412">
        <v>0</v>
      </c>
      <c r="AO6412">
        <v>0</v>
      </c>
      <c r="AP6412">
        <v>0</v>
      </c>
      <c r="AQ6412">
        <v>0</v>
      </c>
      <c r="AS6412">
        <v>0</v>
      </c>
      <c r="AT6412">
        <v>0</v>
      </c>
      <c r="AV6412">
        <v>0</v>
      </c>
      <c r="AW6412">
        <v>0</v>
      </c>
      <c r="AY6412">
        <v>0</v>
      </c>
      <c r="AZ6412">
        <v>0</v>
      </c>
      <c r="BA6412">
        <v>140</v>
      </c>
      <c r="BE6412" t="str">
        <f>T("9791164099764")</f>
        <v>9791164099764</v>
      </c>
      <c r="BF6412" t="str">
        <f>T("k201757")</f>
        <v>k201757</v>
      </c>
      <c r="BG6412" t="str">
        <f>T("로판 웹소설 &gt; 서양풍 로판")</f>
        <v>로판 웹소설 &gt; 서양풍 로판</v>
      </c>
    </row>
    <row r="6413" spans="1:59">
      <c r="A6413" t="s">
        <v>60</v>
      </c>
      <c r="B6413" s="1">
        <v>46131</v>
      </c>
      <c r="C6413">
        <v>2378059762</v>
      </c>
      <c r="D6413">
        <v>2378061435</v>
      </c>
      <c r="E6413" t="str">
        <f>T("칼레이 백작가의 매맞이 하녀 79화")</f>
        <v>칼레이 백작가의 매맞이 하녀 79화</v>
      </c>
      <c r="F6413">
        <v>79</v>
      </c>
      <c r="G6413" t="str">
        <f>T("뮤사203")</f>
        <v>뮤사203</v>
      </c>
      <c r="J6413" t="str">
        <f>T("시계토끼")</f>
        <v>시계토끼</v>
      </c>
      <c r="K6413" t="str">
        <f>T("칼레이 백작가의 매맞이 하녀")</f>
        <v>칼레이 백작가의 매맞이 하녀</v>
      </c>
      <c r="L6413">
        <v>100</v>
      </c>
      <c r="M6413">
        <v>200</v>
      </c>
      <c r="N6413">
        <v>2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0</v>
      </c>
      <c r="AE6413">
        <v>0</v>
      </c>
      <c r="AF6413">
        <v>0</v>
      </c>
      <c r="AG6413">
        <v>0</v>
      </c>
      <c r="AH6413">
        <v>0</v>
      </c>
      <c r="AI6413">
        <v>200</v>
      </c>
      <c r="AJ6413">
        <v>2</v>
      </c>
      <c r="AK6413">
        <v>0</v>
      </c>
      <c r="AL6413">
        <v>0</v>
      </c>
      <c r="AM6413">
        <v>100</v>
      </c>
      <c r="AN6413">
        <v>0</v>
      </c>
      <c r="AO6413">
        <v>120</v>
      </c>
      <c r="AP6413">
        <v>-36</v>
      </c>
      <c r="AQ6413">
        <v>0</v>
      </c>
      <c r="AR6413">
        <v>120</v>
      </c>
      <c r="AS6413">
        <v>-36</v>
      </c>
      <c r="AT6413">
        <v>0</v>
      </c>
      <c r="AV6413">
        <v>0</v>
      </c>
      <c r="AW6413">
        <v>0</v>
      </c>
      <c r="AY6413">
        <v>0</v>
      </c>
      <c r="AZ6413">
        <v>0</v>
      </c>
      <c r="BA6413">
        <v>128.80000000000001</v>
      </c>
      <c r="BE6413" t="str">
        <f>T("9791164099764")</f>
        <v>9791164099764</v>
      </c>
      <c r="BF6413" t="str">
        <f>T("k201758")</f>
        <v>k201758</v>
      </c>
      <c r="BG6413" t="str">
        <f>T("로판 웹소설 &gt; 서양풍 로판")</f>
        <v>로판 웹소설 &gt; 서양풍 로판</v>
      </c>
    </row>
    <row r="6414" spans="1:59">
      <c r="A6414" t="s">
        <v>60</v>
      </c>
      <c r="B6414" s="1">
        <v>46131</v>
      </c>
      <c r="C6414">
        <v>2378059762</v>
      </c>
      <c r="D6414">
        <v>2378068924</v>
      </c>
      <c r="E6414" t="str">
        <f>T("칼레이 백작가의 매맞이 하녀 외전 2화")</f>
        <v>칼레이 백작가의 매맞이 하녀 외전 2화</v>
      </c>
      <c r="F6414">
        <v>155</v>
      </c>
      <c r="G6414" t="str">
        <f>T("뮤사203")</f>
        <v>뮤사203</v>
      </c>
      <c r="J6414" t="str">
        <f>T("시계토끼")</f>
        <v>시계토끼</v>
      </c>
      <c r="K6414" t="str">
        <f>T("칼레이 백작가의 매맞이 하녀")</f>
        <v>칼레이 백작가의 매맞이 하녀</v>
      </c>
      <c r="L6414">
        <v>100</v>
      </c>
      <c r="M6414">
        <v>200</v>
      </c>
      <c r="N6414">
        <v>2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0</v>
      </c>
      <c r="AE6414">
        <v>0</v>
      </c>
      <c r="AF6414">
        <v>0</v>
      </c>
      <c r="AG6414">
        <v>0</v>
      </c>
      <c r="AH6414">
        <v>0</v>
      </c>
      <c r="AI6414">
        <v>200</v>
      </c>
      <c r="AJ6414">
        <v>2</v>
      </c>
      <c r="AK6414">
        <v>0</v>
      </c>
      <c r="AL6414">
        <v>0</v>
      </c>
      <c r="AM6414">
        <v>200</v>
      </c>
      <c r="AN6414">
        <v>0</v>
      </c>
      <c r="AO6414">
        <v>0</v>
      </c>
      <c r="AP6414">
        <v>0</v>
      </c>
      <c r="AQ6414">
        <v>0</v>
      </c>
      <c r="AS6414">
        <v>0</v>
      </c>
      <c r="AT6414">
        <v>0</v>
      </c>
      <c r="AV6414">
        <v>0</v>
      </c>
      <c r="AW6414">
        <v>0</v>
      </c>
      <c r="AY6414">
        <v>0</v>
      </c>
      <c r="AZ6414">
        <v>0</v>
      </c>
      <c r="BA6414">
        <v>140</v>
      </c>
      <c r="BE6414" t="str">
        <f>T("9791164099764")</f>
        <v>9791164099764</v>
      </c>
      <c r="BF6414" t="str">
        <f>T("k300783")</f>
        <v>k300783</v>
      </c>
      <c r="BG6414" t="str">
        <f>T("로판 웹소설 &gt; 서양풍 로판")</f>
        <v>로판 웹소설 &gt; 서양풍 로판</v>
      </c>
    </row>
    <row r="6415" spans="1:59">
      <c r="A6415" t="s">
        <v>60</v>
      </c>
      <c r="B6415" s="1">
        <v>46131</v>
      </c>
      <c r="C6415">
        <v>2378059762</v>
      </c>
      <c r="D6415">
        <v>2378068925</v>
      </c>
      <c r="E6415" t="str">
        <f>T("칼레이 백작가의 매맞이 하녀 외전 3화")</f>
        <v>칼레이 백작가의 매맞이 하녀 외전 3화</v>
      </c>
      <c r="F6415">
        <v>156</v>
      </c>
      <c r="G6415" t="str">
        <f>T("뮤사203")</f>
        <v>뮤사203</v>
      </c>
      <c r="J6415" t="str">
        <f>T("시계토끼")</f>
        <v>시계토끼</v>
      </c>
      <c r="K6415" t="str">
        <f>T("칼레이 백작가의 매맞이 하녀")</f>
        <v>칼레이 백작가의 매맞이 하녀</v>
      </c>
      <c r="L6415">
        <v>100</v>
      </c>
      <c r="M6415">
        <v>200</v>
      </c>
      <c r="N6415">
        <v>2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0</v>
      </c>
      <c r="AE6415">
        <v>0</v>
      </c>
      <c r="AF6415">
        <v>0</v>
      </c>
      <c r="AG6415">
        <v>0</v>
      </c>
      <c r="AH6415">
        <v>0</v>
      </c>
      <c r="AI6415">
        <v>200</v>
      </c>
      <c r="AJ6415">
        <v>2</v>
      </c>
      <c r="AK6415">
        <v>0</v>
      </c>
      <c r="AL6415">
        <v>0</v>
      </c>
      <c r="AM6415">
        <v>200</v>
      </c>
      <c r="AN6415">
        <v>0</v>
      </c>
      <c r="AO6415">
        <v>0</v>
      </c>
      <c r="AP6415">
        <v>0</v>
      </c>
      <c r="AQ6415">
        <v>0</v>
      </c>
      <c r="AS6415">
        <v>0</v>
      </c>
      <c r="AT6415">
        <v>0</v>
      </c>
      <c r="AV6415">
        <v>0</v>
      </c>
      <c r="AW6415">
        <v>0</v>
      </c>
      <c r="AY6415">
        <v>0</v>
      </c>
      <c r="AZ6415">
        <v>0</v>
      </c>
      <c r="BA6415">
        <v>140</v>
      </c>
      <c r="BE6415" t="str">
        <f>T("9791164099764")</f>
        <v>9791164099764</v>
      </c>
      <c r="BF6415" t="str">
        <f>T("k398564")</f>
        <v>k398564</v>
      </c>
      <c r="BG6415" t="str">
        <f>T("로판 웹소설 &gt; 서양풍 로판")</f>
        <v>로판 웹소설 &gt; 서양풍 로판</v>
      </c>
    </row>
    <row r="6416" spans="1:59">
      <c r="A6416" t="s">
        <v>60</v>
      </c>
      <c r="B6416" s="1">
        <v>46131</v>
      </c>
      <c r="C6416">
        <v>2378059762</v>
      </c>
      <c r="D6416">
        <v>2378068926</v>
      </c>
      <c r="E6416" t="str">
        <f>T("칼레이 백작가의 매맞이 하녀 외전 4화")</f>
        <v>칼레이 백작가의 매맞이 하녀 외전 4화</v>
      </c>
      <c r="F6416">
        <v>157</v>
      </c>
      <c r="G6416" t="str">
        <f>T("뮤사203")</f>
        <v>뮤사203</v>
      </c>
      <c r="J6416" t="str">
        <f>T("시계토끼")</f>
        <v>시계토끼</v>
      </c>
      <c r="K6416" t="str">
        <f>T("칼레이 백작가의 매맞이 하녀")</f>
        <v>칼레이 백작가의 매맞이 하녀</v>
      </c>
      <c r="L6416">
        <v>100</v>
      </c>
      <c r="M6416">
        <v>200</v>
      </c>
      <c r="N6416">
        <v>2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0</v>
      </c>
      <c r="AE6416">
        <v>0</v>
      </c>
      <c r="AF6416">
        <v>0</v>
      </c>
      <c r="AG6416">
        <v>0</v>
      </c>
      <c r="AH6416">
        <v>0</v>
      </c>
      <c r="AI6416">
        <v>200</v>
      </c>
      <c r="AJ6416">
        <v>2</v>
      </c>
      <c r="AK6416">
        <v>0</v>
      </c>
      <c r="AL6416">
        <v>0</v>
      </c>
      <c r="AM6416">
        <v>200</v>
      </c>
      <c r="AN6416">
        <v>0</v>
      </c>
      <c r="AO6416">
        <v>0</v>
      </c>
      <c r="AP6416">
        <v>0</v>
      </c>
      <c r="AQ6416">
        <v>0</v>
      </c>
      <c r="AS6416">
        <v>0</v>
      </c>
      <c r="AT6416">
        <v>0</v>
      </c>
      <c r="AV6416">
        <v>0</v>
      </c>
      <c r="AW6416">
        <v>0</v>
      </c>
      <c r="AY6416">
        <v>0</v>
      </c>
      <c r="AZ6416">
        <v>0</v>
      </c>
      <c r="BA6416">
        <v>140</v>
      </c>
      <c r="BE6416" t="str">
        <f>T("9791164099764")</f>
        <v>9791164099764</v>
      </c>
      <c r="BF6416" t="str">
        <f>T("k398565")</f>
        <v>k398565</v>
      </c>
      <c r="BG6416" t="str">
        <f>T("로판 웹소설 &gt; 서양풍 로판")</f>
        <v>로판 웹소설 &gt; 서양풍 로판</v>
      </c>
    </row>
    <row r="6417" spans="1:59">
      <c r="A6417" t="s">
        <v>60</v>
      </c>
      <c r="B6417" s="1">
        <v>46131</v>
      </c>
      <c r="C6417">
        <v>2378059762</v>
      </c>
      <c r="D6417">
        <v>2378068927</v>
      </c>
      <c r="E6417" t="str">
        <f>T("칼레이 백작가의 매맞이 하녀 외전 5화")</f>
        <v>칼레이 백작가의 매맞이 하녀 외전 5화</v>
      </c>
      <c r="F6417">
        <v>158</v>
      </c>
      <c r="G6417" t="str">
        <f>T("뮤사203")</f>
        <v>뮤사203</v>
      </c>
      <c r="J6417" t="str">
        <f>T("시계토끼")</f>
        <v>시계토끼</v>
      </c>
      <c r="K6417" t="str">
        <f>T("칼레이 백작가의 매맞이 하녀")</f>
        <v>칼레이 백작가의 매맞이 하녀</v>
      </c>
      <c r="L6417">
        <v>100</v>
      </c>
      <c r="M6417">
        <v>300</v>
      </c>
      <c r="N6417">
        <v>3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0</v>
      </c>
      <c r="AE6417">
        <v>0</v>
      </c>
      <c r="AF6417">
        <v>0</v>
      </c>
      <c r="AG6417">
        <v>0</v>
      </c>
      <c r="AH6417">
        <v>0</v>
      </c>
      <c r="AI6417">
        <v>300</v>
      </c>
      <c r="AJ6417">
        <v>3</v>
      </c>
      <c r="AK6417">
        <v>0</v>
      </c>
      <c r="AL6417">
        <v>0</v>
      </c>
      <c r="AM6417">
        <v>300</v>
      </c>
      <c r="AN6417">
        <v>0</v>
      </c>
      <c r="AO6417">
        <v>0</v>
      </c>
      <c r="AP6417">
        <v>0</v>
      </c>
      <c r="AQ6417">
        <v>0</v>
      </c>
      <c r="AS6417">
        <v>0</v>
      </c>
      <c r="AT6417">
        <v>0</v>
      </c>
      <c r="AV6417">
        <v>0</v>
      </c>
      <c r="AW6417">
        <v>0</v>
      </c>
      <c r="AY6417">
        <v>0</v>
      </c>
      <c r="AZ6417">
        <v>0</v>
      </c>
      <c r="BA6417">
        <v>210</v>
      </c>
      <c r="BE6417" t="str">
        <f>T("9791164099764")</f>
        <v>9791164099764</v>
      </c>
      <c r="BF6417" t="str">
        <f>T("k398566")</f>
        <v>k398566</v>
      </c>
      <c r="BG6417" t="str">
        <f>T("로판 웹소설 &gt; 서양풍 로판")</f>
        <v>로판 웹소설 &gt; 서양풍 로판</v>
      </c>
    </row>
    <row r="6418" spans="1:59">
      <c r="A6418" t="s">
        <v>60</v>
      </c>
      <c r="B6418" s="1">
        <v>46131</v>
      </c>
      <c r="C6418">
        <v>2378059762</v>
      </c>
      <c r="D6418">
        <v>2378068928</v>
      </c>
      <c r="E6418" t="str">
        <f>T("칼레이 백작가의 매맞이 하녀 외전 6화")</f>
        <v>칼레이 백작가의 매맞이 하녀 외전 6화</v>
      </c>
      <c r="F6418">
        <v>159</v>
      </c>
      <c r="G6418" t="str">
        <f>T("뮤사203")</f>
        <v>뮤사203</v>
      </c>
      <c r="J6418" t="str">
        <f>T("시계토끼")</f>
        <v>시계토끼</v>
      </c>
      <c r="K6418" t="str">
        <f>T("칼레이 백작가의 매맞이 하녀")</f>
        <v>칼레이 백작가의 매맞이 하녀</v>
      </c>
      <c r="L6418">
        <v>100</v>
      </c>
      <c r="M6418">
        <v>200</v>
      </c>
      <c r="N6418">
        <v>2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0</v>
      </c>
      <c r="AE6418">
        <v>0</v>
      </c>
      <c r="AF6418">
        <v>0</v>
      </c>
      <c r="AG6418">
        <v>0</v>
      </c>
      <c r="AH6418">
        <v>0</v>
      </c>
      <c r="AI6418">
        <v>200</v>
      </c>
      <c r="AJ6418">
        <v>2</v>
      </c>
      <c r="AK6418">
        <v>0</v>
      </c>
      <c r="AL6418">
        <v>0</v>
      </c>
      <c r="AM6418">
        <v>200</v>
      </c>
      <c r="AN6418">
        <v>0</v>
      </c>
      <c r="AO6418">
        <v>0</v>
      </c>
      <c r="AP6418">
        <v>0</v>
      </c>
      <c r="AQ6418">
        <v>0</v>
      </c>
      <c r="AS6418">
        <v>0</v>
      </c>
      <c r="AT6418">
        <v>0</v>
      </c>
      <c r="AV6418">
        <v>0</v>
      </c>
      <c r="AW6418">
        <v>0</v>
      </c>
      <c r="AY6418">
        <v>0</v>
      </c>
      <c r="AZ6418">
        <v>0</v>
      </c>
      <c r="BA6418">
        <v>140</v>
      </c>
      <c r="BE6418" t="str">
        <f>T("9791164099764")</f>
        <v>9791164099764</v>
      </c>
      <c r="BF6418" t="str">
        <f>T("k398567")</f>
        <v>k398567</v>
      </c>
      <c r="BG6418" t="str">
        <f>T("로판 웹소설 &gt; 서양풍 로판")</f>
        <v>로판 웹소설 &gt; 서양풍 로판</v>
      </c>
    </row>
    <row r="6419" spans="1:59">
      <c r="A6419" t="s">
        <v>60</v>
      </c>
      <c r="B6419" s="1">
        <v>46131</v>
      </c>
      <c r="C6419">
        <v>2378059762</v>
      </c>
      <c r="D6419">
        <v>2378062569</v>
      </c>
      <c r="E6419" t="str">
        <f>T("칼레이 백작가의 매맞이 하녀 100화")</f>
        <v>칼레이 백작가의 매맞이 하녀 100화</v>
      </c>
      <c r="F6419">
        <v>100</v>
      </c>
      <c r="G6419" t="str">
        <f>T("뮤사203")</f>
        <v>뮤사203</v>
      </c>
      <c r="J6419" t="str">
        <f>T("시계토끼")</f>
        <v>시계토끼</v>
      </c>
      <c r="K6419" t="str">
        <f>T("칼레이 백작가의 매맞이 하녀")</f>
        <v>칼레이 백작가의 매맞이 하녀</v>
      </c>
      <c r="L6419">
        <v>100</v>
      </c>
      <c r="M6419">
        <v>600</v>
      </c>
      <c r="N6419">
        <v>6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0</v>
      </c>
      <c r="AE6419">
        <v>0</v>
      </c>
      <c r="AF6419">
        <v>0</v>
      </c>
      <c r="AG6419">
        <v>0</v>
      </c>
      <c r="AH6419">
        <v>0</v>
      </c>
      <c r="AI6419">
        <v>600</v>
      </c>
      <c r="AJ6419">
        <v>6</v>
      </c>
      <c r="AK6419">
        <v>0</v>
      </c>
      <c r="AL6419">
        <v>0</v>
      </c>
      <c r="AM6419">
        <v>400</v>
      </c>
      <c r="AN6419">
        <v>0</v>
      </c>
      <c r="AO6419">
        <v>240</v>
      </c>
      <c r="AP6419">
        <v>-24</v>
      </c>
      <c r="AQ6419">
        <v>0</v>
      </c>
      <c r="AS6419">
        <v>0</v>
      </c>
      <c r="AT6419">
        <v>0</v>
      </c>
      <c r="AU6419">
        <v>240</v>
      </c>
      <c r="AV6419">
        <v>-24</v>
      </c>
      <c r="AW6419">
        <v>0</v>
      </c>
      <c r="AY6419">
        <v>0</v>
      </c>
      <c r="AZ6419">
        <v>0</v>
      </c>
      <c r="BA6419">
        <v>431.2</v>
      </c>
      <c r="BE6419" t="str">
        <f>T("9791164099764")</f>
        <v>9791164099764</v>
      </c>
      <c r="BF6419" t="str">
        <f>T("k244194")</f>
        <v>k244194</v>
      </c>
      <c r="BG6419" t="str">
        <f>T("로판 웹소설 &gt; 서양풍 로판")</f>
        <v>로판 웹소설 &gt; 서양풍 로판</v>
      </c>
    </row>
    <row r="6420" spans="1:59">
      <c r="A6420" t="s">
        <v>60</v>
      </c>
      <c r="B6420" s="1">
        <v>46131</v>
      </c>
      <c r="C6420">
        <v>2378059762</v>
      </c>
      <c r="D6420">
        <v>2378061685</v>
      </c>
      <c r="E6420" t="str">
        <f>T("칼레이 백작가의 매맞이 하녀 80화")</f>
        <v>칼레이 백작가의 매맞이 하녀 80화</v>
      </c>
      <c r="F6420">
        <v>80</v>
      </c>
      <c r="G6420" t="str">
        <f>T("뮤사203")</f>
        <v>뮤사203</v>
      </c>
      <c r="J6420" t="str">
        <f>T("시계토끼")</f>
        <v>시계토끼</v>
      </c>
      <c r="K6420" t="str">
        <f>T("칼레이 백작가의 매맞이 하녀")</f>
        <v>칼레이 백작가의 매맞이 하녀</v>
      </c>
      <c r="L6420">
        <v>100</v>
      </c>
      <c r="M6420">
        <v>100</v>
      </c>
      <c r="N6420">
        <v>1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0</v>
      </c>
      <c r="AE6420">
        <v>0</v>
      </c>
      <c r="AF6420">
        <v>0</v>
      </c>
      <c r="AG6420">
        <v>0</v>
      </c>
      <c r="AH6420">
        <v>0</v>
      </c>
      <c r="AI6420">
        <v>100</v>
      </c>
      <c r="AJ6420">
        <v>1</v>
      </c>
      <c r="AK6420">
        <v>0</v>
      </c>
      <c r="AL6420">
        <v>0</v>
      </c>
      <c r="AM6420">
        <v>100</v>
      </c>
      <c r="AN6420">
        <v>0</v>
      </c>
      <c r="AO6420">
        <v>0</v>
      </c>
      <c r="AP6420">
        <v>0</v>
      </c>
      <c r="AQ6420">
        <v>0</v>
      </c>
      <c r="AS6420">
        <v>0</v>
      </c>
      <c r="AT6420">
        <v>0</v>
      </c>
      <c r="AV6420">
        <v>0</v>
      </c>
      <c r="AW6420">
        <v>0</v>
      </c>
      <c r="AY6420">
        <v>0</v>
      </c>
      <c r="AZ6420">
        <v>0</v>
      </c>
      <c r="BA6420">
        <v>70</v>
      </c>
      <c r="BE6420" t="str">
        <f>T("9791164099764")</f>
        <v>9791164099764</v>
      </c>
      <c r="BF6420" t="str">
        <f>T("k201759")</f>
        <v>k201759</v>
      </c>
      <c r="BG6420" t="str">
        <f>T("로판 웹소설 &gt; 서양풍 로판")</f>
        <v>로판 웹소설 &gt; 서양풍 로판</v>
      </c>
    </row>
    <row r="6421" spans="1:59">
      <c r="A6421" t="s">
        <v>60</v>
      </c>
      <c r="B6421" s="1">
        <v>46131</v>
      </c>
      <c r="C6421">
        <v>2378059762</v>
      </c>
      <c r="D6421">
        <v>2378061686</v>
      </c>
      <c r="E6421" t="str">
        <f>T("칼레이 백작가의 매맞이 하녀 81화")</f>
        <v>칼레이 백작가의 매맞이 하녀 81화</v>
      </c>
      <c r="F6421">
        <v>81</v>
      </c>
      <c r="G6421" t="str">
        <f>T("뮤사203")</f>
        <v>뮤사203</v>
      </c>
      <c r="J6421" t="str">
        <f>T("시계토끼")</f>
        <v>시계토끼</v>
      </c>
      <c r="K6421" t="str">
        <f>T("칼레이 백작가의 매맞이 하녀")</f>
        <v>칼레이 백작가의 매맞이 하녀</v>
      </c>
      <c r="L6421">
        <v>100</v>
      </c>
      <c r="M6421">
        <v>200</v>
      </c>
      <c r="N6421">
        <v>2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0</v>
      </c>
      <c r="AE6421">
        <v>0</v>
      </c>
      <c r="AF6421">
        <v>0</v>
      </c>
      <c r="AG6421">
        <v>0</v>
      </c>
      <c r="AH6421">
        <v>0</v>
      </c>
      <c r="AI6421">
        <v>200</v>
      </c>
      <c r="AJ6421">
        <v>2</v>
      </c>
      <c r="AK6421">
        <v>0</v>
      </c>
      <c r="AL6421">
        <v>0</v>
      </c>
      <c r="AM6421">
        <v>200</v>
      </c>
      <c r="AN6421">
        <v>0</v>
      </c>
      <c r="AO6421">
        <v>0</v>
      </c>
      <c r="AP6421">
        <v>0</v>
      </c>
      <c r="AQ6421">
        <v>0</v>
      </c>
      <c r="AS6421">
        <v>0</v>
      </c>
      <c r="AT6421">
        <v>0</v>
      </c>
      <c r="AV6421">
        <v>0</v>
      </c>
      <c r="AW6421">
        <v>0</v>
      </c>
      <c r="AY6421">
        <v>0</v>
      </c>
      <c r="AZ6421">
        <v>0</v>
      </c>
      <c r="BA6421">
        <v>140</v>
      </c>
      <c r="BE6421" t="str">
        <f>T("9791164099764")</f>
        <v>9791164099764</v>
      </c>
      <c r="BF6421" t="str">
        <f>T("k212711")</f>
        <v>k212711</v>
      </c>
      <c r="BG6421" t="str">
        <f>T("로판 웹소설 &gt; 서양풍 로판")</f>
        <v>로판 웹소설 &gt; 서양풍 로판</v>
      </c>
    </row>
    <row r="6422" spans="1:59">
      <c r="A6422" t="s">
        <v>60</v>
      </c>
      <c r="B6422" s="1">
        <v>46131</v>
      </c>
      <c r="C6422">
        <v>2378059762</v>
      </c>
      <c r="D6422">
        <v>2378059766</v>
      </c>
      <c r="E6422" t="str">
        <f>T("칼레이 백작가의 매맞이 하녀 5화")</f>
        <v>칼레이 백작가의 매맞이 하녀 5화</v>
      </c>
      <c r="F6422">
        <v>5</v>
      </c>
      <c r="G6422" t="str">
        <f>T("뮤사203")</f>
        <v>뮤사203</v>
      </c>
      <c r="J6422" t="str">
        <f>T("시계토끼")</f>
        <v>시계토끼</v>
      </c>
      <c r="K6422" t="str">
        <f>T("칼레이 백작가의 매맞이 하녀")</f>
        <v>칼레이 백작가의 매맞이 하녀</v>
      </c>
      <c r="L6422">
        <v>100</v>
      </c>
      <c r="M6422">
        <v>0</v>
      </c>
      <c r="N6422">
        <v>0</v>
      </c>
      <c r="O6422">
        <v>0</v>
      </c>
      <c r="P6422">
        <v>0</v>
      </c>
      <c r="Q6422">
        <v>0</v>
      </c>
      <c r="R6422">
        <v>4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0</v>
      </c>
      <c r="AE6422">
        <v>0</v>
      </c>
      <c r="AF6422">
        <v>0</v>
      </c>
      <c r="AG6422">
        <v>0</v>
      </c>
      <c r="AH6422">
        <v>0</v>
      </c>
      <c r="AI6422">
        <v>0</v>
      </c>
      <c r="AJ6422">
        <v>4</v>
      </c>
      <c r="AK6422">
        <v>0</v>
      </c>
      <c r="AL6422">
        <v>0</v>
      </c>
      <c r="AM6422">
        <v>0</v>
      </c>
      <c r="AN6422">
        <v>0</v>
      </c>
      <c r="AO6422">
        <v>0</v>
      </c>
      <c r="AP6422">
        <v>0</v>
      </c>
      <c r="AQ6422">
        <v>0</v>
      </c>
      <c r="AS6422">
        <v>0</v>
      </c>
      <c r="AT6422">
        <v>0</v>
      </c>
      <c r="AV6422">
        <v>0</v>
      </c>
      <c r="AW6422">
        <v>0</v>
      </c>
      <c r="AY6422">
        <v>0</v>
      </c>
      <c r="AZ6422">
        <v>0</v>
      </c>
      <c r="BA6422">
        <v>0</v>
      </c>
      <c r="BE6422" t="str">
        <f>T("9791164099764")</f>
        <v>9791164099764</v>
      </c>
      <c r="BF6422" t="str">
        <f>T("k201684")</f>
        <v>k201684</v>
      </c>
      <c r="BG6422" t="str">
        <f>T("로판 웹소설 &gt; 서양풍 로판")</f>
        <v>로판 웹소설 &gt; 서양풍 로판</v>
      </c>
    </row>
    <row r="6423" spans="1:59">
      <c r="A6423" t="s">
        <v>60</v>
      </c>
      <c r="B6423" s="1">
        <v>46131</v>
      </c>
      <c r="C6423">
        <v>2378059762</v>
      </c>
      <c r="D6423">
        <v>2378059767</v>
      </c>
      <c r="E6423" t="str">
        <f>T("칼레이 백작가의 매맞이 하녀 6화")</f>
        <v>칼레이 백작가의 매맞이 하녀 6화</v>
      </c>
      <c r="F6423">
        <v>6</v>
      </c>
      <c r="G6423" t="str">
        <f>T("뮤사203")</f>
        <v>뮤사203</v>
      </c>
      <c r="J6423" t="str">
        <f>T("시계토끼")</f>
        <v>시계토끼</v>
      </c>
      <c r="K6423" t="str">
        <f>T("칼레이 백작가의 매맞이 하녀")</f>
        <v>칼레이 백작가의 매맞이 하녀</v>
      </c>
      <c r="L6423">
        <v>100</v>
      </c>
      <c r="M6423">
        <v>0</v>
      </c>
      <c r="N6423">
        <v>0</v>
      </c>
      <c r="O6423">
        <v>0</v>
      </c>
      <c r="P6423">
        <v>0</v>
      </c>
      <c r="Q6423">
        <v>0</v>
      </c>
      <c r="R6423">
        <v>4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0</v>
      </c>
      <c r="AE6423">
        <v>0</v>
      </c>
      <c r="AF6423">
        <v>0</v>
      </c>
      <c r="AG6423">
        <v>0</v>
      </c>
      <c r="AH6423">
        <v>0</v>
      </c>
      <c r="AI6423">
        <v>0</v>
      </c>
      <c r="AJ6423">
        <v>4</v>
      </c>
      <c r="AK6423">
        <v>0</v>
      </c>
      <c r="AL6423">
        <v>0</v>
      </c>
      <c r="AM6423">
        <v>0</v>
      </c>
      <c r="AN6423">
        <v>0</v>
      </c>
      <c r="AO6423">
        <v>0</v>
      </c>
      <c r="AP6423">
        <v>0</v>
      </c>
      <c r="AQ6423">
        <v>0</v>
      </c>
      <c r="AS6423">
        <v>0</v>
      </c>
      <c r="AT6423">
        <v>0</v>
      </c>
      <c r="AV6423">
        <v>0</v>
      </c>
      <c r="AW6423">
        <v>0</v>
      </c>
      <c r="AY6423">
        <v>0</v>
      </c>
      <c r="AZ6423">
        <v>0</v>
      </c>
      <c r="BA6423">
        <v>0</v>
      </c>
      <c r="BE6423" t="str">
        <f>T("9791164099764")</f>
        <v>9791164099764</v>
      </c>
      <c r="BF6423" t="str">
        <f>T("k201685")</f>
        <v>k201685</v>
      </c>
      <c r="BG6423" t="str">
        <f>T("로판 웹소설 &gt; 서양풍 로판")</f>
        <v>로판 웹소설 &gt; 서양풍 로판</v>
      </c>
    </row>
    <row r="6424" spans="1:59">
      <c r="A6424" t="s">
        <v>60</v>
      </c>
      <c r="B6424" s="1">
        <v>46131</v>
      </c>
      <c r="C6424">
        <v>2378059762</v>
      </c>
      <c r="D6424">
        <v>2378059768</v>
      </c>
      <c r="E6424" t="str">
        <f>T("칼레이 백작가의 매맞이 하녀 7화")</f>
        <v>칼레이 백작가의 매맞이 하녀 7화</v>
      </c>
      <c r="F6424">
        <v>7</v>
      </c>
      <c r="G6424" t="str">
        <f>T("뮤사203")</f>
        <v>뮤사203</v>
      </c>
      <c r="J6424" t="str">
        <f>T("시계토끼")</f>
        <v>시계토끼</v>
      </c>
      <c r="K6424" t="str">
        <f>T("칼레이 백작가의 매맞이 하녀")</f>
        <v>칼레이 백작가의 매맞이 하녀</v>
      </c>
      <c r="L6424">
        <v>100</v>
      </c>
      <c r="M6424">
        <v>0</v>
      </c>
      <c r="N6424">
        <v>0</v>
      </c>
      <c r="O6424">
        <v>0</v>
      </c>
      <c r="P6424">
        <v>0</v>
      </c>
      <c r="Q6424">
        <v>0</v>
      </c>
      <c r="R6424">
        <v>4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0</v>
      </c>
      <c r="AE6424">
        <v>0</v>
      </c>
      <c r="AF6424">
        <v>0</v>
      </c>
      <c r="AG6424">
        <v>0</v>
      </c>
      <c r="AH6424">
        <v>0</v>
      </c>
      <c r="AI6424">
        <v>0</v>
      </c>
      <c r="AJ6424">
        <v>4</v>
      </c>
      <c r="AK6424">
        <v>0</v>
      </c>
      <c r="AL6424">
        <v>0</v>
      </c>
      <c r="AM6424">
        <v>0</v>
      </c>
      <c r="AN6424">
        <v>0</v>
      </c>
      <c r="AO6424">
        <v>0</v>
      </c>
      <c r="AP6424">
        <v>0</v>
      </c>
      <c r="AQ6424">
        <v>0</v>
      </c>
      <c r="AS6424">
        <v>0</v>
      </c>
      <c r="AT6424">
        <v>0</v>
      </c>
      <c r="AV6424">
        <v>0</v>
      </c>
      <c r="AW6424">
        <v>0</v>
      </c>
      <c r="AY6424">
        <v>0</v>
      </c>
      <c r="AZ6424">
        <v>0</v>
      </c>
      <c r="BA6424">
        <v>0</v>
      </c>
      <c r="BE6424" t="str">
        <f>T("9791164099764")</f>
        <v>9791164099764</v>
      </c>
      <c r="BF6424" t="str">
        <f>T("k201686")</f>
        <v>k201686</v>
      </c>
      <c r="BG6424" t="str">
        <f>T("로판 웹소설 &gt; 서양풍 로판")</f>
        <v>로판 웹소설 &gt; 서양풍 로판</v>
      </c>
    </row>
    <row r="6425" spans="1:59">
      <c r="A6425" t="s">
        <v>60</v>
      </c>
      <c r="B6425" s="1">
        <v>46131</v>
      </c>
      <c r="C6425">
        <v>2378059762</v>
      </c>
      <c r="D6425">
        <v>2378061687</v>
      </c>
      <c r="E6425" t="str">
        <f>T("칼레이 백작가의 매맞이 하녀 82화")</f>
        <v>칼레이 백작가의 매맞이 하녀 82화</v>
      </c>
      <c r="F6425">
        <v>82</v>
      </c>
      <c r="G6425" t="str">
        <f>T("뮤사203")</f>
        <v>뮤사203</v>
      </c>
      <c r="J6425" t="str">
        <f>T("시계토끼")</f>
        <v>시계토끼</v>
      </c>
      <c r="K6425" t="str">
        <f>T("칼레이 백작가의 매맞이 하녀")</f>
        <v>칼레이 백작가의 매맞이 하녀</v>
      </c>
      <c r="L6425">
        <v>100</v>
      </c>
      <c r="M6425">
        <v>200</v>
      </c>
      <c r="N6425">
        <v>2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0</v>
      </c>
      <c r="AE6425">
        <v>0</v>
      </c>
      <c r="AF6425">
        <v>0</v>
      </c>
      <c r="AG6425">
        <v>0</v>
      </c>
      <c r="AH6425">
        <v>0</v>
      </c>
      <c r="AI6425">
        <v>200</v>
      </c>
      <c r="AJ6425">
        <v>2</v>
      </c>
      <c r="AK6425">
        <v>0</v>
      </c>
      <c r="AL6425">
        <v>0</v>
      </c>
      <c r="AM6425">
        <v>200</v>
      </c>
      <c r="AN6425">
        <v>0</v>
      </c>
      <c r="AO6425">
        <v>0</v>
      </c>
      <c r="AP6425">
        <v>0</v>
      </c>
      <c r="AQ6425">
        <v>0</v>
      </c>
      <c r="AS6425">
        <v>0</v>
      </c>
      <c r="AT6425">
        <v>0</v>
      </c>
      <c r="AV6425">
        <v>0</v>
      </c>
      <c r="AW6425">
        <v>0</v>
      </c>
      <c r="AY6425">
        <v>0</v>
      </c>
      <c r="AZ6425">
        <v>0</v>
      </c>
      <c r="BA6425">
        <v>140</v>
      </c>
      <c r="BE6425" t="str">
        <f>T("9791164099764")</f>
        <v>9791164099764</v>
      </c>
      <c r="BF6425" t="str">
        <f>T("k217701")</f>
        <v>k217701</v>
      </c>
      <c r="BG6425" t="str">
        <f>T("로판 웹소설 &gt; 서양풍 로판")</f>
        <v>로판 웹소설 &gt; 서양풍 로판</v>
      </c>
    </row>
    <row r="6426" spans="1:59">
      <c r="A6426" t="s">
        <v>60</v>
      </c>
      <c r="B6426" s="1">
        <v>46131</v>
      </c>
      <c r="C6426">
        <v>2378059762</v>
      </c>
      <c r="D6426">
        <v>2378061688</v>
      </c>
      <c r="E6426" t="str">
        <f>T("칼레이 백작가의 매맞이 하녀 83화")</f>
        <v>칼레이 백작가의 매맞이 하녀 83화</v>
      </c>
      <c r="F6426">
        <v>83</v>
      </c>
      <c r="G6426" t="str">
        <f>T("뮤사203")</f>
        <v>뮤사203</v>
      </c>
      <c r="J6426" t="str">
        <f>T("시계토끼")</f>
        <v>시계토끼</v>
      </c>
      <c r="K6426" t="str">
        <f>T("칼레이 백작가의 매맞이 하녀")</f>
        <v>칼레이 백작가의 매맞이 하녀</v>
      </c>
      <c r="L6426">
        <v>100</v>
      </c>
      <c r="M6426">
        <v>200</v>
      </c>
      <c r="N6426">
        <v>2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0</v>
      </c>
      <c r="AE6426">
        <v>0</v>
      </c>
      <c r="AF6426">
        <v>0</v>
      </c>
      <c r="AG6426">
        <v>0</v>
      </c>
      <c r="AH6426">
        <v>0</v>
      </c>
      <c r="AI6426">
        <v>200</v>
      </c>
      <c r="AJ6426">
        <v>2</v>
      </c>
      <c r="AK6426">
        <v>0</v>
      </c>
      <c r="AL6426">
        <v>0</v>
      </c>
      <c r="AM6426">
        <v>200</v>
      </c>
      <c r="AN6426">
        <v>0</v>
      </c>
      <c r="AO6426">
        <v>0</v>
      </c>
      <c r="AP6426">
        <v>0</v>
      </c>
      <c r="AQ6426">
        <v>0</v>
      </c>
      <c r="AS6426">
        <v>0</v>
      </c>
      <c r="AT6426">
        <v>0</v>
      </c>
      <c r="AV6426">
        <v>0</v>
      </c>
      <c r="AW6426">
        <v>0</v>
      </c>
      <c r="AY6426">
        <v>0</v>
      </c>
      <c r="AZ6426">
        <v>0</v>
      </c>
      <c r="BA6426">
        <v>140</v>
      </c>
      <c r="BE6426" t="str">
        <f>T("9791164099764")</f>
        <v>9791164099764</v>
      </c>
      <c r="BF6426" t="str">
        <f>T("k217702")</f>
        <v>k217702</v>
      </c>
      <c r="BG6426" t="str">
        <f>T("로판 웹소설 &gt; 서양풍 로판")</f>
        <v>로판 웹소설 &gt; 서양풍 로판</v>
      </c>
    </row>
    <row r="6427" spans="1:59">
      <c r="A6427" t="s">
        <v>60</v>
      </c>
      <c r="B6427" s="1">
        <v>46131</v>
      </c>
      <c r="C6427">
        <v>2378059762</v>
      </c>
      <c r="D6427">
        <v>2378061789</v>
      </c>
      <c r="E6427" t="str">
        <f>T("칼레이 백작가의 매맞이 하녀 84화")</f>
        <v>칼레이 백작가의 매맞이 하녀 84화</v>
      </c>
      <c r="F6427">
        <v>84</v>
      </c>
      <c r="G6427" t="str">
        <f>T("뮤사203")</f>
        <v>뮤사203</v>
      </c>
      <c r="J6427" t="str">
        <f>T("시계토끼")</f>
        <v>시계토끼</v>
      </c>
      <c r="K6427" t="str">
        <f>T("칼레이 백작가의 매맞이 하녀")</f>
        <v>칼레이 백작가의 매맞이 하녀</v>
      </c>
      <c r="L6427">
        <v>100</v>
      </c>
      <c r="M6427">
        <v>200</v>
      </c>
      <c r="N6427">
        <v>2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0</v>
      </c>
      <c r="AE6427">
        <v>0</v>
      </c>
      <c r="AF6427">
        <v>0</v>
      </c>
      <c r="AG6427">
        <v>0</v>
      </c>
      <c r="AH6427">
        <v>0</v>
      </c>
      <c r="AI6427">
        <v>200</v>
      </c>
      <c r="AJ6427">
        <v>2</v>
      </c>
      <c r="AK6427">
        <v>0</v>
      </c>
      <c r="AL6427">
        <v>0</v>
      </c>
      <c r="AM6427">
        <v>200</v>
      </c>
      <c r="AN6427">
        <v>0</v>
      </c>
      <c r="AO6427">
        <v>0</v>
      </c>
      <c r="AP6427">
        <v>0</v>
      </c>
      <c r="AQ6427">
        <v>0</v>
      </c>
      <c r="AS6427">
        <v>0</v>
      </c>
      <c r="AT6427">
        <v>0</v>
      </c>
      <c r="AV6427">
        <v>0</v>
      </c>
      <c r="AW6427">
        <v>0</v>
      </c>
      <c r="AY6427">
        <v>0</v>
      </c>
      <c r="AZ6427">
        <v>0</v>
      </c>
      <c r="BA6427">
        <v>140</v>
      </c>
      <c r="BE6427" t="str">
        <f>T("9791164099764")</f>
        <v>9791164099764</v>
      </c>
      <c r="BF6427" t="str">
        <f>T("k217703")</f>
        <v>k217703</v>
      </c>
      <c r="BG6427" t="str">
        <f>T("로판 웹소설 &gt; 서양풍 로판")</f>
        <v>로판 웹소설 &gt; 서양풍 로판</v>
      </c>
    </row>
    <row r="6428" spans="1:59">
      <c r="A6428" t="s">
        <v>60</v>
      </c>
      <c r="B6428" s="1">
        <v>46131</v>
      </c>
      <c r="C6428">
        <v>2378059762</v>
      </c>
      <c r="D6428">
        <v>2378061790</v>
      </c>
      <c r="E6428" t="str">
        <f>T("칼레이 백작가의 매맞이 하녀 85화")</f>
        <v>칼레이 백작가의 매맞이 하녀 85화</v>
      </c>
      <c r="F6428">
        <v>85</v>
      </c>
      <c r="G6428" t="str">
        <f>T("뮤사203")</f>
        <v>뮤사203</v>
      </c>
      <c r="J6428" t="str">
        <f>T("시계토끼")</f>
        <v>시계토끼</v>
      </c>
      <c r="K6428" t="str">
        <f>T("칼레이 백작가의 매맞이 하녀")</f>
        <v>칼레이 백작가의 매맞이 하녀</v>
      </c>
      <c r="L6428">
        <v>100</v>
      </c>
      <c r="M6428">
        <v>400</v>
      </c>
      <c r="N6428">
        <v>4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0</v>
      </c>
      <c r="AE6428">
        <v>0</v>
      </c>
      <c r="AF6428">
        <v>0</v>
      </c>
      <c r="AG6428">
        <v>0</v>
      </c>
      <c r="AH6428">
        <v>0</v>
      </c>
      <c r="AI6428">
        <v>400</v>
      </c>
      <c r="AJ6428">
        <v>4</v>
      </c>
      <c r="AK6428">
        <v>0</v>
      </c>
      <c r="AL6428">
        <v>0</v>
      </c>
      <c r="AM6428">
        <v>300</v>
      </c>
      <c r="AN6428">
        <v>0</v>
      </c>
      <c r="AO6428">
        <v>120</v>
      </c>
      <c r="AP6428">
        <v>-36</v>
      </c>
      <c r="AQ6428">
        <v>0</v>
      </c>
      <c r="AR6428">
        <v>120</v>
      </c>
      <c r="AS6428">
        <v>-36</v>
      </c>
      <c r="AT6428">
        <v>0</v>
      </c>
      <c r="AV6428">
        <v>0</v>
      </c>
      <c r="AW6428">
        <v>0</v>
      </c>
      <c r="AY6428">
        <v>0</v>
      </c>
      <c r="AZ6428">
        <v>0</v>
      </c>
      <c r="BA6428">
        <v>268.8</v>
      </c>
      <c r="BE6428" t="str">
        <f>T("9791164099764")</f>
        <v>9791164099764</v>
      </c>
      <c r="BF6428" t="str">
        <f>T("k217704")</f>
        <v>k217704</v>
      </c>
      <c r="BG6428" t="str">
        <f>T("로판 웹소설 &gt; 서양풍 로판")</f>
        <v>로판 웹소설 &gt; 서양풍 로판</v>
      </c>
    </row>
    <row r="6429" spans="1:59">
      <c r="A6429" t="s">
        <v>60</v>
      </c>
      <c r="B6429" s="1">
        <v>46131</v>
      </c>
      <c r="C6429">
        <v>2378059762</v>
      </c>
      <c r="D6429">
        <v>2378061865</v>
      </c>
      <c r="E6429" t="str">
        <f>T("칼레이 백작가의 매맞이 하녀 86화")</f>
        <v>칼레이 백작가의 매맞이 하녀 86화</v>
      </c>
      <c r="F6429">
        <v>86</v>
      </c>
      <c r="G6429" t="str">
        <f>T("뮤사203")</f>
        <v>뮤사203</v>
      </c>
      <c r="J6429" t="str">
        <f>T("시계토끼")</f>
        <v>시계토끼</v>
      </c>
      <c r="K6429" t="str">
        <f>T("칼레이 백작가의 매맞이 하녀")</f>
        <v>칼레이 백작가의 매맞이 하녀</v>
      </c>
      <c r="L6429">
        <v>100</v>
      </c>
      <c r="M6429">
        <v>300</v>
      </c>
      <c r="N6429">
        <v>3</v>
      </c>
      <c r="O6429">
        <v>0</v>
      </c>
      <c r="P6429">
        <v>0</v>
      </c>
      <c r="Q6429">
        <v>0</v>
      </c>
      <c r="R6429">
        <v>1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0</v>
      </c>
      <c r="AE6429">
        <v>0</v>
      </c>
      <c r="AF6429">
        <v>0</v>
      </c>
      <c r="AG6429">
        <v>0</v>
      </c>
      <c r="AH6429">
        <v>0</v>
      </c>
      <c r="AI6429">
        <v>300</v>
      </c>
      <c r="AJ6429">
        <v>4</v>
      </c>
      <c r="AK6429">
        <v>0</v>
      </c>
      <c r="AL6429">
        <v>0</v>
      </c>
      <c r="AM6429">
        <v>300</v>
      </c>
      <c r="AN6429">
        <v>0</v>
      </c>
      <c r="AO6429">
        <v>0</v>
      </c>
      <c r="AP6429">
        <v>0</v>
      </c>
      <c r="AQ6429">
        <v>0</v>
      </c>
      <c r="AS6429">
        <v>0</v>
      </c>
      <c r="AT6429">
        <v>0</v>
      </c>
      <c r="AV6429">
        <v>0</v>
      </c>
      <c r="AW6429">
        <v>0</v>
      </c>
      <c r="AY6429">
        <v>0</v>
      </c>
      <c r="AZ6429">
        <v>0</v>
      </c>
      <c r="BA6429">
        <v>210</v>
      </c>
      <c r="BE6429" t="str">
        <f>T("9791164099764")</f>
        <v>9791164099764</v>
      </c>
      <c r="BF6429" t="str">
        <f>T("k225186")</f>
        <v>k225186</v>
      </c>
      <c r="BG6429" t="str">
        <f>T("로판 웹소설 &gt; 서양풍 로판")</f>
        <v>로판 웹소설 &gt; 서양풍 로판</v>
      </c>
    </row>
    <row r="6430" spans="1:59">
      <c r="A6430" t="s">
        <v>60</v>
      </c>
      <c r="B6430" s="1">
        <v>46131</v>
      </c>
      <c r="C6430">
        <v>2378059762</v>
      </c>
      <c r="D6430">
        <v>2378065945</v>
      </c>
      <c r="E6430" t="str">
        <f>T("칼레이 백작가의 매맞이 하녀 139화")</f>
        <v>칼레이 백작가의 매맞이 하녀 139화</v>
      </c>
      <c r="F6430">
        <v>139</v>
      </c>
      <c r="G6430" t="str">
        <f>T("뮤사203")</f>
        <v>뮤사203</v>
      </c>
      <c r="J6430" t="str">
        <f>T("시계토끼")</f>
        <v>시계토끼</v>
      </c>
      <c r="K6430" t="str">
        <f>T("칼레이 백작가의 매맞이 하녀")</f>
        <v>칼레이 백작가의 매맞이 하녀</v>
      </c>
      <c r="L6430">
        <v>100</v>
      </c>
      <c r="M6430">
        <v>200</v>
      </c>
      <c r="N6430">
        <v>2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0</v>
      </c>
      <c r="AE6430">
        <v>0</v>
      </c>
      <c r="AF6430">
        <v>0</v>
      </c>
      <c r="AG6430">
        <v>0</v>
      </c>
      <c r="AH6430">
        <v>0</v>
      </c>
      <c r="AI6430">
        <v>200</v>
      </c>
      <c r="AJ6430">
        <v>2</v>
      </c>
      <c r="AK6430">
        <v>0</v>
      </c>
      <c r="AL6430">
        <v>0</v>
      </c>
      <c r="AM6430">
        <v>100</v>
      </c>
      <c r="AN6430">
        <v>0</v>
      </c>
      <c r="AO6430">
        <v>120</v>
      </c>
      <c r="AP6430">
        <v>-12</v>
      </c>
      <c r="AQ6430">
        <v>0</v>
      </c>
      <c r="AS6430">
        <v>0</v>
      </c>
      <c r="AT6430">
        <v>0</v>
      </c>
      <c r="AU6430">
        <v>120</v>
      </c>
      <c r="AV6430">
        <v>-12</v>
      </c>
      <c r="AW6430">
        <v>0</v>
      </c>
      <c r="AY6430">
        <v>0</v>
      </c>
      <c r="AZ6430">
        <v>0</v>
      </c>
      <c r="BA6430">
        <v>145.6</v>
      </c>
      <c r="BE6430" t="str">
        <f>T("9791164099764")</f>
        <v>9791164099764</v>
      </c>
      <c r="BF6430" t="str">
        <f>T("k294721")</f>
        <v>k294721</v>
      </c>
      <c r="BG6430" t="str">
        <f>T("로판 웹소설 &gt; 서양풍 로판")</f>
        <v>로판 웹소설 &gt; 서양풍 로판</v>
      </c>
    </row>
    <row r="6431" spans="1:59">
      <c r="A6431" t="s">
        <v>60</v>
      </c>
      <c r="B6431" s="1">
        <v>46131</v>
      </c>
      <c r="C6431">
        <v>2378059762</v>
      </c>
      <c r="D6431">
        <v>2378061866</v>
      </c>
      <c r="E6431" t="str">
        <f>T("칼레이 백작가의 매맞이 하녀 87화")</f>
        <v>칼레이 백작가의 매맞이 하녀 87화</v>
      </c>
      <c r="F6431">
        <v>87</v>
      </c>
      <c r="G6431" t="str">
        <f>T("뮤사203")</f>
        <v>뮤사203</v>
      </c>
      <c r="J6431" t="str">
        <f>T("시계토끼")</f>
        <v>시계토끼</v>
      </c>
      <c r="K6431" t="str">
        <f>T("칼레이 백작가의 매맞이 하녀")</f>
        <v>칼레이 백작가의 매맞이 하녀</v>
      </c>
      <c r="L6431">
        <v>100</v>
      </c>
      <c r="M6431">
        <v>200</v>
      </c>
      <c r="N6431">
        <v>2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0</v>
      </c>
      <c r="AE6431">
        <v>0</v>
      </c>
      <c r="AF6431">
        <v>0</v>
      </c>
      <c r="AG6431">
        <v>0</v>
      </c>
      <c r="AH6431">
        <v>0</v>
      </c>
      <c r="AI6431">
        <v>200</v>
      </c>
      <c r="AJ6431">
        <v>2</v>
      </c>
      <c r="AK6431">
        <v>0</v>
      </c>
      <c r="AL6431">
        <v>0</v>
      </c>
      <c r="AM6431">
        <v>200</v>
      </c>
      <c r="AN6431">
        <v>0</v>
      </c>
      <c r="AO6431">
        <v>0</v>
      </c>
      <c r="AP6431">
        <v>0</v>
      </c>
      <c r="AQ6431">
        <v>0</v>
      </c>
      <c r="AS6431">
        <v>0</v>
      </c>
      <c r="AT6431">
        <v>0</v>
      </c>
      <c r="AV6431">
        <v>0</v>
      </c>
      <c r="AW6431">
        <v>0</v>
      </c>
      <c r="AY6431">
        <v>0</v>
      </c>
      <c r="AZ6431">
        <v>0</v>
      </c>
      <c r="BA6431">
        <v>140</v>
      </c>
      <c r="BE6431" t="str">
        <f>T("9791164099764")</f>
        <v>9791164099764</v>
      </c>
      <c r="BF6431" t="str">
        <f>T("k225187")</f>
        <v>k225187</v>
      </c>
      <c r="BG6431" t="str">
        <f>T("로판 웹소설 &gt; 서양풍 로판")</f>
        <v>로판 웹소설 &gt; 서양풍 로판</v>
      </c>
    </row>
    <row r="6432" spans="1:59">
      <c r="A6432" t="s">
        <v>60</v>
      </c>
      <c r="B6432" s="1">
        <v>46131</v>
      </c>
      <c r="C6432">
        <v>2378059762</v>
      </c>
      <c r="D6432">
        <v>2378061867</v>
      </c>
      <c r="E6432" t="str">
        <f>T("칼레이 백작가의 매맞이 하녀 88화")</f>
        <v>칼레이 백작가의 매맞이 하녀 88화</v>
      </c>
      <c r="F6432">
        <v>88</v>
      </c>
      <c r="G6432" t="str">
        <f>T("뮤사203")</f>
        <v>뮤사203</v>
      </c>
      <c r="J6432" t="str">
        <f>T("시계토끼")</f>
        <v>시계토끼</v>
      </c>
      <c r="K6432" t="str">
        <f>T("칼레이 백작가의 매맞이 하녀")</f>
        <v>칼레이 백작가의 매맞이 하녀</v>
      </c>
      <c r="L6432">
        <v>100</v>
      </c>
      <c r="M6432">
        <v>200</v>
      </c>
      <c r="N6432">
        <v>2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0</v>
      </c>
      <c r="AE6432">
        <v>0</v>
      </c>
      <c r="AF6432">
        <v>0</v>
      </c>
      <c r="AG6432">
        <v>0</v>
      </c>
      <c r="AH6432">
        <v>0</v>
      </c>
      <c r="AI6432">
        <v>200</v>
      </c>
      <c r="AJ6432">
        <v>2</v>
      </c>
      <c r="AK6432">
        <v>0</v>
      </c>
      <c r="AL6432">
        <v>0</v>
      </c>
      <c r="AM6432">
        <v>200</v>
      </c>
      <c r="AN6432">
        <v>0</v>
      </c>
      <c r="AO6432">
        <v>0</v>
      </c>
      <c r="AP6432">
        <v>0</v>
      </c>
      <c r="AQ6432">
        <v>0</v>
      </c>
      <c r="AS6432">
        <v>0</v>
      </c>
      <c r="AT6432">
        <v>0</v>
      </c>
      <c r="AV6432">
        <v>0</v>
      </c>
      <c r="AW6432">
        <v>0</v>
      </c>
      <c r="AY6432">
        <v>0</v>
      </c>
      <c r="AZ6432">
        <v>0</v>
      </c>
      <c r="BA6432">
        <v>140</v>
      </c>
      <c r="BE6432" t="str">
        <f>T("9791164099764")</f>
        <v>9791164099764</v>
      </c>
      <c r="BF6432" t="str">
        <f>T("k225188")</f>
        <v>k225188</v>
      </c>
      <c r="BG6432" t="str">
        <f>T("로판 웹소설 &gt; 서양풍 로판")</f>
        <v>로판 웹소설 &gt; 서양풍 로판</v>
      </c>
    </row>
    <row r="6433" spans="1:59">
      <c r="A6433" t="s">
        <v>60</v>
      </c>
      <c r="B6433" s="1">
        <v>46131</v>
      </c>
      <c r="C6433">
        <v>2378059762</v>
      </c>
      <c r="D6433">
        <v>2378061950</v>
      </c>
      <c r="E6433" t="str">
        <f>T("칼레이 백작가의 매맞이 하녀 89화")</f>
        <v>칼레이 백작가의 매맞이 하녀 89화</v>
      </c>
      <c r="F6433">
        <v>89</v>
      </c>
      <c r="G6433" t="str">
        <f>T("뮤사203")</f>
        <v>뮤사203</v>
      </c>
      <c r="J6433" t="str">
        <f>T("시계토끼")</f>
        <v>시계토끼</v>
      </c>
      <c r="K6433" t="str">
        <f>T("칼레이 백작가의 매맞이 하녀")</f>
        <v>칼레이 백작가의 매맞이 하녀</v>
      </c>
      <c r="L6433">
        <v>100</v>
      </c>
      <c r="M6433">
        <v>200</v>
      </c>
      <c r="N6433">
        <v>2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0</v>
      </c>
      <c r="AE6433">
        <v>0</v>
      </c>
      <c r="AF6433">
        <v>0</v>
      </c>
      <c r="AG6433">
        <v>0</v>
      </c>
      <c r="AH6433">
        <v>0</v>
      </c>
      <c r="AI6433">
        <v>200</v>
      </c>
      <c r="AJ6433">
        <v>2</v>
      </c>
      <c r="AK6433">
        <v>0</v>
      </c>
      <c r="AL6433">
        <v>0</v>
      </c>
      <c r="AM6433">
        <v>200</v>
      </c>
      <c r="AN6433">
        <v>0</v>
      </c>
      <c r="AO6433">
        <v>0</v>
      </c>
      <c r="AP6433">
        <v>0</v>
      </c>
      <c r="AQ6433">
        <v>0</v>
      </c>
      <c r="AS6433">
        <v>0</v>
      </c>
      <c r="AT6433">
        <v>0</v>
      </c>
      <c r="AV6433">
        <v>0</v>
      </c>
      <c r="AW6433">
        <v>0</v>
      </c>
      <c r="AY6433">
        <v>0</v>
      </c>
      <c r="AZ6433">
        <v>0</v>
      </c>
      <c r="BA6433">
        <v>140</v>
      </c>
      <c r="BE6433" t="str">
        <f>T("9791164099764")</f>
        <v>9791164099764</v>
      </c>
      <c r="BF6433" t="str">
        <f>T("k225189")</f>
        <v>k225189</v>
      </c>
      <c r="BG6433" t="str">
        <f>T("로판 웹소설 &gt; 서양풍 로판")</f>
        <v>로판 웹소설 &gt; 서양풍 로판</v>
      </c>
    </row>
    <row r="6434" spans="1:59">
      <c r="A6434" t="s">
        <v>60</v>
      </c>
      <c r="B6434" s="1">
        <v>46131</v>
      </c>
      <c r="C6434">
        <v>2378059762</v>
      </c>
      <c r="D6434">
        <v>2378061951</v>
      </c>
      <c r="E6434" t="str">
        <f>T("칼레이 백작가의 매맞이 하녀 90화")</f>
        <v>칼레이 백작가의 매맞이 하녀 90화</v>
      </c>
      <c r="F6434">
        <v>90</v>
      </c>
      <c r="G6434" t="str">
        <f>T("뮤사203")</f>
        <v>뮤사203</v>
      </c>
      <c r="J6434" t="str">
        <f>T("시계토끼")</f>
        <v>시계토끼</v>
      </c>
      <c r="K6434" t="str">
        <f>T("칼레이 백작가의 매맞이 하녀")</f>
        <v>칼레이 백작가의 매맞이 하녀</v>
      </c>
      <c r="L6434">
        <v>100</v>
      </c>
      <c r="M6434">
        <v>300</v>
      </c>
      <c r="N6434">
        <v>3</v>
      </c>
      <c r="O6434">
        <v>0</v>
      </c>
      <c r="P6434">
        <v>100</v>
      </c>
      <c r="Q6434">
        <v>1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0</v>
      </c>
      <c r="AE6434">
        <v>0</v>
      </c>
      <c r="AF6434">
        <v>0</v>
      </c>
      <c r="AG6434">
        <v>0</v>
      </c>
      <c r="AH6434">
        <v>0</v>
      </c>
      <c r="AI6434">
        <v>400</v>
      </c>
      <c r="AJ6434">
        <v>4</v>
      </c>
      <c r="AK6434">
        <v>0</v>
      </c>
      <c r="AL6434">
        <v>0</v>
      </c>
      <c r="AM6434">
        <v>400</v>
      </c>
      <c r="AN6434">
        <v>0</v>
      </c>
      <c r="AO6434">
        <v>0</v>
      </c>
      <c r="AP6434">
        <v>0</v>
      </c>
      <c r="AQ6434">
        <v>0</v>
      </c>
      <c r="AS6434">
        <v>0</v>
      </c>
      <c r="AT6434">
        <v>0</v>
      </c>
      <c r="AV6434">
        <v>0</v>
      </c>
      <c r="AW6434">
        <v>0</v>
      </c>
      <c r="AY6434">
        <v>0</v>
      </c>
      <c r="AZ6434">
        <v>0</v>
      </c>
      <c r="BA6434">
        <v>280</v>
      </c>
      <c r="BE6434" t="str">
        <f>T("9791164099764")</f>
        <v>9791164099764</v>
      </c>
      <c r="BF6434" t="str">
        <f>T("k239476")</f>
        <v>k239476</v>
      </c>
      <c r="BG6434" t="str">
        <f>T("로판 웹소설 &gt; 서양풍 로판")</f>
        <v>로판 웹소설 &gt; 서양풍 로판</v>
      </c>
    </row>
    <row r="6435" spans="1:59">
      <c r="A6435" t="s">
        <v>60</v>
      </c>
      <c r="B6435" s="1">
        <v>46131</v>
      </c>
      <c r="C6435">
        <v>2378059762</v>
      </c>
      <c r="D6435">
        <v>2378061952</v>
      </c>
      <c r="E6435" t="str">
        <f>T("칼레이 백작가의 매맞이 하녀 91화")</f>
        <v>칼레이 백작가의 매맞이 하녀 91화</v>
      </c>
      <c r="F6435">
        <v>91</v>
      </c>
      <c r="G6435" t="str">
        <f>T("뮤사203")</f>
        <v>뮤사203</v>
      </c>
      <c r="J6435" t="str">
        <f>T("시계토끼")</f>
        <v>시계토끼</v>
      </c>
      <c r="K6435" t="str">
        <f>T("칼레이 백작가의 매맞이 하녀")</f>
        <v>칼레이 백작가의 매맞이 하녀</v>
      </c>
      <c r="L6435">
        <v>100</v>
      </c>
      <c r="M6435">
        <v>300</v>
      </c>
      <c r="N6435">
        <v>3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0</v>
      </c>
      <c r="AE6435">
        <v>0</v>
      </c>
      <c r="AF6435">
        <v>0</v>
      </c>
      <c r="AG6435">
        <v>0</v>
      </c>
      <c r="AH6435">
        <v>0</v>
      </c>
      <c r="AI6435">
        <v>300</v>
      </c>
      <c r="AJ6435">
        <v>3</v>
      </c>
      <c r="AK6435">
        <v>0</v>
      </c>
      <c r="AL6435">
        <v>0</v>
      </c>
      <c r="AM6435">
        <v>300</v>
      </c>
      <c r="AN6435">
        <v>0</v>
      </c>
      <c r="AO6435">
        <v>0</v>
      </c>
      <c r="AP6435">
        <v>0</v>
      </c>
      <c r="AQ6435">
        <v>0</v>
      </c>
      <c r="AS6435">
        <v>0</v>
      </c>
      <c r="AT6435">
        <v>0</v>
      </c>
      <c r="AV6435">
        <v>0</v>
      </c>
      <c r="AW6435">
        <v>0</v>
      </c>
      <c r="AY6435">
        <v>0</v>
      </c>
      <c r="AZ6435">
        <v>0</v>
      </c>
      <c r="BA6435">
        <v>210</v>
      </c>
      <c r="BE6435" t="str">
        <f>T("9791164099764")</f>
        <v>9791164099764</v>
      </c>
      <c r="BF6435" t="str">
        <f>T("k239477")</f>
        <v>k239477</v>
      </c>
      <c r="BG6435" t="str">
        <f>T("로판 웹소설 &gt; 서양풍 로판")</f>
        <v>로판 웹소설 &gt; 서양풍 로판</v>
      </c>
    </row>
    <row r="6436" spans="1:59">
      <c r="A6436" t="s">
        <v>60</v>
      </c>
      <c r="B6436" s="1">
        <v>46131</v>
      </c>
      <c r="C6436">
        <v>2378059762</v>
      </c>
      <c r="D6436">
        <v>2378064422</v>
      </c>
      <c r="E6436" t="str">
        <f>T("칼레이 백작가의 매맞이 하녀 126화")</f>
        <v>칼레이 백작가의 매맞이 하녀 126화</v>
      </c>
      <c r="F6436">
        <v>126</v>
      </c>
      <c r="G6436" t="str">
        <f>T("뮤사203")</f>
        <v>뮤사203</v>
      </c>
      <c r="J6436" t="str">
        <f>T("시계토끼")</f>
        <v>시계토끼</v>
      </c>
      <c r="K6436" t="str">
        <f>T("칼레이 백작가의 매맞이 하녀")</f>
        <v>칼레이 백작가의 매맞이 하녀</v>
      </c>
      <c r="L6436">
        <v>100</v>
      </c>
      <c r="M6436">
        <v>200</v>
      </c>
      <c r="N6436">
        <v>2</v>
      </c>
      <c r="O6436">
        <v>0</v>
      </c>
      <c r="P6436">
        <v>0</v>
      </c>
      <c r="Q6436">
        <v>0</v>
      </c>
      <c r="R6436">
        <v>1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0</v>
      </c>
      <c r="AE6436">
        <v>0</v>
      </c>
      <c r="AF6436">
        <v>0</v>
      </c>
      <c r="AG6436">
        <v>0</v>
      </c>
      <c r="AH6436">
        <v>0</v>
      </c>
      <c r="AI6436">
        <v>200</v>
      </c>
      <c r="AJ6436">
        <v>3</v>
      </c>
      <c r="AK6436">
        <v>0</v>
      </c>
      <c r="AL6436">
        <v>0</v>
      </c>
      <c r="AM6436">
        <v>200</v>
      </c>
      <c r="AN6436">
        <v>0</v>
      </c>
      <c r="AO6436">
        <v>0</v>
      </c>
      <c r="AP6436">
        <v>0</v>
      </c>
      <c r="AQ6436">
        <v>0</v>
      </c>
      <c r="AS6436">
        <v>0</v>
      </c>
      <c r="AT6436">
        <v>0</v>
      </c>
      <c r="AV6436">
        <v>0</v>
      </c>
      <c r="AW6436">
        <v>0</v>
      </c>
      <c r="AY6436">
        <v>0</v>
      </c>
      <c r="AZ6436">
        <v>0</v>
      </c>
      <c r="BA6436">
        <v>140</v>
      </c>
      <c r="BE6436" t="str">
        <f>T("9791164099764")</f>
        <v>9791164099764</v>
      </c>
      <c r="BF6436" t="str">
        <f>T("k275205")</f>
        <v>k275205</v>
      </c>
      <c r="BG6436" t="str">
        <f>T("로판 웹소설 &gt; 서양풍 로판")</f>
        <v>로판 웹소설 &gt; 서양풍 로판</v>
      </c>
    </row>
    <row r="6437" spans="1:59">
      <c r="A6437" t="s">
        <v>60</v>
      </c>
      <c r="B6437" s="1">
        <v>46131</v>
      </c>
      <c r="C6437">
        <v>2378059762</v>
      </c>
      <c r="D6437">
        <v>2378065301</v>
      </c>
      <c r="E6437" t="str">
        <f>T("칼레이 백작가의 매맞이 하녀 127화")</f>
        <v>칼레이 백작가의 매맞이 하녀 127화</v>
      </c>
      <c r="F6437">
        <v>127</v>
      </c>
      <c r="G6437" t="str">
        <f>T("뮤사203")</f>
        <v>뮤사203</v>
      </c>
      <c r="J6437" t="str">
        <f>T("시계토끼")</f>
        <v>시계토끼</v>
      </c>
      <c r="K6437" t="str">
        <f>T("칼레이 백작가의 매맞이 하녀")</f>
        <v>칼레이 백작가의 매맞이 하녀</v>
      </c>
      <c r="L6437">
        <v>100</v>
      </c>
      <c r="M6437">
        <v>200</v>
      </c>
      <c r="N6437">
        <v>2</v>
      </c>
      <c r="O6437">
        <v>0</v>
      </c>
      <c r="P6437">
        <v>0</v>
      </c>
      <c r="Q6437">
        <v>0</v>
      </c>
      <c r="R6437">
        <v>1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0</v>
      </c>
      <c r="AE6437">
        <v>0</v>
      </c>
      <c r="AF6437">
        <v>0</v>
      </c>
      <c r="AG6437">
        <v>0</v>
      </c>
      <c r="AH6437">
        <v>0</v>
      </c>
      <c r="AI6437">
        <v>200</v>
      </c>
      <c r="AJ6437">
        <v>3</v>
      </c>
      <c r="AK6437">
        <v>0</v>
      </c>
      <c r="AL6437">
        <v>0</v>
      </c>
      <c r="AM6437">
        <v>200</v>
      </c>
      <c r="AN6437">
        <v>0</v>
      </c>
      <c r="AO6437">
        <v>0</v>
      </c>
      <c r="AP6437">
        <v>0</v>
      </c>
      <c r="AQ6437">
        <v>0</v>
      </c>
      <c r="AS6437">
        <v>0</v>
      </c>
      <c r="AT6437">
        <v>0</v>
      </c>
      <c r="AV6437">
        <v>0</v>
      </c>
      <c r="AW6437">
        <v>0</v>
      </c>
      <c r="AY6437">
        <v>0</v>
      </c>
      <c r="AZ6437">
        <v>0</v>
      </c>
      <c r="BA6437">
        <v>140</v>
      </c>
      <c r="BE6437" t="str">
        <f>T("9791164099764")</f>
        <v>9791164099764</v>
      </c>
      <c r="BF6437" t="str">
        <f>T("k275206")</f>
        <v>k275206</v>
      </c>
      <c r="BG6437" t="str">
        <f>T("로판 웹소설 &gt; 서양풍 로판")</f>
        <v>로판 웹소설 &gt; 서양풍 로판</v>
      </c>
    </row>
    <row r="6438" spans="1:59">
      <c r="A6438" t="s">
        <v>60</v>
      </c>
      <c r="B6438" s="1">
        <v>46131</v>
      </c>
      <c r="C6438">
        <v>2378059762</v>
      </c>
      <c r="D6438">
        <v>2378061953</v>
      </c>
      <c r="E6438" t="str">
        <f>T("칼레이 백작가의 매맞이 하녀 92화")</f>
        <v>칼레이 백작가의 매맞이 하녀 92화</v>
      </c>
      <c r="F6438">
        <v>92</v>
      </c>
      <c r="G6438" t="str">
        <f>T("뮤사203")</f>
        <v>뮤사203</v>
      </c>
      <c r="J6438" t="str">
        <f>T("시계토끼")</f>
        <v>시계토끼</v>
      </c>
      <c r="K6438" t="str">
        <f>T("칼레이 백작가의 매맞이 하녀")</f>
        <v>칼레이 백작가의 매맞이 하녀</v>
      </c>
      <c r="L6438">
        <v>100</v>
      </c>
      <c r="M6438">
        <v>300</v>
      </c>
      <c r="N6438">
        <v>3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0</v>
      </c>
      <c r="AE6438">
        <v>0</v>
      </c>
      <c r="AF6438">
        <v>0</v>
      </c>
      <c r="AG6438">
        <v>0</v>
      </c>
      <c r="AH6438">
        <v>0</v>
      </c>
      <c r="AI6438">
        <v>300</v>
      </c>
      <c r="AJ6438">
        <v>3</v>
      </c>
      <c r="AK6438">
        <v>0</v>
      </c>
      <c r="AL6438">
        <v>0</v>
      </c>
      <c r="AM6438">
        <v>300</v>
      </c>
      <c r="AN6438">
        <v>0</v>
      </c>
      <c r="AO6438">
        <v>0</v>
      </c>
      <c r="AP6438">
        <v>0</v>
      </c>
      <c r="AQ6438">
        <v>0</v>
      </c>
      <c r="AS6438">
        <v>0</v>
      </c>
      <c r="AT6438">
        <v>0</v>
      </c>
      <c r="AV6438">
        <v>0</v>
      </c>
      <c r="AW6438">
        <v>0</v>
      </c>
      <c r="AY6438">
        <v>0</v>
      </c>
      <c r="AZ6438">
        <v>0</v>
      </c>
      <c r="BA6438">
        <v>210</v>
      </c>
      <c r="BE6438" t="str">
        <f>T("9791164099764")</f>
        <v>9791164099764</v>
      </c>
      <c r="BF6438" t="str">
        <f>T("k239478")</f>
        <v>k239478</v>
      </c>
      <c r="BG6438" t="str">
        <f>T("로판 웹소설 &gt; 서양풍 로판")</f>
        <v>로판 웹소설 &gt; 서양풍 로판</v>
      </c>
    </row>
    <row r="6439" spans="1:59">
      <c r="A6439" t="s">
        <v>60</v>
      </c>
      <c r="B6439" s="1">
        <v>46131</v>
      </c>
      <c r="C6439">
        <v>2378059762</v>
      </c>
      <c r="D6439">
        <v>2378065913</v>
      </c>
      <c r="E6439" t="str">
        <f>T("칼레이 백작가의 매맞이 하녀 138화")</f>
        <v>칼레이 백작가의 매맞이 하녀 138화</v>
      </c>
      <c r="F6439">
        <v>138</v>
      </c>
      <c r="G6439" t="str">
        <f>T("뮤사203")</f>
        <v>뮤사203</v>
      </c>
      <c r="J6439" t="str">
        <f>T("시계토끼")</f>
        <v>시계토끼</v>
      </c>
      <c r="K6439" t="str">
        <f>T("칼레이 백작가의 매맞이 하녀")</f>
        <v>칼레이 백작가의 매맞이 하녀</v>
      </c>
      <c r="L6439">
        <v>100</v>
      </c>
      <c r="M6439">
        <v>100</v>
      </c>
      <c r="N6439">
        <v>1</v>
      </c>
      <c r="O6439">
        <v>0</v>
      </c>
      <c r="P6439">
        <v>0</v>
      </c>
      <c r="Q6439">
        <v>0</v>
      </c>
      <c r="R6439">
        <v>3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0</v>
      </c>
      <c r="AE6439">
        <v>0</v>
      </c>
      <c r="AF6439">
        <v>0</v>
      </c>
      <c r="AG6439">
        <v>0</v>
      </c>
      <c r="AH6439">
        <v>0</v>
      </c>
      <c r="AI6439">
        <v>100</v>
      </c>
      <c r="AJ6439">
        <v>4</v>
      </c>
      <c r="AK6439">
        <v>0</v>
      </c>
      <c r="AL6439">
        <v>0</v>
      </c>
      <c r="AM6439">
        <v>100</v>
      </c>
      <c r="AN6439">
        <v>0</v>
      </c>
      <c r="AO6439">
        <v>0</v>
      </c>
      <c r="AP6439">
        <v>0</v>
      </c>
      <c r="AQ6439">
        <v>0</v>
      </c>
      <c r="AS6439">
        <v>0</v>
      </c>
      <c r="AT6439">
        <v>0</v>
      </c>
      <c r="AV6439">
        <v>0</v>
      </c>
      <c r="AW6439">
        <v>0</v>
      </c>
      <c r="AY6439">
        <v>0</v>
      </c>
      <c r="AZ6439">
        <v>0</v>
      </c>
      <c r="BA6439">
        <v>70</v>
      </c>
      <c r="BE6439" t="str">
        <f>T("9791164099764")</f>
        <v>9791164099764</v>
      </c>
      <c r="BF6439" t="str">
        <f>T("k294720")</f>
        <v>k294720</v>
      </c>
      <c r="BG6439" t="str">
        <f>T("로판 웹소설 &gt; 서양풍 로판")</f>
        <v>로판 웹소설 &gt; 서양풍 로판</v>
      </c>
    </row>
    <row r="6440" spans="1:59">
      <c r="A6440" t="s">
        <v>60</v>
      </c>
      <c r="B6440" s="1">
        <v>46131</v>
      </c>
      <c r="C6440">
        <v>2378059762</v>
      </c>
      <c r="D6440">
        <v>2378062151</v>
      </c>
      <c r="E6440" t="str">
        <f>T("칼레이 백작가의 매맞이 하녀 93화")</f>
        <v>칼레이 백작가의 매맞이 하녀 93화</v>
      </c>
      <c r="F6440">
        <v>93</v>
      </c>
      <c r="G6440" t="str">
        <f>T("뮤사203")</f>
        <v>뮤사203</v>
      </c>
      <c r="J6440" t="str">
        <f>T("시계토끼")</f>
        <v>시계토끼</v>
      </c>
      <c r="K6440" t="str">
        <f>T("칼레이 백작가의 매맞이 하녀")</f>
        <v>칼레이 백작가의 매맞이 하녀</v>
      </c>
      <c r="L6440">
        <v>100</v>
      </c>
      <c r="M6440">
        <v>300</v>
      </c>
      <c r="N6440">
        <v>3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0</v>
      </c>
      <c r="AE6440">
        <v>0</v>
      </c>
      <c r="AF6440">
        <v>0</v>
      </c>
      <c r="AG6440">
        <v>0</v>
      </c>
      <c r="AH6440">
        <v>0</v>
      </c>
      <c r="AI6440">
        <v>300</v>
      </c>
      <c r="AJ6440">
        <v>3</v>
      </c>
      <c r="AK6440">
        <v>0</v>
      </c>
      <c r="AL6440">
        <v>0</v>
      </c>
      <c r="AM6440">
        <v>300</v>
      </c>
      <c r="AN6440">
        <v>0</v>
      </c>
      <c r="AO6440">
        <v>0</v>
      </c>
      <c r="AP6440">
        <v>0</v>
      </c>
      <c r="AQ6440">
        <v>0</v>
      </c>
      <c r="AS6440">
        <v>0</v>
      </c>
      <c r="AT6440">
        <v>0</v>
      </c>
      <c r="AV6440">
        <v>0</v>
      </c>
      <c r="AW6440">
        <v>0</v>
      </c>
      <c r="AY6440">
        <v>0</v>
      </c>
      <c r="AZ6440">
        <v>0</v>
      </c>
      <c r="BA6440">
        <v>210</v>
      </c>
      <c r="BE6440" t="str">
        <f>T("9791164099764")</f>
        <v>9791164099764</v>
      </c>
      <c r="BF6440" t="str">
        <f>T("k239479")</f>
        <v>k239479</v>
      </c>
      <c r="BG6440" t="str">
        <f>T("로판 웹소설 &gt; 서양풍 로판")</f>
        <v>로판 웹소설 &gt; 서양풍 로판</v>
      </c>
    </row>
    <row r="6441" spans="1:59">
      <c r="A6441" t="s">
        <v>60</v>
      </c>
      <c r="B6441" s="1">
        <v>46131</v>
      </c>
      <c r="C6441">
        <v>2378059762</v>
      </c>
      <c r="D6441">
        <v>2378062152</v>
      </c>
      <c r="E6441" t="str">
        <f>T("칼레이 백작가의 매맞이 하녀 94화")</f>
        <v>칼레이 백작가의 매맞이 하녀 94화</v>
      </c>
      <c r="F6441">
        <v>94</v>
      </c>
      <c r="G6441" t="str">
        <f>T("뮤사203")</f>
        <v>뮤사203</v>
      </c>
      <c r="J6441" t="str">
        <f>T("시계토끼")</f>
        <v>시계토끼</v>
      </c>
      <c r="K6441" t="str">
        <f>T("칼레이 백작가의 매맞이 하녀")</f>
        <v>칼레이 백작가의 매맞이 하녀</v>
      </c>
      <c r="L6441">
        <v>100</v>
      </c>
      <c r="M6441">
        <v>300</v>
      </c>
      <c r="N6441">
        <v>3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0</v>
      </c>
      <c r="AE6441">
        <v>0</v>
      </c>
      <c r="AF6441">
        <v>0</v>
      </c>
      <c r="AG6441">
        <v>0</v>
      </c>
      <c r="AH6441">
        <v>0</v>
      </c>
      <c r="AI6441">
        <v>300</v>
      </c>
      <c r="AJ6441">
        <v>3</v>
      </c>
      <c r="AK6441">
        <v>0</v>
      </c>
      <c r="AL6441">
        <v>0</v>
      </c>
      <c r="AM6441">
        <v>300</v>
      </c>
      <c r="AN6441">
        <v>0</v>
      </c>
      <c r="AO6441">
        <v>0</v>
      </c>
      <c r="AP6441">
        <v>0</v>
      </c>
      <c r="AQ6441">
        <v>0</v>
      </c>
      <c r="AS6441">
        <v>0</v>
      </c>
      <c r="AT6441">
        <v>0</v>
      </c>
      <c r="AV6441">
        <v>0</v>
      </c>
      <c r="AW6441">
        <v>0</v>
      </c>
      <c r="AY6441">
        <v>0</v>
      </c>
      <c r="AZ6441">
        <v>0</v>
      </c>
      <c r="BA6441">
        <v>210</v>
      </c>
      <c r="BE6441" t="str">
        <f>T("9791164099764")</f>
        <v>9791164099764</v>
      </c>
      <c r="BF6441" t="str">
        <f>T("k239905")</f>
        <v>k239905</v>
      </c>
      <c r="BG6441" t="str">
        <f>T("로판 웹소설 &gt; 서양풍 로판")</f>
        <v>로판 웹소설 &gt; 서양풍 로판</v>
      </c>
    </row>
    <row r="6442" spans="1:59">
      <c r="A6442" t="s">
        <v>60</v>
      </c>
      <c r="B6442" s="1">
        <v>46131</v>
      </c>
      <c r="C6442">
        <v>2378059762</v>
      </c>
      <c r="D6442">
        <v>2378062153</v>
      </c>
      <c r="E6442" t="str">
        <f>T("칼레이 백작가의 매맞이 하녀 95화")</f>
        <v>칼레이 백작가의 매맞이 하녀 95화</v>
      </c>
      <c r="F6442">
        <v>95</v>
      </c>
      <c r="G6442" t="str">
        <f>T("뮤사203")</f>
        <v>뮤사203</v>
      </c>
      <c r="J6442" t="str">
        <f>T("시계토끼")</f>
        <v>시계토끼</v>
      </c>
      <c r="K6442" t="str">
        <f>T("칼레이 백작가의 매맞이 하녀")</f>
        <v>칼레이 백작가의 매맞이 하녀</v>
      </c>
      <c r="L6442">
        <v>100</v>
      </c>
      <c r="M6442">
        <v>400</v>
      </c>
      <c r="N6442">
        <v>4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0</v>
      </c>
      <c r="AE6442">
        <v>0</v>
      </c>
      <c r="AF6442">
        <v>0</v>
      </c>
      <c r="AG6442">
        <v>0</v>
      </c>
      <c r="AH6442">
        <v>0</v>
      </c>
      <c r="AI6442">
        <v>400</v>
      </c>
      <c r="AJ6442">
        <v>4</v>
      </c>
      <c r="AK6442">
        <v>0</v>
      </c>
      <c r="AL6442">
        <v>0</v>
      </c>
      <c r="AM6442">
        <v>300</v>
      </c>
      <c r="AN6442">
        <v>0</v>
      </c>
      <c r="AO6442">
        <v>120</v>
      </c>
      <c r="AP6442">
        <v>-12</v>
      </c>
      <c r="AQ6442">
        <v>0</v>
      </c>
      <c r="AS6442">
        <v>0</v>
      </c>
      <c r="AT6442">
        <v>0</v>
      </c>
      <c r="AU6442">
        <v>120</v>
      </c>
      <c r="AV6442">
        <v>-12</v>
      </c>
      <c r="AW6442">
        <v>0</v>
      </c>
      <c r="AY6442">
        <v>0</v>
      </c>
      <c r="AZ6442">
        <v>0</v>
      </c>
      <c r="BA6442">
        <v>285.60000000000002</v>
      </c>
      <c r="BE6442" t="str">
        <f>T("9791164099764")</f>
        <v>9791164099764</v>
      </c>
      <c r="BF6442" t="str">
        <f>T("k239906")</f>
        <v>k239906</v>
      </c>
      <c r="BG6442" t="str">
        <f>T("로판 웹소설 &gt; 서양풍 로판")</f>
        <v>로판 웹소설 &gt; 서양풍 로판</v>
      </c>
    </row>
    <row r="6443" spans="1:59">
      <c r="A6443" t="s">
        <v>60</v>
      </c>
      <c r="B6443" s="1">
        <v>46131</v>
      </c>
      <c r="C6443">
        <v>2378059762</v>
      </c>
      <c r="D6443">
        <v>2378062154</v>
      </c>
      <c r="E6443" t="str">
        <f>T("칼레이 백작가의 매맞이 하녀 96화")</f>
        <v>칼레이 백작가의 매맞이 하녀 96화</v>
      </c>
      <c r="F6443">
        <v>96</v>
      </c>
      <c r="G6443" t="str">
        <f>T("뮤사203")</f>
        <v>뮤사203</v>
      </c>
      <c r="J6443" t="str">
        <f>T("시계토끼")</f>
        <v>시계토끼</v>
      </c>
      <c r="K6443" t="str">
        <f>T("칼레이 백작가의 매맞이 하녀")</f>
        <v>칼레이 백작가의 매맞이 하녀</v>
      </c>
      <c r="L6443">
        <v>100</v>
      </c>
      <c r="M6443">
        <v>400</v>
      </c>
      <c r="N6443">
        <v>4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0</v>
      </c>
      <c r="AE6443">
        <v>0</v>
      </c>
      <c r="AF6443">
        <v>0</v>
      </c>
      <c r="AG6443">
        <v>0</v>
      </c>
      <c r="AH6443">
        <v>0</v>
      </c>
      <c r="AI6443">
        <v>400</v>
      </c>
      <c r="AJ6443">
        <v>4</v>
      </c>
      <c r="AK6443">
        <v>0</v>
      </c>
      <c r="AL6443">
        <v>0</v>
      </c>
      <c r="AM6443">
        <v>300</v>
      </c>
      <c r="AN6443">
        <v>0</v>
      </c>
      <c r="AO6443">
        <v>120</v>
      </c>
      <c r="AP6443">
        <v>-12</v>
      </c>
      <c r="AQ6443">
        <v>0</v>
      </c>
      <c r="AS6443">
        <v>0</v>
      </c>
      <c r="AT6443">
        <v>0</v>
      </c>
      <c r="AU6443">
        <v>120</v>
      </c>
      <c r="AV6443">
        <v>-12</v>
      </c>
      <c r="AW6443">
        <v>0</v>
      </c>
      <c r="AY6443">
        <v>0</v>
      </c>
      <c r="AZ6443">
        <v>0</v>
      </c>
      <c r="BA6443">
        <v>285.60000000000002</v>
      </c>
      <c r="BE6443" t="str">
        <f>T("9791164099764")</f>
        <v>9791164099764</v>
      </c>
      <c r="BF6443" t="str">
        <f>T("k239907")</f>
        <v>k239907</v>
      </c>
      <c r="BG6443" t="str">
        <f>T("로판 웹소설 &gt; 서양풍 로판")</f>
        <v>로판 웹소설 &gt; 서양풍 로판</v>
      </c>
    </row>
    <row r="6444" spans="1:59">
      <c r="A6444" t="s">
        <v>60</v>
      </c>
      <c r="B6444" s="1">
        <v>46131</v>
      </c>
      <c r="C6444">
        <v>2378059762</v>
      </c>
      <c r="D6444">
        <v>2378063898</v>
      </c>
      <c r="E6444" t="str">
        <f>T("칼레이 백작가의 매맞이 하녀 119화")</f>
        <v>칼레이 백작가의 매맞이 하녀 119화</v>
      </c>
      <c r="F6444">
        <v>119</v>
      </c>
      <c r="G6444" t="str">
        <f>T("뮤사203")</f>
        <v>뮤사203</v>
      </c>
      <c r="J6444" t="str">
        <f>T("시계토끼")</f>
        <v>시계토끼</v>
      </c>
      <c r="K6444" t="str">
        <f>T("칼레이 백작가의 매맞이 하녀")</f>
        <v>칼레이 백작가의 매맞이 하녀</v>
      </c>
      <c r="L6444">
        <v>100</v>
      </c>
      <c r="M6444">
        <v>300</v>
      </c>
      <c r="N6444">
        <v>3</v>
      </c>
      <c r="O6444">
        <v>0</v>
      </c>
      <c r="P6444">
        <v>0</v>
      </c>
      <c r="Q6444">
        <v>0</v>
      </c>
      <c r="R6444">
        <v>1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0</v>
      </c>
      <c r="AE6444">
        <v>0</v>
      </c>
      <c r="AF6444">
        <v>0</v>
      </c>
      <c r="AG6444">
        <v>0</v>
      </c>
      <c r="AH6444">
        <v>0</v>
      </c>
      <c r="AI6444">
        <v>300</v>
      </c>
      <c r="AJ6444">
        <v>4</v>
      </c>
      <c r="AK6444">
        <v>0</v>
      </c>
      <c r="AL6444">
        <v>0</v>
      </c>
      <c r="AM6444">
        <v>300</v>
      </c>
      <c r="AN6444">
        <v>0</v>
      </c>
      <c r="AO6444">
        <v>0</v>
      </c>
      <c r="AP6444">
        <v>0</v>
      </c>
      <c r="AQ6444">
        <v>0</v>
      </c>
      <c r="AS6444">
        <v>0</v>
      </c>
      <c r="AT6444">
        <v>0</v>
      </c>
      <c r="AV6444">
        <v>0</v>
      </c>
      <c r="AW6444">
        <v>0</v>
      </c>
      <c r="AY6444">
        <v>0</v>
      </c>
      <c r="AZ6444">
        <v>0</v>
      </c>
      <c r="BA6444">
        <v>210</v>
      </c>
      <c r="BE6444" t="str">
        <f>T("9791164099764")</f>
        <v>9791164099764</v>
      </c>
      <c r="BF6444" t="str">
        <f>T("k262224")</f>
        <v>k262224</v>
      </c>
      <c r="BG6444" t="str">
        <f>T("로판 웹소설 &gt; 서양풍 로판")</f>
        <v>로판 웹소설 &gt; 서양풍 로판</v>
      </c>
    </row>
    <row r="6445" spans="1:59">
      <c r="A6445" t="s">
        <v>60</v>
      </c>
      <c r="B6445" s="1">
        <v>46131</v>
      </c>
      <c r="C6445">
        <v>2378059762</v>
      </c>
      <c r="D6445">
        <v>2378062566</v>
      </c>
      <c r="E6445" t="str">
        <f>T("칼레이 백작가의 매맞이 하녀 97화")</f>
        <v>칼레이 백작가의 매맞이 하녀 97화</v>
      </c>
      <c r="F6445">
        <v>97</v>
      </c>
      <c r="G6445" t="str">
        <f>T("뮤사203")</f>
        <v>뮤사203</v>
      </c>
      <c r="J6445" t="str">
        <f>T("시계토끼")</f>
        <v>시계토끼</v>
      </c>
      <c r="K6445" t="str">
        <f>T("칼레이 백작가의 매맞이 하녀")</f>
        <v>칼레이 백작가의 매맞이 하녀</v>
      </c>
      <c r="L6445">
        <v>100</v>
      </c>
      <c r="M6445">
        <v>400</v>
      </c>
      <c r="N6445">
        <v>4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0</v>
      </c>
      <c r="AE6445">
        <v>0</v>
      </c>
      <c r="AF6445">
        <v>0</v>
      </c>
      <c r="AG6445">
        <v>0</v>
      </c>
      <c r="AH6445">
        <v>0</v>
      </c>
      <c r="AI6445">
        <v>400</v>
      </c>
      <c r="AJ6445">
        <v>4</v>
      </c>
      <c r="AK6445">
        <v>0</v>
      </c>
      <c r="AL6445">
        <v>0</v>
      </c>
      <c r="AM6445">
        <v>300</v>
      </c>
      <c r="AN6445">
        <v>0</v>
      </c>
      <c r="AO6445">
        <v>120</v>
      </c>
      <c r="AP6445">
        <v>-12</v>
      </c>
      <c r="AQ6445">
        <v>0</v>
      </c>
      <c r="AS6445">
        <v>0</v>
      </c>
      <c r="AT6445">
        <v>0</v>
      </c>
      <c r="AU6445">
        <v>120</v>
      </c>
      <c r="AV6445">
        <v>-12</v>
      </c>
      <c r="AW6445">
        <v>0</v>
      </c>
      <c r="AY6445">
        <v>0</v>
      </c>
      <c r="AZ6445">
        <v>0</v>
      </c>
      <c r="BA6445">
        <v>285.60000000000002</v>
      </c>
      <c r="BE6445" t="str">
        <f>T("9791164099764")</f>
        <v>9791164099764</v>
      </c>
      <c r="BF6445" t="str">
        <f>T("k239908")</f>
        <v>k239908</v>
      </c>
      <c r="BG6445" t="str">
        <f>T("로판 웹소설 &gt; 서양풍 로판")</f>
        <v>로판 웹소설 &gt; 서양풍 로판</v>
      </c>
    </row>
    <row r="6446" spans="1:59">
      <c r="A6446" t="s">
        <v>60</v>
      </c>
      <c r="B6446" s="1">
        <v>46131</v>
      </c>
      <c r="C6446">
        <v>2378059762</v>
      </c>
      <c r="D6446">
        <v>2378062567</v>
      </c>
      <c r="E6446" t="str">
        <f>T("칼레이 백작가의 매맞이 하녀 98화")</f>
        <v>칼레이 백작가의 매맞이 하녀 98화</v>
      </c>
      <c r="F6446">
        <v>98</v>
      </c>
      <c r="G6446" t="str">
        <f>T("뮤사203")</f>
        <v>뮤사203</v>
      </c>
      <c r="J6446" t="str">
        <f>T("시계토끼")</f>
        <v>시계토끼</v>
      </c>
      <c r="K6446" t="str">
        <f>T("칼레이 백작가의 매맞이 하녀")</f>
        <v>칼레이 백작가의 매맞이 하녀</v>
      </c>
      <c r="L6446">
        <v>100</v>
      </c>
      <c r="M6446">
        <v>400</v>
      </c>
      <c r="N6446">
        <v>4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0</v>
      </c>
      <c r="AE6446">
        <v>0</v>
      </c>
      <c r="AF6446">
        <v>0</v>
      </c>
      <c r="AG6446">
        <v>0</v>
      </c>
      <c r="AH6446">
        <v>0</v>
      </c>
      <c r="AI6446">
        <v>400</v>
      </c>
      <c r="AJ6446">
        <v>4</v>
      </c>
      <c r="AK6446">
        <v>0</v>
      </c>
      <c r="AL6446">
        <v>0</v>
      </c>
      <c r="AM6446">
        <v>300</v>
      </c>
      <c r="AN6446">
        <v>0</v>
      </c>
      <c r="AO6446">
        <v>120</v>
      </c>
      <c r="AP6446">
        <v>-12</v>
      </c>
      <c r="AQ6446">
        <v>0</v>
      </c>
      <c r="AS6446">
        <v>0</v>
      </c>
      <c r="AT6446">
        <v>0</v>
      </c>
      <c r="AU6446">
        <v>120</v>
      </c>
      <c r="AV6446">
        <v>-12</v>
      </c>
      <c r="AW6446">
        <v>0</v>
      </c>
      <c r="AY6446">
        <v>0</v>
      </c>
      <c r="AZ6446">
        <v>0</v>
      </c>
      <c r="BA6446">
        <v>285.60000000000002</v>
      </c>
      <c r="BE6446" t="str">
        <f>T("9791164099764")</f>
        <v>9791164099764</v>
      </c>
      <c r="BF6446" t="str">
        <f>T("k244192")</f>
        <v>k244192</v>
      </c>
      <c r="BG6446" t="str">
        <f>T("로판 웹소설 &gt; 서양풍 로판")</f>
        <v>로판 웹소설 &gt; 서양풍 로판</v>
      </c>
    </row>
    <row r="6447" spans="1:59">
      <c r="A6447" t="s">
        <v>60</v>
      </c>
      <c r="B6447" s="1">
        <v>46131</v>
      </c>
      <c r="C6447">
        <v>2378059762</v>
      </c>
      <c r="D6447">
        <v>2378062568</v>
      </c>
      <c r="E6447" t="str">
        <f>T("칼레이 백작가의 매맞이 하녀 99화")</f>
        <v>칼레이 백작가의 매맞이 하녀 99화</v>
      </c>
      <c r="F6447">
        <v>99</v>
      </c>
      <c r="G6447" t="str">
        <f>T("뮤사203")</f>
        <v>뮤사203</v>
      </c>
      <c r="J6447" t="str">
        <f>T("시계토끼")</f>
        <v>시계토끼</v>
      </c>
      <c r="K6447" t="str">
        <f>T("칼레이 백작가의 매맞이 하녀")</f>
        <v>칼레이 백작가의 매맞이 하녀</v>
      </c>
      <c r="L6447">
        <v>100</v>
      </c>
      <c r="M6447">
        <v>400</v>
      </c>
      <c r="N6447">
        <v>4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0</v>
      </c>
      <c r="AE6447">
        <v>0</v>
      </c>
      <c r="AF6447">
        <v>0</v>
      </c>
      <c r="AG6447">
        <v>0</v>
      </c>
      <c r="AH6447">
        <v>0</v>
      </c>
      <c r="AI6447">
        <v>400</v>
      </c>
      <c r="AJ6447">
        <v>4</v>
      </c>
      <c r="AK6447">
        <v>0</v>
      </c>
      <c r="AL6447">
        <v>0</v>
      </c>
      <c r="AM6447">
        <v>300</v>
      </c>
      <c r="AN6447">
        <v>0</v>
      </c>
      <c r="AO6447">
        <v>120</v>
      </c>
      <c r="AP6447">
        <v>-12</v>
      </c>
      <c r="AQ6447">
        <v>0</v>
      </c>
      <c r="AS6447">
        <v>0</v>
      </c>
      <c r="AT6447">
        <v>0</v>
      </c>
      <c r="AU6447">
        <v>120</v>
      </c>
      <c r="AV6447">
        <v>-12</v>
      </c>
      <c r="AW6447">
        <v>0</v>
      </c>
      <c r="AY6447">
        <v>0</v>
      </c>
      <c r="AZ6447">
        <v>0</v>
      </c>
      <c r="BA6447">
        <v>285.60000000000002</v>
      </c>
      <c r="BE6447" t="str">
        <f>T("9791164099764")</f>
        <v>9791164099764</v>
      </c>
      <c r="BF6447" t="str">
        <f>T("k244193")</f>
        <v>k244193</v>
      </c>
      <c r="BG6447" t="str">
        <f>T("로판 웹소설 &gt; 서양풍 로판")</f>
        <v>로판 웹소설 &gt; 서양풍 로판</v>
      </c>
    </row>
    <row r="6448" spans="1:59">
      <c r="A6448" t="s">
        <v>60</v>
      </c>
      <c r="B6448" s="1">
        <v>46131</v>
      </c>
      <c r="C6448">
        <v>2378059762</v>
      </c>
      <c r="D6448">
        <v>2378062650</v>
      </c>
      <c r="E6448" t="str">
        <f>T("칼레이 백작가의 매맞이 하녀 101화")</f>
        <v>칼레이 백작가의 매맞이 하녀 101화</v>
      </c>
      <c r="F6448">
        <v>101</v>
      </c>
      <c r="G6448" t="str">
        <f>T("뮤사203")</f>
        <v>뮤사203</v>
      </c>
      <c r="J6448" t="str">
        <f>T("시계토끼")</f>
        <v>시계토끼</v>
      </c>
      <c r="K6448" t="str">
        <f>T("칼레이 백작가의 매맞이 하녀")</f>
        <v>칼레이 백작가의 매맞이 하녀</v>
      </c>
      <c r="L6448">
        <v>100</v>
      </c>
      <c r="M6448">
        <v>500</v>
      </c>
      <c r="N6448">
        <v>5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0</v>
      </c>
      <c r="AE6448">
        <v>0</v>
      </c>
      <c r="AF6448">
        <v>0</v>
      </c>
      <c r="AG6448">
        <v>0</v>
      </c>
      <c r="AH6448">
        <v>0</v>
      </c>
      <c r="AI6448">
        <v>500</v>
      </c>
      <c r="AJ6448">
        <v>5</v>
      </c>
      <c r="AK6448">
        <v>0</v>
      </c>
      <c r="AL6448">
        <v>0</v>
      </c>
      <c r="AM6448">
        <v>300</v>
      </c>
      <c r="AN6448">
        <v>0</v>
      </c>
      <c r="AO6448">
        <v>240</v>
      </c>
      <c r="AP6448">
        <v>-24</v>
      </c>
      <c r="AQ6448">
        <v>0</v>
      </c>
      <c r="AS6448">
        <v>0</v>
      </c>
      <c r="AT6448">
        <v>0</v>
      </c>
      <c r="AU6448">
        <v>240</v>
      </c>
      <c r="AV6448">
        <v>-24</v>
      </c>
      <c r="AW6448">
        <v>0</v>
      </c>
      <c r="AY6448">
        <v>0</v>
      </c>
      <c r="AZ6448">
        <v>0</v>
      </c>
      <c r="BA6448">
        <v>361.2</v>
      </c>
      <c r="BE6448" t="str">
        <f>T("9791164099764")</f>
        <v>9791164099764</v>
      </c>
      <c r="BF6448" t="str">
        <f>T("k244195")</f>
        <v>k244195</v>
      </c>
      <c r="BG6448" t="str">
        <f>T("로판 웹소설 &gt; 서양풍 로판")</f>
        <v>로판 웹소설 &gt; 서양풍 로판</v>
      </c>
    </row>
    <row r="6449" spans="1:59">
      <c r="A6449" t="s">
        <v>60</v>
      </c>
      <c r="B6449" s="1">
        <v>46131</v>
      </c>
      <c r="C6449">
        <v>2378059762</v>
      </c>
      <c r="D6449">
        <v>2378062651</v>
      </c>
      <c r="E6449" t="str">
        <f>T("칼레이 백작가의 매맞이 하녀 102화")</f>
        <v>칼레이 백작가의 매맞이 하녀 102화</v>
      </c>
      <c r="F6449">
        <v>102</v>
      </c>
      <c r="G6449" t="str">
        <f>T("뮤사203")</f>
        <v>뮤사203</v>
      </c>
      <c r="J6449" t="str">
        <f>T("시계토끼")</f>
        <v>시계토끼</v>
      </c>
      <c r="K6449" t="str">
        <f>T("칼레이 백작가의 매맞이 하녀")</f>
        <v>칼레이 백작가의 매맞이 하녀</v>
      </c>
      <c r="L6449">
        <v>100</v>
      </c>
      <c r="M6449">
        <v>300</v>
      </c>
      <c r="N6449">
        <v>3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0</v>
      </c>
      <c r="AE6449">
        <v>0</v>
      </c>
      <c r="AF6449">
        <v>0</v>
      </c>
      <c r="AG6449">
        <v>0</v>
      </c>
      <c r="AH6449">
        <v>0</v>
      </c>
      <c r="AI6449">
        <v>300</v>
      </c>
      <c r="AJ6449">
        <v>3</v>
      </c>
      <c r="AK6449">
        <v>0</v>
      </c>
      <c r="AL6449">
        <v>0</v>
      </c>
      <c r="AM6449">
        <v>200</v>
      </c>
      <c r="AN6449">
        <v>0</v>
      </c>
      <c r="AO6449">
        <v>120</v>
      </c>
      <c r="AP6449">
        <v>-12</v>
      </c>
      <c r="AQ6449">
        <v>0</v>
      </c>
      <c r="AS6449">
        <v>0</v>
      </c>
      <c r="AT6449">
        <v>0</v>
      </c>
      <c r="AU6449">
        <v>120</v>
      </c>
      <c r="AV6449">
        <v>-12</v>
      </c>
      <c r="AW6449">
        <v>0</v>
      </c>
      <c r="AY6449">
        <v>0</v>
      </c>
      <c r="AZ6449">
        <v>0</v>
      </c>
      <c r="BA6449">
        <v>215.6</v>
      </c>
      <c r="BE6449" t="str">
        <f>T("9791164099764")</f>
        <v>9791164099764</v>
      </c>
      <c r="BF6449" t="str">
        <f>T("k248573")</f>
        <v>k248573</v>
      </c>
      <c r="BG6449" t="str">
        <f>T("로판 웹소설 &gt; 서양풍 로판")</f>
        <v>로판 웹소설 &gt; 서양풍 로판</v>
      </c>
    </row>
    <row r="6450" spans="1:59">
      <c r="A6450" t="s">
        <v>60</v>
      </c>
      <c r="B6450" s="1">
        <v>46131</v>
      </c>
      <c r="C6450">
        <v>2378059762</v>
      </c>
      <c r="D6450">
        <v>2378062652</v>
      </c>
      <c r="E6450" t="str">
        <f>T("칼레이 백작가의 매맞이 하녀 103화")</f>
        <v>칼레이 백작가의 매맞이 하녀 103화</v>
      </c>
      <c r="F6450">
        <v>103</v>
      </c>
      <c r="G6450" t="str">
        <f>T("뮤사203")</f>
        <v>뮤사203</v>
      </c>
      <c r="J6450" t="str">
        <f>T("시계토끼")</f>
        <v>시계토끼</v>
      </c>
      <c r="K6450" t="str">
        <f>T("칼레이 백작가의 매맞이 하녀")</f>
        <v>칼레이 백작가의 매맞이 하녀</v>
      </c>
      <c r="L6450">
        <v>100</v>
      </c>
      <c r="M6450">
        <v>300</v>
      </c>
      <c r="N6450">
        <v>3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0</v>
      </c>
      <c r="AE6450">
        <v>0</v>
      </c>
      <c r="AF6450">
        <v>0</v>
      </c>
      <c r="AG6450">
        <v>0</v>
      </c>
      <c r="AH6450">
        <v>0</v>
      </c>
      <c r="AI6450">
        <v>300</v>
      </c>
      <c r="AJ6450">
        <v>3</v>
      </c>
      <c r="AK6450">
        <v>0</v>
      </c>
      <c r="AL6450">
        <v>0</v>
      </c>
      <c r="AM6450">
        <v>200</v>
      </c>
      <c r="AN6450">
        <v>0</v>
      </c>
      <c r="AO6450">
        <v>120</v>
      </c>
      <c r="AP6450">
        <v>-12</v>
      </c>
      <c r="AQ6450">
        <v>0</v>
      </c>
      <c r="AS6450">
        <v>0</v>
      </c>
      <c r="AT6450">
        <v>0</v>
      </c>
      <c r="AU6450">
        <v>120</v>
      </c>
      <c r="AV6450">
        <v>-12</v>
      </c>
      <c r="AW6450">
        <v>0</v>
      </c>
      <c r="AY6450">
        <v>0</v>
      </c>
      <c r="AZ6450">
        <v>0</v>
      </c>
      <c r="BA6450">
        <v>215.6</v>
      </c>
      <c r="BE6450" t="str">
        <f>T("9791164099764")</f>
        <v>9791164099764</v>
      </c>
      <c r="BF6450" t="str">
        <f>T("k248574")</f>
        <v>k248574</v>
      </c>
      <c r="BG6450" t="str">
        <f>T("로판 웹소설 &gt; 서양풍 로판")</f>
        <v>로판 웹소설 &gt; 서양풍 로판</v>
      </c>
    </row>
    <row r="6451" spans="1:59">
      <c r="A6451" t="s">
        <v>60</v>
      </c>
      <c r="B6451" s="1">
        <v>46131</v>
      </c>
      <c r="C6451">
        <v>2378059762</v>
      </c>
      <c r="D6451">
        <v>2378063409</v>
      </c>
      <c r="E6451" t="str">
        <f>T("칼레이 백작가의 매맞이 하녀 104화")</f>
        <v>칼레이 백작가의 매맞이 하녀 104화</v>
      </c>
      <c r="F6451">
        <v>104</v>
      </c>
      <c r="G6451" t="str">
        <f>T("뮤사203")</f>
        <v>뮤사203</v>
      </c>
      <c r="J6451" t="str">
        <f>T("시계토끼")</f>
        <v>시계토끼</v>
      </c>
      <c r="K6451" t="str">
        <f>T("칼레이 백작가의 매맞이 하녀")</f>
        <v>칼레이 백작가의 매맞이 하녀</v>
      </c>
      <c r="L6451">
        <v>100</v>
      </c>
      <c r="M6451">
        <v>300</v>
      </c>
      <c r="N6451">
        <v>3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0</v>
      </c>
      <c r="AE6451">
        <v>0</v>
      </c>
      <c r="AF6451">
        <v>0</v>
      </c>
      <c r="AG6451">
        <v>0</v>
      </c>
      <c r="AH6451">
        <v>0</v>
      </c>
      <c r="AI6451">
        <v>300</v>
      </c>
      <c r="AJ6451">
        <v>3</v>
      </c>
      <c r="AK6451">
        <v>0</v>
      </c>
      <c r="AL6451">
        <v>0</v>
      </c>
      <c r="AM6451">
        <v>200</v>
      </c>
      <c r="AN6451">
        <v>0</v>
      </c>
      <c r="AO6451">
        <v>120</v>
      </c>
      <c r="AP6451">
        <v>-12</v>
      </c>
      <c r="AQ6451">
        <v>0</v>
      </c>
      <c r="AS6451">
        <v>0</v>
      </c>
      <c r="AT6451">
        <v>0</v>
      </c>
      <c r="AU6451">
        <v>120</v>
      </c>
      <c r="AV6451">
        <v>-12</v>
      </c>
      <c r="AW6451">
        <v>0</v>
      </c>
      <c r="AY6451">
        <v>0</v>
      </c>
      <c r="AZ6451">
        <v>0</v>
      </c>
      <c r="BA6451">
        <v>215.6</v>
      </c>
      <c r="BE6451" t="str">
        <f>T("9791164099764")</f>
        <v>9791164099764</v>
      </c>
      <c r="BF6451" t="str">
        <f>T("k248575")</f>
        <v>k248575</v>
      </c>
      <c r="BG6451" t="str">
        <f>T("로판 웹소설 &gt; 서양풍 로판")</f>
        <v>로판 웹소설 &gt; 서양풍 로판</v>
      </c>
    </row>
    <row r="6452" spans="1:59">
      <c r="A6452" t="s">
        <v>60</v>
      </c>
      <c r="B6452" s="1">
        <v>46131</v>
      </c>
      <c r="C6452">
        <v>2378059762</v>
      </c>
      <c r="D6452">
        <v>2378063899</v>
      </c>
      <c r="E6452" t="str">
        <f>T("칼레이 백작가의 매맞이 하녀 120화")</f>
        <v>칼레이 백작가의 매맞이 하녀 120화</v>
      </c>
      <c r="F6452">
        <v>120</v>
      </c>
      <c r="G6452" t="str">
        <f>T("뮤사203")</f>
        <v>뮤사203</v>
      </c>
      <c r="J6452" t="str">
        <f>T("시계토끼")</f>
        <v>시계토끼</v>
      </c>
      <c r="K6452" t="str">
        <f>T("칼레이 백작가의 매맞이 하녀")</f>
        <v>칼레이 백작가의 매맞이 하녀</v>
      </c>
      <c r="L6452">
        <v>100</v>
      </c>
      <c r="M6452">
        <v>200</v>
      </c>
      <c r="N6452">
        <v>2</v>
      </c>
      <c r="O6452">
        <v>0</v>
      </c>
      <c r="P6452">
        <v>0</v>
      </c>
      <c r="Q6452">
        <v>0</v>
      </c>
      <c r="R6452">
        <v>1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0</v>
      </c>
      <c r="AE6452">
        <v>0</v>
      </c>
      <c r="AF6452">
        <v>0</v>
      </c>
      <c r="AG6452">
        <v>0</v>
      </c>
      <c r="AH6452">
        <v>0</v>
      </c>
      <c r="AI6452">
        <v>200</v>
      </c>
      <c r="AJ6452">
        <v>3</v>
      </c>
      <c r="AK6452">
        <v>0</v>
      </c>
      <c r="AL6452">
        <v>0</v>
      </c>
      <c r="AM6452">
        <v>200</v>
      </c>
      <c r="AN6452">
        <v>0</v>
      </c>
      <c r="AO6452">
        <v>0</v>
      </c>
      <c r="AP6452">
        <v>0</v>
      </c>
      <c r="AQ6452">
        <v>0</v>
      </c>
      <c r="AS6452">
        <v>0</v>
      </c>
      <c r="AT6452">
        <v>0</v>
      </c>
      <c r="AV6452">
        <v>0</v>
      </c>
      <c r="AW6452">
        <v>0</v>
      </c>
      <c r="AY6452">
        <v>0</v>
      </c>
      <c r="AZ6452">
        <v>0</v>
      </c>
      <c r="BA6452">
        <v>140</v>
      </c>
      <c r="BE6452" t="str">
        <f>T("9791164099764")</f>
        <v>9791164099764</v>
      </c>
      <c r="BF6452" t="str">
        <f>T("k262225")</f>
        <v>k262225</v>
      </c>
      <c r="BG6452" t="str">
        <f>T("로판 웹소설 &gt; 서양풍 로판")</f>
        <v>로판 웹소설 &gt; 서양풍 로판</v>
      </c>
    </row>
    <row r="6453" spans="1:59">
      <c r="A6453" t="s">
        <v>60</v>
      </c>
      <c r="B6453" s="1">
        <v>46131</v>
      </c>
      <c r="C6453">
        <v>2378059762</v>
      </c>
      <c r="D6453">
        <v>2378063410</v>
      </c>
      <c r="E6453" t="str">
        <f>T("칼레이 백작가의 매맞이 하녀 105화")</f>
        <v>칼레이 백작가의 매맞이 하녀 105화</v>
      </c>
      <c r="F6453">
        <v>105</v>
      </c>
      <c r="G6453" t="str">
        <f>T("뮤사203")</f>
        <v>뮤사203</v>
      </c>
      <c r="J6453" t="str">
        <f>T("시계토끼")</f>
        <v>시계토끼</v>
      </c>
      <c r="K6453" t="str">
        <f>T("칼레이 백작가의 매맞이 하녀")</f>
        <v>칼레이 백작가의 매맞이 하녀</v>
      </c>
      <c r="L6453">
        <v>100</v>
      </c>
      <c r="M6453">
        <v>300</v>
      </c>
      <c r="N6453">
        <v>3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0</v>
      </c>
      <c r="AE6453">
        <v>0</v>
      </c>
      <c r="AF6453">
        <v>0</v>
      </c>
      <c r="AG6453">
        <v>0</v>
      </c>
      <c r="AH6453">
        <v>0</v>
      </c>
      <c r="AI6453">
        <v>300</v>
      </c>
      <c r="AJ6453">
        <v>3</v>
      </c>
      <c r="AK6453">
        <v>0</v>
      </c>
      <c r="AL6453">
        <v>0</v>
      </c>
      <c r="AM6453">
        <v>200</v>
      </c>
      <c r="AN6453">
        <v>0</v>
      </c>
      <c r="AO6453">
        <v>120</v>
      </c>
      <c r="AP6453">
        <v>-12</v>
      </c>
      <c r="AQ6453">
        <v>0</v>
      </c>
      <c r="AS6453">
        <v>0</v>
      </c>
      <c r="AT6453">
        <v>0</v>
      </c>
      <c r="AU6453">
        <v>120</v>
      </c>
      <c r="AV6453">
        <v>-12</v>
      </c>
      <c r="AW6453">
        <v>0</v>
      </c>
      <c r="AY6453">
        <v>0</v>
      </c>
      <c r="AZ6453">
        <v>0</v>
      </c>
      <c r="BA6453">
        <v>215.6</v>
      </c>
      <c r="BE6453" t="str">
        <f>T("9791164099764")</f>
        <v>9791164099764</v>
      </c>
      <c r="BF6453" t="str">
        <f>T("k248576")</f>
        <v>k248576</v>
      </c>
      <c r="BG6453" t="str">
        <f>T("로판 웹소설 &gt; 서양풍 로판")</f>
        <v>로판 웹소설 &gt; 서양풍 로판</v>
      </c>
    </row>
    <row r="6454" spans="1:59">
      <c r="A6454" t="s">
        <v>60</v>
      </c>
      <c r="B6454" s="1">
        <v>46131</v>
      </c>
      <c r="C6454">
        <v>2378059762</v>
      </c>
      <c r="D6454">
        <v>2378063411</v>
      </c>
      <c r="E6454" t="str">
        <f>T("칼레이 백작가의 매맞이 하녀 106화")</f>
        <v>칼레이 백작가의 매맞이 하녀 106화</v>
      </c>
      <c r="F6454">
        <v>106</v>
      </c>
      <c r="G6454" t="str">
        <f>T("뮤사203")</f>
        <v>뮤사203</v>
      </c>
      <c r="J6454" t="str">
        <f>T("시계토끼")</f>
        <v>시계토끼</v>
      </c>
      <c r="K6454" t="str">
        <f>T("칼레이 백작가의 매맞이 하녀")</f>
        <v>칼레이 백작가의 매맞이 하녀</v>
      </c>
      <c r="L6454">
        <v>100</v>
      </c>
      <c r="M6454">
        <v>300</v>
      </c>
      <c r="N6454">
        <v>3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0</v>
      </c>
      <c r="AE6454">
        <v>0</v>
      </c>
      <c r="AF6454">
        <v>0</v>
      </c>
      <c r="AG6454">
        <v>0</v>
      </c>
      <c r="AH6454">
        <v>0</v>
      </c>
      <c r="AI6454">
        <v>300</v>
      </c>
      <c r="AJ6454">
        <v>3</v>
      </c>
      <c r="AK6454">
        <v>0</v>
      </c>
      <c r="AL6454">
        <v>0</v>
      </c>
      <c r="AM6454">
        <v>200</v>
      </c>
      <c r="AN6454">
        <v>0</v>
      </c>
      <c r="AO6454">
        <v>120</v>
      </c>
      <c r="AP6454">
        <v>-12</v>
      </c>
      <c r="AQ6454">
        <v>0</v>
      </c>
      <c r="AS6454">
        <v>0</v>
      </c>
      <c r="AT6454">
        <v>0</v>
      </c>
      <c r="AU6454">
        <v>120</v>
      </c>
      <c r="AV6454">
        <v>-12</v>
      </c>
      <c r="AW6454">
        <v>0</v>
      </c>
      <c r="AY6454">
        <v>0</v>
      </c>
      <c r="AZ6454">
        <v>0</v>
      </c>
      <c r="BA6454">
        <v>215.6</v>
      </c>
      <c r="BE6454" t="str">
        <f>T("9791164099764")</f>
        <v>9791164099764</v>
      </c>
      <c r="BF6454" t="str">
        <f>T("k250327")</f>
        <v>k250327</v>
      </c>
      <c r="BG6454" t="str">
        <f>T("로판 웹소설 &gt; 서양풍 로판")</f>
        <v>로판 웹소설 &gt; 서양풍 로판</v>
      </c>
    </row>
    <row r="6455" spans="1:59">
      <c r="A6455" t="s">
        <v>60</v>
      </c>
      <c r="B6455" s="1">
        <v>46131</v>
      </c>
      <c r="C6455">
        <v>2378059762</v>
      </c>
      <c r="D6455">
        <v>2378063412</v>
      </c>
      <c r="E6455" t="str">
        <f>T("칼레이 백작가의 매맞이 하녀 107화")</f>
        <v>칼레이 백작가의 매맞이 하녀 107화</v>
      </c>
      <c r="F6455">
        <v>107</v>
      </c>
      <c r="G6455" t="str">
        <f>T("뮤사203")</f>
        <v>뮤사203</v>
      </c>
      <c r="J6455" t="str">
        <f>T("시계토끼")</f>
        <v>시계토끼</v>
      </c>
      <c r="K6455" t="str">
        <f>T("칼레이 백작가의 매맞이 하녀")</f>
        <v>칼레이 백작가의 매맞이 하녀</v>
      </c>
      <c r="L6455">
        <v>100</v>
      </c>
      <c r="M6455">
        <v>300</v>
      </c>
      <c r="N6455">
        <v>3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0</v>
      </c>
      <c r="AE6455">
        <v>0</v>
      </c>
      <c r="AF6455">
        <v>0</v>
      </c>
      <c r="AG6455">
        <v>0</v>
      </c>
      <c r="AH6455">
        <v>0</v>
      </c>
      <c r="AI6455">
        <v>300</v>
      </c>
      <c r="AJ6455">
        <v>3</v>
      </c>
      <c r="AK6455">
        <v>0</v>
      </c>
      <c r="AL6455">
        <v>0</v>
      </c>
      <c r="AM6455">
        <v>200</v>
      </c>
      <c r="AN6455">
        <v>0</v>
      </c>
      <c r="AO6455">
        <v>120</v>
      </c>
      <c r="AP6455">
        <v>-12</v>
      </c>
      <c r="AQ6455">
        <v>0</v>
      </c>
      <c r="AS6455">
        <v>0</v>
      </c>
      <c r="AT6455">
        <v>0</v>
      </c>
      <c r="AU6455">
        <v>120</v>
      </c>
      <c r="AV6455">
        <v>-12</v>
      </c>
      <c r="AW6455">
        <v>0</v>
      </c>
      <c r="AY6455">
        <v>0</v>
      </c>
      <c r="AZ6455">
        <v>0</v>
      </c>
      <c r="BA6455">
        <v>215.6</v>
      </c>
      <c r="BE6455" t="str">
        <f>T("9791164099764")</f>
        <v>9791164099764</v>
      </c>
      <c r="BF6455" t="str">
        <f>T("k250328")</f>
        <v>k250328</v>
      </c>
      <c r="BG6455" t="str">
        <f>T("로판 웹소설 &gt; 서양풍 로판")</f>
        <v>로판 웹소설 &gt; 서양풍 로판</v>
      </c>
    </row>
    <row r="6456" spans="1:59">
      <c r="A6456" t="s">
        <v>60</v>
      </c>
      <c r="B6456" s="1">
        <v>46131</v>
      </c>
      <c r="C6456">
        <v>2378059762</v>
      </c>
      <c r="D6456">
        <v>2378063413</v>
      </c>
      <c r="E6456" t="str">
        <f>T("칼레이 백작가의 매맞이 하녀 108화")</f>
        <v>칼레이 백작가의 매맞이 하녀 108화</v>
      </c>
      <c r="F6456">
        <v>108</v>
      </c>
      <c r="G6456" t="str">
        <f>T("뮤사203")</f>
        <v>뮤사203</v>
      </c>
      <c r="J6456" t="str">
        <f>T("시계토끼")</f>
        <v>시계토끼</v>
      </c>
      <c r="K6456" t="str">
        <f>T("칼레이 백작가의 매맞이 하녀")</f>
        <v>칼레이 백작가의 매맞이 하녀</v>
      </c>
      <c r="L6456">
        <v>100</v>
      </c>
      <c r="M6456">
        <v>300</v>
      </c>
      <c r="N6456">
        <v>3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0</v>
      </c>
      <c r="AC6456">
        <v>0</v>
      </c>
      <c r="AD6456">
        <v>0</v>
      </c>
      <c r="AE6456">
        <v>0</v>
      </c>
      <c r="AF6456">
        <v>0</v>
      </c>
      <c r="AG6456">
        <v>0</v>
      </c>
      <c r="AH6456">
        <v>0</v>
      </c>
      <c r="AI6456">
        <v>300</v>
      </c>
      <c r="AJ6456">
        <v>3</v>
      </c>
      <c r="AK6456">
        <v>0</v>
      </c>
      <c r="AL6456">
        <v>0</v>
      </c>
      <c r="AM6456">
        <v>200</v>
      </c>
      <c r="AN6456">
        <v>0</v>
      </c>
      <c r="AO6456">
        <v>120</v>
      </c>
      <c r="AP6456">
        <v>-12</v>
      </c>
      <c r="AQ6456">
        <v>0</v>
      </c>
      <c r="AS6456">
        <v>0</v>
      </c>
      <c r="AT6456">
        <v>0</v>
      </c>
      <c r="AU6456">
        <v>120</v>
      </c>
      <c r="AV6456">
        <v>-12</v>
      </c>
      <c r="AW6456">
        <v>0</v>
      </c>
      <c r="AY6456">
        <v>0</v>
      </c>
      <c r="AZ6456">
        <v>0</v>
      </c>
      <c r="BA6456">
        <v>215.6</v>
      </c>
      <c r="BE6456" t="str">
        <f>T("9791164099764")</f>
        <v>9791164099764</v>
      </c>
      <c r="BF6456" t="str">
        <f>T("k250329")</f>
        <v>k250329</v>
      </c>
      <c r="BG6456" t="str">
        <f>T("로판 웹소설 &gt; 서양풍 로판")</f>
        <v>로판 웹소설 &gt; 서양풍 로판</v>
      </c>
    </row>
    <row r="6457" spans="1:59">
      <c r="A6457" t="s">
        <v>60</v>
      </c>
      <c r="B6457" s="1">
        <v>46131</v>
      </c>
      <c r="C6457">
        <v>2378059762</v>
      </c>
      <c r="D6457">
        <v>2378063900</v>
      </c>
      <c r="E6457" t="str">
        <f>T("칼레이 백작가의 매맞이 하녀 121화")</f>
        <v>칼레이 백작가의 매맞이 하녀 121화</v>
      </c>
      <c r="F6457">
        <v>121</v>
      </c>
      <c r="G6457" t="str">
        <f>T("뮤사203")</f>
        <v>뮤사203</v>
      </c>
      <c r="J6457" t="str">
        <f>T("시계토끼")</f>
        <v>시계토끼</v>
      </c>
      <c r="K6457" t="str">
        <f>T("칼레이 백작가의 매맞이 하녀")</f>
        <v>칼레이 백작가의 매맞이 하녀</v>
      </c>
      <c r="L6457">
        <v>100</v>
      </c>
      <c r="M6457">
        <v>200</v>
      </c>
      <c r="N6457">
        <v>2</v>
      </c>
      <c r="O6457">
        <v>0</v>
      </c>
      <c r="P6457">
        <v>0</v>
      </c>
      <c r="Q6457">
        <v>0</v>
      </c>
      <c r="R6457">
        <v>1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0</v>
      </c>
      <c r="AC6457">
        <v>0</v>
      </c>
      <c r="AD6457">
        <v>0</v>
      </c>
      <c r="AE6457">
        <v>0</v>
      </c>
      <c r="AF6457">
        <v>0</v>
      </c>
      <c r="AG6457">
        <v>0</v>
      </c>
      <c r="AH6457">
        <v>0</v>
      </c>
      <c r="AI6457">
        <v>200</v>
      </c>
      <c r="AJ6457">
        <v>3</v>
      </c>
      <c r="AK6457">
        <v>0</v>
      </c>
      <c r="AL6457">
        <v>0</v>
      </c>
      <c r="AM6457">
        <v>200</v>
      </c>
      <c r="AN6457">
        <v>0</v>
      </c>
      <c r="AO6457">
        <v>0</v>
      </c>
      <c r="AP6457">
        <v>0</v>
      </c>
      <c r="AQ6457">
        <v>0</v>
      </c>
      <c r="AS6457">
        <v>0</v>
      </c>
      <c r="AT6457">
        <v>0</v>
      </c>
      <c r="AV6457">
        <v>0</v>
      </c>
      <c r="AW6457">
        <v>0</v>
      </c>
      <c r="AY6457">
        <v>0</v>
      </c>
      <c r="AZ6457">
        <v>0</v>
      </c>
      <c r="BA6457">
        <v>140</v>
      </c>
      <c r="BE6457" t="str">
        <f>T("9791164099764")</f>
        <v>9791164099764</v>
      </c>
      <c r="BF6457" t="str">
        <f>T("k262226")</f>
        <v>k262226</v>
      </c>
      <c r="BG6457" t="str">
        <f>T("로판 웹소설 &gt; 서양풍 로판")</f>
        <v>로판 웹소설 &gt; 서양풍 로판</v>
      </c>
    </row>
    <row r="6458" spans="1:59">
      <c r="A6458" t="s">
        <v>60</v>
      </c>
      <c r="B6458" s="1">
        <v>46131</v>
      </c>
      <c r="C6458">
        <v>2378059762</v>
      </c>
      <c r="D6458">
        <v>2378063414</v>
      </c>
      <c r="E6458" t="str">
        <f>T("칼레이 백작가의 매맞이 하녀 109화")</f>
        <v>칼레이 백작가의 매맞이 하녀 109화</v>
      </c>
      <c r="F6458">
        <v>109</v>
      </c>
      <c r="G6458" t="str">
        <f>T("뮤사203")</f>
        <v>뮤사203</v>
      </c>
      <c r="J6458" t="str">
        <f>T("시계토끼")</f>
        <v>시계토끼</v>
      </c>
      <c r="K6458" t="str">
        <f>T("칼레이 백작가의 매맞이 하녀")</f>
        <v>칼레이 백작가의 매맞이 하녀</v>
      </c>
      <c r="L6458">
        <v>100</v>
      </c>
      <c r="M6458">
        <v>300</v>
      </c>
      <c r="N6458">
        <v>3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0</v>
      </c>
      <c r="AC6458">
        <v>0</v>
      </c>
      <c r="AD6458">
        <v>0</v>
      </c>
      <c r="AE6458">
        <v>0</v>
      </c>
      <c r="AF6458">
        <v>0</v>
      </c>
      <c r="AG6458">
        <v>0</v>
      </c>
      <c r="AH6458">
        <v>0</v>
      </c>
      <c r="AI6458">
        <v>300</v>
      </c>
      <c r="AJ6458">
        <v>3</v>
      </c>
      <c r="AK6458">
        <v>0</v>
      </c>
      <c r="AL6458">
        <v>0</v>
      </c>
      <c r="AM6458">
        <v>200</v>
      </c>
      <c r="AN6458">
        <v>0</v>
      </c>
      <c r="AO6458">
        <v>120</v>
      </c>
      <c r="AP6458">
        <v>-12</v>
      </c>
      <c r="AQ6458">
        <v>0</v>
      </c>
      <c r="AS6458">
        <v>0</v>
      </c>
      <c r="AT6458">
        <v>0</v>
      </c>
      <c r="AU6458">
        <v>120</v>
      </c>
      <c r="AV6458">
        <v>-12</v>
      </c>
      <c r="AW6458">
        <v>0</v>
      </c>
      <c r="AY6458">
        <v>0</v>
      </c>
      <c r="AZ6458">
        <v>0</v>
      </c>
      <c r="BA6458">
        <v>215.6</v>
      </c>
      <c r="BE6458" t="str">
        <f>T("9791164099764")</f>
        <v>9791164099764</v>
      </c>
      <c r="BF6458" t="str">
        <f>T("k250330")</f>
        <v>k250330</v>
      </c>
      <c r="BG6458" t="str">
        <f>T("로판 웹소설 &gt; 서양풍 로판")</f>
        <v>로판 웹소설 &gt; 서양풍 로판</v>
      </c>
    </row>
    <row r="6459" spans="1:59">
      <c r="A6459" t="s">
        <v>60</v>
      </c>
      <c r="B6459" s="1">
        <v>46131</v>
      </c>
      <c r="C6459">
        <v>2378059762</v>
      </c>
      <c r="D6459">
        <v>2378063698</v>
      </c>
      <c r="E6459" t="str">
        <f>T("칼레이 백작가의 매맞이 하녀 110화")</f>
        <v>칼레이 백작가의 매맞이 하녀 110화</v>
      </c>
      <c r="F6459">
        <v>110</v>
      </c>
      <c r="G6459" t="str">
        <f>T("뮤사203")</f>
        <v>뮤사203</v>
      </c>
      <c r="J6459" t="str">
        <f>T("시계토끼")</f>
        <v>시계토끼</v>
      </c>
      <c r="K6459" t="str">
        <f>T("칼레이 백작가의 매맞이 하녀")</f>
        <v>칼레이 백작가의 매맞이 하녀</v>
      </c>
      <c r="L6459">
        <v>100</v>
      </c>
      <c r="M6459">
        <v>300</v>
      </c>
      <c r="N6459">
        <v>3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0</v>
      </c>
      <c r="AC6459">
        <v>0</v>
      </c>
      <c r="AD6459">
        <v>0</v>
      </c>
      <c r="AE6459">
        <v>0</v>
      </c>
      <c r="AF6459">
        <v>0</v>
      </c>
      <c r="AG6459">
        <v>0</v>
      </c>
      <c r="AH6459">
        <v>0</v>
      </c>
      <c r="AI6459">
        <v>300</v>
      </c>
      <c r="AJ6459">
        <v>3</v>
      </c>
      <c r="AK6459">
        <v>0</v>
      </c>
      <c r="AL6459">
        <v>0</v>
      </c>
      <c r="AM6459">
        <v>200</v>
      </c>
      <c r="AN6459">
        <v>0</v>
      </c>
      <c r="AO6459">
        <v>120</v>
      </c>
      <c r="AP6459">
        <v>-12</v>
      </c>
      <c r="AQ6459">
        <v>0</v>
      </c>
      <c r="AS6459">
        <v>0</v>
      </c>
      <c r="AT6459">
        <v>0</v>
      </c>
      <c r="AU6459">
        <v>120</v>
      </c>
      <c r="AV6459">
        <v>-12</v>
      </c>
      <c r="AW6459">
        <v>0</v>
      </c>
      <c r="AY6459">
        <v>0</v>
      </c>
      <c r="AZ6459">
        <v>0</v>
      </c>
      <c r="BA6459">
        <v>215.6</v>
      </c>
      <c r="BE6459" t="str">
        <f>T("9791164099764")</f>
        <v>9791164099764</v>
      </c>
      <c r="BF6459" t="str">
        <f>T("k250809")</f>
        <v>k250809</v>
      </c>
      <c r="BG6459" t="str">
        <f>T("로판 웹소설 &gt; 서양풍 로판")</f>
        <v>로판 웹소설 &gt; 서양풍 로판</v>
      </c>
    </row>
    <row r="6460" spans="1:59">
      <c r="A6460" t="s">
        <v>60</v>
      </c>
      <c r="B6460" s="1">
        <v>46131</v>
      </c>
      <c r="C6460">
        <v>2378059762</v>
      </c>
      <c r="D6460">
        <v>2378063699</v>
      </c>
      <c r="E6460" t="str">
        <f>T("칼레이 백작가의 매맞이 하녀 111화")</f>
        <v>칼레이 백작가의 매맞이 하녀 111화</v>
      </c>
      <c r="F6460">
        <v>111</v>
      </c>
      <c r="G6460" t="str">
        <f>T("뮤사203")</f>
        <v>뮤사203</v>
      </c>
      <c r="J6460" t="str">
        <f>T("시계토끼")</f>
        <v>시계토끼</v>
      </c>
      <c r="K6460" t="str">
        <f>T("칼레이 백작가의 매맞이 하녀")</f>
        <v>칼레이 백작가의 매맞이 하녀</v>
      </c>
      <c r="L6460">
        <v>100</v>
      </c>
      <c r="M6460">
        <v>300</v>
      </c>
      <c r="N6460">
        <v>3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0</v>
      </c>
      <c r="AC6460">
        <v>0</v>
      </c>
      <c r="AD6460">
        <v>0</v>
      </c>
      <c r="AE6460">
        <v>0</v>
      </c>
      <c r="AF6460">
        <v>0</v>
      </c>
      <c r="AG6460">
        <v>0</v>
      </c>
      <c r="AH6460">
        <v>0</v>
      </c>
      <c r="AI6460">
        <v>300</v>
      </c>
      <c r="AJ6460">
        <v>3</v>
      </c>
      <c r="AK6460">
        <v>0</v>
      </c>
      <c r="AL6460">
        <v>0</v>
      </c>
      <c r="AM6460">
        <v>200</v>
      </c>
      <c r="AN6460">
        <v>0</v>
      </c>
      <c r="AO6460">
        <v>120</v>
      </c>
      <c r="AP6460">
        <v>-12</v>
      </c>
      <c r="AQ6460">
        <v>0</v>
      </c>
      <c r="AS6460">
        <v>0</v>
      </c>
      <c r="AT6460">
        <v>0</v>
      </c>
      <c r="AU6460">
        <v>120</v>
      </c>
      <c r="AV6460">
        <v>-12</v>
      </c>
      <c r="AW6460">
        <v>0</v>
      </c>
      <c r="AY6460">
        <v>0</v>
      </c>
      <c r="AZ6460">
        <v>0</v>
      </c>
      <c r="BA6460">
        <v>215.6</v>
      </c>
      <c r="BE6460" t="str">
        <f>T("9791164099764")</f>
        <v>9791164099764</v>
      </c>
      <c r="BF6460" t="str">
        <f>T("k250810")</f>
        <v>k250810</v>
      </c>
      <c r="BG6460" t="str">
        <f>T("로판 웹소설 &gt; 서양풍 로판")</f>
        <v>로판 웹소설 &gt; 서양풍 로판</v>
      </c>
    </row>
    <row r="6461" spans="1:59">
      <c r="A6461" t="s">
        <v>60</v>
      </c>
      <c r="B6461" s="1">
        <v>46131</v>
      </c>
      <c r="C6461">
        <v>2378059762</v>
      </c>
      <c r="D6461">
        <v>2378063700</v>
      </c>
      <c r="E6461" t="str">
        <f>T("칼레이 백작가의 매맞이 하녀 112화")</f>
        <v>칼레이 백작가의 매맞이 하녀 112화</v>
      </c>
      <c r="F6461">
        <v>112</v>
      </c>
      <c r="G6461" t="str">
        <f>T("뮤사203")</f>
        <v>뮤사203</v>
      </c>
      <c r="J6461" t="str">
        <f>T("시계토끼")</f>
        <v>시계토끼</v>
      </c>
      <c r="K6461" t="str">
        <f>T("칼레이 백작가의 매맞이 하녀")</f>
        <v>칼레이 백작가의 매맞이 하녀</v>
      </c>
      <c r="L6461">
        <v>100</v>
      </c>
      <c r="M6461">
        <v>300</v>
      </c>
      <c r="N6461">
        <v>3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0</v>
      </c>
      <c r="AC6461">
        <v>0</v>
      </c>
      <c r="AD6461">
        <v>0</v>
      </c>
      <c r="AE6461">
        <v>0</v>
      </c>
      <c r="AF6461">
        <v>0</v>
      </c>
      <c r="AG6461">
        <v>0</v>
      </c>
      <c r="AH6461">
        <v>0</v>
      </c>
      <c r="AI6461">
        <v>300</v>
      </c>
      <c r="AJ6461">
        <v>3</v>
      </c>
      <c r="AK6461">
        <v>0</v>
      </c>
      <c r="AL6461">
        <v>0</v>
      </c>
      <c r="AM6461">
        <v>200</v>
      </c>
      <c r="AN6461">
        <v>0</v>
      </c>
      <c r="AO6461">
        <v>120</v>
      </c>
      <c r="AP6461">
        <v>-12</v>
      </c>
      <c r="AQ6461">
        <v>0</v>
      </c>
      <c r="AS6461">
        <v>0</v>
      </c>
      <c r="AT6461">
        <v>0</v>
      </c>
      <c r="AU6461">
        <v>120</v>
      </c>
      <c r="AV6461">
        <v>-12</v>
      </c>
      <c r="AW6461">
        <v>0</v>
      </c>
      <c r="AY6461">
        <v>0</v>
      </c>
      <c r="AZ6461">
        <v>0</v>
      </c>
      <c r="BA6461">
        <v>215.6</v>
      </c>
      <c r="BE6461" t="str">
        <f>T("9791164099764")</f>
        <v>9791164099764</v>
      </c>
      <c r="BF6461" t="str">
        <f>T("k250811")</f>
        <v>k250811</v>
      </c>
      <c r="BG6461" t="str">
        <f>T("로판 웹소설 &gt; 서양풍 로판")</f>
        <v>로판 웹소설 &gt; 서양풍 로판</v>
      </c>
    </row>
    <row r="6462" spans="1:59">
      <c r="A6462" t="s">
        <v>60</v>
      </c>
      <c r="B6462" s="1">
        <v>46131</v>
      </c>
      <c r="C6462">
        <v>2378059762</v>
      </c>
      <c r="D6462">
        <v>2378063701</v>
      </c>
      <c r="E6462" t="str">
        <f>T("칼레이 백작가의 매맞이 하녀 113화")</f>
        <v>칼레이 백작가의 매맞이 하녀 113화</v>
      </c>
      <c r="F6462">
        <v>113</v>
      </c>
      <c r="G6462" t="str">
        <f>T("뮤사203")</f>
        <v>뮤사203</v>
      </c>
      <c r="J6462" t="str">
        <f>T("시계토끼")</f>
        <v>시계토끼</v>
      </c>
      <c r="K6462" t="str">
        <f>T("칼레이 백작가의 매맞이 하녀")</f>
        <v>칼레이 백작가의 매맞이 하녀</v>
      </c>
      <c r="L6462">
        <v>100</v>
      </c>
      <c r="M6462">
        <v>400</v>
      </c>
      <c r="N6462">
        <v>4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0</v>
      </c>
      <c r="AC6462">
        <v>0</v>
      </c>
      <c r="AD6462">
        <v>0</v>
      </c>
      <c r="AE6462">
        <v>0</v>
      </c>
      <c r="AF6462">
        <v>0</v>
      </c>
      <c r="AG6462">
        <v>0</v>
      </c>
      <c r="AH6462">
        <v>0</v>
      </c>
      <c r="AI6462">
        <v>400</v>
      </c>
      <c r="AJ6462">
        <v>4</v>
      </c>
      <c r="AK6462">
        <v>0</v>
      </c>
      <c r="AL6462">
        <v>0</v>
      </c>
      <c r="AM6462">
        <v>300</v>
      </c>
      <c r="AN6462">
        <v>0</v>
      </c>
      <c r="AO6462">
        <v>120</v>
      </c>
      <c r="AP6462">
        <v>-12</v>
      </c>
      <c r="AQ6462">
        <v>0</v>
      </c>
      <c r="AS6462">
        <v>0</v>
      </c>
      <c r="AT6462">
        <v>0</v>
      </c>
      <c r="AU6462">
        <v>120</v>
      </c>
      <c r="AV6462">
        <v>-12</v>
      </c>
      <c r="AW6462">
        <v>0</v>
      </c>
      <c r="AY6462">
        <v>0</v>
      </c>
      <c r="AZ6462">
        <v>0</v>
      </c>
      <c r="BA6462">
        <v>285.60000000000002</v>
      </c>
      <c r="BE6462" t="str">
        <f>T("9791164099764")</f>
        <v>9791164099764</v>
      </c>
      <c r="BF6462" t="str">
        <f>T("k250812")</f>
        <v>k250812</v>
      </c>
      <c r="BG6462" t="str">
        <f>T("로판 웹소설 &gt; 서양풍 로판")</f>
        <v>로판 웹소설 &gt; 서양풍 로판</v>
      </c>
    </row>
    <row r="6463" spans="1:59">
      <c r="A6463" t="s">
        <v>60</v>
      </c>
      <c r="B6463" s="1">
        <v>46131</v>
      </c>
      <c r="C6463">
        <v>2378059762</v>
      </c>
      <c r="D6463">
        <v>2378063702</v>
      </c>
      <c r="E6463" t="str">
        <f>T("칼레이 백작가의 매맞이 하녀 114화")</f>
        <v>칼레이 백작가의 매맞이 하녀 114화</v>
      </c>
      <c r="F6463">
        <v>114</v>
      </c>
      <c r="G6463" t="str">
        <f>T("뮤사203")</f>
        <v>뮤사203</v>
      </c>
      <c r="J6463" t="str">
        <f>T("시계토끼")</f>
        <v>시계토끼</v>
      </c>
      <c r="K6463" t="str">
        <f>T("칼레이 백작가의 매맞이 하녀")</f>
        <v>칼레이 백작가의 매맞이 하녀</v>
      </c>
      <c r="L6463">
        <v>100</v>
      </c>
      <c r="M6463">
        <v>400</v>
      </c>
      <c r="N6463">
        <v>4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0</v>
      </c>
      <c r="AC6463">
        <v>0</v>
      </c>
      <c r="AD6463">
        <v>0</v>
      </c>
      <c r="AE6463">
        <v>0</v>
      </c>
      <c r="AF6463">
        <v>0</v>
      </c>
      <c r="AG6463">
        <v>0</v>
      </c>
      <c r="AH6463">
        <v>0</v>
      </c>
      <c r="AI6463">
        <v>400</v>
      </c>
      <c r="AJ6463">
        <v>4</v>
      </c>
      <c r="AK6463">
        <v>0</v>
      </c>
      <c r="AL6463">
        <v>0</v>
      </c>
      <c r="AM6463">
        <v>300</v>
      </c>
      <c r="AN6463">
        <v>0</v>
      </c>
      <c r="AO6463">
        <v>120</v>
      </c>
      <c r="AP6463">
        <v>-12</v>
      </c>
      <c r="AQ6463">
        <v>0</v>
      </c>
      <c r="AS6463">
        <v>0</v>
      </c>
      <c r="AT6463">
        <v>0</v>
      </c>
      <c r="AU6463">
        <v>120</v>
      </c>
      <c r="AV6463">
        <v>-12</v>
      </c>
      <c r="AW6463">
        <v>0</v>
      </c>
      <c r="AY6463">
        <v>0</v>
      </c>
      <c r="AZ6463">
        <v>0</v>
      </c>
      <c r="BA6463">
        <v>285.60000000000002</v>
      </c>
      <c r="BE6463" t="str">
        <f>T("9791164099764")</f>
        <v>9791164099764</v>
      </c>
      <c r="BF6463" t="str">
        <f>T("k255133")</f>
        <v>k255133</v>
      </c>
      <c r="BG6463" t="str">
        <f>T("로판 웹소설 &gt; 서양풍 로판")</f>
        <v>로판 웹소설 &gt; 서양풍 로판</v>
      </c>
    </row>
    <row r="6464" spans="1:59">
      <c r="A6464" t="s">
        <v>60</v>
      </c>
      <c r="B6464" s="1">
        <v>46131</v>
      </c>
      <c r="C6464">
        <v>2378059762</v>
      </c>
      <c r="D6464">
        <v>2378063826</v>
      </c>
      <c r="E6464" t="str">
        <f>T("칼레이 백작가의 매맞이 하녀 115화")</f>
        <v>칼레이 백작가의 매맞이 하녀 115화</v>
      </c>
      <c r="F6464">
        <v>115</v>
      </c>
      <c r="G6464" t="str">
        <f>T("뮤사203")</f>
        <v>뮤사203</v>
      </c>
      <c r="J6464" t="str">
        <f>T("시계토끼")</f>
        <v>시계토끼</v>
      </c>
      <c r="K6464" t="str">
        <f>T("칼레이 백작가의 매맞이 하녀")</f>
        <v>칼레이 백작가의 매맞이 하녀</v>
      </c>
      <c r="L6464">
        <v>100</v>
      </c>
      <c r="M6464">
        <v>400</v>
      </c>
      <c r="N6464">
        <v>4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0</v>
      </c>
      <c r="AC6464">
        <v>0</v>
      </c>
      <c r="AD6464">
        <v>0</v>
      </c>
      <c r="AE6464">
        <v>0</v>
      </c>
      <c r="AF6464">
        <v>0</v>
      </c>
      <c r="AG6464">
        <v>0</v>
      </c>
      <c r="AH6464">
        <v>0</v>
      </c>
      <c r="AI6464">
        <v>400</v>
      </c>
      <c r="AJ6464">
        <v>4</v>
      </c>
      <c r="AK6464">
        <v>0</v>
      </c>
      <c r="AL6464">
        <v>0</v>
      </c>
      <c r="AM6464">
        <v>300</v>
      </c>
      <c r="AN6464">
        <v>0</v>
      </c>
      <c r="AO6464">
        <v>120</v>
      </c>
      <c r="AP6464">
        <v>-12</v>
      </c>
      <c r="AQ6464">
        <v>0</v>
      </c>
      <c r="AS6464">
        <v>0</v>
      </c>
      <c r="AT6464">
        <v>0</v>
      </c>
      <c r="AU6464">
        <v>120</v>
      </c>
      <c r="AV6464">
        <v>-12</v>
      </c>
      <c r="AW6464">
        <v>0</v>
      </c>
      <c r="AY6464">
        <v>0</v>
      </c>
      <c r="AZ6464">
        <v>0</v>
      </c>
      <c r="BA6464">
        <v>285.60000000000002</v>
      </c>
      <c r="BE6464" t="str">
        <f>T("9791164099764")</f>
        <v>9791164099764</v>
      </c>
      <c r="BF6464" t="str">
        <f>T("k255134")</f>
        <v>k255134</v>
      </c>
      <c r="BG6464" t="str">
        <f>T("로판 웹소설 &gt; 서양풍 로판")</f>
        <v>로판 웹소설 &gt; 서양풍 로판</v>
      </c>
    </row>
    <row r="6465" spans="1:59">
      <c r="A6465" t="s">
        <v>60</v>
      </c>
      <c r="B6465" s="1">
        <v>46131</v>
      </c>
      <c r="C6465">
        <v>2378059762</v>
      </c>
      <c r="D6465">
        <v>2378063827</v>
      </c>
      <c r="E6465" t="str">
        <f>T("칼레이 백작가의 매맞이 하녀 116화")</f>
        <v>칼레이 백작가의 매맞이 하녀 116화</v>
      </c>
      <c r="F6465">
        <v>116</v>
      </c>
      <c r="G6465" t="str">
        <f>T("뮤사203")</f>
        <v>뮤사203</v>
      </c>
      <c r="J6465" t="str">
        <f>T("시계토끼")</f>
        <v>시계토끼</v>
      </c>
      <c r="K6465" t="str">
        <f>T("칼레이 백작가의 매맞이 하녀")</f>
        <v>칼레이 백작가의 매맞이 하녀</v>
      </c>
      <c r="L6465">
        <v>100</v>
      </c>
      <c r="M6465">
        <v>300</v>
      </c>
      <c r="N6465">
        <v>3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0</v>
      </c>
      <c r="AC6465">
        <v>0</v>
      </c>
      <c r="AD6465">
        <v>0</v>
      </c>
      <c r="AE6465">
        <v>0</v>
      </c>
      <c r="AF6465">
        <v>0</v>
      </c>
      <c r="AG6465">
        <v>0</v>
      </c>
      <c r="AH6465">
        <v>0</v>
      </c>
      <c r="AI6465">
        <v>300</v>
      </c>
      <c r="AJ6465">
        <v>3</v>
      </c>
      <c r="AK6465">
        <v>0</v>
      </c>
      <c r="AL6465">
        <v>0</v>
      </c>
      <c r="AM6465">
        <v>300</v>
      </c>
      <c r="AN6465">
        <v>0</v>
      </c>
      <c r="AO6465">
        <v>0</v>
      </c>
      <c r="AP6465">
        <v>0</v>
      </c>
      <c r="AQ6465">
        <v>0</v>
      </c>
      <c r="AS6465">
        <v>0</v>
      </c>
      <c r="AT6465">
        <v>0</v>
      </c>
      <c r="AV6465">
        <v>0</v>
      </c>
      <c r="AW6465">
        <v>0</v>
      </c>
      <c r="AY6465">
        <v>0</v>
      </c>
      <c r="AZ6465">
        <v>0</v>
      </c>
      <c r="BA6465">
        <v>210</v>
      </c>
      <c r="BE6465" t="str">
        <f>T("9791164099764")</f>
        <v>9791164099764</v>
      </c>
      <c r="BF6465" t="str">
        <f>T("k255135")</f>
        <v>k255135</v>
      </c>
      <c r="BG6465" t="str">
        <f>T("로판 웹소설 &gt; 서양풍 로판")</f>
        <v>로판 웹소설 &gt; 서양풍 로판</v>
      </c>
    </row>
    <row r="6466" spans="1:59">
      <c r="A6466" t="s">
        <v>60</v>
      </c>
      <c r="B6466" s="1">
        <v>46131</v>
      </c>
      <c r="C6466">
        <v>2378059762</v>
      </c>
      <c r="D6466">
        <v>2378068934</v>
      </c>
      <c r="E6466" t="str">
        <f>T("칼레이 백작가의 매맞이 하녀 외전 12화")</f>
        <v>칼레이 백작가의 매맞이 하녀 외전 12화</v>
      </c>
      <c r="F6466">
        <v>165</v>
      </c>
      <c r="G6466" t="str">
        <f>T("뮤사203")</f>
        <v>뮤사203</v>
      </c>
      <c r="J6466" t="str">
        <f>T("시계토끼")</f>
        <v>시계토끼</v>
      </c>
      <c r="K6466" t="str">
        <f>T("칼레이 백작가의 매맞이 하녀")</f>
        <v>칼레이 백작가의 매맞이 하녀</v>
      </c>
      <c r="L6466">
        <v>100</v>
      </c>
      <c r="M6466">
        <v>100</v>
      </c>
      <c r="N6466">
        <v>1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0</v>
      </c>
      <c r="AC6466">
        <v>0</v>
      </c>
      <c r="AD6466">
        <v>0</v>
      </c>
      <c r="AE6466">
        <v>0</v>
      </c>
      <c r="AF6466">
        <v>0</v>
      </c>
      <c r="AG6466">
        <v>0</v>
      </c>
      <c r="AH6466">
        <v>0</v>
      </c>
      <c r="AI6466">
        <v>100</v>
      </c>
      <c r="AJ6466">
        <v>1</v>
      </c>
      <c r="AK6466">
        <v>0</v>
      </c>
      <c r="AL6466">
        <v>0</v>
      </c>
      <c r="AM6466">
        <v>100</v>
      </c>
      <c r="AN6466">
        <v>0</v>
      </c>
      <c r="AO6466">
        <v>0</v>
      </c>
      <c r="AP6466">
        <v>0</v>
      </c>
      <c r="AQ6466">
        <v>0</v>
      </c>
      <c r="AS6466">
        <v>0</v>
      </c>
      <c r="AT6466">
        <v>0</v>
      </c>
      <c r="AV6466">
        <v>0</v>
      </c>
      <c r="AW6466">
        <v>0</v>
      </c>
      <c r="AY6466">
        <v>0</v>
      </c>
      <c r="AZ6466">
        <v>0</v>
      </c>
      <c r="BA6466">
        <v>70</v>
      </c>
      <c r="BE6466" t="str">
        <f>T("9791164099764")</f>
        <v>9791164099764</v>
      </c>
      <c r="BF6466" t="str">
        <f>T("k398573")</f>
        <v>k398573</v>
      </c>
      <c r="BG6466" t="str">
        <f>T("로판 웹소설 &gt; 서양풍 로판")</f>
        <v>로판 웹소설 &gt; 서양풍 로판</v>
      </c>
    </row>
    <row r="6467" spans="1:59">
      <c r="A6467" t="s">
        <v>60</v>
      </c>
      <c r="B6467" s="1">
        <v>46131</v>
      </c>
      <c r="C6467">
        <v>2378059762</v>
      </c>
      <c r="D6467">
        <v>2378068935</v>
      </c>
      <c r="E6467" t="str">
        <f>T("칼레이 백작가의 매맞이 하녀 외전 13화")</f>
        <v>칼레이 백작가의 매맞이 하녀 외전 13화</v>
      </c>
      <c r="F6467">
        <v>166</v>
      </c>
      <c r="G6467" t="str">
        <f>T("뮤사203")</f>
        <v>뮤사203</v>
      </c>
      <c r="J6467" t="str">
        <f>T("시계토끼")</f>
        <v>시계토끼</v>
      </c>
      <c r="K6467" t="str">
        <f>T("칼레이 백작가의 매맞이 하녀")</f>
        <v>칼레이 백작가의 매맞이 하녀</v>
      </c>
      <c r="L6467">
        <v>100</v>
      </c>
      <c r="M6467">
        <v>100</v>
      </c>
      <c r="N6467">
        <v>1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0</v>
      </c>
      <c r="AC6467">
        <v>0</v>
      </c>
      <c r="AD6467">
        <v>0</v>
      </c>
      <c r="AE6467">
        <v>0</v>
      </c>
      <c r="AF6467">
        <v>0</v>
      </c>
      <c r="AG6467">
        <v>0</v>
      </c>
      <c r="AH6467">
        <v>0</v>
      </c>
      <c r="AI6467">
        <v>100</v>
      </c>
      <c r="AJ6467">
        <v>1</v>
      </c>
      <c r="AK6467">
        <v>0</v>
      </c>
      <c r="AL6467">
        <v>0</v>
      </c>
      <c r="AM6467">
        <v>100</v>
      </c>
      <c r="AN6467">
        <v>0</v>
      </c>
      <c r="AO6467">
        <v>0</v>
      </c>
      <c r="AP6467">
        <v>0</v>
      </c>
      <c r="AQ6467">
        <v>0</v>
      </c>
      <c r="AS6467">
        <v>0</v>
      </c>
      <c r="AT6467">
        <v>0</v>
      </c>
      <c r="AV6467">
        <v>0</v>
      </c>
      <c r="AW6467">
        <v>0</v>
      </c>
      <c r="AY6467">
        <v>0</v>
      </c>
      <c r="AZ6467">
        <v>0</v>
      </c>
      <c r="BA6467">
        <v>70</v>
      </c>
      <c r="BE6467" t="str">
        <f>T("9791164099764")</f>
        <v>9791164099764</v>
      </c>
      <c r="BF6467" t="str">
        <f>T("k398574")</f>
        <v>k398574</v>
      </c>
      <c r="BG6467" t="str">
        <f>T("로판 웹소설 &gt; 서양풍 로판")</f>
        <v>로판 웹소설 &gt; 서양풍 로판</v>
      </c>
    </row>
    <row r="6468" spans="1:59">
      <c r="A6468" t="s">
        <v>60</v>
      </c>
      <c r="B6468" s="1">
        <v>46131</v>
      </c>
      <c r="C6468">
        <v>2378059762</v>
      </c>
      <c r="D6468">
        <v>2378068936</v>
      </c>
      <c r="E6468" t="str">
        <f>T("칼레이 백작가의 매맞이 하녀 외전 14화")</f>
        <v>칼레이 백작가의 매맞이 하녀 외전 14화</v>
      </c>
      <c r="F6468">
        <v>167</v>
      </c>
      <c r="G6468" t="str">
        <f>T("뮤사203")</f>
        <v>뮤사203</v>
      </c>
      <c r="J6468" t="str">
        <f>T("시계토끼")</f>
        <v>시계토끼</v>
      </c>
      <c r="K6468" t="str">
        <f>T("칼레이 백작가의 매맞이 하녀")</f>
        <v>칼레이 백작가의 매맞이 하녀</v>
      </c>
      <c r="L6468">
        <v>100</v>
      </c>
      <c r="M6468">
        <v>100</v>
      </c>
      <c r="N6468">
        <v>1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0</v>
      </c>
      <c r="AC6468">
        <v>0</v>
      </c>
      <c r="AD6468">
        <v>0</v>
      </c>
      <c r="AE6468">
        <v>0</v>
      </c>
      <c r="AF6468">
        <v>0</v>
      </c>
      <c r="AG6468">
        <v>0</v>
      </c>
      <c r="AH6468">
        <v>0</v>
      </c>
      <c r="AI6468">
        <v>100</v>
      </c>
      <c r="AJ6468">
        <v>1</v>
      </c>
      <c r="AK6468">
        <v>0</v>
      </c>
      <c r="AL6468">
        <v>0</v>
      </c>
      <c r="AM6468">
        <v>100</v>
      </c>
      <c r="AN6468">
        <v>0</v>
      </c>
      <c r="AO6468">
        <v>0</v>
      </c>
      <c r="AP6468">
        <v>0</v>
      </c>
      <c r="AQ6468">
        <v>0</v>
      </c>
      <c r="AS6468">
        <v>0</v>
      </c>
      <c r="AT6468">
        <v>0</v>
      </c>
      <c r="AV6468">
        <v>0</v>
      </c>
      <c r="AW6468">
        <v>0</v>
      </c>
      <c r="AY6468">
        <v>0</v>
      </c>
      <c r="AZ6468">
        <v>0</v>
      </c>
      <c r="BA6468">
        <v>70</v>
      </c>
      <c r="BE6468" t="str">
        <f>T("9791164099764")</f>
        <v>9791164099764</v>
      </c>
      <c r="BF6468" t="str">
        <f>T("k398575")</f>
        <v>k398575</v>
      </c>
      <c r="BG6468" t="str">
        <f>T("로판 웹소설 &gt; 서양풍 로판")</f>
        <v>로판 웹소설 &gt; 서양풍 로판</v>
      </c>
    </row>
    <row r="6469" spans="1:59">
      <c r="A6469" t="s">
        <v>60</v>
      </c>
      <c r="B6469" s="1">
        <v>46131</v>
      </c>
      <c r="C6469">
        <v>2378059762</v>
      </c>
      <c r="D6469">
        <v>2378068937</v>
      </c>
      <c r="E6469" t="str">
        <f>T("칼레이 백작가의 매맞이 하녀 외전 15화")</f>
        <v>칼레이 백작가의 매맞이 하녀 외전 15화</v>
      </c>
      <c r="F6469">
        <v>168</v>
      </c>
      <c r="G6469" t="str">
        <f>T("뮤사203")</f>
        <v>뮤사203</v>
      </c>
      <c r="J6469" t="str">
        <f>T("시계토끼")</f>
        <v>시계토끼</v>
      </c>
      <c r="K6469" t="str">
        <f>T("칼레이 백작가의 매맞이 하녀")</f>
        <v>칼레이 백작가의 매맞이 하녀</v>
      </c>
      <c r="L6469">
        <v>100</v>
      </c>
      <c r="M6469">
        <v>100</v>
      </c>
      <c r="N6469">
        <v>1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0</v>
      </c>
      <c r="AC6469">
        <v>0</v>
      </c>
      <c r="AD6469">
        <v>0</v>
      </c>
      <c r="AE6469">
        <v>0</v>
      </c>
      <c r="AF6469">
        <v>0</v>
      </c>
      <c r="AG6469">
        <v>0</v>
      </c>
      <c r="AH6469">
        <v>0</v>
      </c>
      <c r="AI6469">
        <v>100</v>
      </c>
      <c r="AJ6469">
        <v>1</v>
      </c>
      <c r="AK6469">
        <v>0</v>
      </c>
      <c r="AL6469">
        <v>0</v>
      </c>
      <c r="AM6469">
        <v>100</v>
      </c>
      <c r="AN6469">
        <v>0</v>
      </c>
      <c r="AO6469">
        <v>0</v>
      </c>
      <c r="AP6469">
        <v>0</v>
      </c>
      <c r="AQ6469">
        <v>0</v>
      </c>
      <c r="AS6469">
        <v>0</v>
      </c>
      <c r="AT6469">
        <v>0</v>
      </c>
      <c r="AV6469">
        <v>0</v>
      </c>
      <c r="AW6469">
        <v>0</v>
      </c>
      <c r="AY6469">
        <v>0</v>
      </c>
      <c r="AZ6469">
        <v>0</v>
      </c>
      <c r="BA6469">
        <v>70</v>
      </c>
      <c r="BE6469" t="str">
        <f>T("9791164099764")</f>
        <v>9791164099764</v>
      </c>
      <c r="BF6469" t="str">
        <f>T("k398576")</f>
        <v>k398576</v>
      </c>
      <c r="BG6469" t="str">
        <f>T("로판 웹소설 &gt; 서양풍 로판")</f>
        <v>로판 웹소설 &gt; 서양풍 로판</v>
      </c>
    </row>
    <row r="6470" spans="1:59">
      <c r="A6470" t="s">
        <v>60</v>
      </c>
      <c r="B6470" s="1">
        <v>46131</v>
      </c>
      <c r="C6470">
        <v>2378059762</v>
      </c>
      <c r="D6470">
        <v>2378068938</v>
      </c>
      <c r="E6470" t="str">
        <f>T("칼레이 백작가의 매맞이 하녀 외전 16화")</f>
        <v>칼레이 백작가의 매맞이 하녀 외전 16화</v>
      </c>
      <c r="F6470">
        <v>169</v>
      </c>
      <c r="G6470" t="str">
        <f>T("뮤사203")</f>
        <v>뮤사203</v>
      </c>
      <c r="J6470" t="str">
        <f>T("시계토끼")</f>
        <v>시계토끼</v>
      </c>
      <c r="K6470" t="str">
        <f>T("칼레이 백작가의 매맞이 하녀")</f>
        <v>칼레이 백작가의 매맞이 하녀</v>
      </c>
      <c r="L6470">
        <v>100</v>
      </c>
      <c r="M6470">
        <v>100</v>
      </c>
      <c r="N6470">
        <v>1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0</v>
      </c>
      <c r="AC6470">
        <v>0</v>
      </c>
      <c r="AD6470">
        <v>0</v>
      </c>
      <c r="AE6470">
        <v>0</v>
      </c>
      <c r="AF6470">
        <v>0</v>
      </c>
      <c r="AG6470">
        <v>0</v>
      </c>
      <c r="AH6470">
        <v>0</v>
      </c>
      <c r="AI6470">
        <v>100</v>
      </c>
      <c r="AJ6470">
        <v>1</v>
      </c>
      <c r="AK6470">
        <v>0</v>
      </c>
      <c r="AL6470">
        <v>0</v>
      </c>
      <c r="AM6470">
        <v>100</v>
      </c>
      <c r="AN6470">
        <v>0</v>
      </c>
      <c r="AO6470">
        <v>0</v>
      </c>
      <c r="AP6470">
        <v>0</v>
      </c>
      <c r="AQ6470">
        <v>0</v>
      </c>
      <c r="AS6470">
        <v>0</v>
      </c>
      <c r="AT6470">
        <v>0</v>
      </c>
      <c r="AV6470">
        <v>0</v>
      </c>
      <c r="AW6470">
        <v>0</v>
      </c>
      <c r="AY6470">
        <v>0</v>
      </c>
      <c r="AZ6470">
        <v>0</v>
      </c>
      <c r="BA6470">
        <v>70</v>
      </c>
      <c r="BE6470" t="str">
        <f>T("9791164099764")</f>
        <v>9791164099764</v>
      </c>
      <c r="BF6470" t="str">
        <f>T("k398577")</f>
        <v>k398577</v>
      </c>
      <c r="BG6470" t="str">
        <f>T("로판 웹소설 &gt; 서양풍 로판")</f>
        <v>로판 웹소설 &gt; 서양풍 로판</v>
      </c>
    </row>
    <row r="6471" spans="1:59">
      <c r="A6471" t="s">
        <v>60</v>
      </c>
      <c r="B6471" s="1">
        <v>46131</v>
      </c>
      <c r="C6471">
        <v>2378059762</v>
      </c>
      <c r="D6471">
        <v>2378068939</v>
      </c>
      <c r="E6471" t="str">
        <f>T("칼레이 백작가의 매맞이 하녀 외전 17화")</f>
        <v>칼레이 백작가의 매맞이 하녀 외전 17화</v>
      </c>
      <c r="F6471">
        <v>170</v>
      </c>
      <c r="G6471" t="str">
        <f>T("뮤사203")</f>
        <v>뮤사203</v>
      </c>
      <c r="J6471" t="str">
        <f>T("시계토끼")</f>
        <v>시계토끼</v>
      </c>
      <c r="K6471" t="str">
        <f>T("칼레이 백작가의 매맞이 하녀")</f>
        <v>칼레이 백작가의 매맞이 하녀</v>
      </c>
      <c r="L6471">
        <v>100</v>
      </c>
      <c r="M6471">
        <v>100</v>
      </c>
      <c r="N6471">
        <v>1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0</v>
      </c>
      <c r="AC6471">
        <v>0</v>
      </c>
      <c r="AD6471">
        <v>0</v>
      </c>
      <c r="AE6471">
        <v>0</v>
      </c>
      <c r="AF6471">
        <v>0</v>
      </c>
      <c r="AG6471">
        <v>0</v>
      </c>
      <c r="AH6471">
        <v>0</v>
      </c>
      <c r="AI6471">
        <v>100</v>
      </c>
      <c r="AJ6471">
        <v>1</v>
      </c>
      <c r="AK6471">
        <v>0</v>
      </c>
      <c r="AL6471">
        <v>0</v>
      </c>
      <c r="AM6471">
        <v>100</v>
      </c>
      <c r="AN6471">
        <v>0</v>
      </c>
      <c r="AO6471">
        <v>0</v>
      </c>
      <c r="AP6471">
        <v>0</v>
      </c>
      <c r="AQ6471">
        <v>0</v>
      </c>
      <c r="AS6471">
        <v>0</v>
      </c>
      <c r="AT6471">
        <v>0</v>
      </c>
      <c r="AV6471">
        <v>0</v>
      </c>
      <c r="AW6471">
        <v>0</v>
      </c>
      <c r="AY6471">
        <v>0</v>
      </c>
      <c r="AZ6471">
        <v>0</v>
      </c>
      <c r="BA6471">
        <v>70</v>
      </c>
      <c r="BE6471" t="str">
        <f>T("9791164099764")</f>
        <v>9791164099764</v>
      </c>
      <c r="BF6471" t="str">
        <f>T("k398578")</f>
        <v>k398578</v>
      </c>
      <c r="BG6471" t="str">
        <f>T("로판 웹소설 &gt; 서양풍 로판")</f>
        <v>로판 웹소설 &gt; 서양풍 로판</v>
      </c>
    </row>
    <row r="6472" spans="1:59">
      <c r="A6472" t="s">
        <v>60</v>
      </c>
      <c r="B6472" s="1">
        <v>46131</v>
      </c>
      <c r="C6472">
        <v>2378059762</v>
      </c>
      <c r="D6472">
        <v>2378068940</v>
      </c>
      <c r="E6472" t="str">
        <f>T("칼레이 백작가의 매맞이 하녀 외전 18화")</f>
        <v>칼레이 백작가의 매맞이 하녀 외전 18화</v>
      </c>
      <c r="F6472">
        <v>171</v>
      </c>
      <c r="G6472" t="str">
        <f>T("뮤사203")</f>
        <v>뮤사203</v>
      </c>
      <c r="J6472" t="str">
        <f>T("시계토끼")</f>
        <v>시계토끼</v>
      </c>
      <c r="K6472" t="str">
        <f>T("칼레이 백작가의 매맞이 하녀")</f>
        <v>칼레이 백작가의 매맞이 하녀</v>
      </c>
      <c r="L6472">
        <v>100</v>
      </c>
      <c r="M6472">
        <v>100</v>
      </c>
      <c r="N6472">
        <v>1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0</v>
      </c>
      <c r="AC6472">
        <v>0</v>
      </c>
      <c r="AD6472">
        <v>0</v>
      </c>
      <c r="AE6472">
        <v>0</v>
      </c>
      <c r="AF6472">
        <v>0</v>
      </c>
      <c r="AG6472">
        <v>0</v>
      </c>
      <c r="AH6472">
        <v>0</v>
      </c>
      <c r="AI6472">
        <v>100</v>
      </c>
      <c r="AJ6472">
        <v>1</v>
      </c>
      <c r="AK6472">
        <v>0</v>
      </c>
      <c r="AL6472">
        <v>0</v>
      </c>
      <c r="AM6472">
        <v>100</v>
      </c>
      <c r="AN6472">
        <v>0</v>
      </c>
      <c r="AO6472">
        <v>0</v>
      </c>
      <c r="AP6472">
        <v>0</v>
      </c>
      <c r="AQ6472">
        <v>0</v>
      </c>
      <c r="AS6472">
        <v>0</v>
      </c>
      <c r="AT6472">
        <v>0</v>
      </c>
      <c r="AV6472">
        <v>0</v>
      </c>
      <c r="AW6472">
        <v>0</v>
      </c>
      <c r="AY6472">
        <v>0</v>
      </c>
      <c r="AZ6472">
        <v>0</v>
      </c>
      <c r="BA6472">
        <v>70</v>
      </c>
      <c r="BE6472" t="str">
        <f>T("9791164099764")</f>
        <v>9791164099764</v>
      </c>
      <c r="BF6472" t="str">
        <f>T("k398579")</f>
        <v>k398579</v>
      </c>
      <c r="BG6472" t="str">
        <f>T("로판 웹소설 &gt; 서양풍 로판")</f>
        <v>로판 웹소설 &gt; 서양풍 로판</v>
      </c>
    </row>
    <row r="6473" spans="1:59">
      <c r="A6473" t="s">
        <v>60</v>
      </c>
      <c r="B6473" s="1">
        <v>46131</v>
      </c>
      <c r="C6473">
        <v>2378059762</v>
      </c>
      <c r="D6473">
        <v>2378068941</v>
      </c>
      <c r="E6473" t="str">
        <f>T("칼레이 백작가의 매맞이 하녀 외전 19화")</f>
        <v>칼레이 백작가의 매맞이 하녀 외전 19화</v>
      </c>
      <c r="F6473">
        <v>172</v>
      </c>
      <c r="G6473" t="str">
        <f>T("뮤사203")</f>
        <v>뮤사203</v>
      </c>
      <c r="J6473" t="str">
        <f>T("시계토끼")</f>
        <v>시계토끼</v>
      </c>
      <c r="K6473" t="str">
        <f>T("칼레이 백작가의 매맞이 하녀")</f>
        <v>칼레이 백작가의 매맞이 하녀</v>
      </c>
      <c r="L6473">
        <v>100</v>
      </c>
      <c r="M6473">
        <v>100</v>
      </c>
      <c r="N6473">
        <v>1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0</v>
      </c>
      <c r="AC6473">
        <v>0</v>
      </c>
      <c r="AD6473">
        <v>0</v>
      </c>
      <c r="AE6473">
        <v>0</v>
      </c>
      <c r="AF6473">
        <v>0</v>
      </c>
      <c r="AG6473">
        <v>0</v>
      </c>
      <c r="AH6473">
        <v>0</v>
      </c>
      <c r="AI6473">
        <v>100</v>
      </c>
      <c r="AJ6473">
        <v>1</v>
      </c>
      <c r="AK6473">
        <v>0</v>
      </c>
      <c r="AL6473">
        <v>0</v>
      </c>
      <c r="AM6473">
        <v>100</v>
      </c>
      <c r="AN6473">
        <v>0</v>
      </c>
      <c r="AO6473">
        <v>0</v>
      </c>
      <c r="AP6473">
        <v>0</v>
      </c>
      <c r="AQ6473">
        <v>0</v>
      </c>
      <c r="AS6473">
        <v>0</v>
      </c>
      <c r="AT6473">
        <v>0</v>
      </c>
      <c r="AV6473">
        <v>0</v>
      </c>
      <c r="AW6473">
        <v>0</v>
      </c>
      <c r="AY6473">
        <v>0</v>
      </c>
      <c r="AZ6473">
        <v>0</v>
      </c>
      <c r="BA6473">
        <v>70</v>
      </c>
      <c r="BE6473" t="str">
        <f>T("9791164099764")</f>
        <v>9791164099764</v>
      </c>
      <c r="BF6473" t="str">
        <f>T("k398580")</f>
        <v>k398580</v>
      </c>
      <c r="BG6473" t="str">
        <f>T("로판 웹소설 &gt; 서양풍 로판")</f>
        <v>로판 웹소설 &gt; 서양풍 로판</v>
      </c>
    </row>
    <row r="6474" spans="1:59">
      <c r="A6474" t="s">
        <v>60</v>
      </c>
      <c r="B6474" s="1">
        <v>46131</v>
      </c>
      <c r="C6474">
        <v>2378059762</v>
      </c>
      <c r="D6474">
        <v>2378063896</v>
      </c>
      <c r="E6474" t="str">
        <f>T("칼레이 백작가의 매맞이 하녀 117화")</f>
        <v>칼레이 백작가의 매맞이 하녀 117화</v>
      </c>
      <c r="F6474">
        <v>117</v>
      </c>
      <c r="G6474" t="str">
        <f>T("뮤사203")</f>
        <v>뮤사203</v>
      </c>
      <c r="J6474" t="str">
        <f>T("시계토끼")</f>
        <v>시계토끼</v>
      </c>
      <c r="K6474" t="str">
        <f>T("칼레이 백작가의 매맞이 하녀")</f>
        <v>칼레이 백작가의 매맞이 하녀</v>
      </c>
      <c r="L6474">
        <v>100</v>
      </c>
      <c r="M6474">
        <v>300</v>
      </c>
      <c r="N6474">
        <v>3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0</v>
      </c>
      <c r="AC6474">
        <v>0</v>
      </c>
      <c r="AD6474">
        <v>0</v>
      </c>
      <c r="AE6474">
        <v>0</v>
      </c>
      <c r="AF6474">
        <v>0</v>
      </c>
      <c r="AG6474">
        <v>0</v>
      </c>
      <c r="AH6474">
        <v>0</v>
      </c>
      <c r="AI6474">
        <v>300</v>
      </c>
      <c r="AJ6474">
        <v>3</v>
      </c>
      <c r="AK6474">
        <v>0</v>
      </c>
      <c r="AL6474">
        <v>0</v>
      </c>
      <c r="AM6474">
        <v>300</v>
      </c>
      <c r="AN6474">
        <v>0</v>
      </c>
      <c r="AO6474">
        <v>0</v>
      </c>
      <c r="AP6474">
        <v>0</v>
      </c>
      <c r="AQ6474">
        <v>0</v>
      </c>
      <c r="AS6474">
        <v>0</v>
      </c>
      <c r="AT6474">
        <v>0</v>
      </c>
      <c r="AV6474">
        <v>0</v>
      </c>
      <c r="AW6474">
        <v>0</v>
      </c>
      <c r="AY6474">
        <v>0</v>
      </c>
      <c r="AZ6474">
        <v>0</v>
      </c>
      <c r="BA6474">
        <v>210</v>
      </c>
      <c r="BE6474" t="str">
        <f>T("9791164099764")</f>
        <v>9791164099764</v>
      </c>
      <c r="BF6474" t="str">
        <f>T("k255136")</f>
        <v>k255136</v>
      </c>
      <c r="BG6474" t="str">
        <f>T("로판 웹소설 &gt; 서양풍 로판")</f>
        <v>로판 웹소설 &gt; 서양풍 로판</v>
      </c>
    </row>
    <row r="6475" spans="1:59">
      <c r="A6475" t="s">
        <v>60</v>
      </c>
      <c r="B6475" s="1">
        <v>46131</v>
      </c>
      <c r="C6475">
        <v>2378059762</v>
      </c>
      <c r="D6475">
        <v>2378063897</v>
      </c>
      <c r="E6475" t="str">
        <f>T("칼레이 백작가의 매맞이 하녀 118화")</f>
        <v>칼레이 백작가의 매맞이 하녀 118화</v>
      </c>
      <c r="F6475">
        <v>118</v>
      </c>
      <c r="G6475" t="str">
        <f>T("뮤사203")</f>
        <v>뮤사203</v>
      </c>
      <c r="J6475" t="str">
        <f>T("시계토끼")</f>
        <v>시계토끼</v>
      </c>
      <c r="K6475" t="str">
        <f>T("칼레이 백작가의 매맞이 하녀")</f>
        <v>칼레이 백작가의 매맞이 하녀</v>
      </c>
      <c r="L6475">
        <v>100</v>
      </c>
      <c r="M6475">
        <v>300</v>
      </c>
      <c r="N6475">
        <v>3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0</v>
      </c>
      <c r="AC6475">
        <v>0</v>
      </c>
      <c r="AD6475">
        <v>0</v>
      </c>
      <c r="AE6475">
        <v>0</v>
      </c>
      <c r="AF6475">
        <v>0</v>
      </c>
      <c r="AG6475">
        <v>0</v>
      </c>
      <c r="AH6475">
        <v>0</v>
      </c>
      <c r="AI6475">
        <v>300</v>
      </c>
      <c r="AJ6475">
        <v>3</v>
      </c>
      <c r="AK6475">
        <v>0</v>
      </c>
      <c r="AL6475">
        <v>0</v>
      </c>
      <c r="AM6475">
        <v>300</v>
      </c>
      <c r="AN6475">
        <v>0</v>
      </c>
      <c r="AO6475">
        <v>0</v>
      </c>
      <c r="AP6475">
        <v>0</v>
      </c>
      <c r="AQ6475">
        <v>0</v>
      </c>
      <c r="AS6475">
        <v>0</v>
      </c>
      <c r="AT6475">
        <v>0</v>
      </c>
      <c r="AV6475">
        <v>0</v>
      </c>
      <c r="AW6475">
        <v>0</v>
      </c>
      <c r="AY6475">
        <v>0</v>
      </c>
      <c r="AZ6475">
        <v>0</v>
      </c>
      <c r="BA6475">
        <v>210</v>
      </c>
      <c r="BE6475" t="str">
        <f>T("9791164099764")</f>
        <v>9791164099764</v>
      </c>
      <c r="BF6475" t="str">
        <f>T("k262223")</f>
        <v>k262223</v>
      </c>
      <c r="BG6475" t="str">
        <f>T("로판 웹소설 &gt; 서양풍 로판")</f>
        <v>로판 웹소설 &gt; 서양풍 로판</v>
      </c>
    </row>
    <row r="6476" spans="1:59">
      <c r="A6476" t="s">
        <v>60</v>
      </c>
      <c r="B6476" s="1">
        <v>46131</v>
      </c>
      <c r="C6476">
        <v>2378059762</v>
      </c>
      <c r="D6476">
        <v>2378065378</v>
      </c>
      <c r="E6476" t="str">
        <f>T("칼레이 백작가의 매맞이 하녀 130화")</f>
        <v>칼레이 백작가의 매맞이 하녀 130화</v>
      </c>
      <c r="F6476">
        <v>130</v>
      </c>
      <c r="G6476" t="str">
        <f>T("뮤사203")</f>
        <v>뮤사203</v>
      </c>
      <c r="J6476" t="str">
        <f>T("시계토끼")</f>
        <v>시계토끼</v>
      </c>
      <c r="K6476" t="str">
        <f>T("칼레이 백작가의 매맞이 하녀")</f>
        <v>칼레이 백작가의 매맞이 하녀</v>
      </c>
      <c r="L6476">
        <v>100</v>
      </c>
      <c r="M6476">
        <v>100</v>
      </c>
      <c r="N6476">
        <v>1</v>
      </c>
      <c r="O6476">
        <v>0</v>
      </c>
      <c r="P6476">
        <v>100</v>
      </c>
      <c r="Q6476">
        <v>1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0</v>
      </c>
      <c r="AC6476">
        <v>0</v>
      </c>
      <c r="AD6476">
        <v>0</v>
      </c>
      <c r="AE6476">
        <v>0</v>
      </c>
      <c r="AF6476">
        <v>0</v>
      </c>
      <c r="AG6476">
        <v>0</v>
      </c>
      <c r="AH6476">
        <v>0</v>
      </c>
      <c r="AI6476">
        <v>200</v>
      </c>
      <c r="AJ6476">
        <v>2</v>
      </c>
      <c r="AK6476">
        <v>0</v>
      </c>
      <c r="AL6476">
        <v>0</v>
      </c>
      <c r="AM6476">
        <v>200</v>
      </c>
      <c r="AN6476">
        <v>0</v>
      </c>
      <c r="AO6476">
        <v>0</v>
      </c>
      <c r="AP6476">
        <v>0</v>
      </c>
      <c r="AQ6476">
        <v>0</v>
      </c>
      <c r="AS6476">
        <v>0</v>
      </c>
      <c r="AT6476">
        <v>0</v>
      </c>
      <c r="AV6476">
        <v>0</v>
      </c>
      <c r="AW6476">
        <v>0</v>
      </c>
      <c r="AY6476">
        <v>0</v>
      </c>
      <c r="AZ6476">
        <v>0</v>
      </c>
      <c r="BA6476">
        <v>140</v>
      </c>
      <c r="BE6476" t="str">
        <f>T("9791164099764")</f>
        <v>9791164099764</v>
      </c>
      <c r="BF6476" t="str">
        <f>T("k284248")</f>
        <v>k284248</v>
      </c>
      <c r="BG6476" t="str">
        <f>T("로판 웹소설 &gt; 서양풍 로판")</f>
        <v>로판 웹소설 &gt; 서양풍 로판</v>
      </c>
    </row>
    <row r="6477" spans="1:59">
      <c r="A6477" t="s">
        <v>60</v>
      </c>
      <c r="B6477" s="1">
        <v>46131</v>
      </c>
      <c r="C6477">
        <v>2378059762</v>
      </c>
      <c r="D6477">
        <v>2378064180</v>
      </c>
      <c r="E6477" t="str">
        <f>T("칼레이 백작가의 매맞이 하녀 122화")</f>
        <v>칼레이 백작가의 매맞이 하녀 122화</v>
      </c>
      <c r="F6477">
        <v>122</v>
      </c>
      <c r="G6477" t="str">
        <f>T("뮤사203")</f>
        <v>뮤사203</v>
      </c>
      <c r="J6477" t="str">
        <f>T("시계토끼")</f>
        <v>시계토끼</v>
      </c>
      <c r="K6477" t="str">
        <f>T("칼레이 백작가의 매맞이 하녀")</f>
        <v>칼레이 백작가의 매맞이 하녀</v>
      </c>
      <c r="L6477">
        <v>100</v>
      </c>
      <c r="M6477">
        <v>200</v>
      </c>
      <c r="N6477">
        <v>2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0</v>
      </c>
      <c r="AC6477">
        <v>0</v>
      </c>
      <c r="AD6477">
        <v>0</v>
      </c>
      <c r="AE6477">
        <v>0</v>
      </c>
      <c r="AF6477">
        <v>0</v>
      </c>
      <c r="AG6477">
        <v>0</v>
      </c>
      <c r="AH6477">
        <v>0</v>
      </c>
      <c r="AI6477">
        <v>200</v>
      </c>
      <c r="AJ6477">
        <v>2</v>
      </c>
      <c r="AK6477">
        <v>0</v>
      </c>
      <c r="AL6477">
        <v>0</v>
      </c>
      <c r="AM6477">
        <v>200</v>
      </c>
      <c r="AN6477">
        <v>0</v>
      </c>
      <c r="AO6477">
        <v>0</v>
      </c>
      <c r="AP6477">
        <v>0</v>
      </c>
      <c r="AQ6477">
        <v>0</v>
      </c>
      <c r="AS6477">
        <v>0</v>
      </c>
      <c r="AT6477">
        <v>0</v>
      </c>
      <c r="AV6477">
        <v>0</v>
      </c>
      <c r="AW6477">
        <v>0</v>
      </c>
      <c r="AY6477">
        <v>0</v>
      </c>
      <c r="AZ6477">
        <v>0</v>
      </c>
      <c r="BA6477">
        <v>140</v>
      </c>
      <c r="BE6477" t="str">
        <f>T("9791164099764")</f>
        <v>9791164099764</v>
      </c>
      <c r="BF6477" t="str">
        <f>T("k269777")</f>
        <v>k269777</v>
      </c>
      <c r="BG6477" t="str">
        <f>T("로판 웹소설 &gt; 서양풍 로판")</f>
        <v>로판 웹소설 &gt; 서양풍 로판</v>
      </c>
    </row>
    <row r="6478" spans="1:59">
      <c r="A6478" t="s">
        <v>60</v>
      </c>
      <c r="B6478" s="1">
        <v>46131</v>
      </c>
      <c r="C6478">
        <v>2378059762</v>
      </c>
      <c r="D6478">
        <v>2378064342</v>
      </c>
      <c r="E6478" t="str">
        <f>T("칼레이 백작가의 매맞이 하녀 123화")</f>
        <v>칼레이 백작가의 매맞이 하녀 123화</v>
      </c>
      <c r="F6478">
        <v>123</v>
      </c>
      <c r="G6478" t="str">
        <f>T("뮤사203")</f>
        <v>뮤사203</v>
      </c>
      <c r="J6478" t="str">
        <f>T("시계토끼")</f>
        <v>시계토끼</v>
      </c>
      <c r="K6478" t="str">
        <f>T("칼레이 백작가의 매맞이 하녀")</f>
        <v>칼레이 백작가의 매맞이 하녀</v>
      </c>
      <c r="L6478">
        <v>100</v>
      </c>
      <c r="M6478">
        <v>200</v>
      </c>
      <c r="N6478">
        <v>2</v>
      </c>
      <c r="O6478">
        <v>0</v>
      </c>
      <c r="P6478">
        <v>100</v>
      </c>
      <c r="Q6478">
        <v>1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0</v>
      </c>
      <c r="AC6478">
        <v>0</v>
      </c>
      <c r="AD6478">
        <v>0</v>
      </c>
      <c r="AE6478">
        <v>0</v>
      </c>
      <c r="AF6478">
        <v>0</v>
      </c>
      <c r="AG6478">
        <v>0</v>
      </c>
      <c r="AH6478">
        <v>0</v>
      </c>
      <c r="AI6478">
        <v>300</v>
      </c>
      <c r="AJ6478">
        <v>3</v>
      </c>
      <c r="AK6478">
        <v>0</v>
      </c>
      <c r="AL6478">
        <v>0</v>
      </c>
      <c r="AM6478">
        <v>300</v>
      </c>
      <c r="AN6478">
        <v>0</v>
      </c>
      <c r="AO6478">
        <v>0</v>
      </c>
      <c r="AP6478">
        <v>0</v>
      </c>
      <c r="AQ6478">
        <v>0</v>
      </c>
      <c r="AS6478">
        <v>0</v>
      </c>
      <c r="AT6478">
        <v>0</v>
      </c>
      <c r="AV6478">
        <v>0</v>
      </c>
      <c r="AW6478">
        <v>0</v>
      </c>
      <c r="AY6478">
        <v>0</v>
      </c>
      <c r="AZ6478">
        <v>0</v>
      </c>
      <c r="BA6478">
        <v>210</v>
      </c>
      <c r="BE6478" t="str">
        <f>T("9791164099764")</f>
        <v>9791164099764</v>
      </c>
      <c r="BF6478" t="str">
        <f>T("k269778")</f>
        <v>k269778</v>
      </c>
      <c r="BG6478" t="str">
        <f>T("로판 웹소설 &gt; 서양풍 로판")</f>
        <v>로판 웹소설 &gt; 서양풍 로판</v>
      </c>
    </row>
    <row r="6479" spans="1:59">
      <c r="A6479" t="s">
        <v>60</v>
      </c>
      <c r="B6479" s="1">
        <v>46131</v>
      </c>
      <c r="C6479">
        <v>2378059762</v>
      </c>
      <c r="D6479">
        <v>2378066475</v>
      </c>
      <c r="E6479" t="str">
        <f>T("칼레이 백작가의 매맞이 하녀 153화 (완결)")</f>
        <v>칼레이 백작가의 매맞이 하녀 153화 (완결)</v>
      </c>
      <c r="F6479">
        <v>153</v>
      </c>
      <c r="G6479" t="str">
        <f>T("뮤사203")</f>
        <v>뮤사203</v>
      </c>
      <c r="J6479" t="str">
        <f>T("시계토끼")</f>
        <v>시계토끼</v>
      </c>
      <c r="K6479" t="str">
        <f>T("칼레이 백작가의 매맞이 하녀")</f>
        <v>칼레이 백작가의 매맞이 하녀</v>
      </c>
      <c r="L6479">
        <v>100</v>
      </c>
      <c r="M6479">
        <v>100</v>
      </c>
      <c r="N6479">
        <v>1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0</v>
      </c>
      <c r="AC6479">
        <v>0</v>
      </c>
      <c r="AD6479">
        <v>0</v>
      </c>
      <c r="AE6479">
        <v>0</v>
      </c>
      <c r="AF6479">
        <v>0</v>
      </c>
      <c r="AG6479">
        <v>0</v>
      </c>
      <c r="AH6479">
        <v>0</v>
      </c>
      <c r="AI6479">
        <v>100</v>
      </c>
      <c r="AJ6479">
        <v>1</v>
      </c>
      <c r="AK6479">
        <v>0</v>
      </c>
      <c r="AL6479">
        <v>0</v>
      </c>
      <c r="AM6479">
        <v>0</v>
      </c>
      <c r="AN6479">
        <v>0</v>
      </c>
      <c r="AO6479">
        <v>120</v>
      </c>
      <c r="AP6479">
        <v>-12</v>
      </c>
      <c r="AQ6479">
        <v>0</v>
      </c>
      <c r="AS6479">
        <v>0</v>
      </c>
      <c r="AT6479">
        <v>0</v>
      </c>
      <c r="AU6479">
        <v>120</v>
      </c>
      <c r="AV6479">
        <v>-12</v>
      </c>
      <c r="AW6479">
        <v>0</v>
      </c>
      <c r="AY6479">
        <v>0</v>
      </c>
      <c r="AZ6479">
        <v>0</v>
      </c>
      <c r="BA6479">
        <v>75.599999999999994</v>
      </c>
      <c r="BE6479" t="str">
        <f>T("9791164099764")</f>
        <v>9791164099764</v>
      </c>
      <c r="BF6479" t="str">
        <f>T("k300781")</f>
        <v>k300781</v>
      </c>
      <c r="BG6479" t="str">
        <f>T("로판 웹소설 &gt; 서양풍 로판")</f>
        <v>로판 웹소설 &gt; 서양풍 로판</v>
      </c>
    </row>
    <row r="6480" spans="1:59">
      <c r="A6480" t="s">
        <v>60</v>
      </c>
      <c r="B6480" s="1">
        <v>46131</v>
      </c>
      <c r="C6480">
        <v>2378059762</v>
      </c>
      <c r="D6480">
        <v>2378064343</v>
      </c>
      <c r="E6480" t="str">
        <f>T("칼레이 백작가의 매맞이 하녀 124화")</f>
        <v>칼레이 백작가의 매맞이 하녀 124화</v>
      </c>
      <c r="F6480">
        <v>124</v>
      </c>
      <c r="G6480" t="str">
        <f>T("뮤사203")</f>
        <v>뮤사203</v>
      </c>
      <c r="J6480" t="str">
        <f>T("시계토끼")</f>
        <v>시계토끼</v>
      </c>
      <c r="K6480" t="str">
        <f>T("칼레이 백작가의 매맞이 하녀")</f>
        <v>칼레이 백작가의 매맞이 하녀</v>
      </c>
      <c r="L6480">
        <v>100</v>
      </c>
      <c r="M6480">
        <v>200</v>
      </c>
      <c r="N6480">
        <v>2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0</v>
      </c>
      <c r="AC6480">
        <v>0</v>
      </c>
      <c r="AD6480">
        <v>0</v>
      </c>
      <c r="AE6480">
        <v>0</v>
      </c>
      <c r="AF6480">
        <v>0</v>
      </c>
      <c r="AG6480">
        <v>0</v>
      </c>
      <c r="AH6480">
        <v>0</v>
      </c>
      <c r="AI6480">
        <v>200</v>
      </c>
      <c r="AJ6480">
        <v>2</v>
      </c>
      <c r="AK6480">
        <v>0</v>
      </c>
      <c r="AL6480">
        <v>0</v>
      </c>
      <c r="AM6480">
        <v>200</v>
      </c>
      <c r="AN6480">
        <v>0</v>
      </c>
      <c r="AO6480">
        <v>0</v>
      </c>
      <c r="AP6480">
        <v>0</v>
      </c>
      <c r="AQ6480">
        <v>0</v>
      </c>
      <c r="AS6480">
        <v>0</v>
      </c>
      <c r="AT6480">
        <v>0</v>
      </c>
      <c r="AV6480">
        <v>0</v>
      </c>
      <c r="AW6480">
        <v>0</v>
      </c>
      <c r="AY6480">
        <v>0</v>
      </c>
      <c r="AZ6480">
        <v>0</v>
      </c>
      <c r="BA6480">
        <v>140</v>
      </c>
      <c r="BE6480" t="str">
        <f>T("9791164099764")</f>
        <v>9791164099764</v>
      </c>
      <c r="BF6480" t="str">
        <f>T("k269779")</f>
        <v>k269779</v>
      </c>
      <c r="BG6480" t="str">
        <f>T("로판 웹소설 &gt; 서양풍 로판")</f>
        <v>로판 웹소설 &gt; 서양풍 로판</v>
      </c>
    </row>
    <row r="6481" spans="1:59">
      <c r="A6481" t="s">
        <v>60</v>
      </c>
      <c r="B6481" s="1">
        <v>46131</v>
      </c>
      <c r="C6481">
        <v>2378059762</v>
      </c>
      <c r="D6481">
        <v>2378064397</v>
      </c>
      <c r="E6481" t="str">
        <f>T("칼레이 백작가의 매맞이 하녀 125화")</f>
        <v>칼레이 백작가의 매맞이 하녀 125화</v>
      </c>
      <c r="F6481">
        <v>125</v>
      </c>
      <c r="G6481" t="str">
        <f>T("뮤사203")</f>
        <v>뮤사203</v>
      </c>
      <c r="J6481" t="str">
        <f>T("시계토끼")</f>
        <v>시계토끼</v>
      </c>
      <c r="K6481" t="str">
        <f>T("칼레이 백작가의 매맞이 하녀")</f>
        <v>칼레이 백작가의 매맞이 하녀</v>
      </c>
      <c r="L6481">
        <v>100</v>
      </c>
      <c r="M6481">
        <v>200</v>
      </c>
      <c r="N6481">
        <v>2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0</v>
      </c>
      <c r="AC6481">
        <v>0</v>
      </c>
      <c r="AD6481">
        <v>0</v>
      </c>
      <c r="AE6481">
        <v>0</v>
      </c>
      <c r="AF6481">
        <v>0</v>
      </c>
      <c r="AG6481">
        <v>0</v>
      </c>
      <c r="AH6481">
        <v>0</v>
      </c>
      <c r="AI6481">
        <v>200</v>
      </c>
      <c r="AJ6481">
        <v>2</v>
      </c>
      <c r="AK6481">
        <v>0</v>
      </c>
      <c r="AL6481">
        <v>0</v>
      </c>
      <c r="AM6481">
        <v>200</v>
      </c>
      <c r="AN6481">
        <v>0</v>
      </c>
      <c r="AO6481">
        <v>0</v>
      </c>
      <c r="AP6481">
        <v>0</v>
      </c>
      <c r="AQ6481">
        <v>0</v>
      </c>
      <c r="AS6481">
        <v>0</v>
      </c>
      <c r="AT6481">
        <v>0</v>
      </c>
      <c r="AV6481">
        <v>0</v>
      </c>
      <c r="AW6481">
        <v>0</v>
      </c>
      <c r="AY6481">
        <v>0</v>
      </c>
      <c r="AZ6481">
        <v>0</v>
      </c>
      <c r="BA6481">
        <v>140</v>
      </c>
      <c r="BE6481" t="str">
        <f>T("9791164099764")</f>
        <v>9791164099764</v>
      </c>
      <c r="BF6481" t="str">
        <f>T("k269780")</f>
        <v>k269780</v>
      </c>
      <c r="BG6481" t="str">
        <f>T("로판 웹소설 &gt; 서양풍 로판")</f>
        <v>로판 웹소설 &gt; 서양풍 로판</v>
      </c>
    </row>
    <row r="6482" spans="1:59">
      <c r="A6482" t="s">
        <v>60</v>
      </c>
      <c r="B6482" s="1">
        <v>46131</v>
      </c>
      <c r="C6482">
        <v>2378059762</v>
      </c>
      <c r="D6482">
        <v>2378065380</v>
      </c>
      <c r="E6482" t="str">
        <f>T("칼레이 백작가의 매맞이 하녀 132화")</f>
        <v>칼레이 백작가의 매맞이 하녀 132화</v>
      </c>
      <c r="F6482">
        <v>132</v>
      </c>
      <c r="G6482" t="str">
        <f>T("뮤사203")</f>
        <v>뮤사203</v>
      </c>
      <c r="J6482" t="str">
        <f>T("시계토끼")</f>
        <v>시계토끼</v>
      </c>
      <c r="K6482" t="str">
        <f>T("칼레이 백작가의 매맞이 하녀")</f>
        <v>칼레이 백작가의 매맞이 하녀</v>
      </c>
      <c r="L6482">
        <v>100</v>
      </c>
      <c r="M6482">
        <v>100</v>
      </c>
      <c r="N6482">
        <v>1</v>
      </c>
      <c r="O6482">
        <v>0</v>
      </c>
      <c r="P6482">
        <v>100</v>
      </c>
      <c r="Q6482">
        <v>1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0</v>
      </c>
      <c r="AC6482">
        <v>0</v>
      </c>
      <c r="AD6482">
        <v>0</v>
      </c>
      <c r="AE6482">
        <v>0</v>
      </c>
      <c r="AF6482">
        <v>0</v>
      </c>
      <c r="AG6482">
        <v>0</v>
      </c>
      <c r="AH6482">
        <v>0</v>
      </c>
      <c r="AI6482">
        <v>200</v>
      </c>
      <c r="AJ6482">
        <v>2</v>
      </c>
      <c r="AK6482">
        <v>0</v>
      </c>
      <c r="AL6482">
        <v>0</v>
      </c>
      <c r="AM6482">
        <v>200</v>
      </c>
      <c r="AN6482">
        <v>0</v>
      </c>
      <c r="AO6482">
        <v>0</v>
      </c>
      <c r="AP6482">
        <v>0</v>
      </c>
      <c r="AQ6482">
        <v>0</v>
      </c>
      <c r="AS6482">
        <v>0</v>
      </c>
      <c r="AT6482">
        <v>0</v>
      </c>
      <c r="AV6482">
        <v>0</v>
      </c>
      <c r="AW6482">
        <v>0</v>
      </c>
      <c r="AY6482">
        <v>0</v>
      </c>
      <c r="AZ6482">
        <v>0</v>
      </c>
      <c r="BA6482">
        <v>140</v>
      </c>
      <c r="BE6482" t="str">
        <f>T("9791164099764")</f>
        <v>9791164099764</v>
      </c>
      <c r="BF6482" t="str">
        <f>T("k284250")</f>
        <v>k284250</v>
      </c>
      <c r="BG6482" t="str">
        <f>T("로판 웹소설 &gt; 서양풍 로판")</f>
        <v>로판 웹소설 &gt; 서양풍 로판</v>
      </c>
    </row>
    <row r="6483" spans="1:59">
      <c r="A6483" t="s">
        <v>60</v>
      </c>
      <c r="B6483" s="1">
        <v>46131</v>
      </c>
      <c r="C6483">
        <v>2378059762</v>
      </c>
      <c r="D6483">
        <v>2378065381</v>
      </c>
      <c r="E6483" t="str">
        <f>T("칼레이 백작가의 매맞이 하녀 133화")</f>
        <v>칼레이 백작가의 매맞이 하녀 133화</v>
      </c>
      <c r="F6483">
        <v>133</v>
      </c>
      <c r="G6483" t="str">
        <f>T("뮤사203")</f>
        <v>뮤사203</v>
      </c>
      <c r="J6483" t="str">
        <f>T("시계토끼")</f>
        <v>시계토끼</v>
      </c>
      <c r="K6483" t="str">
        <f>T("칼레이 백작가의 매맞이 하녀")</f>
        <v>칼레이 백작가의 매맞이 하녀</v>
      </c>
      <c r="L6483">
        <v>100</v>
      </c>
      <c r="M6483">
        <v>100</v>
      </c>
      <c r="N6483">
        <v>1</v>
      </c>
      <c r="O6483">
        <v>0</v>
      </c>
      <c r="P6483">
        <v>0</v>
      </c>
      <c r="Q6483">
        <v>0</v>
      </c>
      <c r="R6483">
        <v>1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0</v>
      </c>
      <c r="AC6483">
        <v>0</v>
      </c>
      <c r="AD6483">
        <v>0</v>
      </c>
      <c r="AE6483">
        <v>0</v>
      </c>
      <c r="AF6483">
        <v>0</v>
      </c>
      <c r="AG6483">
        <v>0</v>
      </c>
      <c r="AH6483">
        <v>0</v>
      </c>
      <c r="AI6483">
        <v>100</v>
      </c>
      <c r="AJ6483">
        <v>2</v>
      </c>
      <c r="AK6483">
        <v>0</v>
      </c>
      <c r="AL6483">
        <v>0</v>
      </c>
      <c r="AM6483">
        <v>100</v>
      </c>
      <c r="AN6483">
        <v>0</v>
      </c>
      <c r="AO6483">
        <v>0</v>
      </c>
      <c r="AP6483">
        <v>0</v>
      </c>
      <c r="AQ6483">
        <v>0</v>
      </c>
      <c r="AS6483">
        <v>0</v>
      </c>
      <c r="AT6483">
        <v>0</v>
      </c>
      <c r="AV6483">
        <v>0</v>
      </c>
      <c r="AW6483">
        <v>0</v>
      </c>
      <c r="AY6483">
        <v>0</v>
      </c>
      <c r="AZ6483">
        <v>0</v>
      </c>
      <c r="BA6483">
        <v>70</v>
      </c>
      <c r="BE6483" t="str">
        <f>T("9791164099764")</f>
        <v>9791164099764</v>
      </c>
      <c r="BF6483" t="str">
        <f>T("k284251")</f>
        <v>k284251</v>
      </c>
      <c r="BG6483" t="str">
        <f>T("로판 웹소설 &gt; 서양풍 로판")</f>
        <v>로판 웹소설 &gt; 서양풍 로판</v>
      </c>
    </row>
    <row r="6484" spans="1:59">
      <c r="A6484" t="s">
        <v>60</v>
      </c>
      <c r="B6484" s="1">
        <v>46131</v>
      </c>
      <c r="C6484">
        <v>2378059762</v>
      </c>
      <c r="D6484">
        <v>2378065678</v>
      </c>
      <c r="E6484" t="str">
        <f>T("칼레이 백작가의 매맞이 하녀 134화")</f>
        <v>칼레이 백작가의 매맞이 하녀 134화</v>
      </c>
      <c r="F6484">
        <v>134</v>
      </c>
      <c r="G6484" t="str">
        <f>T("뮤사203")</f>
        <v>뮤사203</v>
      </c>
      <c r="J6484" t="str">
        <f>T("시계토끼")</f>
        <v>시계토끼</v>
      </c>
      <c r="K6484" t="str">
        <f>T("칼레이 백작가의 매맞이 하녀")</f>
        <v>칼레이 백작가의 매맞이 하녀</v>
      </c>
      <c r="L6484">
        <v>100</v>
      </c>
      <c r="M6484">
        <v>100</v>
      </c>
      <c r="N6484">
        <v>1</v>
      </c>
      <c r="O6484">
        <v>0</v>
      </c>
      <c r="P6484">
        <v>0</v>
      </c>
      <c r="Q6484">
        <v>0</v>
      </c>
      <c r="R6484">
        <v>1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0</v>
      </c>
      <c r="AC6484">
        <v>0</v>
      </c>
      <c r="AD6484">
        <v>0</v>
      </c>
      <c r="AE6484">
        <v>0</v>
      </c>
      <c r="AF6484">
        <v>0</v>
      </c>
      <c r="AG6484">
        <v>0</v>
      </c>
      <c r="AH6484">
        <v>0</v>
      </c>
      <c r="AI6484">
        <v>100</v>
      </c>
      <c r="AJ6484">
        <v>2</v>
      </c>
      <c r="AK6484">
        <v>0</v>
      </c>
      <c r="AL6484">
        <v>0</v>
      </c>
      <c r="AM6484">
        <v>100</v>
      </c>
      <c r="AN6484">
        <v>0</v>
      </c>
      <c r="AO6484">
        <v>0</v>
      </c>
      <c r="AP6484">
        <v>0</v>
      </c>
      <c r="AQ6484">
        <v>0</v>
      </c>
      <c r="AS6484">
        <v>0</v>
      </c>
      <c r="AT6484">
        <v>0</v>
      </c>
      <c r="AV6484">
        <v>0</v>
      </c>
      <c r="AW6484">
        <v>0</v>
      </c>
      <c r="AY6484">
        <v>0</v>
      </c>
      <c r="AZ6484">
        <v>0</v>
      </c>
      <c r="BA6484">
        <v>70</v>
      </c>
      <c r="BE6484" t="str">
        <f>T("9791164099764")</f>
        <v>9791164099764</v>
      </c>
      <c r="BF6484" t="str">
        <f>T("k289801")</f>
        <v>k289801</v>
      </c>
      <c r="BG6484" t="str">
        <f>T("로판 웹소설 &gt; 서양풍 로판")</f>
        <v>로판 웹소설 &gt; 서양풍 로판</v>
      </c>
    </row>
    <row r="6485" spans="1:59">
      <c r="A6485" t="s">
        <v>60</v>
      </c>
      <c r="B6485" s="1">
        <v>46131</v>
      </c>
      <c r="C6485">
        <v>2378059762</v>
      </c>
      <c r="D6485">
        <v>2378065302</v>
      </c>
      <c r="E6485" t="str">
        <f>T("칼레이 백작가의 매맞이 하녀 128화")</f>
        <v>칼레이 백작가의 매맞이 하녀 128화</v>
      </c>
      <c r="F6485">
        <v>128</v>
      </c>
      <c r="G6485" t="str">
        <f>T("뮤사203")</f>
        <v>뮤사203</v>
      </c>
      <c r="J6485" t="str">
        <f>T("시계토끼")</f>
        <v>시계토끼</v>
      </c>
      <c r="K6485" t="str">
        <f>T("칼레이 백작가의 매맞이 하녀")</f>
        <v>칼레이 백작가의 매맞이 하녀</v>
      </c>
      <c r="L6485">
        <v>100</v>
      </c>
      <c r="M6485">
        <v>100</v>
      </c>
      <c r="N6485">
        <v>1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0</v>
      </c>
      <c r="AC6485">
        <v>0</v>
      </c>
      <c r="AD6485">
        <v>0</v>
      </c>
      <c r="AE6485">
        <v>0</v>
      </c>
      <c r="AF6485">
        <v>0</v>
      </c>
      <c r="AG6485">
        <v>0</v>
      </c>
      <c r="AH6485">
        <v>0</v>
      </c>
      <c r="AI6485">
        <v>100</v>
      </c>
      <c r="AJ6485">
        <v>1</v>
      </c>
      <c r="AK6485">
        <v>0</v>
      </c>
      <c r="AL6485">
        <v>0</v>
      </c>
      <c r="AM6485">
        <v>100</v>
      </c>
      <c r="AN6485">
        <v>0</v>
      </c>
      <c r="AO6485">
        <v>0</v>
      </c>
      <c r="AP6485">
        <v>0</v>
      </c>
      <c r="AQ6485">
        <v>0</v>
      </c>
      <c r="AS6485">
        <v>0</v>
      </c>
      <c r="AT6485">
        <v>0</v>
      </c>
      <c r="AV6485">
        <v>0</v>
      </c>
      <c r="AW6485">
        <v>0</v>
      </c>
      <c r="AY6485">
        <v>0</v>
      </c>
      <c r="AZ6485">
        <v>0</v>
      </c>
      <c r="BA6485">
        <v>70</v>
      </c>
      <c r="BE6485" t="str">
        <f>T("9791164099764")</f>
        <v>9791164099764</v>
      </c>
      <c r="BF6485" t="str">
        <f>T("k275207")</f>
        <v>k275207</v>
      </c>
      <c r="BG6485" t="str">
        <f>T("로판 웹소설 &gt; 서양풍 로판")</f>
        <v>로판 웹소설 &gt; 서양풍 로판</v>
      </c>
    </row>
    <row r="6486" spans="1:59">
      <c r="A6486" t="s">
        <v>60</v>
      </c>
      <c r="B6486" s="1">
        <v>46131</v>
      </c>
      <c r="C6486">
        <v>2378059762</v>
      </c>
      <c r="D6486">
        <v>2378065303</v>
      </c>
      <c r="E6486" t="str">
        <f>T("칼레이 백작가의 매맞이 하녀 129화")</f>
        <v>칼레이 백작가의 매맞이 하녀 129화</v>
      </c>
      <c r="F6486">
        <v>129</v>
      </c>
      <c r="G6486" t="str">
        <f>T("뮤사203")</f>
        <v>뮤사203</v>
      </c>
      <c r="J6486" t="str">
        <f>T("시계토끼")</f>
        <v>시계토끼</v>
      </c>
      <c r="K6486" t="str">
        <f>T("칼레이 백작가의 매맞이 하녀")</f>
        <v>칼레이 백작가의 매맞이 하녀</v>
      </c>
      <c r="L6486">
        <v>100</v>
      </c>
      <c r="M6486">
        <v>200</v>
      </c>
      <c r="N6486">
        <v>2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0</v>
      </c>
      <c r="AC6486">
        <v>0</v>
      </c>
      <c r="AD6486">
        <v>0</v>
      </c>
      <c r="AE6486">
        <v>0</v>
      </c>
      <c r="AF6486">
        <v>0</v>
      </c>
      <c r="AG6486">
        <v>0</v>
      </c>
      <c r="AH6486">
        <v>0</v>
      </c>
      <c r="AI6486">
        <v>200</v>
      </c>
      <c r="AJ6486">
        <v>2</v>
      </c>
      <c r="AK6486">
        <v>0</v>
      </c>
      <c r="AL6486">
        <v>0</v>
      </c>
      <c r="AM6486">
        <v>200</v>
      </c>
      <c r="AN6486">
        <v>0</v>
      </c>
      <c r="AO6486">
        <v>0</v>
      </c>
      <c r="AP6486">
        <v>0</v>
      </c>
      <c r="AQ6486">
        <v>0</v>
      </c>
      <c r="AS6486">
        <v>0</v>
      </c>
      <c r="AT6486">
        <v>0</v>
      </c>
      <c r="AV6486">
        <v>0</v>
      </c>
      <c r="AW6486">
        <v>0</v>
      </c>
      <c r="AY6486">
        <v>0</v>
      </c>
      <c r="AZ6486">
        <v>0</v>
      </c>
      <c r="BA6486">
        <v>140</v>
      </c>
      <c r="BE6486" t="str">
        <f>T("9791164099764")</f>
        <v>9791164099764</v>
      </c>
      <c r="BF6486" t="str">
        <f>T("k275208")</f>
        <v>k275208</v>
      </c>
      <c r="BG6486" t="str">
        <f>T("로판 웹소설 &gt; 서양풍 로판")</f>
        <v>로판 웹소설 &gt; 서양풍 로판</v>
      </c>
    </row>
    <row r="6487" spans="1:59">
      <c r="A6487" t="s">
        <v>60</v>
      </c>
      <c r="B6487" s="1">
        <v>46131</v>
      </c>
      <c r="C6487">
        <v>2378059762</v>
      </c>
      <c r="D6487">
        <v>2378059763</v>
      </c>
      <c r="E6487" t="str">
        <f>T("칼레이 백작가의 매맞이 하녀 2화")</f>
        <v>칼레이 백작가의 매맞이 하녀 2화</v>
      </c>
      <c r="F6487">
        <v>2</v>
      </c>
      <c r="G6487" t="str">
        <f>T("뮤사203")</f>
        <v>뮤사203</v>
      </c>
      <c r="J6487" t="str">
        <f>T("시계토끼")</f>
        <v>시계토끼</v>
      </c>
      <c r="K6487" t="str">
        <f>T("칼레이 백작가의 매맞이 하녀")</f>
        <v>칼레이 백작가의 매맞이 하녀</v>
      </c>
      <c r="L6487">
        <v>0</v>
      </c>
      <c r="M6487">
        <v>0</v>
      </c>
      <c r="N6487">
        <v>0</v>
      </c>
      <c r="O6487">
        <v>6</v>
      </c>
      <c r="P6487">
        <v>0</v>
      </c>
      <c r="Q6487">
        <v>0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0</v>
      </c>
      <c r="AC6487">
        <v>0</v>
      </c>
      <c r="AD6487">
        <v>0</v>
      </c>
      <c r="AE6487">
        <v>0</v>
      </c>
      <c r="AF6487">
        <v>0</v>
      </c>
      <c r="AG6487">
        <v>0</v>
      </c>
      <c r="AH6487">
        <v>0</v>
      </c>
      <c r="AI6487">
        <v>0</v>
      </c>
      <c r="AJ6487">
        <v>6</v>
      </c>
      <c r="AK6487">
        <v>0</v>
      </c>
      <c r="AL6487">
        <v>0</v>
      </c>
      <c r="AM6487">
        <v>0</v>
      </c>
      <c r="AN6487">
        <v>0</v>
      </c>
      <c r="AO6487">
        <v>0</v>
      </c>
      <c r="AP6487">
        <v>0</v>
      </c>
      <c r="AQ6487">
        <v>0</v>
      </c>
      <c r="AS6487">
        <v>0</v>
      </c>
      <c r="AT6487">
        <v>0</v>
      </c>
      <c r="AV6487">
        <v>0</v>
      </c>
      <c r="AW6487">
        <v>0</v>
      </c>
      <c r="AY6487">
        <v>0</v>
      </c>
      <c r="AZ6487">
        <v>0</v>
      </c>
      <c r="BA6487">
        <v>0</v>
      </c>
      <c r="BE6487" t="str">
        <f>T("9791164099764")</f>
        <v>9791164099764</v>
      </c>
      <c r="BF6487" t="str">
        <f>T("k201681")</f>
        <v>k201681</v>
      </c>
      <c r="BG6487" t="str">
        <f>T("로판 웹소설 &gt; 서양풍 로판")</f>
        <v>로판 웹소설 &gt; 서양풍 로판</v>
      </c>
    </row>
    <row r="6488" spans="1:59">
      <c r="A6488" t="s">
        <v>60</v>
      </c>
      <c r="B6488" s="1">
        <v>46131</v>
      </c>
      <c r="C6488">
        <v>2378059762</v>
      </c>
      <c r="D6488">
        <v>2378059764</v>
      </c>
      <c r="E6488" t="str">
        <f>T("칼레이 백작가의 매맞이 하녀 3화")</f>
        <v>칼레이 백작가의 매맞이 하녀 3화</v>
      </c>
      <c r="F6488">
        <v>3</v>
      </c>
      <c r="G6488" t="str">
        <f>T("뮤사203")</f>
        <v>뮤사203</v>
      </c>
      <c r="J6488" t="str">
        <f>T("시계토끼")</f>
        <v>시계토끼</v>
      </c>
      <c r="K6488" t="str">
        <f>T("칼레이 백작가의 매맞이 하녀")</f>
        <v>칼레이 백작가의 매맞이 하녀</v>
      </c>
      <c r="L6488">
        <v>0</v>
      </c>
      <c r="M6488">
        <v>0</v>
      </c>
      <c r="N6488">
        <v>0</v>
      </c>
      <c r="O6488">
        <v>6</v>
      </c>
      <c r="P6488">
        <v>0</v>
      </c>
      <c r="Q6488">
        <v>0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0</v>
      </c>
      <c r="AC6488">
        <v>0</v>
      </c>
      <c r="AD6488">
        <v>0</v>
      </c>
      <c r="AE6488">
        <v>0</v>
      </c>
      <c r="AF6488">
        <v>0</v>
      </c>
      <c r="AG6488">
        <v>0</v>
      </c>
      <c r="AH6488">
        <v>0</v>
      </c>
      <c r="AI6488">
        <v>0</v>
      </c>
      <c r="AJ6488">
        <v>6</v>
      </c>
      <c r="AK6488">
        <v>0</v>
      </c>
      <c r="AL6488">
        <v>0</v>
      </c>
      <c r="AM6488">
        <v>0</v>
      </c>
      <c r="AN6488">
        <v>0</v>
      </c>
      <c r="AO6488">
        <v>0</v>
      </c>
      <c r="AP6488">
        <v>0</v>
      </c>
      <c r="AQ6488">
        <v>0</v>
      </c>
      <c r="AS6488">
        <v>0</v>
      </c>
      <c r="AT6488">
        <v>0</v>
      </c>
      <c r="AV6488">
        <v>0</v>
      </c>
      <c r="AW6488">
        <v>0</v>
      </c>
      <c r="AY6488">
        <v>0</v>
      </c>
      <c r="AZ6488">
        <v>0</v>
      </c>
      <c r="BA6488">
        <v>0</v>
      </c>
      <c r="BE6488" t="str">
        <f>T("9791164099764")</f>
        <v>9791164099764</v>
      </c>
      <c r="BF6488" t="str">
        <f>T("k201682")</f>
        <v>k201682</v>
      </c>
      <c r="BG6488" t="str">
        <f>T("로판 웹소설 &gt; 서양풍 로판")</f>
        <v>로판 웹소설 &gt; 서양풍 로판</v>
      </c>
    </row>
    <row r="6489" spans="1:59">
      <c r="A6489" t="s">
        <v>60</v>
      </c>
      <c r="B6489" s="1">
        <v>46131</v>
      </c>
      <c r="C6489">
        <v>2378059762</v>
      </c>
      <c r="D6489">
        <v>2378065379</v>
      </c>
      <c r="E6489" t="str">
        <f>T("칼레이 백작가의 매맞이 하녀 131화")</f>
        <v>칼레이 백작가의 매맞이 하녀 131화</v>
      </c>
      <c r="F6489">
        <v>131</v>
      </c>
      <c r="G6489" t="str">
        <f>T("뮤사203")</f>
        <v>뮤사203</v>
      </c>
      <c r="J6489" t="str">
        <f>T("시계토끼")</f>
        <v>시계토끼</v>
      </c>
      <c r="K6489" t="str">
        <f>T("칼레이 백작가의 매맞이 하녀")</f>
        <v>칼레이 백작가의 매맞이 하녀</v>
      </c>
      <c r="L6489">
        <v>100</v>
      </c>
      <c r="M6489">
        <v>100</v>
      </c>
      <c r="N6489">
        <v>1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0</v>
      </c>
      <c r="AC6489">
        <v>0</v>
      </c>
      <c r="AD6489">
        <v>0</v>
      </c>
      <c r="AE6489">
        <v>0</v>
      </c>
      <c r="AF6489">
        <v>0</v>
      </c>
      <c r="AG6489">
        <v>0</v>
      </c>
      <c r="AH6489">
        <v>0</v>
      </c>
      <c r="AI6489">
        <v>100</v>
      </c>
      <c r="AJ6489">
        <v>1</v>
      </c>
      <c r="AK6489">
        <v>0</v>
      </c>
      <c r="AL6489">
        <v>0</v>
      </c>
      <c r="AM6489">
        <v>100</v>
      </c>
      <c r="AN6489">
        <v>0</v>
      </c>
      <c r="AO6489">
        <v>0</v>
      </c>
      <c r="AP6489">
        <v>0</v>
      </c>
      <c r="AQ6489">
        <v>0</v>
      </c>
      <c r="AS6489">
        <v>0</v>
      </c>
      <c r="AT6489">
        <v>0</v>
      </c>
      <c r="AV6489">
        <v>0</v>
      </c>
      <c r="AW6489">
        <v>0</v>
      </c>
      <c r="AY6489">
        <v>0</v>
      </c>
      <c r="AZ6489">
        <v>0</v>
      </c>
      <c r="BA6489">
        <v>70</v>
      </c>
      <c r="BE6489" t="str">
        <f>T("9791164099764")</f>
        <v>9791164099764</v>
      </c>
      <c r="BF6489" t="str">
        <f>T("k284249")</f>
        <v>k284249</v>
      </c>
      <c r="BG6489" t="str">
        <f>T("로판 웹소설 &gt; 서양풍 로판")</f>
        <v>로판 웹소설 &gt; 서양풍 로판</v>
      </c>
    </row>
    <row r="6490" spans="1:59">
      <c r="A6490" t="s">
        <v>60</v>
      </c>
      <c r="B6490" s="1">
        <v>46131</v>
      </c>
      <c r="C6490">
        <v>2378059762</v>
      </c>
      <c r="D6490">
        <v>2378066158</v>
      </c>
      <c r="E6490" t="str">
        <f>T("칼레이 백작가의 매맞이 하녀 142화")</f>
        <v>칼레이 백작가의 매맞이 하녀 142화</v>
      </c>
      <c r="F6490">
        <v>142</v>
      </c>
      <c r="G6490" t="str">
        <f>T("뮤사203")</f>
        <v>뮤사203</v>
      </c>
      <c r="J6490" t="str">
        <f>T("시계토끼")</f>
        <v>시계토끼</v>
      </c>
      <c r="K6490" t="str">
        <f>T("칼레이 백작가의 매맞이 하녀")</f>
        <v>칼레이 백작가의 매맞이 하녀</v>
      </c>
      <c r="L6490">
        <v>100</v>
      </c>
      <c r="M6490">
        <v>100</v>
      </c>
      <c r="N6490">
        <v>1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0</v>
      </c>
      <c r="AC6490">
        <v>0</v>
      </c>
      <c r="AD6490">
        <v>0</v>
      </c>
      <c r="AE6490">
        <v>0</v>
      </c>
      <c r="AF6490">
        <v>0</v>
      </c>
      <c r="AG6490">
        <v>0</v>
      </c>
      <c r="AH6490">
        <v>0</v>
      </c>
      <c r="AI6490">
        <v>100</v>
      </c>
      <c r="AJ6490">
        <v>1</v>
      </c>
      <c r="AK6490">
        <v>0</v>
      </c>
      <c r="AL6490">
        <v>0</v>
      </c>
      <c r="AM6490">
        <v>0</v>
      </c>
      <c r="AN6490">
        <v>0</v>
      </c>
      <c r="AO6490">
        <v>120</v>
      </c>
      <c r="AP6490">
        <v>-12</v>
      </c>
      <c r="AQ6490">
        <v>0</v>
      </c>
      <c r="AS6490">
        <v>0</v>
      </c>
      <c r="AT6490">
        <v>0</v>
      </c>
      <c r="AU6490">
        <v>120</v>
      </c>
      <c r="AV6490">
        <v>-12</v>
      </c>
      <c r="AW6490">
        <v>0</v>
      </c>
      <c r="AY6490">
        <v>0</v>
      </c>
      <c r="AZ6490">
        <v>0</v>
      </c>
      <c r="BA6490">
        <v>75.599999999999994</v>
      </c>
      <c r="BE6490" t="str">
        <f>T("9791164099764")</f>
        <v>9791164099764</v>
      </c>
      <c r="BF6490" t="str">
        <f>T("k297664")</f>
        <v>k297664</v>
      </c>
      <c r="BG6490" t="str">
        <f>T("로판 웹소설 &gt; 서양풍 로판")</f>
        <v>로판 웹소설 &gt; 서양풍 로판</v>
      </c>
    </row>
    <row r="6491" spans="1:59">
      <c r="A6491" t="s">
        <v>60</v>
      </c>
      <c r="B6491" s="1">
        <v>46131</v>
      </c>
      <c r="C6491">
        <v>2378059762</v>
      </c>
      <c r="D6491">
        <v>2378066159</v>
      </c>
      <c r="E6491" t="str">
        <f>T("칼레이 백작가의 매맞이 하녀 143화")</f>
        <v>칼레이 백작가의 매맞이 하녀 143화</v>
      </c>
      <c r="F6491">
        <v>143</v>
      </c>
      <c r="G6491" t="str">
        <f>T("뮤사203")</f>
        <v>뮤사203</v>
      </c>
      <c r="J6491" t="str">
        <f>T("시계토끼")</f>
        <v>시계토끼</v>
      </c>
      <c r="K6491" t="str">
        <f>T("칼레이 백작가의 매맞이 하녀")</f>
        <v>칼레이 백작가의 매맞이 하녀</v>
      </c>
      <c r="L6491">
        <v>100</v>
      </c>
      <c r="M6491">
        <v>100</v>
      </c>
      <c r="N6491">
        <v>1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0</v>
      </c>
      <c r="AC6491">
        <v>0</v>
      </c>
      <c r="AD6491">
        <v>0</v>
      </c>
      <c r="AE6491">
        <v>0</v>
      </c>
      <c r="AF6491">
        <v>0</v>
      </c>
      <c r="AG6491">
        <v>0</v>
      </c>
      <c r="AH6491">
        <v>0</v>
      </c>
      <c r="AI6491">
        <v>100</v>
      </c>
      <c r="AJ6491">
        <v>1</v>
      </c>
      <c r="AK6491">
        <v>0</v>
      </c>
      <c r="AL6491">
        <v>0</v>
      </c>
      <c r="AM6491">
        <v>0</v>
      </c>
      <c r="AN6491">
        <v>0</v>
      </c>
      <c r="AO6491">
        <v>120</v>
      </c>
      <c r="AP6491">
        <v>-12</v>
      </c>
      <c r="AQ6491">
        <v>0</v>
      </c>
      <c r="AS6491">
        <v>0</v>
      </c>
      <c r="AT6491">
        <v>0</v>
      </c>
      <c r="AU6491">
        <v>120</v>
      </c>
      <c r="AV6491">
        <v>-12</v>
      </c>
      <c r="AW6491">
        <v>0</v>
      </c>
      <c r="AY6491">
        <v>0</v>
      </c>
      <c r="AZ6491">
        <v>0</v>
      </c>
      <c r="BA6491">
        <v>75.599999999999994</v>
      </c>
      <c r="BE6491" t="str">
        <f>T("9791164099764")</f>
        <v>9791164099764</v>
      </c>
      <c r="BF6491" t="str">
        <f>T("k297665")</f>
        <v>k297665</v>
      </c>
      <c r="BG6491" t="str">
        <f>T("로판 웹소설 &gt; 서양풍 로판")</f>
        <v>로판 웹소설 &gt; 서양풍 로판</v>
      </c>
    </row>
    <row r="6492" spans="1:59">
      <c r="A6492" t="s">
        <v>60</v>
      </c>
      <c r="B6492" s="1">
        <v>46131</v>
      </c>
      <c r="C6492">
        <v>2378059762</v>
      </c>
      <c r="D6492">
        <v>2378068923</v>
      </c>
      <c r="E6492" t="str">
        <f>T("칼레이 백작가의 매맞이 하녀 외전 1화")</f>
        <v>칼레이 백작가의 매맞이 하녀 외전 1화</v>
      </c>
      <c r="F6492">
        <v>154</v>
      </c>
      <c r="G6492" t="str">
        <f>T("뮤사203")</f>
        <v>뮤사203</v>
      </c>
      <c r="J6492" t="str">
        <f>T("시계토끼")</f>
        <v>시계토끼</v>
      </c>
      <c r="K6492" t="str">
        <f>T("칼레이 백작가의 매맞이 하녀")</f>
        <v>칼레이 백작가의 매맞이 하녀</v>
      </c>
      <c r="L6492">
        <v>100</v>
      </c>
      <c r="M6492">
        <v>300</v>
      </c>
      <c r="N6492">
        <v>3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0</v>
      </c>
      <c r="AC6492">
        <v>0</v>
      </c>
      <c r="AD6492">
        <v>0</v>
      </c>
      <c r="AE6492">
        <v>0</v>
      </c>
      <c r="AF6492">
        <v>0</v>
      </c>
      <c r="AG6492">
        <v>0</v>
      </c>
      <c r="AH6492">
        <v>0</v>
      </c>
      <c r="AI6492">
        <v>300</v>
      </c>
      <c r="AJ6492">
        <v>3</v>
      </c>
      <c r="AK6492">
        <v>0</v>
      </c>
      <c r="AL6492">
        <v>0</v>
      </c>
      <c r="AM6492">
        <v>200</v>
      </c>
      <c r="AN6492">
        <v>0</v>
      </c>
      <c r="AO6492">
        <v>120</v>
      </c>
      <c r="AP6492">
        <v>-12</v>
      </c>
      <c r="AQ6492">
        <v>0</v>
      </c>
      <c r="AS6492">
        <v>0</v>
      </c>
      <c r="AT6492">
        <v>0</v>
      </c>
      <c r="AU6492">
        <v>120</v>
      </c>
      <c r="AV6492">
        <v>-12</v>
      </c>
      <c r="AW6492">
        <v>0</v>
      </c>
      <c r="AY6492">
        <v>0</v>
      </c>
      <c r="AZ6492">
        <v>0</v>
      </c>
      <c r="BA6492">
        <v>215.6</v>
      </c>
      <c r="BE6492" t="str">
        <f>T("9791164099764")</f>
        <v>9791164099764</v>
      </c>
      <c r="BF6492" t="str">
        <f>T("k300782")</f>
        <v>k300782</v>
      </c>
      <c r="BG6492" t="str">
        <f>T("로판 웹소설 &gt; 서양풍 로판")</f>
        <v>로판 웹소설 &gt; 서양풍 로판</v>
      </c>
    </row>
    <row r="6493" spans="1:59">
      <c r="A6493" t="s">
        <v>60</v>
      </c>
      <c r="B6493" s="1">
        <v>46131</v>
      </c>
      <c r="C6493">
        <v>2378059762</v>
      </c>
      <c r="D6493">
        <v>2378065679</v>
      </c>
      <c r="E6493" t="str">
        <f>T("칼레이 백작가의 매맞이 하녀 135화")</f>
        <v>칼레이 백작가의 매맞이 하녀 135화</v>
      </c>
      <c r="F6493">
        <v>135</v>
      </c>
      <c r="G6493" t="str">
        <f>T("뮤사203")</f>
        <v>뮤사203</v>
      </c>
      <c r="J6493" t="str">
        <f>T("시계토끼")</f>
        <v>시계토끼</v>
      </c>
      <c r="K6493" t="str">
        <f>T("칼레이 백작가의 매맞이 하녀")</f>
        <v>칼레이 백작가의 매맞이 하녀</v>
      </c>
      <c r="L6493">
        <v>100</v>
      </c>
      <c r="M6493">
        <v>100</v>
      </c>
      <c r="N6493">
        <v>1</v>
      </c>
      <c r="O6493">
        <v>0</v>
      </c>
      <c r="P6493">
        <v>100</v>
      </c>
      <c r="Q6493">
        <v>1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0</v>
      </c>
      <c r="AC6493">
        <v>0</v>
      </c>
      <c r="AD6493">
        <v>0</v>
      </c>
      <c r="AE6493">
        <v>0</v>
      </c>
      <c r="AF6493">
        <v>0</v>
      </c>
      <c r="AG6493">
        <v>0</v>
      </c>
      <c r="AH6493">
        <v>0</v>
      </c>
      <c r="AI6493">
        <v>200</v>
      </c>
      <c r="AJ6493">
        <v>2</v>
      </c>
      <c r="AK6493">
        <v>0</v>
      </c>
      <c r="AL6493">
        <v>0</v>
      </c>
      <c r="AM6493">
        <v>200</v>
      </c>
      <c r="AN6493">
        <v>0</v>
      </c>
      <c r="AO6493">
        <v>0</v>
      </c>
      <c r="AP6493">
        <v>0</v>
      </c>
      <c r="AQ6493">
        <v>0</v>
      </c>
      <c r="AS6493">
        <v>0</v>
      </c>
      <c r="AT6493">
        <v>0</v>
      </c>
      <c r="AV6493">
        <v>0</v>
      </c>
      <c r="AW6493">
        <v>0</v>
      </c>
      <c r="AY6493">
        <v>0</v>
      </c>
      <c r="AZ6493">
        <v>0</v>
      </c>
      <c r="BA6493">
        <v>140</v>
      </c>
      <c r="BE6493" t="str">
        <f>T("9791164099764")</f>
        <v>9791164099764</v>
      </c>
      <c r="BF6493" t="str">
        <f>T("k289802")</f>
        <v>k289802</v>
      </c>
      <c r="BG6493" t="str">
        <f>T("로판 웹소설 &gt; 서양풍 로판")</f>
        <v>로판 웹소설 &gt; 서양풍 로판</v>
      </c>
    </row>
    <row r="6494" spans="1:59">
      <c r="A6494" t="s">
        <v>60</v>
      </c>
      <c r="B6494" s="1">
        <v>46131</v>
      </c>
      <c r="C6494">
        <v>2378059762</v>
      </c>
      <c r="D6494">
        <v>2378065680</v>
      </c>
      <c r="E6494" t="str">
        <f>T("칼레이 백작가의 매맞이 하녀 136화")</f>
        <v>칼레이 백작가의 매맞이 하녀 136화</v>
      </c>
      <c r="F6494">
        <v>136</v>
      </c>
      <c r="G6494" t="str">
        <f>T("뮤사203")</f>
        <v>뮤사203</v>
      </c>
      <c r="J6494" t="str">
        <f>T("시계토끼")</f>
        <v>시계토끼</v>
      </c>
      <c r="K6494" t="str">
        <f>T("칼레이 백작가의 매맞이 하녀")</f>
        <v>칼레이 백작가의 매맞이 하녀</v>
      </c>
      <c r="L6494">
        <v>100</v>
      </c>
      <c r="M6494">
        <v>100</v>
      </c>
      <c r="N6494">
        <v>1</v>
      </c>
      <c r="O6494">
        <v>0</v>
      </c>
      <c r="P6494">
        <v>0</v>
      </c>
      <c r="Q6494">
        <v>0</v>
      </c>
      <c r="R6494">
        <v>1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0</v>
      </c>
      <c r="AC6494">
        <v>0</v>
      </c>
      <c r="AD6494">
        <v>0</v>
      </c>
      <c r="AE6494">
        <v>0</v>
      </c>
      <c r="AF6494">
        <v>0</v>
      </c>
      <c r="AG6494">
        <v>0</v>
      </c>
      <c r="AH6494">
        <v>0</v>
      </c>
      <c r="AI6494">
        <v>100</v>
      </c>
      <c r="AJ6494">
        <v>2</v>
      </c>
      <c r="AK6494">
        <v>0</v>
      </c>
      <c r="AL6494">
        <v>0</v>
      </c>
      <c r="AM6494">
        <v>100</v>
      </c>
      <c r="AN6494">
        <v>0</v>
      </c>
      <c r="AO6494">
        <v>0</v>
      </c>
      <c r="AP6494">
        <v>0</v>
      </c>
      <c r="AQ6494">
        <v>0</v>
      </c>
      <c r="AS6494">
        <v>0</v>
      </c>
      <c r="AT6494">
        <v>0</v>
      </c>
      <c r="AV6494">
        <v>0</v>
      </c>
      <c r="AW6494">
        <v>0</v>
      </c>
      <c r="AY6494">
        <v>0</v>
      </c>
      <c r="AZ6494">
        <v>0</v>
      </c>
      <c r="BA6494">
        <v>70</v>
      </c>
      <c r="BE6494" t="str">
        <f>T("9791164099764")</f>
        <v>9791164099764</v>
      </c>
      <c r="BF6494" t="str">
        <f>T("k289803")</f>
        <v>k289803</v>
      </c>
      <c r="BG6494" t="str">
        <f>T("로판 웹소설 &gt; 서양풍 로판")</f>
        <v>로판 웹소설 &gt; 서양풍 로판</v>
      </c>
    </row>
    <row r="6495" spans="1:59">
      <c r="A6495" t="s">
        <v>60</v>
      </c>
      <c r="B6495" s="1">
        <v>46131</v>
      </c>
      <c r="C6495">
        <v>2378059762</v>
      </c>
      <c r="D6495">
        <v>2378066206</v>
      </c>
      <c r="E6495" t="str">
        <f>T("칼레이 백작가의 매맞이 하녀 144화")</f>
        <v>칼레이 백작가의 매맞이 하녀 144화</v>
      </c>
      <c r="F6495">
        <v>144</v>
      </c>
      <c r="G6495" t="str">
        <f>T("뮤사203")</f>
        <v>뮤사203</v>
      </c>
      <c r="J6495" t="str">
        <f>T("시계토끼")</f>
        <v>시계토끼</v>
      </c>
      <c r="K6495" t="str">
        <f>T("칼레이 백작가의 매맞이 하녀")</f>
        <v>칼레이 백작가의 매맞이 하녀</v>
      </c>
      <c r="L6495">
        <v>100</v>
      </c>
      <c r="M6495">
        <v>100</v>
      </c>
      <c r="N6495">
        <v>1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0</v>
      </c>
      <c r="AC6495">
        <v>0</v>
      </c>
      <c r="AD6495">
        <v>0</v>
      </c>
      <c r="AE6495">
        <v>0</v>
      </c>
      <c r="AF6495">
        <v>0</v>
      </c>
      <c r="AG6495">
        <v>0</v>
      </c>
      <c r="AH6495">
        <v>0</v>
      </c>
      <c r="AI6495">
        <v>100</v>
      </c>
      <c r="AJ6495">
        <v>1</v>
      </c>
      <c r="AK6495">
        <v>0</v>
      </c>
      <c r="AL6495">
        <v>0</v>
      </c>
      <c r="AM6495">
        <v>0</v>
      </c>
      <c r="AN6495">
        <v>0</v>
      </c>
      <c r="AO6495">
        <v>120</v>
      </c>
      <c r="AP6495">
        <v>-12</v>
      </c>
      <c r="AQ6495">
        <v>0</v>
      </c>
      <c r="AS6495">
        <v>0</v>
      </c>
      <c r="AT6495">
        <v>0</v>
      </c>
      <c r="AU6495">
        <v>120</v>
      </c>
      <c r="AV6495">
        <v>-12</v>
      </c>
      <c r="AW6495">
        <v>0</v>
      </c>
      <c r="AY6495">
        <v>0</v>
      </c>
      <c r="AZ6495">
        <v>0</v>
      </c>
      <c r="BA6495">
        <v>75.599999999999994</v>
      </c>
      <c r="BE6495" t="str">
        <f>T("9791164099764")</f>
        <v>9791164099764</v>
      </c>
      <c r="BF6495" t="str">
        <f>T("k297666")</f>
        <v>k297666</v>
      </c>
      <c r="BG6495" t="str">
        <f>T("로판 웹소설 &gt; 서양풍 로판")</f>
        <v>로판 웹소설 &gt; 서양풍 로판</v>
      </c>
    </row>
    <row r="6496" spans="1:59">
      <c r="A6496" t="s">
        <v>60</v>
      </c>
      <c r="B6496" s="1">
        <v>46131</v>
      </c>
      <c r="C6496">
        <v>2378059762</v>
      </c>
      <c r="D6496">
        <v>2378065681</v>
      </c>
      <c r="E6496" t="str">
        <f>T("칼레이 백작가의 매맞이 하녀 137화")</f>
        <v>칼레이 백작가의 매맞이 하녀 137화</v>
      </c>
      <c r="F6496">
        <v>137</v>
      </c>
      <c r="G6496" t="str">
        <f>T("뮤사203")</f>
        <v>뮤사203</v>
      </c>
      <c r="J6496" t="str">
        <f>T("시계토끼")</f>
        <v>시계토끼</v>
      </c>
      <c r="K6496" t="str">
        <f>T("칼레이 백작가의 매맞이 하녀")</f>
        <v>칼레이 백작가의 매맞이 하녀</v>
      </c>
      <c r="L6496">
        <v>100</v>
      </c>
      <c r="M6496">
        <v>100</v>
      </c>
      <c r="N6496">
        <v>1</v>
      </c>
      <c r="O6496">
        <v>0</v>
      </c>
      <c r="P6496">
        <v>0</v>
      </c>
      <c r="Q6496">
        <v>0</v>
      </c>
      <c r="R6496">
        <v>1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0</v>
      </c>
      <c r="AC6496">
        <v>0</v>
      </c>
      <c r="AD6496">
        <v>0</v>
      </c>
      <c r="AE6496">
        <v>0</v>
      </c>
      <c r="AF6496">
        <v>0</v>
      </c>
      <c r="AG6496">
        <v>0</v>
      </c>
      <c r="AH6496">
        <v>0</v>
      </c>
      <c r="AI6496">
        <v>100</v>
      </c>
      <c r="AJ6496">
        <v>2</v>
      </c>
      <c r="AK6496">
        <v>0</v>
      </c>
      <c r="AL6496">
        <v>0</v>
      </c>
      <c r="AM6496">
        <v>100</v>
      </c>
      <c r="AN6496">
        <v>0</v>
      </c>
      <c r="AO6496">
        <v>0</v>
      </c>
      <c r="AP6496">
        <v>0</v>
      </c>
      <c r="AQ6496">
        <v>0</v>
      </c>
      <c r="AS6496">
        <v>0</v>
      </c>
      <c r="AT6496">
        <v>0</v>
      </c>
      <c r="AV6496">
        <v>0</v>
      </c>
      <c r="AW6496">
        <v>0</v>
      </c>
      <c r="AY6496">
        <v>0</v>
      </c>
      <c r="AZ6496">
        <v>0</v>
      </c>
      <c r="BA6496">
        <v>70</v>
      </c>
      <c r="BE6496" t="str">
        <f>T("9791164099764")</f>
        <v>9791164099764</v>
      </c>
      <c r="BF6496" t="str">
        <f>T("k294719")</f>
        <v>k294719</v>
      </c>
      <c r="BG6496" t="str">
        <f>T("로판 웹소설 &gt; 서양풍 로판")</f>
        <v>로판 웹소설 &gt; 서양풍 로판</v>
      </c>
    </row>
    <row r="6497" spans="1:59">
      <c r="A6497" t="s">
        <v>60</v>
      </c>
      <c r="B6497" s="1">
        <v>46131</v>
      </c>
      <c r="C6497">
        <v>2378059762</v>
      </c>
      <c r="D6497">
        <v>2378066207</v>
      </c>
      <c r="E6497" t="str">
        <f>T("칼레이 백작가의 매맞이 하녀 145화")</f>
        <v>칼레이 백작가의 매맞이 하녀 145화</v>
      </c>
      <c r="F6497">
        <v>145</v>
      </c>
      <c r="G6497" t="str">
        <f>T("뮤사203")</f>
        <v>뮤사203</v>
      </c>
      <c r="J6497" t="str">
        <f>T("시계토끼")</f>
        <v>시계토끼</v>
      </c>
      <c r="K6497" t="str">
        <f>T("칼레이 백작가의 매맞이 하녀")</f>
        <v>칼레이 백작가의 매맞이 하녀</v>
      </c>
      <c r="L6497">
        <v>100</v>
      </c>
      <c r="M6497">
        <v>200</v>
      </c>
      <c r="N6497">
        <v>2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0</v>
      </c>
      <c r="AC6497">
        <v>0</v>
      </c>
      <c r="AD6497">
        <v>0</v>
      </c>
      <c r="AE6497">
        <v>0</v>
      </c>
      <c r="AF6497">
        <v>0</v>
      </c>
      <c r="AG6497">
        <v>0</v>
      </c>
      <c r="AH6497">
        <v>0</v>
      </c>
      <c r="AI6497">
        <v>200</v>
      </c>
      <c r="AJ6497">
        <v>2</v>
      </c>
      <c r="AK6497">
        <v>0</v>
      </c>
      <c r="AL6497">
        <v>0</v>
      </c>
      <c r="AM6497">
        <v>100</v>
      </c>
      <c r="AN6497">
        <v>0</v>
      </c>
      <c r="AO6497">
        <v>120</v>
      </c>
      <c r="AP6497">
        <v>-12</v>
      </c>
      <c r="AQ6497">
        <v>0</v>
      </c>
      <c r="AS6497">
        <v>0</v>
      </c>
      <c r="AT6497">
        <v>0</v>
      </c>
      <c r="AU6497">
        <v>120</v>
      </c>
      <c r="AV6497">
        <v>-12</v>
      </c>
      <c r="AW6497">
        <v>0</v>
      </c>
      <c r="AY6497">
        <v>0</v>
      </c>
      <c r="AZ6497">
        <v>0</v>
      </c>
      <c r="BA6497">
        <v>145.6</v>
      </c>
      <c r="BE6497" t="str">
        <f>T("9791164099764")</f>
        <v>9791164099764</v>
      </c>
      <c r="BF6497" t="str">
        <f>T("k297667")</f>
        <v>k297667</v>
      </c>
      <c r="BG6497" t="str">
        <f>T("로판 웹소설 &gt; 서양풍 로판")</f>
        <v>로판 웹소설 &gt; 서양풍 로판</v>
      </c>
    </row>
    <row r="6498" spans="1:59">
      <c r="A6498" t="s">
        <v>60</v>
      </c>
      <c r="B6498" s="1">
        <v>46131</v>
      </c>
      <c r="C6498">
        <v>2378059762</v>
      </c>
      <c r="D6498">
        <v>2378068953</v>
      </c>
      <c r="E6498" t="str">
        <f>T("칼레이 백작가의 매맞이 하녀 외전 31화")</f>
        <v>칼레이 백작가의 매맞이 하녀 외전 31화</v>
      </c>
      <c r="F6498">
        <v>184</v>
      </c>
      <c r="G6498" t="str">
        <f>T("뮤사203")</f>
        <v>뮤사203</v>
      </c>
      <c r="J6498" t="str">
        <f>T("시계토끼")</f>
        <v>시계토끼</v>
      </c>
      <c r="K6498" t="str">
        <f>T("칼레이 백작가의 매맞이 하녀")</f>
        <v>칼레이 백작가의 매맞이 하녀</v>
      </c>
      <c r="L6498">
        <v>100</v>
      </c>
      <c r="M6498">
        <v>100</v>
      </c>
      <c r="N6498">
        <v>1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0</v>
      </c>
      <c r="AC6498">
        <v>0</v>
      </c>
      <c r="AD6498">
        <v>0</v>
      </c>
      <c r="AE6498">
        <v>0</v>
      </c>
      <c r="AF6498">
        <v>0</v>
      </c>
      <c r="AG6498">
        <v>0</v>
      </c>
      <c r="AH6498">
        <v>0</v>
      </c>
      <c r="AI6498">
        <v>100</v>
      </c>
      <c r="AJ6498">
        <v>1</v>
      </c>
      <c r="AK6498">
        <v>0</v>
      </c>
      <c r="AL6498">
        <v>0</v>
      </c>
      <c r="AM6498">
        <v>0</v>
      </c>
      <c r="AN6498">
        <v>0</v>
      </c>
      <c r="AO6498">
        <v>120</v>
      </c>
      <c r="AP6498">
        <v>-12</v>
      </c>
      <c r="AQ6498">
        <v>0</v>
      </c>
      <c r="AS6498">
        <v>0</v>
      </c>
      <c r="AT6498">
        <v>0</v>
      </c>
      <c r="AU6498">
        <v>120</v>
      </c>
      <c r="AV6498">
        <v>-12</v>
      </c>
      <c r="AW6498">
        <v>0</v>
      </c>
      <c r="AY6498">
        <v>0</v>
      </c>
      <c r="AZ6498">
        <v>0</v>
      </c>
      <c r="BA6498">
        <v>75.599999999999994</v>
      </c>
      <c r="BE6498" t="str">
        <f>T("9791164099764")</f>
        <v>9791164099764</v>
      </c>
      <c r="BF6498" t="str">
        <f>T("k398592")</f>
        <v>k398592</v>
      </c>
      <c r="BG6498" t="str">
        <f>T("로판 웹소설 &gt; 서양풍 로판")</f>
        <v>로판 웹소설 &gt; 서양풍 로판</v>
      </c>
    </row>
    <row r="6499" spans="1:59">
      <c r="A6499" t="s">
        <v>60</v>
      </c>
      <c r="B6499" s="1">
        <v>46131</v>
      </c>
      <c r="C6499">
        <v>2378059762</v>
      </c>
      <c r="D6499">
        <v>2378079045</v>
      </c>
      <c r="E6499" t="str">
        <f>T("칼레이 백작가의 매맞이 하녀 추가 외전 1화")</f>
        <v>칼레이 백작가의 매맞이 하녀 추가 외전 1화</v>
      </c>
      <c r="F6499">
        <v>185</v>
      </c>
      <c r="G6499" t="str">
        <f>T("뮤사203")</f>
        <v>뮤사203</v>
      </c>
      <c r="J6499" t="str">
        <f>T("시계토끼")</f>
        <v>시계토끼</v>
      </c>
      <c r="K6499" t="str">
        <f>T("칼레이 백작가의 매맞이 하녀")</f>
        <v>칼레이 백작가의 매맞이 하녀</v>
      </c>
      <c r="L6499">
        <v>100</v>
      </c>
      <c r="M6499">
        <v>100</v>
      </c>
      <c r="N6499">
        <v>1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0</v>
      </c>
      <c r="AC6499">
        <v>0</v>
      </c>
      <c r="AD6499">
        <v>0</v>
      </c>
      <c r="AE6499">
        <v>0</v>
      </c>
      <c r="AF6499">
        <v>0</v>
      </c>
      <c r="AG6499">
        <v>0</v>
      </c>
      <c r="AH6499">
        <v>0</v>
      </c>
      <c r="AI6499">
        <v>100</v>
      </c>
      <c r="AJ6499">
        <v>1</v>
      </c>
      <c r="AK6499">
        <v>0</v>
      </c>
      <c r="AL6499">
        <v>0</v>
      </c>
      <c r="AM6499">
        <v>0</v>
      </c>
      <c r="AN6499">
        <v>0</v>
      </c>
      <c r="AO6499">
        <v>120</v>
      </c>
      <c r="AP6499">
        <v>-12</v>
      </c>
      <c r="AQ6499">
        <v>0</v>
      </c>
      <c r="AS6499">
        <v>0</v>
      </c>
      <c r="AT6499">
        <v>0</v>
      </c>
      <c r="AU6499">
        <v>120</v>
      </c>
      <c r="AV6499">
        <v>-12</v>
      </c>
      <c r="AW6499">
        <v>0</v>
      </c>
      <c r="AY6499">
        <v>0</v>
      </c>
      <c r="AZ6499">
        <v>0</v>
      </c>
      <c r="BA6499">
        <v>75.599999999999994</v>
      </c>
      <c r="BE6499" t="str">
        <f>T("9791164099764")</f>
        <v>9791164099764</v>
      </c>
      <c r="BF6499" t="str">
        <f>T("D180747")</f>
        <v>D180747</v>
      </c>
      <c r="BG6499" t="str">
        <f>T("로판 웹소설 &gt; 서양풍 로판")</f>
        <v>로판 웹소설 &gt; 서양풍 로판</v>
      </c>
    </row>
    <row r="6500" spans="1:59">
      <c r="A6500" t="s">
        <v>60</v>
      </c>
      <c r="B6500" s="1">
        <v>46131</v>
      </c>
      <c r="C6500">
        <v>2378059762</v>
      </c>
      <c r="D6500">
        <v>2378079054</v>
      </c>
      <c r="E6500" t="str">
        <f>T("칼레이 백작가의 매맞이 하녀 추가 외전 10화")</f>
        <v>칼레이 백작가의 매맞이 하녀 추가 외전 10화</v>
      </c>
      <c r="F6500">
        <v>194</v>
      </c>
      <c r="G6500" t="str">
        <f>T("뮤사203")</f>
        <v>뮤사203</v>
      </c>
      <c r="J6500" t="str">
        <f>T("시계토끼")</f>
        <v>시계토끼</v>
      </c>
      <c r="K6500" t="str">
        <f>T("칼레이 백작가의 매맞이 하녀")</f>
        <v>칼레이 백작가의 매맞이 하녀</v>
      </c>
      <c r="L6500">
        <v>100</v>
      </c>
      <c r="M6500">
        <v>200</v>
      </c>
      <c r="N6500">
        <v>2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0</v>
      </c>
      <c r="AC6500">
        <v>0</v>
      </c>
      <c r="AD6500">
        <v>0</v>
      </c>
      <c r="AE6500">
        <v>0</v>
      </c>
      <c r="AF6500">
        <v>0</v>
      </c>
      <c r="AG6500">
        <v>0</v>
      </c>
      <c r="AH6500">
        <v>0</v>
      </c>
      <c r="AI6500">
        <v>200</v>
      </c>
      <c r="AJ6500">
        <v>2</v>
      </c>
      <c r="AK6500">
        <v>0</v>
      </c>
      <c r="AL6500">
        <v>0</v>
      </c>
      <c r="AM6500">
        <v>100</v>
      </c>
      <c r="AN6500">
        <v>0</v>
      </c>
      <c r="AO6500">
        <v>120</v>
      </c>
      <c r="AP6500">
        <v>-12</v>
      </c>
      <c r="AQ6500">
        <v>0</v>
      </c>
      <c r="AS6500">
        <v>0</v>
      </c>
      <c r="AT6500">
        <v>0</v>
      </c>
      <c r="AU6500">
        <v>120</v>
      </c>
      <c r="AV6500">
        <v>-12</v>
      </c>
      <c r="AW6500">
        <v>0</v>
      </c>
      <c r="AY6500">
        <v>0</v>
      </c>
      <c r="AZ6500">
        <v>0</v>
      </c>
      <c r="BA6500">
        <v>145.6</v>
      </c>
      <c r="BE6500" t="str">
        <f>T("9791164099764")</f>
        <v>9791164099764</v>
      </c>
      <c r="BF6500" t="str">
        <f>T("D180756")</f>
        <v>D180756</v>
      </c>
      <c r="BG6500" t="str">
        <f>T("로판 웹소설 &gt; 서양풍 로판")</f>
        <v>로판 웹소설 &gt; 서양풍 로판</v>
      </c>
    </row>
    <row r="6501" spans="1:59">
      <c r="A6501" t="s">
        <v>60</v>
      </c>
      <c r="B6501" s="1">
        <v>46131</v>
      </c>
      <c r="C6501">
        <v>2378059762</v>
      </c>
      <c r="D6501">
        <v>2378059792</v>
      </c>
      <c r="E6501" t="str">
        <f>T("칼레이 백작가의 매맞이 하녀 31화")</f>
        <v>칼레이 백작가의 매맞이 하녀 31화</v>
      </c>
      <c r="F6501">
        <v>31</v>
      </c>
      <c r="G6501" t="str">
        <f>T("뮤사203")</f>
        <v>뮤사203</v>
      </c>
      <c r="J6501" t="str">
        <f>T("시계토끼")</f>
        <v>시계토끼</v>
      </c>
      <c r="K6501" t="str">
        <f>T("칼레이 백작가의 매맞이 하녀")</f>
        <v>칼레이 백작가의 매맞이 하녀</v>
      </c>
      <c r="L6501">
        <v>100</v>
      </c>
      <c r="M6501">
        <v>400</v>
      </c>
      <c r="N6501">
        <v>4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0</v>
      </c>
      <c r="AC6501">
        <v>0</v>
      </c>
      <c r="AD6501">
        <v>0</v>
      </c>
      <c r="AE6501">
        <v>0</v>
      </c>
      <c r="AF6501">
        <v>0</v>
      </c>
      <c r="AG6501">
        <v>0</v>
      </c>
      <c r="AH6501">
        <v>0</v>
      </c>
      <c r="AI6501">
        <v>400</v>
      </c>
      <c r="AJ6501">
        <v>4</v>
      </c>
      <c r="AK6501">
        <v>0</v>
      </c>
      <c r="AL6501">
        <v>0</v>
      </c>
      <c r="AM6501">
        <v>300</v>
      </c>
      <c r="AN6501">
        <v>0</v>
      </c>
      <c r="AO6501">
        <v>120</v>
      </c>
      <c r="AP6501">
        <v>-36</v>
      </c>
      <c r="AQ6501">
        <v>0</v>
      </c>
      <c r="AR6501">
        <v>120</v>
      </c>
      <c r="AS6501">
        <v>-36</v>
      </c>
      <c r="AT6501">
        <v>0</v>
      </c>
      <c r="AV6501">
        <v>0</v>
      </c>
      <c r="AW6501">
        <v>0</v>
      </c>
      <c r="AY6501">
        <v>0</v>
      </c>
      <c r="AZ6501">
        <v>0</v>
      </c>
      <c r="BA6501">
        <v>268.8</v>
      </c>
      <c r="BE6501" t="str">
        <f>T("9791164099764")</f>
        <v>9791164099764</v>
      </c>
      <c r="BF6501" t="str">
        <f>T("k201710")</f>
        <v>k201710</v>
      </c>
      <c r="BG6501" t="str">
        <f>T("로판 웹소설 &gt; 서양풍 로판")</f>
        <v>로판 웹소설 &gt; 서양풍 로판</v>
      </c>
    </row>
    <row r="6502" spans="1:59">
      <c r="A6502" t="s">
        <v>60</v>
      </c>
      <c r="B6502" s="1">
        <v>46131</v>
      </c>
      <c r="C6502">
        <v>2378059762</v>
      </c>
      <c r="D6502">
        <v>2378068952</v>
      </c>
      <c r="E6502" t="str">
        <f>T("칼레이 백작가의 매맞이 하녀 외전 30화")</f>
        <v>칼레이 백작가의 매맞이 하녀 외전 30화</v>
      </c>
      <c r="F6502">
        <v>183</v>
      </c>
      <c r="G6502" t="str">
        <f>T("뮤사203")</f>
        <v>뮤사203</v>
      </c>
      <c r="J6502" t="str">
        <f>T("시계토끼")</f>
        <v>시계토끼</v>
      </c>
      <c r="K6502" t="str">
        <f>T("칼레이 백작가의 매맞이 하녀")</f>
        <v>칼레이 백작가의 매맞이 하녀</v>
      </c>
      <c r="L6502">
        <v>100</v>
      </c>
      <c r="M6502">
        <v>100</v>
      </c>
      <c r="N6502">
        <v>1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0</v>
      </c>
      <c r="AC6502">
        <v>0</v>
      </c>
      <c r="AD6502">
        <v>0</v>
      </c>
      <c r="AE6502">
        <v>0</v>
      </c>
      <c r="AF6502">
        <v>0</v>
      </c>
      <c r="AG6502">
        <v>0</v>
      </c>
      <c r="AH6502">
        <v>0</v>
      </c>
      <c r="AI6502">
        <v>100</v>
      </c>
      <c r="AJ6502">
        <v>1</v>
      </c>
      <c r="AK6502">
        <v>0</v>
      </c>
      <c r="AL6502">
        <v>0</v>
      </c>
      <c r="AM6502">
        <v>0</v>
      </c>
      <c r="AN6502">
        <v>0</v>
      </c>
      <c r="AO6502">
        <v>120</v>
      </c>
      <c r="AP6502">
        <v>-12</v>
      </c>
      <c r="AQ6502">
        <v>0</v>
      </c>
      <c r="AS6502">
        <v>0</v>
      </c>
      <c r="AT6502">
        <v>0</v>
      </c>
      <c r="AU6502">
        <v>120</v>
      </c>
      <c r="AV6502">
        <v>-12</v>
      </c>
      <c r="AW6502">
        <v>0</v>
      </c>
      <c r="AY6502">
        <v>0</v>
      </c>
      <c r="AZ6502">
        <v>0</v>
      </c>
      <c r="BA6502">
        <v>75.599999999999994</v>
      </c>
      <c r="BE6502" t="str">
        <f>T("9791164099764")</f>
        <v>9791164099764</v>
      </c>
      <c r="BF6502" t="str">
        <f>T("k398591")</f>
        <v>k398591</v>
      </c>
      <c r="BG6502" t="str">
        <f>T("로판 웹소설 &gt; 서양풍 로판")</f>
        <v>로판 웹소설 &gt; 서양풍 로판</v>
      </c>
    </row>
    <row r="6503" spans="1:59">
      <c r="A6503" t="s">
        <v>60</v>
      </c>
      <c r="B6503" s="1">
        <v>46131</v>
      </c>
      <c r="C6503">
        <v>2378059762</v>
      </c>
      <c r="D6503">
        <v>2378059793</v>
      </c>
      <c r="E6503" t="str">
        <f>T("칼레이 백작가의 매맞이 하녀 32화")</f>
        <v>칼레이 백작가의 매맞이 하녀 32화</v>
      </c>
      <c r="F6503">
        <v>32</v>
      </c>
      <c r="G6503" t="str">
        <f>T("뮤사203")</f>
        <v>뮤사203</v>
      </c>
      <c r="J6503" t="str">
        <f>T("시계토끼")</f>
        <v>시계토끼</v>
      </c>
      <c r="K6503" t="str">
        <f>T("칼레이 백작가의 매맞이 하녀")</f>
        <v>칼레이 백작가의 매맞이 하녀</v>
      </c>
      <c r="L6503">
        <v>100</v>
      </c>
      <c r="M6503">
        <v>400</v>
      </c>
      <c r="N6503">
        <v>4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0</v>
      </c>
      <c r="AC6503">
        <v>0</v>
      </c>
      <c r="AD6503">
        <v>0</v>
      </c>
      <c r="AE6503">
        <v>0</v>
      </c>
      <c r="AF6503">
        <v>0</v>
      </c>
      <c r="AG6503">
        <v>0</v>
      </c>
      <c r="AH6503">
        <v>0</v>
      </c>
      <c r="AI6503">
        <v>400</v>
      </c>
      <c r="AJ6503">
        <v>4</v>
      </c>
      <c r="AK6503">
        <v>0</v>
      </c>
      <c r="AL6503">
        <v>0</v>
      </c>
      <c r="AM6503">
        <v>300</v>
      </c>
      <c r="AN6503">
        <v>0</v>
      </c>
      <c r="AO6503">
        <v>120</v>
      </c>
      <c r="AP6503">
        <v>-36</v>
      </c>
      <c r="AQ6503">
        <v>0</v>
      </c>
      <c r="AR6503">
        <v>120</v>
      </c>
      <c r="AS6503">
        <v>-36</v>
      </c>
      <c r="AT6503">
        <v>0</v>
      </c>
      <c r="AV6503">
        <v>0</v>
      </c>
      <c r="AW6503">
        <v>0</v>
      </c>
      <c r="AY6503">
        <v>0</v>
      </c>
      <c r="AZ6503">
        <v>0</v>
      </c>
      <c r="BA6503">
        <v>268.8</v>
      </c>
      <c r="BE6503" t="str">
        <f>T("9791164099764")</f>
        <v>9791164099764</v>
      </c>
      <c r="BF6503" t="str">
        <f>T("k201711")</f>
        <v>k201711</v>
      </c>
      <c r="BG6503" t="str">
        <f>T("로판 웹소설 &gt; 서양풍 로판")</f>
        <v>로판 웹소설 &gt; 서양풍 로판</v>
      </c>
    </row>
    <row r="6504" spans="1:59">
      <c r="A6504" t="s">
        <v>60</v>
      </c>
      <c r="B6504" s="1">
        <v>46131</v>
      </c>
      <c r="C6504">
        <v>2378059762</v>
      </c>
      <c r="D6504">
        <v>2378059794</v>
      </c>
      <c r="E6504" t="str">
        <f>T("칼레이 백작가의 매맞이 하녀 33화")</f>
        <v>칼레이 백작가의 매맞이 하녀 33화</v>
      </c>
      <c r="F6504">
        <v>33</v>
      </c>
      <c r="G6504" t="str">
        <f>T("뮤사203")</f>
        <v>뮤사203</v>
      </c>
      <c r="J6504" t="str">
        <f>T("시계토끼")</f>
        <v>시계토끼</v>
      </c>
      <c r="K6504" t="str">
        <f>T("칼레이 백작가의 매맞이 하녀")</f>
        <v>칼레이 백작가의 매맞이 하녀</v>
      </c>
      <c r="L6504">
        <v>100</v>
      </c>
      <c r="M6504">
        <v>400</v>
      </c>
      <c r="N6504">
        <v>4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0</v>
      </c>
      <c r="AC6504">
        <v>0</v>
      </c>
      <c r="AD6504">
        <v>0</v>
      </c>
      <c r="AE6504">
        <v>0</v>
      </c>
      <c r="AF6504">
        <v>0</v>
      </c>
      <c r="AG6504">
        <v>0</v>
      </c>
      <c r="AH6504">
        <v>0</v>
      </c>
      <c r="AI6504">
        <v>400</v>
      </c>
      <c r="AJ6504">
        <v>4</v>
      </c>
      <c r="AK6504">
        <v>0</v>
      </c>
      <c r="AL6504">
        <v>0</v>
      </c>
      <c r="AM6504">
        <v>300</v>
      </c>
      <c r="AN6504">
        <v>0</v>
      </c>
      <c r="AO6504">
        <v>120</v>
      </c>
      <c r="AP6504">
        <v>-36</v>
      </c>
      <c r="AQ6504">
        <v>0</v>
      </c>
      <c r="AR6504">
        <v>120</v>
      </c>
      <c r="AS6504">
        <v>-36</v>
      </c>
      <c r="AT6504">
        <v>0</v>
      </c>
      <c r="AV6504">
        <v>0</v>
      </c>
      <c r="AW6504">
        <v>0</v>
      </c>
      <c r="AY6504">
        <v>0</v>
      </c>
      <c r="AZ6504">
        <v>0</v>
      </c>
      <c r="BA6504">
        <v>268.8</v>
      </c>
      <c r="BE6504" t="str">
        <f>T("9791164099764")</f>
        <v>9791164099764</v>
      </c>
      <c r="BF6504" t="str">
        <f>T("k201712")</f>
        <v>k201712</v>
      </c>
      <c r="BG6504" t="str">
        <f>T("로판 웹소설 &gt; 서양풍 로판")</f>
        <v>로판 웹소설 &gt; 서양풍 로판</v>
      </c>
    </row>
    <row r="6505" spans="1:59">
      <c r="A6505" t="s">
        <v>60</v>
      </c>
      <c r="B6505" s="1">
        <v>46131</v>
      </c>
      <c r="C6505">
        <v>2378059762</v>
      </c>
      <c r="D6505">
        <v>2378059795</v>
      </c>
      <c r="E6505" t="str">
        <f>T("칼레이 백작가의 매맞이 하녀 34화")</f>
        <v>칼레이 백작가의 매맞이 하녀 34화</v>
      </c>
      <c r="F6505">
        <v>34</v>
      </c>
      <c r="G6505" t="str">
        <f>T("뮤사203")</f>
        <v>뮤사203</v>
      </c>
      <c r="J6505" t="str">
        <f>T("시계토끼")</f>
        <v>시계토끼</v>
      </c>
      <c r="K6505" t="str">
        <f>T("칼레이 백작가의 매맞이 하녀")</f>
        <v>칼레이 백작가의 매맞이 하녀</v>
      </c>
      <c r="L6505">
        <v>100</v>
      </c>
      <c r="M6505">
        <v>400</v>
      </c>
      <c r="N6505">
        <v>4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0</v>
      </c>
      <c r="AC6505">
        <v>0</v>
      </c>
      <c r="AD6505">
        <v>0</v>
      </c>
      <c r="AE6505">
        <v>0</v>
      </c>
      <c r="AF6505">
        <v>0</v>
      </c>
      <c r="AG6505">
        <v>0</v>
      </c>
      <c r="AH6505">
        <v>0</v>
      </c>
      <c r="AI6505">
        <v>400</v>
      </c>
      <c r="AJ6505">
        <v>4</v>
      </c>
      <c r="AK6505">
        <v>0</v>
      </c>
      <c r="AL6505">
        <v>0</v>
      </c>
      <c r="AM6505">
        <v>300</v>
      </c>
      <c r="AN6505">
        <v>0</v>
      </c>
      <c r="AO6505">
        <v>120</v>
      </c>
      <c r="AP6505">
        <v>-36</v>
      </c>
      <c r="AQ6505">
        <v>0</v>
      </c>
      <c r="AR6505">
        <v>120</v>
      </c>
      <c r="AS6505">
        <v>-36</v>
      </c>
      <c r="AT6505">
        <v>0</v>
      </c>
      <c r="AV6505">
        <v>0</v>
      </c>
      <c r="AW6505">
        <v>0</v>
      </c>
      <c r="AY6505">
        <v>0</v>
      </c>
      <c r="AZ6505">
        <v>0</v>
      </c>
      <c r="BA6505">
        <v>268.8</v>
      </c>
      <c r="BE6505" t="str">
        <f>T("9791164099764")</f>
        <v>9791164099764</v>
      </c>
      <c r="BF6505" t="str">
        <f>T("k201713")</f>
        <v>k201713</v>
      </c>
      <c r="BG6505" t="str">
        <f>T("로판 웹소설 &gt; 서양풍 로판")</f>
        <v>로판 웹소설 &gt; 서양풍 로판</v>
      </c>
    </row>
    <row r="6506" spans="1:59">
      <c r="A6506" t="s">
        <v>60</v>
      </c>
      <c r="B6506" s="1">
        <v>46131</v>
      </c>
      <c r="C6506">
        <v>2378059762</v>
      </c>
      <c r="D6506">
        <v>2378059796</v>
      </c>
      <c r="E6506" t="str">
        <f>T("칼레이 백작가의 매맞이 하녀 35화")</f>
        <v>칼레이 백작가의 매맞이 하녀 35화</v>
      </c>
      <c r="F6506">
        <v>35</v>
      </c>
      <c r="G6506" t="str">
        <f>T("뮤사203")</f>
        <v>뮤사203</v>
      </c>
      <c r="J6506" t="str">
        <f>T("시계토끼")</f>
        <v>시계토끼</v>
      </c>
      <c r="K6506" t="str">
        <f>T("칼레이 백작가의 매맞이 하녀")</f>
        <v>칼레이 백작가의 매맞이 하녀</v>
      </c>
      <c r="L6506">
        <v>100</v>
      </c>
      <c r="M6506">
        <v>400</v>
      </c>
      <c r="N6506">
        <v>4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0</v>
      </c>
      <c r="AC6506">
        <v>0</v>
      </c>
      <c r="AD6506">
        <v>0</v>
      </c>
      <c r="AE6506">
        <v>0</v>
      </c>
      <c r="AF6506">
        <v>0</v>
      </c>
      <c r="AG6506">
        <v>0</v>
      </c>
      <c r="AH6506">
        <v>0</v>
      </c>
      <c r="AI6506">
        <v>400</v>
      </c>
      <c r="AJ6506">
        <v>4</v>
      </c>
      <c r="AK6506">
        <v>0</v>
      </c>
      <c r="AL6506">
        <v>0</v>
      </c>
      <c r="AM6506">
        <v>300</v>
      </c>
      <c r="AN6506">
        <v>0</v>
      </c>
      <c r="AO6506">
        <v>120</v>
      </c>
      <c r="AP6506">
        <v>-36</v>
      </c>
      <c r="AQ6506">
        <v>0</v>
      </c>
      <c r="AR6506">
        <v>120</v>
      </c>
      <c r="AS6506">
        <v>-36</v>
      </c>
      <c r="AT6506">
        <v>0</v>
      </c>
      <c r="AV6506">
        <v>0</v>
      </c>
      <c r="AW6506">
        <v>0</v>
      </c>
      <c r="AY6506">
        <v>0</v>
      </c>
      <c r="AZ6506">
        <v>0</v>
      </c>
      <c r="BA6506">
        <v>268.8</v>
      </c>
      <c r="BE6506" t="str">
        <f>T("9791164099764")</f>
        <v>9791164099764</v>
      </c>
      <c r="BF6506" t="str">
        <f>T("k201714")</f>
        <v>k201714</v>
      </c>
      <c r="BG6506" t="str">
        <f>T("로판 웹소설 &gt; 서양풍 로판")</f>
        <v>로판 웹소설 &gt; 서양풍 로판</v>
      </c>
    </row>
    <row r="6507" spans="1:59">
      <c r="A6507" t="s">
        <v>60</v>
      </c>
      <c r="B6507" s="1">
        <v>46131</v>
      </c>
      <c r="C6507">
        <v>2378059762</v>
      </c>
      <c r="D6507">
        <v>2378059797</v>
      </c>
      <c r="E6507" t="str">
        <f>T("칼레이 백작가의 매맞이 하녀 36화")</f>
        <v>칼레이 백작가의 매맞이 하녀 36화</v>
      </c>
      <c r="F6507">
        <v>36</v>
      </c>
      <c r="G6507" t="str">
        <f>T("뮤사203")</f>
        <v>뮤사203</v>
      </c>
      <c r="J6507" t="str">
        <f>T("시계토끼")</f>
        <v>시계토끼</v>
      </c>
      <c r="K6507" t="str">
        <f>T("칼레이 백작가의 매맞이 하녀")</f>
        <v>칼레이 백작가의 매맞이 하녀</v>
      </c>
      <c r="L6507">
        <v>100</v>
      </c>
      <c r="M6507">
        <v>400</v>
      </c>
      <c r="N6507">
        <v>4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0</v>
      </c>
      <c r="AC6507">
        <v>0</v>
      </c>
      <c r="AD6507">
        <v>0</v>
      </c>
      <c r="AE6507">
        <v>0</v>
      </c>
      <c r="AF6507">
        <v>0</v>
      </c>
      <c r="AG6507">
        <v>0</v>
      </c>
      <c r="AH6507">
        <v>0</v>
      </c>
      <c r="AI6507">
        <v>400</v>
      </c>
      <c r="AJ6507">
        <v>4</v>
      </c>
      <c r="AK6507">
        <v>0</v>
      </c>
      <c r="AL6507">
        <v>0</v>
      </c>
      <c r="AM6507">
        <v>300</v>
      </c>
      <c r="AN6507">
        <v>0</v>
      </c>
      <c r="AO6507">
        <v>120</v>
      </c>
      <c r="AP6507">
        <v>-36</v>
      </c>
      <c r="AQ6507">
        <v>0</v>
      </c>
      <c r="AR6507">
        <v>120</v>
      </c>
      <c r="AS6507">
        <v>-36</v>
      </c>
      <c r="AT6507">
        <v>0</v>
      </c>
      <c r="AV6507">
        <v>0</v>
      </c>
      <c r="AW6507">
        <v>0</v>
      </c>
      <c r="AY6507">
        <v>0</v>
      </c>
      <c r="AZ6507">
        <v>0</v>
      </c>
      <c r="BA6507">
        <v>268.8</v>
      </c>
      <c r="BE6507" t="str">
        <f>T("9791164099764")</f>
        <v>9791164099764</v>
      </c>
      <c r="BF6507" t="str">
        <f>T("k201715")</f>
        <v>k201715</v>
      </c>
      <c r="BG6507" t="str">
        <f>T("로판 웹소설 &gt; 서양풍 로판")</f>
        <v>로판 웹소설 &gt; 서양풍 로판</v>
      </c>
    </row>
    <row r="6508" spans="1:59">
      <c r="A6508" t="s">
        <v>60</v>
      </c>
      <c r="B6508" s="1">
        <v>46131</v>
      </c>
      <c r="C6508">
        <v>2378059762</v>
      </c>
      <c r="D6508">
        <v>2378059798</v>
      </c>
      <c r="E6508" t="str">
        <f>T("칼레이 백작가의 매맞이 하녀 37화")</f>
        <v>칼레이 백작가의 매맞이 하녀 37화</v>
      </c>
      <c r="F6508">
        <v>37</v>
      </c>
      <c r="G6508" t="str">
        <f>T("뮤사203")</f>
        <v>뮤사203</v>
      </c>
      <c r="J6508" t="str">
        <f>T("시계토끼")</f>
        <v>시계토끼</v>
      </c>
      <c r="K6508" t="str">
        <f>T("칼레이 백작가의 매맞이 하녀")</f>
        <v>칼레이 백작가의 매맞이 하녀</v>
      </c>
      <c r="L6508">
        <v>100</v>
      </c>
      <c r="M6508">
        <v>400</v>
      </c>
      <c r="N6508">
        <v>4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0</v>
      </c>
      <c r="AC6508">
        <v>0</v>
      </c>
      <c r="AD6508">
        <v>0</v>
      </c>
      <c r="AE6508">
        <v>0</v>
      </c>
      <c r="AF6508">
        <v>0</v>
      </c>
      <c r="AG6508">
        <v>0</v>
      </c>
      <c r="AH6508">
        <v>0</v>
      </c>
      <c r="AI6508">
        <v>400</v>
      </c>
      <c r="AJ6508">
        <v>4</v>
      </c>
      <c r="AK6508">
        <v>0</v>
      </c>
      <c r="AL6508">
        <v>0</v>
      </c>
      <c r="AM6508">
        <v>300</v>
      </c>
      <c r="AN6508">
        <v>0</v>
      </c>
      <c r="AO6508">
        <v>120</v>
      </c>
      <c r="AP6508">
        <v>-36</v>
      </c>
      <c r="AQ6508">
        <v>0</v>
      </c>
      <c r="AR6508">
        <v>120</v>
      </c>
      <c r="AS6508">
        <v>-36</v>
      </c>
      <c r="AT6508">
        <v>0</v>
      </c>
      <c r="AV6508">
        <v>0</v>
      </c>
      <c r="AW6508">
        <v>0</v>
      </c>
      <c r="AY6508">
        <v>0</v>
      </c>
      <c r="AZ6508">
        <v>0</v>
      </c>
      <c r="BA6508">
        <v>268.8</v>
      </c>
      <c r="BE6508" t="str">
        <f>T("9791164099764")</f>
        <v>9791164099764</v>
      </c>
      <c r="BF6508" t="str">
        <f>T("k201716")</f>
        <v>k201716</v>
      </c>
      <c r="BG6508" t="str">
        <f>T("로판 웹소설 &gt; 서양풍 로판")</f>
        <v>로판 웹소설 &gt; 서양풍 로판</v>
      </c>
    </row>
    <row r="6509" spans="1:59">
      <c r="A6509" t="s">
        <v>60</v>
      </c>
      <c r="B6509" s="1">
        <v>46131</v>
      </c>
      <c r="C6509">
        <v>2378059762</v>
      </c>
      <c r="D6509">
        <v>2378059799</v>
      </c>
      <c r="E6509" t="str">
        <f>T("칼레이 백작가의 매맞이 하녀 38화")</f>
        <v>칼레이 백작가의 매맞이 하녀 38화</v>
      </c>
      <c r="F6509">
        <v>38</v>
      </c>
      <c r="G6509" t="str">
        <f>T("뮤사203")</f>
        <v>뮤사203</v>
      </c>
      <c r="J6509" t="str">
        <f>T("시계토끼")</f>
        <v>시계토끼</v>
      </c>
      <c r="K6509" t="str">
        <f>T("칼레이 백작가의 매맞이 하녀")</f>
        <v>칼레이 백작가의 매맞이 하녀</v>
      </c>
      <c r="L6509">
        <v>100</v>
      </c>
      <c r="M6509">
        <v>400</v>
      </c>
      <c r="N6509">
        <v>4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0</v>
      </c>
      <c r="AC6509">
        <v>0</v>
      </c>
      <c r="AD6509">
        <v>0</v>
      </c>
      <c r="AE6509">
        <v>0</v>
      </c>
      <c r="AF6509">
        <v>0</v>
      </c>
      <c r="AG6509">
        <v>0</v>
      </c>
      <c r="AH6509">
        <v>0</v>
      </c>
      <c r="AI6509">
        <v>400</v>
      </c>
      <c r="AJ6509">
        <v>4</v>
      </c>
      <c r="AK6509">
        <v>0</v>
      </c>
      <c r="AL6509">
        <v>0</v>
      </c>
      <c r="AM6509">
        <v>400</v>
      </c>
      <c r="AN6509">
        <v>0</v>
      </c>
      <c r="AO6509">
        <v>0</v>
      </c>
      <c r="AP6509">
        <v>0</v>
      </c>
      <c r="AQ6509">
        <v>0</v>
      </c>
      <c r="AS6509">
        <v>0</v>
      </c>
      <c r="AT6509">
        <v>0</v>
      </c>
      <c r="AV6509">
        <v>0</v>
      </c>
      <c r="AW6509">
        <v>0</v>
      </c>
      <c r="AY6509">
        <v>0</v>
      </c>
      <c r="AZ6509">
        <v>0</v>
      </c>
      <c r="BA6509">
        <v>280</v>
      </c>
      <c r="BE6509" t="str">
        <f>T("9791164099764")</f>
        <v>9791164099764</v>
      </c>
      <c r="BF6509" t="str">
        <f>T("k201717")</f>
        <v>k201717</v>
      </c>
      <c r="BG6509" t="str">
        <f>T("로판 웹소설 &gt; 서양풍 로판")</f>
        <v>로판 웹소설 &gt; 서양풍 로판</v>
      </c>
    </row>
    <row r="6510" spans="1:59">
      <c r="A6510" t="s">
        <v>60</v>
      </c>
      <c r="B6510" s="1">
        <v>46131</v>
      </c>
      <c r="C6510">
        <v>2378059762</v>
      </c>
      <c r="D6510">
        <v>2378059800</v>
      </c>
      <c r="E6510" t="str">
        <f>T("칼레이 백작가의 매맞이 하녀 39화")</f>
        <v>칼레이 백작가의 매맞이 하녀 39화</v>
      </c>
      <c r="F6510">
        <v>39</v>
      </c>
      <c r="G6510" t="str">
        <f>T("뮤사203")</f>
        <v>뮤사203</v>
      </c>
      <c r="J6510" t="str">
        <f>T("시계토끼")</f>
        <v>시계토끼</v>
      </c>
      <c r="K6510" t="str">
        <f>T("칼레이 백작가의 매맞이 하녀")</f>
        <v>칼레이 백작가의 매맞이 하녀</v>
      </c>
      <c r="L6510">
        <v>100</v>
      </c>
      <c r="M6510">
        <v>400</v>
      </c>
      <c r="N6510">
        <v>4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0</v>
      </c>
      <c r="AC6510">
        <v>0</v>
      </c>
      <c r="AD6510">
        <v>0</v>
      </c>
      <c r="AE6510">
        <v>0</v>
      </c>
      <c r="AF6510">
        <v>0</v>
      </c>
      <c r="AG6510">
        <v>0</v>
      </c>
      <c r="AH6510">
        <v>0</v>
      </c>
      <c r="AI6510">
        <v>400</v>
      </c>
      <c r="AJ6510">
        <v>4</v>
      </c>
      <c r="AK6510">
        <v>0</v>
      </c>
      <c r="AL6510">
        <v>0</v>
      </c>
      <c r="AM6510">
        <v>400</v>
      </c>
      <c r="AN6510">
        <v>0</v>
      </c>
      <c r="AO6510">
        <v>0</v>
      </c>
      <c r="AP6510">
        <v>0</v>
      </c>
      <c r="AQ6510">
        <v>0</v>
      </c>
      <c r="AS6510">
        <v>0</v>
      </c>
      <c r="AT6510">
        <v>0</v>
      </c>
      <c r="AV6510">
        <v>0</v>
      </c>
      <c r="AW6510">
        <v>0</v>
      </c>
      <c r="AY6510">
        <v>0</v>
      </c>
      <c r="AZ6510">
        <v>0</v>
      </c>
      <c r="BA6510">
        <v>280</v>
      </c>
      <c r="BE6510" t="str">
        <f>T("9791164099764")</f>
        <v>9791164099764</v>
      </c>
      <c r="BF6510" t="str">
        <f>T("k201718")</f>
        <v>k201718</v>
      </c>
      <c r="BG6510" t="str">
        <f>T("로판 웹소설 &gt; 서양풍 로판")</f>
        <v>로판 웹소설 &gt; 서양풍 로판</v>
      </c>
    </row>
    <row r="6511" spans="1:59">
      <c r="A6511" t="s">
        <v>60</v>
      </c>
      <c r="B6511" s="1">
        <v>46131</v>
      </c>
      <c r="C6511">
        <v>2378059762</v>
      </c>
      <c r="D6511">
        <v>2378059803</v>
      </c>
      <c r="E6511" t="str">
        <f>T("칼레이 백작가의 매맞이 하녀 42화")</f>
        <v>칼레이 백작가의 매맞이 하녀 42화</v>
      </c>
      <c r="F6511">
        <v>42</v>
      </c>
      <c r="G6511" t="str">
        <f>T("뮤사203")</f>
        <v>뮤사203</v>
      </c>
      <c r="J6511" t="str">
        <f>T("시계토끼")</f>
        <v>시계토끼</v>
      </c>
      <c r="K6511" t="str">
        <f>T("칼레이 백작가의 매맞이 하녀")</f>
        <v>칼레이 백작가의 매맞이 하녀</v>
      </c>
      <c r="L6511">
        <v>100</v>
      </c>
      <c r="M6511">
        <v>500</v>
      </c>
      <c r="N6511">
        <v>5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0</v>
      </c>
      <c r="AC6511">
        <v>0</v>
      </c>
      <c r="AD6511">
        <v>0</v>
      </c>
      <c r="AE6511">
        <v>0</v>
      </c>
      <c r="AF6511">
        <v>0</v>
      </c>
      <c r="AG6511">
        <v>0</v>
      </c>
      <c r="AH6511">
        <v>0</v>
      </c>
      <c r="AI6511">
        <v>500</v>
      </c>
      <c r="AJ6511">
        <v>5</v>
      </c>
      <c r="AK6511">
        <v>0</v>
      </c>
      <c r="AL6511">
        <v>0</v>
      </c>
      <c r="AM6511">
        <v>400</v>
      </c>
      <c r="AN6511">
        <v>0</v>
      </c>
      <c r="AO6511">
        <v>120</v>
      </c>
      <c r="AP6511">
        <v>-36</v>
      </c>
      <c r="AQ6511">
        <v>0</v>
      </c>
      <c r="AR6511">
        <v>120</v>
      </c>
      <c r="AS6511">
        <v>-36</v>
      </c>
      <c r="AT6511">
        <v>0</v>
      </c>
      <c r="AV6511">
        <v>0</v>
      </c>
      <c r="AW6511">
        <v>0</v>
      </c>
      <c r="AY6511">
        <v>0</v>
      </c>
      <c r="AZ6511">
        <v>0</v>
      </c>
      <c r="BA6511">
        <v>338.8</v>
      </c>
      <c r="BE6511" t="str">
        <f>T("9791164099764")</f>
        <v>9791164099764</v>
      </c>
      <c r="BF6511" t="str">
        <f>T("k201721")</f>
        <v>k201721</v>
      </c>
      <c r="BG6511" t="str">
        <f>T("로판 웹소설 &gt; 서양풍 로판")</f>
        <v>로판 웹소설 &gt; 서양풍 로판</v>
      </c>
    </row>
    <row r="6512" spans="1:59">
      <c r="A6512" t="s">
        <v>60</v>
      </c>
      <c r="B6512" s="1">
        <v>46131</v>
      </c>
      <c r="C6512">
        <v>2378059762</v>
      </c>
      <c r="D6512">
        <v>2378059804</v>
      </c>
      <c r="E6512" t="str">
        <f>T("칼레이 백작가의 매맞이 하녀 43화")</f>
        <v>칼레이 백작가의 매맞이 하녀 43화</v>
      </c>
      <c r="F6512">
        <v>43</v>
      </c>
      <c r="G6512" t="str">
        <f>T("뮤사203")</f>
        <v>뮤사203</v>
      </c>
      <c r="J6512" t="str">
        <f>T("시계토끼")</f>
        <v>시계토끼</v>
      </c>
      <c r="K6512" t="str">
        <f>T("칼레이 백작가의 매맞이 하녀")</f>
        <v>칼레이 백작가의 매맞이 하녀</v>
      </c>
      <c r="L6512">
        <v>100</v>
      </c>
      <c r="M6512">
        <v>500</v>
      </c>
      <c r="N6512">
        <v>5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0</v>
      </c>
      <c r="AC6512">
        <v>0</v>
      </c>
      <c r="AD6512">
        <v>0</v>
      </c>
      <c r="AE6512">
        <v>0</v>
      </c>
      <c r="AF6512">
        <v>0</v>
      </c>
      <c r="AG6512">
        <v>0</v>
      </c>
      <c r="AH6512">
        <v>0</v>
      </c>
      <c r="AI6512">
        <v>500</v>
      </c>
      <c r="AJ6512">
        <v>5</v>
      </c>
      <c r="AK6512">
        <v>0</v>
      </c>
      <c r="AL6512">
        <v>0</v>
      </c>
      <c r="AM6512">
        <v>400</v>
      </c>
      <c r="AN6512">
        <v>0</v>
      </c>
      <c r="AO6512">
        <v>120</v>
      </c>
      <c r="AP6512">
        <v>-36</v>
      </c>
      <c r="AQ6512">
        <v>0</v>
      </c>
      <c r="AR6512">
        <v>120</v>
      </c>
      <c r="AS6512">
        <v>-36</v>
      </c>
      <c r="AT6512">
        <v>0</v>
      </c>
      <c r="AV6512">
        <v>0</v>
      </c>
      <c r="AW6512">
        <v>0</v>
      </c>
      <c r="AY6512">
        <v>0</v>
      </c>
      <c r="AZ6512">
        <v>0</v>
      </c>
      <c r="BA6512">
        <v>338.8</v>
      </c>
      <c r="BE6512" t="str">
        <f>T("9791164099764")</f>
        <v>9791164099764</v>
      </c>
      <c r="BF6512" t="str">
        <f>T("k201722")</f>
        <v>k201722</v>
      </c>
      <c r="BG6512" t="str">
        <f>T("로판 웹소설 &gt; 서양풍 로판")</f>
        <v>로판 웹소설 &gt; 서양풍 로판</v>
      </c>
    </row>
    <row r="6513" spans="1:59">
      <c r="A6513" t="s">
        <v>60</v>
      </c>
      <c r="B6513" s="1">
        <v>46131</v>
      </c>
      <c r="C6513">
        <v>2378059762</v>
      </c>
      <c r="D6513">
        <v>2378059805</v>
      </c>
      <c r="E6513" t="str">
        <f>T("칼레이 백작가의 매맞이 하녀 44화")</f>
        <v>칼레이 백작가의 매맞이 하녀 44화</v>
      </c>
      <c r="F6513">
        <v>44</v>
      </c>
      <c r="G6513" t="str">
        <f>T("뮤사203")</f>
        <v>뮤사203</v>
      </c>
      <c r="J6513" t="str">
        <f>T("시계토끼")</f>
        <v>시계토끼</v>
      </c>
      <c r="K6513" t="str">
        <f>T("칼레이 백작가의 매맞이 하녀")</f>
        <v>칼레이 백작가의 매맞이 하녀</v>
      </c>
      <c r="L6513">
        <v>100</v>
      </c>
      <c r="M6513">
        <v>500</v>
      </c>
      <c r="N6513">
        <v>5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0</v>
      </c>
      <c r="AC6513">
        <v>0</v>
      </c>
      <c r="AD6513">
        <v>0</v>
      </c>
      <c r="AE6513">
        <v>0</v>
      </c>
      <c r="AF6513">
        <v>0</v>
      </c>
      <c r="AG6513">
        <v>0</v>
      </c>
      <c r="AH6513">
        <v>0</v>
      </c>
      <c r="AI6513">
        <v>500</v>
      </c>
      <c r="AJ6513">
        <v>5</v>
      </c>
      <c r="AK6513">
        <v>0</v>
      </c>
      <c r="AL6513">
        <v>0</v>
      </c>
      <c r="AM6513">
        <v>400</v>
      </c>
      <c r="AN6513">
        <v>0</v>
      </c>
      <c r="AO6513">
        <v>120</v>
      </c>
      <c r="AP6513">
        <v>-36</v>
      </c>
      <c r="AQ6513">
        <v>0</v>
      </c>
      <c r="AR6513">
        <v>120</v>
      </c>
      <c r="AS6513">
        <v>-36</v>
      </c>
      <c r="AT6513">
        <v>0</v>
      </c>
      <c r="AV6513">
        <v>0</v>
      </c>
      <c r="AW6513">
        <v>0</v>
      </c>
      <c r="AY6513">
        <v>0</v>
      </c>
      <c r="AZ6513">
        <v>0</v>
      </c>
      <c r="BA6513">
        <v>338.8</v>
      </c>
      <c r="BE6513" t="str">
        <f>T("9791164099764")</f>
        <v>9791164099764</v>
      </c>
      <c r="BF6513" t="str">
        <f>T("k201723")</f>
        <v>k201723</v>
      </c>
      <c r="BG6513" t="str">
        <f>T("로판 웹소설 &gt; 서양풍 로판")</f>
        <v>로판 웹소설 &gt; 서양풍 로판</v>
      </c>
    </row>
    <row r="6514" spans="1:59">
      <c r="A6514" t="s">
        <v>60</v>
      </c>
      <c r="B6514" s="1">
        <v>46131</v>
      </c>
      <c r="C6514">
        <v>2378059762</v>
      </c>
      <c r="D6514">
        <v>2378059806</v>
      </c>
      <c r="E6514" t="str">
        <f>T("칼레이 백작가의 매맞이 하녀 45화")</f>
        <v>칼레이 백작가의 매맞이 하녀 45화</v>
      </c>
      <c r="F6514">
        <v>45</v>
      </c>
      <c r="G6514" t="str">
        <f>T("뮤사203")</f>
        <v>뮤사203</v>
      </c>
      <c r="J6514" t="str">
        <f>T("시계토끼")</f>
        <v>시계토끼</v>
      </c>
      <c r="K6514" t="str">
        <f>T("칼레이 백작가의 매맞이 하녀")</f>
        <v>칼레이 백작가의 매맞이 하녀</v>
      </c>
      <c r="L6514">
        <v>100</v>
      </c>
      <c r="M6514">
        <v>500</v>
      </c>
      <c r="N6514">
        <v>5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0</v>
      </c>
      <c r="AC6514">
        <v>0</v>
      </c>
      <c r="AD6514">
        <v>0</v>
      </c>
      <c r="AE6514">
        <v>0</v>
      </c>
      <c r="AF6514">
        <v>0</v>
      </c>
      <c r="AG6514">
        <v>0</v>
      </c>
      <c r="AH6514">
        <v>0</v>
      </c>
      <c r="AI6514">
        <v>500</v>
      </c>
      <c r="AJ6514">
        <v>5</v>
      </c>
      <c r="AK6514">
        <v>0</v>
      </c>
      <c r="AL6514">
        <v>0</v>
      </c>
      <c r="AM6514">
        <v>400</v>
      </c>
      <c r="AN6514">
        <v>0</v>
      </c>
      <c r="AO6514">
        <v>120</v>
      </c>
      <c r="AP6514">
        <v>-36</v>
      </c>
      <c r="AQ6514">
        <v>0</v>
      </c>
      <c r="AR6514">
        <v>120</v>
      </c>
      <c r="AS6514">
        <v>-36</v>
      </c>
      <c r="AT6514">
        <v>0</v>
      </c>
      <c r="AV6514">
        <v>0</v>
      </c>
      <c r="AW6514">
        <v>0</v>
      </c>
      <c r="AY6514">
        <v>0</v>
      </c>
      <c r="AZ6514">
        <v>0</v>
      </c>
      <c r="BA6514">
        <v>338.8</v>
      </c>
      <c r="BE6514" t="str">
        <f>T("9791164099764")</f>
        <v>9791164099764</v>
      </c>
      <c r="BF6514" t="str">
        <f>T("k201724")</f>
        <v>k201724</v>
      </c>
      <c r="BG6514" t="str">
        <f>T("로판 웹소설 &gt; 서양풍 로판")</f>
        <v>로판 웹소설 &gt; 서양풍 로판</v>
      </c>
    </row>
    <row r="6515" spans="1:59">
      <c r="A6515" t="s">
        <v>60</v>
      </c>
      <c r="B6515" s="1">
        <v>46131</v>
      </c>
      <c r="C6515">
        <v>2378059762</v>
      </c>
      <c r="D6515">
        <v>2378059807</v>
      </c>
      <c r="E6515" t="str">
        <f>T("칼레이 백작가의 매맞이 하녀 46화")</f>
        <v>칼레이 백작가의 매맞이 하녀 46화</v>
      </c>
      <c r="F6515">
        <v>46</v>
      </c>
      <c r="G6515" t="str">
        <f>T("뮤사203")</f>
        <v>뮤사203</v>
      </c>
      <c r="J6515" t="str">
        <f>T("시계토끼")</f>
        <v>시계토끼</v>
      </c>
      <c r="K6515" t="str">
        <f>T("칼레이 백작가의 매맞이 하녀")</f>
        <v>칼레이 백작가의 매맞이 하녀</v>
      </c>
      <c r="L6515">
        <v>100</v>
      </c>
      <c r="M6515">
        <v>300</v>
      </c>
      <c r="N6515">
        <v>3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0</v>
      </c>
      <c r="AC6515">
        <v>0</v>
      </c>
      <c r="AD6515">
        <v>0</v>
      </c>
      <c r="AE6515">
        <v>0</v>
      </c>
      <c r="AF6515">
        <v>0</v>
      </c>
      <c r="AG6515">
        <v>0</v>
      </c>
      <c r="AH6515">
        <v>0</v>
      </c>
      <c r="AI6515">
        <v>300</v>
      </c>
      <c r="AJ6515">
        <v>3</v>
      </c>
      <c r="AK6515">
        <v>0</v>
      </c>
      <c r="AL6515">
        <v>0</v>
      </c>
      <c r="AM6515">
        <v>300</v>
      </c>
      <c r="AN6515">
        <v>0</v>
      </c>
      <c r="AO6515">
        <v>0</v>
      </c>
      <c r="AP6515">
        <v>0</v>
      </c>
      <c r="AQ6515">
        <v>0</v>
      </c>
      <c r="AS6515">
        <v>0</v>
      </c>
      <c r="AT6515">
        <v>0</v>
      </c>
      <c r="AV6515">
        <v>0</v>
      </c>
      <c r="AW6515">
        <v>0</v>
      </c>
      <c r="AY6515">
        <v>0</v>
      </c>
      <c r="AZ6515">
        <v>0</v>
      </c>
      <c r="BA6515">
        <v>210</v>
      </c>
      <c r="BE6515" t="str">
        <f>T("9791164099764")</f>
        <v>9791164099764</v>
      </c>
      <c r="BF6515" t="str">
        <f>T("k201725")</f>
        <v>k201725</v>
      </c>
      <c r="BG6515" t="str">
        <f>T("로판 웹소설 &gt; 서양풍 로판")</f>
        <v>로판 웹소설 &gt; 서양풍 로판</v>
      </c>
    </row>
    <row r="6516" spans="1:59">
      <c r="A6516" t="s">
        <v>60</v>
      </c>
      <c r="B6516" s="1">
        <v>46131</v>
      </c>
      <c r="C6516">
        <v>2378059762</v>
      </c>
      <c r="D6516">
        <v>2378059808</v>
      </c>
      <c r="E6516" t="str">
        <f>T("칼레이 백작가의 매맞이 하녀 47화")</f>
        <v>칼레이 백작가의 매맞이 하녀 47화</v>
      </c>
      <c r="F6516">
        <v>47</v>
      </c>
      <c r="G6516" t="str">
        <f>T("뮤사203")</f>
        <v>뮤사203</v>
      </c>
      <c r="J6516" t="str">
        <f>T("시계토끼")</f>
        <v>시계토끼</v>
      </c>
      <c r="K6516" t="str">
        <f>T("칼레이 백작가의 매맞이 하녀")</f>
        <v>칼레이 백작가의 매맞이 하녀</v>
      </c>
      <c r="L6516">
        <v>100</v>
      </c>
      <c r="M6516">
        <v>300</v>
      </c>
      <c r="N6516">
        <v>3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0</v>
      </c>
      <c r="AC6516">
        <v>0</v>
      </c>
      <c r="AD6516">
        <v>0</v>
      </c>
      <c r="AE6516">
        <v>0</v>
      </c>
      <c r="AF6516">
        <v>0</v>
      </c>
      <c r="AG6516">
        <v>0</v>
      </c>
      <c r="AH6516">
        <v>0</v>
      </c>
      <c r="AI6516">
        <v>300</v>
      </c>
      <c r="AJ6516">
        <v>3</v>
      </c>
      <c r="AK6516">
        <v>0</v>
      </c>
      <c r="AL6516">
        <v>0</v>
      </c>
      <c r="AM6516">
        <v>300</v>
      </c>
      <c r="AN6516">
        <v>0</v>
      </c>
      <c r="AO6516">
        <v>0</v>
      </c>
      <c r="AP6516">
        <v>0</v>
      </c>
      <c r="AQ6516">
        <v>0</v>
      </c>
      <c r="AS6516">
        <v>0</v>
      </c>
      <c r="AT6516">
        <v>0</v>
      </c>
      <c r="AV6516">
        <v>0</v>
      </c>
      <c r="AW6516">
        <v>0</v>
      </c>
      <c r="AY6516">
        <v>0</v>
      </c>
      <c r="AZ6516">
        <v>0</v>
      </c>
      <c r="BA6516">
        <v>210</v>
      </c>
      <c r="BE6516" t="str">
        <f>T("9791164099764")</f>
        <v>9791164099764</v>
      </c>
      <c r="BF6516" t="str">
        <f>T("k201726")</f>
        <v>k201726</v>
      </c>
      <c r="BG6516" t="str">
        <f>T("로판 웹소설 &gt; 서양풍 로판")</f>
        <v>로판 웹소설 &gt; 서양풍 로판</v>
      </c>
    </row>
    <row r="6517" spans="1:59">
      <c r="A6517" t="s">
        <v>60</v>
      </c>
      <c r="B6517" s="1">
        <v>46131</v>
      </c>
      <c r="C6517">
        <v>2378059762</v>
      </c>
      <c r="D6517">
        <v>2378059809</v>
      </c>
      <c r="E6517" t="str">
        <f>T("칼레이 백작가의 매맞이 하녀 48화")</f>
        <v>칼레이 백작가의 매맞이 하녀 48화</v>
      </c>
      <c r="F6517">
        <v>48</v>
      </c>
      <c r="G6517" t="str">
        <f>T("뮤사203")</f>
        <v>뮤사203</v>
      </c>
      <c r="J6517" t="str">
        <f>T("시계토끼")</f>
        <v>시계토끼</v>
      </c>
      <c r="K6517" t="str">
        <f>T("칼레이 백작가의 매맞이 하녀")</f>
        <v>칼레이 백작가의 매맞이 하녀</v>
      </c>
      <c r="L6517">
        <v>100</v>
      </c>
      <c r="M6517">
        <v>200</v>
      </c>
      <c r="N6517">
        <v>2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0</v>
      </c>
      <c r="AC6517">
        <v>0</v>
      </c>
      <c r="AD6517">
        <v>0</v>
      </c>
      <c r="AE6517">
        <v>0</v>
      </c>
      <c r="AF6517">
        <v>0</v>
      </c>
      <c r="AG6517">
        <v>0</v>
      </c>
      <c r="AH6517">
        <v>0</v>
      </c>
      <c r="AI6517">
        <v>200</v>
      </c>
      <c r="AJ6517">
        <v>2</v>
      </c>
      <c r="AK6517">
        <v>0</v>
      </c>
      <c r="AL6517">
        <v>0</v>
      </c>
      <c r="AM6517">
        <v>200</v>
      </c>
      <c r="AN6517">
        <v>0</v>
      </c>
      <c r="AO6517">
        <v>0</v>
      </c>
      <c r="AP6517">
        <v>0</v>
      </c>
      <c r="AQ6517">
        <v>0</v>
      </c>
      <c r="AS6517">
        <v>0</v>
      </c>
      <c r="AT6517">
        <v>0</v>
      </c>
      <c r="AV6517">
        <v>0</v>
      </c>
      <c r="AW6517">
        <v>0</v>
      </c>
      <c r="AY6517">
        <v>0</v>
      </c>
      <c r="AZ6517">
        <v>0</v>
      </c>
      <c r="BA6517">
        <v>140</v>
      </c>
      <c r="BE6517" t="str">
        <f>T("9791164099764")</f>
        <v>9791164099764</v>
      </c>
      <c r="BF6517" t="str">
        <f>T("k201727")</f>
        <v>k201727</v>
      </c>
      <c r="BG6517" t="str">
        <f>T("로판 웹소설 &gt; 서양풍 로판")</f>
        <v>로판 웹소설 &gt; 서양풍 로판</v>
      </c>
    </row>
    <row r="6518" spans="1:59">
      <c r="A6518" t="s">
        <v>60</v>
      </c>
      <c r="B6518" s="1">
        <v>46131</v>
      </c>
      <c r="C6518">
        <v>2378059762</v>
      </c>
      <c r="D6518">
        <v>2378065946</v>
      </c>
      <c r="E6518" t="str">
        <f>T("칼레이 백작가의 매맞이 하녀 140화")</f>
        <v>칼레이 백작가의 매맞이 하녀 140화</v>
      </c>
      <c r="F6518">
        <v>140</v>
      </c>
      <c r="G6518" t="str">
        <f>T("뮤사203")</f>
        <v>뮤사203</v>
      </c>
      <c r="J6518" t="str">
        <f>T("시계토끼")</f>
        <v>시계토끼</v>
      </c>
      <c r="K6518" t="str">
        <f>T("칼레이 백작가의 매맞이 하녀")</f>
        <v>칼레이 백작가의 매맞이 하녀</v>
      </c>
      <c r="L6518">
        <v>100</v>
      </c>
      <c r="M6518">
        <v>100</v>
      </c>
      <c r="N6518">
        <v>1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0</v>
      </c>
      <c r="AC6518">
        <v>0</v>
      </c>
      <c r="AD6518">
        <v>0</v>
      </c>
      <c r="AE6518">
        <v>0</v>
      </c>
      <c r="AF6518">
        <v>0</v>
      </c>
      <c r="AG6518">
        <v>0</v>
      </c>
      <c r="AH6518">
        <v>0</v>
      </c>
      <c r="AI6518">
        <v>100</v>
      </c>
      <c r="AJ6518">
        <v>1</v>
      </c>
      <c r="AK6518">
        <v>0</v>
      </c>
      <c r="AL6518">
        <v>0</v>
      </c>
      <c r="AM6518">
        <v>100</v>
      </c>
      <c r="AN6518">
        <v>0</v>
      </c>
      <c r="AO6518">
        <v>0</v>
      </c>
      <c r="AP6518">
        <v>0</v>
      </c>
      <c r="AQ6518">
        <v>0</v>
      </c>
      <c r="AS6518">
        <v>0</v>
      </c>
      <c r="AT6518">
        <v>0</v>
      </c>
      <c r="AV6518">
        <v>0</v>
      </c>
      <c r="AW6518">
        <v>0</v>
      </c>
      <c r="AY6518">
        <v>0</v>
      </c>
      <c r="AZ6518">
        <v>0</v>
      </c>
      <c r="BA6518">
        <v>70</v>
      </c>
      <c r="BE6518" t="str">
        <f>T("9791164099764")</f>
        <v>9791164099764</v>
      </c>
      <c r="BF6518" t="str">
        <f>T("k294722")</f>
        <v>k294722</v>
      </c>
      <c r="BG6518" t="str">
        <f>T("로판 웹소설 &gt; 서양풍 로판")</f>
        <v>로판 웹소설 &gt; 서양풍 로판</v>
      </c>
    </row>
    <row r="6519" spans="1:59">
      <c r="A6519" t="s">
        <v>60</v>
      </c>
      <c r="B6519" s="1">
        <v>46131</v>
      </c>
      <c r="C6519">
        <v>2378059762</v>
      </c>
      <c r="D6519">
        <v>2378066157</v>
      </c>
      <c r="E6519" t="str">
        <f>T("칼레이 백작가의 매맞이 하녀 141화")</f>
        <v>칼레이 백작가의 매맞이 하녀 141화</v>
      </c>
      <c r="F6519">
        <v>141</v>
      </c>
      <c r="G6519" t="str">
        <f>T("뮤사203")</f>
        <v>뮤사203</v>
      </c>
      <c r="J6519" t="str">
        <f>T("시계토끼")</f>
        <v>시계토끼</v>
      </c>
      <c r="K6519" t="str">
        <f>T("칼레이 백작가의 매맞이 하녀")</f>
        <v>칼레이 백작가의 매맞이 하녀</v>
      </c>
      <c r="L6519">
        <v>100</v>
      </c>
      <c r="M6519">
        <v>100</v>
      </c>
      <c r="N6519">
        <v>1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0</v>
      </c>
      <c r="AC6519">
        <v>0</v>
      </c>
      <c r="AD6519">
        <v>0</v>
      </c>
      <c r="AE6519">
        <v>0</v>
      </c>
      <c r="AF6519">
        <v>0</v>
      </c>
      <c r="AG6519">
        <v>0</v>
      </c>
      <c r="AH6519">
        <v>0</v>
      </c>
      <c r="AI6519">
        <v>100</v>
      </c>
      <c r="AJ6519">
        <v>1</v>
      </c>
      <c r="AK6519">
        <v>0</v>
      </c>
      <c r="AL6519">
        <v>0</v>
      </c>
      <c r="AM6519">
        <v>100</v>
      </c>
      <c r="AN6519">
        <v>0</v>
      </c>
      <c r="AO6519">
        <v>0</v>
      </c>
      <c r="AP6519">
        <v>0</v>
      </c>
      <c r="AQ6519">
        <v>0</v>
      </c>
      <c r="AS6519">
        <v>0</v>
      </c>
      <c r="AT6519">
        <v>0</v>
      </c>
      <c r="AV6519">
        <v>0</v>
      </c>
      <c r="AW6519">
        <v>0</v>
      </c>
      <c r="AY6519">
        <v>0</v>
      </c>
      <c r="AZ6519">
        <v>0</v>
      </c>
      <c r="BA6519">
        <v>70</v>
      </c>
      <c r="BE6519" t="str">
        <f>T("9791164099764")</f>
        <v>9791164099764</v>
      </c>
      <c r="BF6519" t="str">
        <f>T("k296768")</f>
        <v>k296768</v>
      </c>
      <c r="BG6519" t="str">
        <f>T("로판 웹소설 &gt; 서양풍 로판")</f>
        <v>로판 웹소설 &gt; 서양풍 로판</v>
      </c>
    </row>
    <row r="6520" spans="1:59">
      <c r="A6520" t="s">
        <v>60</v>
      </c>
      <c r="B6520" s="1">
        <v>46131</v>
      </c>
      <c r="C6520">
        <v>2378059762</v>
      </c>
      <c r="D6520">
        <v>2378066417</v>
      </c>
      <c r="E6520" t="str">
        <f>T("칼레이 백작가의 매맞이 하녀 148화")</f>
        <v>칼레이 백작가의 매맞이 하녀 148화</v>
      </c>
      <c r="F6520">
        <v>148</v>
      </c>
      <c r="G6520" t="str">
        <f>T("뮤사203")</f>
        <v>뮤사203</v>
      </c>
      <c r="J6520" t="str">
        <f>T("시계토끼")</f>
        <v>시계토끼</v>
      </c>
      <c r="K6520" t="str">
        <f>T("칼레이 백작가의 매맞이 하녀")</f>
        <v>칼레이 백작가의 매맞이 하녀</v>
      </c>
      <c r="L6520">
        <v>100</v>
      </c>
      <c r="M6520">
        <v>100</v>
      </c>
      <c r="N6520">
        <v>1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0</v>
      </c>
      <c r="AC6520">
        <v>0</v>
      </c>
      <c r="AD6520">
        <v>0</v>
      </c>
      <c r="AE6520">
        <v>0</v>
      </c>
      <c r="AF6520">
        <v>0</v>
      </c>
      <c r="AG6520">
        <v>0</v>
      </c>
      <c r="AH6520">
        <v>0</v>
      </c>
      <c r="AI6520">
        <v>100</v>
      </c>
      <c r="AJ6520">
        <v>1</v>
      </c>
      <c r="AK6520">
        <v>0</v>
      </c>
      <c r="AL6520">
        <v>0</v>
      </c>
      <c r="AM6520">
        <v>100</v>
      </c>
      <c r="AN6520">
        <v>0</v>
      </c>
      <c r="AO6520">
        <v>0</v>
      </c>
      <c r="AP6520">
        <v>0</v>
      </c>
      <c r="AQ6520">
        <v>0</v>
      </c>
      <c r="AS6520">
        <v>0</v>
      </c>
      <c r="AT6520">
        <v>0</v>
      </c>
      <c r="AV6520">
        <v>0</v>
      </c>
      <c r="AW6520">
        <v>0</v>
      </c>
      <c r="AY6520">
        <v>0</v>
      </c>
      <c r="AZ6520">
        <v>0</v>
      </c>
      <c r="BA6520">
        <v>70</v>
      </c>
      <c r="BE6520" t="str">
        <f>T("9791164099764")</f>
        <v>9791164099764</v>
      </c>
      <c r="BF6520" t="str">
        <f>T("k298225")</f>
        <v>k298225</v>
      </c>
      <c r="BG6520" t="str">
        <f>T("로판 웹소설 &gt; 서양풍 로판")</f>
        <v>로판 웹소설 &gt; 서양풍 로판</v>
      </c>
    </row>
    <row r="6521" spans="1:59">
      <c r="A6521" t="s">
        <v>60</v>
      </c>
      <c r="B6521" s="1">
        <v>46131</v>
      </c>
      <c r="C6521">
        <v>2378059762</v>
      </c>
      <c r="D6521">
        <v>2378066416</v>
      </c>
      <c r="E6521" t="str">
        <f>T("칼레이 백작가의 매맞이 하녀 147화")</f>
        <v>칼레이 백작가의 매맞이 하녀 147화</v>
      </c>
      <c r="F6521">
        <v>147</v>
      </c>
      <c r="G6521" t="str">
        <f>T("뮤사203")</f>
        <v>뮤사203</v>
      </c>
      <c r="J6521" t="str">
        <f>T("시계토끼")</f>
        <v>시계토끼</v>
      </c>
      <c r="K6521" t="str">
        <f>T("칼레이 백작가의 매맞이 하녀")</f>
        <v>칼레이 백작가의 매맞이 하녀</v>
      </c>
      <c r="L6521">
        <v>100</v>
      </c>
      <c r="M6521">
        <v>100</v>
      </c>
      <c r="N6521">
        <v>1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0</v>
      </c>
      <c r="AC6521">
        <v>0</v>
      </c>
      <c r="AD6521">
        <v>0</v>
      </c>
      <c r="AE6521">
        <v>0</v>
      </c>
      <c r="AF6521">
        <v>0</v>
      </c>
      <c r="AG6521">
        <v>0</v>
      </c>
      <c r="AH6521">
        <v>0</v>
      </c>
      <c r="AI6521">
        <v>100</v>
      </c>
      <c r="AJ6521">
        <v>1</v>
      </c>
      <c r="AK6521">
        <v>0</v>
      </c>
      <c r="AL6521">
        <v>0</v>
      </c>
      <c r="AM6521">
        <v>100</v>
      </c>
      <c r="AN6521">
        <v>0</v>
      </c>
      <c r="AO6521">
        <v>0</v>
      </c>
      <c r="AP6521">
        <v>0</v>
      </c>
      <c r="AQ6521">
        <v>0</v>
      </c>
      <c r="AS6521">
        <v>0</v>
      </c>
      <c r="AT6521">
        <v>0</v>
      </c>
      <c r="AV6521">
        <v>0</v>
      </c>
      <c r="AW6521">
        <v>0</v>
      </c>
      <c r="AY6521">
        <v>0</v>
      </c>
      <c r="AZ6521">
        <v>0</v>
      </c>
      <c r="BA6521">
        <v>70</v>
      </c>
      <c r="BE6521" t="str">
        <f>T("9791164099764")</f>
        <v>9791164099764</v>
      </c>
      <c r="BF6521" t="str">
        <f>T("k298224")</f>
        <v>k298224</v>
      </c>
      <c r="BG6521" t="str">
        <f>T("로판 웹소설 &gt; 서양풍 로판")</f>
        <v>로판 웹소설 &gt; 서양풍 로판</v>
      </c>
    </row>
    <row r="6522" spans="1:59">
      <c r="A6522" t="s">
        <v>60</v>
      </c>
      <c r="B6522" s="1">
        <v>46131</v>
      </c>
      <c r="C6522">
        <v>2378059762</v>
      </c>
      <c r="D6522">
        <v>2378066208</v>
      </c>
      <c r="E6522" t="str">
        <f>T("칼레이 백작가의 매맞이 하녀 146화")</f>
        <v>칼레이 백작가의 매맞이 하녀 146화</v>
      </c>
      <c r="F6522">
        <v>146</v>
      </c>
      <c r="G6522" t="str">
        <f>T("뮤사203")</f>
        <v>뮤사203</v>
      </c>
      <c r="J6522" t="str">
        <f>T("시계토끼")</f>
        <v>시계토끼</v>
      </c>
      <c r="K6522" t="str">
        <f>T("칼레이 백작가의 매맞이 하녀")</f>
        <v>칼레이 백작가의 매맞이 하녀</v>
      </c>
      <c r="L6522">
        <v>100</v>
      </c>
      <c r="M6522">
        <v>100</v>
      </c>
      <c r="N6522">
        <v>1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0</v>
      </c>
      <c r="AC6522">
        <v>0</v>
      </c>
      <c r="AD6522">
        <v>0</v>
      </c>
      <c r="AE6522">
        <v>0</v>
      </c>
      <c r="AF6522">
        <v>0</v>
      </c>
      <c r="AG6522">
        <v>0</v>
      </c>
      <c r="AH6522">
        <v>0</v>
      </c>
      <c r="AI6522">
        <v>100</v>
      </c>
      <c r="AJ6522">
        <v>1</v>
      </c>
      <c r="AK6522">
        <v>0</v>
      </c>
      <c r="AL6522">
        <v>0</v>
      </c>
      <c r="AM6522">
        <v>100</v>
      </c>
      <c r="AN6522">
        <v>0</v>
      </c>
      <c r="AO6522">
        <v>0</v>
      </c>
      <c r="AP6522">
        <v>0</v>
      </c>
      <c r="AQ6522">
        <v>0</v>
      </c>
      <c r="AS6522">
        <v>0</v>
      </c>
      <c r="AT6522">
        <v>0</v>
      </c>
      <c r="AV6522">
        <v>0</v>
      </c>
      <c r="AW6522">
        <v>0</v>
      </c>
      <c r="AY6522">
        <v>0</v>
      </c>
      <c r="AZ6522">
        <v>0</v>
      </c>
      <c r="BA6522">
        <v>70</v>
      </c>
      <c r="BE6522" t="str">
        <f>T("9791164099764")</f>
        <v>9791164099764</v>
      </c>
      <c r="BF6522" t="str">
        <f>T("k298223")</f>
        <v>k298223</v>
      </c>
      <c r="BG6522" t="str">
        <f>T("로판 웹소설 &gt; 서양풍 로판")</f>
        <v>로판 웹소설 &gt; 서양풍 로판</v>
      </c>
    </row>
    <row r="6523" spans="1:59">
      <c r="A6523" t="s">
        <v>60</v>
      </c>
      <c r="B6523" s="1">
        <v>46131</v>
      </c>
      <c r="C6523">
        <v>2378059762</v>
      </c>
      <c r="D6523">
        <v>2378079047</v>
      </c>
      <c r="E6523" t="str">
        <f>T("칼레이 백작가의 매맞이 하녀 추가 외전 3화")</f>
        <v>칼레이 백작가의 매맞이 하녀 추가 외전 3화</v>
      </c>
      <c r="F6523">
        <v>187</v>
      </c>
      <c r="G6523" t="str">
        <f>T("뮤사203")</f>
        <v>뮤사203</v>
      </c>
      <c r="J6523" t="str">
        <f>T("시계토끼")</f>
        <v>시계토끼</v>
      </c>
      <c r="K6523" t="str">
        <f>T("칼레이 백작가의 매맞이 하녀")</f>
        <v>칼레이 백작가의 매맞이 하녀</v>
      </c>
      <c r="L6523">
        <v>100</v>
      </c>
      <c r="M6523">
        <v>0</v>
      </c>
      <c r="N6523">
        <v>0</v>
      </c>
      <c r="O6523">
        <v>0</v>
      </c>
      <c r="P6523">
        <v>0</v>
      </c>
      <c r="Q6523">
        <v>0</v>
      </c>
      <c r="R6523">
        <v>1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0</v>
      </c>
      <c r="AC6523">
        <v>0</v>
      </c>
      <c r="AD6523">
        <v>0</v>
      </c>
      <c r="AE6523">
        <v>0</v>
      </c>
      <c r="AF6523">
        <v>0</v>
      </c>
      <c r="AG6523">
        <v>0</v>
      </c>
      <c r="AH6523">
        <v>0</v>
      </c>
      <c r="AI6523">
        <v>0</v>
      </c>
      <c r="AJ6523">
        <v>1</v>
      </c>
      <c r="AK6523">
        <v>0</v>
      </c>
      <c r="AL6523">
        <v>0</v>
      </c>
      <c r="AM6523">
        <v>0</v>
      </c>
      <c r="AN6523">
        <v>0</v>
      </c>
      <c r="AO6523">
        <v>0</v>
      </c>
      <c r="AP6523">
        <v>0</v>
      </c>
      <c r="AQ6523">
        <v>0</v>
      </c>
      <c r="AS6523">
        <v>0</v>
      </c>
      <c r="AT6523">
        <v>0</v>
      </c>
      <c r="AV6523">
        <v>0</v>
      </c>
      <c r="AW6523">
        <v>0</v>
      </c>
      <c r="AY6523">
        <v>0</v>
      </c>
      <c r="AZ6523">
        <v>0</v>
      </c>
      <c r="BA6523">
        <v>0</v>
      </c>
      <c r="BE6523" t="str">
        <f>T("9791164099764")</f>
        <v>9791164099764</v>
      </c>
      <c r="BF6523" t="str">
        <f>T("D180749")</f>
        <v>D180749</v>
      </c>
      <c r="BG6523" t="str">
        <f>T("로판 웹소설 &gt; 서양풍 로판")</f>
        <v>로판 웹소설 &gt; 서양풍 로판</v>
      </c>
    </row>
    <row r="6524" spans="1:59">
      <c r="A6524" t="s">
        <v>60</v>
      </c>
      <c r="B6524" s="1">
        <v>46131</v>
      </c>
      <c r="C6524">
        <v>2378059762</v>
      </c>
      <c r="D6524">
        <v>2378059769</v>
      </c>
      <c r="E6524" t="str">
        <f>T("칼레이 백작가의 매맞이 하녀 8화")</f>
        <v>칼레이 백작가의 매맞이 하녀 8화</v>
      </c>
      <c r="F6524">
        <v>8</v>
      </c>
      <c r="G6524" t="str">
        <f>T("뮤사203")</f>
        <v>뮤사203</v>
      </c>
      <c r="J6524" t="str">
        <f>T("시계토끼")</f>
        <v>시계토끼</v>
      </c>
      <c r="K6524" t="str">
        <f>T("칼레이 백작가의 매맞이 하녀")</f>
        <v>칼레이 백작가의 매맞이 하녀</v>
      </c>
      <c r="L6524">
        <v>100</v>
      </c>
      <c r="M6524">
        <v>200</v>
      </c>
      <c r="N6524">
        <v>2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0</v>
      </c>
      <c r="AC6524">
        <v>0</v>
      </c>
      <c r="AD6524">
        <v>0</v>
      </c>
      <c r="AE6524">
        <v>0</v>
      </c>
      <c r="AF6524">
        <v>0</v>
      </c>
      <c r="AG6524">
        <v>0</v>
      </c>
      <c r="AH6524">
        <v>0</v>
      </c>
      <c r="AI6524">
        <v>200</v>
      </c>
      <c r="AJ6524">
        <v>2</v>
      </c>
      <c r="AK6524">
        <v>0</v>
      </c>
      <c r="AL6524">
        <v>0</v>
      </c>
      <c r="AM6524">
        <v>200</v>
      </c>
      <c r="AN6524">
        <v>0</v>
      </c>
      <c r="AO6524">
        <v>0</v>
      </c>
      <c r="AP6524">
        <v>0</v>
      </c>
      <c r="AQ6524">
        <v>0</v>
      </c>
      <c r="AS6524">
        <v>0</v>
      </c>
      <c r="AT6524">
        <v>0</v>
      </c>
      <c r="AV6524">
        <v>0</v>
      </c>
      <c r="AW6524">
        <v>0</v>
      </c>
      <c r="AY6524">
        <v>0</v>
      </c>
      <c r="AZ6524">
        <v>0</v>
      </c>
      <c r="BA6524">
        <v>140</v>
      </c>
      <c r="BE6524" t="str">
        <f>T("9791164099764")</f>
        <v>9791164099764</v>
      </c>
      <c r="BF6524" t="str">
        <f>T("k201687")</f>
        <v>k201687</v>
      </c>
      <c r="BG6524" t="str">
        <f>T("로판 웹소설 &gt; 서양풍 로판")</f>
        <v>로판 웹소설 &gt; 서양풍 로판</v>
      </c>
    </row>
    <row r="6525" spans="1:59">
      <c r="A6525" t="s">
        <v>60</v>
      </c>
      <c r="B6525" s="1">
        <v>46131</v>
      </c>
      <c r="C6525">
        <v>2378059762</v>
      </c>
      <c r="D6525">
        <v>2378059770</v>
      </c>
      <c r="E6525" t="str">
        <f>T("칼레이 백작가의 매맞이 하녀 9화")</f>
        <v>칼레이 백작가의 매맞이 하녀 9화</v>
      </c>
      <c r="F6525">
        <v>9</v>
      </c>
      <c r="G6525" t="str">
        <f>T("뮤사203")</f>
        <v>뮤사203</v>
      </c>
      <c r="J6525" t="str">
        <f>T("시계토끼")</f>
        <v>시계토끼</v>
      </c>
      <c r="K6525" t="str">
        <f>T("칼레이 백작가의 매맞이 하녀")</f>
        <v>칼레이 백작가의 매맞이 하녀</v>
      </c>
      <c r="L6525">
        <v>100</v>
      </c>
      <c r="M6525">
        <v>200</v>
      </c>
      <c r="N6525">
        <v>2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0</v>
      </c>
      <c r="AC6525">
        <v>0</v>
      </c>
      <c r="AD6525">
        <v>0</v>
      </c>
      <c r="AE6525">
        <v>0</v>
      </c>
      <c r="AF6525">
        <v>0</v>
      </c>
      <c r="AG6525">
        <v>0</v>
      </c>
      <c r="AH6525">
        <v>0</v>
      </c>
      <c r="AI6525">
        <v>200</v>
      </c>
      <c r="AJ6525">
        <v>2</v>
      </c>
      <c r="AK6525">
        <v>0</v>
      </c>
      <c r="AL6525">
        <v>0</v>
      </c>
      <c r="AM6525">
        <v>200</v>
      </c>
      <c r="AN6525">
        <v>0</v>
      </c>
      <c r="AO6525">
        <v>0</v>
      </c>
      <c r="AP6525">
        <v>0</v>
      </c>
      <c r="AQ6525">
        <v>0</v>
      </c>
      <c r="AS6525">
        <v>0</v>
      </c>
      <c r="AT6525">
        <v>0</v>
      </c>
      <c r="AV6525">
        <v>0</v>
      </c>
      <c r="AW6525">
        <v>0</v>
      </c>
      <c r="AY6525">
        <v>0</v>
      </c>
      <c r="AZ6525">
        <v>0</v>
      </c>
      <c r="BA6525">
        <v>140</v>
      </c>
      <c r="BE6525" t="str">
        <f>T("9791164099764")</f>
        <v>9791164099764</v>
      </c>
      <c r="BF6525" t="str">
        <f>T("k201688")</f>
        <v>k201688</v>
      </c>
      <c r="BG6525" t="str">
        <f>T("로판 웹소설 &gt; 서양풍 로판")</f>
        <v>로판 웹소설 &gt; 서양풍 로판</v>
      </c>
    </row>
    <row r="6526" spans="1:59">
      <c r="A6526" t="s">
        <v>60</v>
      </c>
      <c r="B6526" s="1">
        <v>46131</v>
      </c>
      <c r="C6526">
        <v>2378059762</v>
      </c>
      <c r="D6526">
        <v>2378059771</v>
      </c>
      <c r="E6526" t="str">
        <f>T("칼레이 백작가의 매맞이 하녀 10화")</f>
        <v>칼레이 백작가의 매맞이 하녀 10화</v>
      </c>
      <c r="F6526">
        <v>10</v>
      </c>
      <c r="G6526" t="str">
        <f>T("뮤사203")</f>
        <v>뮤사203</v>
      </c>
      <c r="J6526" t="str">
        <f>T("시계토끼")</f>
        <v>시계토끼</v>
      </c>
      <c r="K6526" t="str">
        <f>T("칼레이 백작가의 매맞이 하녀")</f>
        <v>칼레이 백작가의 매맞이 하녀</v>
      </c>
      <c r="L6526">
        <v>100</v>
      </c>
      <c r="M6526">
        <v>200</v>
      </c>
      <c r="N6526">
        <v>2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0</v>
      </c>
      <c r="AC6526">
        <v>0</v>
      </c>
      <c r="AD6526">
        <v>0</v>
      </c>
      <c r="AE6526">
        <v>0</v>
      </c>
      <c r="AF6526">
        <v>0</v>
      </c>
      <c r="AG6526">
        <v>0</v>
      </c>
      <c r="AH6526">
        <v>0</v>
      </c>
      <c r="AI6526">
        <v>200</v>
      </c>
      <c r="AJ6526">
        <v>2</v>
      </c>
      <c r="AK6526">
        <v>0</v>
      </c>
      <c r="AL6526">
        <v>0</v>
      </c>
      <c r="AM6526">
        <v>200</v>
      </c>
      <c r="AN6526">
        <v>0</v>
      </c>
      <c r="AO6526">
        <v>0</v>
      </c>
      <c r="AP6526">
        <v>0</v>
      </c>
      <c r="AQ6526">
        <v>0</v>
      </c>
      <c r="AS6526">
        <v>0</v>
      </c>
      <c r="AT6526">
        <v>0</v>
      </c>
      <c r="AV6526">
        <v>0</v>
      </c>
      <c r="AW6526">
        <v>0</v>
      </c>
      <c r="AY6526">
        <v>0</v>
      </c>
      <c r="AZ6526">
        <v>0</v>
      </c>
      <c r="BA6526">
        <v>140</v>
      </c>
      <c r="BE6526" t="str">
        <f>T("9791164099764")</f>
        <v>9791164099764</v>
      </c>
      <c r="BF6526" t="str">
        <f>T("k201689")</f>
        <v>k201689</v>
      </c>
      <c r="BG6526" t="str">
        <f>T("로판 웹소설 &gt; 서양풍 로판")</f>
        <v>로판 웹소설 &gt; 서양풍 로판</v>
      </c>
    </row>
    <row r="6527" spans="1:59">
      <c r="A6527" t="s">
        <v>60</v>
      </c>
      <c r="B6527" s="1">
        <v>46131</v>
      </c>
      <c r="C6527">
        <v>2378059762</v>
      </c>
      <c r="D6527">
        <v>2378059772</v>
      </c>
      <c r="E6527" t="str">
        <f>T("칼레이 백작가의 매맞이 하녀 11화")</f>
        <v>칼레이 백작가의 매맞이 하녀 11화</v>
      </c>
      <c r="F6527">
        <v>11</v>
      </c>
      <c r="G6527" t="str">
        <f>T("뮤사203")</f>
        <v>뮤사203</v>
      </c>
      <c r="J6527" t="str">
        <f>T("시계토끼")</f>
        <v>시계토끼</v>
      </c>
      <c r="K6527" t="str">
        <f>T("칼레이 백작가의 매맞이 하녀")</f>
        <v>칼레이 백작가의 매맞이 하녀</v>
      </c>
      <c r="L6527">
        <v>100</v>
      </c>
      <c r="M6527">
        <v>200</v>
      </c>
      <c r="N6527">
        <v>2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0</v>
      </c>
      <c r="AC6527">
        <v>0</v>
      </c>
      <c r="AD6527">
        <v>0</v>
      </c>
      <c r="AE6527">
        <v>0</v>
      </c>
      <c r="AF6527">
        <v>0</v>
      </c>
      <c r="AG6527">
        <v>0</v>
      </c>
      <c r="AH6527">
        <v>0</v>
      </c>
      <c r="AI6527">
        <v>200</v>
      </c>
      <c r="AJ6527">
        <v>2</v>
      </c>
      <c r="AK6527">
        <v>0</v>
      </c>
      <c r="AL6527">
        <v>0</v>
      </c>
      <c r="AM6527">
        <v>200</v>
      </c>
      <c r="AN6527">
        <v>0</v>
      </c>
      <c r="AO6527">
        <v>0</v>
      </c>
      <c r="AP6527">
        <v>0</v>
      </c>
      <c r="AQ6527">
        <v>0</v>
      </c>
      <c r="AS6527">
        <v>0</v>
      </c>
      <c r="AT6527">
        <v>0</v>
      </c>
      <c r="AV6527">
        <v>0</v>
      </c>
      <c r="AW6527">
        <v>0</v>
      </c>
      <c r="AY6527">
        <v>0</v>
      </c>
      <c r="AZ6527">
        <v>0</v>
      </c>
      <c r="BA6527">
        <v>140</v>
      </c>
      <c r="BE6527" t="str">
        <f>T("9791164099764")</f>
        <v>9791164099764</v>
      </c>
      <c r="BF6527" t="str">
        <f>T("k201690")</f>
        <v>k201690</v>
      </c>
      <c r="BG6527" t="str">
        <f>T("로판 웹소설 &gt; 서양풍 로판")</f>
        <v>로판 웹소설 &gt; 서양풍 로판</v>
      </c>
    </row>
    <row r="6528" spans="1:59">
      <c r="A6528" t="s">
        <v>60</v>
      </c>
      <c r="B6528" s="1">
        <v>46131</v>
      </c>
      <c r="C6528">
        <v>2378059762</v>
      </c>
      <c r="D6528">
        <v>2378059773</v>
      </c>
      <c r="E6528" t="str">
        <f>T("칼레이 백작가의 매맞이 하녀 12화")</f>
        <v>칼레이 백작가의 매맞이 하녀 12화</v>
      </c>
      <c r="F6528">
        <v>12</v>
      </c>
      <c r="G6528" t="str">
        <f>T("뮤사203")</f>
        <v>뮤사203</v>
      </c>
      <c r="J6528" t="str">
        <f>T("시계토끼")</f>
        <v>시계토끼</v>
      </c>
      <c r="K6528" t="str">
        <f>T("칼레이 백작가의 매맞이 하녀")</f>
        <v>칼레이 백작가의 매맞이 하녀</v>
      </c>
      <c r="L6528">
        <v>100</v>
      </c>
      <c r="M6528">
        <v>200</v>
      </c>
      <c r="N6528">
        <v>2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0</v>
      </c>
      <c r="AC6528">
        <v>0</v>
      </c>
      <c r="AD6528">
        <v>0</v>
      </c>
      <c r="AE6528">
        <v>0</v>
      </c>
      <c r="AF6528">
        <v>0</v>
      </c>
      <c r="AG6528">
        <v>0</v>
      </c>
      <c r="AH6528">
        <v>0</v>
      </c>
      <c r="AI6528">
        <v>200</v>
      </c>
      <c r="AJ6528">
        <v>2</v>
      </c>
      <c r="AK6528">
        <v>0</v>
      </c>
      <c r="AL6528">
        <v>0</v>
      </c>
      <c r="AM6528">
        <v>200</v>
      </c>
      <c r="AN6528">
        <v>0</v>
      </c>
      <c r="AO6528">
        <v>0</v>
      </c>
      <c r="AP6528">
        <v>0</v>
      </c>
      <c r="AQ6528">
        <v>0</v>
      </c>
      <c r="AS6528">
        <v>0</v>
      </c>
      <c r="AT6528">
        <v>0</v>
      </c>
      <c r="AV6528">
        <v>0</v>
      </c>
      <c r="AW6528">
        <v>0</v>
      </c>
      <c r="AY6528">
        <v>0</v>
      </c>
      <c r="AZ6528">
        <v>0</v>
      </c>
      <c r="BA6528">
        <v>140</v>
      </c>
      <c r="BE6528" t="str">
        <f>T("9791164099764")</f>
        <v>9791164099764</v>
      </c>
      <c r="BF6528" t="str">
        <f>T("k201691")</f>
        <v>k201691</v>
      </c>
      <c r="BG6528" t="str">
        <f>T("로판 웹소설 &gt; 서양풍 로판")</f>
        <v>로판 웹소설 &gt; 서양풍 로판</v>
      </c>
    </row>
    <row r="6529" spans="1:59">
      <c r="A6529" t="s">
        <v>60</v>
      </c>
      <c r="B6529" s="1">
        <v>46131</v>
      </c>
      <c r="C6529">
        <v>2378059762</v>
      </c>
      <c r="D6529">
        <v>2378059774</v>
      </c>
      <c r="E6529" t="str">
        <f>T("칼레이 백작가의 매맞이 하녀 13화")</f>
        <v>칼레이 백작가의 매맞이 하녀 13화</v>
      </c>
      <c r="F6529">
        <v>13</v>
      </c>
      <c r="G6529" t="str">
        <f>T("뮤사203")</f>
        <v>뮤사203</v>
      </c>
      <c r="J6529" t="str">
        <f>T("시계토끼")</f>
        <v>시계토끼</v>
      </c>
      <c r="K6529" t="str">
        <f>T("칼레이 백작가의 매맞이 하녀")</f>
        <v>칼레이 백작가의 매맞이 하녀</v>
      </c>
      <c r="L6529">
        <v>100</v>
      </c>
      <c r="M6529">
        <v>200</v>
      </c>
      <c r="N6529">
        <v>2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0</v>
      </c>
      <c r="AC6529">
        <v>0</v>
      </c>
      <c r="AD6529">
        <v>0</v>
      </c>
      <c r="AE6529">
        <v>0</v>
      </c>
      <c r="AF6529">
        <v>0</v>
      </c>
      <c r="AG6529">
        <v>0</v>
      </c>
      <c r="AH6529">
        <v>0</v>
      </c>
      <c r="AI6529">
        <v>200</v>
      </c>
      <c r="AJ6529">
        <v>2</v>
      </c>
      <c r="AK6529">
        <v>0</v>
      </c>
      <c r="AL6529">
        <v>0</v>
      </c>
      <c r="AM6529">
        <v>200</v>
      </c>
      <c r="AN6529">
        <v>0</v>
      </c>
      <c r="AO6529">
        <v>0</v>
      </c>
      <c r="AP6529">
        <v>0</v>
      </c>
      <c r="AQ6529">
        <v>0</v>
      </c>
      <c r="AS6529">
        <v>0</v>
      </c>
      <c r="AT6529">
        <v>0</v>
      </c>
      <c r="AV6529">
        <v>0</v>
      </c>
      <c r="AW6529">
        <v>0</v>
      </c>
      <c r="AY6529">
        <v>0</v>
      </c>
      <c r="AZ6529">
        <v>0</v>
      </c>
      <c r="BA6529">
        <v>140</v>
      </c>
      <c r="BE6529" t="str">
        <f>T("9791164099764")</f>
        <v>9791164099764</v>
      </c>
      <c r="BF6529" t="str">
        <f>T("k201692")</f>
        <v>k201692</v>
      </c>
      <c r="BG6529" t="str">
        <f>T("로판 웹소설 &gt; 서양풍 로판")</f>
        <v>로판 웹소설 &gt; 서양풍 로판</v>
      </c>
    </row>
    <row r="6530" spans="1:59">
      <c r="A6530" t="s">
        <v>60</v>
      </c>
      <c r="B6530" s="1">
        <v>46131</v>
      </c>
      <c r="C6530">
        <v>2378059762</v>
      </c>
      <c r="D6530">
        <v>2378059775</v>
      </c>
      <c r="E6530" t="str">
        <f>T("칼레이 백작가의 매맞이 하녀 14화")</f>
        <v>칼레이 백작가의 매맞이 하녀 14화</v>
      </c>
      <c r="F6530">
        <v>14</v>
      </c>
      <c r="G6530" t="str">
        <f>T("뮤사203")</f>
        <v>뮤사203</v>
      </c>
      <c r="J6530" t="str">
        <f>T("시계토끼")</f>
        <v>시계토끼</v>
      </c>
      <c r="K6530" t="str">
        <f>T("칼레이 백작가의 매맞이 하녀")</f>
        <v>칼레이 백작가의 매맞이 하녀</v>
      </c>
      <c r="L6530">
        <v>100</v>
      </c>
      <c r="M6530">
        <v>200</v>
      </c>
      <c r="N6530">
        <v>2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0</v>
      </c>
      <c r="AC6530">
        <v>0</v>
      </c>
      <c r="AD6530">
        <v>0</v>
      </c>
      <c r="AE6530">
        <v>0</v>
      </c>
      <c r="AF6530">
        <v>0</v>
      </c>
      <c r="AG6530">
        <v>0</v>
      </c>
      <c r="AH6530">
        <v>0</v>
      </c>
      <c r="AI6530">
        <v>200</v>
      </c>
      <c r="AJ6530">
        <v>2</v>
      </c>
      <c r="AK6530">
        <v>0</v>
      </c>
      <c r="AL6530">
        <v>0</v>
      </c>
      <c r="AM6530">
        <v>200</v>
      </c>
      <c r="AN6530">
        <v>0</v>
      </c>
      <c r="AO6530">
        <v>0</v>
      </c>
      <c r="AP6530">
        <v>0</v>
      </c>
      <c r="AQ6530">
        <v>0</v>
      </c>
      <c r="AS6530">
        <v>0</v>
      </c>
      <c r="AT6530">
        <v>0</v>
      </c>
      <c r="AV6530">
        <v>0</v>
      </c>
      <c r="AW6530">
        <v>0</v>
      </c>
      <c r="AY6530">
        <v>0</v>
      </c>
      <c r="AZ6530">
        <v>0</v>
      </c>
      <c r="BA6530">
        <v>140</v>
      </c>
      <c r="BE6530" t="str">
        <f>T("9791164099764")</f>
        <v>9791164099764</v>
      </c>
      <c r="BF6530" t="str">
        <f>T("k201693")</f>
        <v>k201693</v>
      </c>
      <c r="BG6530" t="str">
        <f>T("로판 웹소설 &gt; 서양풍 로판")</f>
        <v>로판 웹소설 &gt; 서양풍 로판</v>
      </c>
    </row>
    <row r="6531" spans="1:59">
      <c r="A6531" t="s">
        <v>60</v>
      </c>
      <c r="B6531" s="1">
        <v>46131</v>
      </c>
      <c r="C6531">
        <v>2378059762</v>
      </c>
      <c r="D6531">
        <v>2378059776</v>
      </c>
      <c r="E6531" t="str">
        <f>T("칼레이 백작가의 매맞이 하녀 15화")</f>
        <v>칼레이 백작가의 매맞이 하녀 15화</v>
      </c>
      <c r="F6531">
        <v>15</v>
      </c>
      <c r="G6531" t="str">
        <f>T("뮤사203")</f>
        <v>뮤사203</v>
      </c>
      <c r="J6531" t="str">
        <f>T("시계토끼")</f>
        <v>시계토끼</v>
      </c>
      <c r="K6531" t="str">
        <f>T("칼레이 백작가의 매맞이 하녀")</f>
        <v>칼레이 백작가의 매맞이 하녀</v>
      </c>
      <c r="L6531">
        <v>100</v>
      </c>
      <c r="M6531">
        <v>200</v>
      </c>
      <c r="N6531">
        <v>2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0</v>
      </c>
      <c r="AC6531">
        <v>0</v>
      </c>
      <c r="AD6531">
        <v>0</v>
      </c>
      <c r="AE6531">
        <v>0</v>
      </c>
      <c r="AF6531">
        <v>0</v>
      </c>
      <c r="AG6531">
        <v>0</v>
      </c>
      <c r="AH6531">
        <v>0</v>
      </c>
      <c r="AI6531">
        <v>200</v>
      </c>
      <c r="AJ6531">
        <v>2</v>
      </c>
      <c r="AK6531">
        <v>0</v>
      </c>
      <c r="AL6531">
        <v>0</v>
      </c>
      <c r="AM6531">
        <v>200</v>
      </c>
      <c r="AN6531">
        <v>0</v>
      </c>
      <c r="AO6531">
        <v>0</v>
      </c>
      <c r="AP6531">
        <v>0</v>
      </c>
      <c r="AQ6531">
        <v>0</v>
      </c>
      <c r="AS6531">
        <v>0</v>
      </c>
      <c r="AT6531">
        <v>0</v>
      </c>
      <c r="AV6531">
        <v>0</v>
      </c>
      <c r="AW6531">
        <v>0</v>
      </c>
      <c r="AY6531">
        <v>0</v>
      </c>
      <c r="AZ6531">
        <v>0</v>
      </c>
      <c r="BA6531">
        <v>140</v>
      </c>
      <c r="BE6531" t="str">
        <f>T("9791164099764")</f>
        <v>9791164099764</v>
      </c>
      <c r="BF6531" t="str">
        <f>T("k201694")</f>
        <v>k201694</v>
      </c>
      <c r="BG6531" t="str">
        <f>T("로판 웹소설 &gt; 서양풍 로판")</f>
        <v>로판 웹소설 &gt; 서양풍 로판</v>
      </c>
    </row>
    <row r="6532" spans="1:59">
      <c r="A6532" t="s">
        <v>60</v>
      </c>
      <c r="B6532" s="1">
        <v>46131</v>
      </c>
      <c r="C6532">
        <v>2378059762</v>
      </c>
      <c r="D6532">
        <v>2378059777</v>
      </c>
      <c r="E6532" t="str">
        <f>T("칼레이 백작가의 매맞이 하녀 16화")</f>
        <v>칼레이 백작가의 매맞이 하녀 16화</v>
      </c>
      <c r="F6532">
        <v>16</v>
      </c>
      <c r="G6532" t="str">
        <f>T("뮤사203")</f>
        <v>뮤사203</v>
      </c>
      <c r="J6532" t="str">
        <f>T("시계토끼")</f>
        <v>시계토끼</v>
      </c>
      <c r="K6532" t="str">
        <f>T("칼레이 백작가의 매맞이 하녀")</f>
        <v>칼레이 백작가의 매맞이 하녀</v>
      </c>
      <c r="L6532">
        <v>100</v>
      </c>
      <c r="M6532">
        <v>200</v>
      </c>
      <c r="N6532">
        <v>2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0</v>
      </c>
      <c r="AC6532">
        <v>0</v>
      </c>
      <c r="AD6532">
        <v>0</v>
      </c>
      <c r="AE6532">
        <v>0</v>
      </c>
      <c r="AF6532">
        <v>0</v>
      </c>
      <c r="AG6532">
        <v>0</v>
      </c>
      <c r="AH6532">
        <v>0</v>
      </c>
      <c r="AI6532">
        <v>200</v>
      </c>
      <c r="AJ6532">
        <v>2</v>
      </c>
      <c r="AK6532">
        <v>0</v>
      </c>
      <c r="AL6532">
        <v>0</v>
      </c>
      <c r="AM6532">
        <v>200</v>
      </c>
      <c r="AN6532">
        <v>0</v>
      </c>
      <c r="AO6532">
        <v>0</v>
      </c>
      <c r="AP6532">
        <v>0</v>
      </c>
      <c r="AQ6532">
        <v>0</v>
      </c>
      <c r="AS6532">
        <v>0</v>
      </c>
      <c r="AT6532">
        <v>0</v>
      </c>
      <c r="AV6532">
        <v>0</v>
      </c>
      <c r="AW6532">
        <v>0</v>
      </c>
      <c r="AY6532">
        <v>0</v>
      </c>
      <c r="AZ6532">
        <v>0</v>
      </c>
      <c r="BA6532">
        <v>140</v>
      </c>
      <c r="BE6532" t="str">
        <f>T("9791164099764")</f>
        <v>9791164099764</v>
      </c>
      <c r="BF6532" t="str">
        <f>T("k201695")</f>
        <v>k201695</v>
      </c>
      <c r="BG6532" t="str">
        <f>T("로판 웹소설 &gt; 서양풍 로판")</f>
        <v>로판 웹소설 &gt; 서양풍 로판</v>
      </c>
    </row>
    <row r="6533" spans="1:59">
      <c r="A6533" t="s">
        <v>60</v>
      </c>
      <c r="B6533" s="1">
        <v>46131</v>
      </c>
      <c r="C6533">
        <v>2378059762</v>
      </c>
      <c r="D6533">
        <v>2378059778</v>
      </c>
      <c r="E6533" t="str">
        <f>T("칼레이 백작가의 매맞이 하녀 17화")</f>
        <v>칼레이 백작가의 매맞이 하녀 17화</v>
      </c>
      <c r="F6533">
        <v>17</v>
      </c>
      <c r="G6533" t="str">
        <f>T("뮤사203")</f>
        <v>뮤사203</v>
      </c>
      <c r="J6533" t="str">
        <f>T("시계토끼")</f>
        <v>시계토끼</v>
      </c>
      <c r="K6533" t="str">
        <f>T("칼레이 백작가의 매맞이 하녀")</f>
        <v>칼레이 백작가의 매맞이 하녀</v>
      </c>
      <c r="L6533">
        <v>100</v>
      </c>
      <c r="M6533">
        <v>200</v>
      </c>
      <c r="N6533">
        <v>2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0</v>
      </c>
      <c r="AC6533">
        <v>0</v>
      </c>
      <c r="AD6533">
        <v>0</v>
      </c>
      <c r="AE6533">
        <v>0</v>
      </c>
      <c r="AF6533">
        <v>0</v>
      </c>
      <c r="AG6533">
        <v>0</v>
      </c>
      <c r="AH6533">
        <v>0</v>
      </c>
      <c r="AI6533">
        <v>200</v>
      </c>
      <c r="AJ6533">
        <v>2</v>
      </c>
      <c r="AK6533">
        <v>0</v>
      </c>
      <c r="AL6533">
        <v>0</v>
      </c>
      <c r="AM6533">
        <v>200</v>
      </c>
      <c r="AN6533">
        <v>0</v>
      </c>
      <c r="AO6533">
        <v>0</v>
      </c>
      <c r="AP6533">
        <v>0</v>
      </c>
      <c r="AQ6533">
        <v>0</v>
      </c>
      <c r="AS6533">
        <v>0</v>
      </c>
      <c r="AT6533">
        <v>0</v>
      </c>
      <c r="AV6533">
        <v>0</v>
      </c>
      <c r="AW6533">
        <v>0</v>
      </c>
      <c r="AY6533">
        <v>0</v>
      </c>
      <c r="AZ6533">
        <v>0</v>
      </c>
      <c r="BA6533">
        <v>140</v>
      </c>
      <c r="BE6533" t="str">
        <f>T("9791164099764")</f>
        <v>9791164099764</v>
      </c>
      <c r="BF6533" t="str">
        <f>T("k201696")</f>
        <v>k201696</v>
      </c>
      <c r="BG6533" t="str">
        <f>T("로판 웹소설 &gt; 서양풍 로판")</f>
        <v>로판 웹소설 &gt; 서양풍 로판</v>
      </c>
    </row>
    <row r="6534" spans="1:59">
      <c r="A6534" t="s">
        <v>60</v>
      </c>
      <c r="B6534" s="1">
        <v>46131</v>
      </c>
      <c r="C6534">
        <v>2378059762</v>
      </c>
      <c r="D6534">
        <v>2378059779</v>
      </c>
      <c r="E6534" t="str">
        <f>T("칼레이 백작가의 매맞이 하녀 18화")</f>
        <v>칼레이 백작가의 매맞이 하녀 18화</v>
      </c>
      <c r="F6534">
        <v>18</v>
      </c>
      <c r="G6534" t="str">
        <f>T("뮤사203")</f>
        <v>뮤사203</v>
      </c>
      <c r="J6534" t="str">
        <f>T("시계토끼")</f>
        <v>시계토끼</v>
      </c>
      <c r="K6534" t="str">
        <f>T("칼레이 백작가의 매맞이 하녀")</f>
        <v>칼레이 백작가의 매맞이 하녀</v>
      </c>
      <c r="L6534">
        <v>100</v>
      </c>
      <c r="M6534">
        <v>200</v>
      </c>
      <c r="N6534">
        <v>2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0</v>
      </c>
      <c r="AC6534">
        <v>0</v>
      </c>
      <c r="AD6534">
        <v>0</v>
      </c>
      <c r="AE6534">
        <v>0</v>
      </c>
      <c r="AF6534">
        <v>0</v>
      </c>
      <c r="AG6534">
        <v>0</v>
      </c>
      <c r="AH6534">
        <v>0</v>
      </c>
      <c r="AI6534">
        <v>200</v>
      </c>
      <c r="AJ6534">
        <v>2</v>
      </c>
      <c r="AK6534">
        <v>0</v>
      </c>
      <c r="AL6534">
        <v>0</v>
      </c>
      <c r="AM6534">
        <v>200</v>
      </c>
      <c r="AN6534">
        <v>0</v>
      </c>
      <c r="AO6534">
        <v>0</v>
      </c>
      <c r="AP6534">
        <v>0</v>
      </c>
      <c r="AQ6534">
        <v>0</v>
      </c>
      <c r="AS6534">
        <v>0</v>
      </c>
      <c r="AT6534">
        <v>0</v>
      </c>
      <c r="AV6534">
        <v>0</v>
      </c>
      <c r="AW6534">
        <v>0</v>
      </c>
      <c r="AY6534">
        <v>0</v>
      </c>
      <c r="AZ6534">
        <v>0</v>
      </c>
      <c r="BA6534">
        <v>140</v>
      </c>
      <c r="BE6534" t="str">
        <f>T("9791164099764")</f>
        <v>9791164099764</v>
      </c>
      <c r="BF6534" t="str">
        <f>T("k201697")</f>
        <v>k201697</v>
      </c>
      <c r="BG6534" t="str">
        <f>T("로판 웹소설 &gt; 서양풍 로판")</f>
        <v>로판 웹소설 &gt; 서양풍 로판</v>
      </c>
    </row>
    <row r="6535" spans="1:59">
      <c r="A6535" t="s">
        <v>60</v>
      </c>
      <c r="B6535" s="1">
        <v>46131</v>
      </c>
      <c r="C6535">
        <v>2378059762</v>
      </c>
      <c r="D6535">
        <v>2378059780</v>
      </c>
      <c r="E6535" t="str">
        <f>T("칼레이 백작가의 매맞이 하녀 19화")</f>
        <v>칼레이 백작가의 매맞이 하녀 19화</v>
      </c>
      <c r="F6535">
        <v>19</v>
      </c>
      <c r="G6535" t="str">
        <f>T("뮤사203")</f>
        <v>뮤사203</v>
      </c>
      <c r="J6535" t="str">
        <f>T("시계토끼")</f>
        <v>시계토끼</v>
      </c>
      <c r="K6535" t="str">
        <f>T("칼레이 백작가의 매맞이 하녀")</f>
        <v>칼레이 백작가의 매맞이 하녀</v>
      </c>
      <c r="L6535">
        <v>100</v>
      </c>
      <c r="M6535">
        <v>300</v>
      </c>
      <c r="N6535">
        <v>3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0</v>
      </c>
      <c r="AC6535">
        <v>0</v>
      </c>
      <c r="AD6535">
        <v>0</v>
      </c>
      <c r="AE6535">
        <v>0</v>
      </c>
      <c r="AF6535">
        <v>0</v>
      </c>
      <c r="AG6535">
        <v>0</v>
      </c>
      <c r="AH6535">
        <v>0</v>
      </c>
      <c r="AI6535">
        <v>300</v>
      </c>
      <c r="AJ6535">
        <v>3</v>
      </c>
      <c r="AK6535">
        <v>0</v>
      </c>
      <c r="AL6535">
        <v>0</v>
      </c>
      <c r="AM6535">
        <v>200</v>
      </c>
      <c r="AN6535">
        <v>0</v>
      </c>
      <c r="AO6535">
        <v>120</v>
      </c>
      <c r="AP6535">
        <v>-36</v>
      </c>
      <c r="AQ6535">
        <v>0</v>
      </c>
      <c r="AR6535">
        <v>120</v>
      </c>
      <c r="AS6535">
        <v>-36</v>
      </c>
      <c r="AT6535">
        <v>0</v>
      </c>
      <c r="AV6535">
        <v>0</v>
      </c>
      <c r="AW6535">
        <v>0</v>
      </c>
      <c r="AY6535">
        <v>0</v>
      </c>
      <c r="AZ6535">
        <v>0</v>
      </c>
      <c r="BA6535">
        <v>198.8</v>
      </c>
      <c r="BE6535" t="str">
        <f>T("9791164099764")</f>
        <v>9791164099764</v>
      </c>
      <c r="BF6535" t="str">
        <f>T("k201698")</f>
        <v>k201698</v>
      </c>
      <c r="BG6535" t="str">
        <f>T("로판 웹소설 &gt; 서양풍 로판")</f>
        <v>로판 웹소설 &gt; 서양풍 로판</v>
      </c>
    </row>
    <row r="6536" spans="1:59">
      <c r="A6536" t="s">
        <v>60</v>
      </c>
      <c r="B6536" s="1">
        <v>46131</v>
      </c>
      <c r="C6536">
        <v>2378059762</v>
      </c>
      <c r="D6536">
        <v>2378059781</v>
      </c>
      <c r="E6536" t="str">
        <f>T("칼레이 백작가의 매맞이 하녀 20화")</f>
        <v>칼레이 백작가의 매맞이 하녀 20화</v>
      </c>
      <c r="F6536">
        <v>20</v>
      </c>
      <c r="G6536" t="str">
        <f>T("뮤사203")</f>
        <v>뮤사203</v>
      </c>
      <c r="J6536" t="str">
        <f>T("시계토끼")</f>
        <v>시계토끼</v>
      </c>
      <c r="K6536" t="str">
        <f>T("칼레이 백작가의 매맞이 하녀")</f>
        <v>칼레이 백작가의 매맞이 하녀</v>
      </c>
      <c r="L6536">
        <v>100</v>
      </c>
      <c r="M6536">
        <v>300</v>
      </c>
      <c r="N6536">
        <v>3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0</v>
      </c>
      <c r="AC6536">
        <v>0</v>
      </c>
      <c r="AD6536">
        <v>0</v>
      </c>
      <c r="AE6536">
        <v>0</v>
      </c>
      <c r="AF6536">
        <v>0</v>
      </c>
      <c r="AG6536">
        <v>0</v>
      </c>
      <c r="AH6536">
        <v>0</v>
      </c>
      <c r="AI6536">
        <v>300</v>
      </c>
      <c r="AJ6536">
        <v>3</v>
      </c>
      <c r="AK6536">
        <v>0</v>
      </c>
      <c r="AL6536">
        <v>0</v>
      </c>
      <c r="AM6536">
        <v>200</v>
      </c>
      <c r="AN6536">
        <v>0</v>
      </c>
      <c r="AO6536">
        <v>120</v>
      </c>
      <c r="AP6536">
        <v>-36</v>
      </c>
      <c r="AQ6536">
        <v>0</v>
      </c>
      <c r="AR6536">
        <v>120</v>
      </c>
      <c r="AS6536">
        <v>-36</v>
      </c>
      <c r="AT6536">
        <v>0</v>
      </c>
      <c r="AV6536">
        <v>0</v>
      </c>
      <c r="AW6536">
        <v>0</v>
      </c>
      <c r="AY6536">
        <v>0</v>
      </c>
      <c r="AZ6536">
        <v>0</v>
      </c>
      <c r="BA6536">
        <v>198.8</v>
      </c>
      <c r="BE6536" t="str">
        <f>T("9791164099764")</f>
        <v>9791164099764</v>
      </c>
      <c r="BF6536" t="str">
        <f>T("k201699")</f>
        <v>k201699</v>
      </c>
      <c r="BG6536" t="str">
        <f>T("로판 웹소설 &gt; 서양풍 로판")</f>
        <v>로판 웹소설 &gt; 서양풍 로판</v>
      </c>
    </row>
    <row r="6537" spans="1:59">
      <c r="A6537" t="s">
        <v>60</v>
      </c>
      <c r="B6537" s="1">
        <v>46131</v>
      </c>
      <c r="C6537">
        <v>2378059762</v>
      </c>
      <c r="D6537">
        <v>2378059782</v>
      </c>
      <c r="E6537" t="str">
        <f>T("칼레이 백작가의 매맞이 하녀 21화")</f>
        <v>칼레이 백작가의 매맞이 하녀 21화</v>
      </c>
      <c r="F6537">
        <v>21</v>
      </c>
      <c r="G6537" t="str">
        <f>T("뮤사203")</f>
        <v>뮤사203</v>
      </c>
      <c r="J6537" t="str">
        <f>T("시계토끼")</f>
        <v>시계토끼</v>
      </c>
      <c r="K6537" t="str">
        <f>T("칼레이 백작가의 매맞이 하녀")</f>
        <v>칼레이 백작가의 매맞이 하녀</v>
      </c>
      <c r="L6537">
        <v>100</v>
      </c>
      <c r="M6537">
        <v>300</v>
      </c>
      <c r="N6537">
        <v>3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0</v>
      </c>
      <c r="AC6537">
        <v>0</v>
      </c>
      <c r="AD6537">
        <v>0</v>
      </c>
      <c r="AE6537">
        <v>0</v>
      </c>
      <c r="AF6537">
        <v>0</v>
      </c>
      <c r="AG6537">
        <v>0</v>
      </c>
      <c r="AH6537">
        <v>0</v>
      </c>
      <c r="AI6537">
        <v>300</v>
      </c>
      <c r="AJ6537">
        <v>3</v>
      </c>
      <c r="AK6537">
        <v>0</v>
      </c>
      <c r="AL6537">
        <v>0</v>
      </c>
      <c r="AM6537">
        <v>200</v>
      </c>
      <c r="AN6537">
        <v>0</v>
      </c>
      <c r="AO6537">
        <v>120</v>
      </c>
      <c r="AP6537">
        <v>-36</v>
      </c>
      <c r="AQ6537">
        <v>0</v>
      </c>
      <c r="AR6537">
        <v>120</v>
      </c>
      <c r="AS6537">
        <v>-36</v>
      </c>
      <c r="AT6537">
        <v>0</v>
      </c>
      <c r="AV6537">
        <v>0</v>
      </c>
      <c r="AW6537">
        <v>0</v>
      </c>
      <c r="AY6537">
        <v>0</v>
      </c>
      <c r="AZ6537">
        <v>0</v>
      </c>
      <c r="BA6537">
        <v>198.8</v>
      </c>
      <c r="BE6537" t="str">
        <f>T("9791164099764")</f>
        <v>9791164099764</v>
      </c>
      <c r="BF6537" t="str">
        <f>T("k201700")</f>
        <v>k201700</v>
      </c>
      <c r="BG6537" t="str">
        <f>T("로판 웹소설 &gt; 서양풍 로판")</f>
        <v>로판 웹소설 &gt; 서양풍 로판</v>
      </c>
    </row>
    <row r="6538" spans="1:59">
      <c r="A6538" t="s">
        <v>60</v>
      </c>
      <c r="B6538" s="1">
        <v>46131</v>
      </c>
      <c r="C6538">
        <v>2378059762</v>
      </c>
      <c r="D6538">
        <v>2378059783</v>
      </c>
      <c r="E6538" t="str">
        <f>T("칼레이 백작가의 매맞이 하녀 22화")</f>
        <v>칼레이 백작가의 매맞이 하녀 22화</v>
      </c>
      <c r="F6538">
        <v>22</v>
      </c>
      <c r="G6538" t="str">
        <f>T("뮤사203")</f>
        <v>뮤사203</v>
      </c>
      <c r="J6538" t="str">
        <f>T("시계토끼")</f>
        <v>시계토끼</v>
      </c>
      <c r="K6538" t="str">
        <f>T("칼레이 백작가의 매맞이 하녀")</f>
        <v>칼레이 백작가의 매맞이 하녀</v>
      </c>
      <c r="L6538">
        <v>100</v>
      </c>
      <c r="M6538">
        <v>300</v>
      </c>
      <c r="N6538">
        <v>3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0</v>
      </c>
      <c r="AC6538">
        <v>0</v>
      </c>
      <c r="AD6538">
        <v>0</v>
      </c>
      <c r="AE6538">
        <v>0</v>
      </c>
      <c r="AF6538">
        <v>0</v>
      </c>
      <c r="AG6538">
        <v>0</v>
      </c>
      <c r="AH6538">
        <v>0</v>
      </c>
      <c r="AI6538">
        <v>300</v>
      </c>
      <c r="AJ6538">
        <v>3</v>
      </c>
      <c r="AK6538">
        <v>0</v>
      </c>
      <c r="AL6538">
        <v>0</v>
      </c>
      <c r="AM6538">
        <v>200</v>
      </c>
      <c r="AN6538">
        <v>0</v>
      </c>
      <c r="AO6538">
        <v>120</v>
      </c>
      <c r="AP6538">
        <v>-36</v>
      </c>
      <c r="AQ6538">
        <v>0</v>
      </c>
      <c r="AR6538">
        <v>120</v>
      </c>
      <c r="AS6538">
        <v>-36</v>
      </c>
      <c r="AT6538">
        <v>0</v>
      </c>
      <c r="AV6538">
        <v>0</v>
      </c>
      <c r="AW6538">
        <v>0</v>
      </c>
      <c r="AY6538">
        <v>0</v>
      </c>
      <c r="AZ6538">
        <v>0</v>
      </c>
      <c r="BA6538">
        <v>198.8</v>
      </c>
      <c r="BE6538" t="str">
        <f>T("9791164099764")</f>
        <v>9791164099764</v>
      </c>
      <c r="BF6538" t="str">
        <f>T("k201701")</f>
        <v>k201701</v>
      </c>
      <c r="BG6538" t="str">
        <f>T("로판 웹소설 &gt; 서양풍 로판")</f>
        <v>로판 웹소설 &gt; 서양풍 로판</v>
      </c>
    </row>
    <row r="6539" spans="1:59">
      <c r="A6539" t="s">
        <v>60</v>
      </c>
      <c r="B6539" s="1">
        <v>46131</v>
      </c>
      <c r="C6539">
        <v>2378059762</v>
      </c>
      <c r="D6539">
        <v>2378059784</v>
      </c>
      <c r="E6539" t="str">
        <f>T("칼레이 백작가의 매맞이 하녀 23화")</f>
        <v>칼레이 백작가의 매맞이 하녀 23화</v>
      </c>
      <c r="F6539">
        <v>23</v>
      </c>
      <c r="G6539" t="str">
        <f>T("뮤사203")</f>
        <v>뮤사203</v>
      </c>
      <c r="J6539" t="str">
        <f>T("시계토끼")</f>
        <v>시계토끼</v>
      </c>
      <c r="K6539" t="str">
        <f>T("칼레이 백작가의 매맞이 하녀")</f>
        <v>칼레이 백작가의 매맞이 하녀</v>
      </c>
      <c r="L6539">
        <v>100</v>
      </c>
      <c r="M6539">
        <v>300</v>
      </c>
      <c r="N6539">
        <v>3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0</v>
      </c>
      <c r="AC6539">
        <v>0</v>
      </c>
      <c r="AD6539">
        <v>0</v>
      </c>
      <c r="AE6539">
        <v>0</v>
      </c>
      <c r="AF6539">
        <v>0</v>
      </c>
      <c r="AG6539">
        <v>0</v>
      </c>
      <c r="AH6539">
        <v>0</v>
      </c>
      <c r="AI6539">
        <v>300</v>
      </c>
      <c r="AJ6539">
        <v>3</v>
      </c>
      <c r="AK6539">
        <v>0</v>
      </c>
      <c r="AL6539">
        <v>0</v>
      </c>
      <c r="AM6539">
        <v>200</v>
      </c>
      <c r="AN6539">
        <v>0</v>
      </c>
      <c r="AO6539">
        <v>120</v>
      </c>
      <c r="AP6539">
        <v>-36</v>
      </c>
      <c r="AQ6539">
        <v>0</v>
      </c>
      <c r="AR6539">
        <v>120</v>
      </c>
      <c r="AS6539">
        <v>-36</v>
      </c>
      <c r="AT6539">
        <v>0</v>
      </c>
      <c r="AV6539">
        <v>0</v>
      </c>
      <c r="AW6539">
        <v>0</v>
      </c>
      <c r="AY6539">
        <v>0</v>
      </c>
      <c r="AZ6539">
        <v>0</v>
      </c>
      <c r="BA6539">
        <v>198.8</v>
      </c>
      <c r="BE6539" t="str">
        <f>T("9791164099764")</f>
        <v>9791164099764</v>
      </c>
      <c r="BF6539" t="str">
        <f>T("k201702")</f>
        <v>k201702</v>
      </c>
      <c r="BG6539" t="str">
        <f>T("로판 웹소설 &gt; 서양풍 로판")</f>
        <v>로판 웹소설 &gt; 서양풍 로판</v>
      </c>
    </row>
    <row r="6540" spans="1:59">
      <c r="A6540" t="s">
        <v>60</v>
      </c>
      <c r="B6540" s="1">
        <v>46131</v>
      </c>
      <c r="C6540">
        <v>2378059762</v>
      </c>
      <c r="D6540">
        <v>2378059785</v>
      </c>
      <c r="E6540" t="str">
        <f>T("칼레이 백작가의 매맞이 하녀 24화")</f>
        <v>칼레이 백작가의 매맞이 하녀 24화</v>
      </c>
      <c r="F6540">
        <v>24</v>
      </c>
      <c r="G6540" t="str">
        <f>T("뮤사203")</f>
        <v>뮤사203</v>
      </c>
      <c r="J6540" t="str">
        <f>T("시계토끼")</f>
        <v>시계토끼</v>
      </c>
      <c r="K6540" t="str">
        <f>T("칼레이 백작가의 매맞이 하녀")</f>
        <v>칼레이 백작가의 매맞이 하녀</v>
      </c>
      <c r="L6540">
        <v>100</v>
      </c>
      <c r="M6540">
        <v>200</v>
      </c>
      <c r="N6540">
        <v>2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0</v>
      </c>
      <c r="AC6540">
        <v>0</v>
      </c>
      <c r="AD6540">
        <v>0</v>
      </c>
      <c r="AE6540">
        <v>0</v>
      </c>
      <c r="AF6540">
        <v>0</v>
      </c>
      <c r="AG6540">
        <v>0</v>
      </c>
      <c r="AH6540">
        <v>0</v>
      </c>
      <c r="AI6540">
        <v>200</v>
      </c>
      <c r="AJ6540">
        <v>2</v>
      </c>
      <c r="AK6540">
        <v>0</v>
      </c>
      <c r="AL6540">
        <v>0</v>
      </c>
      <c r="AM6540">
        <v>200</v>
      </c>
      <c r="AN6540">
        <v>0</v>
      </c>
      <c r="AO6540">
        <v>0</v>
      </c>
      <c r="AP6540">
        <v>0</v>
      </c>
      <c r="AQ6540">
        <v>0</v>
      </c>
      <c r="AS6540">
        <v>0</v>
      </c>
      <c r="AT6540">
        <v>0</v>
      </c>
      <c r="AV6540">
        <v>0</v>
      </c>
      <c r="AW6540">
        <v>0</v>
      </c>
      <c r="AY6540">
        <v>0</v>
      </c>
      <c r="AZ6540">
        <v>0</v>
      </c>
      <c r="BA6540">
        <v>140</v>
      </c>
      <c r="BE6540" t="str">
        <f>T("9791164099764")</f>
        <v>9791164099764</v>
      </c>
      <c r="BF6540" t="str">
        <f>T("k201703")</f>
        <v>k201703</v>
      </c>
      <c r="BG6540" t="str">
        <f>T("로판 웹소설 &gt; 서양풍 로판")</f>
        <v>로판 웹소설 &gt; 서양풍 로판</v>
      </c>
    </row>
    <row r="6541" spans="1:59">
      <c r="A6541" t="s">
        <v>60</v>
      </c>
      <c r="B6541" s="1">
        <v>46131</v>
      </c>
      <c r="C6541">
        <v>2378059762</v>
      </c>
      <c r="D6541">
        <v>2378059786</v>
      </c>
      <c r="E6541" t="str">
        <f>T("칼레이 백작가의 매맞이 하녀 25화")</f>
        <v>칼레이 백작가의 매맞이 하녀 25화</v>
      </c>
      <c r="F6541">
        <v>25</v>
      </c>
      <c r="G6541" t="str">
        <f>T("뮤사203")</f>
        <v>뮤사203</v>
      </c>
      <c r="J6541" t="str">
        <f>T("시계토끼")</f>
        <v>시계토끼</v>
      </c>
      <c r="K6541" t="str">
        <f>T("칼레이 백작가의 매맞이 하녀")</f>
        <v>칼레이 백작가의 매맞이 하녀</v>
      </c>
      <c r="L6541">
        <v>100</v>
      </c>
      <c r="M6541">
        <v>200</v>
      </c>
      <c r="N6541">
        <v>2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0</v>
      </c>
      <c r="AC6541">
        <v>0</v>
      </c>
      <c r="AD6541">
        <v>0</v>
      </c>
      <c r="AE6541">
        <v>0</v>
      </c>
      <c r="AF6541">
        <v>0</v>
      </c>
      <c r="AG6541">
        <v>0</v>
      </c>
      <c r="AH6541">
        <v>0</v>
      </c>
      <c r="AI6541">
        <v>200</v>
      </c>
      <c r="AJ6541">
        <v>2</v>
      </c>
      <c r="AK6541">
        <v>0</v>
      </c>
      <c r="AL6541">
        <v>0</v>
      </c>
      <c r="AM6541">
        <v>200</v>
      </c>
      <c r="AN6541">
        <v>0</v>
      </c>
      <c r="AO6541">
        <v>0</v>
      </c>
      <c r="AP6541">
        <v>0</v>
      </c>
      <c r="AQ6541">
        <v>0</v>
      </c>
      <c r="AS6541">
        <v>0</v>
      </c>
      <c r="AT6541">
        <v>0</v>
      </c>
      <c r="AV6541">
        <v>0</v>
      </c>
      <c r="AW6541">
        <v>0</v>
      </c>
      <c r="AY6541">
        <v>0</v>
      </c>
      <c r="AZ6541">
        <v>0</v>
      </c>
      <c r="BA6541">
        <v>140</v>
      </c>
      <c r="BE6541" t="str">
        <f>T("9791164099764")</f>
        <v>9791164099764</v>
      </c>
      <c r="BF6541" t="str">
        <f>T("k201704")</f>
        <v>k201704</v>
      </c>
      <c r="BG6541" t="str">
        <f>T("로판 웹소설 &gt; 서양풍 로판")</f>
        <v>로판 웹소설 &gt; 서양풍 로판</v>
      </c>
    </row>
    <row r="6542" spans="1:59">
      <c r="A6542" t="s">
        <v>60</v>
      </c>
      <c r="B6542" s="1">
        <v>46131</v>
      </c>
      <c r="C6542">
        <v>2378059762</v>
      </c>
      <c r="D6542">
        <v>2378059787</v>
      </c>
      <c r="E6542" t="str">
        <f>T("칼레이 백작가의 매맞이 하녀 26화")</f>
        <v>칼레이 백작가의 매맞이 하녀 26화</v>
      </c>
      <c r="F6542">
        <v>26</v>
      </c>
      <c r="G6542" t="str">
        <f>T("뮤사203")</f>
        <v>뮤사203</v>
      </c>
      <c r="J6542" t="str">
        <f>T("시계토끼")</f>
        <v>시계토끼</v>
      </c>
      <c r="K6542" t="str">
        <f>T("칼레이 백작가의 매맞이 하녀")</f>
        <v>칼레이 백작가의 매맞이 하녀</v>
      </c>
      <c r="L6542">
        <v>100</v>
      </c>
      <c r="M6542">
        <v>200</v>
      </c>
      <c r="N6542">
        <v>2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0</v>
      </c>
      <c r="AC6542">
        <v>0</v>
      </c>
      <c r="AD6542">
        <v>0</v>
      </c>
      <c r="AE6542">
        <v>0</v>
      </c>
      <c r="AF6542">
        <v>0</v>
      </c>
      <c r="AG6542">
        <v>0</v>
      </c>
      <c r="AH6542">
        <v>0</v>
      </c>
      <c r="AI6542">
        <v>200</v>
      </c>
      <c r="AJ6542">
        <v>2</v>
      </c>
      <c r="AK6542">
        <v>0</v>
      </c>
      <c r="AL6542">
        <v>0</v>
      </c>
      <c r="AM6542">
        <v>200</v>
      </c>
      <c r="AN6542">
        <v>0</v>
      </c>
      <c r="AO6542">
        <v>0</v>
      </c>
      <c r="AP6542">
        <v>0</v>
      </c>
      <c r="AQ6542">
        <v>0</v>
      </c>
      <c r="AS6542">
        <v>0</v>
      </c>
      <c r="AT6542">
        <v>0</v>
      </c>
      <c r="AV6542">
        <v>0</v>
      </c>
      <c r="AW6542">
        <v>0</v>
      </c>
      <c r="AY6542">
        <v>0</v>
      </c>
      <c r="AZ6542">
        <v>0</v>
      </c>
      <c r="BA6542">
        <v>140</v>
      </c>
      <c r="BE6542" t="str">
        <f>T("9791164099764")</f>
        <v>9791164099764</v>
      </c>
      <c r="BF6542" t="str">
        <f>T("k201705")</f>
        <v>k201705</v>
      </c>
      <c r="BG6542" t="str">
        <f>T("로판 웹소설 &gt; 서양풍 로판")</f>
        <v>로판 웹소설 &gt; 서양풍 로판</v>
      </c>
    </row>
    <row r="6543" spans="1:59">
      <c r="A6543" t="s">
        <v>60</v>
      </c>
      <c r="B6543" s="1">
        <v>46131</v>
      </c>
      <c r="C6543">
        <v>2378059762</v>
      </c>
      <c r="D6543">
        <v>2378059788</v>
      </c>
      <c r="E6543" t="str">
        <f>T("칼레이 백작가의 매맞이 하녀 27화")</f>
        <v>칼레이 백작가의 매맞이 하녀 27화</v>
      </c>
      <c r="F6543">
        <v>27</v>
      </c>
      <c r="G6543" t="str">
        <f>T("뮤사203")</f>
        <v>뮤사203</v>
      </c>
      <c r="J6543" t="str">
        <f>T("시계토끼")</f>
        <v>시계토끼</v>
      </c>
      <c r="K6543" t="str">
        <f>T("칼레이 백작가의 매맞이 하녀")</f>
        <v>칼레이 백작가의 매맞이 하녀</v>
      </c>
      <c r="L6543">
        <v>100</v>
      </c>
      <c r="M6543">
        <v>200</v>
      </c>
      <c r="N6543">
        <v>2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0</v>
      </c>
      <c r="AC6543">
        <v>0</v>
      </c>
      <c r="AD6543">
        <v>0</v>
      </c>
      <c r="AE6543">
        <v>0</v>
      </c>
      <c r="AF6543">
        <v>0</v>
      </c>
      <c r="AG6543">
        <v>0</v>
      </c>
      <c r="AH6543">
        <v>0</v>
      </c>
      <c r="AI6543">
        <v>200</v>
      </c>
      <c r="AJ6543">
        <v>2</v>
      </c>
      <c r="AK6543">
        <v>0</v>
      </c>
      <c r="AL6543">
        <v>0</v>
      </c>
      <c r="AM6543">
        <v>200</v>
      </c>
      <c r="AN6543">
        <v>0</v>
      </c>
      <c r="AO6543">
        <v>0</v>
      </c>
      <c r="AP6543">
        <v>0</v>
      </c>
      <c r="AQ6543">
        <v>0</v>
      </c>
      <c r="AS6543">
        <v>0</v>
      </c>
      <c r="AT6543">
        <v>0</v>
      </c>
      <c r="AV6543">
        <v>0</v>
      </c>
      <c r="AW6543">
        <v>0</v>
      </c>
      <c r="AY6543">
        <v>0</v>
      </c>
      <c r="AZ6543">
        <v>0</v>
      </c>
      <c r="BA6543">
        <v>140</v>
      </c>
      <c r="BE6543" t="str">
        <f>T("9791164099764")</f>
        <v>9791164099764</v>
      </c>
      <c r="BF6543" t="str">
        <f>T("k201706")</f>
        <v>k201706</v>
      </c>
      <c r="BG6543" t="str">
        <f>T("로판 웹소설 &gt; 서양풍 로판")</f>
        <v>로판 웹소설 &gt; 서양풍 로판</v>
      </c>
    </row>
    <row r="6544" spans="1:59">
      <c r="A6544" t="s">
        <v>60</v>
      </c>
      <c r="B6544" s="1">
        <v>46131</v>
      </c>
      <c r="C6544">
        <v>2378059762</v>
      </c>
      <c r="D6544">
        <v>2378059789</v>
      </c>
      <c r="E6544" t="str">
        <f>T("칼레이 백작가의 매맞이 하녀 28화")</f>
        <v>칼레이 백작가의 매맞이 하녀 28화</v>
      </c>
      <c r="F6544">
        <v>28</v>
      </c>
      <c r="G6544" t="str">
        <f>T("뮤사203")</f>
        <v>뮤사203</v>
      </c>
      <c r="J6544" t="str">
        <f>T("시계토끼")</f>
        <v>시계토끼</v>
      </c>
      <c r="K6544" t="str">
        <f>T("칼레이 백작가의 매맞이 하녀")</f>
        <v>칼레이 백작가의 매맞이 하녀</v>
      </c>
      <c r="L6544">
        <v>100</v>
      </c>
      <c r="M6544">
        <v>200</v>
      </c>
      <c r="N6544">
        <v>2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0</v>
      </c>
      <c r="AC6544">
        <v>0</v>
      </c>
      <c r="AD6544">
        <v>0</v>
      </c>
      <c r="AE6544">
        <v>0</v>
      </c>
      <c r="AF6544">
        <v>0</v>
      </c>
      <c r="AG6544">
        <v>0</v>
      </c>
      <c r="AH6544">
        <v>0</v>
      </c>
      <c r="AI6544">
        <v>200</v>
      </c>
      <c r="AJ6544">
        <v>2</v>
      </c>
      <c r="AK6544">
        <v>0</v>
      </c>
      <c r="AL6544">
        <v>0</v>
      </c>
      <c r="AM6544">
        <v>200</v>
      </c>
      <c r="AN6544">
        <v>0</v>
      </c>
      <c r="AO6544">
        <v>0</v>
      </c>
      <c r="AP6544">
        <v>0</v>
      </c>
      <c r="AQ6544">
        <v>0</v>
      </c>
      <c r="AS6544">
        <v>0</v>
      </c>
      <c r="AT6544">
        <v>0</v>
      </c>
      <c r="AV6544">
        <v>0</v>
      </c>
      <c r="AW6544">
        <v>0</v>
      </c>
      <c r="AY6544">
        <v>0</v>
      </c>
      <c r="AZ6544">
        <v>0</v>
      </c>
      <c r="BA6544">
        <v>140</v>
      </c>
      <c r="BE6544" t="str">
        <f>T("9791164099764")</f>
        <v>9791164099764</v>
      </c>
      <c r="BF6544" t="str">
        <f>T("k201707")</f>
        <v>k201707</v>
      </c>
      <c r="BG6544" t="str">
        <f>T("로판 웹소설 &gt; 서양풍 로판")</f>
        <v>로판 웹소설 &gt; 서양풍 로판</v>
      </c>
    </row>
    <row r="6545" spans="1:59">
      <c r="A6545" t="s">
        <v>60</v>
      </c>
      <c r="B6545" s="1">
        <v>46131</v>
      </c>
      <c r="C6545">
        <v>2378059762</v>
      </c>
      <c r="D6545">
        <v>2378059790</v>
      </c>
      <c r="E6545" t="str">
        <f>T("칼레이 백작가의 매맞이 하녀 29화")</f>
        <v>칼레이 백작가의 매맞이 하녀 29화</v>
      </c>
      <c r="F6545">
        <v>29</v>
      </c>
      <c r="G6545" t="str">
        <f>T("뮤사203")</f>
        <v>뮤사203</v>
      </c>
      <c r="J6545" t="str">
        <f>T("시계토끼")</f>
        <v>시계토끼</v>
      </c>
      <c r="K6545" t="str">
        <f>T("칼레이 백작가의 매맞이 하녀")</f>
        <v>칼레이 백작가의 매맞이 하녀</v>
      </c>
      <c r="L6545">
        <v>100</v>
      </c>
      <c r="M6545">
        <v>200</v>
      </c>
      <c r="N6545">
        <v>2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0</v>
      </c>
      <c r="AC6545">
        <v>0</v>
      </c>
      <c r="AD6545">
        <v>0</v>
      </c>
      <c r="AE6545">
        <v>0</v>
      </c>
      <c r="AF6545">
        <v>0</v>
      </c>
      <c r="AG6545">
        <v>0</v>
      </c>
      <c r="AH6545">
        <v>0</v>
      </c>
      <c r="AI6545">
        <v>200</v>
      </c>
      <c r="AJ6545">
        <v>2</v>
      </c>
      <c r="AK6545">
        <v>0</v>
      </c>
      <c r="AL6545">
        <v>0</v>
      </c>
      <c r="AM6545">
        <v>200</v>
      </c>
      <c r="AN6545">
        <v>0</v>
      </c>
      <c r="AO6545">
        <v>0</v>
      </c>
      <c r="AP6545">
        <v>0</v>
      </c>
      <c r="AQ6545">
        <v>0</v>
      </c>
      <c r="AS6545">
        <v>0</v>
      </c>
      <c r="AT6545">
        <v>0</v>
      </c>
      <c r="AV6545">
        <v>0</v>
      </c>
      <c r="AW6545">
        <v>0</v>
      </c>
      <c r="AY6545">
        <v>0</v>
      </c>
      <c r="AZ6545">
        <v>0</v>
      </c>
      <c r="BA6545">
        <v>140</v>
      </c>
      <c r="BE6545" t="str">
        <f>T("9791164099764")</f>
        <v>9791164099764</v>
      </c>
      <c r="BF6545" t="str">
        <f>T("k201708")</f>
        <v>k201708</v>
      </c>
      <c r="BG6545" t="str">
        <f>T("로판 웹소설 &gt; 서양풍 로판")</f>
        <v>로판 웹소설 &gt; 서양풍 로판</v>
      </c>
    </row>
    <row r="6546" spans="1:59">
      <c r="A6546" t="s">
        <v>60</v>
      </c>
      <c r="B6546" s="1">
        <v>46131</v>
      </c>
      <c r="C6546">
        <v>2378059762</v>
      </c>
      <c r="D6546">
        <v>2378059791</v>
      </c>
      <c r="E6546" t="str">
        <f>T("칼레이 백작가의 매맞이 하녀 30화")</f>
        <v>칼레이 백작가의 매맞이 하녀 30화</v>
      </c>
      <c r="F6546">
        <v>30</v>
      </c>
      <c r="G6546" t="str">
        <f>T("뮤사203")</f>
        <v>뮤사203</v>
      </c>
      <c r="J6546" t="str">
        <f>T("시계토끼")</f>
        <v>시계토끼</v>
      </c>
      <c r="K6546" t="str">
        <f>T("칼레이 백작가의 매맞이 하녀")</f>
        <v>칼레이 백작가의 매맞이 하녀</v>
      </c>
      <c r="L6546">
        <v>100</v>
      </c>
      <c r="M6546">
        <v>200</v>
      </c>
      <c r="N6546">
        <v>2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0</v>
      </c>
      <c r="AC6546">
        <v>0</v>
      </c>
      <c r="AD6546">
        <v>0</v>
      </c>
      <c r="AE6546">
        <v>0</v>
      </c>
      <c r="AF6546">
        <v>0</v>
      </c>
      <c r="AG6546">
        <v>0</v>
      </c>
      <c r="AH6546">
        <v>0</v>
      </c>
      <c r="AI6546">
        <v>200</v>
      </c>
      <c r="AJ6546">
        <v>2</v>
      </c>
      <c r="AK6546">
        <v>0</v>
      </c>
      <c r="AL6546">
        <v>0</v>
      </c>
      <c r="AM6546">
        <v>200</v>
      </c>
      <c r="AN6546">
        <v>0</v>
      </c>
      <c r="AO6546">
        <v>0</v>
      </c>
      <c r="AP6546">
        <v>0</v>
      </c>
      <c r="AQ6546">
        <v>0</v>
      </c>
      <c r="AS6546">
        <v>0</v>
      </c>
      <c r="AT6546">
        <v>0</v>
      </c>
      <c r="AV6546">
        <v>0</v>
      </c>
      <c r="AW6546">
        <v>0</v>
      </c>
      <c r="AY6546">
        <v>0</v>
      </c>
      <c r="AZ6546">
        <v>0</v>
      </c>
      <c r="BA6546">
        <v>140</v>
      </c>
      <c r="BE6546" t="str">
        <f>T("9791164099764")</f>
        <v>9791164099764</v>
      </c>
      <c r="BF6546" t="str">
        <f>T("k201709")</f>
        <v>k201709</v>
      </c>
      <c r="BG6546" t="str">
        <f>T("로판 웹소설 &gt; 서양풍 로판")</f>
        <v>로판 웹소설 &gt; 서양풍 로판</v>
      </c>
    </row>
    <row r="6547" spans="1:59">
      <c r="A6547" t="s">
        <v>60</v>
      </c>
      <c r="B6547" s="1">
        <v>46131</v>
      </c>
      <c r="C6547">
        <v>2378059762</v>
      </c>
      <c r="D6547">
        <v>2378066474</v>
      </c>
      <c r="E6547" t="str">
        <f>T("칼레이 백작가의 매맞이 하녀 152화")</f>
        <v>칼레이 백작가의 매맞이 하녀 152화</v>
      </c>
      <c r="F6547">
        <v>152</v>
      </c>
      <c r="G6547" t="str">
        <f>T("뮤사203")</f>
        <v>뮤사203</v>
      </c>
      <c r="J6547" t="str">
        <f>T("시계토끼")</f>
        <v>시계토끼</v>
      </c>
      <c r="K6547" t="str">
        <f>T("칼레이 백작가의 매맞이 하녀")</f>
        <v>칼레이 백작가의 매맞이 하녀</v>
      </c>
      <c r="L6547">
        <v>100</v>
      </c>
      <c r="M6547">
        <v>100</v>
      </c>
      <c r="N6547">
        <v>1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0</v>
      </c>
      <c r="AC6547">
        <v>0</v>
      </c>
      <c r="AD6547">
        <v>0</v>
      </c>
      <c r="AE6547">
        <v>0</v>
      </c>
      <c r="AF6547">
        <v>0</v>
      </c>
      <c r="AG6547">
        <v>0</v>
      </c>
      <c r="AH6547">
        <v>0</v>
      </c>
      <c r="AI6547">
        <v>100</v>
      </c>
      <c r="AJ6547">
        <v>1</v>
      </c>
      <c r="AK6547">
        <v>0</v>
      </c>
      <c r="AL6547">
        <v>0</v>
      </c>
      <c r="AM6547">
        <v>100</v>
      </c>
      <c r="AN6547">
        <v>0</v>
      </c>
      <c r="AO6547">
        <v>0</v>
      </c>
      <c r="AP6547">
        <v>0</v>
      </c>
      <c r="AQ6547">
        <v>0</v>
      </c>
      <c r="AS6547">
        <v>0</v>
      </c>
      <c r="AT6547">
        <v>0</v>
      </c>
      <c r="AV6547">
        <v>0</v>
      </c>
      <c r="AW6547">
        <v>0</v>
      </c>
      <c r="AY6547">
        <v>0</v>
      </c>
      <c r="AZ6547">
        <v>0</v>
      </c>
      <c r="BA6547">
        <v>70</v>
      </c>
      <c r="BE6547" t="str">
        <f>T("9791164099764")</f>
        <v>9791164099764</v>
      </c>
      <c r="BF6547" t="str">
        <f>T("k300780")</f>
        <v>k300780</v>
      </c>
      <c r="BG6547" t="str">
        <f>T("로판 웹소설 &gt; 서양풍 로판")</f>
        <v>로판 웹소설 &gt; 서양풍 로판</v>
      </c>
    </row>
    <row r="6548" spans="1:59">
      <c r="A6548" t="s">
        <v>60</v>
      </c>
      <c r="B6548" s="1">
        <v>46131</v>
      </c>
      <c r="C6548">
        <v>2378059762</v>
      </c>
      <c r="D6548">
        <v>2378066473</v>
      </c>
      <c r="E6548" t="str">
        <f>T("칼레이 백작가의 매맞이 하녀 151화")</f>
        <v>칼레이 백작가의 매맞이 하녀 151화</v>
      </c>
      <c r="F6548">
        <v>151</v>
      </c>
      <c r="G6548" t="str">
        <f>T("뮤사203")</f>
        <v>뮤사203</v>
      </c>
      <c r="J6548" t="str">
        <f>T("시계토끼")</f>
        <v>시계토끼</v>
      </c>
      <c r="K6548" t="str">
        <f>T("칼레이 백작가의 매맞이 하녀")</f>
        <v>칼레이 백작가의 매맞이 하녀</v>
      </c>
      <c r="L6548">
        <v>100</v>
      </c>
      <c r="M6548">
        <v>200</v>
      </c>
      <c r="N6548">
        <v>2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0</v>
      </c>
      <c r="AC6548">
        <v>0</v>
      </c>
      <c r="AD6548">
        <v>0</v>
      </c>
      <c r="AE6548">
        <v>0</v>
      </c>
      <c r="AF6548">
        <v>0</v>
      </c>
      <c r="AG6548">
        <v>0</v>
      </c>
      <c r="AH6548">
        <v>0</v>
      </c>
      <c r="AI6548">
        <v>200</v>
      </c>
      <c r="AJ6548">
        <v>2</v>
      </c>
      <c r="AK6548">
        <v>0</v>
      </c>
      <c r="AL6548">
        <v>0</v>
      </c>
      <c r="AM6548">
        <v>100</v>
      </c>
      <c r="AN6548">
        <v>0</v>
      </c>
      <c r="AO6548">
        <v>120</v>
      </c>
      <c r="AP6548">
        <v>-12</v>
      </c>
      <c r="AQ6548">
        <v>0</v>
      </c>
      <c r="AS6548">
        <v>0</v>
      </c>
      <c r="AT6548">
        <v>0</v>
      </c>
      <c r="AU6548">
        <v>120</v>
      </c>
      <c r="AV6548">
        <v>-12</v>
      </c>
      <c r="AW6548">
        <v>0</v>
      </c>
      <c r="AY6548">
        <v>0</v>
      </c>
      <c r="AZ6548">
        <v>0</v>
      </c>
      <c r="BA6548">
        <v>145.6</v>
      </c>
      <c r="BE6548" t="str">
        <f>T("9791164099764")</f>
        <v>9791164099764</v>
      </c>
      <c r="BF6548" t="str">
        <f>T("k300779")</f>
        <v>k300779</v>
      </c>
      <c r="BG6548" t="str">
        <f>T("로판 웹소설 &gt; 서양풍 로판")</f>
        <v>로판 웹소설 &gt; 서양풍 로판</v>
      </c>
    </row>
    <row r="6549" spans="1:59">
      <c r="A6549" t="s">
        <v>60</v>
      </c>
      <c r="B6549" s="1">
        <v>46131</v>
      </c>
      <c r="C6549">
        <v>2378059762</v>
      </c>
      <c r="D6549">
        <v>2378066472</v>
      </c>
      <c r="E6549" t="str">
        <f>T("칼레이 백작가의 매맞이 하녀 150화")</f>
        <v>칼레이 백작가의 매맞이 하녀 150화</v>
      </c>
      <c r="F6549">
        <v>150</v>
      </c>
      <c r="G6549" t="str">
        <f>T("뮤사203")</f>
        <v>뮤사203</v>
      </c>
      <c r="J6549" t="str">
        <f>T("시계토끼")</f>
        <v>시계토끼</v>
      </c>
      <c r="K6549" t="str">
        <f>T("칼레이 백작가의 매맞이 하녀")</f>
        <v>칼레이 백작가의 매맞이 하녀</v>
      </c>
      <c r="L6549">
        <v>100</v>
      </c>
      <c r="M6549">
        <v>100</v>
      </c>
      <c r="N6549">
        <v>1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0</v>
      </c>
      <c r="AC6549">
        <v>0</v>
      </c>
      <c r="AD6549">
        <v>0</v>
      </c>
      <c r="AE6549">
        <v>0</v>
      </c>
      <c r="AF6549">
        <v>0</v>
      </c>
      <c r="AG6549">
        <v>0</v>
      </c>
      <c r="AH6549">
        <v>0</v>
      </c>
      <c r="AI6549">
        <v>100</v>
      </c>
      <c r="AJ6549">
        <v>1</v>
      </c>
      <c r="AK6549">
        <v>0</v>
      </c>
      <c r="AL6549">
        <v>0</v>
      </c>
      <c r="AM6549">
        <v>100</v>
      </c>
      <c r="AN6549">
        <v>0</v>
      </c>
      <c r="AO6549">
        <v>0</v>
      </c>
      <c r="AP6549">
        <v>0</v>
      </c>
      <c r="AQ6549">
        <v>0</v>
      </c>
      <c r="AS6549">
        <v>0</v>
      </c>
      <c r="AT6549">
        <v>0</v>
      </c>
      <c r="AV6549">
        <v>0</v>
      </c>
      <c r="AW6549">
        <v>0</v>
      </c>
      <c r="AY6549">
        <v>0</v>
      </c>
      <c r="AZ6549">
        <v>0</v>
      </c>
      <c r="BA6549">
        <v>70</v>
      </c>
      <c r="BE6549" t="str">
        <f>T("9791164099764")</f>
        <v>9791164099764</v>
      </c>
      <c r="BF6549" t="str">
        <f>T("k298227")</f>
        <v>k298227</v>
      </c>
      <c r="BG6549" t="str">
        <f>T("로판 웹소설 &gt; 서양풍 로판")</f>
        <v>로판 웹소설 &gt; 서양풍 로판</v>
      </c>
    </row>
    <row r="6550" spans="1:59">
      <c r="A6550" t="s">
        <v>60</v>
      </c>
      <c r="B6550" s="1">
        <v>46131</v>
      </c>
      <c r="C6550">
        <v>2378059762</v>
      </c>
      <c r="D6550">
        <v>2378066418</v>
      </c>
      <c r="E6550" t="str">
        <f>T("칼레이 백작가의 매맞이 하녀 149화")</f>
        <v>칼레이 백작가의 매맞이 하녀 149화</v>
      </c>
      <c r="F6550">
        <v>149</v>
      </c>
      <c r="G6550" t="str">
        <f>T("뮤사203")</f>
        <v>뮤사203</v>
      </c>
      <c r="J6550" t="str">
        <f>T("시계토끼")</f>
        <v>시계토끼</v>
      </c>
      <c r="K6550" t="str">
        <f>T("칼레이 백작가의 매맞이 하녀")</f>
        <v>칼레이 백작가의 매맞이 하녀</v>
      </c>
      <c r="L6550">
        <v>100</v>
      </c>
      <c r="M6550">
        <v>100</v>
      </c>
      <c r="N6550">
        <v>1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0</v>
      </c>
      <c r="AC6550">
        <v>0</v>
      </c>
      <c r="AD6550">
        <v>0</v>
      </c>
      <c r="AE6550">
        <v>0</v>
      </c>
      <c r="AF6550">
        <v>0</v>
      </c>
      <c r="AG6550">
        <v>0</v>
      </c>
      <c r="AH6550">
        <v>0</v>
      </c>
      <c r="AI6550">
        <v>100</v>
      </c>
      <c r="AJ6550">
        <v>1</v>
      </c>
      <c r="AK6550">
        <v>0</v>
      </c>
      <c r="AL6550">
        <v>0</v>
      </c>
      <c r="AM6550">
        <v>100</v>
      </c>
      <c r="AN6550">
        <v>0</v>
      </c>
      <c r="AO6550">
        <v>0</v>
      </c>
      <c r="AP6550">
        <v>0</v>
      </c>
      <c r="AQ6550">
        <v>0</v>
      </c>
      <c r="AS6550">
        <v>0</v>
      </c>
      <c r="AT6550">
        <v>0</v>
      </c>
      <c r="AV6550">
        <v>0</v>
      </c>
      <c r="AW6550">
        <v>0</v>
      </c>
      <c r="AY6550">
        <v>0</v>
      </c>
      <c r="AZ6550">
        <v>0</v>
      </c>
      <c r="BA6550">
        <v>70</v>
      </c>
      <c r="BE6550" t="str">
        <f>T("9791164099764")</f>
        <v>9791164099764</v>
      </c>
      <c r="BF6550" t="str">
        <f>T("k298226")</f>
        <v>k298226</v>
      </c>
      <c r="BG6550" t="str">
        <f>T("로판 웹소설 &gt; 서양풍 로판")</f>
        <v>로판 웹소설 &gt; 서양풍 로판</v>
      </c>
    </row>
    <row r="6551" spans="1:59">
      <c r="A6551" t="s">
        <v>60</v>
      </c>
      <c r="B6551" s="1">
        <v>46131</v>
      </c>
      <c r="C6551">
        <v>2378051814</v>
      </c>
      <c r="D6551">
        <v>2378051814</v>
      </c>
      <c r="E6551" t="str">
        <f>T("코리아제국의 비상 1화")</f>
        <v>코리아제국의 비상 1화</v>
      </c>
      <c r="F6551">
        <v>1</v>
      </c>
      <c r="G6551" t="str">
        <f>T("비류수")</f>
        <v>비류수</v>
      </c>
      <c r="J6551" t="str">
        <f>T("매드햇")</f>
        <v>매드햇</v>
      </c>
      <c r="K6551" t="str">
        <f>T("코리아제국의 비상")</f>
        <v>코리아제국의 비상</v>
      </c>
      <c r="L6551">
        <v>0</v>
      </c>
      <c r="M6551">
        <v>0</v>
      </c>
      <c r="N6551">
        <v>0</v>
      </c>
      <c r="O6551">
        <v>1</v>
      </c>
      <c r="P6551">
        <v>0</v>
      </c>
      <c r="Q6551">
        <v>0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0</v>
      </c>
      <c r="AC6551">
        <v>0</v>
      </c>
      <c r="AD6551">
        <v>0</v>
      </c>
      <c r="AE6551">
        <v>0</v>
      </c>
      <c r="AF6551">
        <v>0</v>
      </c>
      <c r="AG6551">
        <v>0</v>
      </c>
      <c r="AH6551">
        <v>0</v>
      </c>
      <c r="AI6551">
        <v>0</v>
      </c>
      <c r="AJ6551">
        <v>1</v>
      </c>
      <c r="AK6551">
        <v>0</v>
      </c>
      <c r="AL6551">
        <v>0</v>
      </c>
      <c r="AM6551">
        <v>0</v>
      </c>
      <c r="AN6551">
        <v>0</v>
      </c>
      <c r="AO6551">
        <v>0</v>
      </c>
      <c r="AP6551">
        <v>0</v>
      </c>
      <c r="AQ6551">
        <v>0</v>
      </c>
      <c r="AS6551">
        <v>0</v>
      </c>
      <c r="AT6551">
        <v>0</v>
      </c>
      <c r="AV6551">
        <v>0</v>
      </c>
      <c r="AW6551">
        <v>0</v>
      </c>
      <c r="AY6551">
        <v>0</v>
      </c>
      <c r="AZ6551">
        <v>0</v>
      </c>
      <c r="BA6551">
        <v>0</v>
      </c>
      <c r="BE6551" t="str">
        <f>T("9791137013667")</f>
        <v>9791137013667</v>
      </c>
      <c r="BF6551" t="str">
        <f>T("N215295")</f>
        <v>N215295</v>
      </c>
      <c r="BG6551" t="str">
        <f>T("판타지 웹소설 &gt; 퓨전 판타지")</f>
        <v>판타지 웹소설 &gt; 퓨전 판타지</v>
      </c>
    </row>
    <row r="6552" spans="1:59">
      <c r="A6552" t="s">
        <v>60</v>
      </c>
      <c r="B6552" s="1">
        <v>46131</v>
      </c>
      <c r="C6552">
        <v>2378051814</v>
      </c>
      <c r="D6552">
        <v>2378051815</v>
      </c>
      <c r="E6552" t="str">
        <f>T("코리아제국의 비상 2화")</f>
        <v>코리아제국의 비상 2화</v>
      </c>
      <c r="F6552">
        <v>2</v>
      </c>
      <c r="G6552" t="str">
        <f>T("비류수")</f>
        <v>비류수</v>
      </c>
      <c r="J6552" t="str">
        <f>T("매드햇")</f>
        <v>매드햇</v>
      </c>
      <c r="K6552" t="str">
        <f>T("코리아제국의 비상")</f>
        <v>코리아제국의 비상</v>
      </c>
      <c r="L6552">
        <v>0</v>
      </c>
      <c r="M6552">
        <v>0</v>
      </c>
      <c r="N6552">
        <v>0</v>
      </c>
      <c r="O6552">
        <v>1</v>
      </c>
      <c r="P6552">
        <v>0</v>
      </c>
      <c r="Q6552">
        <v>0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0</v>
      </c>
      <c r="AC6552">
        <v>0</v>
      </c>
      <c r="AD6552">
        <v>0</v>
      </c>
      <c r="AE6552">
        <v>0</v>
      </c>
      <c r="AF6552">
        <v>0</v>
      </c>
      <c r="AG6552">
        <v>0</v>
      </c>
      <c r="AH6552">
        <v>0</v>
      </c>
      <c r="AI6552">
        <v>0</v>
      </c>
      <c r="AJ6552">
        <v>1</v>
      </c>
      <c r="AK6552">
        <v>0</v>
      </c>
      <c r="AL6552">
        <v>0</v>
      </c>
      <c r="AM6552">
        <v>0</v>
      </c>
      <c r="AN6552">
        <v>0</v>
      </c>
      <c r="AO6552">
        <v>0</v>
      </c>
      <c r="AP6552">
        <v>0</v>
      </c>
      <c r="AQ6552">
        <v>0</v>
      </c>
      <c r="AS6552">
        <v>0</v>
      </c>
      <c r="AT6552">
        <v>0</v>
      </c>
      <c r="AV6552">
        <v>0</v>
      </c>
      <c r="AW6552">
        <v>0</v>
      </c>
      <c r="AY6552">
        <v>0</v>
      </c>
      <c r="AZ6552">
        <v>0</v>
      </c>
      <c r="BA6552">
        <v>0</v>
      </c>
      <c r="BE6552" t="str">
        <f>T("9791137013667")</f>
        <v>9791137013667</v>
      </c>
      <c r="BF6552" t="str">
        <f>T("N215296")</f>
        <v>N215296</v>
      </c>
      <c r="BG6552" t="str">
        <f>T("판타지 웹소설 &gt; 퓨전 판타지")</f>
        <v>판타지 웹소설 &gt; 퓨전 판타지</v>
      </c>
    </row>
    <row r="6553" spans="1:59">
      <c r="A6553" t="s">
        <v>60</v>
      </c>
      <c r="B6553" s="1">
        <v>46131</v>
      </c>
      <c r="C6553">
        <v>2378051814</v>
      </c>
      <c r="D6553">
        <v>2378051816</v>
      </c>
      <c r="E6553" t="str">
        <f>T("코리아제국의 비상 3화")</f>
        <v>코리아제국의 비상 3화</v>
      </c>
      <c r="F6553">
        <v>3</v>
      </c>
      <c r="G6553" t="str">
        <f>T("비류수")</f>
        <v>비류수</v>
      </c>
      <c r="J6553" t="str">
        <f>T("매드햇")</f>
        <v>매드햇</v>
      </c>
      <c r="K6553" t="str">
        <f>T("코리아제국의 비상")</f>
        <v>코리아제국의 비상</v>
      </c>
      <c r="L6553">
        <v>0</v>
      </c>
      <c r="M6553">
        <v>0</v>
      </c>
      <c r="N6553">
        <v>0</v>
      </c>
      <c r="O6553">
        <v>1</v>
      </c>
      <c r="P6553">
        <v>0</v>
      </c>
      <c r="Q6553">
        <v>0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0</v>
      </c>
      <c r="AC6553">
        <v>0</v>
      </c>
      <c r="AD6553">
        <v>0</v>
      </c>
      <c r="AE6553">
        <v>0</v>
      </c>
      <c r="AF6553">
        <v>0</v>
      </c>
      <c r="AG6553">
        <v>0</v>
      </c>
      <c r="AH6553">
        <v>0</v>
      </c>
      <c r="AI6553">
        <v>0</v>
      </c>
      <c r="AJ6553">
        <v>1</v>
      </c>
      <c r="AK6553">
        <v>0</v>
      </c>
      <c r="AL6553">
        <v>0</v>
      </c>
      <c r="AM6553">
        <v>0</v>
      </c>
      <c r="AN6553">
        <v>0</v>
      </c>
      <c r="AO6553">
        <v>0</v>
      </c>
      <c r="AP6553">
        <v>0</v>
      </c>
      <c r="AQ6553">
        <v>0</v>
      </c>
      <c r="AS6553">
        <v>0</v>
      </c>
      <c r="AT6553">
        <v>0</v>
      </c>
      <c r="AV6553">
        <v>0</v>
      </c>
      <c r="AW6553">
        <v>0</v>
      </c>
      <c r="AY6553">
        <v>0</v>
      </c>
      <c r="AZ6553">
        <v>0</v>
      </c>
      <c r="BA6553">
        <v>0</v>
      </c>
      <c r="BE6553" t="str">
        <f>T("9791137013667")</f>
        <v>9791137013667</v>
      </c>
      <c r="BF6553" t="str">
        <f>T("N215297")</f>
        <v>N215297</v>
      </c>
      <c r="BG6553" t="str">
        <f>T("판타지 웹소설 &gt; 퓨전 판타지")</f>
        <v>판타지 웹소설 &gt; 퓨전 판타지</v>
      </c>
    </row>
    <row r="6554" spans="1:59">
      <c r="A6554" t="s">
        <v>60</v>
      </c>
      <c r="B6554" s="1">
        <v>46131</v>
      </c>
      <c r="C6554">
        <v>2378051814</v>
      </c>
      <c r="D6554">
        <v>2378051817</v>
      </c>
      <c r="E6554" t="str">
        <f>T("코리아제국의 비상 4화")</f>
        <v>코리아제국의 비상 4화</v>
      </c>
      <c r="F6554">
        <v>4</v>
      </c>
      <c r="G6554" t="str">
        <f>T("비류수")</f>
        <v>비류수</v>
      </c>
      <c r="J6554" t="str">
        <f>T("매드햇")</f>
        <v>매드햇</v>
      </c>
      <c r="K6554" t="str">
        <f>T("코리아제국의 비상")</f>
        <v>코리아제국의 비상</v>
      </c>
      <c r="L6554">
        <v>0</v>
      </c>
      <c r="M6554">
        <v>0</v>
      </c>
      <c r="N6554">
        <v>0</v>
      </c>
      <c r="O6554">
        <v>1</v>
      </c>
      <c r="P6554">
        <v>0</v>
      </c>
      <c r="Q6554">
        <v>0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0</v>
      </c>
      <c r="AC6554">
        <v>0</v>
      </c>
      <c r="AD6554">
        <v>0</v>
      </c>
      <c r="AE6554">
        <v>0</v>
      </c>
      <c r="AF6554">
        <v>0</v>
      </c>
      <c r="AG6554">
        <v>0</v>
      </c>
      <c r="AH6554">
        <v>0</v>
      </c>
      <c r="AI6554">
        <v>0</v>
      </c>
      <c r="AJ6554">
        <v>1</v>
      </c>
      <c r="AK6554">
        <v>0</v>
      </c>
      <c r="AL6554">
        <v>0</v>
      </c>
      <c r="AM6554">
        <v>0</v>
      </c>
      <c r="AN6554">
        <v>0</v>
      </c>
      <c r="AO6554">
        <v>0</v>
      </c>
      <c r="AP6554">
        <v>0</v>
      </c>
      <c r="AQ6554">
        <v>0</v>
      </c>
      <c r="AS6554">
        <v>0</v>
      </c>
      <c r="AT6554">
        <v>0</v>
      </c>
      <c r="AV6554">
        <v>0</v>
      </c>
      <c r="AW6554">
        <v>0</v>
      </c>
      <c r="AY6554">
        <v>0</v>
      </c>
      <c r="AZ6554">
        <v>0</v>
      </c>
      <c r="BA6554">
        <v>0</v>
      </c>
      <c r="BE6554" t="str">
        <f>T("9791137013667")</f>
        <v>9791137013667</v>
      </c>
      <c r="BF6554" t="str">
        <f>T("N215298")</f>
        <v>N215298</v>
      </c>
      <c r="BG6554" t="str">
        <f>T("판타지 웹소설 &gt; 퓨전 판타지")</f>
        <v>판타지 웹소설 &gt; 퓨전 판타지</v>
      </c>
    </row>
    <row r="6555" spans="1:59">
      <c r="A6555" t="s">
        <v>60</v>
      </c>
      <c r="B6555" s="1">
        <v>46131</v>
      </c>
      <c r="C6555">
        <v>2378051814</v>
      </c>
      <c r="D6555">
        <v>2378051818</v>
      </c>
      <c r="E6555" t="str">
        <f>T("코리아제국의 비상 5화")</f>
        <v>코리아제국의 비상 5화</v>
      </c>
      <c r="F6555">
        <v>5</v>
      </c>
      <c r="G6555" t="str">
        <f>T("비류수")</f>
        <v>비류수</v>
      </c>
      <c r="J6555" t="str">
        <f>T("매드햇")</f>
        <v>매드햇</v>
      </c>
      <c r="K6555" t="str">
        <f>T("코리아제국의 비상")</f>
        <v>코리아제국의 비상</v>
      </c>
      <c r="L6555">
        <v>0</v>
      </c>
      <c r="M6555">
        <v>0</v>
      </c>
      <c r="N6555">
        <v>0</v>
      </c>
      <c r="O6555">
        <v>1</v>
      </c>
      <c r="P6555">
        <v>0</v>
      </c>
      <c r="Q6555">
        <v>0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0</v>
      </c>
      <c r="AC6555">
        <v>0</v>
      </c>
      <c r="AD6555">
        <v>0</v>
      </c>
      <c r="AE6555">
        <v>0</v>
      </c>
      <c r="AF6555">
        <v>0</v>
      </c>
      <c r="AG6555">
        <v>0</v>
      </c>
      <c r="AH6555">
        <v>0</v>
      </c>
      <c r="AI6555">
        <v>0</v>
      </c>
      <c r="AJ6555">
        <v>1</v>
      </c>
      <c r="AK6555">
        <v>0</v>
      </c>
      <c r="AL6555">
        <v>0</v>
      </c>
      <c r="AM6555">
        <v>0</v>
      </c>
      <c r="AN6555">
        <v>0</v>
      </c>
      <c r="AO6555">
        <v>0</v>
      </c>
      <c r="AP6555">
        <v>0</v>
      </c>
      <c r="AQ6555">
        <v>0</v>
      </c>
      <c r="AS6555">
        <v>0</v>
      </c>
      <c r="AT6555">
        <v>0</v>
      </c>
      <c r="AV6555">
        <v>0</v>
      </c>
      <c r="AW6555">
        <v>0</v>
      </c>
      <c r="AY6555">
        <v>0</v>
      </c>
      <c r="AZ6555">
        <v>0</v>
      </c>
      <c r="BA6555">
        <v>0</v>
      </c>
      <c r="BE6555" t="str">
        <f>T("9791137013667")</f>
        <v>9791137013667</v>
      </c>
      <c r="BF6555" t="str">
        <f>T("N215299")</f>
        <v>N215299</v>
      </c>
      <c r="BG6555" t="str">
        <f>T("판타지 웹소설 &gt; 퓨전 판타지")</f>
        <v>판타지 웹소설 &gt; 퓨전 판타지</v>
      </c>
    </row>
    <row r="6556" spans="1:59">
      <c r="A6556" t="s">
        <v>60</v>
      </c>
      <c r="B6556" s="1">
        <v>46131</v>
      </c>
      <c r="C6556">
        <v>2378051814</v>
      </c>
      <c r="D6556">
        <v>2378051819</v>
      </c>
      <c r="E6556" t="str">
        <f>T("코리아제국의 비상 6화")</f>
        <v>코리아제국의 비상 6화</v>
      </c>
      <c r="F6556">
        <v>6</v>
      </c>
      <c r="G6556" t="str">
        <f>T("비류수")</f>
        <v>비류수</v>
      </c>
      <c r="J6556" t="str">
        <f>T("매드햇")</f>
        <v>매드햇</v>
      </c>
      <c r="K6556" t="str">
        <f>T("코리아제국의 비상")</f>
        <v>코리아제국의 비상</v>
      </c>
      <c r="L6556">
        <v>0</v>
      </c>
      <c r="M6556">
        <v>0</v>
      </c>
      <c r="N6556">
        <v>0</v>
      </c>
      <c r="O6556">
        <v>1</v>
      </c>
      <c r="P6556">
        <v>0</v>
      </c>
      <c r="Q6556">
        <v>0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0</v>
      </c>
      <c r="AC6556">
        <v>0</v>
      </c>
      <c r="AD6556">
        <v>0</v>
      </c>
      <c r="AE6556">
        <v>0</v>
      </c>
      <c r="AF6556">
        <v>0</v>
      </c>
      <c r="AG6556">
        <v>0</v>
      </c>
      <c r="AH6556">
        <v>0</v>
      </c>
      <c r="AI6556">
        <v>0</v>
      </c>
      <c r="AJ6556">
        <v>1</v>
      </c>
      <c r="AK6556">
        <v>0</v>
      </c>
      <c r="AL6556">
        <v>0</v>
      </c>
      <c r="AM6556">
        <v>0</v>
      </c>
      <c r="AN6556">
        <v>0</v>
      </c>
      <c r="AO6556">
        <v>0</v>
      </c>
      <c r="AP6556">
        <v>0</v>
      </c>
      <c r="AQ6556">
        <v>0</v>
      </c>
      <c r="AS6556">
        <v>0</v>
      </c>
      <c r="AT6556">
        <v>0</v>
      </c>
      <c r="AV6556">
        <v>0</v>
      </c>
      <c r="AW6556">
        <v>0</v>
      </c>
      <c r="AY6556">
        <v>0</v>
      </c>
      <c r="AZ6556">
        <v>0</v>
      </c>
      <c r="BA6556">
        <v>0</v>
      </c>
      <c r="BE6556" t="str">
        <f>T("9791137013667")</f>
        <v>9791137013667</v>
      </c>
      <c r="BF6556" t="str">
        <f>T("N215300")</f>
        <v>N215300</v>
      </c>
      <c r="BG6556" t="str">
        <f>T("판타지 웹소설 &gt; 퓨전 판타지")</f>
        <v>판타지 웹소설 &gt; 퓨전 판타지</v>
      </c>
    </row>
    <row r="6557" spans="1:59">
      <c r="A6557" t="s">
        <v>60</v>
      </c>
      <c r="B6557" s="1">
        <v>46129</v>
      </c>
      <c r="C6557">
        <v>2378053493</v>
      </c>
      <c r="D6557">
        <v>2378053493</v>
      </c>
      <c r="E6557" t="str">
        <f>T("킬러의 이계는 1화")</f>
        <v>킬러의 이계는 1화</v>
      </c>
      <c r="F6557">
        <v>1</v>
      </c>
      <c r="G6557" t="str">
        <f>T("김기세")</f>
        <v>김기세</v>
      </c>
      <c r="J6557" t="str">
        <f>T("매드햇")</f>
        <v>매드햇</v>
      </c>
      <c r="K6557" t="str">
        <f>T("킬러의 이계는")</f>
        <v>킬러의 이계는</v>
      </c>
      <c r="L6557">
        <v>0</v>
      </c>
      <c r="M6557">
        <v>0</v>
      </c>
      <c r="N6557">
        <v>0</v>
      </c>
      <c r="O6557">
        <v>1</v>
      </c>
      <c r="P6557">
        <v>0</v>
      </c>
      <c r="Q6557">
        <v>0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0</v>
      </c>
      <c r="AC6557">
        <v>0</v>
      </c>
      <c r="AD6557">
        <v>0</v>
      </c>
      <c r="AE6557">
        <v>0</v>
      </c>
      <c r="AF6557">
        <v>0</v>
      </c>
      <c r="AG6557">
        <v>0</v>
      </c>
      <c r="AH6557">
        <v>0</v>
      </c>
      <c r="AI6557">
        <v>0</v>
      </c>
      <c r="AJ6557">
        <v>1</v>
      </c>
      <c r="AK6557">
        <v>0</v>
      </c>
      <c r="AL6557">
        <v>0</v>
      </c>
      <c r="AM6557">
        <v>0</v>
      </c>
      <c r="AN6557">
        <v>0</v>
      </c>
      <c r="AO6557">
        <v>0</v>
      </c>
      <c r="AP6557">
        <v>0</v>
      </c>
      <c r="AQ6557">
        <v>0</v>
      </c>
      <c r="AS6557">
        <v>0</v>
      </c>
      <c r="AT6557">
        <v>0</v>
      </c>
      <c r="AV6557">
        <v>0</v>
      </c>
      <c r="AW6557">
        <v>0</v>
      </c>
      <c r="AY6557">
        <v>0</v>
      </c>
      <c r="AZ6557">
        <v>0</v>
      </c>
      <c r="BA6557">
        <v>0</v>
      </c>
      <c r="BE6557" t="str">
        <f>T("9791137016316")</f>
        <v>9791137016316</v>
      </c>
      <c r="BF6557" t="str">
        <f>T("k105973")</f>
        <v>k105973</v>
      </c>
      <c r="BG6557" t="str">
        <f>T("판타지 웹소설 &gt; 퓨전 판타지")</f>
        <v>판타지 웹소설 &gt; 퓨전 판타지</v>
      </c>
    </row>
    <row r="6558" spans="1:59">
      <c r="A6558" t="s">
        <v>60</v>
      </c>
      <c r="B6558" s="1">
        <v>46129</v>
      </c>
      <c r="C6558">
        <v>2378069893</v>
      </c>
      <c r="D6558">
        <v>2378069893</v>
      </c>
      <c r="E6558" t="str">
        <f>T("포션빨로 씹어먹음 1화")</f>
        <v>포션빨로 씹어먹음 1화</v>
      </c>
      <c r="F6558">
        <v>1</v>
      </c>
      <c r="G6558" t="str">
        <f>T("지누아빠")</f>
        <v>지누아빠</v>
      </c>
      <c r="J6558" t="str">
        <f>T("매드햇")</f>
        <v>매드햇</v>
      </c>
      <c r="K6558" t="str">
        <f>T("포션빨로 씹어먹음")</f>
        <v>포션빨로 씹어먹음</v>
      </c>
      <c r="L6558">
        <v>0</v>
      </c>
      <c r="M6558">
        <v>0</v>
      </c>
      <c r="N6558">
        <v>0</v>
      </c>
      <c r="O6558">
        <v>1</v>
      </c>
      <c r="P6558">
        <v>0</v>
      </c>
      <c r="Q6558">
        <v>0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0</v>
      </c>
      <c r="AC6558">
        <v>0</v>
      </c>
      <c r="AD6558">
        <v>0</v>
      </c>
      <c r="AE6558">
        <v>0</v>
      </c>
      <c r="AF6558">
        <v>0</v>
      </c>
      <c r="AG6558">
        <v>0</v>
      </c>
      <c r="AH6558">
        <v>0</v>
      </c>
      <c r="AI6558">
        <v>0</v>
      </c>
      <c r="AJ6558">
        <v>1</v>
      </c>
      <c r="AK6558">
        <v>0</v>
      </c>
      <c r="AL6558">
        <v>0</v>
      </c>
      <c r="AM6558">
        <v>0</v>
      </c>
      <c r="AN6558">
        <v>0</v>
      </c>
      <c r="AO6558">
        <v>0</v>
      </c>
      <c r="AP6558">
        <v>0</v>
      </c>
      <c r="AQ6558">
        <v>0</v>
      </c>
      <c r="AS6558">
        <v>0</v>
      </c>
      <c r="AT6558">
        <v>0</v>
      </c>
      <c r="AV6558">
        <v>0</v>
      </c>
      <c r="AW6558">
        <v>0</v>
      </c>
      <c r="AY6558">
        <v>0</v>
      </c>
      <c r="AZ6558">
        <v>0</v>
      </c>
      <c r="BA6558">
        <v>0</v>
      </c>
      <c r="BE6558" t="str">
        <f>T("9791137018648")</f>
        <v>9791137018648</v>
      </c>
      <c r="BF6558" t="str">
        <f>T("k244101")</f>
        <v>k244101</v>
      </c>
      <c r="BG6558" t="str">
        <f>T("판타지 웹소설 &gt; 퓨전 판타지")</f>
        <v>판타지 웹소설 &gt; 퓨전 판타지</v>
      </c>
    </row>
    <row r="6559" spans="1:59">
      <c r="A6559" t="s">
        <v>60</v>
      </c>
      <c r="B6559" s="1">
        <v>46129</v>
      </c>
      <c r="C6559">
        <v>2378069893</v>
      </c>
      <c r="D6559">
        <v>2378069894</v>
      </c>
      <c r="E6559" t="str">
        <f>T("포션빨로 씹어먹음 2화")</f>
        <v>포션빨로 씹어먹음 2화</v>
      </c>
      <c r="F6559">
        <v>2</v>
      </c>
      <c r="G6559" t="str">
        <f>T("지누아빠")</f>
        <v>지누아빠</v>
      </c>
      <c r="J6559" t="str">
        <f>T("매드햇")</f>
        <v>매드햇</v>
      </c>
      <c r="K6559" t="str">
        <f>T("포션빨로 씹어먹음")</f>
        <v>포션빨로 씹어먹음</v>
      </c>
      <c r="L6559">
        <v>0</v>
      </c>
      <c r="M6559">
        <v>0</v>
      </c>
      <c r="N6559">
        <v>0</v>
      </c>
      <c r="O6559">
        <v>1</v>
      </c>
      <c r="P6559">
        <v>0</v>
      </c>
      <c r="Q6559">
        <v>0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0</v>
      </c>
      <c r="AC6559">
        <v>0</v>
      </c>
      <c r="AD6559">
        <v>0</v>
      </c>
      <c r="AE6559">
        <v>0</v>
      </c>
      <c r="AF6559">
        <v>0</v>
      </c>
      <c r="AG6559">
        <v>0</v>
      </c>
      <c r="AH6559">
        <v>0</v>
      </c>
      <c r="AI6559">
        <v>0</v>
      </c>
      <c r="AJ6559">
        <v>1</v>
      </c>
      <c r="AK6559">
        <v>0</v>
      </c>
      <c r="AL6559">
        <v>0</v>
      </c>
      <c r="AM6559">
        <v>0</v>
      </c>
      <c r="AN6559">
        <v>0</v>
      </c>
      <c r="AO6559">
        <v>0</v>
      </c>
      <c r="AP6559">
        <v>0</v>
      </c>
      <c r="AQ6559">
        <v>0</v>
      </c>
      <c r="AS6559">
        <v>0</v>
      </c>
      <c r="AT6559">
        <v>0</v>
      </c>
      <c r="AV6559">
        <v>0</v>
      </c>
      <c r="AW6559">
        <v>0</v>
      </c>
      <c r="AY6559">
        <v>0</v>
      </c>
      <c r="AZ6559">
        <v>0</v>
      </c>
      <c r="BA6559">
        <v>0</v>
      </c>
      <c r="BE6559" t="str">
        <f>T("9791137018648")</f>
        <v>9791137018648</v>
      </c>
      <c r="BF6559" t="str">
        <f>T("k244102")</f>
        <v>k244102</v>
      </c>
      <c r="BG6559" t="str">
        <f>T("판타지 웹소설 &gt; 퓨전 판타지")</f>
        <v>판타지 웹소설 &gt; 퓨전 판타지</v>
      </c>
    </row>
    <row r="6560" spans="1:59">
      <c r="A6560" t="s">
        <v>60</v>
      </c>
      <c r="B6560" s="1">
        <v>46129</v>
      </c>
      <c r="C6560">
        <v>2378069893</v>
      </c>
      <c r="D6560">
        <v>2378069895</v>
      </c>
      <c r="E6560" t="str">
        <f>T("포션빨로 씹어먹음 3화")</f>
        <v>포션빨로 씹어먹음 3화</v>
      </c>
      <c r="F6560">
        <v>3</v>
      </c>
      <c r="G6560" t="str">
        <f>T("지누아빠")</f>
        <v>지누아빠</v>
      </c>
      <c r="J6560" t="str">
        <f>T("매드햇")</f>
        <v>매드햇</v>
      </c>
      <c r="K6560" t="str">
        <f>T("포션빨로 씹어먹음")</f>
        <v>포션빨로 씹어먹음</v>
      </c>
      <c r="L6560">
        <v>0</v>
      </c>
      <c r="M6560">
        <v>0</v>
      </c>
      <c r="N6560">
        <v>0</v>
      </c>
      <c r="O6560">
        <v>1</v>
      </c>
      <c r="P6560">
        <v>0</v>
      </c>
      <c r="Q6560">
        <v>0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0</v>
      </c>
      <c r="AC6560">
        <v>0</v>
      </c>
      <c r="AD6560">
        <v>0</v>
      </c>
      <c r="AE6560">
        <v>0</v>
      </c>
      <c r="AF6560">
        <v>0</v>
      </c>
      <c r="AG6560">
        <v>0</v>
      </c>
      <c r="AH6560">
        <v>0</v>
      </c>
      <c r="AI6560">
        <v>0</v>
      </c>
      <c r="AJ6560">
        <v>1</v>
      </c>
      <c r="AK6560">
        <v>0</v>
      </c>
      <c r="AL6560">
        <v>0</v>
      </c>
      <c r="AM6560">
        <v>0</v>
      </c>
      <c r="AN6560">
        <v>0</v>
      </c>
      <c r="AO6560">
        <v>0</v>
      </c>
      <c r="AP6560">
        <v>0</v>
      </c>
      <c r="AQ6560">
        <v>0</v>
      </c>
      <c r="AS6560">
        <v>0</v>
      </c>
      <c r="AT6560">
        <v>0</v>
      </c>
      <c r="AV6560">
        <v>0</v>
      </c>
      <c r="AW6560">
        <v>0</v>
      </c>
      <c r="AY6560">
        <v>0</v>
      </c>
      <c r="AZ6560">
        <v>0</v>
      </c>
      <c r="BA6560">
        <v>0</v>
      </c>
      <c r="BE6560" t="str">
        <f>T("9791137018648")</f>
        <v>9791137018648</v>
      </c>
      <c r="BF6560" t="str">
        <f>T("k244103")</f>
        <v>k244103</v>
      </c>
      <c r="BG6560" t="str">
        <f>T("판타지 웹소설 &gt; 퓨전 판타지")</f>
        <v>판타지 웹소설 &gt; 퓨전 판타지</v>
      </c>
    </row>
    <row r="6561" spans="1:59">
      <c r="A6561" t="s">
        <v>60</v>
      </c>
      <c r="B6561" s="1">
        <v>46129</v>
      </c>
      <c r="C6561">
        <v>2378069893</v>
      </c>
      <c r="D6561">
        <v>2378069896</v>
      </c>
      <c r="E6561" t="str">
        <f>T("포션빨로 씹어먹음 4화")</f>
        <v>포션빨로 씹어먹음 4화</v>
      </c>
      <c r="F6561">
        <v>4</v>
      </c>
      <c r="G6561" t="str">
        <f>T("지누아빠")</f>
        <v>지누아빠</v>
      </c>
      <c r="J6561" t="str">
        <f>T("매드햇")</f>
        <v>매드햇</v>
      </c>
      <c r="K6561" t="str">
        <f>T("포션빨로 씹어먹음")</f>
        <v>포션빨로 씹어먹음</v>
      </c>
      <c r="L6561">
        <v>0</v>
      </c>
      <c r="M6561">
        <v>0</v>
      </c>
      <c r="N6561">
        <v>0</v>
      </c>
      <c r="O6561">
        <v>1</v>
      </c>
      <c r="P6561">
        <v>0</v>
      </c>
      <c r="Q6561">
        <v>0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0</v>
      </c>
      <c r="AC6561">
        <v>0</v>
      </c>
      <c r="AD6561">
        <v>0</v>
      </c>
      <c r="AE6561">
        <v>0</v>
      </c>
      <c r="AF6561">
        <v>0</v>
      </c>
      <c r="AG6561">
        <v>0</v>
      </c>
      <c r="AH6561">
        <v>0</v>
      </c>
      <c r="AI6561">
        <v>0</v>
      </c>
      <c r="AJ6561">
        <v>1</v>
      </c>
      <c r="AK6561">
        <v>0</v>
      </c>
      <c r="AL6561">
        <v>0</v>
      </c>
      <c r="AM6561">
        <v>0</v>
      </c>
      <c r="AN6561">
        <v>0</v>
      </c>
      <c r="AO6561">
        <v>0</v>
      </c>
      <c r="AP6561">
        <v>0</v>
      </c>
      <c r="AQ6561">
        <v>0</v>
      </c>
      <c r="AS6561">
        <v>0</v>
      </c>
      <c r="AT6561">
        <v>0</v>
      </c>
      <c r="AV6561">
        <v>0</v>
      </c>
      <c r="AW6561">
        <v>0</v>
      </c>
      <c r="AY6561">
        <v>0</v>
      </c>
      <c r="AZ6561">
        <v>0</v>
      </c>
      <c r="BA6561">
        <v>0</v>
      </c>
      <c r="BE6561" t="str">
        <f>T("9791137018648")</f>
        <v>9791137018648</v>
      </c>
      <c r="BF6561" t="str">
        <f>T("k244104")</f>
        <v>k244104</v>
      </c>
      <c r="BG6561" t="str">
        <f>T("판타지 웹소설 &gt; 퓨전 판타지")</f>
        <v>판타지 웹소설 &gt; 퓨전 판타지</v>
      </c>
    </row>
    <row r="6562" spans="1:59">
      <c r="A6562" t="s">
        <v>60</v>
      </c>
      <c r="B6562" s="1">
        <v>46129</v>
      </c>
      <c r="C6562">
        <v>2378069893</v>
      </c>
      <c r="D6562">
        <v>2378069897</v>
      </c>
      <c r="E6562" t="str">
        <f>T("포션빨로 씹어먹음 5화")</f>
        <v>포션빨로 씹어먹음 5화</v>
      </c>
      <c r="F6562">
        <v>5</v>
      </c>
      <c r="G6562" t="str">
        <f>T("지누아빠")</f>
        <v>지누아빠</v>
      </c>
      <c r="J6562" t="str">
        <f>T("매드햇")</f>
        <v>매드햇</v>
      </c>
      <c r="K6562" t="str">
        <f>T("포션빨로 씹어먹음")</f>
        <v>포션빨로 씹어먹음</v>
      </c>
      <c r="L6562">
        <v>0</v>
      </c>
      <c r="M6562">
        <v>0</v>
      </c>
      <c r="N6562">
        <v>0</v>
      </c>
      <c r="O6562">
        <v>1</v>
      </c>
      <c r="P6562">
        <v>0</v>
      </c>
      <c r="Q6562">
        <v>0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0</v>
      </c>
      <c r="AC6562">
        <v>0</v>
      </c>
      <c r="AD6562">
        <v>0</v>
      </c>
      <c r="AE6562">
        <v>0</v>
      </c>
      <c r="AF6562">
        <v>0</v>
      </c>
      <c r="AG6562">
        <v>0</v>
      </c>
      <c r="AH6562">
        <v>0</v>
      </c>
      <c r="AI6562">
        <v>0</v>
      </c>
      <c r="AJ6562">
        <v>1</v>
      </c>
      <c r="AK6562">
        <v>0</v>
      </c>
      <c r="AL6562">
        <v>0</v>
      </c>
      <c r="AM6562">
        <v>0</v>
      </c>
      <c r="AN6562">
        <v>0</v>
      </c>
      <c r="AO6562">
        <v>0</v>
      </c>
      <c r="AP6562">
        <v>0</v>
      </c>
      <c r="AQ6562">
        <v>0</v>
      </c>
      <c r="AS6562">
        <v>0</v>
      </c>
      <c r="AT6562">
        <v>0</v>
      </c>
      <c r="AV6562">
        <v>0</v>
      </c>
      <c r="AW6562">
        <v>0</v>
      </c>
      <c r="AY6562">
        <v>0</v>
      </c>
      <c r="AZ6562">
        <v>0</v>
      </c>
      <c r="BA6562">
        <v>0</v>
      </c>
      <c r="BE6562" t="str">
        <f>T("9791137018648")</f>
        <v>9791137018648</v>
      </c>
      <c r="BF6562" t="str">
        <f>T("k244105")</f>
        <v>k244105</v>
      </c>
      <c r="BG6562" t="str">
        <f>T("판타지 웹소설 &gt; 퓨전 판타지")</f>
        <v>판타지 웹소설 &gt; 퓨전 판타지</v>
      </c>
    </row>
    <row r="6563" spans="1:59">
      <c r="A6563" t="s">
        <v>60</v>
      </c>
      <c r="B6563" s="1">
        <v>46129</v>
      </c>
      <c r="C6563">
        <v>2378069893</v>
      </c>
      <c r="D6563">
        <v>2378069898</v>
      </c>
      <c r="E6563" t="str">
        <f>T("포션빨로 씹어먹음 6화")</f>
        <v>포션빨로 씹어먹음 6화</v>
      </c>
      <c r="F6563">
        <v>6</v>
      </c>
      <c r="G6563" t="str">
        <f>T("지누아빠")</f>
        <v>지누아빠</v>
      </c>
      <c r="J6563" t="str">
        <f>T("매드햇")</f>
        <v>매드햇</v>
      </c>
      <c r="K6563" t="str">
        <f>T("포션빨로 씹어먹음")</f>
        <v>포션빨로 씹어먹음</v>
      </c>
      <c r="L6563">
        <v>0</v>
      </c>
      <c r="M6563">
        <v>0</v>
      </c>
      <c r="N6563">
        <v>0</v>
      </c>
      <c r="O6563">
        <v>1</v>
      </c>
      <c r="P6563">
        <v>0</v>
      </c>
      <c r="Q6563">
        <v>0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0</v>
      </c>
      <c r="AC6563">
        <v>0</v>
      </c>
      <c r="AD6563">
        <v>0</v>
      </c>
      <c r="AE6563">
        <v>0</v>
      </c>
      <c r="AF6563">
        <v>0</v>
      </c>
      <c r="AG6563">
        <v>0</v>
      </c>
      <c r="AH6563">
        <v>0</v>
      </c>
      <c r="AI6563">
        <v>0</v>
      </c>
      <c r="AJ6563">
        <v>1</v>
      </c>
      <c r="AK6563">
        <v>0</v>
      </c>
      <c r="AL6563">
        <v>0</v>
      </c>
      <c r="AM6563">
        <v>0</v>
      </c>
      <c r="AN6563">
        <v>0</v>
      </c>
      <c r="AO6563">
        <v>0</v>
      </c>
      <c r="AP6563">
        <v>0</v>
      </c>
      <c r="AQ6563">
        <v>0</v>
      </c>
      <c r="AS6563">
        <v>0</v>
      </c>
      <c r="AT6563">
        <v>0</v>
      </c>
      <c r="AV6563">
        <v>0</v>
      </c>
      <c r="AW6563">
        <v>0</v>
      </c>
      <c r="AY6563">
        <v>0</v>
      </c>
      <c r="AZ6563">
        <v>0</v>
      </c>
      <c r="BA6563">
        <v>0</v>
      </c>
      <c r="BE6563" t="str">
        <f>T("9791137018648")</f>
        <v>9791137018648</v>
      </c>
      <c r="BF6563" t="str">
        <f>T("k244106")</f>
        <v>k244106</v>
      </c>
      <c r="BG6563" t="str">
        <f>T("판타지 웹소설 &gt; 퓨전 판타지")</f>
        <v>판타지 웹소설 &gt; 퓨전 판타지</v>
      </c>
    </row>
    <row r="6564" spans="1:59">
      <c r="A6564" t="s">
        <v>60</v>
      </c>
      <c r="B6564" s="1">
        <v>46129</v>
      </c>
      <c r="C6564">
        <v>2378069893</v>
      </c>
      <c r="D6564">
        <v>2378069899</v>
      </c>
      <c r="E6564" t="str">
        <f>T("포션빨로 씹어먹음 7화")</f>
        <v>포션빨로 씹어먹음 7화</v>
      </c>
      <c r="F6564">
        <v>7</v>
      </c>
      <c r="G6564" t="str">
        <f>T("지누아빠")</f>
        <v>지누아빠</v>
      </c>
      <c r="J6564" t="str">
        <f>T("매드햇")</f>
        <v>매드햇</v>
      </c>
      <c r="K6564" t="str">
        <f>T("포션빨로 씹어먹음")</f>
        <v>포션빨로 씹어먹음</v>
      </c>
      <c r="L6564">
        <v>0</v>
      </c>
      <c r="M6564">
        <v>0</v>
      </c>
      <c r="N6564">
        <v>0</v>
      </c>
      <c r="O6564">
        <v>1</v>
      </c>
      <c r="P6564">
        <v>0</v>
      </c>
      <c r="Q6564">
        <v>0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0</v>
      </c>
      <c r="AC6564">
        <v>0</v>
      </c>
      <c r="AD6564">
        <v>0</v>
      </c>
      <c r="AE6564">
        <v>0</v>
      </c>
      <c r="AF6564">
        <v>0</v>
      </c>
      <c r="AG6564">
        <v>0</v>
      </c>
      <c r="AH6564">
        <v>0</v>
      </c>
      <c r="AI6564">
        <v>0</v>
      </c>
      <c r="AJ6564">
        <v>1</v>
      </c>
      <c r="AK6564">
        <v>0</v>
      </c>
      <c r="AL6564">
        <v>0</v>
      </c>
      <c r="AM6564">
        <v>0</v>
      </c>
      <c r="AN6564">
        <v>0</v>
      </c>
      <c r="AO6564">
        <v>0</v>
      </c>
      <c r="AP6564">
        <v>0</v>
      </c>
      <c r="AQ6564">
        <v>0</v>
      </c>
      <c r="AS6564">
        <v>0</v>
      </c>
      <c r="AT6564">
        <v>0</v>
      </c>
      <c r="AV6564">
        <v>0</v>
      </c>
      <c r="AW6564">
        <v>0</v>
      </c>
      <c r="AY6564">
        <v>0</v>
      </c>
      <c r="AZ6564">
        <v>0</v>
      </c>
      <c r="BA6564">
        <v>0</v>
      </c>
      <c r="BE6564" t="str">
        <f>T("9791137018648")</f>
        <v>9791137018648</v>
      </c>
      <c r="BF6564" t="str">
        <f>T("k244107")</f>
        <v>k244107</v>
      </c>
      <c r="BG6564" t="str">
        <f>T("판타지 웹소설 &gt; 퓨전 판타지")</f>
        <v>판타지 웹소설 &gt; 퓨전 판타지</v>
      </c>
    </row>
    <row r="6565" spans="1:59">
      <c r="A6565" t="s">
        <v>60</v>
      </c>
      <c r="B6565" s="1">
        <v>46129</v>
      </c>
      <c r="C6565">
        <v>2378069893</v>
      </c>
      <c r="D6565">
        <v>2378069900</v>
      </c>
      <c r="E6565" t="str">
        <f>T("포션빨로 씹어먹음 8화")</f>
        <v>포션빨로 씹어먹음 8화</v>
      </c>
      <c r="F6565">
        <v>8</v>
      </c>
      <c r="G6565" t="str">
        <f>T("지누아빠")</f>
        <v>지누아빠</v>
      </c>
      <c r="J6565" t="str">
        <f>T("매드햇")</f>
        <v>매드햇</v>
      </c>
      <c r="K6565" t="str">
        <f>T("포션빨로 씹어먹음")</f>
        <v>포션빨로 씹어먹음</v>
      </c>
      <c r="L6565">
        <v>0</v>
      </c>
      <c r="M6565">
        <v>0</v>
      </c>
      <c r="N6565">
        <v>0</v>
      </c>
      <c r="O6565">
        <v>1</v>
      </c>
      <c r="P6565">
        <v>0</v>
      </c>
      <c r="Q6565">
        <v>0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0</v>
      </c>
      <c r="AC6565">
        <v>0</v>
      </c>
      <c r="AD6565">
        <v>0</v>
      </c>
      <c r="AE6565">
        <v>0</v>
      </c>
      <c r="AF6565">
        <v>0</v>
      </c>
      <c r="AG6565">
        <v>0</v>
      </c>
      <c r="AH6565">
        <v>0</v>
      </c>
      <c r="AI6565">
        <v>0</v>
      </c>
      <c r="AJ6565">
        <v>1</v>
      </c>
      <c r="AK6565">
        <v>0</v>
      </c>
      <c r="AL6565">
        <v>0</v>
      </c>
      <c r="AM6565">
        <v>0</v>
      </c>
      <c r="AN6565">
        <v>0</v>
      </c>
      <c r="AO6565">
        <v>0</v>
      </c>
      <c r="AP6565">
        <v>0</v>
      </c>
      <c r="AQ6565">
        <v>0</v>
      </c>
      <c r="AS6565">
        <v>0</v>
      </c>
      <c r="AT6565">
        <v>0</v>
      </c>
      <c r="AV6565">
        <v>0</v>
      </c>
      <c r="AW6565">
        <v>0</v>
      </c>
      <c r="AY6565">
        <v>0</v>
      </c>
      <c r="AZ6565">
        <v>0</v>
      </c>
      <c r="BA6565">
        <v>0</v>
      </c>
      <c r="BE6565" t="str">
        <f>T("9791137018648")</f>
        <v>9791137018648</v>
      </c>
      <c r="BF6565" t="str">
        <f>T("k244108")</f>
        <v>k244108</v>
      </c>
      <c r="BG6565" t="str">
        <f>T("판타지 웹소설 &gt; 퓨전 판타지")</f>
        <v>판타지 웹소설 &gt; 퓨전 판타지</v>
      </c>
    </row>
    <row r="6566" spans="1:59">
      <c r="A6566" t="s">
        <v>60</v>
      </c>
      <c r="B6566" s="1">
        <v>46129</v>
      </c>
      <c r="C6566">
        <v>2378069893</v>
      </c>
      <c r="D6566">
        <v>2378069901</v>
      </c>
      <c r="E6566" t="str">
        <f>T("포션빨로 씹어먹음 9화")</f>
        <v>포션빨로 씹어먹음 9화</v>
      </c>
      <c r="F6566">
        <v>9</v>
      </c>
      <c r="G6566" t="str">
        <f>T("지누아빠")</f>
        <v>지누아빠</v>
      </c>
      <c r="J6566" t="str">
        <f>T("매드햇")</f>
        <v>매드햇</v>
      </c>
      <c r="K6566" t="str">
        <f>T("포션빨로 씹어먹음")</f>
        <v>포션빨로 씹어먹음</v>
      </c>
      <c r="L6566">
        <v>0</v>
      </c>
      <c r="M6566">
        <v>0</v>
      </c>
      <c r="N6566">
        <v>0</v>
      </c>
      <c r="O6566">
        <v>1</v>
      </c>
      <c r="P6566">
        <v>0</v>
      </c>
      <c r="Q6566">
        <v>0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0</v>
      </c>
      <c r="AC6566">
        <v>0</v>
      </c>
      <c r="AD6566">
        <v>0</v>
      </c>
      <c r="AE6566">
        <v>0</v>
      </c>
      <c r="AF6566">
        <v>0</v>
      </c>
      <c r="AG6566">
        <v>0</v>
      </c>
      <c r="AH6566">
        <v>0</v>
      </c>
      <c r="AI6566">
        <v>0</v>
      </c>
      <c r="AJ6566">
        <v>1</v>
      </c>
      <c r="AK6566">
        <v>0</v>
      </c>
      <c r="AL6566">
        <v>0</v>
      </c>
      <c r="AM6566">
        <v>0</v>
      </c>
      <c r="AN6566">
        <v>0</v>
      </c>
      <c r="AO6566">
        <v>0</v>
      </c>
      <c r="AP6566">
        <v>0</v>
      </c>
      <c r="AQ6566">
        <v>0</v>
      </c>
      <c r="AS6566">
        <v>0</v>
      </c>
      <c r="AT6566">
        <v>0</v>
      </c>
      <c r="AV6566">
        <v>0</v>
      </c>
      <c r="AW6566">
        <v>0</v>
      </c>
      <c r="AY6566">
        <v>0</v>
      </c>
      <c r="AZ6566">
        <v>0</v>
      </c>
      <c r="BA6566">
        <v>0</v>
      </c>
      <c r="BE6566" t="str">
        <f>T("9791137018648")</f>
        <v>9791137018648</v>
      </c>
      <c r="BF6566" t="str">
        <f>T("k244109")</f>
        <v>k244109</v>
      </c>
      <c r="BG6566" t="str">
        <f>T("판타지 웹소설 &gt; 퓨전 판타지")</f>
        <v>판타지 웹소설 &gt; 퓨전 판타지</v>
      </c>
    </row>
    <row r="6567" spans="1:59">
      <c r="A6567" t="s">
        <v>60</v>
      </c>
      <c r="B6567" s="1">
        <v>46129</v>
      </c>
      <c r="C6567">
        <v>2378069893</v>
      </c>
      <c r="D6567">
        <v>2378069902</v>
      </c>
      <c r="E6567" t="str">
        <f>T("포션빨로 씹어먹음 10화")</f>
        <v>포션빨로 씹어먹음 10화</v>
      </c>
      <c r="F6567">
        <v>10</v>
      </c>
      <c r="G6567" t="str">
        <f>T("지누아빠")</f>
        <v>지누아빠</v>
      </c>
      <c r="J6567" t="str">
        <f>T("매드햇")</f>
        <v>매드햇</v>
      </c>
      <c r="K6567" t="str">
        <f>T("포션빨로 씹어먹음")</f>
        <v>포션빨로 씹어먹음</v>
      </c>
      <c r="L6567">
        <v>0</v>
      </c>
      <c r="M6567">
        <v>0</v>
      </c>
      <c r="N6567">
        <v>0</v>
      </c>
      <c r="O6567">
        <v>1</v>
      </c>
      <c r="P6567">
        <v>0</v>
      </c>
      <c r="Q6567">
        <v>0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0</v>
      </c>
      <c r="AC6567">
        <v>0</v>
      </c>
      <c r="AD6567">
        <v>0</v>
      </c>
      <c r="AE6567">
        <v>0</v>
      </c>
      <c r="AF6567">
        <v>0</v>
      </c>
      <c r="AG6567">
        <v>0</v>
      </c>
      <c r="AH6567">
        <v>0</v>
      </c>
      <c r="AI6567">
        <v>0</v>
      </c>
      <c r="AJ6567">
        <v>1</v>
      </c>
      <c r="AK6567">
        <v>0</v>
      </c>
      <c r="AL6567">
        <v>0</v>
      </c>
      <c r="AM6567">
        <v>0</v>
      </c>
      <c r="AN6567">
        <v>0</v>
      </c>
      <c r="AO6567">
        <v>0</v>
      </c>
      <c r="AP6567">
        <v>0</v>
      </c>
      <c r="AQ6567">
        <v>0</v>
      </c>
      <c r="AS6567">
        <v>0</v>
      </c>
      <c r="AT6567">
        <v>0</v>
      </c>
      <c r="AV6567">
        <v>0</v>
      </c>
      <c r="AW6567">
        <v>0</v>
      </c>
      <c r="AY6567">
        <v>0</v>
      </c>
      <c r="AZ6567">
        <v>0</v>
      </c>
      <c r="BA6567">
        <v>0</v>
      </c>
      <c r="BE6567" t="str">
        <f>T("9791137018648")</f>
        <v>9791137018648</v>
      </c>
      <c r="BF6567" t="str">
        <f>T("k244110")</f>
        <v>k244110</v>
      </c>
      <c r="BG6567" t="str">
        <f>T("판타지 웹소설 &gt; 퓨전 판타지")</f>
        <v>판타지 웹소설 &gt; 퓨전 판타지</v>
      </c>
    </row>
    <row r="6568" spans="1:59">
      <c r="A6568" t="s">
        <v>60</v>
      </c>
      <c r="B6568" s="1">
        <v>46129</v>
      </c>
      <c r="C6568">
        <v>2378069893</v>
      </c>
      <c r="D6568">
        <v>2378069903</v>
      </c>
      <c r="E6568" t="str">
        <f>T("포션빨로 씹어먹음 11화")</f>
        <v>포션빨로 씹어먹음 11화</v>
      </c>
      <c r="F6568">
        <v>11</v>
      </c>
      <c r="G6568" t="str">
        <f>T("지누아빠")</f>
        <v>지누아빠</v>
      </c>
      <c r="J6568" t="str">
        <f>T("매드햇")</f>
        <v>매드햇</v>
      </c>
      <c r="K6568" t="str">
        <f>T("포션빨로 씹어먹음")</f>
        <v>포션빨로 씹어먹음</v>
      </c>
      <c r="L6568">
        <v>0</v>
      </c>
      <c r="M6568">
        <v>0</v>
      </c>
      <c r="N6568">
        <v>0</v>
      </c>
      <c r="O6568">
        <v>1</v>
      </c>
      <c r="P6568">
        <v>0</v>
      </c>
      <c r="Q6568">
        <v>0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0</v>
      </c>
      <c r="AC6568">
        <v>0</v>
      </c>
      <c r="AD6568">
        <v>0</v>
      </c>
      <c r="AE6568">
        <v>0</v>
      </c>
      <c r="AF6568">
        <v>0</v>
      </c>
      <c r="AG6568">
        <v>0</v>
      </c>
      <c r="AH6568">
        <v>0</v>
      </c>
      <c r="AI6568">
        <v>0</v>
      </c>
      <c r="AJ6568">
        <v>1</v>
      </c>
      <c r="AK6568">
        <v>0</v>
      </c>
      <c r="AL6568">
        <v>0</v>
      </c>
      <c r="AM6568">
        <v>0</v>
      </c>
      <c r="AN6568">
        <v>0</v>
      </c>
      <c r="AO6568">
        <v>0</v>
      </c>
      <c r="AP6568">
        <v>0</v>
      </c>
      <c r="AQ6568">
        <v>0</v>
      </c>
      <c r="AS6568">
        <v>0</v>
      </c>
      <c r="AT6568">
        <v>0</v>
      </c>
      <c r="AV6568">
        <v>0</v>
      </c>
      <c r="AW6568">
        <v>0</v>
      </c>
      <c r="AY6568">
        <v>0</v>
      </c>
      <c r="AZ6568">
        <v>0</v>
      </c>
      <c r="BA6568">
        <v>0</v>
      </c>
      <c r="BE6568" t="str">
        <f>T("9791137018648")</f>
        <v>9791137018648</v>
      </c>
      <c r="BF6568" t="str">
        <f>T("k244111")</f>
        <v>k244111</v>
      </c>
      <c r="BG6568" t="str">
        <f>T("판타지 웹소설 &gt; 퓨전 판타지")</f>
        <v>판타지 웹소설 &gt; 퓨전 판타지</v>
      </c>
    </row>
    <row r="6569" spans="1:59">
      <c r="A6569" t="s">
        <v>60</v>
      </c>
      <c r="B6569" s="1">
        <v>46129</v>
      </c>
      <c r="C6569">
        <v>2378069893</v>
      </c>
      <c r="D6569">
        <v>2378069904</v>
      </c>
      <c r="E6569" t="str">
        <f>T("포션빨로 씹어먹음 12화")</f>
        <v>포션빨로 씹어먹음 12화</v>
      </c>
      <c r="F6569">
        <v>12</v>
      </c>
      <c r="G6569" t="str">
        <f>T("지누아빠")</f>
        <v>지누아빠</v>
      </c>
      <c r="J6569" t="str">
        <f>T("매드햇")</f>
        <v>매드햇</v>
      </c>
      <c r="K6569" t="str">
        <f>T("포션빨로 씹어먹음")</f>
        <v>포션빨로 씹어먹음</v>
      </c>
      <c r="L6569">
        <v>0</v>
      </c>
      <c r="M6569">
        <v>0</v>
      </c>
      <c r="N6569">
        <v>0</v>
      </c>
      <c r="O6569">
        <v>1</v>
      </c>
      <c r="P6569">
        <v>0</v>
      </c>
      <c r="Q6569">
        <v>0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0</v>
      </c>
      <c r="AC6569">
        <v>0</v>
      </c>
      <c r="AD6569">
        <v>0</v>
      </c>
      <c r="AE6569">
        <v>0</v>
      </c>
      <c r="AF6569">
        <v>0</v>
      </c>
      <c r="AG6569">
        <v>0</v>
      </c>
      <c r="AH6569">
        <v>0</v>
      </c>
      <c r="AI6569">
        <v>0</v>
      </c>
      <c r="AJ6569">
        <v>1</v>
      </c>
      <c r="AK6569">
        <v>0</v>
      </c>
      <c r="AL6569">
        <v>0</v>
      </c>
      <c r="AM6569">
        <v>0</v>
      </c>
      <c r="AN6569">
        <v>0</v>
      </c>
      <c r="AO6569">
        <v>0</v>
      </c>
      <c r="AP6569">
        <v>0</v>
      </c>
      <c r="AQ6569">
        <v>0</v>
      </c>
      <c r="AS6569">
        <v>0</v>
      </c>
      <c r="AT6569">
        <v>0</v>
      </c>
      <c r="AV6569">
        <v>0</v>
      </c>
      <c r="AW6569">
        <v>0</v>
      </c>
      <c r="AY6569">
        <v>0</v>
      </c>
      <c r="AZ6569">
        <v>0</v>
      </c>
      <c r="BA6569">
        <v>0</v>
      </c>
      <c r="BE6569" t="str">
        <f>T("9791137018648")</f>
        <v>9791137018648</v>
      </c>
      <c r="BF6569" t="str">
        <f>T("k244112")</f>
        <v>k244112</v>
      </c>
      <c r="BG6569" t="str">
        <f>T("판타지 웹소설 &gt; 퓨전 판타지")</f>
        <v>판타지 웹소설 &gt; 퓨전 판타지</v>
      </c>
    </row>
    <row r="6570" spans="1:59">
      <c r="A6570" t="s">
        <v>60</v>
      </c>
      <c r="B6570" s="1">
        <v>46129</v>
      </c>
      <c r="C6570">
        <v>2378069893</v>
      </c>
      <c r="D6570">
        <v>2378069905</v>
      </c>
      <c r="E6570" t="str">
        <f>T("포션빨로 씹어먹음 13화")</f>
        <v>포션빨로 씹어먹음 13화</v>
      </c>
      <c r="F6570">
        <v>13</v>
      </c>
      <c r="G6570" t="str">
        <f>T("지누아빠")</f>
        <v>지누아빠</v>
      </c>
      <c r="J6570" t="str">
        <f>T("매드햇")</f>
        <v>매드햇</v>
      </c>
      <c r="K6570" t="str">
        <f>T("포션빨로 씹어먹음")</f>
        <v>포션빨로 씹어먹음</v>
      </c>
      <c r="L6570">
        <v>0</v>
      </c>
      <c r="M6570">
        <v>0</v>
      </c>
      <c r="N6570">
        <v>0</v>
      </c>
      <c r="O6570">
        <v>1</v>
      </c>
      <c r="P6570">
        <v>0</v>
      </c>
      <c r="Q6570">
        <v>0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0</v>
      </c>
      <c r="AC6570">
        <v>0</v>
      </c>
      <c r="AD6570">
        <v>0</v>
      </c>
      <c r="AE6570">
        <v>0</v>
      </c>
      <c r="AF6570">
        <v>0</v>
      </c>
      <c r="AG6570">
        <v>0</v>
      </c>
      <c r="AH6570">
        <v>0</v>
      </c>
      <c r="AI6570">
        <v>0</v>
      </c>
      <c r="AJ6570">
        <v>1</v>
      </c>
      <c r="AK6570">
        <v>0</v>
      </c>
      <c r="AL6570">
        <v>0</v>
      </c>
      <c r="AM6570">
        <v>0</v>
      </c>
      <c r="AN6570">
        <v>0</v>
      </c>
      <c r="AO6570">
        <v>0</v>
      </c>
      <c r="AP6570">
        <v>0</v>
      </c>
      <c r="AQ6570">
        <v>0</v>
      </c>
      <c r="AS6570">
        <v>0</v>
      </c>
      <c r="AT6570">
        <v>0</v>
      </c>
      <c r="AV6570">
        <v>0</v>
      </c>
      <c r="AW6570">
        <v>0</v>
      </c>
      <c r="AY6570">
        <v>0</v>
      </c>
      <c r="AZ6570">
        <v>0</v>
      </c>
      <c r="BA6570">
        <v>0</v>
      </c>
      <c r="BE6570" t="str">
        <f>T("9791137018648")</f>
        <v>9791137018648</v>
      </c>
      <c r="BF6570" t="str">
        <f>T("k244113")</f>
        <v>k244113</v>
      </c>
      <c r="BG6570" t="str">
        <f>T("판타지 웹소설 &gt; 퓨전 판타지")</f>
        <v>판타지 웹소설 &gt; 퓨전 판타지</v>
      </c>
    </row>
    <row r="6571" spans="1:59">
      <c r="A6571" t="s">
        <v>60</v>
      </c>
      <c r="B6571" s="1">
        <v>46129</v>
      </c>
      <c r="C6571">
        <v>2378069893</v>
      </c>
      <c r="D6571">
        <v>2378069906</v>
      </c>
      <c r="E6571" t="str">
        <f>T("포션빨로 씹어먹음 14화")</f>
        <v>포션빨로 씹어먹음 14화</v>
      </c>
      <c r="F6571">
        <v>14</v>
      </c>
      <c r="G6571" t="str">
        <f>T("지누아빠")</f>
        <v>지누아빠</v>
      </c>
      <c r="J6571" t="str">
        <f>T("매드햇")</f>
        <v>매드햇</v>
      </c>
      <c r="K6571" t="str">
        <f>T("포션빨로 씹어먹음")</f>
        <v>포션빨로 씹어먹음</v>
      </c>
      <c r="L6571">
        <v>0</v>
      </c>
      <c r="M6571">
        <v>0</v>
      </c>
      <c r="N6571">
        <v>0</v>
      </c>
      <c r="O6571">
        <v>1</v>
      </c>
      <c r="P6571">
        <v>0</v>
      </c>
      <c r="Q6571">
        <v>0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0</v>
      </c>
      <c r="AC6571">
        <v>0</v>
      </c>
      <c r="AD6571">
        <v>0</v>
      </c>
      <c r="AE6571">
        <v>0</v>
      </c>
      <c r="AF6571">
        <v>0</v>
      </c>
      <c r="AG6571">
        <v>0</v>
      </c>
      <c r="AH6571">
        <v>0</v>
      </c>
      <c r="AI6571">
        <v>0</v>
      </c>
      <c r="AJ6571">
        <v>1</v>
      </c>
      <c r="AK6571">
        <v>0</v>
      </c>
      <c r="AL6571">
        <v>0</v>
      </c>
      <c r="AM6571">
        <v>0</v>
      </c>
      <c r="AN6571">
        <v>0</v>
      </c>
      <c r="AO6571">
        <v>0</v>
      </c>
      <c r="AP6571">
        <v>0</v>
      </c>
      <c r="AQ6571">
        <v>0</v>
      </c>
      <c r="AS6571">
        <v>0</v>
      </c>
      <c r="AT6571">
        <v>0</v>
      </c>
      <c r="AV6571">
        <v>0</v>
      </c>
      <c r="AW6571">
        <v>0</v>
      </c>
      <c r="AY6571">
        <v>0</v>
      </c>
      <c r="AZ6571">
        <v>0</v>
      </c>
      <c r="BA6571">
        <v>0</v>
      </c>
      <c r="BE6571" t="str">
        <f>T("9791137018648")</f>
        <v>9791137018648</v>
      </c>
      <c r="BF6571" t="str">
        <f>T("k244114")</f>
        <v>k244114</v>
      </c>
      <c r="BG6571" t="str">
        <f>T("판타지 웹소설 &gt; 퓨전 판타지")</f>
        <v>판타지 웹소설 &gt; 퓨전 판타지</v>
      </c>
    </row>
    <row r="6572" spans="1:59">
      <c r="A6572" t="s">
        <v>60</v>
      </c>
      <c r="B6572" s="1">
        <v>46129</v>
      </c>
      <c r="C6572">
        <v>2378069893</v>
      </c>
      <c r="D6572">
        <v>2378069907</v>
      </c>
      <c r="E6572" t="str">
        <f>T("포션빨로 씹어먹음 15화")</f>
        <v>포션빨로 씹어먹음 15화</v>
      </c>
      <c r="F6572">
        <v>15</v>
      </c>
      <c r="G6572" t="str">
        <f>T("지누아빠")</f>
        <v>지누아빠</v>
      </c>
      <c r="J6572" t="str">
        <f>T("매드햇")</f>
        <v>매드햇</v>
      </c>
      <c r="K6572" t="str">
        <f>T("포션빨로 씹어먹음")</f>
        <v>포션빨로 씹어먹음</v>
      </c>
      <c r="L6572">
        <v>0</v>
      </c>
      <c r="M6572">
        <v>0</v>
      </c>
      <c r="N6572">
        <v>0</v>
      </c>
      <c r="O6572">
        <v>1</v>
      </c>
      <c r="P6572">
        <v>0</v>
      </c>
      <c r="Q6572">
        <v>0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0</v>
      </c>
      <c r="AC6572">
        <v>0</v>
      </c>
      <c r="AD6572">
        <v>0</v>
      </c>
      <c r="AE6572">
        <v>0</v>
      </c>
      <c r="AF6572">
        <v>0</v>
      </c>
      <c r="AG6572">
        <v>0</v>
      </c>
      <c r="AH6572">
        <v>0</v>
      </c>
      <c r="AI6572">
        <v>0</v>
      </c>
      <c r="AJ6572">
        <v>1</v>
      </c>
      <c r="AK6572">
        <v>0</v>
      </c>
      <c r="AL6572">
        <v>0</v>
      </c>
      <c r="AM6572">
        <v>0</v>
      </c>
      <c r="AN6572">
        <v>0</v>
      </c>
      <c r="AO6572">
        <v>0</v>
      </c>
      <c r="AP6572">
        <v>0</v>
      </c>
      <c r="AQ6572">
        <v>0</v>
      </c>
      <c r="AS6572">
        <v>0</v>
      </c>
      <c r="AT6572">
        <v>0</v>
      </c>
      <c r="AV6572">
        <v>0</v>
      </c>
      <c r="AW6572">
        <v>0</v>
      </c>
      <c r="AY6572">
        <v>0</v>
      </c>
      <c r="AZ6572">
        <v>0</v>
      </c>
      <c r="BA6572">
        <v>0</v>
      </c>
      <c r="BE6572" t="str">
        <f>T("9791137018648")</f>
        <v>9791137018648</v>
      </c>
      <c r="BF6572" t="str">
        <f>T("k244115")</f>
        <v>k244115</v>
      </c>
      <c r="BG6572" t="str">
        <f>T("판타지 웹소설 &gt; 퓨전 판타지")</f>
        <v>판타지 웹소설 &gt; 퓨전 판타지</v>
      </c>
    </row>
    <row r="6573" spans="1:59">
      <c r="A6573" t="s">
        <v>60</v>
      </c>
      <c r="B6573" s="1">
        <v>46129</v>
      </c>
      <c r="C6573">
        <v>2378069893</v>
      </c>
      <c r="D6573">
        <v>2378069908</v>
      </c>
      <c r="E6573" t="str">
        <f>T("포션빨로 씹어먹음 16화")</f>
        <v>포션빨로 씹어먹음 16화</v>
      </c>
      <c r="F6573">
        <v>16</v>
      </c>
      <c r="G6573" t="str">
        <f>T("지누아빠")</f>
        <v>지누아빠</v>
      </c>
      <c r="J6573" t="str">
        <f>T("매드햇")</f>
        <v>매드햇</v>
      </c>
      <c r="K6573" t="str">
        <f>T("포션빨로 씹어먹음")</f>
        <v>포션빨로 씹어먹음</v>
      </c>
      <c r="L6573">
        <v>0</v>
      </c>
      <c r="M6573">
        <v>0</v>
      </c>
      <c r="N6573">
        <v>0</v>
      </c>
      <c r="O6573">
        <v>1</v>
      </c>
      <c r="P6573">
        <v>0</v>
      </c>
      <c r="Q6573">
        <v>0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0</v>
      </c>
      <c r="AC6573">
        <v>0</v>
      </c>
      <c r="AD6573">
        <v>0</v>
      </c>
      <c r="AE6573">
        <v>0</v>
      </c>
      <c r="AF6573">
        <v>0</v>
      </c>
      <c r="AG6573">
        <v>0</v>
      </c>
      <c r="AH6573">
        <v>0</v>
      </c>
      <c r="AI6573">
        <v>0</v>
      </c>
      <c r="AJ6573">
        <v>1</v>
      </c>
      <c r="AK6573">
        <v>0</v>
      </c>
      <c r="AL6573">
        <v>0</v>
      </c>
      <c r="AM6573">
        <v>0</v>
      </c>
      <c r="AN6573">
        <v>0</v>
      </c>
      <c r="AO6573">
        <v>0</v>
      </c>
      <c r="AP6573">
        <v>0</v>
      </c>
      <c r="AQ6573">
        <v>0</v>
      </c>
      <c r="AS6573">
        <v>0</v>
      </c>
      <c r="AT6573">
        <v>0</v>
      </c>
      <c r="AV6573">
        <v>0</v>
      </c>
      <c r="AW6573">
        <v>0</v>
      </c>
      <c r="AY6573">
        <v>0</v>
      </c>
      <c r="AZ6573">
        <v>0</v>
      </c>
      <c r="BA6573">
        <v>0</v>
      </c>
      <c r="BE6573" t="str">
        <f>T("9791137018648")</f>
        <v>9791137018648</v>
      </c>
      <c r="BF6573" t="str">
        <f>T("k244116")</f>
        <v>k244116</v>
      </c>
      <c r="BG6573" t="str">
        <f>T("판타지 웹소설 &gt; 퓨전 판타지")</f>
        <v>판타지 웹소설 &gt; 퓨전 판타지</v>
      </c>
    </row>
    <row r="6574" spans="1:59">
      <c r="A6574" t="s">
        <v>60</v>
      </c>
      <c r="B6574" s="1">
        <v>46129</v>
      </c>
      <c r="C6574">
        <v>2378069893</v>
      </c>
      <c r="D6574">
        <v>2378069909</v>
      </c>
      <c r="E6574" t="str">
        <f>T("포션빨로 씹어먹음 17화")</f>
        <v>포션빨로 씹어먹음 17화</v>
      </c>
      <c r="F6574">
        <v>17</v>
      </c>
      <c r="G6574" t="str">
        <f>T("지누아빠")</f>
        <v>지누아빠</v>
      </c>
      <c r="J6574" t="str">
        <f>T("매드햇")</f>
        <v>매드햇</v>
      </c>
      <c r="K6574" t="str">
        <f>T("포션빨로 씹어먹음")</f>
        <v>포션빨로 씹어먹음</v>
      </c>
      <c r="L6574">
        <v>0</v>
      </c>
      <c r="M6574">
        <v>0</v>
      </c>
      <c r="N6574">
        <v>0</v>
      </c>
      <c r="O6574">
        <v>1</v>
      </c>
      <c r="P6574">
        <v>0</v>
      </c>
      <c r="Q6574">
        <v>0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0</v>
      </c>
      <c r="AC6574">
        <v>0</v>
      </c>
      <c r="AD6574">
        <v>0</v>
      </c>
      <c r="AE6574">
        <v>0</v>
      </c>
      <c r="AF6574">
        <v>0</v>
      </c>
      <c r="AG6574">
        <v>0</v>
      </c>
      <c r="AH6574">
        <v>0</v>
      </c>
      <c r="AI6574">
        <v>0</v>
      </c>
      <c r="AJ6574">
        <v>1</v>
      </c>
      <c r="AK6574">
        <v>0</v>
      </c>
      <c r="AL6574">
        <v>0</v>
      </c>
      <c r="AM6574">
        <v>0</v>
      </c>
      <c r="AN6574">
        <v>0</v>
      </c>
      <c r="AO6574">
        <v>0</v>
      </c>
      <c r="AP6574">
        <v>0</v>
      </c>
      <c r="AQ6574">
        <v>0</v>
      </c>
      <c r="AS6574">
        <v>0</v>
      </c>
      <c r="AT6574">
        <v>0</v>
      </c>
      <c r="AV6574">
        <v>0</v>
      </c>
      <c r="AW6574">
        <v>0</v>
      </c>
      <c r="AY6574">
        <v>0</v>
      </c>
      <c r="AZ6574">
        <v>0</v>
      </c>
      <c r="BA6574">
        <v>0</v>
      </c>
      <c r="BE6574" t="str">
        <f>T("9791137018648")</f>
        <v>9791137018648</v>
      </c>
      <c r="BF6574" t="str">
        <f>T("k244117")</f>
        <v>k244117</v>
      </c>
      <c r="BG6574" t="str">
        <f>T("판타지 웹소설 &gt; 퓨전 판타지")</f>
        <v>판타지 웹소설 &gt; 퓨전 판타지</v>
      </c>
    </row>
    <row r="6575" spans="1:59">
      <c r="A6575" t="s">
        <v>60</v>
      </c>
      <c r="B6575" s="1">
        <v>46129</v>
      </c>
      <c r="C6575">
        <v>2378069893</v>
      </c>
      <c r="D6575">
        <v>2378069910</v>
      </c>
      <c r="E6575" t="str">
        <f>T("포션빨로 씹어먹음 18화")</f>
        <v>포션빨로 씹어먹음 18화</v>
      </c>
      <c r="F6575">
        <v>18</v>
      </c>
      <c r="G6575" t="str">
        <f>T("지누아빠")</f>
        <v>지누아빠</v>
      </c>
      <c r="J6575" t="str">
        <f>T("매드햇")</f>
        <v>매드햇</v>
      </c>
      <c r="K6575" t="str">
        <f>T("포션빨로 씹어먹음")</f>
        <v>포션빨로 씹어먹음</v>
      </c>
      <c r="L6575">
        <v>0</v>
      </c>
      <c r="M6575">
        <v>0</v>
      </c>
      <c r="N6575">
        <v>0</v>
      </c>
      <c r="O6575">
        <v>1</v>
      </c>
      <c r="P6575">
        <v>0</v>
      </c>
      <c r="Q6575">
        <v>0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0</v>
      </c>
      <c r="AC6575">
        <v>0</v>
      </c>
      <c r="AD6575">
        <v>0</v>
      </c>
      <c r="AE6575">
        <v>0</v>
      </c>
      <c r="AF6575">
        <v>0</v>
      </c>
      <c r="AG6575">
        <v>0</v>
      </c>
      <c r="AH6575">
        <v>0</v>
      </c>
      <c r="AI6575">
        <v>0</v>
      </c>
      <c r="AJ6575">
        <v>1</v>
      </c>
      <c r="AK6575">
        <v>0</v>
      </c>
      <c r="AL6575">
        <v>0</v>
      </c>
      <c r="AM6575">
        <v>0</v>
      </c>
      <c r="AN6575">
        <v>0</v>
      </c>
      <c r="AO6575">
        <v>0</v>
      </c>
      <c r="AP6575">
        <v>0</v>
      </c>
      <c r="AQ6575">
        <v>0</v>
      </c>
      <c r="AS6575">
        <v>0</v>
      </c>
      <c r="AT6575">
        <v>0</v>
      </c>
      <c r="AV6575">
        <v>0</v>
      </c>
      <c r="AW6575">
        <v>0</v>
      </c>
      <c r="AY6575">
        <v>0</v>
      </c>
      <c r="AZ6575">
        <v>0</v>
      </c>
      <c r="BA6575">
        <v>0</v>
      </c>
      <c r="BE6575" t="str">
        <f>T("9791137018648")</f>
        <v>9791137018648</v>
      </c>
      <c r="BF6575" t="str">
        <f>T("k244118")</f>
        <v>k244118</v>
      </c>
      <c r="BG6575" t="str">
        <f>T("판타지 웹소설 &gt; 퓨전 판타지")</f>
        <v>판타지 웹소설 &gt; 퓨전 판타지</v>
      </c>
    </row>
    <row r="6576" spans="1:59">
      <c r="A6576" t="s">
        <v>60</v>
      </c>
      <c r="B6576" s="1">
        <v>46129</v>
      </c>
      <c r="C6576">
        <v>2378069893</v>
      </c>
      <c r="D6576">
        <v>2378069911</v>
      </c>
      <c r="E6576" t="str">
        <f>T("포션빨로 씹어먹음 19화")</f>
        <v>포션빨로 씹어먹음 19화</v>
      </c>
      <c r="F6576">
        <v>19</v>
      </c>
      <c r="G6576" t="str">
        <f>T("지누아빠")</f>
        <v>지누아빠</v>
      </c>
      <c r="J6576" t="str">
        <f>T("매드햇")</f>
        <v>매드햇</v>
      </c>
      <c r="K6576" t="str">
        <f>T("포션빨로 씹어먹음")</f>
        <v>포션빨로 씹어먹음</v>
      </c>
      <c r="L6576">
        <v>0</v>
      </c>
      <c r="M6576">
        <v>0</v>
      </c>
      <c r="N6576">
        <v>0</v>
      </c>
      <c r="O6576">
        <v>1</v>
      </c>
      <c r="P6576">
        <v>0</v>
      </c>
      <c r="Q6576">
        <v>0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0</v>
      </c>
      <c r="AC6576">
        <v>0</v>
      </c>
      <c r="AD6576">
        <v>0</v>
      </c>
      <c r="AE6576">
        <v>0</v>
      </c>
      <c r="AF6576">
        <v>0</v>
      </c>
      <c r="AG6576">
        <v>0</v>
      </c>
      <c r="AH6576">
        <v>0</v>
      </c>
      <c r="AI6576">
        <v>0</v>
      </c>
      <c r="AJ6576">
        <v>1</v>
      </c>
      <c r="AK6576">
        <v>0</v>
      </c>
      <c r="AL6576">
        <v>0</v>
      </c>
      <c r="AM6576">
        <v>0</v>
      </c>
      <c r="AN6576">
        <v>0</v>
      </c>
      <c r="AO6576">
        <v>0</v>
      </c>
      <c r="AP6576">
        <v>0</v>
      </c>
      <c r="AQ6576">
        <v>0</v>
      </c>
      <c r="AS6576">
        <v>0</v>
      </c>
      <c r="AT6576">
        <v>0</v>
      </c>
      <c r="AV6576">
        <v>0</v>
      </c>
      <c r="AW6576">
        <v>0</v>
      </c>
      <c r="AY6576">
        <v>0</v>
      </c>
      <c r="AZ6576">
        <v>0</v>
      </c>
      <c r="BA6576">
        <v>0</v>
      </c>
      <c r="BE6576" t="str">
        <f>T("9791137018648")</f>
        <v>9791137018648</v>
      </c>
      <c r="BF6576" t="str">
        <f>T("k244119")</f>
        <v>k244119</v>
      </c>
      <c r="BG6576" t="str">
        <f>T("판타지 웹소설 &gt; 퓨전 판타지")</f>
        <v>판타지 웹소설 &gt; 퓨전 판타지</v>
      </c>
    </row>
    <row r="6577" spans="1:59">
      <c r="A6577" t="s">
        <v>60</v>
      </c>
      <c r="B6577" s="1">
        <v>46129</v>
      </c>
      <c r="C6577">
        <v>2378069893</v>
      </c>
      <c r="D6577">
        <v>2378069912</v>
      </c>
      <c r="E6577" t="str">
        <f>T("포션빨로 씹어먹음 20화")</f>
        <v>포션빨로 씹어먹음 20화</v>
      </c>
      <c r="F6577">
        <v>20</v>
      </c>
      <c r="G6577" t="str">
        <f>T("지누아빠")</f>
        <v>지누아빠</v>
      </c>
      <c r="J6577" t="str">
        <f>T("매드햇")</f>
        <v>매드햇</v>
      </c>
      <c r="K6577" t="str">
        <f>T("포션빨로 씹어먹음")</f>
        <v>포션빨로 씹어먹음</v>
      </c>
      <c r="L6577">
        <v>0</v>
      </c>
      <c r="M6577">
        <v>0</v>
      </c>
      <c r="N6577">
        <v>0</v>
      </c>
      <c r="O6577">
        <v>1</v>
      </c>
      <c r="P6577">
        <v>0</v>
      </c>
      <c r="Q6577">
        <v>0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0</v>
      </c>
      <c r="AC6577">
        <v>0</v>
      </c>
      <c r="AD6577">
        <v>0</v>
      </c>
      <c r="AE6577">
        <v>0</v>
      </c>
      <c r="AF6577">
        <v>0</v>
      </c>
      <c r="AG6577">
        <v>0</v>
      </c>
      <c r="AH6577">
        <v>0</v>
      </c>
      <c r="AI6577">
        <v>0</v>
      </c>
      <c r="AJ6577">
        <v>1</v>
      </c>
      <c r="AK6577">
        <v>0</v>
      </c>
      <c r="AL6577">
        <v>0</v>
      </c>
      <c r="AM6577">
        <v>0</v>
      </c>
      <c r="AN6577">
        <v>0</v>
      </c>
      <c r="AO6577">
        <v>0</v>
      </c>
      <c r="AP6577">
        <v>0</v>
      </c>
      <c r="AQ6577">
        <v>0</v>
      </c>
      <c r="AS6577">
        <v>0</v>
      </c>
      <c r="AT6577">
        <v>0</v>
      </c>
      <c r="AV6577">
        <v>0</v>
      </c>
      <c r="AW6577">
        <v>0</v>
      </c>
      <c r="AY6577">
        <v>0</v>
      </c>
      <c r="AZ6577">
        <v>0</v>
      </c>
      <c r="BA6577">
        <v>0</v>
      </c>
      <c r="BE6577" t="str">
        <f>T("9791137018648")</f>
        <v>9791137018648</v>
      </c>
      <c r="BF6577" t="str">
        <f>T("k244120")</f>
        <v>k244120</v>
      </c>
      <c r="BG6577" t="str">
        <f>T("판타지 웹소설 &gt; 퓨전 판타지")</f>
        <v>판타지 웹소설 &gt; 퓨전 판타지</v>
      </c>
    </row>
    <row r="6578" spans="1:59">
      <c r="A6578" t="s">
        <v>60</v>
      </c>
      <c r="B6578" s="1">
        <v>46129</v>
      </c>
      <c r="C6578">
        <v>2378069893</v>
      </c>
      <c r="D6578">
        <v>2378069913</v>
      </c>
      <c r="E6578" t="str">
        <f>T("포션빨로 씹어먹음 21화")</f>
        <v>포션빨로 씹어먹음 21화</v>
      </c>
      <c r="F6578">
        <v>21</v>
      </c>
      <c r="G6578" t="str">
        <f>T("지누아빠")</f>
        <v>지누아빠</v>
      </c>
      <c r="J6578" t="str">
        <f>T("매드햇")</f>
        <v>매드햇</v>
      </c>
      <c r="K6578" t="str">
        <f>T("포션빨로 씹어먹음")</f>
        <v>포션빨로 씹어먹음</v>
      </c>
      <c r="L6578">
        <v>0</v>
      </c>
      <c r="M6578">
        <v>0</v>
      </c>
      <c r="N6578">
        <v>0</v>
      </c>
      <c r="O6578">
        <v>1</v>
      </c>
      <c r="P6578">
        <v>0</v>
      </c>
      <c r="Q6578">
        <v>0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0</v>
      </c>
      <c r="AC6578">
        <v>0</v>
      </c>
      <c r="AD6578">
        <v>0</v>
      </c>
      <c r="AE6578">
        <v>0</v>
      </c>
      <c r="AF6578">
        <v>0</v>
      </c>
      <c r="AG6578">
        <v>0</v>
      </c>
      <c r="AH6578">
        <v>0</v>
      </c>
      <c r="AI6578">
        <v>0</v>
      </c>
      <c r="AJ6578">
        <v>1</v>
      </c>
      <c r="AK6578">
        <v>0</v>
      </c>
      <c r="AL6578">
        <v>0</v>
      </c>
      <c r="AM6578">
        <v>0</v>
      </c>
      <c r="AN6578">
        <v>0</v>
      </c>
      <c r="AO6578">
        <v>0</v>
      </c>
      <c r="AP6578">
        <v>0</v>
      </c>
      <c r="AQ6578">
        <v>0</v>
      </c>
      <c r="AS6578">
        <v>0</v>
      </c>
      <c r="AT6578">
        <v>0</v>
      </c>
      <c r="AV6578">
        <v>0</v>
      </c>
      <c r="AW6578">
        <v>0</v>
      </c>
      <c r="AY6578">
        <v>0</v>
      </c>
      <c r="AZ6578">
        <v>0</v>
      </c>
      <c r="BA6578">
        <v>0</v>
      </c>
      <c r="BE6578" t="str">
        <f>T("9791137018648")</f>
        <v>9791137018648</v>
      </c>
      <c r="BF6578" t="str">
        <f>T("k244121")</f>
        <v>k244121</v>
      </c>
      <c r="BG6578" t="str">
        <f>T("판타지 웹소설 &gt; 퓨전 판타지")</f>
        <v>판타지 웹소설 &gt; 퓨전 판타지</v>
      </c>
    </row>
    <row r="6579" spans="1:59">
      <c r="A6579" t="s">
        <v>60</v>
      </c>
      <c r="B6579" s="1">
        <v>46129</v>
      </c>
      <c r="C6579">
        <v>2378069893</v>
      </c>
      <c r="D6579">
        <v>2378069914</v>
      </c>
      <c r="E6579" t="str">
        <f>T("포션빨로 씹어먹음 22화")</f>
        <v>포션빨로 씹어먹음 22화</v>
      </c>
      <c r="F6579">
        <v>22</v>
      </c>
      <c r="G6579" t="str">
        <f>T("지누아빠")</f>
        <v>지누아빠</v>
      </c>
      <c r="J6579" t="str">
        <f>T("매드햇")</f>
        <v>매드햇</v>
      </c>
      <c r="K6579" t="str">
        <f>T("포션빨로 씹어먹음")</f>
        <v>포션빨로 씹어먹음</v>
      </c>
      <c r="L6579">
        <v>0</v>
      </c>
      <c r="M6579">
        <v>0</v>
      </c>
      <c r="N6579">
        <v>0</v>
      </c>
      <c r="O6579">
        <v>1</v>
      </c>
      <c r="P6579">
        <v>0</v>
      </c>
      <c r="Q6579">
        <v>0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0</v>
      </c>
      <c r="AC6579">
        <v>0</v>
      </c>
      <c r="AD6579">
        <v>0</v>
      </c>
      <c r="AE6579">
        <v>0</v>
      </c>
      <c r="AF6579">
        <v>0</v>
      </c>
      <c r="AG6579">
        <v>0</v>
      </c>
      <c r="AH6579">
        <v>0</v>
      </c>
      <c r="AI6579">
        <v>0</v>
      </c>
      <c r="AJ6579">
        <v>1</v>
      </c>
      <c r="AK6579">
        <v>0</v>
      </c>
      <c r="AL6579">
        <v>0</v>
      </c>
      <c r="AM6579">
        <v>0</v>
      </c>
      <c r="AN6579">
        <v>0</v>
      </c>
      <c r="AO6579">
        <v>0</v>
      </c>
      <c r="AP6579">
        <v>0</v>
      </c>
      <c r="AQ6579">
        <v>0</v>
      </c>
      <c r="AS6579">
        <v>0</v>
      </c>
      <c r="AT6579">
        <v>0</v>
      </c>
      <c r="AV6579">
        <v>0</v>
      </c>
      <c r="AW6579">
        <v>0</v>
      </c>
      <c r="AY6579">
        <v>0</v>
      </c>
      <c r="AZ6579">
        <v>0</v>
      </c>
      <c r="BA6579">
        <v>0</v>
      </c>
      <c r="BE6579" t="str">
        <f>T("9791137018648")</f>
        <v>9791137018648</v>
      </c>
      <c r="BF6579" t="str">
        <f>T("k244122")</f>
        <v>k244122</v>
      </c>
      <c r="BG6579" t="str">
        <f>T("판타지 웹소설 &gt; 퓨전 판타지")</f>
        <v>판타지 웹소설 &gt; 퓨전 판타지</v>
      </c>
    </row>
    <row r="6580" spans="1:59">
      <c r="A6580" t="s">
        <v>60</v>
      </c>
      <c r="B6580" s="1">
        <v>46129</v>
      </c>
      <c r="C6580">
        <v>2378017134</v>
      </c>
      <c r="D6580">
        <v>2378017134</v>
      </c>
      <c r="E6580" t="str">
        <f>T("하드캐리 서포터 1화")</f>
        <v>하드캐리 서포터 1화</v>
      </c>
      <c r="F6580">
        <v>1</v>
      </c>
      <c r="G6580" t="str">
        <f>T("라포르테")</f>
        <v>라포르테</v>
      </c>
      <c r="J6580" t="str">
        <f>T("매드햇")</f>
        <v>매드햇</v>
      </c>
      <c r="K6580" t="str">
        <f>T("하드캐리 서포터")</f>
        <v>하드캐리 서포터</v>
      </c>
      <c r="L6580">
        <v>0</v>
      </c>
      <c r="M6580">
        <v>0</v>
      </c>
      <c r="N6580">
        <v>0</v>
      </c>
      <c r="O6580">
        <v>1</v>
      </c>
      <c r="P6580">
        <v>0</v>
      </c>
      <c r="Q6580">
        <v>0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0</v>
      </c>
      <c r="AC6580">
        <v>0</v>
      </c>
      <c r="AD6580">
        <v>0</v>
      </c>
      <c r="AE6580">
        <v>0</v>
      </c>
      <c r="AF6580">
        <v>0</v>
      </c>
      <c r="AG6580">
        <v>0</v>
      </c>
      <c r="AH6580">
        <v>0</v>
      </c>
      <c r="AI6580">
        <v>0</v>
      </c>
      <c r="AJ6580">
        <v>1</v>
      </c>
      <c r="AK6580">
        <v>0</v>
      </c>
      <c r="AL6580">
        <v>0</v>
      </c>
      <c r="AM6580">
        <v>0</v>
      </c>
      <c r="AN6580">
        <v>0</v>
      </c>
      <c r="AO6580">
        <v>0</v>
      </c>
      <c r="AP6580">
        <v>0</v>
      </c>
      <c r="AQ6580">
        <v>0</v>
      </c>
      <c r="AS6580">
        <v>0</v>
      </c>
      <c r="AT6580">
        <v>0</v>
      </c>
      <c r="AV6580">
        <v>0</v>
      </c>
      <c r="AW6580">
        <v>0</v>
      </c>
      <c r="AY6580">
        <v>0</v>
      </c>
      <c r="AZ6580">
        <v>0</v>
      </c>
      <c r="BA6580">
        <v>0</v>
      </c>
      <c r="BE6580" t="str">
        <f>T("9791162587775")</f>
        <v>9791162587775</v>
      </c>
      <c r="BF6580" t="str">
        <f>T("E369753")</f>
        <v>E369753</v>
      </c>
      <c r="BG6580" t="str">
        <f>T("판타지 웹소설 &gt; 현대 판타지")</f>
        <v>판타지 웹소설 &gt; 현대 판타지</v>
      </c>
    </row>
    <row r="6581" spans="1:59">
      <c r="A6581" t="s">
        <v>60</v>
      </c>
      <c r="B6581" s="1">
        <v>46129</v>
      </c>
      <c r="C6581">
        <v>2378018277</v>
      </c>
      <c r="D6581">
        <v>2378018312</v>
      </c>
      <c r="E6581" t="str">
        <f>T("한 배를 탄 사이 13화")</f>
        <v>한 배를 탄 사이 13화</v>
      </c>
      <c r="F6581">
        <v>13</v>
      </c>
      <c r="G6581" t="str">
        <f>T("서루")</f>
        <v>서루</v>
      </c>
      <c r="J6581" t="str">
        <f>T("시계토끼")</f>
        <v>시계토끼</v>
      </c>
      <c r="K6581" t="str">
        <f>T("한 배를 탄 사이")</f>
        <v>한 배를 탄 사이</v>
      </c>
      <c r="L6581">
        <v>100</v>
      </c>
      <c r="M6581">
        <v>100</v>
      </c>
      <c r="N6581">
        <v>1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0</v>
      </c>
      <c r="AC6581">
        <v>0</v>
      </c>
      <c r="AD6581">
        <v>0</v>
      </c>
      <c r="AE6581">
        <v>0</v>
      </c>
      <c r="AF6581">
        <v>0</v>
      </c>
      <c r="AG6581">
        <v>0</v>
      </c>
      <c r="AH6581">
        <v>0</v>
      </c>
      <c r="AI6581">
        <v>100</v>
      </c>
      <c r="AJ6581">
        <v>1</v>
      </c>
      <c r="AK6581">
        <v>0</v>
      </c>
      <c r="AL6581">
        <v>0</v>
      </c>
      <c r="AM6581">
        <v>100</v>
      </c>
      <c r="AN6581">
        <v>0</v>
      </c>
      <c r="AO6581">
        <v>0</v>
      </c>
      <c r="AP6581">
        <v>0</v>
      </c>
      <c r="AQ6581">
        <v>0</v>
      </c>
      <c r="AS6581">
        <v>0</v>
      </c>
      <c r="AT6581">
        <v>0</v>
      </c>
      <c r="AV6581">
        <v>0</v>
      </c>
      <c r="AW6581">
        <v>0</v>
      </c>
      <c r="AY6581">
        <v>0</v>
      </c>
      <c r="AZ6581">
        <v>0</v>
      </c>
      <c r="BA6581">
        <v>70</v>
      </c>
      <c r="BE6581" t="str">
        <f>T("9791164094684")</f>
        <v>9791164094684</v>
      </c>
      <c r="BF6581" t="str">
        <f>T("E788274")</f>
        <v>E788274</v>
      </c>
      <c r="BG6581" t="str">
        <f>T("로판 웹소설 &gt; 서양풍 로판")</f>
        <v>로판 웹소설 &gt; 서양풍 로판</v>
      </c>
    </row>
    <row r="6582" spans="1:59">
      <c r="A6582" t="s">
        <v>60</v>
      </c>
      <c r="B6582" s="1">
        <v>46129</v>
      </c>
      <c r="C6582">
        <v>2378018277</v>
      </c>
      <c r="D6582">
        <v>2378018313</v>
      </c>
      <c r="E6582" t="str">
        <f>T("한 배를 탄 사이 14화")</f>
        <v>한 배를 탄 사이 14화</v>
      </c>
      <c r="F6582">
        <v>14</v>
      </c>
      <c r="G6582" t="str">
        <f>T("서루")</f>
        <v>서루</v>
      </c>
      <c r="J6582" t="str">
        <f>T("시계토끼")</f>
        <v>시계토끼</v>
      </c>
      <c r="K6582" t="str">
        <f>T("한 배를 탄 사이")</f>
        <v>한 배를 탄 사이</v>
      </c>
      <c r="L6582">
        <v>100</v>
      </c>
      <c r="M6582">
        <v>100</v>
      </c>
      <c r="N6582">
        <v>1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0</v>
      </c>
      <c r="AC6582">
        <v>0</v>
      </c>
      <c r="AD6582">
        <v>0</v>
      </c>
      <c r="AE6582">
        <v>0</v>
      </c>
      <c r="AF6582">
        <v>0</v>
      </c>
      <c r="AG6582">
        <v>0</v>
      </c>
      <c r="AH6582">
        <v>0</v>
      </c>
      <c r="AI6582">
        <v>100</v>
      </c>
      <c r="AJ6582">
        <v>1</v>
      </c>
      <c r="AK6582">
        <v>0</v>
      </c>
      <c r="AL6582">
        <v>0</v>
      </c>
      <c r="AM6582">
        <v>100</v>
      </c>
      <c r="AN6582">
        <v>0</v>
      </c>
      <c r="AO6582">
        <v>0</v>
      </c>
      <c r="AP6582">
        <v>0</v>
      </c>
      <c r="AQ6582">
        <v>0</v>
      </c>
      <c r="AS6582">
        <v>0</v>
      </c>
      <c r="AT6582">
        <v>0</v>
      </c>
      <c r="AV6582">
        <v>0</v>
      </c>
      <c r="AW6582">
        <v>0</v>
      </c>
      <c r="AY6582">
        <v>0</v>
      </c>
      <c r="AZ6582">
        <v>0</v>
      </c>
      <c r="BA6582">
        <v>70</v>
      </c>
      <c r="BE6582" t="str">
        <f>T("9791164094684")</f>
        <v>9791164094684</v>
      </c>
      <c r="BF6582" t="str">
        <f>T("E788275")</f>
        <v>E788275</v>
      </c>
      <c r="BG6582" t="str">
        <f>T("로판 웹소설 &gt; 서양풍 로판")</f>
        <v>로판 웹소설 &gt; 서양풍 로판</v>
      </c>
    </row>
    <row r="6583" spans="1:59">
      <c r="A6583" t="s">
        <v>60</v>
      </c>
      <c r="B6583" s="1">
        <v>46129</v>
      </c>
      <c r="C6583">
        <v>2378018277</v>
      </c>
      <c r="D6583">
        <v>2378018314</v>
      </c>
      <c r="E6583" t="str">
        <f>T("한 배를 탄 사이 15화")</f>
        <v>한 배를 탄 사이 15화</v>
      </c>
      <c r="F6583">
        <v>15</v>
      </c>
      <c r="G6583" t="str">
        <f>T("서루")</f>
        <v>서루</v>
      </c>
      <c r="J6583" t="str">
        <f>T("시계토끼")</f>
        <v>시계토끼</v>
      </c>
      <c r="K6583" t="str">
        <f>T("한 배를 탄 사이")</f>
        <v>한 배를 탄 사이</v>
      </c>
      <c r="L6583">
        <v>100</v>
      </c>
      <c r="M6583">
        <v>100</v>
      </c>
      <c r="N6583">
        <v>1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0</v>
      </c>
      <c r="AC6583">
        <v>0</v>
      </c>
      <c r="AD6583">
        <v>0</v>
      </c>
      <c r="AE6583">
        <v>0</v>
      </c>
      <c r="AF6583">
        <v>0</v>
      </c>
      <c r="AG6583">
        <v>0</v>
      </c>
      <c r="AH6583">
        <v>0</v>
      </c>
      <c r="AI6583">
        <v>100</v>
      </c>
      <c r="AJ6583">
        <v>1</v>
      </c>
      <c r="AK6583">
        <v>0</v>
      </c>
      <c r="AL6583">
        <v>0</v>
      </c>
      <c r="AM6583">
        <v>100</v>
      </c>
      <c r="AN6583">
        <v>0</v>
      </c>
      <c r="AO6583">
        <v>0</v>
      </c>
      <c r="AP6583">
        <v>0</v>
      </c>
      <c r="AQ6583">
        <v>0</v>
      </c>
      <c r="AS6583">
        <v>0</v>
      </c>
      <c r="AT6583">
        <v>0</v>
      </c>
      <c r="AV6583">
        <v>0</v>
      </c>
      <c r="AW6583">
        <v>0</v>
      </c>
      <c r="AY6583">
        <v>0</v>
      </c>
      <c r="AZ6583">
        <v>0</v>
      </c>
      <c r="BA6583">
        <v>70</v>
      </c>
      <c r="BE6583" t="str">
        <f>T("9791164094684")</f>
        <v>9791164094684</v>
      </c>
      <c r="BF6583" t="str">
        <f>T("E788276")</f>
        <v>E788276</v>
      </c>
      <c r="BG6583" t="str">
        <f>T("로판 웹소설 &gt; 서양풍 로판")</f>
        <v>로판 웹소설 &gt; 서양풍 로판</v>
      </c>
    </row>
    <row r="6584" spans="1:59">
      <c r="A6584" t="s">
        <v>60</v>
      </c>
      <c r="B6584" s="1">
        <v>46129</v>
      </c>
      <c r="C6584">
        <v>2378018277</v>
      </c>
      <c r="D6584">
        <v>2378018315</v>
      </c>
      <c r="E6584" t="str">
        <f>T("한 배를 탄 사이 16화")</f>
        <v>한 배를 탄 사이 16화</v>
      </c>
      <c r="F6584">
        <v>16</v>
      </c>
      <c r="G6584" t="str">
        <f>T("서루")</f>
        <v>서루</v>
      </c>
      <c r="J6584" t="str">
        <f>T("시계토끼")</f>
        <v>시계토끼</v>
      </c>
      <c r="K6584" t="str">
        <f>T("한 배를 탄 사이")</f>
        <v>한 배를 탄 사이</v>
      </c>
      <c r="L6584">
        <v>100</v>
      </c>
      <c r="M6584">
        <v>100</v>
      </c>
      <c r="N6584">
        <v>1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0</v>
      </c>
      <c r="AC6584">
        <v>0</v>
      </c>
      <c r="AD6584">
        <v>0</v>
      </c>
      <c r="AE6584">
        <v>0</v>
      </c>
      <c r="AF6584">
        <v>0</v>
      </c>
      <c r="AG6584">
        <v>0</v>
      </c>
      <c r="AH6584">
        <v>0</v>
      </c>
      <c r="AI6584">
        <v>100</v>
      </c>
      <c r="AJ6584">
        <v>1</v>
      </c>
      <c r="AK6584">
        <v>0</v>
      </c>
      <c r="AL6584">
        <v>0</v>
      </c>
      <c r="AM6584">
        <v>100</v>
      </c>
      <c r="AN6584">
        <v>0</v>
      </c>
      <c r="AO6584">
        <v>0</v>
      </c>
      <c r="AP6584">
        <v>0</v>
      </c>
      <c r="AQ6584">
        <v>0</v>
      </c>
      <c r="AS6584">
        <v>0</v>
      </c>
      <c r="AT6584">
        <v>0</v>
      </c>
      <c r="AV6584">
        <v>0</v>
      </c>
      <c r="AW6584">
        <v>0</v>
      </c>
      <c r="AY6584">
        <v>0</v>
      </c>
      <c r="AZ6584">
        <v>0</v>
      </c>
      <c r="BA6584">
        <v>70</v>
      </c>
      <c r="BE6584" t="str">
        <f>T("9791164094684")</f>
        <v>9791164094684</v>
      </c>
      <c r="BF6584" t="str">
        <f>T("E788277")</f>
        <v>E788277</v>
      </c>
      <c r="BG6584" t="str">
        <f>T("로판 웹소설 &gt; 서양풍 로판")</f>
        <v>로판 웹소설 &gt; 서양풍 로판</v>
      </c>
    </row>
    <row r="6585" spans="1:59">
      <c r="A6585" t="s">
        <v>60</v>
      </c>
      <c r="B6585" s="1">
        <v>46129</v>
      </c>
      <c r="C6585">
        <v>2378018277</v>
      </c>
      <c r="D6585">
        <v>2378018316</v>
      </c>
      <c r="E6585" t="str">
        <f>T("한 배를 탄 사이 17화")</f>
        <v>한 배를 탄 사이 17화</v>
      </c>
      <c r="F6585">
        <v>17</v>
      </c>
      <c r="G6585" t="str">
        <f>T("서루")</f>
        <v>서루</v>
      </c>
      <c r="J6585" t="str">
        <f>T("시계토끼")</f>
        <v>시계토끼</v>
      </c>
      <c r="K6585" t="str">
        <f>T("한 배를 탄 사이")</f>
        <v>한 배를 탄 사이</v>
      </c>
      <c r="L6585">
        <v>100</v>
      </c>
      <c r="M6585">
        <v>100</v>
      </c>
      <c r="N6585">
        <v>1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0</v>
      </c>
      <c r="AC6585">
        <v>0</v>
      </c>
      <c r="AD6585">
        <v>0</v>
      </c>
      <c r="AE6585">
        <v>0</v>
      </c>
      <c r="AF6585">
        <v>0</v>
      </c>
      <c r="AG6585">
        <v>0</v>
      </c>
      <c r="AH6585">
        <v>0</v>
      </c>
      <c r="AI6585">
        <v>100</v>
      </c>
      <c r="AJ6585">
        <v>1</v>
      </c>
      <c r="AK6585">
        <v>0</v>
      </c>
      <c r="AL6585">
        <v>0</v>
      </c>
      <c r="AM6585">
        <v>100</v>
      </c>
      <c r="AN6585">
        <v>0</v>
      </c>
      <c r="AO6585">
        <v>0</v>
      </c>
      <c r="AP6585">
        <v>0</v>
      </c>
      <c r="AQ6585">
        <v>0</v>
      </c>
      <c r="AS6585">
        <v>0</v>
      </c>
      <c r="AT6585">
        <v>0</v>
      </c>
      <c r="AV6585">
        <v>0</v>
      </c>
      <c r="AW6585">
        <v>0</v>
      </c>
      <c r="AY6585">
        <v>0</v>
      </c>
      <c r="AZ6585">
        <v>0</v>
      </c>
      <c r="BA6585">
        <v>70</v>
      </c>
      <c r="BE6585" t="str">
        <f>T("9791164094684")</f>
        <v>9791164094684</v>
      </c>
      <c r="BF6585" t="str">
        <f>T("E788278")</f>
        <v>E788278</v>
      </c>
      <c r="BG6585" t="str">
        <f>T("로판 웹소설 &gt; 서양풍 로판")</f>
        <v>로판 웹소설 &gt; 서양풍 로판</v>
      </c>
    </row>
    <row r="6586" spans="1:59">
      <c r="A6586" t="s">
        <v>60</v>
      </c>
      <c r="B6586" s="1">
        <v>46129</v>
      </c>
      <c r="C6586">
        <v>2378018277</v>
      </c>
      <c r="D6586">
        <v>2378018317</v>
      </c>
      <c r="E6586" t="str">
        <f>T("한 배를 탄 사이 18화")</f>
        <v>한 배를 탄 사이 18화</v>
      </c>
      <c r="F6586">
        <v>18</v>
      </c>
      <c r="G6586" t="str">
        <f>T("서루")</f>
        <v>서루</v>
      </c>
      <c r="J6586" t="str">
        <f>T("시계토끼")</f>
        <v>시계토끼</v>
      </c>
      <c r="K6586" t="str">
        <f>T("한 배를 탄 사이")</f>
        <v>한 배를 탄 사이</v>
      </c>
      <c r="L6586">
        <v>100</v>
      </c>
      <c r="M6586">
        <v>100</v>
      </c>
      <c r="N6586">
        <v>1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0</v>
      </c>
      <c r="AE6586">
        <v>0</v>
      </c>
      <c r="AF6586">
        <v>0</v>
      </c>
      <c r="AG6586">
        <v>0</v>
      </c>
      <c r="AH6586">
        <v>0</v>
      </c>
      <c r="AI6586">
        <v>100</v>
      </c>
      <c r="AJ6586">
        <v>1</v>
      </c>
      <c r="AK6586">
        <v>0</v>
      </c>
      <c r="AL6586">
        <v>0</v>
      </c>
      <c r="AM6586">
        <v>100</v>
      </c>
      <c r="AN6586">
        <v>0</v>
      </c>
      <c r="AO6586">
        <v>0</v>
      </c>
      <c r="AP6586">
        <v>0</v>
      </c>
      <c r="AQ6586">
        <v>0</v>
      </c>
      <c r="AS6586">
        <v>0</v>
      </c>
      <c r="AT6586">
        <v>0</v>
      </c>
      <c r="AV6586">
        <v>0</v>
      </c>
      <c r="AW6586">
        <v>0</v>
      </c>
      <c r="AY6586">
        <v>0</v>
      </c>
      <c r="AZ6586">
        <v>0</v>
      </c>
      <c r="BA6586">
        <v>70</v>
      </c>
      <c r="BE6586" t="str">
        <f>T("9791164094684")</f>
        <v>9791164094684</v>
      </c>
      <c r="BF6586" t="str">
        <f>T("E788279")</f>
        <v>E788279</v>
      </c>
      <c r="BG6586" t="str">
        <f>T("로판 웹소설 &gt; 서양풍 로판")</f>
        <v>로판 웹소설 &gt; 서양풍 로판</v>
      </c>
    </row>
    <row r="6587" spans="1:59">
      <c r="A6587" t="s">
        <v>60</v>
      </c>
      <c r="B6587" s="1">
        <v>46129</v>
      </c>
      <c r="C6587">
        <v>2378018277</v>
      </c>
      <c r="D6587">
        <v>2378018318</v>
      </c>
      <c r="E6587" t="str">
        <f>T("한 배를 탄 사이 19화")</f>
        <v>한 배를 탄 사이 19화</v>
      </c>
      <c r="F6587">
        <v>19</v>
      </c>
      <c r="G6587" t="str">
        <f>T("서루")</f>
        <v>서루</v>
      </c>
      <c r="J6587" t="str">
        <f>T("시계토끼")</f>
        <v>시계토끼</v>
      </c>
      <c r="K6587" t="str">
        <f>T("한 배를 탄 사이")</f>
        <v>한 배를 탄 사이</v>
      </c>
      <c r="L6587">
        <v>100</v>
      </c>
      <c r="M6587">
        <v>100</v>
      </c>
      <c r="N6587">
        <v>1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0</v>
      </c>
      <c r="AE6587">
        <v>0</v>
      </c>
      <c r="AF6587">
        <v>0</v>
      </c>
      <c r="AG6587">
        <v>0</v>
      </c>
      <c r="AH6587">
        <v>0</v>
      </c>
      <c r="AI6587">
        <v>100</v>
      </c>
      <c r="AJ6587">
        <v>1</v>
      </c>
      <c r="AK6587">
        <v>0</v>
      </c>
      <c r="AL6587">
        <v>0</v>
      </c>
      <c r="AM6587">
        <v>100</v>
      </c>
      <c r="AN6587">
        <v>0</v>
      </c>
      <c r="AO6587">
        <v>0</v>
      </c>
      <c r="AP6587">
        <v>0</v>
      </c>
      <c r="AQ6587">
        <v>0</v>
      </c>
      <c r="AS6587">
        <v>0</v>
      </c>
      <c r="AT6587">
        <v>0</v>
      </c>
      <c r="AV6587">
        <v>0</v>
      </c>
      <c r="AW6587">
        <v>0</v>
      </c>
      <c r="AY6587">
        <v>0</v>
      </c>
      <c r="AZ6587">
        <v>0</v>
      </c>
      <c r="BA6587">
        <v>70</v>
      </c>
      <c r="BE6587" t="str">
        <f>T("9791164094684")</f>
        <v>9791164094684</v>
      </c>
      <c r="BF6587" t="str">
        <f>T("E788280")</f>
        <v>E788280</v>
      </c>
      <c r="BG6587" t="str">
        <f>T("로판 웹소설 &gt; 서양풍 로판")</f>
        <v>로판 웹소설 &gt; 서양풍 로판</v>
      </c>
    </row>
    <row r="6588" spans="1:59">
      <c r="A6588" t="s">
        <v>60</v>
      </c>
      <c r="B6588" s="1">
        <v>46129</v>
      </c>
      <c r="C6588">
        <v>2378018277</v>
      </c>
      <c r="D6588">
        <v>2378018320</v>
      </c>
      <c r="E6588" t="str">
        <f>T("한 배를 탄 사이 21화")</f>
        <v>한 배를 탄 사이 21화</v>
      </c>
      <c r="F6588">
        <v>21</v>
      </c>
      <c r="G6588" t="str">
        <f>T("서루")</f>
        <v>서루</v>
      </c>
      <c r="J6588" t="str">
        <f>T("시계토끼")</f>
        <v>시계토끼</v>
      </c>
      <c r="K6588" t="str">
        <f>T("한 배를 탄 사이")</f>
        <v>한 배를 탄 사이</v>
      </c>
      <c r="L6588">
        <v>100</v>
      </c>
      <c r="M6588">
        <v>100</v>
      </c>
      <c r="N6588">
        <v>1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0</v>
      </c>
      <c r="AE6588">
        <v>0</v>
      </c>
      <c r="AF6588">
        <v>0</v>
      </c>
      <c r="AG6588">
        <v>0</v>
      </c>
      <c r="AH6588">
        <v>0</v>
      </c>
      <c r="AI6588">
        <v>100</v>
      </c>
      <c r="AJ6588">
        <v>1</v>
      </c>
      <c r="AK6588">
        <v>0</v>
      </c>
      <c r="AL6588">
        <v>0</v>
      </c>
      <c r="AM6588">
        <v>100</v>
      </c>
      <c r="AN6588">
        <v>0</v>
      </c>
      <c r="AO6588">
        <v>0</v>
      </c>
      <c r="AP6588">
        <v>0</v>
      </c>
      <c r="AQ6588">
        <v>0</v>
      </c>
      <c r="AS6588">
        <v>0</v>
      </c>
      <c r="AT6588">
        <v>0</v>
      </c>
      <c r="AV6588">
        <v>0</v>
      </c>
      <c r="AW6588">
        <v>0</v>
      </c>
      <c r="AY6588">
        <v>0</v>
      </c>
      <c r="AZ6588">
        <v>0</v>
      </c>
      <c r="BA6588">
        <v>70</v>
      </c>
      <c r="BE6588" t="str">
        <f>T("9791164094684")</f>
        <v>9791164094684</v>
      </c>
      <c r="BF6588" t="str">
        <f>T("E788282")</f>
        <v>E788282</v>
      </c>
      <c r="BG6588" t="str">
        <f>T("로판 웹소설 &gt; 서양풍 로판")</f>
        <v>로판 웹소설 &gt; 서양풍 로판</v>
      </c>
    </row>
    <row r="6589" spans="1:59">
      <c r="A6589" t="s">
        <v>60</v>
      </c>
      <c r="B6589" s="1">
        <v>46129</v>
      </c>
      <c r="C6589">
        <v>2378018277</v>
      </c>
      <c r="D6589">
        <v>2378018321</v>
      </c>
      <c r="E6589" t="str">
        <f>T("한 배를 탄 사이 22화")</f>
        <v>한 배를 탄 사이 22화</v>
      </c>
      <c r="F6589">
        <v>22</v>
      </c>
      <c r="G6589" t="str">
        <f>T("서루")</f>
        <v>서루</v>
      </c>
      <c r="J6589" t="str">
        <f>T("시계토끼")</f>
        <v>시계토끼</v>
      </c>
      <c r="K6589" t="str">
        <f>T("한 배를 탄 사이")</f>
        <v>한 배를 탄 사이</v>
      </c>
      <c r="L6589">
        <v>100</v>
      </c>
      <c r="M6589">
        <v>100</v>
      </c>
      <c r="N6589">
        <v>1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0</v>
      </c>
      <c r="AE6589">
        <v>0</v>
      </c>
      <c r="AF6589">
        <v>0</v>
      </c>
      <c r="AG6589">
        <v>0</v>
      </c>
      <c r="AH6589">
        <v>0</v>
      </c>
      <c r="AI6589">
        <v>100</v>
      </c>
      <c r="AJ6589">
        <v>1</v>
      </c>
      <c r="AK6589">
        <v>0</v>
      </c>
      <c r="AL6589">
        <v>0</v>
      </c>
      <c r="AM6589">
        <v>100</v>
      </c>
      <c r="AN6589">
        <v>0</v>
      </c>
      <c r="AO6589">
        <v>0</v>
      </c>
      <c r="AP6589">
        <v>0</v>
      </c>
      <c r="AQ6589">
        <v>0</v>
      </c>
      <c r="AS6589">
        <v>0</v>
      </c>
      <c r="AT6589">
        <v>0</v>
      </c>
      <c r="AV6589">
        <v>0</v>
      </c>
      <c r="AW6589">
        <v>0</v>
      </c>
      <c r="AY6589">
        <v>0</v>
      </c>
      <c r="AZ6589">
        <v>0</v>
      </c>
      <c r="BA6589">
        <v>70</v>
      </c>
      <c r="BE6589" t="str">
        <f>T("9791164094684")</f>
        <v>9791164094684</v>
      </c>
      <c r="BF6589" t="str">
        <f>T("E788283")</f>
        <v>E788283</v>
      </c>
      <c r="BG6589" t="str">
        <f>T("로판 웹소설 &gt; 서양풍 로판")</f>
        <v>로판 웹소설 &gt; 서양풍 로판</v>
      </c>
    </row>
    <row r="6590" spans="1:59">
      <c r="A6590" t="s">
        <v>60</v>
      </c>
      <c r="B6590" s="1">
        <v>46129</v>
      </c>
      <c r="C6590">
        <v>2378018277</v>
      </c>
      <c r="D6590">
        <v>2378018322</v>
      </c>
      <c r="E6590" t="str">
        <f>T("한 배를 탄 사이 23화")</f>
        <v>한 배를 탄 사이 23화</v>
      </c>
      <c r="F6590">
        <v>23</v>
      </c>
      <c r="G6590" t="str">
        <f>T("서루")</f>
        <v>서루</v>
      </c>
      <c r="J6590" t="str">
        <f>T("시계토끼")</f>
        <v>시계토끼</v>
      </c>
      <c r="K6590" t="str">
        <f>T("한 배를 탄 사이")</f>
        <v>한 배를 탄 사이</v>
      </c>
      <c r="L6590">
        <v>100</v>
      </c>
      <c r="M6590">
        <v>100</v>
      </c>
      <c r="N6590">
        <v>1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0</v>
      </c>
      <c r="AE6590">
        <v>0</v>
      </c>
      <c r="AF6590">
        <v>0</v>
      </c>
      <c r="AG6590">
        <v>0</v>
      </c>
      <c r="AH6590">
        <v>0</v>
      </c>
      <c r="AI6590">
        <v>100</v>
      </c>
      <c r="AJ6590">
        <v>1</v>
      </c>
      <c r="AK6590">
        <v>0</v>
      </c>
      <c r="AL6590">
        <v>0</v>
      </c>
      <c r="AM6590">
        <v>100</v>
      </c>
      <c r="AN6590">
        <v>0</v>
      </c>
      <c r="AO6590">
        <v>0</v>
      </c>
      <c r="AP6590">
        <v>0</v>
      </c>
      <c r="AQ6590">
        <v>0</v>
      </c>
      <c r="AS6590">
        <v>0</v>
      </c>
      <c r="AT6590">
        <v>0</v>
      </c>
      <c r="AV6590">
        <v>0</v>
      </c>
      <c r="AW6590">
        <v>0</v>
      </c>
      <c r="AY6590">
        <v>0</v>
      </c>
      <c r="AZ6590">
        <v>0</v>
      </c>
      <c r="BA6590">
        <v>70</v>
      </c>
      <c r="BE6590" t="str">
        <f>T("9791164094684")</f>
        <v>9791164094684</v>
      </c>
      <c r="BF6590" t="str">
        <f>T("E788284")</f>
        <v>E788284</v>
      </c>
      <c r="BG6590" t="str">
        <f>T("로판 웹소설 &gt; 서양풍 로판")</f>
        <v>로판 웹소설 &gt; 서양풍 로판</v>
      </c>
    </row>
    <row r="6591" spans="1:59">
      <c r="A6591" t="s">
        <v>60</v>
      </c>
      <c r="B6591" s="1">
        <v>46129</v>
      </c>
      <c r="C6591">
        <v>2378018277</v>
      </c>
      <c r="D6591">
        <v>2378018323</v>
      </c>
      <c r="E6591" t="str">
        <f>T("한 배를 탄 사이 24화")</f>
        <v>한 배를 탄 사이 24화</v>
      </c>
      <c r="F6591">
        <v>24</v>
      </c>
      <c r="G6591" t="str">
        <f>T("서루")</f>
        <v>서루</v>
      </c>
      <c r="J6591" t="str">
        <f>T("시계토끼")</f>
        <v>시계토끼</v>
      </c>
      <c r="K6591" t="str">
        <f>T("한 배를 탄 사이")</f>
        <v>한 배를 탄 사이</v>
      </c>
      <c r="L6591">
        <v>100</v>
      </c>
      <c r="M6591">
        <v>100</v>
      </c>
      <c r="N6591">
        <v>1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0</v>
      </c>
      <c r="AE6591">
        <v>0</v>
      </c>
      <c r="AF6591">
        <v>0</v>
      </c>
      <c r="AG6591">
        <v>0</v>
      </c>
      <c r="AH6591">
        <v>0</v>
      </c>
      <c r="AI6591">
        <v>100</v>
      </c>
      <c r="AJ6591">
        <v>1</v>
      </c>
      <c r="AK6591">
        <v>0</v>
      </c>
      <c r="AL6591">
        <v>0</v>
      </c>
      <c r="AM6591">
        <v>100</v>
      </c>
      <c r="AN6591">
        <v>0</v>
      </c>
      <c r="AO6591">
        <v>0</v>
      </c>
      <c r="AP6591">
        <v>0</v>
      </c>
      <c r="AQ6591">
        <v>0</v>
      </c>
      <c r="AS6591">
        <v>0</v>
      </c>
      <c r="AT6591">
        <v>0</v>
      </c>
      <c r="AV6591">
        <v>0</v>
      </c>
      <c r="AW6591">
        <v>0</v>
      </c>
      <c r="AY6591">
        <v>0</v>
      </c>
      <c r="AZ6591">
        <v>0</v>
      </c>
      <c r="BA6591">
        <v>70</v>
      </c>
      <c r="BE6591" t="str">
        <f>T("9791164094684")</f>
        <v>9791164094684</v>
      </c>
      <c r="BF6591" t="str">
        <f>T("E788285")</f>
        <v>E788285</v>
      </c>
      <c r="BG6591" t="str">
        <f>T("로판 웹소설 &gt; 서양풍 로판")</f>
        <v>로판 웹소설 &gt; 서양풍 로판</v>
      </c>
    </row>
    <row r="6592" spans="1:59">
      <c r="A6592" t="s">
        <v>60</v>
      </c>
      <c r="B6592" s="1">
        <v>46129</v>
      </c>
      <c r="C6592">
        <v>2378018277</v>
      </c>
      <c r="D6592">
        <v>2378018324</v>
      </c>
      <c r="E6592" t="str">
        <f>T("한 배를 탄 사이 25화")</f>
        <v>한 배를 탄 사이 25화</v>
      </c>
      <c r="F6592">
        <v>25</v>
      </c>
      <c r="G6592" t="str">
        <f>T("서루")</f>
        <v>서루</v>
      </c>
      <c r="J6592" t="str">
        <f>T("시계토끼")</f>
        <v>시계토끼</v>
      </c>
      <c r="K6592" t="str">
        <f>T("한 배를 탄 사이")</f>
        <v>한 배를 탄 사이</v>
      </c>
      <c r="L6592">
        <v>100</v>
      </c>
      <c r="M6592">
        <v>100</v>
      </c>
      <c r="N6592">
        <v>1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0</v>
      </c>
      <c r="AE6592">
        <v>0</v>
      </c>
      <c r="AF6592">
        <v>0</v>
      </c>
      <c r="AG6592">
        <v>0</v>
      </c>
      <c r="AH6592">
        <v>0</v>
      </c>
      <c r="AI6592">
        <v>100</v>
      </c>
      <c r="AJ6592">
        <v>1</v>
      </c>
      <c r="AK6592">
        <v>0</v>
      </c>
      <c r="AL6592">
        <v>0</v>
      </c>
      <c r="AM6592">
        <v>100</v>
      </c>
      <c r="AN6592">
        <v>0</v>
      </c>
      <c r="AO6592">
        <v>0</v>
      </c>
      <c r="AP6592">
        <v>0</v>
      </c>
      <c r="AQ6592">
        <v>0</v>
      </c>
      <c r="AS6592">
        <v>0</v>
      </c>
      <c r="AT6592">
        <v>0</v>
      </c>
      <c r="AV6592">
        <v>0</v>
      </c>
      <c r="AW6592">
        <v>0</v>
      </c>
      <c r="AY6592">
        <v>0</v>
      </c>
      <c r="AZ6592">
        <v>0</v>
      </c>
      <c r="BA6592">
        <v>70</v>
      </c>
      <c r="BE6592" t="str">
        <f>T("9791164094684")</f>
        <v>9791164094684</v>
      </c>
      <c r="BF6592" t="str">
        <f>T("E788286")</f>
        <v>E788286</v>
      </c>
      <c r="BG6592" t="str">
        <f>T("로판 웹소설 &gt; 서양풍 로판")</f>
        <v>로판 웹소설 &gt; 서양풍 로판</v>
      </c>
    </row>
    <row r="6593" spans="1:59">
      <c r="A6593" t="s">
        <v>60</v>
      </c>
      <c r="B6593" s="1">
        <v>46129</v>
      </c>
      <c r="C6593">
        <v>2378018277</v>
      </c>
      <c r="D6593">
        <v>2378018325</v>
      </c>
      <c r="E6593" t="str">
        <f>T("한 배를 탄 사이 26화")</f>
        <v>한 배를 탄 사이 26화</v>
      </c>
      <c r="F6593">
        <v>26</v>
      </c>
      <c r="G6593" t="str">
        <f>T("서루")</f>
        <v>서루</v>
      </c>
      <c r="J6593" t="str">
        <f>T("시계토끼")</f>
        <v>시계토끼</v>
      </c>
      <c r="K6593" t="str">
        <f>T("한 배를 탄 사이")</f>
        <v>한 배를 탄 사이</v>
      </c>
      <c r="L6593">
        <v>100</v>
      </c>
      <c r="M6593">
        <v>100</v>
      </c>
      <c r="N6593">
        <v>1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0</v>
      </c>
      <c r="AE6593">
        <v>0</v>
      </c>
      <c r="AF6593">
        <v>0</v>
      </c>
      <c r="AG6593">
        <v>0</v>
      </c>
      <c r="AH6593">
        <v>0</v>
      </c>
      <c r="AI6593">
        <v>100</v>
      </c>
      <c r="AJ6593">
        <v>1</v>
      </c>
      <c r="AK6593">
        <v>0</v>
      </c>
      <c r="AL6593">
        <v>0</v>
      </c>
      <c r="AM6593">
        <v>100</v>
      </c>
      <c r="AN6593">
        <v>0</v>
      </c>
      <c r="AO6593">
        <v>0</v>
      </c>
      <c r="AP6593">
        <v>0</v>
      </c>
      <c r="AQ6593">
        <v>0</v>
      </c>
      <c r="AS6593">
        <v>0</v>
      </c>
      <c r="AT6593">
        <v>0</v>
      </c>
      <c r="AV6593">
        <v>0</v>
      </c>
      <c r="AW6593">
        <v>0</v>
      </c>
      <c r="AY6593">
        <v>0</v>
      </c>
      <c r="AZ6593">
        <v>0</v>
      </c>
      <c r="BA6593">
        <v>70</v>
      </c>
      <c r="BE6593" t="str">
        <f>T("9791164094684")</f>
        <v>9791164094684</v>
      </c>
      <c r="BF6593" t="str">
        <f>T("E788287")</f>
        <v>E788287</v>
      </c>
      <c r="BG6593" t="str">
        <f>T("로판 웹소설 &gt; 서양풍 로판")</f>
        <v>로판 웹소설 &gt; 서양풍 로판</v>
      </c>
    </row>
    <row r="6594" spans="1:59">
      <c r="A6594" t="s">
        <v>60</v>
      </c>
      <c r="B6594" s="1">
        <v>46129</v>
      </c>
      <c r="C6594">
        <v>2378018277</v>
      </c>
      <c r="D6594">
        <v>2378018326</v>
      </c>
      <c r="E6594" t="str">
        <f>T("한 배를 탄 사이 27화")</f>
        <v>한 배를 탄 사이 27화</v>
      </c>
      <c r="F6594">
        <v>27</v>
      </c>
      <c r="G6594" t="str">
        <f>T("서루")</f>
        <v>서루</v>
      </c>
      <c r="J6594" t="str">
        <f>T("시계토끼")</f>
        <v>시계토끼</v>
      </c>
      <c r="K6594" t="str">
        <f>T("한 배를 탄 사이")</f>
        <v>한 배를 탄 사이</v>
      </c>
      <c r="L6594">
        <v>100</v>
      </c>
      <c r="M6594">
        <v>100</v>
      </c>
      <c r="N6594">
        <v>1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0</v>
      </c>
      <c r="AE6594">
        <v>0</v>
      </c>
      <c r="AF6594">
        <v>0</v>
      </c>
      <c r="AG6594">
        <v>0</v>
      </c>
      <c r="AH6594">
        <v>0</v>
      </c>
      <c r="AI6594">
        <v>100</v>
      </c>
      <c r="AJ6594">
        <v>1</v>
      </c>
      <c r="AK6594">
        <v>0</v>
      </c>
      <c r="AL6594">
        <v>0</v>
      </c>
      <c r="AM6594">
        <v>100</v>
      </c>
      <c r="AN6594">
        <v>0</v>
      </c>
      <c r="AO6594">
        <v>0</v>
      </c>
      <c r="AP6594">
        <v>0</v>
      </c>
      <c r="AQ6594">
        <v>0</v>
      </c>
      <c r="AS6594">
        <v>0</v>
      </c>
      <c r="AT6594">
        <v>0</v>
      </c>
      <c r="AV6594">
        <v>0</v>
      </c>
      <c r="AW6594">
        <v>0</v>
      </c>
      <c r="AY6594">
        <v>0</v>
      </c>
      <c r="AZ6594">
        <v>0</v>
      </c>
      <c r="BA6594">
        <v>70</v>
      </c>
      <c r="BE6594" t="str">
        <f>T("9791164094684")</f>
        <v>9791164094684</v>
      </c>
      <c r="BF6594" t="str">
        <f>T("E788288")</f>
        <v>E788288</v>
      </c>
      <c r="BG6594" t="str">
        <f>T("로판 웹소설 &gt; 서양풍 로판")</f>
        <v>로판 웹소설 &gt; 서양풍 로판</v>
      </c>
    </row>
    <row r="6595" spans="1:59">
      <c r="A6595" t="s">
        <v>60</v>
      </c>
      <c r="B6595" s="1">
        <v>46130</v>
      </c>
      <c r="C6595">
        <v>2378018277</v>
      </c>
      <c r="D6595">
        <v>2378018327</v>
      </c>
      <c r="E6595" t="str">
        <f>T("한 배를 탄 사이 28화")</f>
        <v>한 배를 탄 사이 28화</v>
      </c>
      <c r="F6595">
        <v>28</v>
      </c>
      <c r="G6595" t="str">
        <f>T("서루")</f>
        <v>서루</v>
      </c>
      <c r="J6595" t="str">
        <f>T("시계토끼")</f>
        <v>시계토끼</v>
      </c>
      <c r="K6595" t="str">
        <f>T("한 배를 탄 사이")</f>
        <v>한 배를 탄 사이</v>
      </c>
      <c r="L6595">
        <v>100</v>
      </c>
      <c r="M6595">
        <v>100</v>
      </c>
      <c r="N6595">
        <v>1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0</v>
      </c>
      <c r="AE6595">
        <v>0</v>
      </c>
      <c r="AF6595">
        <v>0</v>
      </c>
      <c r="AG6595">
        <v>0</v>
      </c>
      <c r="AH6595">
        <v>0</v>
      </c>
      <c r="AI6595">
        <v>100</v>
      </c>
      <c r="AJ6595">
        <v>1</v>
      </c>
      <c r="AK6595">
        <v>0</v>
      </c>
      <c r="AL6595">
        <v>0</v>
      </c>
      <c r="AM6595">
        <v>100</v>
      </c>
      <c r="AN6595">
        <v>0</v>
      </c>
      <c r="AO6595">
        <v>0</v>
      </c>
      <c r="AP6595">
        <v>0</v>
      </c>
      <c r="AQ6595">
        <v>0</v>
      </c>
      <c r="AS6595">
        <v>0</v>
      </c>
      <c r="AT6595">
        <v>0</v>
      </c>
      <c r="AV6595">
        <v>0</v>
      </c>
      <c r="AW6595">
        <v>0</v>
      </c>
      <c r="AY6595">
        <v>0</v>
      </c>
      <c r="AZ6595">
        <v>0</v>
      </c>
      <c r="BA6595">
        <v>70</v>
      </c>
      <c r="BE6595" t="str">
        <f>T("9791164094684")</f>
        <v>9791164094684</v>
      </c>
      <c r="BF6595" t="str">
        <f>T("E788289")</f>
        <v>E788289</v>
      </c>
      <c r="BG6595" t="str">
        <f>T("로판 웹소설 &gt; 서양풍 로판")</f>
        <v>로판 웹소설 &gt; 서양풍 로판</v>
      </c>
    </row>
    <row r="6596" spans="1:59">
      <c r="A6596" t="s">
        <v>60</v>
      </c>
      <c r="B6596" s="1">
        <v>46130</v>
      </c>
      <c r="C6596">
        <v>2378018277</v>
      </c>
      <c r="D6596">
        <v>2378018328</v>
      </c>
      <c r="E6596" t="str">
        <f>T("한 배를 탄 사이 29화")</f>
        <v>한 배를 탄 사이 29화</v>
      </c>
      <c r="F6596">
        <v>29</v>
      </c>
      <c r="G6596" t="str">
        <f>T("서루")</f>
        <v>서루</v>
      </c>
      <c r="J6596" t="str">
        <f>T("시계토끼")</f>
        <v>시계토끼</v>
      </c>
      <c r="K6596" t="str">
        <f>T("한 배를 탄 사이")</f>
        <v>한 배를 탄 사이</v>
      </c>
      <c r="L6596">
        <v>100</v>
      </c>
      <c r="M6596">
        <v>100</v>
      </c>
      <c r="N6596">
        <v>1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0</v>
      </c>
      <c r="AE6596">
        <v>0</v>
      </c>
      <c r="AF6596">
        <v>0</v>
      </c>
      <c r="AG6596">
        <v>0</v>
      </c>
      <c r="AH6596">
        <v>0</v>
      </c>
      <c r="AI6596">
        <v>100</v>
      </c>
      <c r="AJ6596">
        <v>1</v>
      </c>
      <c r="AK6596">
        <v>0</v>
      </c>
      <c r="AL6596">
        <v>0</v>
      </c>
      <c r="AM6596">
        <v>100</v>
      </c>
      <c r="AN6596">
        <v>0</v>
      </c>
      <c r="AO6596">
        <v>0</v>
      </c>
      <c r="AP6596">
        <v>0</v>
      </c>
      <c r="AQ6596">
        <v>0</v>
      </c>
      <c r="AS6596">
        <v>0</v>
      </c>
      <c r="AT6596">
        <v>0</v>
      </c>
      <c r="AV6596">
        <v>0</v>
      </c>
      <c r="AW6596">
        <v>0</v>
      </c>
      <c r="AY6596">
        <v>0</v>
      </c>
      <c r="AZ6596">
        <v>0</v>
      </c>
      <c r="BA6596">
        <v>70</v>
      </c>
      <c r="BE6596" t="str">
        <f>T("9791164094684")</f>
        <v>9791164094684</v>
      </c>
      <c r="BF6596" t="str">
        <f>T("E788290")</f>
        <v>E788290</v>
      </c>
      <c r="BG6596" t="str">
        <f>T("로판 웹소설 &gt; 서양풍 로판")</f>
        <v>로판 웹소설 &gt; 서양풍 로판</v>
      </c>
    </row>
    <row r="6597" spans="1:59">
      <c r="A6597" t="s">
        <v>60</v>
      </c>
      <c r="B6597" s="1">
        <v>46130</v>
      </c>
      <c r="C6597">
        <v>2378018277</v>
      </c>
      <c r="D6597">
        <v>2378018338</v>
      </c>
      <c r="E6597" t="str">
        <f>T("한 배를 탄 사이 39화")</f>
        <v>한 배를 탄 사이 39화</v>
      </c>
      <c r="F6597">
        <v>39</v>
      </c>
      <c r="G6597" t="str">
        <f>T("서루")</f>
        <v>서루</v>
      </c>
      <c r="J6597" t="str">
        <f>T("시계토끼")</f>
        <v>시계토끼</v>
      </c>
      <c r="K6597" t="str">
        <f>T("한 배를 탄 사이")</f>
        <v>한 배를 탄 사이</v>
      </c>
      <c r="L6597">
        <v>100</v>
      </c>
      <c r="M6597">
        <v>100</v>
      </c>
      <c r="N6597">
        <v>1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0</v>
      </c>
      <c r="AE6597">
        <v>0</v>
      </c>
      <c r="AF6597">
        <v>0</v>
      </c>
      <c r="AG6597">
        <v>0</v>
      </c>
      <c r="AH6597">
        <v>0</v>
      </c>
      <c r="AI6597">
        <v>100</v>
      </c>
      <c r="AJ6597">
        <v>1</v>
      </c>
      <c r="AK6597">
        <v>0</v>
      </c>
      <c r="AL6597">
        <v>0</v>
      </c>
      <c r="AM6597">
        <v>100</v>
      </c>
      <c r="AN6597">
        <v>0</v>
      </c>
      <c r="AO6597">
        <v>0</v>
      </c>
      <c r="AP6597">
        <v>0</v>
      </c>
      <c r="AQ6597">
        <v>0</v>
      </c>
      <c r="AS6597">
        <v>0</v>
      </c>
      <c r="AT6597">
        <v>0</v>
      </c>
      <c r="AV6597">
        <v>0</v>
      </c>
      <c r="AW6597">
        <v>0</v>
      </c>
      <c r="AY6597">
        <v>0</v>
      </c>
      <c r="AZ6597">
        <v>0</v>
      </c>
      <c r="BA6597">
        <v>70</v>
      </c>
      <c r="BE6597" t="str">
        <f>T("9791164094684")</f>
        <v>9791164094684</v>
      </c>
      <c r="BF6597" t="str">
        <f>T("E788300")</f>
        <v>E788300</v>
      </c>
      <c r="BG6597" t="str">
        <f>T("로판 웹소설 &gt; 서양풍 로판")</f>
        <v>로판 웹소설 &gt; 서양풍 로판</v>
      </c>
    </row>
    <row r="6598" spans="1:59">
      <c r="A6598" t="s">
        <v>60</v>
      </c>
      <c r="B6598" s="1">
        <v>46130</v>
      </c>
      <c r="C6598">
        <v>2378018277</v>
      </c>
      <c r="D6598">
        <v>2378018339</v>
      </c>
      <c r="E6598" t="str">
        <f>T("한 배를 탄 사이 40화")</f>
        <v>한 배를 탄 사이 40화</v>
      </c>
      <c r="F6598">
        <v>40</v>
      </c>
      <c r="G6598" t="str">
        <f>T("서루")</f>
        <v>서루</v>
      </c>
      <c r="J6598" t="str">
        <f>T("시계토끼")</f>
        <v>시계토끼</v>
      </c>
      <c r="K6598" t="str">
        <f>T("한 배를 탄 사이")</f>
        <v>한 배를 탄 사이</v>
      </c>
      <c r="L6598">
        <v>100</v>
      </c>
      <c r="M6598">
        <v>100</v>
      </c>
      <c r="N6598">
        <v>1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0</v>
      </c>
      <c r="AE6598">
        <v>0</v>
      </c>
      <c r="AF6598">
        <v>0</v>
      </c>
      <c r="AG6598">
        <v>0</v>
      </c>
      <c r="AH6598">
        <v>0</v>
      </c>
      <c r="AI6598">
        <v>100</v>
      </c>
      <c r="AJ6598">
        <v>1</v>
      </c>
      <c r="AK6598">
        <v>0</v>
      </c>
      <c r="AL6598">
        <v>0</v>
      </c>
      <c r="AM6598">
        <v>100</v>
      </c>
      <c r="AN6598">
        <v>0</v>
      </c>
      <c r="AO6598">
        <v>0</v>
      </c>
      <c r="AP6598">
        <v>0</v>
      </c>
      <c r="AQ6598">
        <v>0</v>
      </c>
      <c r="AS6598">
        <v>0</v>
      </c>
      <c r="AT6598">
        <v>0</v>
      </c>
      <c r="AV6598">
        <v>0</v>
      </c>
      <c r="AW6598">
        <v>0</v>
      </c>
      <c r="AY6598">
        <v>0</v>
      </c>
      <c r="AZ6598">
        <v>0</v>
      </c>
      <c r="BA6598">
        <v>70</v>
      </c>
      <c r="BE6598" t="str">
        <f>T("9791164094684")</f>
        <v>9791164094684</v>
      </c>
      <c r="BF6598" t="str">
        <f>T("E788301")</f>
        <v>E788301</v>
      </c>
      <c r="BG6598" t="str">
        <f>T("로판 웹소설 &gt; 서양풍 로판")</f>
        <v>로판 웹소설 &gt; 서양풍 로판</v>
      </c>
    </row>
    <row r="6599" spans="1:59">
      <c r="A6599" t="s">
        <v>60</v>
      </c>
      <c r="B6599" s="1">
        <v>46130</v>
      </c>
      <c r="C6599">
        <v>2378018277</v>
      </c>
      <c r="D6599">
        <v>2378018340</v>
      </c>
      <c r="E6599" t="str">
        <f>T("한 배를 탄 사이 41화")</f>
        <v>한 배를 탄 사이 41화</v>
      </c>
      <c r="F6599">
        <v>41</v>
      </c>
      <c r="G6599" t="str">
        <f>T("서루")</f>
        <v>서루</v>
      </c>
      <c r="J6599" t="str">
        <f>T("시계토끼")</f>
        <v>시계토끼</v>
      </c>
      <c r="K6599" t="str">
        <f>T("한 배를 탄 사이")</f>
        <v>한 배를 탄 사이</v>
      </c>
      <c r="L6599">
        <v>100</v>
      </c>
      <c r="M6599">
        <v>100</v>
      </c>
      <c r="N6599">
        <v>1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0</v>
      </c>
      <c r="AE6599">
        <v>0</v>
      </c>
      <c r="AF6599">
        <v>0</v>
      </c>
      <c r="AG6599">
        <v>0</v>
      </c>
      <c r="AH6599">
        <v>0</v>
      </c>
      <c r="AI6599">
        <v>100</v>
      </c>
      <c r="AJ6599">
        <v>1</v>
      </c>
      <c r="AK6599">
        <v>0</v>
      </c>
      <c r="AL6599">
        <v>0</v>
      </c>
      <c r="AM6599">
        <v>100</v>
      </c>
      <c r="AN6599">
        <v>0</v>
      </c>
      <c r="AO6599">
        <v>0</v>
      </c>
      <c r="AP6599">
        <v>0</v>
      </c>
      <c r="AQ6599">
        <v>0</v>
      </c>
      <c r="AS6599">
        <v>0</v>
      </c>
      <c r="AT6599">
        <v>0</v>
      </c>
      <c r="AV6599">
        <v>0</v>
      </c>
      <c r="AW6599">
        <v>0</v>
      </c>
      <c r="AY6599">
        <v>0</v>
      </c>
      <c r="AZ6599">
        <v>0</v>
      </c>
      <c r="BA6599">
        <v>70</v>
      </c>
      <c r="BE6599" t="str">
        <f>T("9791164094684")</f>
        <v>9791164094684</v>
      </c>
      <c r="BF6599" t="str">
        <f>T("E788302")</f>
        <v>E788302</v>
      </c>
      <c r="BG6599" t="str">
        <f>T("로판 웹소설 &gt; 서양풍 로판")</f>
        <v>로판 웹소설 &gt; 서양풍 로판</v>
      </c>
    </row>
    <row r="6600" spans="1:59">
      <c r="A6600" t="s">
        <v>60</v>
      </c>
      <c r="B6600" s="1">
        <v>46130</v>
      </c>
      <c r="C6600">
        <v>2378018277</v>
      </c>
      <c r="D6600">
        <v>2378018341</v>
      </c>
      <c r="E6600" t="str">
        <f>T("한 배를 탄 사이 42화")</f>
        <v>한 배를 탄 사이 42화</v>
      </c>
      <c r="F6600">
        <v>42</v>
      </c>
      <c r="G6600" t="str">
        <f>T("서루")</f>
        <v>서루</v>
      </c>
      <c r="J6600" t="str">
        <f>T("시계토끼")</f>
        <v>시계토끼</v>
      </c>
      <c r="K6600" t="str">
        <f>T("한 배를 탄 사이")</f>
        <v>한 배를 탄 사이</v>
      </c>
      <c r="L6600">
        <v>100</v>
      </c>
      <c r="M6600">
        <v>100</v>
      </c>
      <c r="N6600">
        <v>1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0</v>
      </c>
      <c r="AE6600">
        <v>0</v>
      </c>
      <c r="AF6600">
        <v>0</v>
      </c>
      <c r="AG6600">
        <v>0</v>
      </c>
      <c r="AH6600">
        <v>0</v>
      </c>
      <c r="AI6600">
        <v>100</v>
      </c>
      <c r="AJ6600">
        <v>1</v>
      </c>
      <c r="AK6600">
        <v>0</v>
      </c>
      <c r="AL6600">
        <v>0</v>
      </c>
      <c r="AM6600">
        <v>100</v>
      </c>
      <c r="AN6600">
        <v>0</v>
      </c>
      <c r="AO6600">
        <v>0</v>
      </c>
      <c r="AP6600">
        <v>0</v>
      </c>
      <c r="AQ6600">
        <v>0</v>
      </c>
      <c r="AS6600">
        <v>0</v>
      </c>
      <c r="AT6600">
        <v>0</v>
      </c>
      <c r="AV6600">
        <v>0</v>
      </c>
      <c r="AW6600">
        <v>0</v>
      </c>
      <c r="AY6600">
        <v>0</v>
      </c>
      <c r="AZ6600">
        <v>0</v>
      </c>
      <c r="BA6600">
        <v>70</v>
      </c>
      <c r="BE6600" t="str">
        <f>T("9791164094684")</f>
        <v>9791164094684</v>
      </c>
      <c r="BF6600" t="str">
        <f>T("E788303")</f>
        <v>E788303</v>
      </c>
      <c r="BG6600" t="str">
        <f>T("로판 웹소설 &gt; 서양풍 로판")</f>
        <v>로판 웹소설 &gt; 서양풍 로판</v>
      </c>
    </row>
    <row r="6601" spans="1:59">
      <c r="A6601" t="s">
        <v>60</v>
      </c>
      <c r="B6601" s="1">
        <v>46130</v>
      </c>
      <c r="C6601">
        <v>2378018277</v>
      </c>
      <c r="D6601">
        <v>2378018342</v>
      </c>
      <c r="E6601" t="str">
        <f>T("한 배를 탄 사이 43화")</f>
        <v>한 배를 탄 사이 43화</v>
      </c>
      <c r="F6601">
        <v>43</v>
      </c>
      <c r="G6601" t="str">
        <f>T("서루")</f>
        <v>서루</v>
      </c>
      <c r="J6601" t="str">
        <f>T("시계토끼")</f>
        <v>시계토끼</v>
      </c>
      <c r="K6601" t="str">
        <f>T("한 배를 탄 사이")</f>
        <v>한 배를 탄 사이</v>
      </c>
      <c r="L6601">
        <v>100</v>
      </c>
      <c r="M6601">
        <v>100</v>
      </c>
      <c r="N6601">
        <v>1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0</v>
      </c>
      <c r="AE6601">
        <v>0</v>
      </c>
      <c r="AF6601">
        <v>0</v>
      </c>
      <c r="AG6601">
        <v>0</v>
      </c>
      <c r="AH6601">
        <v>0</v>
      </c>
      <c r="AI6601">
        <v>100</v>
      </c>
      <c r="AJ6601">
        <v>1</v>
      </c>
      <c r="AK6601">
        <v>0</v>
      </c>
      <c r="AL6601">
        <v>0</v>
      </c>
      <c r="AM6601">
        <v>100</v>
      </c>
      <c r="AN6601">
        <v>0</v>
      </c>
      <c r="AO6601">
        <v>0</v>
      </c>
      <c r="AP6601">
        <v>0</v>
      </c>
      <c r="AQ6601">
        <v>0</v>
      </c>
      <c r="AS6601">
        <v>0</v>
      </c>
      <c r="AT6601">
        <v>0</v>
      </c>
      <c r="AV6601">
        <v>0</v>
      </c>
      <c r="AW6601">
        <v>0</v>
      </c>
      <c r="AY6601">
        <v>0</v>
      </c>
      <c r="AZ6601">
        <v>0</v>
      </c>
      <c r="BA6601">
        <v>70</v>
      </c>
      <c r="BE6601" t="str">
        <f>T("9791164094684")</f>
        <v>9791164094684</v>
      </c>
      <c r="BF6601" t="str">
        <f>T("E788304")</f>
        <v>E788304</v>
      </c>
      <c r="BG6601" t="str">
        <f>T("로판 웹소설 &gt; 서양풍 로판")</f>
        <v>로판 웹소설 &gt; 서양풍 로판</v>
      </c>
    </row>
    <row r="6602" spans="1:59">
      <c r="A6602" t="s">
        <v>60</v>
      </c>
      <c r="B6602" s="1">
        <v>46130</v>
      </c>
      <c r="C6602">
        <v>2378018277</v>
      </c>
      <c r="D6602">
        <v>2378018344</v>
      </c>
      <c r="E6602" t="str">
        <f>T("한 배를 탄 사이 45화")</f>
        <v>한 배를 탄 사이 45화</v>
      </c>
      <c r="F6602">
        <v>45</v>
      </c>
      <c r="G6602" t="str">
        <f>T("서루")</f>
        <v>서루</v>
      </c>
      <c r="J6602" t="str">
        <f>T("시계토끼")</f>
        <v>시계토끼</v>
      </c>
      <c r="K6602" t="str">
        <f>T("한 배를 탄 사이")</f>
        <v>한 배를 탄 사이</v>
      </c>
      <c r="L6602">
        <v>100</v>
      </c>
      <c r="M6602">
        <v>100</v>
      </c>
      <c r="N6602">
        <v>1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0</v>
      </c>
      <c r="AE6602">
        <v>0</v>
      </c>
      <c r="AF6602">
        <v>0</v>
      </c>
      <c r="AG6602">
        <v>0</v>
      </c>
      <c r="AH6602">
        <v>0</v>
      </c>
      <c r="AI6602">
        <v>100</v>
      </c>
      <c r="AJ6602">
        <v>1</v>
      </c>
      <c r="AK6602">
        <v>0</v>
      </c>
      <c r="AL6602">
        <v>0</v>
      </c>
      <c r="AM6602">
        <v>100</v>
      </c>
      <c r="AN6602">
        <v>0</v>
      </c>
      <c r="AO6602">
        <v>0</v>
      </c>
      <c r="AP6602">
        <v>0</v>
      </c>
      <c r="AQ6602">
        <v>0</v>
      </c>
      <c r="AS6602">
        <v>0</v>
      </c>
      <c r="AT6602">
        <v>0</v>
      </c>
      <c r="AV6602">
        <v>0</v>
      </c>
      <c r="AW6602">
        <v>0</v>
      </c>
      <c r="AY6602">
        <v>0</v>
      </c>
      <c r="AZ6602">
        <v>0</v>
      </c>
      <c r="BA6602">
        <v>70</v>
      </c>
      <c r="BE6602" t="str">
        <f>T("9791164094684")</f>
        <v>9791164094684</v>
      </c>
      <c r="BF6602" t="str">
        <f>T("E788306")</f>
        <v>E788306</v>
      </c>
      <c r="BG6602" t="str">
        <f>T("로판 웹소설 &gt; 서양풍 로판")</f>
        <v>로판 웹소설 &gt; 서양풍 로판</v>
      </c>
    </row>
    <row r="6603" spans="1:59">
      <c r="A6603" t="s">
        <v>60</v>
      </c>
      <c r="B6603" s="1">
        <v>46130</v>
      </c>
      <c r="C6603">
        <v>2378018277</v>
      </c>
      <c r="D6603">
        <v>2378018345</v>
      </c>
      <c r="E6603" t="str">
        <f>T("한 배를 탄 사이 46화")</f>
        <v>한 배를 탄 사이 46화</v>
      </c>
      <c r="F6603">
        <v>46</v>
      </c>
      <c r="G6603" t="str">
        <f>T("서루")</f>
        <v>서루</v>
      </c>
      <c r="J6603" t="str">
        <f>T("시계토끼")</f>
        <v>시계토끼</v>
      </c>
      <c r="K6603" t="str">
        <f>T("한 배를 탄 사이")</f>
        <v>한 배를 탄 사이</v>
      </c>
      <c r="L6603">
        <v>100</v>
      </c>
      <c r="M6603">
        <v>100</v>
      </c>
      <c r="N6603">
        <v>1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0</v>
      </c>
      <c r="AE6603">
        <v>0</v>
      </c>
      <c r="AF6603">
        <v>0</v>
      </c>
      <c r="AG6603">
        <v>0</v>
      </c>
      <c r="AH6603">
        <v>0</v>
      </c>
      <c r="AI6603">
        <v>100</v>
      </c>
      <c r="AJ6603">
        <v>1</v>
      </c>
      <c r="AK6603">
        <v>0</v>
      </c>
      <c r="AL6603">
        <v>0</v>
      </c>
      <c r="AM6603">
        <v>100</v>
      </c>
      <c r="AN6603">
        <v>0</v>
      </c>
      <c r="AO6603">
        <v>0</v>
      </c>
      <c r="AP6603">
        <v>0</v>
      </c>
      <c r="AQ6603">
        <v>0</v>
      </c>
      <c r="AS6603">
        <v>0</v>
      </c>
      <c r="AT6603">
        <v>0</v>
      </c>
      <c r="AV6603">
        <v>0</v>
      </c>
      <c r="AW6603">
        <v>0</v>
      </c>
      <c r="AY6603">
        <v>0</v>
      </c>
      <c r="AZ6603">
        <v>0</v>
      </c>
      <c r="BA6603">
        <v>70</v>
      </c>
      <c r="BE6603" t="str">
        <f>T("9791164094684")</f>
        <v>9791164094684</v>
      </c>
      <c r="BF6603" t="str">
        <f>T("E788307")</f>
        <v>E788307</v>
      </c>
      <c r="BG6603" t="str">
        <f>T("로판 웹소설 &gt; 서양풍 로판")</f>
        <v>로판 웹소설 &gt; 서양풍 로판</v>
      </c>
    </row>
    <row r="6604" spans="1:59">
      <c r="A6604" t="s">
        <v>60</v>
      </c>
      <c r="B6604" s="1">
        <v>46130</v>
      </c>
      <c r="C6604">
        <v>2378018277</v>
      </c>
      <c r="D6604">
        <v>2378018346</v>
      </c>
      <c r="E6604" t="str">
        <f>T("한 배를 탄 사이 47화")</f>
        <v>한 배를 탄 사이 47화</v>
      </c>
      <c r="F6604">
        <v>47</v>
      </c>
      <c r="G6604" t="str">
        <f>T("서루")</f>
        <v>서루</v>
      </c>
      <c r="J6604" t="str">
        <f>T("시계토끼")</f>
        <v>시계토끼</v>
      </c>
      <c r="K6604" t="str">
        <f>T("한 배를 탄 사이")</f>
        <v>한 배를 탄 사이</v>
      </c>
      <c r="L6604">
        <v>100</v>
      </c>
      <c r="M6604">
        <v>100</v>
      </c>
      <c r="N6604">
        <v>1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0</v>
      </c>
      <c r="AE6604">
        <v>0</v>
      </c>
      <c r="AF6604">
        <v>0</v>
      </c>
      <c r="AG6604">
        <v>0</v>
      </c>
      <c r="AH6604">
        <v>0</v>
      </c>
      <c r="AI6604">
        <v>100</v>
      </c>
      <c r="AJ6604">
        <v>1</v>
      </c>
      <c r="AK6604">
        <v>0</v>
      </c>
      <c r="AL6604">
        <v>0</v>
      </c>
      <c r="AM6604">
        <v>100</v>
      </c>
      <c r="AN6604">
        <v>0</v>
      </c>
      <c r="AO6604">
        <v>0</v>
      </c>
      <c r="AP6604">
        <v>0</v>
      </c>
      <c r="AQ6604">
        <v>0</v>
      </c>
      <c r="AS6604">
        <v>0</v>
      </c>
      <c r="AT6604">
        <v>0</v>
      </c>
      <c r="AV6604">
        <v>0</v>
      </c>
      <c r="AW6604">
        <v>0</v>
      </c>
      <c r="AY6604">
        <v>0</v>
      </c>
      <c r="AZ6604">
        <v>0</v>
      </c>
      <c r="BA6604">
        <v>70</v>
      </c>
      <c r="BE6604" t="str">
        <f>T("9791164094684")</f>
        <v>9791164094684</v>
      </c>
      <c r="BF6604" t="str">
        <f>T("E788308")</f>
        <v>E788308</v>
      </c>
      <c r="BG6604" t="str">
        <f>T("로판 웹소설 &gt; 서양풍 로판")</f>
        <v>로판 웹소설 &gt; 서양풍 로판</v>
      </c>
    </row>
    <row r="6605" spans="1:59">
      <c r="A6605" t="s">
        <v>60</v>
      </c>
      <c r="B6605" s="1">
        <v>46130</v>
      </c>
      <c r="C6605">
        <v>2378018277</v>
      </c>
      <c r="D6605">
        <v>2378018347</v>
      </c>
      <c r="E6605" t="str">
        <f>T("한 배를 탄 사이 48화")</f>
        <v>한 배를 탄 사이 48화</v>
      </c>
      <c r="F6605">
        <v>48</v>
      </c>
      <c r="G6605" t="str">
        <f>T("서루")</f>
        <v>서루</v>
      </c>
      <c r="J6605" t="str">
        <f>T("시계토끼")</f>
        <v>시계토끼</v>
      </c>
      <c r="K6605" t="str">
        <f>T("한 배를 탄 사이")</f>
        <v>한 배를 탄 사이</v>
      </c>
      <c r="L6605">
        <v>100</v>
      </c>
      <c r="M6605">
        <v>100</v>
      </c>
      <c r="N6605">
        <v>1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0</v>
      </c>
      <c r="AE6605">
        <v>0</v>
      </c>
      <c r="AF6605">
        <v>0</v>
      </c>
      <c r="AG6605">
        <v>0</v>
      </c>
      <c r="AH6605">
        <v>0</v>
      </c>
      <c r="AI6605">
        <v>100</v>
      </c>
      <c r="AJ6605">
        <v>1</v>
      </c>
      <c r="AK6605">
        <v>0</v>
      </c>
      <c r="AL6605">
        <v>0</v>
      </c>
      <c r="AM6605">
        <v>100</v>
      </c>
      <c r="AN6605">
        <v>0</v>
      </c>
      <c r="AO6605">
        <v>0</v>
      </c>
      <c r="AP6605">
        <v>0</v>
      </c>
      <c r="AQ6605">
        <v>0</v>
      </c>
      <c r="AS6605">
        <v>0</v>
      </c>
      <c r="AT6605">
        <v>0</v>
      </c>
      <c r="AV6605">
        <v>0</v>
      </c>
      <c r="AW6605">
        <v>0</v>
      </c>
      <c r="AY6605">
        <v>0</v>
      </c>
      <c r="AZ6605">
        <v>0</v>
      </c>
      <c r="BA6605">
        <v>70</v>
      </c>
      <c r="BE6605" t="str">
        <f>T("9791164094684")</f>
        <v>9791164094684</v>
      </c>
      <c r="BF6605" t="str">
        <f>T("E788309")</f>
        <v>E788309</v>
      </c>
      <c r="BG6605" t="str">
        <f>T("로판 웹소설 &gt; 서양풍 로판")</f>
        <v>로판 웹소설 &gt; 서양풍 로판</v>
      </c>
    </row>
    <row r="6606" spans="1:59">
      <c r="A6606" t="s">
        <v>60</v>
      </c>
      <c r="B6606" s="1">
        <v>46130</v>
      </c>
      <c r="C6606">
        <v>2378018277</v>
      </c>
      <c r="D6606">
        <v>2378018348</v>
      </c>
      <c r="E6606" t="str">
        <f>T("한 배를 탄 사이 49화")</f>
        <v>한 배를 탄 사이 49화</v>
      </c>
      <c r="F6606">
        <v>49</v>
      </c>
      <c r="G6606" t="str">
        <f>T("서루")</f>
        <v>서루</v>
      </c>
      <c r="J6606" t="str">
        <f>T("시계토끼")</f>
        <v>시계토끼</v>
      </c>
      <c r="K6606" t="str">
        <f>T("한 배를 탄 사이")</f>
        <v>한 배를 탄 사이</v>
      </c>
      <c r="L6606">
        <v>100</v>
      </c>
      <c r="M6606">
        <v>100</v>
      </c>
      <c r="N6606">
        <v>1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0</v>
      </c>
      <c r="AE6606">
        <v>0</v>
      </c>
      <c r="AF6606">
        <v>0</v>
      </c>
      <c r="AG6606">
        <v>0</v>
      </c>
      <c r="AH6606">
        <v>0</v>
      </c>
      <c r="AI6606">
        <v>100</v>
      </c>
      <c r="AJ6606">
        <v>1</v>
      </c>
      <c r="AK6606">
        <v>0</v>
      </c>
      <c r="AL6606">
        <v>0</v>
      </c>
      <c r="AM6606">
        <v>100</v>
      </c>
      <c r="AN6606">
        <v>0</v>
      </c>
      <c r="AO6606">
        <v>0</v>
      </c>
      <c r="AP6606">
        <v>0</v>
      </c>
      <c r="AQ6606">
        <v>0</v>
      </c>
      <c r="AS6606">
        <v>0</v>
      </c>
      <c r="AT6606">
        <v>0</v>
      </c>
      <c r="AV6606">
        <v>0</v>
      </c>
      <c r="AW6606">
        <v>0</v>
      </c>
      <c r="AY6606">
        <v>0</v>
      </c>
      <c r="AZ6606">
        <v>0</v>
      </c>
      <c r="BA6606">
        <v>70</v>
      </c>
      <c r="BE6606" t="str">
        <f>T("9791164094684")</f>
        <v>9791164094684</v>
      </c>
      <c r="BF6606" t="str">
        <f>T("E788310")</f>
        <v>E788310</v>
      </c>
      <c r="BG6606" t="str">
        <f>T("로판 웹소설 &gt; 서양풍 로판")</f>
        <v>로판 웹소설 &gt; 서양풍 로판</v>
      </c>
    </row>
    <row r="6607" spans="1:59">
      <c r="A6607" t="s">
        <v>60</v>
      </c>
      <c r="B6607" s="1">
        <v>46130</v>
      </c>
      <c r="C6607">
        <v>2378018277</v>
      </c>
      <c r="D6607">
        <v>2378018349</v>
      </c>
      <c r="E6607" t="str">
        <f>T("한 배를 탄 사이 50화")</f>
        <v>한 배를 탄 사이 50화</v>
      </c>
      <c r="F6607">
        <v>50</v>
      </c>
      <c r="G6607" t="str">
        <f>T("서루")</f>
        <v>서루</v>
      </c>
      <c r="J6607" t="str">
        <f>T("시계토끼")</f>
        <v>시계토끼</v>
      </c>
      <c r="K6607" t="str">
        <f>T("한 배를 탄 사이")</f>
        <v>한 배를 탄 사이</v>
      </c>
      <c r="L6607">
        <v>100</v>
      </c>
      <c r="M6607">
        <v>100</v>
      </c>
      <c r="N6607">
        <v>1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0</v>
      </c>
      <c r="AE6607">
        <v>0</v>
      </c>
      <c r="AF6607">
        <v>0</v>
      </c>
      <c r="AG6607">
        <v>0</v>
      </c>
      <c r="AH6607">
        <v>0</v>
      </c>
      <c r="AI6607">
        <v>100</v>
      </c>
      <c r="AJ6607">
        <v>1</v>
      </c>
      <c r="AK6607">
        <v>0</v>
      </c>
      <c r="AL6607">
        <v>0</v>
      </c>
      <c r="AM6607">
        <v>100</v>
      </c>
      <c r="AN6607">
        <v>0</v>
      </c>
      <c r="AO6607">
        <v>0</v>
      </c>
      <c r="AP6607">
        <v>0</v>
      </c>
      <c r="AQ6607">
        <v>0</v>
      </c>
      <c r="AS6607">
        <v>0</v>
      </c>
      <c r="AT6607">
        <v>0</v>
      </c>
      <c r="AV6607">
        <v>0</v>
      </c>
      <c r="AW6607">
        <v>0</v>
      </c>
      <c r="AY6607">
        <v>0</v>
      </c>
      <c r="AZ6607">
        <v>0</v>
      </c>
      <c r="BA6607">
        <v>70</v>
      </c>
      <c r="BE6607" t="str">
        <f>T("9791164094684")</f>
        <v>9791164094684</v>
      </c>
      <c r="BF6607" t="str">
        <f>T("E788311")</f>
        <v>E788311</v>
      </c>
      <c r="BG6607" t="str">
        <f>T("로판 웹소설 &gt; 서양풍 로판")</f>
        <v>로판 웹소설 &gt; 서양풍 로판</v>
      </c>
    </row>
    <row r="6608" spans="1:59">
      <c r="A6608" t="s">
        <v>60</v>
      </c>
      <c r="B6608" s="1">
        <v>46130</v>
      </c>
      <c r="C6608">
        <v>2378018277</v>
      </c>
      <c r="D6608">
        <v>2378018330</v>
      </c>
      <c r="E6608" t="str">
        <f>T("한 배를 탄 사이 31화")</f>
        <v>한 배를 탄 사이 31화</v>
      </c>
      <c r="F6608">
        <v>31</v>
      </c>
      <c r="G6608" t="str">
        <f>T("서루")</f>
        <v>서루</v>
      </c>
      <c r="J6608" t="str">
        <f>T("시계토끼")</f>
        <v>시계토끼</v>
      </c>
      <c r="K6608" t="str">
        <f>T("한 배를 탄 사이")</f>
        <v>한 배를 탄 사이</v>
      </c>
      <c r="L6608">
        <v>100</v>
      </c>
      <c r="M6608">
        <v>100</v>
      </c>
      <c r="N6608">
        <v>1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0</v>
      </c>
      <c r="AE6608">
        <v>0</v>
      </c>
      <c r="AF6608">
        <v>0</v>
      </c>
      <c r="AG6608">
        <v>0</v>
      </c>
      <c r="AH6608">
        <v>0</v>
      </c>
      <c r="AI6608">
        <v>100</v>
      </c>
      <c r="AJ6608">
        <v>1</v>
      </c>
      <c r="AK6608">
        <v>0</v>
      </c>
      <c r="AL6608">
        <v>0</v>
      </c>
      <c r="AM6608">
        <v>100</v>
      </c>
      <c r="AN6608">
        <v>0</v>
      </c>
      <c r="AO6608">
        <v>0</v>
      </c>
      <c r="AP6608">
        <v>0</v>
      </c>
      <c r="AQ6608">
        <v>0</v>
      </c>
      <c r="AS6608">
        <v>0</v>
      </c>
      <c r="AT6608">
        <v>0</v>
      </c>
      <c r="AV6608">
        <v>0</v>
      </c>
      <c r="AW6608">
        <v>0</v>
      </c>
      <c r="AY6608">
        <v>0</v>
      </c>
      <c r="AZ6608">
        <v>0</v>
      </c>
      <c r="BA6608">
        <v>70</v>
      </c>
      <c r="BE6608" t="str">
        <f>T("9791164094684")</f>
        <v>9791164094684</v>
      </c>
      <c r="BF6608" t="str">
        <f>T("E788292")</f>
        <v>E788292</v>
      </c>
      <c r="BG6608" t="str">
        <f>T("로판 웹소설 &gt; 서양풍 로판")</f>
        <v>로판 웹소설 &gt; 서양풍 로판</v>
      </c>
    </row>
    <row r="6609" spans="1:59">
      <c r="A6609" t="s">
        <v>60</v>
      </c>
      <c r="B6609" s="1">
        <v>46130</v>
      </c>
      <c r="C6609">
        <v>2378018277</v>
      </c>
      <c r="D6609">
        <v>2378018331</v>
      </c>
      <c r="E6609" t="str">
        <f>T("한 배를 탄 사이 32화")</f>
        <v>한 배를 탄 사이 32화</v>
      </c>
      <c r="F6609">
        <v>32</v>
      </c>
      <c r="G6609" t="str">
        <f>T("서루")</f>
        <v>서루</v>
      </c>
      <c r="J6609" t="str">
        <f>T("시계토끼")</f>
        <v>시계토끼</v>
      </c>
      <c r="K6609" t="str">
        <f>T("한 배를 탄 사이")</f>
        <v>한 배를 탄 사이</v>
      </c>
      <c r="L6609">
        <v>100</v>
      </c>
      <c r="M6609">
        <v>100</v>
      </c>
      <c r="N6609">
        <v>1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0</v>
      </c>
      <c r="AE6609">
        <v>0</v>
      </c>
      <c r="AF6609">
        <v>0</v>
      </c>
      <c r="AG6609">
        <v>0</v>
      </c>
      <c r="AH6609">
        <v>0</v>
      </c>
      <c r="AI6609">
        <v>100</v>
      </c>
      <c r="AJ6609">
        <v>1</v>
      </c>
      <c r="AK6609">
        <v>0</v>
      </c>
      <c r="AL6609">
        <v>0</v>
      </c>
      <c r="AM6609">
        <v>100</v>
      </c>
      <c r="AN6609">
        <v>0</v>
      </c>
      <c r="AO6609">
        <v>0</v>
      </c>
      <c r="AP6609">
        <v>0</v>
      </c>
      <c r="AQ6609">
        <v>0</v>
      </c>
      <c r="AS6609">
        <v>0</v>
      </c>
      <c r="AT6609">
        <v>0</v>
      </c>
      <c r="AV6609">
        <v>0</v>
      </c>
      <c r="AW6609">
        <v>0</v>
      </c>
      <c r="AY6609">
        <v>0</v>
      </c>
      <c r="AZ6609">
        <v>0</v>
      </c>
      <c r="BA6609">
        <v>70</v>
      </c>
      <c r="BE6609" t="str">
        <f>T("9791164094684")</f>
        <v>9791164094684</v>
      </c>
      <c r="BF6609" t="str">
        <f>T("E788293")</f>
        <v>E788293</v>
      </c>
      <c r="BG6609" t="str">
        <f>T("로판 웹소설 &gt; 서양풍 로판")</f>
        <v>로판 웹소설 &gt; 서양풍 로판</v>
      </c>
    </row>
    <row r="6610" spans="1:59">
      <c r="A6610" t="s">
        <v>60</v>
      </c>
      <c r="B6610" s="1">
        <v>46130</v>
      </c>
      <c r="C6610">
        <v>2378018277</v>
      </c>
      <c r="D6610">
        <v>2378018332</v>
      </c>
      <c r="E6610" t="str">
        <f>T("한 배를 탄 사이 33화")</f>
        <v>한 배를 탄 사이 33화</v>
      </c>
      <c r="F6610">
        <v>33</v>
      </c>
      <c r="G6610" t="str">
        <f>T("서루")</f>
        <v>서루</v>
      </c>
      <c r="J6610" t="str">
        <f>T("시계토끼")</f>
        <v>시계토끼</v>
      </c>
      <c r="K6610" t="str">
        <f>T("한 배를 탄 사이")</f>
        <v>한 배를 탄 사이</v>
      </c>
      <c r="L6610">
        <v>100</v>
      </c>
      <c r="M6610">
        <v>100</v>
      </c>
      <c r="N6610">
        <v>1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0</v>
      </c>
      <c r="AE6610">
        <v>0</v>
      </c>
      <c r="AF6610">
        <v>0</v>
      </c>
      <c r="AG6610">
        <v>0</v>
      </c>
      <c r="AH6610">
        <v>0</v>
      </c>
      <c r="AI6610">
        <v>100</v>
      </c>
      <c r="AJ6610">
        <v>1</v>
      </c>
      <c r="AK6610">
        <v>0</v>
      </c>
      <c r="AL6610">
        <v>0</v>
      </c>
      <c r="AM6610">
        <v>100</v>
      </c>
      <c r="AN6610">
        <v>0</v>
      </c>
      <c r="AO6610">
        <v>0</v>
      </c>
      <c r="AP6610">
        <v>0</v>
      </c>
      <c r="AQ6610">
        <v>0</v>
      </c>
      <c r="AS6610">
        <v>0</v>
      </c>
      <c r="AT6610">
        <v>0</v>
      </c>
      <c r="AV6610">
        <v>0</v>
      </c>
      <c r="AW6610">
        <v>0</v>
      </c>
      <c r="AY6610">
        <v>0</v>
      </c>
      <c r="AZ6610">
        <v>0</v>
      </c>
      <c r="BA6610">
        <v>70</v>
      </c>
      <c r="BE6610" t="str">
        <f>T("9791164094684")</f>
        <v>9791164094684</v>
      </c>
      <c r="BF6610" t="str">
        <f>T("E788294")</f>
        <v>E788294</v>
      </c>
      <c r="BG6610" t="str">
        <f>T("로판 웹소설 &gt; 서양풍 로판")</f>
        <v>로판 웹소설 &gt; 서양풍 로판</v>
      </c>
    </row>
    <row r="6611" spans="1:59">
      <c r="A6611" t="s">
        <v>60</v>
      </c>
      <c r="B6611" s="1">
        <v>46130</v>
      </c>
      <c r="C6611">
        <v>2378018277</v>
      </c>
      <c r="D6611">
        <v>2378018333</v>
      </c>
      <c r="E6611" t="str">
        <f>T("한 배를 탄 사이 34화")</f>
        <v>한 배를 탄 사이 34화</v>
      </c>
      <c r="F6611">
        <v>34</v>
      </c>
      <c r="G6611" t="str">
        <f>T("서루")</f>
        <v>서루</v>
      </c>
      <c r="J6611" t="str">
        <f>T("시계토끼")</f>
        <v>시계토끼</v>
      </c>
      <c r="K6611" t="str">
        <f>T("한 배를 탄 사이")</f>
        <v>한 배를 탄 사이</v>
      </c>
      <c r="L6611">
        <v>100</v>
      </c>
      <c r="M6611">
        <v>100</v>
      </c>
      <c r="N6611">
        <v>1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0</v>
      </c>
      <c r="AE6611">
        <v>0</v>
      </c>
      <c r="AF6611">
        <v>0</v>
      </c>
      <c r="AG6611">
        <v>0</v>
      </c>
      <c r="AH6611">
        <v>0</v>
      </c>
      <c r="AI6611">
        <v>100</v>
      </c>
      <c r="AJ6611">
        <v>1</v>
      </c>
      <c r="AK6611">
        <v>0</v>
      </c>
      <c r="AL6611">
        <v>0</v>
      </c>
      <c r="AM6611">
        <v>100</v>
      </c>
      <c r="AN6611">
        <v>0</v>
      </c>
      <c r="AO6611">
        <v>0</v>
      </c>
      <c r="AP6611">
        <v>0</v>
      </c>
      <c r="AQ6611">
        <v>0</v>
      </c>
      <c r="AS6611">
        <v>0</v>
      </c>
      <c r="AT6611">
        <v>0</v>
      </c>
      <c r="AV6611">
        <v>0</v>
      </c>
      <c r="AW6611">
        <v>0</v>
      </c>
      <c r="AY6611">
        <v>0</v>
      </c>
      <c r="AZ6611">
        <v>0</v>
      </c>
      <c r="BA6611">
        <v>70</v>
      </c>
      <c r="BE6611" t="str">
        <f>T("9791164094684")</f>
        <v>9791164094684</v>
      </c>
      <c r="BF6611" t="str">
        <f>T("E788295")</f>
        <v>E788295</v>
      </c>
      <c r="BG6611" t="str">
        <f>T("로판 웹소설 &gt; 서양풍 로판")</f>
        <v>로판 웹소설 &gt; 서양풍 로판</v>
      </c>
    </row>
    <row r="6612" spans="1:59">
      <c r="A6612" t="s">
        <v>60</v>
      </c>
      <c r="B6612" s="1">
        <v>46130</v>
      </c>
      <c r="C6612">
        <v>2378018277</v>
      </c>
      <c r="D6612">
        <v>2378018334</v>
      </c>
      <c r="E6612" t="str">
        <f>T("한 배를 탄 사이 35화")</f>
        <v>한 배를 탄 사이 35화</v>
      </c>
      <c r="F6612">
        <v>35</v>
      </c>
      <c r="G6612" t="str">
        <f>T("서루")</f>
        <v>서루</v>
      </c>
      <c r="J6612" t="str">
        <f>T("시계토끼")</f>
        <v>시계토끼</v>
      </c>
      <c r="K6612" t="str">
        <f>T("한 배를 탄 사이")</f>
        <v>한 배를 탄 사이</v>
      </c>
      <c r="L6612">
        <v>100</v>
      </c>
      <c r="M6612">
        <v>100</v>
      </c>
      <c r="N6612">
        <v>1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0</v>
      </c>
      <c r="AE6612">
        <v>0</v>
      </c>
      <c r="AF6612">
        <v>0</v>
      </c>
      <c r="AG6612">
        <v>0</v>
      </c>
      <c r="AH6612">
        <v>0</v>
      </c>
      <c r="AI6612">
        <v>100</v>
      </c>
      <c r="AJ6612">
        <v>1</v>
      </c>
      <c r="AK6612">
        <v>0</v>
      </c>
      <c r="AL6612">
        <v>0</v>
      </c>
      <c r="AM6612">
        <v>100</v>
      </c>
      <c r="AN6612">
        <v>0</v>
      </c>
      <c r="AO6612">
        <v>0</v>
      </c>
      <c r="AP6612">
        <v>0</v>
      </c>
      <c r="AQ6612">
        <v>0</v>
      </c>
      <c r="AS6612">
        <v>0</v>
      </c>
      <c r="AT6612">
        <v>0</v>
      </c>
      <c r="AV6612">
        <v>0</v>
      </c>
      <c r="AW6612">
        <v>0</v>
      </c>
      <c r="AY6612">
        <v>0</v>
      </c>
      <c r="AZ6612">
        <v>0</v>
      </c>
      <c r="BA6612">
        <v>70</v>
      </c>
      <c r="BE6612" t="str">
        <f>T("9791164094684")</f>
        <v>9791164094684</v>
      </c>
      <c r="BF6612" t="str">
        <f>T("E788296")</f>
        <v>E788296</v>
      </c>
      <c r="BG6612" t="str">
        <f>T("로판 웹소설 &gt; 서양풍 로판")</f>
        <v>로판 웹소설 &gt; 서양풍 로판</v>
      </c>
    </row>
    <row r="6613" spans="1:59">
      <c r="A6613" t="s">
        <v>60</v>
      </c>
      <c r="B6613" s="1">
        <v>46130</v>
      </c>
      <c r="C6613">
        <v>2378018277</v>
      </c>
      <c r="D6613">
        <v>2378018335</v>
      </c>
      <c r="E6613" t="str">
        <f>T("한 배를 탄 사이 36화")</f>
        <v>한 배를 탄 사이 36화</v>
      </c>
      <c r="F6613">
        <v>36</v>
      </c>
      <c r="G6613" t="str">
        <f>T("서루")</f>
        <v>서루</v>
      </c>
      <c r="J6613" t="str">
        <f>T("시계토끼")</f>
        <v>시계토끼</v>
      </c>
      <c r="K6613" t="str">
        <f>T("한 배를 탄 사이")</f>
        <v>한 배를 탄 사이</v>
      </c>
      <c r="L6613">
        <v>100</v>
      </c>
      <c r="M6613">
        <v>100</v>
      </c>
      <c r="N6613">
        <v>1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0</v>
      </c>
      <c r="AE6613">
        <v>0</v>
      </c>
      <c r="AF6613">
        <v>0</v>
      </c>
      <c r="AG6613">
        <v>0</v>
      </c>
      <c r="AH6613">
        <v>0</v>
      </c>
      <c r="AI6613">
        <v>100</v>
      </c>
      <c r="AJ6613">
        <v>1</v>
      </c>
      <c r="AK6613">
        <v>0</v>
      </c>
      <c r="AL6613">
        <v>0</v>
      </c>
      <c r="AM6613">
        <v>100</v>
      </c>
      <c r="AN6613">
        <v>0</v>
      </c>
      <c r="AO6613">
        <v>0</v>
      </c>
      <c r="AP6613">
        <v>0</v>
      </c>
      <c r="AQ6613">
        <v>0</v>
      </c>
      <c r="AS6613">
        <v>0</v>
      </c>
      <c r="AT6613">
        <v>0</v>
      </c>
      <c r="AV6613">
        <v>0</v>
      </c>
      <c r="AW6613">
        <v>0</v>
      </c>
      <c r="AY6613">
        <v>0</v>
      </c>
      <c r="AZ6613">
        <v>0</v>
      </c>
      <c r="BA6613">
        <v>70</v>
      </c>
      <c r="BE6613" t="str">
        <f>T("9791164094684")</f>
        <v>9791164094684</v>
      </c>
      <c r="BF6613" t="str">
        <f>T("E788297")</f>
        <v>E788297</v>
      </c>
      <c r="BG6613" t="str">
        <f>T("로판 웹소설 &gt; 서양풍 로판")</f>
        <v>로판 웹소설 &gt; 서양풍 로판</v>
      </c>
    </row>
    <row r="6614" spans="1:59">
      <c r="A6614" t="s">
        <v>60</v>
      </c>
      <c r="B6614" s="1">
        <v>46130</v>
      </c>
      <c r="C6614">
        <v>2378018277</v>
      </c>
      <c r="D6614">
        <v>2378018336</v>
      </c>
      <c r="E6614" t="str">
        <f>T("한 배를 탄 사이 37화")</f>
        <v>한 배를 탄 사이 37화</v>
      </c>
      <c r="F6614">
        <v>37</v>
      </c>
      <c r="G6614" t="str">
        <f>T("서루")</f>
        <v>서루</v>
      </c>
      <c r="J6614" t="str">
        <f>T("시계토끼")</f>
        <v>시계토끼</v>
      </c>
      <c r="K6614" t="str">
        <f>T("한 배를 탄 사이")</f>
        <v>한 배를 탄 사이</v>
      </c>
      <c r="L6614">
        <v>100</v>
      </c>
      <c r="M6614">
        <v>100</v>
      </c>
      <c r="N6614">
        <v>1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0</v>
      </c>
      <c r="AE6614">
        <v>0</v>
      </c>
      <c r="AF6614">
        <v>0</v>
      </c>
      <c r="AG6614">
        <v>0</v>
      </c>
      <c r="AH6614">
        <v>0</v>
      </c>
      <c r="AI6614">
        <v>100</v>
      </c>
      <c r="AJ6614">
        <v>1</v>
      </c>
      <c r="AK6614">
        <v>0</v>
      </c>
      <c r="AL6614">
        <v>0</v>
      </c>
      <c r="AM6614">
        <v>100</v>
      </c>
      <c r="AN6614">
        <v>0</v>
      </c>
      <c r="AO6614">
        <v>0</v>
      </c>
      <c r="AP6614">
        <v>0</v>
      </c>
      <c r="AQ6614">
        <v>0</v>
      </c>
      <c r="AS6614">
        <v>0</v>
      </c>
      <c r="AT6614">
        <v>0</v>
      </c>
      <c r="AV6614">
        <v>0</v>
      </c>
      <c r="AW6614">
        <v>0</v>
      </c>
      <c r="AY6614">
        <v>0</v>
      </c>
      <c r="AZ6614">
        <v>0</v>
      </c>
      <c r="BA6614">
        <v>70</v>
      </c>
      <c r="BE6614" t="str">
        <f>T("9791164094684")</f>
        <v>9791164094684</v>
      </c>
      <c r="BF6614" t="str">
        <f>T("E788298")</f>
        <v>E788298</v>
      </c>
      <c r="BG6614" t="str">
        <f>T("로판 웹소설 &gt; 서양풍 로판")</f>
        <v>로판 웹소설 &gt; 서양풍 로판</v>
      </c>
    </row>
    <row r="6615" spans="1:59">
      <c r="A6615" t="s">
        <v>60</v>
      </c>
      <c r="B6615" s="1">
        <v>46130</v>
      </c>
      <c r="C6615">
        <v>2378018277</v>
      </c>
      <c r="D6615">
        <v>2378018337</v>
      </c>
      <c r="E6615" t="str">
        <f>T("한 배를 탄 사이 38화")</f>
        <v>한 배를 탄 사이 38화</v>
      </c>
      <c r="F6615">
        <v>38</v>
      </c>
      <c r="G6615" t="str">
        <f>T("서루")</f>
        <v>서루</v>
      </c>
      <c r="J6615" t="str">
        <f>T("시계토끼")</f>
        <v>시계토끼</v>
      </c>
      <c r="K6615" t="str">
        <f>T("한 배를 탄 사이")</f>
        <v>한 배를 탄 사이</v>
      </c>
      <c r="L6615">
        <v>100</v>
      </c>
      <c r="M6615">
        <v>100</v>
      </c>
      <c r="N6615">
        <v>1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0</v>
      </c>
      <c r="AE6615">
        <v>0</v>
      </c>
      <c r="AF6615">
        <v>0</v>
      </c>
      <c r="AG6615">
        <v>0</v>
      </c>
      <c r="AH6615">
        <v>0</v>
      </c>
      <c r="AI6615">
        <v>100</v>
      </c>
      <c r="AJ6615">
        <v>1</v>
      </c>
      <c r="AK6615">
        <v>0</v>
      </c>
      <c r="AL6615">
        <v>0</v>
      </c>
      <c r="AM6615">
        <v>100</v>
      </c>
      <c r="AN6615">
        <v>0</v>
      </c>
      <c r="AO6615">
        <v>0</v>
      </c>
      <c r="AP6615">
        <v>0</v>
      </c>
      <c r="AQ6615">
        <v>0</v>
      </c>
      <c r="AS6615">
        <v>0</v>
      </c>
      <c r="AT6615">
        <v>0</v>
      </c>
      <c r="AV6615">
        <v>0</v>
      </c>
      <c r="AW6615">
        <v>0</v>
      </c>
      <c r="AY6615">
        <v>0</v>
      </c>
      <c r="AZ6615">
        <v>0</v>
      </c>
      <c r="BA6615">
        <v>70</v>
      </c>
      <c r="BE6615" t="str">
        <f>T("9791164094684")</f>
        <v>9791164094684</v>
      </c>
      <c r="BF6615" t="str">
        <f>T("E788299")</f>
        <v>E788299</v>
      </c>
      <c r="BG6615" t="str">
        <f>T("로판 웹소설 &gt; 서양풍 로판")</f>
        <v>로판 웹소설 &gt; 서양풍 로판</v>
      </c>
    </row>
    <row r="6616" spans="1:59">
      <c r="A6616" t="s">
        <v>60</v>
      </c>
      <c r="B6616" s="1">
        <v>46130</v>
      </c>
      <c r="C6616">
        <v>2378018277</v>
      </c>
      <c r="D6616">
        <v>2378018329</v>
      </c>
      <c r="E6616" t="str">
        <f>T("한 배를 탄 사이 30화")</f>
        <v>한 배를 탄 사이 30화</v>
      </c>
      <c r="F6616">
        <v>30</v>
      </c>
      <c r="G6616" t="str">
        <f>T("서루")</f>
        <v>서루</v>
      </c>
      <c r="J6616" t="str">
        <f>T("시계토끼")</f>
        <v>시계토끼</v>
      </c>
      <c r="K6616" t="str">
        <f>T("한 배를 탄 사이")</f>
        <v>한 배를 탄 사이</v>
      </c>
      <c r="L6616">
        <v>100</v>
      </c>
      <c r="M6616">
        <v>100</v>
      </c>
      <c r="N6616">
        <v>1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0</v>
      </c>
      <c r="AE6616">
        <v>0</v>
      </c>
      <c r="AF6616">
        <v>0</v>
      </c>
      <c r="AG6616">
        <v>0</v>
      </c>
      <c r="AH6616">
        <v>0</v>
      </c>
      <c r="AI6616">
        <v>100</v>
      </c>
      <c r="AJ6616">
        <v>1</v>
      </c>
      <c r="AK6616">
        <v>0</v>
      </c>
      <c r="AL6616">
        <v>0</v>
      </c>
      <c r="AM6616">
        <v>100</v>
      </c>
      <c r="AN6616">
        <v>0</v>
      </c>
      <c r="AO6616">
        <v>0</v>
      </c>
      <c r="AP6616">
        <v>0</v>
      </c>
      <c r="AQ6616">
        <v>0</v>
      </c>
      <c r="AS6616">
        <v>0</v>
      </c>
      <c r="AT6616">
        <v>0</v>
      </c>
      <c r="AV6616">
        <v>0</v>
      </c>
      <c r="AW6616">
        <v>0</v>
      </c>
      <c r="AY6616">
        <v>0</v>
      </c>
      <c r="AZ6616">
        <v>0</v>
      </c>
      <c r="BA6616">
        <v>70</v>
      </c>
      <c r="BE6616" t="str">
        <f>T("9791164094684")</f>
        <v>9791164094684</v>
      </c>
      <c r="BF6616" t="str">
        <f>T("E788291")</f>
        <v>E788291</v>
      </c>
      <c r="BG6616" t="str">
        <f>T("로판 웹소설 &gt; 서양풍 로판")</f>
        <v>로판 웹소설 &gt; 서양풍 로판</v>
      </c>
    </row>
    <row r="6617" spans="1:59">
      <c r="A6617" t="s">
        <v>60</v>
      </c>
      <c r="B6617" s="1">
        <v>46130</v>
      </c>
      <c r="C6617">
        <v>2378018277</v>
      </c>
      <c r="D6617">
        <v>2378018370</v>
      </c>
      <c r="E6617" t="str">
        <f>T("한 배를 탄 사이 51화")</f>
        <v>한 배를 탄 사이 51화</v>
      </c>
      <c r="F6617">
        <v>51</v>
      </c>
      <c r="G6617" t="str">
        <f>T("서루")</f>
        <v>서루</v>
      </c>
      <c r="J6617" t="str">
        <f>T("시계토끼")</f>
        <v>시계토끼</v>
      </c>
      <c r="K6617" t="str">
        <f>T("한 배를 탄 사이")</f>
        <v>한 배를 탄 사이</v>
      </c>
      <c r="L6617">
        <v>100</v>
      </c>
      <c r="M6617">
        <v>100</v>
      </c>
      <c r="N6617">
        <v>1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0</v>
      </c>
      <c r="AE6617">
        <v>0</v>
      </c>
      <c r="AF6617">
        <v>0</v>
      </c>
      <c r="AG6617">
        <v>0</v>
      </c>
      <c r="AH6617">
        <v>0</v>
      </c>
      <c r="AI6617">
        <v>100</v>
      </c>
      <c r="AJ6617">
        <v>1</v>
      </c>
      <c r="AK6617">
        <v>0</v>
      </c>
      <c r="AL6617">
        <v>0</v>
      </c>
      <c r="AM6617">
        <v>100</v>
      </c>
      <c r="AN6617">
        <v>0</v>
      </c>
      <c r="AO6617">
        <v>0</v>
      </c>
      <c r="AP6617">
        <v>0</v>
      </c>
      <c r="AQ6617">
        <v>0</v>
      </c>
      <c r="AS6617">
        <v>0</v>
      </c>
      <c r="AT6617">
        <v>0</v>
      </c>
      <c r="AV6617">
        <v>0</v>
      </c>
      <c r="AW6617">
        <v>0</v>
      </c>
      <c r="AY6617">
        <v>0</v>
      </c>
      <c r="AZ6617">
        <v>0</v>
      </c>
      <c r="BA6617">
        <v>70</v>
      </c>
      <c r="BE6617" t="str">
        <f>T("9791164094684")</f>
        <v>9791164094684</v>
      </c>
      <c r="BF6617" t="str">
        <f>T("E789232")</f>
        <v>E789232</v>
      </c>
      <c r="BG6617" t="str">
        <f>T("로판 웹소설 &gt; 서양풍 로판")</f>
        <v>로판 웹소설 &gt; 서양풍 로판</v>
      </c>
    </row>
    <row r="6618" spans="1:59">
      <c r="A6618" t="s">
        <v>60</v>
      </c>
      <c r="B6618" s="1">
        <v>46130</v>
      </c>
      <c r="C6618">
        <v>2378018277</v>
      </c>
      <c r="D6618">
        <v>2378018396</v>
      </c>
      <c r="E6618" t="str">
        <f>T("한 배를 탄 사이 52화")</f>
        <v>한 배를 탄 사이 52화</v>
      </c>
      <c r="F6618">
        <v>52</v>
      </c>
      <c r="G6618" t="str">
        <f>T("서루")</f>
        <v>서루</v>
      </c>
      <c r="J6618" t="str">
        <f>T("시계토끼")</f>
        <v>시계토끼</v>
      </c>
      <c r="K6618" t="str">
        <f>T("한 배를 탄 사이")</f>
        <v>한 배를 탄 사이</v>
      </c>
      <c r="L6618">
        <v>100</v>
      </c>
      <c r="M6618">
        <v>100</v>
      </c>
      <c r="N6618">
        <v>1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0</v>
      </c>
      <c r="AE6618">
        <v>0</v>
      </c>
      <c r="AF6618">
        <v>0</v>
      </c>
      <c r="AG6618">
        <v>0</v>
      </c>
      <c r="AH6618">
        <v>0</v>
      </c>
      <c r="AI6618">
        <v>100</v>
      </c>
      <c r="AJ6618">
        <v>1</v>
      </c>
      <c r="AK6618">
        <v>0</v>
      </c>
      <c r="AL6618">
        <v>0</v>
      </c>
      <c r="AM6618">
        <v>100</v>
      </c>
      <c r="AN6618">
        <v>0</v>
      </c>
      <c r="AO6618">
        <v>0</v>
      </c>
      <c r="AP6618">
        <v>0</v>
      </c>
      <c r="AQ6618">
        <v>0</v>
      </c>
      <c r="AS6618">
        <v>0</v>
      </c>
      <c r="AT6618">
        <v>0</v>
      </c>
      <c r="AV6618">
        <v>0</v>
      </c>
      <c r="AW6618">
        <v>0</v>
      </c>
      <c r="AY6618">
        <v>0</v>
      </c>
      <c r="AZ6618">
        <v>0</v>
      </c>
      <c r="BA6618">
        <v>70</v>
      </c>
      <c r="BE6618" t="str">
        <f>T("9791164094684")</f>
        <v>9791164094684</v>
      </c>
      <c r="BF6618" t="str">
        <f>T("E791446")</f>
        <v>E791446</v>
      </c>
      <c r="BG6618" t="str">
        <f>T("로판 웹소설 &gt; 서양풍 로판")</f>
        <v>로판 웹소설 &gt; 서양풍 로판</v>
      </c>
    </row>
    <row r="6619" spans="1:59">
      <c r="A6619" t="s">
        <v>60</v>
      </c>
      <c r="B6619" s="1">
        <v>46130</v>
      </c>
      <c r="C6619">
        <v>2378018277</v>
      </c>
      <c r="D6619">
        <v>2378018402</v>
      </c>
      <c r="E6619" t="str">
        <f>T("한 배를 탄 사이 53화")</f>
        <v>한 배를 탄 사이 53화</v>
      </c>
      <c r="F6619">
        <v>53</v>
      </c>
      <c r="G6619" t="str">
        <f>T("서루")</f>
        <v>서루</v>
      </c>
      <c r="J6619" t="str">
        <f>T("시계토끼")</f>
        <v>시계토끼</v>
      </c>
      <c r="K6619" t="str">
        <f>T("한 배를 탄 사이")</f>
        <v>한 배를 탄 사이</v>
      </c>
      <c r="L6619">
        <v>100</v>
      </c>
      <c r="M6619">
        <v>100</v>
      </c>
      <c r="N6619">
        <v>1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0</v>
      </c>
      <c r="AE6619">
        <v>0</v>
      </c>
      <c r="AF6619">
        <v>0</v>
      </c>
      <c r="AG6619">
        <v>0</v>
      </c>
      <c r="AH6619">
        <v>0</v>
      </c>
      <c r="AI6619">
        <v>100</v>
      </c>
      <c r="AJ6619">
        <v>1</v>
      </c>
      <c r="AK6619">
        <v>0</v>
      </c>
      <c r="AL6619">
        <v>0</v>
      </c>
      <c r="AM6619">
        <v>100</v>
      </c>
      <c r="AN6619">
        <v>0</v>
      </c>
      <c r="AO6619">
        <v>0</v>
      </c>
      <c r="AP6619">
        <v>0</v>
      </c>
      <c r="AQ6619">
        <v>0</v>
      </c>
      <c r="AS6619">
        <v>0</v>
      </c>
      <c r="AT6619">
        <v>0</v>
      </c>
      <c r="AV6619">
        <v>0</v>
      </c>
      <c r="AW6619">
        <v>0</v>
      </c>
      <c r="AY6619">
        <v>0</v>
      </c>
      <c r="AZ6619">
        <v>0</v>
      </c>
      <c r="BA6619">
        <v>70</v>
      </c>
      <c r="BE6619" t="str">
        <f>T("9791164094684")</f>
        <v>9791164094684</v>
      </c>
      <c r="BF6619" t="str">
        <f>T("E791590")</f>
        <v>E791590</v>
      </c>
      <c r="BG6619" t="str">
        <f>T("로판 웹소설 &gt; 서양풍 로판")</f>
        <v>로판 웹소설 &gt; 서양풍 로판</v>
      </c>
    </row>
    <row r="6620" spans="1:59">
      <c r="A6620" t="s">
        <v>60</v>
      </c>
      <c r="B6620" s="1">
        <v>46130</v>
      </c>
      <c r="C6620">
        <v>2378018277</v>
      </c>
      <c r="D6620">
        <v>2378018436</v>
      </c>
      <c r="E6620" t="str">
        <f>T("한 배를 탄 사이 54화")</f>
        <v>한 배를 탄 사이 54화</v>
      </c>
      <c r="F6620">
        <v>54</v>
      </c>
      <c r="G6620" t="str">
        <f>T("서루")</f>
        <v>서루</v>
      </c>
      <c r="J6620" t="str">
        <f>T("시계토끼")</f>
        <v>시계토끼</v>
      </c>
      <c r="K6620" t="str">
        <f>T("한 배를 탄 사이")</f>
        <v>한 배를 탄 사이</v>
      </c>
      <c r="L6620">
        <v>100</v>
      </c>
      <c r="M6620">
        <v>100</v>
      </c>
      <c r="N6620">
        <v>1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0</v>
      </c>
      <c r="AE6620">
        <v>0</v>
      </c>
      <c r="AF6620">
        <v>0</v>
      </c>
      <c r="AG6620">
        <v>0</v>
      </c>
      <c r="AH6620">
        <v>0</v>
      </c>
      <c r="AI6620">
        <v>100</v>
      </c>
      <c r="AJ6620">
        <v>1</v>
      </c>
      <c r="AK6620">
        <v>0</v>
      </c>
      <c r="AL6620">
        <v>0</v>
      </c>
      <c r="AM6620">
        <v>100</v>
      </c>
      <c r="AN6620">
        <v>0</v>
      </c>
      <c r="AO6620">
        <v>0</v>
      </c>
      <c r="AP6620">
        <v>0</v>
      </c>
      <c r="AQ6620">
        <v>0</v>
      </c>
      <c r="AS6620">
        <v>0</v>
      </c>
      <c r="AT6620">
        <v>0</v>
      </c>
      <c r="AV6620">
        <v>0</v>
      </c>
      <c r="AW6620">
        <v>0</v>
      </c>
      <c r="AY6620">
        <v>0</v>
      </c>
      <c r="AZ6620">
        <v>0</v>
      </c>
      <c r="BA6620">
        <v>70</v>
      </c>
      <c r="BE6620" t="str">
        <f>T("9791164094684")</f>
        <v>9791164094684</v>
      </c>
      <c r="BF6620" t="str">
        <f>T("E791591")</f>
        <v>E791591</v>
      </c>
      <c r="BG6620" t="str">
        <f>T("로판 웹소설 &gt; 서양풍 로판")</f>
        <v>로판 웹소설 &gt; 서양풍 로판</v>
      </c>
    </row>
    <row r="6621" spans="1:59">
      <c r="A6621" t="s">
        <v>60</v>
      </c>
      <c r="B6621" s="1">
        <v>46131</v>
      </c>
      <c r="C6621">
        <v>2378018277</v>
      </c>
      <c r="D6621">
        <v>2378024431</v>
      </c>
      <c r="E6621" t="str">
        <f>T("한 배를 탄 사이 61화")</f>
        <v>한 배를 탄 사이 61화</v>
      </c>
      <c r="F6621">
        <v>61</v>
      </c>
      <c r="G6621" t="str">
        <f>T("서루")</f>
        <v>서루</v>
      </c>
      <c r="J6621" t="str">
        <f>T("시계토끼")</f>
        <v>시계토끼</v>
      </c>
      <c r="K6621" t="str">
        <f>T("한 배를 탄 사이")</f>
        <v>한 배를 탄 사이</v>
      </c>
      <c r="L6621">
        <v>100</v>
      </c>
      <c r="M6621">
        <v>100</v>
      </c>
      <c r="N6621">
        <v>1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0</v>
      </c>
      <c r="AE6621">
        <v>0</v>
      </c>
      <c r="AF6621">
        <v>0</v>
      </c>
      <c r="AG6621">
        <v>0</v>
      </c>
      <c r="AH6621">
        <v>0</v>
      </c>
      <c r="AI6621">
        <v>100</v>
      </c>
      <c r="AJ6621">
        <v>1</v>
      </c>
      <c r="AK6621">
        <v>0</v>
      </c>
      <c r="AL6621">
        <v>0</v>
      </c>
      <c r="AM6621">
        <v>100</v>
      </c>
      <c r="AN6621">
        <v>0</v>
      </c>
      <c r="AO6621">
        <v>0</v>
      </c>
      <c r="AP6621">
        <v>0</v>
      </c>
      <c r="AQ6621">
        <v>0</v>
      </c>
      <c r="AS6621">
        <v>0</v>
      </c>
      <c r="AT6621">
        <v>0</v>
      </c>
      <c r="AV6621">
        <v>0</v>
      </c>
      <c r="AW6621">
        <v>0</v>
      </c>
      <c r="AY6621">
        <v>0</v>
      </c>
      <c r="AZ6621">
        <v>0</v>
      </c>
      <c r="BA6621">
        <v>70</v>
      </c>
      <c r="BE6621" t="str">
        <f>T("9791164094684")</f>
        <v>9791164094684</v>
      </c>
      <c r="BF6621" t="str">
        <f>T("E813360")</f>
        <v>E813360</v>
      </c>
      <c r="BG6621" t="str">
        <f>T("로판 웹소설 &gt; 서양풍 로판")</f>
        <v>로판 웹소설 &gt; 서양풍 로판</v>
      </c>
    </row>
    <row r="6622" spans="1:59">
      <c r="A6622" t="s">
        <v>60</v>
      </c>
      <c r="B6622" s="1">
        <v>46131</v>
      </c>
      <c r="C6622">
        <v>2378018277</v>
      </c>
      <c r="D6622">
        <v>2378018277</v>
      </c>
      <c r="E6622" t="str">
        <f>T("한 배를 탄 사이 1화")</f>
        <v>한 배를 탄 사이 1화</v>
      </c>
      <c r="F6622">
        <v>1</v>
      </c>
      <c r="G6622" t="str">
        <f>T("서루")</f>
        <v>서루</v>
      </c>
      <c r="J6622" t="str">
        <f>T("시계토끼")</f>
        <v>시계토끼</v>
      </c>
      <c r="K6622" t="str">
        <f>T("한 배를 탄 사이")</f>
        <v>한 배를 탄 사이</v>
      </c>
      <c r="L6622">
        <v>0</v>
      </c>
      <c r="M6622">
        <v>0</v>
      </c>
      <c r="N6622">
        <v>0</v>
      </c>
      <c r="O6622">
        <v>1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0</v>
      </c>
      <c r="AE6622">
        <v>0</v>
      </c>
      <c r="AF6622">
        <v>0</v>
      </c>
      <c r="AG6622">
        <v>0</v>
      </c>
      <c r="AH6622">
        <v>0</v>
      </c>
      <c r="AI6622">
        <v>0</v>
      </c>
      <c r="AJ6622">
        <v>1</v>
      </c>
      <c r="AK6622">
        <v>0</v>
      </c>
      <c r="AL6622">
        <v>0</v>
      </c>
      <c r="AM6622">
        <v>0</v>
      </c>
      <c r="AN6622">
        <v>0</v>
      </c>
      <c r="AO6622">
        <v>0</v>
      </c>
      <c r="AP6622">
        <v>0</v>
      </c>
      <c r="AQ6622">
        <v>0</v>
      </c>
      <c r="AS6622">
        <v>0</v>
      </c>
      <c r="AT6622">
        <v>0</v>
      </c>
      <c r="AV6622">
        <v>0</v>
      </c>
      <c r="AW6622">
        <v>0</v>
      </c>
      <c r="AY6622">
        <v>0</v>
      </c>
      <c r="AZ6622">
        <v>0</v>
      </c>
      <c r="BA6622">
        <v>0</v>
      </c>
      <c r="BE6622" t="str">
        <f>T("9791164094684")</f>
        <v>9791164094684</v>
      </c>
      <c r="BF6622" t="str">
        <f>T("E787065")</f>
        <v>E787065</v>
      </c>
      <c r="BG6622" t="str">
        <f>T("로판 웹소설 &gt; 서양풍 로판")</f>
        <v>로판 웹소설 &gt; 서양풍 로판</v>
      </c>
    </row>
    <row r="6623" spans="1:59">
      <c r="A6623" t="s">
        <v>60</v>
      </c>
      <c r="B6623" s="1">
        <v>46131</v>
      </c>
      <c r="C6623">
        <v>2378018277</v>
      </c>
      <c r="D6623">
        <v>2378018300</v>
      </c>
      <c r="E6623" t="str">
        <f>T("한 배를 탄 사이 2화")</f>
        <v>한 배를 탄 사이 2화</v>
      </c>
      <c r="F6623">
        <v>2</v>
      </c>
      <c r="G6623" t="str">
        <f>T("서루")</f>
        <v>서루</v>
      </c>
      <c r="J6623" t="str">
        <f>T("시계토끼")</f>
        <v>시계토끼</v>
      </c>
      <c r="K6623" t="str">
        <f>T("한 배를 탄 사이")</f>
        <v>한 배를 탄 사이</v>
      </c>
      <c r="L6623">
        <v>0</v>
      </c>
      <c r="M6623">
        <v>0</v>
      </c>
      <c r="N6623">
        <v>0</v>
      </c>
      <c r="O6623">
        <v>1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0</v>
      </c>
      <c r="AE6623">
        <v>0</v>
      </c>
      <c r="AF6623">
        <v>0</v>
      </c>
      <c r="AG6623">
        <v>0</v>
      </c>
      <c r="AH6623">
        <v>0</v>
      </c>
      <c r="AI6623">
        <v>0</v>
      </c>
      <c r="AJ6623">
        <v>1</v>
      </c>
      <c r="AK6623">
        <v>0</v>
      </c>
      <c r="AL6623">
        <v>0</v>
      </c>
      <c r="AM6623">
        <v>0</v>
      </c>
      <c r="AN6623">
        <v>0</v>
      </c>
      <c r="AO6623">
        <v>0</v>
      </c>
      <c r="AP6623">
        <v>0</v>
      </c>
      <c r="AQ6623">
        <v>0</v>
      </c>
      <c r="AS6623">
        <v>0</v>
      </c>
      <c r="AT6623">
        <v>0</v>
      </c>
      <c r="AV6623">
        <v>0</v>
      </c>
      <c r="AW6623">
        <v>0</v>
      </c>
      <c r="AY6623">
        <v>0</v>
      </c>
      <c r="AZ6623">
        <v>0</v>
      </c>
      <c r="BA6623">
        <v>0</v>
      </c>
      <c r="BE6623" t="str">
        <f>T("9791164094684")</f>
        <v>9791164094684</v>
      </c>
      <c r="BF6623" t="str">
        <f>T("E787066")</f>
        <v>E787066</v>
      </c>
      <c r="BG6623" t="str">
        <f>T("로판 웹소설 &gt; 서양풍 로판")</f>
        <v>로판 웹소설 &gt; 서양풍 로판</v>
      </c>
    </row>
    <row r="6624" spans="1:59">
      <c r="A6624" t="s">
        <v>60</v>
      </c>
      <c r="B6624" s="1">
        <v>46131</v>
      </c>
      <c r="C6624">
        <v>2378018277</v>
      </c>
      <c r="D6624">
        <v>2378024483</v>
      </c>
      <c r="E6624" t="str">
        <f>T("한 배를 탄 사이 62화")</f>
        <v>한 배를 탄 사이 62화</v>
      </c>
      <c r="F6624">
        <v>62</v>
      </c>
      <c r="G6624" t="str">
        <f>T("서루")</f>
        <v>서루</v>
      </c>
      <c r="J6624" t="str">
        <f>T("시계토끼")</f>
        <v>시계토끼</v>
      </c>
      <c r="K6624" t="str">
        <f>T("한 배를 탄 사이")</f>
        <v>한 배를 탄 사이</v>
      </c>
      <c r="L6624">
        <v>100</v>
      </c>
      <c r="M6624">
        <v>100</v>
      </c>
      <c r="N6624">
        <v>1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0</v>
      </c>
      <c r="AE6624">
        <v>0</v>
      </c>
      <c r="AF6624">
        <v>0</v>
      </c>
      <c r="AG6624">
        <v>0</v>
      </c>
      <c r="AH6624">
        <v>0</v>
      </c>
      <c r="AI6624">
        <v>100</v>
      </c>
      <c r="AJ6624">
        <v>1</v>
      </c>
      <c r="AK6624">
        <v>0</v>
      </c>
      <c r="AL6624">
        <v>0</v>
      </c>
      <c r="AM6624">
        <v>100</v>
      </c>
      <c r="AN6624">
        <v>0</v>
      </c>
      <c r="AO6624">
        <v>0</v>
      </c>
      <c r="AP6624">
        <v>0</v>
      </c>
      <c r="AQ6624">
        <v>0</v>
      </c>
      <c r="AS6624">
        <v>0</v>
      </c>
      <c r="AT6624">
        <v>0</v>
      </c>
      <c r="AV6624">
        <v>0</v>
      </c>
      <c r="AW6624">
        <v>0</v>
      </c>
      <c r="AY6624">
        <v>0</v>
      </c>
      <c r="AZ6624">
        <v>0</v>
      </c>
      <c r="BA6624">
        <v>70</v>
      </c>
      <c r="BE6624" t="str">
        <f>T("9791164094684")</f>
        <v>9791164094684</v>
      </c>
      <c r="BF6624" t="str">
        <f>T("E813705")</f>
        <v>E813705</v>
      </c>
      <c r="BG6624" t="str">
        <f>T("로판 웹소설 &gt; 서양풍 로판")</f>
        <v>로판 웹소설 &gt; 서양풍 로판</v>
      </c>
    </row>
    <row r="6625" spans="1:59">
      <c r="A6625" t="s">
        <v>60</v>
      </c>
      <c r="B6625" s="1">
        <v>46131</v>
      </c>
      <c r="C6625">
        <v>2378018277</v>
      </c>
      <c r="D6625">
        <v>2378024499</v>
      </c>
      <c r="E6625" t="str">
        <f>T("한 배를 탄 사이 63화")</f>
        <v>한 배를 탄 사이 63화</v>
      </c>
      <c r="F6625">
        <v>63</v>
      </c>
      <c r="G6625" t="str">
        <f>T("서루")</f>
        <v>서루</v>
      </c>
      <c r="J6625" t="str">
        <f>T("시계토끼")</f>
        <v>시계토끼</v>
      </c>
      <c r="K6625" t="str">
        <f>T("한 배를 탄 사이")</f>
        <v>한 배를 탄 사이</v>
      </c>
      <c r="L6625">
        <v>100</v>
      </c>
      <c r="M6625">
        <v>100</v>
      </c>
      <c r="N6625">
        <v>1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0</v>
      </c>
      <c r="AE6625">
        <v>0</v>
      </c>
      <c r="AF6625">
        <v>0</v>
      </c>
      <c r="AG6625">
        <v>0</v>
      </c>
      <c r="AH6625">
        <v>0</v>
      </c>
      <c r="AI6625">
        <v>100</v>
      </c>
      <c r="AJ6625">
        <v>1</v>
      </c>
      <c r="AK6625">
        <v>0</v>
      </c>
      <c r="AL6625">
        <v>0</v>
      </c>
      <c r="AM6625">
        <v>100</v>
      </c>
      <c r="AN6625">
        <v>0</v>
      </c>
      <c r="AO6625">
        <v>0</v>
      </c>
      <c r="AP6625">
        <v>0</v>
      </c>
      <c r="AQ6625">
        <v>0</v>
      </c>
      <c r="AS6625">
        <v>0</v>
      </c>
      <c r="AT6625">
        <v>0</v>
      </c>
      <c r="AV6625">
        <v>0</v>
      </c>
      <c r="AW6625">
        <v>0</v>
      </c>
      <c r="AY6625">
        <v>0</v>
      </c>
      <c r="AZ6625">
        <v>0</v>
      </c>
      <c r="BA6625">
        <v>70</v>
      </c>
      <c r="BE6625" t="str">
        <f>T("9791164094684")</f>
        <v>9791164094684</v>
      </c>
      <c r="BF6625" t="str">
        <f>T("E813706")</f>
        <v>E813706</v>
      </c>
      <c r="BG6625" t="str">
        <f>T("로판 웹소설 &gt; 서양풍 로판")</f>
        <v>로판 웹소설 &gt; 서양풍 로판</v>
      </c>
    </row>
    <row r="6626" spans="1:59">
      <c r="A6626" t="s">
        <v>60</v>
      </c>
      <c r="B6626" s="1">
        <v>46131</v>
      </c>
      <c r="C6626">
        <v>2378018277</v>
      </c>
      <c r="D6626">
        <v>2378024526</v>
      </c>
      <c r="E6626" t="str">
        <f>T("한 배를 탄 사이 64화")</f>
        <v>한 배를 탄 사이 64화</v>
      </c>
      <c r="F6626">
        <v>64</v>
      </c>
      <c r="G6626" t="str">
        <f>T("서루")</f>
        <v>서루</v>
      </c>
      <c r="J6626" t="str">
        <f>T("시계토끼")</f>
        <v>시계토끼</v>
      </c>
      <c r="K6626" t="str">
        <f>T("한 배를 탄 사이")</f>
        <v>한 배를 탄 사이</v>
      </c>
      <c r="L6626">
        <v>100</v>
      </c>
      <c r="M6626">
        <v>100</v>
      </c>
      <c r="N6626">
        <v>1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0</v>
      </c>
      <c r="AE6626">
        <v>0</v>
      </c>
      <c r="AF6626">
        <v>0</v>
      </c>
      <c r="AG6626">
        <v>0</v>
      </c>
      <c r="AH6626">
        <v>0</v>
      </c>
      <c r="AI6626">
        <v>100</v>
      </c>
      <c r="AJ6626">
        <v>1</v>
      </c>
      <c r="AK6626">
        <v>0</v>
      </c>
      <c r="AL6626">
        <v>0</v>
      </c>
      <c r="AM6626">
        <v>100</v>
      </c>
      <c r="AN6626">
        <v>0</v>
      </c>
      <c r="AO6626">
        <v>0</v>
      </c>
      <c r="AP6626">
        <v>0</v>
      </c>
      <c r="AQ6626">
        <v>0</v>
      </c>
      <c r="AS6626">
        <v>0</v>
      </c>
      <c r="AT6626">
        <v>0</v>
      </c>
      <c r="AV6626">
        <v>0</v>
      </c>
      <c r="AW6626">
        <v>0</v>
      </c>
      <c r="AY6626">
        <v>0</v>
      </c>
      <c r="AZ6626">
        <v>0</v>
      </c>
      <c r="BA6626">
        <v>70</v>
      </c>
      <c r="BE6626" t="str">
        <f>T("9791164094684")</f>
        <v>9791164094684</v>
      </c>
      <c r="BF6626" t="str">
        <f>T("E814483")</f>
        <v>E814483</v>
      </c>
      <c r="BG6626" t="str">
        <f>T("로판 웹소설 &gt; 서양풍 로판")</f>
        <v>로판 웹소설 &gt; 서양풍 로판</v>
      </c>
    </row>
    <row r="6627" spans="1:59">
      <c r="A6627" t="s">
        <v>60</v>
      </c>
      <c r="B6627" s="1">
        <v>46131</v>
      </c>
      <c r="C6627">
        <v>2378018277</v>
      </c>
      <c r="D6627">
        <v>2378018605</v>
      </c>
      <c r="E6627" t="str">
        <f>T("한 배를 탄 사이 55화")</f>
        <v>한 배를 탄 사이 55화</v>
      </c>
      <c r="F6627">
        <v>55</v>
      </c>
      <c r="G6627" t="str">
        <f>T("서루")</f>
        <v>서루</v>
      </c>
      <c r="J6627" t="str">
        <f>T("시계토끼")</f>
        <v>시계토끼</v>
      </c>
      <c r="K6627" t="str">
        <f>T("한 배를 탄 사이")</f>
        <v>한 배를 탄 사이</v>
      </c>
      <c r="L6627">
        <v>100</v>
      </c>
      <c r="M6627">
        <v>100</v>
      </c>
      <c r="N6627">
        <v>1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0</v>
      </c>
      <c r="AE6627">
        <v>0</v>
      </c>
      <c r="AF6627">
        <v>0</v>
      </c>
      <c r="AG6627">
        <v>0</v>
      </c>
      <c r="AH6627">
        <v>0</v>
      </c>
      <c r="AI6627">
        <v>100</v>
      </c>
      <c r="AJ6627">
        <v>1</v>
      </c>
      <c r="AK6627">
        <v>0</v>
      </c>
      <c r="AL6627">
        <v>0</v>
      </c>
      <c r="AM6627">
        <v>100</v>
      </c>
      <c r="AN6627">
        <v>0</v>
      </c>
      <c r="AO6627">
        <v>0</v>
      </c>
      <c r="AP6627">
        <v>0</v>
      </c>
      <c r="AQ6627">
        <v>0</v>
      </c>
      <c r="AS6627">
        <v>0</v>
      </c>
      <c r="AT6627">
        <v>0</v>
      </c>
      <c r="AV6627">
        <v>0</v>
      </c>
      <c r="AW6627">
        <v>0</v>
      </c>
      <c r="AY6627">
        <v>0</v>
      </c>
      <c r="AZ6627">
        <v>0</v>
      </c>
      <c r="BA6627">
        <v>70</v>
      </c>
      <c r="BE6627" t="str">
        <f>T("9791164094684")</f>
        <v>9791164094684</v>
      </c>
      <c r="BF6627" t="str">
        <f>T("E793086")</f>
        <v>E793086</v>
      </c>
      <c r="BG6627" t="str">
        <f>T("로판 웹소설 &gt; 서양풍 로판")</f>
        <v>로판 웹소설 &gt; 서양풍 로판</v>
      </c>
    </row>
    <row r="6628" spans="1:59">
      <c r="A6628" t="s">
        <v>60</v>
      </c>
      <c r="B6628" s="1">
        <v>46131</v>
      </c>
      <c r="C6628">
        <v>2378018277</v>
      </c>
      <c r="D6628">
        <v>2378018879</v>
      </c>
      <c r="E6628" t="str">
        <f>T("한 배를 탄 사이 56화")</f>
        <v>한 배를 탄 사이 56화</v>
      </c>
      <c r="F6628">
        <v>56</v>
      </c>
      <c r="G6628" t="str">
        <f>T("서루")</f>
        <v>서루</v>
      </c>
      <c r="J6628" t="str">
        <f>T("시계토끼")</f>
        <v>시계토끼</v>
      </c>
      <c r="K6628" t="str">
        <f>T("한 배를 탄 사이")</f>
        <v>한 배를 탄 사이</v>
      </c>
      <c r="L6628">
        <v>100</v>
      </c>
      <c r="M6628">
        <v>100</v>
      </c>
      <c r="N6628">
        <v>1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0</v>
      </c>
      <c r="AE6628">
        <v>0</v>
      </c>
      <c r="AF6628">
        <v>0</v>
      </c>
      <c r="AG6628">
        <v>0</v>
      </c>
      <c r="AH6628">
        <v>0</v>
      </c>
      <c r="AI6628">
        <v>100</v>
      </c>
      <c r="AJ6628">
        <v>1</v>
      </c>
      <c r="AK6628">
        <v>0</v>
      </c>
      <c r="AL6628">
        <v>0</v>
      </c>
      <c r="AM6628">
        <v>100</v>
      </c>
      <c r="AN6628">
        <v>0</v>
      </c>
      <c r="AO6628">
        <v>0</v>
      </c>
      <c r="AP6628">
        <v>0</v>
      </c>
      <c r="AQ6628">
        <v>0</v>
      </c>
      <c r="AS6628">
        <v>0</v>
      </c>
      <c r="AT6628">
        <v>0</v>
      </c>
      <c r="AV6628">
        <v>0</v>
      </c>
      <c r="AW6628">
        <v>0</v>
      </c>
      <c r="AY6628">
        <v>0</v>
      </c>
      <c r="AZ6628">
        <v>0</v>
      </c>
      <c r="BA6628">
        <v>70</v>
      </c>
      <c r="BE6628" t="str">
        <f>T("9791164094684")</f>
        <v>9791164094684</v>
      </c>
      <c r="BF6628" t="str">
        <f>T("E793087")</f>
        <v>E793087</v>
      </c>
      <c r="BG6628" t="str">
        <f>T("로판 웹소설 &gt; 서양풍 로판")</f>
        <v>로판 웹소설 &gt; 서양풍 로판</v>
      </c>
    </row>
    <row r="6629" spans="1:59">
      <c r="A6629" t="s">
        <v>60</v>
      </c>
      <c r="B6629" s="1">
        <v>46131</v>
      </c>
      <c r="C6629">
        <v>2378018277</v>
      </c>
      <c r="D6629">
        <v>2378018893</v>
      </c>
      <c r="E6629" t="str">
        <f>T("한 배를 탄 사이 57화")</f>
        <v>한 배를 탄 사이 57화</v>
      </c>
      <c r="F6629">
        <v>57</v>
      </c>
      <c r="G6629" t="str">
        <f>T("서루")</f>
        <v>서루</v>
      </c>
      <c r="J6629" t="str">
        <f>T("시계토끼")</f>
        <v>시계토끼</v>
      </c>
      <c r="K6629" t="str">
        <f>T("한 배를 탄 사이")</f>
        <v>한 배를 탄 사이</v>
      </c>
      <c r="L6629">
        <v>100</v>
      </c>
      <c r="M6629">
        <v>100</v>
      </c>
      <c r="N6629">
        <v>1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0</v>
      </c>
      <c r="AE6629">
        <v>0</v>
      </c>
      <c r="AF6629">
        <v>0</v>
      </c>
      <c r="AG6629">
        <v>0</v>
      </c>
      <c r="AH6629">
        <v>0</v>
      </c>
      <c r="AI6629">
        <v>100</v>
      </c>
      <c r="AJ6629">
        <v>1</v>
      </c>
      <c r="AK6629">
        <v>0</v>
      </c>
      <c r="AL6629">
        <v>0</v>
      </c>
      <c r="AM6629">
        <v>100</v>
      </c>
      <c r="AN6629">
        <v>0</v>
      </c>
      <c r="AO6629">
        <v>0</v>
      </c>
      <c r="AP6629">
        <v>0</v>
      </c>
      <c r="AQ6629">
        <v>0</v>
      </c>
      <c r="AS6629">
        <v>0</v>
      </c>
      <c r="AT6629">
        <v>0</v>
      </c>
      <c r="AV6629">
        <v>0</v>
      </c>
      <c r="AW6629">
        <v>0</v>
      </c>
      <c r="AY6629">
        <v>0</v>
      </c>
      <c r="AZ6629">
        <v>0</v>
      </c>
      <c r="BA6629">
        <v>70</v>
      </c>
      <c r="BE6629" t="str">
        <f>T("9791164094684")</f>
        <v>9791164094684</v>
      </c>
      <c r="BF6629" t="str">
        <f>T("E793088")</f>
        <v>E793088</v>
      </c>
      <c r="BG6629" t="str">
        <f>T("로판 웹소설 &gt; 서양풍 로판")</f>
        <v>로판 웹소설 &gt; 서양풍 로판</v>
      </c>
    </row>
    <row r="6630" spans="1:59">
      <c r="A6630" t="s">
        <v>60</v>
      </c>
      <c r="B6630" s="1">
        <v>46131</v>
      </c>
      <c r="C6630">
        <v>2378018277</v>
      </c>
      <c r="D6630">
        <v>2378018901</v>
      </c>
      <c r="E6630" t="str">
        <f>T("한 배를 탄 사이 58화")</f>
        <v>한 배를 탄 사이 58화</v>
      </c>
      <c r="F6630">
        <v>58</v>
      </c>
      <c r="G6630" t="str">
        <f>T("서루")</f>
        <v>서루</v>
      </c>
      <c r="J6630" t="str">
        <f>T("시계토끼")</f>
        <v>시계토끼</v>
      </c>
      <c r="K6630" t="str">
        <f>T("한 배를 탄 사이")</f>
        <v>한 배를 탄 사이</v>
      </c>
      <c r="L6630">
        <v>100</v>
      </c>
      <c r="M6630">
        <v>100</v>
      </c>
      <c r="N6630">
        <v>1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0</v>
      </c>
      <c r="AE6630">
        <v>0</v>
      </c>
      <c r="AF6630">
        <v>0</v>
      </c>
      <c r="AG6630">
        <v>0</v>
      </c>
      <c r="AH6630">
        <v>0</v>
      </c>
      <c r="AI6630">
        <v>100</v>
      </c>
      <c r="AJ6630">
        <v>1</v>
      </c>
      <c r="AK6630">
        <v>0</v>
      </c>
      <c r="AL6630">
        <v>0</v>
      </c>
      <c r="AM6630">
        <v>100</v>
      </c>
      <c r="AN6630">
        <v>0</v>
      </c>
      <c r="AO6630">
        <v>0</v>
      </c>
      <c r="AP6630">
        <v>0</v>
      </c>
      <c r="AQ6630">
        <v>0</v>
      </c>
      <c r="AS6630">
        <v>0</v>
      </c>
      <c r="AT6630">
        <v>0</v>
      </c>
      <c r="AV6630">
        <v>0</v>
      </c>
      <c r="AW6630">
        <v>0</v>
      </c>
      <c r="AY6630">
        <v>0</v>
      </c>
      <c r="AZ6630">
        <v>0</v>
      </c>
      <c r="BA6630">
        <v>70</v>
      </c>
      <c r="BE6630" t="str">
        <f>T("9791164094684")</f>
        <v>9791164094684</v>
      </c>
      <c r="BF6630" t="str">
        <f>T("E803699")</f>
        <v>E803699</v>
      </c>
      <c r="BG6630" t="str">
        <f>T("로판 웹소설 &gt; 서양풍 로판")</f>
        <v>로판 웹소설 &gt; 서양풍 로판</v>
      </c>
    </row>
    <row r="6631" spans="1:59">
      <c r="A6631" t="s">
        <v>60</v>
      </c>
      <c r="B6631" s="1">
        <v>46131</v>
      </c>
      <c r="C6631">
        <v>2378018277</v>
      </c>
      <c r="D6631">
        <v>2378019252</v>
      </c>
      <c r="E6631" t="str">
        <f>T("한 배를 탄 사이 59화")</f>
        <v>한 배를 탄 사이 59화</v>
      </c>
      <c r="F6631">
        <v>59</v>
      </c>
      <c r="G6631" t="str">
        <f>T("서루")</f>
        <v>서루</v>
      </c>
      <c r="J6631" t="str">
        <f>T("시계토끼")</f>
        <v>시계토끼</v>
      </c>
      <c r="K6631" t="str">
        <f>T("한 배를 탄 사이")</f>
        <v>한 배를 탄 사이</v>
      </c>
      <c r="L6631">
        <v>100</v>
      </c>
      <c r="M6631">
        <v>100</v>
      </c>
      <c r="N6631">
        <v>1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0</v>
      </c>
      <c r="AE6631">
        <v>0</v>
      </c>
      <c r="AF6631">
        <v>0</v>
      </c>
      <c r="AG6631">
        <v>0</v>
      </c>
      <c r="AH6631">
        <v>0</v>
      </c>
      <c r="AI6631">
        <v>100</v>
      </c>
      <c r="AJ6631">
        <v>1</v>
      </c>
      <c r="AK6631">
        <v>0</v>
      </c>
      <c r="AL6631">
        <v>0</v>
      </c>
      <c r="AM6631">
        <v>100</v>
      </c>
      <c r="AN6631">
        <v>0</v>
      </c>
      <c r="AO6631">
        <v>0</v>
      </c>
      <c r="AP6631">
        <v>0</v>
      </c>
      <c r="AQ6631">
        <v>0</v>
      </c>
      <c r="AS6631">
        <v>0</v>
      </c>
      <c r="AT6631">
        <v>0</v>
      </c>
      <c r="AV6631">
        <v>0</v>
      </c>
      <c r="AW6631">
        <v>0</v>
      </c>
      <c r="AY6631">
        <v>0</v>
      </c>
      <c r="AZ6631">
        <v>0</v>
      </c>
      <c r="BA6631">
        <v>70</v>
      </c>
      <c r="BE6631" t="str">
        <f>T("9791164094684")</f>
        <v>9791164094684</v>
      </c>
      <c r="BF6631" t="str">
        <f>T("E803700")</f>
        <v>E803700</v>
      </c>
      <c r="BG6631" t="str">
        <f>T("로판 웹소설 &gt; 서양풍 로판")</f>
        <v>로판 웹소설 &gt; 서양풍 로판</v>
      </c>
    </row>
    <row r="6632" spans="1:59">
      <c r="A6632" t="s">
        <v>60</v>
      </c>
      <c r="B6632" s="1">
        <v>46131</v>
      </c>
      <c r="C6632">
        <v>2378018277</v>
      </c>
      <c r="D6632">
        <v>2378019433</v>
      </c>
      <c r="E6632" t="str">
        <f>T("한 배를 탄 사이 60화")</f>
        <v>한 배를 탄 사이 60화</v>
      </c>
      <c r="F6632">
        <v>60</v>
      </c>
      <c r="G6632" t="str">
        <f>T("서루")</f>
        <v>서루</v>
      </c>
      <c r="J6632" t="str">
        <f>T("시계토끼")</f>
        <v>시계토끼</v>
      </c>
      <c r="K6632" t="str">
        <f>T("한 배를 탄 사이")</f>
        <v>한 배를 탄 사이</v>
      </c>
      <c r="L6632">
        <v>100</v>
      </c>
      <c r="M6632">
        <v>100</v>
      </c>
      <c r="N6632">
        <v>1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0</v>
      </c>
      <c r="AE6632">
        <v>0</v>
      </c>
      <c r="AF6632">
        <v>0</v>
      </c>
      <c r="AG6632">
        <v>0</v>
      </c>
      <c r="AH6632">
        <v>0</v>
      </c>
      <c r="AI6632">
        <v>100</v>
      </c>
      <c r="AJ6632">
        <v>1</v>
      </c>
      <c r="AK6632">
        <v>0</v>
      </c>
      <c r="AL6632">
        <v>0</v>
      </c>
      <c r="AM6632">
        <v>100</v>
      </c>
      <c r="AN6632">
        <v>0</v>
      </c>
      <c r="AO6632">
        <v>0</v>
      </c>
      <c r="AP6632">
        <v>0</v>
      </c>
      <c r="AQ6632">
        <v>0</v>
      </c>
      <c r="AS6632">
        <v>0</v>
      </c>
      <c r="AT6632">
        <v>0</v>
      </c>
      <c r="AV6632">
        <v>0</v>
      </c>
      <c r="AW6632">
        <v>0</v>
      </c>
      <c r="AY6632">
        <v>0</v>
      </c>
      <c r="AZ6632">
        <v>0</v>
      </c>
      <c r="BA6632">
        <v>70</v>
      </c>
      <c r="BE6632" t="str">
        <f>T("9791164094684")</f>
        <v>9791164094684</v>
      </c>
      <c r="BF6632" t="str">
        <f>T("E803701")</f>
        <v>E803701</v>
      </c>
      <c r="BG6632" t="str">
        <f>T("로판 웹소설 &gt; 서양풍 로판")</f>
        <v>로판 웹소설 &gt; 서양풍 로판</v>
      </c>
    </row>
    <row r="6633" spans="1:59">
      <c r="A6633" t="s">
        <v>60</v>
      </c>
      <c r="B6633" s="1">
        <v>46131</v>
      </c>
      <c r="C6633">
        <v>2378018277</v>
      </c>
      <c r="D6633">
        <v>2378024805</v>
      </c>
      <c r="E6633" t="str">
        <f>T("한 배를 탄 사이 72화")</f>
        <v>한 배를 탄 사이 72화</v>
      </c>
      <c r="F6633">
        <v>72</v>
      </c>
      <c r="G6633" t="str">
        <f>T("서루")</f>
        <v>서루</v>
      </c>
      <c r="J6633" t="str">
        <f>T("시계토끼")</f>
        <v>시계토끼</v>
      </c>
      <c r="K6633" t="str">
        <f>T("한 배를 탄 사이")</f>
        <v>한 배를 탄 사이</v>
      </c>
      <c r="L6633">
        <v>100</v>
      </c>
      <c r="M6633">
        <v>100</v>
      </c>
      <c r="N6633">
        <v>1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0</v>
      </c>
      <c r="AE6633">
        <v>0</v>
      </c>
      <c r="AF6633">
        <v>0</v>
      </c>
      <c r="AG6633">
        <v>0</v>
      </c>
      <c r="AH6633">
        <v>0</v>
      </c>
      <c r="AI6633">
        <v>100</v>
      </c>
      <c r="AJ6633">
        <v>1</v>
      </c>
      <c r="AK6633">
        <v>0</v>
      </c>
      <c r="AL6633">
        <v>0</v>
      </c>
      <c r="AM6633">
        <v>100</v>
      </c>
      <c r="AN6633">
        <v>0</v>
      </c>
      <c r="AO6633">
        <v>0</v>
      </c>
      <c r="AP6633">
        <v>0</v>
      </c>
      <c r="AQ6633">
        <v>0</v>
      </c>
      <c r="AS6633">
        <v>0</v>
      </c>
      <c r="AT6633">
        <v>0</v>
      </c>
      <c r="AV6633">
        <v>0</v>
      </c>
      <c r="AW6633">
        <v>0</v>
      </c>
      <c r="AY6633">
        <v>0</v>
      </c>
      <c r="AZ6633">
        <v>0</v>
      </c>
      <c r="BA6633">
        <v>70</v>
      </c>
      <c r="BE6633" t="str">
        <f>T("9791164094684")</f>
        <v>9791164094684</v>
      </c>
      <c r="BF6633" t="str">
        <f>T("E819994")</f>
        <v>E819994</v>
      </c>
      <c r="BG6633" t="str">
        <f>T("로판 웹소설 &gt; 서양풍 로판")</f>
        <v>로판 웹소설 &gt; 서양풍 로판</v>
      </c>
    </row>
    <row r="6634" spans="1:59">
      <c r="A6634" t="s">
        <v>60</v>
      </c>
      <c r="B6634" s="1">
        <v>46131</v>
      </c>
      <c r="C6634">
        <v>2378018277</v>
      </c>
      <c r="D6634">
        <v>2378024836</v>
      </c>
      <c r="E6634" t="str">
        <f>T("한 배를 탄 사이 73화")</f>
        <v>한 배를 탄 사이 73화</v>
      </c>
      <c r="F6634">
        <v>73</v>
      </c>
      <c r="G6634" t="str">
        <f>T("서루")</f>
        <v>서루</v>
      </c>
      <c r="J6634" t="str">
        <f>T("시계토끼")</f>
        <v>시계토끼</v>
      </c>
      <c r="K6634" t="str">
        <f>T("한 배를 탄 사이")</f>
        <v>한 배를 탄 사이</v>
      </c>
      <c r="L6634">
        <v>100</v>
      </c>
      <c r="M6634">
        <v>100</v>
      </c>
      <c r="N6634">
        <v>1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0</v>
      </c>
      <c r="AE6634">
        <v>0</v>
      </c>
      <c r="AF6634">
        <v>0</v>
      </c>
      <c r="AG6634">
        <v>0</v>
      </c>
      <c r="AH6634">
        <v>0</v>
      </c>
      <c r="AI6634">
        <v>100</v>
      </c>
      <c r="AJ6634">
        <v>1</v>
      </c>
      <c r="AK6634">
        <v>0</v>
      </c>
      <c r="AL6634">
        <v>0</v>
      </c>
      <c r="AM6634">
        <v>100</v>
      </c>
      <c r="AN6634">
        <v>0</v>
      </c>
      <c r="AO6634">
        <v>0</v>
      </c>
      <c r="AP6634">
        <v>0</v>
      </c>
      <c r="AQ6634">
        <v>0</v>
      </c>
      <c r="AS6634">
        <v>0</v>
      </c>
      <c r="AT6634">
        <v>0</v>
      </c>
      <c r="AV6634">
        <v>0</v>
      </c>
      <c r="AW6634">
        <v>0</v>
      </c>
      <c r="AY6634">
        <v>0</v>
      </c>
      <c r="AZ6634">
        <v>0</v>
      </c>
      <c r="BA6634">
        <v>70</v>
      </c>
      <c r="BE6634" t="str">
        <f>T("9791164094684")</f>
        <v>9791164094684</v>
      </c>
      <c r="BF6634" t="str">
        <f>T("E820056")</f>
        <v>E820056</v>
      </c>
      <c r="BG6634" t="str">
        <f>T("로판 웹소설 &gt; 서양풍 로판")</f>
        <v>로판 웹소설 &gt; 서양풍 로판</v>
      </c>
    </row>
    <row r="6635" spans="1:59">
      <c r="A6635" t="s">
        <v>60</v>
      </c>
      <c r="B6635" s="1">
        <v>46131</v>
      </c>
      <c r="C6635">
        <v>2378018277</v>
      </c>
      <c r="D6635">
        <v>2378024846</v>
      </c>
      <c r="E6635" t="str">
        <f>T("한 배를 탄 사이 74화")</f>
        <v>한 배를 탄 사이 74화</v>
      </c>
      <c r="F6635">
        <v>74</v>
      </c>
      <c r="G6635" t="str">
        <f>T("서루")</f>
        <v>서루</v>
      </c>
      <c r="J6635" t="str">
        <f>T("시계토끼")</f>
        <v>시계토끼</v>
      </c>
      <c r="K6635" t="str">
        <f>T("한 배를 탄 사이")</f>
        <v>한 배를 탄 사이</v>
      </c>
      <c r="L6635">
        <v>100</v>
      </c>
      <c r="M6635">
        <v>100</v>
      </c>
      <c r="N6635">
        <v>1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0</v>
      </c>
      <c r="AE6635">
        <v>0</v>
      </c>
      <c r="AF6635">
        <v>0</v>
      </c>
      <c r="AG6635">
        <v>0</v>
      </c>
      <c r="AH6635">
        <v>0</v>
      </c>
      <c r="AI6635">
        <v>100</v>
      </c>
      <c r="AJ6635">
        <v>1</v>
      </c>
      <c r="AK6635">
        <v>0</v>
      </c>
      <c r="AL6635">
        <v>0</v>
      </c>
      <c r="AM6635">
        <v>100</v>
      </c>
      <c r="AN6635">
        <v>0</v>
      </c>
      <c r="AO6635">
        <v>0</v>
      </c>
      <c r="AP6635">
        <v>0</v>
      </c>
      <c r="AQ6635">
        <v>0</v>
      </c>
      <c r="AS6635">
        <v>0</v>
      </c>
      <c r="AT6635">
        <v>0</v>
      </c>
      <c r="AV6635">
        <v>0</v>
      </c>
      <c r="AW6635">
        <v>0</v>
      </c>
      <c r="AY6635">
        <v>0</v>
      </c>
      <c r="AZ6635">
        <v>0</v>
      </c>
      <c r="BA6635">
        <v>70</v>
      </c>
      <c r="BE6635" t="str">
        <f>T("9791164094684")</f>
        <v>9791164094684</v>
      </c>
      <c r="BF6635" t="str">
        <f>T("E820195")</f>
        <v>E820195</v>
      </c>
      <c r="BG6635" t="str">
        <f>T("로판 웹소설 &gt; 서양풍 로판")</f>
        <v>로판 웹소설 &gt; 서양풍 로판</v>
      </c>
    </row>
    <row r="6636" spans="1:59">
      <c r="A6636" t="s">
        <v>60</v>
      </c>
      <c r="B6636" s="1">
        <v>46131</v>
      </c>
      <c r="C6636">
        <v>2378018277</v>
      </c>
      <c r="D6636">
        <v>2378024867</v>
      </c>
      <c r="E6636" t="str">
        <f>T("한 배를 탄 사이 75화")</f>
        <v>한 배를 탄 사이 75화</v>
      </c>
      <c r="F6636">
        <v>75</v>
      </c>
      <c r="G6636" t="str">
        <f>T("서루")</f>
        <v>서루</v>
      </c>
      <c r="J6636" t="str">
        <f>T("시계토끼")</f>
        <v>시계토끼</v>
      </c>
      <c r="K6636" t="str">
        <f>T("한 배를 탄 사이")</f>
        <v>한 배를 탄 사이</v>
      </c>
      <c r="L6636">
        <v>100</v>
      </c>
      <c r="M6636">
        <v>100</v>
      </c>
      <c r="N6636">
        <v>1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0</v>
      </c>
      <c r="AE6636">
        <v>0</v>
      </c>
      <c r="AF6636">
        <v>0</v>
      </c>
      <c r="AG6636">
        <v>0</v>
      </c>
      <c r="AH6636">
        <v>0</v>
      </c>
      <c r="AI6636">
        <v>100</v>
      </c>
      <c r="AJ6636">
        <v>1</v>
      </c>
      <c r="AK6636">
        <v>0</v>
      </c>
      <c r="AL6636">
        <v>0</v>
      </c>
      <c r="AM6636">
        <v>100</v>
      </c>
      <c r="AN6636">
        <v>0</v>
      </c>
      <c r="AO6636">
        <v>0</v>
      </c>
      <c r="AP6636">
        <v>0</v>
      </c>
      <c r="AQ6636">
        <v>0</v>
      </c>
      <c r="AS6636">
        <v>0</v>
      </c>
      <c r="AT6636">
        <v>0</v>
      </c>
      <c r="AV6636">
        <v>0</v>
      </c>
      <c r="AW6636">
        <v>0</v>
      </c>
      <c r="AY6636">
        <v>0</v>
      </c>
      <c r="AZ6636">
        <v>0</v>
      </c>
      <c r="BA6636">
        <v>70</v>
      </c>
      <c r="BE6636" t="str">
        <f>T("9791164094684")</f>
        <v>9791164094684</v>
      </c>
      <c r="BF6636" t="str">
        <f>T("E820717")</f>
        <v>E820717</v>
      </c>
      <c r="BG6636" t="str">
        <f>T("로판 웹소설 &gt; 서양풍 로판")</f>
        <v>로판 웹소설 &gt; 서양풍 로판</v>
      </c>
    </row>
    <row r="6637" spans="1:59">
      <c r="A6637" t="s">
        <v>60</v>
      </c>
      <c r="B6637" s="1">
        <v>46131</v>
      </c>
      <c r="C6637">
        <v>2378018277</v>
      </c>
      <c r="D6637">
        <v>2378024598</v>
      </c>
      <c r="E6637" t="str">
        <f>T("한 배를 탄 사이 66화")</f>
        <v>한 배를 탄 사이 66화</v>
      </c>
      <c r="F6637">
        <v>66</v>
      </c>
      <c r="G6637" t="str">
        <f>T("서루")</f>
        <v>서루</v>
      </c>
      <c r="J6637" t="str">
        <f>T("시계토끼")</f>
        <v>시계토끼</v>
      </c>
      <c r="K6637" t="str">
        <f>T("한 배를 탄 사이")</f>
        <v>한 배를 탄 사이</v>
      </c>
      <c r="L6637">
        <v>100</v>
      </c>
      <c r="M6637">
        <v>100</v>
      </c>
      <c r="N6637">
        <v>1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0</v>
      </c>
      <c r="AE6637">
        <v>0</v>
      </c>
      <c r="AF6637">
        <v>0</v>
      </c>
      <c r="AG6637">
        <v>0</v>
      </c>
      <c r="AH6637">
        <v>0</v>
      </c>
      <c r="AI6637">
        <v>100</v>
      </c>
      <c r="AJ6637">
        <v>1</v>
      </c>
      <c r="AK6637">
        <v>0</v>
      </c>
      <c r="AL6637">
        <v>0</v>
      </c>
      <c r="AM6637">
        <v>100</v>
      </c>
      <c r="AN6637">
        <v>0</v>
      </c>
      <c r="AO6637">
        <v>0</v>
      </c>
      <c r="AP6637">
        <v>0</v>
      </c>
      <c r="AQ6637">
        <v>0</v>
      </c>
      <c r="AS6637">
        <v>0</v>
      </c>
      <c r="AT6637">
        <v>0</v>
      </c>
      <c r="AV6637">
        <v>0</v>
      </c>
      <c r="AW6637">
        <v>0</v>
      </c>
      <c r="AY6637">
        <v>0</v>
      </c>
      <c r="AZ6637">
        <v>0</v>
      </c>
      <c r="BA6637">
        <v>70</v>
      </c>
      <c r="BE6637" t="str">
        <f>T("9791164094684")</f>
        <v>9791164094684</v>
      </c>
      <c r="BF6637" t="str">
        <f>T("E816969")</f>
        <v>E816969</v>
      </c>
      <c r="BG6637" t="str">
        <f>T("로판 웹소설 &gt; 서양풍 로판")</f>
        <v>로판 웹소설 &gt; 서양풍 로판</v>
      </c>
    </row>
    <row r="6638" spans="1:59">
      <c r="A6638" t="s">
        <v>60</v>
      </c>
      <c r="B6638" s="1">
        <v>46131</v>
      </c>
      <c r="C6638">
        <v>2378018277</v>
      </c>
      <c r="D6638">
        <v>2378024608</v>
      </c>
      <c r="E6638" t="str">
        <f>T("한 배를 탄 사이 67화")</f>
        <v>한 배를 탄 사이 67화</v>
      </c>
      <c r="F6638">
        <v>67</v>
      </c>
      <c r="G6638" t="str">
        <f>T("서루")</f>
        <v>서루</v>
      </c>
      <c r="J6638" t="str">
        <f>T("시계토끼")</f>
        <v>시계토끼</v>
      </c>
      <c r="K6638" t="str">
        <f>T("한 배를 탄 사이")</f>
        <v>한 배를 탄 사이</v>
      </c>
      <c r="L6638">
        <v>100</v>
      </c>
      <c r="M6638">
        <v>100</v>
      </c>
      <c r="N6638">
        <v>1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0</v>
      </c>
      <c r="AE6638">
        <v>0</v>
      </c>
      <c r="AF6638">
        <v>0</v>
      </c>
      <c r="AG6638">
        <v>0</v>
      </c>
      <c r="AH6638">
        <v>0</v>
      </c>
      <c r="AI6638">
        <v>100</v>
      </c>
      <c r="AJ6638">
        <v>1</v>
      </c>
      <c r="AK6638">
        <v>0</v>
      </c>
      <c r="AL6638">
        <v>0</v>
      </c>
      <c r="AM6638">
        <v>100</v>
      </c>
      <c r="AN6638">
        <v>0</v>
      </c>
      <c r="AO6638">
        <v>0</v>
      </c>
      <c r="AP6638">
        <v>0</v>
      </c>
      <c r="AQ6638">
        <v>0</v>
      </c>
      <c r="AS6638">
        <v>0</v>
      </c>
      <c r="AT6638">
        <v>0</v>
      </c>
      <c r="AV6638">
        <v>0</v>
      </c>
      <c r="AW6638">
        <v>0</v>
      </c>
      <c r="AY6638">
        <v>0</v>
      </c>
      <c r="AZ6638">
        <v>0</v>
      </c>
      <c r="BA6638">
        <v>70</v>
      </c>
      <c r="BE6638" t="str">
        <f>T("9791164094684")</f>
        <v>9791164094684</v>
      </c>
      <c r="BF6638" t="str">
        <f>T("E816997")</f>
        <v>E816997</v>
      </c>
      <c r="BG6638" t="str">
        <f>T("로판 웹소설 &gt; 서양풍 로판")</f>
        <v>로판 웹소설 &gt; 서양풍 로판</v>
      </c>
    </row>
    <row r="6639" spans="1:59">
      <c r="A6639" t="s">
        <v>60</v>
      </c>
      <c r="B6639" s="1">
        <v>46131</v>
      </c>
      <c r="C6639">
        <v>2378018277</v>
      </c>
      <c r="D6639">
        <v>2378024651</v>
      </c>
      <c r="E6639" t="str">
        <f>T("한 배를 탄 사이 68화")</f>
        <v>한 배를 탄 사이 68화</v>
      </c>
      <c r="F6639">
        <v>68</v>
      </c>
      <c r="G6639" t="str">
        <f>T("서루")</f>
        <v>서루</v>
      </c>
      <c r="J6639" t="str">
        <f>T("시계토끼")</f>
        <v>시계토끼</v>
      </c>
      <c r="K6639" t="str">
        <f>T("한 배를 탄 사이")</f>
        <v>한 배를 탄 사이</v>
      </c>
      <c r="L6639">
        <v>100</v>
      </c>
      <c r="M6639">
        <v>100</v>
      </c>
      <c r="N6639">
        <v>1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0</v>
      </c>
      <c r="AE6639">
        <v>0</v>
      </c>
      <c r="AF6639">
        <v>0</v>
      </c>
      <c r="AG6639">
        <v>0</v>
      </c>
      <c r="AH6639">
        <v>0</v>
      </c>
      <c r="AI6639">
        <v>100</v>
      </c>
      <c r="AJ6639">
        <v>1</v>
      </c>
      <c r="AK6639">
        <v>0</v>
      </c>
      <c r="AL6639">
        <v>0</v>
      </c>
      <c r="AM6639">
        <v>100</v>
      </c>
      <c r="AN6639">
        <v>0</v>
      </c>
      <c r="AO6639">
        <v>0</v>
      </c>
      <c r="AP6639">
        <v>0</v>
      </c>
      <c r="AQ6639">
        <v>0</v>
      </c>
      <c r="AS6639">
        <v>0</v>
      </c>
      <c r="AT6639">
        <v>0</v>
      </c>
      <c r="AV6639">
        <v>0</v>
      </c>
      <c r="AW6639">
        <v>0</v>
      </c>
      <c r="AY6639">
        <v>0</v>
      </c>
      <c r="AZ6639">
        <v>0</v>
      </c>
      <c r="BA6639">
        <v>70</v>
      </c>
      <c r="BE6639" t="str">
        <f>T("9791164094684")</f>
        <v>9791164094684</v>
      </c>
      <c r="BF6639" t="str">
        <f>T("E817159")</f>
        <v>E817159</v>
      </c>
      <c r="BG6639" t="str">
        <f>T("로판 웹소설 &gt; 서양풍 로판")</f>
        <v>로판 웹소설 &gt; 서양풍 로판</v>
      </c>
    </row>
    <row r="6640" spans="1:59">
      <c r="A6640" t="s">
        <v>60</v>
      </c>
      <c r="B6640" s="1">
        <v>46131</v>
      </c>
      <c r="C6640">
        <v>2378018277</v>
      </c>
      <c r="D6640">
        <v>2378024679</v>
      </c>
      <c r="E6640" t="str">
        <f>T("한 배를 탄 사이 69화")</f>
        <v>한 배를 탄 사이 69화</v>
      </c>
      <c r="F6640">
        <v>69</v>
      </c>
      <c r="G6640" t="str">
        <f>T("서루")</f>
        <v>서루</v>
      </c>
      <c r="J6640" t="str">
        <f>T("시계토끼")</f>
        <v>시계토끼</v>
      </c>
      <c r="K6640" t="str">
        <f>T("한 배를 탄 사이")</f>
        <v>한 배를 탄 사이</v>
      </c>
      <c r="L6640">
        <v>100</v>
      </c>
      <c r="M6640">
        <v>100</v>
      </c>
      <c r="N6640">
        <v>1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0</v>
      </c>
      <c r="AE6640">
        <v>0</v>
      </c>
      <c r="AF6640">
        <v>0</v>
      </c>
      <c r="AG6640">
        <v>0</v>
      </c>
      <c r="AH6640">
        <v>0</v>
      </c>
      <c r="AI6640">
        <v>100</v>
      </c>
      <c r="AJ6640">
        <v>1</v>
      </c>
      <c r="AK6640">
        <v>0</v>
      </c>
      <c r="AL6640">
        <v>0</v>
      </c>
      <c r="AM6640">
        <v>100</v>
      </c>
      <c r="AN6640">
        <v>0</v>
      </c>
      <c r="AO6640">
        <v>0</v>
      </c>
      <c r="AP6640">
        <v>0</v>
      </c>
      <c r="AQ6640">
        <v>0</v>
      </c>
      <c r="AS6640">
        <v>0</v>
      </c>
      <c r="AT6640">
        <v>0</v>
      </c>
      <c r="AV6640">
        <v>0</v>
      </c>
      <c r="AW6640">
        <v>0</v>
      </c>
      <c r="AY6640">
        <v>0</v>
      </c>
      <c r="AZ6640">
        <v>0</v>
      </c>
      <c r="BA6640">
        <v>70</v>
      </c>
      <c r="BE6640" t="str">
        <f>T("9791164094684")</f>
        <v>9791164094684</v>
      </c>
      <c r="BF6640" t="str">
        <f>T("E818648")</f>
        <v>E818648</v>
      </c>
      <c r="BG6640" t="str">
        <f>T("로판 웹소설 &gt; 서양풍 로판")</f>
        <v>로판 웹소설 &gt; 서양풍 로판</v>
      </c>
    </row>
    <row r="6641" spans="1:59">
      <c r="A6641" t="s">
        <v>60</v>
      </c>
      <c r="B6641" s="1">
        <v>46131</v>
      </c>
      <c r="C6641">
        <v>2378018277</v>
      </c>
      <c r="D6641">
        <v>2378024706</v>
      </c>
      <c r="E6641" t="str">
        <f>T("한 배를 탄 사이 70화")</f>
        <v>한 배를 탄 사이 70화</v>
      </c>
      <c r="F6641">
        <v>70</v>
      </c>
      <c r="G6641" t="str">
        <f>T("서루")</f>
        <v>서루</v>
      </c>
      <c r="J6641" t="str">
        <f>T("시계토끼")</f>
        <v>시계토끼</v>
      </c>
      <c r="K6641" t="str">
        <f>T("한 배를 탄 사이")</f>
        <v>한 배를 탄 사이</v>
      </c>
      <c r="L6641">
        <v>100</v>
      </c>
      <c r="M6641">
        <v>100</v>
      </c>
      <c r="N6641">
        <v>1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0</v>
      </c>
      <c r="AE6641">
        <v>0</v>
      </c>
      <c r="AF6641">
        <v>0</v>
      </c>
      <c r="AG6641">
        <v>0</v>
      </c>
      <c r="AH6641">
        <v>0</v>
      </c>
      <c r="AI6641">
        <v>100</v>
      </c>
      <c r="AJ6641">
        <v>1</v>
      </c>
      <c r="AK6641">
        <v>0</v>
      </c>
      <c r="AL6641">
        <v>0</v>
      </c>
      <c r="AM6641">
        <v>100</v>
      </c>
      <c r="AN6641">
        <v>0</v>
      </c>
      <c r="AO6641">
        <v>0</v>
      </c>
      <c r="AP6641">
        <v>0</v>
      </c>
      <c r="AQ6641">
        <v>0</v>
      </c>
      <c r="AS6641">
        <v>0</v>
      </c>
      <c r="AT6641">
        <v>0</v>
      </c>
      <c r="AV6641">
        <v>0</v>
      </c>
      <c r="AW6641">
        <v>0</v>
      </c>
      <c r="AY6641">
        <v>0</v>
      </c>
      <c r="AZ6641">
        <v>0</v>
      </c>
      <c r="BA6641">
        <v>70</v>
      </c>
      <c r="BE6641" t="str">
        <f>T("9791164094684")</f>
        <v>9791164094684</v>
      </c>
      <c r="BF6641" t="str">
        <f>T("E818725")</f>
        <v>E818725</v>
      </c>
      <c r="BG6641" t="str">
        <f>T("로판 웹소설 &gt; 서양풍 로판")</f>
        <v>로판 웹소설 &gt; 서양풍 로판</v>
      </c>
    </row>
    <row r="6642" spans="1:59">
      <c r="A6642" t="s">
        <v>60</v>
      </c>
      <c r="B6642" s="1">
        <v>46131</v>
      </c>
      <c r="C6642">
        <v>2378018277</v>
      </c>
      <c r="D6642">
        <v>2378024756</v>
      </c>
      <c r="E6642" t="str">
        <f>T("한 배를 탄 사이 71화")</f>
        <v>한 배를 탄 사이 71화</v>
      </c>
      <c r="F6642">
        <v>71</v>
      </c>
      <c r="G6642" t="str">
        <f>T("서루")</f>
        <v>서루</v>
      </c>
      <c r="J6642" t="str">
        <f>T("시계토끼")</f>
        <v>시계토끼</v>
      </c>
      <c r="K6642" t="str">
        <f>T("한 배를 탄 사이")</f>
        <v>한 배를 탄 사이</v>
      </c>
      <c r="L6642">
        <v>100</v>
      </c>
      <c r="M6642">
        <v>100</v>
      </c>
      <c r="N6642">
        <v>1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0</v>
      </c>
      <c r="AE6642">
        <v>0</v>
      </c>
      <c r="AF6642">
        <v>0</v>
      </c>
      <c r="AG6642">
        <v>0</v>
      </c>
      <c r="AH6642">
        <v>0</v>
      </c>
      <c r="AI6642">
        <v>100</v>
      </c>
      <c r="AJ6642">
        <v>1</v>
      </c>
      <c r="AK6642">
        <v>0</v>
      </c>
      <c r="AL6642">
        <v>0</v>
      </c>
      <c r="AM6642">
        <v>100</v>
      </c>
      <c r="AN6642">
        <v>0</v>
      </c>
      <c r="AO6642">
        <v>0</v>
      </c>
      <c r="AP6642">
        <v>0</v>
      </c>
      <c r="AQ6642">
        <v>0</v>
      </c>
      <c r="AS6642">
        <v>0</v>
      </c>
      <c r="AT6642">
        <v>0</v>
      </c>
      <c r="AV6642">
        <v>0</v>
      </c>
      <c r="AW6642">
        <v>0</v>
      </c>
      <c r="AY6642">
        <v>0</v>
      </c>
      <c r="AZ6642">
        <v>0</v>
      </c>
      <c r="BA6642">
        <v>70</v>
      </c>
      <c r="BE6642" t="str">
        <f>T("9791164094684")</f>
        <v>9791164094684</v>
      </c>
      <c r="BF6642" t="str">
        <f>T("E819747")</f>
        <v>E819747</v>
      </c>
      <c r="BG6642" t="str">
        <f>T("로판 웹소설 &gt; 서양풍 로판")</f>
        <v>로판 웹소설 &gt; 서양풍 로판</v>
      </c>
    </row>
    <row r="6643" spans="1:59">
      <c r="A6643" t="s">
        <v>60</v>
      </c>
      <c r="B6643" s="1">
        <v>46130</v>
      </c>
      <c r="C6643">
        <v>2378051563</v>
      </c>
      <c r="D6643">
        <v>2378051563</v>
      </c>
      <c r="E6643" t="str">
        <f>T("한국의 메시가 되었다 1화")</f>
        <v>한국의 메시가 되었다 1화</v>
      </c>
      <c r="F6643">
        <v>1</v>
      </c>
      <c r="G6643" t="str">
        <f>T("치킨맛")</f>
        <v>치킨맛</v>
      </c>
      <c r="J6643" t="str">
        <f>T("매드햇")</f>
        <v>매드햇</v>
      </c>
      <c r="K6643" t="str">
        <f>T("한국의 메시가 되었다")</f>
        <v>한국의 메시가 되었다</v>
      </c>
      <c r="L6643">
        <v>0</v>
      </c>
      <c r="M6643">
        <v>0</v>
      </c>
      <c r="N6643">
        <v>0</v>
      </c>
      <c r="O6643">
        <v>1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0</v>
      </c>
      <c r="AE6643">
        <v>0</v>
      </c>
      <c r="AF6643">
        <v>0</v>
      </c>
      <c r="AG6643">
        <v>0</v>
      </c>
      <c r="AH6643">
        <v>0</v>
      </c>
      <c r="AI6643">
        <v>0</v>
      </c>
      <c r="AJ6643">
        <v>1</v>
      </c>
      <c r="AK6643">
        <v>0</v>
      </c>
      <c r="AL6643">
        <v>0</v>
      </c>
      <c r="AM6643">
        <v>0</v>
      </c>
      <c r="AN6643">
        <v>0</v>
      </c>
      <c r="AO6643">
        <v>0</v>
      </c>
      <c r="AP6643">
        <v>0</v>
      </c>
      <c r="AQ6643">
        <v>0</v>
      </c>
      <c r="AS6643">
        <v>0</v>
      </c>
      <c r="AT6643">
        <v>0</v>
      </c>
      <c r="AV6643">
        <v>0</v>
      </c>
      <c r="AW6643">
        <v>0</v>
      </c>
      <c r="AY6643">
        <v>0</v>
      </c>
      <c r="AZ6643">
        <v>0</v>
      </c>
      <c r="BA6643">
        <v>0</v>
      </c>
      <c r="BE6643" t="str">
        <f>T("9791137008175")</f>
        <v>9791137008175</v>
      </c>
      <c r="BF6643" t="str">
        <f>T("k033438")</f>
        <v>k033438</v>
      </c>
      <c r="BG6643" t="str">
        <f>T("판타지 웹소설 &gt; 현대 판타지")</f>
        <v>판타지 웹소설 &gt; 현대 판타지</v>
      </c>
    </row>
    <row r="6644" spans="1:59">
      <c r="A6644" t="s">
        <v>60</v>
      </c>
      <c r="B6644" s="1">
        <v>46130</v>
      </c>
      <c r="C6644">
        <v>2378051563</v>
      </c>
      <c r="D6644">
        <v>2378051564</v>
      </c>
      <c r="E6644" t="str">
        <f>T("한국의 메시가 되었다 2화")</f>
        <v>한국의 메시가 되었다 2화</v>
      </c>
      <c r="F6644">
        <v>2</v>
      </c>
      <c r="G6644" t="str">
        <f>T("치킨맛")</f>
        <v>치킨맛</v>
      </c>
      <c r="J6644" t="str">
        <f>T("매드햇")</f>
        <v>매드햇</v>
      </c>
      <c r="K6644" t="str">
        <f>T("한국의 메시가 되었다")</f>
        <v>한국의 메시가 되었다</v>
      </c>
      <c r="L6644">
        <v>0</v>
      </c>
      <c r="M6644">
        <v>0</v>
      </c>
      <c r="N6644">
        <v>0</v>
      </c>
      <c r="O6644">
        <v>1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0</v>
      </c>
      <c r="AE6644">
        <v>0</v>
      </c>
      <c r="AF6644">
        <v>0</v>
      </c>
      <c r="AG6644">
        <v>0</v>
      </c>
      <c r="AH6644">
        <v>0</v>
      </c>
      <c r="AI6644">
        <v>0</v>
      </c>
      <c r="AJ6644">
        <v>1</v>
      </c>
      <c r="AK6644">
        <v>0</v>
      </c>
      <c r="AL6644">
        <v>0</v>
      </c>
      <c r="AM6644">
        <v>0</v>
      </c>
      <c r="AN6644">
        <v>0</v>
      </c>
      <c r="AO6644">
        <v>0</v>
      </c>
      <c r="AP6644">
        <v>0</v>
      </c>
      <c r="AQ6644">
        <v>0</v>
      </c>
      <c r="AS6644">
        <v>0</v>
      </c>
      <c r="AT6644">
        <v>0</v>
      </c>
      <c r="AV6644">
        <v>0</v>
      </c>
      <c r="AW6644">
        <v>0</v>
      </c>
      <c r="AY6644">
        <v>0</v>
      </c>
      <c r="AZ6644">
        <v>0</v>
      </c>
      <c r="BA6644">
        <v>0</v>
      </c>
      <c r="BE6644" t="str">
        <f>T("9791137008175")</f>
        <v>9791137008175</v>
      </c>
      <c r="BF6644" t="str">
        <f>T("k033439")</f>
        <v>k033439</v>
      </c>
      <c r="BG6644" t="str">
        <f>T("판타지 웹소설 &gt; 현대 판타지")</f>
        <v>판타지 웹소설 &gt; 현대 판타지</v>
      </c>
    </row>
    <row r="6645" spans="1:59">
      <c r="A6645" t="s">
        <v>60</v>
      </c>
      <c r="B6645" s="1">
        <v>46130</v>
      </c>
      <c r="C6645">
        <v>2378051563</v>
      </c>
      <c r="D6645">
        <v>2378051565</v>
      </c>
      <c r="E6645" t="str">
        <f>T("한국의 메시가 되었다 3화")</f>
        <v>한국의 메시가 되었다 3화</v>
      </c>
      <c r="F6645">
        <v>3</v>
      </c>
      <c r="G6645" t="str">
        <f>T("치킨맛")</f>
        <v>치킨맛</v>
      </c>
      <c r="J6645" t="str">
        <f>T("매드햇")</f>
        <v>매드햇</v>
      </c>
      <c r="K6645" t="str">
        <f>T("한국의 메시가 되었다")</f>
        <v>한국의 메시가 되었다</v>
      </c>
      <c r="L6645">
        <v>0</v>
      </c>
      <c r="M6645">
        <v>0</v>
      </c>
      <c r="N6645">
        <v>0</v>
      </c>
      <c r="O6645">
        <v>1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0</v>
      </c>
      <c r="AE6645">
        <v>0</v>
      </c>
      <c r="AF6645">
        <v>0</v>
      </c>
      <c r="AG6645">
        <v>0</v>
      </c>
      <c r="AH6645">
        <v>0</v>
      </c>
      <c r="AI6645">
        <v>0</v>
      </c>
      <c r="AJ6645">
        <v>1</v>
      </c>
      <c r="AK6645">
        <v>0</v>
      </c>
      <c r="AL6645">
        <v>0</v>
      </c>
      <c r="AM6645">
        <v>0</v>
      </c>
      <c r="AN6645">
        <v>0</v>
      </c>
      <c r="AO6645">
        <v>0</v>
      </c>
      <c r="AP6645">
        <v>0</v>
      </c>
      <c r="AQ6645">
        <v>0</v>
      </c>
      <c r="AS6645">
        <v>0</v>
      </c>
      <c r="AT6645">
        <v>0</v>
      </c>
      <c r="AV6645">
        <v>0</v>
      </c>
      <c r="AW6645">
        <v>0</v>
      </c>
      <c r="AY6645">
        <v>0</v>
      </c>
      <c r="AZ6645">
        <v>0</v>
      </c>
      <c r="BA6645">
        <v>0</v>
      </c>
      <c r="BE6645" t="str">
        <f>T("9791137008175")</f>
        <v>9791137008175</v>
      </c>
      <c r="BF6645" t="str">
        <f>T("k033440")</f>
        <v>k033440</v>
      </c>
      <c r="BG6645" t="str">
        <f>T("판타지 웹소설 &gt; 현대 판타지")</f>
        <v>판타지 웹소설 &gt; 현대 판타지</v>
      </c>
    </row>
    <row r="6646" spans="1:59">
      <c r="A6646" t="s">
        <v>60</v>
      </c>
      <c r="B6646" s="1">
        <v>46130</v>
      </c>
      <c r="C6646">
        <v>2378051563</v>
      </c>
      <c r="D6646">
        <v>2378051566</v>
      </c>
      <c r="E6646" t="str">
        <f>T("한국의 메시가 되었다 4화")</f>
        <v>한국의 메시가 되었다 4화</v>
      </c>
      <c r="F6646">
        <v>4</v>
      </c>
      <c r="G6646" t="str">
        <f>T("치킨맛")</f>
        <v>치킨맛</v>
      </c>
      <c r="J6646" t="str">
        <f>T("매드햇")</f>
        <v>매드햇</v>
      </c>
      <c r="K6646" t="str">
        <f>T("한국의 메시가 되었다")</f>
        <v>한국의 메시가 되었다</v>
      </c>
      <c r="L6646">
        <v>0</v>
      </c>
      <c r="M6646">
        <v>0</v>
      </c>
      <c r="N6646">
        <v>0</v>
      </c>
      <c r="O6646">
        <v>1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0</v>
      </c>
      <c r="AE6646">
        <v>0</v>
      </c>
      <c r="AF6646">
        <v>0</v>
      </c>
      <c r="AG6646">
        <v>0</v>
      </c>
      <c r="AH6646">
        <v>0</v>
      </c>
      <c r="AI6646">
        <v>0</v>
      </c>
      <c r="AJ6646">
        <v>1</v>
      </c>
      <c r="AK6646">
        <v>0</v>
      </c>
      <c r="AL6646">
        <v>0</v>
      </c>
      <c r="AM6646">
        <v>0</v>
      </c>
      <c r="AN6646">
        <v>0</v>
      </c>
      <c r="AO6646">
        <v>0</v>
      </c>
      <c r="AP6646">
        <v>0</v>
      </c>
      <c r="AQ6646">
        <v>0</v>
      </c>
      <c r="AS6646">
        <v>0</v>
      </c>
      <c r="AT6646">
        <v>0</v>
      </c>
      <c r="AV6646">
        <v>0</v>
      </c>
      <c r="AW6646">
        <v>0</v>
      </c>
      <c r="AY6646">
        <v>0</v>
      </c>
      <c r="AZ6646">
        <v>0</v>
      </c>
      <c r="BA6646">
        <v>0</v>
      </c>
      <c r="BE6646" t="str">
        <f>T("9791137008175")</f>
        <v>9791137008175</v>
      </c>
      <c r="BF6646" t="str">
        <f>T("k033441")</f>
        <v>k033441</v>
      </c>
      <c r="BG6646" t="str">
        <f>T("판타지 웹소설 &gt; 현대 판타지")</f>
        <v>판타지 웹소설 &gt; 현대 판타지</v>
      </c>
    </row>
    <row r="6647" spans="1:59">
      <c r="A6647" t="s">
        <v>60</v>
      </c>
      <c r="B6647" s="1">
        <v>46131</v>
      </c>
      <c r="C6647">
        <v>2378051563</v>
      </c>
      <c r="D6647">
        <v>2378051567</v>
      </c>
      <c r="E6647" t="str">
        <f>T("한국의 메시가 되었다 5화")</f>
        <v>한국의 메시가 되었다 5화</v>
      </c>
      <c r="F6647">
        <v>5</v>
      </c>
      <c r="G6647" t="str">
        <f>T("치킨맛")</f>
        <v>치킨맛</v>
      </c>
      <c r="J6647" t="str">
        <f>T("매드햇")</f>
        <v>매드햇</v>
      </c>
      <c r="K6647" t="str">
        <f>T("한국의 메시가 되었다")</f>
        <v>한국의 메시가 되었다</v>
      </c>
      <c r="L6647">
        <v>0</v>
      </c>
      <c r="M6647">
        <v>0</v>
      </c>
      <c r="N6647">
        <v>0</v>
      </c>
      <c r="O6647">
        <v>1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0</v>
      </c>
      <c r="AE6647">
        <v>0</v>
      </c>
      <c r="AF6647">
        <v>0</v>
      </c>
      <c r="AG6647">
        <v>0</v>
      </c>
      <c r="AH6647">
        <v>0</v>
      </c>
      <c r="AI6647">
        <v>0</v>
      </c>
      <c r="AJ6647">
        <v>1</v>
      </c>
      <c r="AK6647">
        <v>0</v>
      </c>
      <c r="AL6647">
        <v>0</v>
      </c>
      <c r="AM6647">
        <v>0</v>
      </c>
      <c r="AN6647">
        <v>0</v>
      </c>
      <c r="AO6647">
        <v>0</v>
      </c>
      <c r="AP6647">
        <v>0</v>
      </c>
      <c r="AQ6647">
        <v>0</v>
      </c>
      <c r="AS6647">
        <v>0</v>
      </c>
      <c r="AT6647">
        <v>0</v>
      </c>
      <c r="AV6647">
        <v>0</v>
      </c>
      <c r="AW6647">
        <v>0</v>
      </c>
      <c r="AY6647">
        <v>0</v>
      </c>
      <c r="AZ6647">
        <v>0</v>
      </c>
      <c r="BA6647">
        <v>0</v>
      </c>
      <c r="BE6647" t="str">
        <f>T("9791137008175")</f>
        <v>9791137008175</v>
      </c>
      <c r="BF6647" t="str">
        <f>T("k033442")</f>
        <v>k033442</v>
      </c>
      <c r="BG6647" t="str">
        <f>T("판타지 웹소설 &gt; 현대 판타지")</f>
        <v>판타지 웹소설 &gt; 현대 판타지</v>
      </c>
    </row>
    <row r="6648" spans="1:59">
      <c r="A6648" t="s">
        <v>60</v>
      </c>
      <c r="B6648" s="1">
        <v>46131</v>
      </c>
      <c r="C6648">
        <v>2378051563</v>
      </c>
      <c r="D6648">
        <v>2378051568</v>
      </c>
      <c r="E6648" t="str">
        <f>T("한국의 메시가 되었다 6화")</f>
        <v>한국의 메시가 되었다 6화</v>
      </c>
      <c r="F6648">
        <v>6</v>
      </c>
      <c r="G6648" t="str">
        <f>T("치킨맛")</f>
        <v>치킨맛</v>
      </c>
      <c r="J6648" t="str">
        <f>T("매드햇")</f>
        <v>매드햇</v>
      </c>
      <c r="K6648" t="str">
        <f>T("한국의 메시가 되었다")</f>
        <v>한국의 메시가 되었다</v>
      </c>
      <c r="L6648">
        <v>0</v>
      </c>
      <c r="M6648">
        <v>0</v>
      </c>
      <c r="N6648">
        <v>0</v>
      </c>
      <c r="O6648">
        <v>1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0</v>
      </c>
      <c r="AE6648">
        <v>0</v>
      </c>
      <c r="AF6648">
        <v>0</v>
      </c>
      <c r="AG6648">
        <v>0</v>
      </c>
      <c r="AH6648">
        <v>0</v>
      </c>
      <c r="AI6648">
        <v>0</v>
      </c>
      <c r="AJ6648">
        <v>1</v>
      </c>
      <c r="AK6648">
        <v>0</v>
      </c>
      <c r="AL6648">
        <v>0</v>
      </c>
      <c r="AM6648">
        <v>0</v>
      </c>
      <c r="AN6648">
        <v>0</v>
      </c>
      <c r="AO6648">
        <v>0</v>
      </c>
      <c r="AP6648">
        <v>0</v>
      </c>
      <c r="AQ6648">
        <v>0</v>
      </c>
      <c r="AS6648">
        <v>0</v>
      </c>
      <c r="AT6648">
        <v>0</v>
      </c>
      <c r="AV6648">
        <v>0</v>
      </c>
      <c r="AW6648">
        <v>0</v>
      </c>
      <c r="AY6648">
        <v>0</v>
      </c>
      <c r="AZ6648">
        <v>0</v>
      </c>
      <c r="BA6648">
        <v>0</v>
      </c>
      <c r="BE6648" t="str">
        <f>T("9791137008175")</f>
        <v>9791137008175</v>
      </c>
      <c r="BF6648" t="str">
        <f>T("k033443")</f>
        <v>k033443</v>
      </c>
      <c r="BG6648" t="str">
        <f>T("판타지 웹소설 &gt; 현대 판타지")</f>
        <v>판타지 웹소설 &gt; 현대 판타지</v>
      </c>
    </row>
    <row r="6649" spans="1:59">
      <c r="A6649" t="s">
        <v>60</v>
      </c>
      <c r="B6649" s="1">
        <v>46131</v>
      </c>
      <c r="C6649">
        <v>2378051563</v>
      </c>
      <c r="D6649">
        <v>2378051569</v>
      </c>
      <c r="E6649" t="str">
        <f>T("한국의 메시가 되었다 7화")</f>
        <v>한국의 메시가 되었다 7화</v>
      </c>
      <c r="F6649">
        <v>7</v>
      </c>
      <c r="G6649" t="str">
        <f>T("치킨맛")</f>
        <v>치킨맛</v>
      </c>
      <c r="J6649" t="str">
        <f>T("매드햇")</f>
        <v>매드햇</v>
      </c>
      <c r="K6649" t="str">
        <f>T("한국의 메시가 되었다")</f>
        <v>한국의 메시가 되었다</v>
      </c>
      <c r="L6649">
        <v>0</v>
      </c>
      <c r="M6649">
        <v>0</v>
      </c>
      <c r="N6649">
        <v>0</v>
      </c>
      <c r="O6649">
        <v>1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0</v>
      </c>
      <c r="AE6649">
        <v>0</v>
      </c>
      <c r="AF6649">
        <v>0</v>
      </c>
      <c r="AG6649">
        <v>0</v>
      </c>
      <c r="AH6649">
        <v>0</v>
      </c>
      <c r="AI6649">
        <v>0</v>
      </c>
      <c r="AJ6649">
        <v>1</v>
      </c>
      <c r="AK6649">
        <v>0</v>
      </c>
      <c r="AL6649">
        <v>0</v>
      </c>
      <c r="AM6649">
        <v>0</v>
      </c>
      <c r="AN6649">
        <v>0</v>
      </c>
      <c r="AO6649">
        <v>0</v>
      </c>
      <c r="AP6649">
        <v>0</v>
      </c>
      <c r="AQ6649">
        <v>0</v>
      </c>
      <c r="AS6649">
        <v>0</v>
      </c>
      <c r="AT6649">
        <v>0</v>
      </c>
      <c r="AV6649">
        <v>0</v>
      </c>
      <c r="AW6649">
        <v>0</v>
      </c>
      <c r="AY6649">
        <v>0</v>
      </c>
      <c r="AZ6649">
        <v>0</v>
      </c>
      <c r="BA6649">
        <v>0</v>
      </c>
      <c r="BE6649" t="str">
        <f>T("9791137008175")</f>
        <v>9791137008175</v>
      </c>
      <c r="BF6649" t="str">
        <f>T("k033444")</f>
        <v>k033444</v>
      </c>
      <c r="BG6649" t="str">
        <f>T("판타지 웹소설 &gt; 현대 판타지")</f>
        <v>판타지 웹소설 &gt; 현대 판타지</v>
      </c>
    </row>
    <row r="6650" spans="1:59">
      <c r="A6650" t="s">
        <v>60</v>
      </c>
      <c r="B6650" s="1">
        <v>46131</v>
      </c>
      <c r="C6650">
        <v>2378051563</v>
      </c>
      <c r="D6650">
        <v>2378051570</v>
      </c>
      <c r="E6650" t="str">
        <f>T("한국의 메시가 되었다 8화")</f>
        <v>한국의 메시가 되었다 8화</v>
      </c>
      <c r="F6650">
        <v>8</v>
      </c>
      <c r="G6650" t="str">
        <f>T("치킨맛")</f>
        <v>치킨맛</v>
      </c>
      <c r="J6650" t="str">
        <f>T("매드햇")</f>
        <v>매드햇</v>
      </c>
      <c r="K6650" t="str">
        <f>T("한국의 메시가 되었다")</f>
        <v>한국의 메시가 되었다</v>
      </c>
      <c r="L6650">
        <v>0</v>
      </c>
      <c r="M6650">
        <v>0</v>
      </c>
      <c r="N6650">
        <v>0</v>
      </c>
      <c r="O6650">
        <v>1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0</v>
      </c>
      <c r="AE6650">
        <v>0</v>
      </c>
      <c r="AF6650">
        <v>0</v>
      </c>
      <c r="AG6650">
        <v>0</v>
      </c>
      <c r="AH6650">
        <v>0</v>
      </c>
      <c r="AI6650">
        <v>0</v>
      </c>
      <c r="AJ6650">
        <v>1</v>
      </c>
      <c r="AK6650">
        <v>0</v>
      </c>
      <c r="AL6650">
        <v>0</v>
      </c>
      <c r="AM6650">
        <v>0</v>
      </c>
      <c r="AN6650">
        <v>0</v>
      </c>
      <c r="AO6650">
        <v>0</v>
      </c>
      <c r="AP6650">
        <v>0</v>
      </c>
      <c r="AQ6650">
        <v>0</v>
      </c>
      <c r="AS6650">
        <v>0</v>
      </c>
      <c r="AT6650">
        <v>0</v>
      </c>
      <c r="AV6650">
        <v>0</v>
      </c>
      <c r="AW6650">
        <v>0</v>
      </c>
      <c r="AY6650">
        <v>0</v>
      </c>
      <c r="AZ6650">
        <v>0</v>
      </c>
      <c r="BA6650">
        <v>0</v>
      </c>
      <c r="BE6650" t="str">
        <f>T("9791137008175")</f>
        <v>9791137008175</v>
      </c>
      <c r="BF6650" t="str">
        <f>T("k033445")</f>
        <v>k033445</v>
      </c>
      <c r="BG6650" t="str">
        <f>T("판타지 웹소설 &gt; 현대 판타지")</f>
        <v>판타지 웹소설 &gt; 현대 판타지</v>
      </c>
    </row>
    <row r="6651" spans="1:59">
      <c r="A6651" t="s">
        <v>60</v>
      </c>
      <c r="B6651" s="1">
        <v>46130</v>
      </c>
      <c r="C6651">
        <v>2378080127</v>
      </c>
      <c r="D6651">
        <v>2378080127</v>
      </c>
      <c r="E6651" t="str">
        <f>T("혁련세가 차남이 되었다 1화")</f>
        <v>혁련세가 차남이 되었다 1화</v>
      </c>
      <c r="F6651">
        <v>1</v>
      </c>
      <c r="G6651" t="str">
        <f>T("타바타바")</f>
        <v>타바타바</v>
      </c>
      <c r="J6651" t="str">
        <f>T("매드햇")</f>
        <v>매드햇</v>
      </c>
      <c r="K6651" t="str">
        <f>T("혁련세가 차남이 되었다")</f>
        <v>혁련세가 차남이 되었다</v>
      </c>
      <c r="L6651">
        <v>0</v>
      </c>
      <c r="M6651">
        <v>0</v>
      </c>
      <c r="N6651">
        <v>0</v>
      </c>
      <c r="O6651">
        <v>1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0</v>
      </c>
      <c r="AE6651">
        <v>0</v>
      </c>
      <c r="AF6651">
        <v>0</v>
      </c>
      <c r="AG6651">
        <v>0</v>
      </c>
      <c r="AH6651">
        <v>0</v>
      </c>
      <c r="AI6651">
        <v>0</v>
      </c>
      <c r="AJ6651">
        <v>1</v>
      </c>
      <c r="AK6651">
        <v>0</v>
      </c>
      <c r="AL6651">
        <v>0</v>
      </c>
      <c r="AM6651">
        <v>0</v>
      </c>
      <c r="AN6651">
        <v>0</v>
      </c>
      <c r="AO6651">
        <v>0</v>
      </c>
      <c r="AP6651">
        <v>0</v>
      </c>
      <c r="AQ6651">
        <v>0</v>
      </c>
      <c r="AS6651">
        <v>0</v>
      </c>
      <c r="AT6651">
        <v>0</v>
      </c>
      <c r="AV6651">
        <v>0</v>
      </c>
      <c r="AW6651">
        <v>0</v>
      </c>
      <c r="AY6651">
        <v>0</v>
      </c>
      <c r="AZ6651">
        <v>0</v>
      </c>
      <c r="BA6651">
        <v>0</v>
      </c>
      <c r="BE6651" t="str">
        <f>T("9791137023987")</f>
        <v>9791137023987</v>
      </c>
      <c r="BF6651" t="str">
        <f>T("D182296")</f>
        <v>D182296</v>
      </c>
      <c r="BG6651" t="str">
        <f>T("판타지 웹소설 &gt; 무협 소설")</f>
        <v>판타지 웹소설 &gt; 무협 소설</v>
      </c>
    </row>
    <row r="6652" spans="1:59">
      <c r="A6652" t="s">
        <v>60</v>
      </c>
      <c r="B6652" s="1">
        <v>46131</v>
      </c>
      <c r="C6652">
        <v>2378007318</v>
      </c>
      <c r="D6652">
        <v>2378007318</v>
      </c>
      <c r="E6652" t="str">
        <f>T("현세의 마제 1화")</f>
        <v>현세의 마제 1화</v>
      </c>
      <c r="F6652">
        <v>1</v>
      </c>
      <c r="G6652" t="str">
        <f>T("허풍선")</f>
        <v>허풍선</v>
      </c>
      <c r="J6652" t="str">
        <f>T("매드햇")</f>
        <v>매드햇</v>
      </c>
      <c r="K6652" t="str">
        <f>T("현세의 마제")</f>
        <v>현세의 마제</v>
      </c>
      <c r="L6652">
        <v>0</v>
      </c>
      <c r="M6652">
        <v>0</v>
      </c>
      <c r="N6652">
        <v>0</v>
      </c>
      <c r="O6652">
        <v>1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0</v>
      </c>
      <c r="AE6652">
        <v>0</v>
      </c>
      <c r="AF6652">
        <v>0</v>
      </c>
      <c r="AG6652">
        <v>0</v>
      </c>
      <c r="AH6652">
        <v>0</v>
      </c>
      <c r="AI6652">
        <v>0</v>
      </c>
      <c r="AJ6652">
        <v>1</v>
      </c>
      <c r="AK6652">
        <v>0</v>
      </c>
      <c r="AL6652">
        <v>0</v>
      </c>
      <c r="AM6652">
        <v>0</v>
      </c>
      <c r="AN6652">
        <v>0</v>
      </c>
      <c r="AO6652">
        <v>0</v>
      </c>
      <c r="AP6652">
        <v>0</v>
      </c>
      <c r="AQ6652">
        <v>0</v>
      </c>
      <c r="AS6652">
        <v>0</v>
      </c>
      <c r="AT6652">
        <v>0</v>
      </c>
      <c r="AV6652">
        <v>0</v>
      </c>
      <c r="AW6652">
        <v>0</v>
      </c>
      <c r="AY6652">
        <v>0</v>
      </c>
      <c r="AZ6652">
        <v>0</v>
      </c>
      <c r="BA6652">
        <v>0</v>
      </c>
      <c r="BE6652" t="str">
        <f>T("9791162588338")</f>
        <v>9791162588338</v>
      </c>
      <c r="BF6652" t="str">
        <f>T("E390615")</f>
        <v>E390615</v>
      </c>
      <c r="BG6652" t="str">
        <f>T("판타지 웹소설 &gt; 현대 판타지")</f>
        <v>판타지 웹소설 &gt; 현대 판타지</v>
      </c>
    </row>
    <row r="6653" spans="1:59">
      <c r="A6653" t="s">
        <v>60</v>
      </c>
      <c r="B6653" s="1">
        <v>46131</v>
      </c>
      <c r="C6653">
        <v>2378007318</v>
      </c>
      <c r="D6653">
        <v>2378007319</v>
      </c>
      <c r="E6653" t="str">
        <f>T("현세의 마제 2화")</f>
        <v>현세의 마제 2화</v>
      </c>
      <c r="F6653">
        <v>2</v>
      </c>
      <c r="G6653" t="str">
        <f>T("허풍선")</f>
        <v>허풍선</v>
      </c>
      <c r="J6653" t="str">
        <f>T("매드햇")</f>
        <v>매드햇</v>
      </c>
      <c r="K6653" t="str">
        <f>T("현세의 마제")</f>
        <v>현세의 마제</v>
      </c>
      <c r="L6653">
        <v>0</v>
      </c>
      <c r="M6653">
        <v>0</v>
      </c>
      <c r="N6653">
        <v>0</v>
      </c>
      <c r="O6653">
        <v>1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0</v>
      </c>
      <c r="AE6653">
        <v>0</v>
      </c>
      <c r="AF6653">
        <v>0</v>
      </c>
      <c r="AG6653">
        <v>0</v>
      </c>
      <c r="AH6653">
        <v>0</v>
      </c>
      <c r="AI6653">
        <v>0</v>
      </c>
      <c r="AJ6653">
        <v>1</v>
      </c>
      <c r="AK6653">
        <v>0</v>
      </c>
      <c r="AL6653">
        <v>0</v>
      </c>
      <c r="AM6653">
        <v>0</v>
      </c>
      <c r="AN6653">
        <v>0</v>
      </c>
      <c r="AO6653">
        <v>0</v>
      </c>
      <c r="AP6653">
        <v>0</v>
      </c>
      <c r="AQ6653">
        <v>0</v>
      </c>
      <c r="AS6653">
        <v>0</v>
      </c>
      <c r="AT6653">
        <v>0</v>
      </c>
      <c r="AV6653">
        <v>0</v>
      </c>
      <c r="AW6653">
        <v>0</v>
      </c>
      <c r="AY6653">
        <v>0</v>
      </c>
      <c r="AZ6653">
        <v>0</v>
      </c>
      <c r="BA6653">
        <v>0</v>
      </c>
      <c r="BE6653" t="str">
        <f>T("9791162588338")</f>
        <v>9791162588338</v>
      </c>
      <c r="BF6653" t="str">
        <f>T("E390616")</f>
        <v>E390616</v>
      </c>
      <c r="BG6653" t="str">
        <f>T("판타지 웹소설 &gt; 현대 판타지")</f>
        <v>판타지 웹소설 &gt; 현대 판타지</v>
      </c>
    </row>
    <row r="6654" spans="1:59">
      <c r="A6654" t="s">
        <v>60</v>
      </c>
      <c r="B6654" s="1">
        <v>46131</v>
      </c>
      <c r="C6654">
        <v>2378007318</v>
      </c>
      <c r="D6654">
        <v>2378007320</v>
      </c>
      <c r="E6654" t="str">
        <f>T("현세의 마제 3화")</f>
        <v>현세의 마제 3화</v>
      </c>
      <c r="F6654">
        <v>3</v>
      </c>
      <c r="G6654" t="str">
        <f>T("허풍선")</f>
        <v>허풍선</v>
      </c>
      <c r="J6654" t="str">
        <f>T("매드햇")</f>
        <v>매드햇</v>
      </c>
      <c r="K6654" t="str">
        <f>T("현세의 마제")</f>
        <v>현세의 마제</v>
      </c>
      <c r="L6654">
        <v>0</v>
      </c>
      <c r="M6654">
        <v>0</v>
      </c>
      <c r="N6654">
        <v>0</v>
      </c>
      <c r="O6654">
        <v>1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0</v>
      </c>
      <c r="AE6654">
        <v>0</v>
      </c>
      <c r="AF6654">
        <v>0</v>
      </c>
      <c r="AG6654">
        <v>0</v>
      </c>
      <c r="AH6654">
        <v>0</v>
      </c>
      <c r="AI6654">
        <v>0</v>
      </c>
      <c r="AJ6654">
        <v>1</v>
      </c>
      <c r="AK6654">
        <v>0</v>
      </c>
      <c r="AL6654">
        <v>0</v>
      </c>
      <c r="AM6654">
        <v>0</v>
      </c>
      <c r="AN6654">
        <v>0</v>
      </c>
      <c r="AO6654">
        <v>0</v>
      </c>
      <c r="AP6654">
        <v>0</v>
      </c>
      <c r="AQ6654">
        <v>0</v>
      </c>
      <c r="AS6654">
        <v>0</v>
      </c>
      <c r="AT6654">
        <v>0</v>
      </c>
      <c r="AV6654">
        <v>0</v>
      </c>
      <c r="AW6654">
        <v>0</v>
      </c>
      <c r="AY6654">
        <v>0</v>
      </c>
      <c r="AZ6654">
        <v>0</v>
      </c>
      <c r="BA6654">
        <v>0</v>
      </c>
      <c r="BE6654" t="str">
        <f>T("9791162588338")</f>
        <v>9791162588338</v>
      </c>
      <c r="BF6654" t="str">
        <f>T("E390617")</f>
        <v>E390617</v>
      </c>
      <c r="BG6654" t="str">
        <f>T("판타지 웹소설 &gt; 현대 판타지")</f>
        <v>판타지 웹소설 &gt; 현대 판타지</v>
      </c>
    </row>
    <row r="6655" spans="1:59">
      <c r="A6655" t="s">
        <v>60</v>
      </c>
      <c r="B6655" s="1">
        <v>46131</v>
      </c>
      <c r="C6655">
        <v>2378007318</v>
      </c>
      <c r="D6655">
        <v>2378007321</v>
      </c>
      <c r="E6655" t="str">
        <f>T("현세의 마제 4화")</f>
        <v>현세의 마제 4화</v>
      </c>
      <c r="F6655">
        <v>4</v>
      </c>
      <c r="G6655" t="str">
        <f>T("허풍선")</f>
        <v>허풍선</v>
      </c>
      <c r="J6655" t="str">
        <f>T("매드햇")</f>
        <v>매드햇</v>
      </c>
      <c r="K6655" t="str">
        <f>T("현세의 마제")</f>
        <v>현세의 마제</v>
      </c>
      <c r="L6655">
        <v>0</v>
      </c>
      <c r="M6655">
        <v>0</v>
      </c>
      <c r="N6655">
        <v>0</v>
      </c>
      <c r="O6655">
        <v>1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0</v>
      </c>
      <c r="AE6655">
        <v>0</v>
      </c>
      <c r="AF6655">
        <v>0</v>
      </c>
      <c r="AG6655">
        <v>0</v>
      </c>
      <c r="AH6655">
        <v>0</v>
      </c>
      <c r="AI6655">
        <v>0</v>
      </c>
      <c r="AJ6655">
        <v>1</v>
      </c>
      <c r="AK6655">
        <v>0</v>
      </c>
      <c r="AL6655">
        <v>0</v>
      </c>
      <c r="AM6655">
        <v>0</v>
      </c>
      <c r="AN6655">
        <v>0</v>
      </c>
      <c r="AO6655">
        <v>0</v>
      </c>
      <c r="AP6655">
        <v>0</v>
      </c>
      <c r="AQ6655">
        <v>0</v>
      </c>
      <c r="AS6655">
        <v>0</v>
      </c>
      <c r="AT6655">
        <v>0</v>
      </c>
      <c r="AV6655">
        <v>0</v>
      </c>
      <c r="AW6655">
        <v>0</v>
      </c>
      <c r="AY6655">
        <v>0</v>
      </c>
      <c r="AZ6655">
        <v>0</v>
      </c>
      <c r="BA6655">
        <v>0</v>
      </c>
      <c r="BE6655" t="str">
        <f>T("9791162588338")</f>
        <v>9791162588338</v>
      </c>
      <c r="BF6655" t="str">
        <f>T("E390618")</f>
        <v>E390618</v>
      </c>
      <c r="BG6655" t="str">
        <f>T("판타지 웹소설 &gt; 현대 판타지")</f>
        <v>판타지 웹소설 &gt; 현대 판타지</v>
      </c>
    </row>
    <row r="6656" spans="1:59">
      <c r="A6656" t="s">
        <v>60</v>
      </c>
      <c r="B6656" s="1">
        <v>46131</v>
      </c>
      <c r="C6656">
        <v>2378007318</v>
      </c>
      <c r="D6656">
        <v>2378007322</v>
      </c>
      <c r="E6656" t="str">
        <f>T("현세의 마제 5화")</f>
        <v>현세의 마제 5화</v>
      </c>
      <c r="F6656">
        <v>5</v>
      </c>
      <c r="G6656" t="str">
        <f>T("허풍선")</f>
        <v>허풍선</v>
      </c>
      <c r="J6656" t="str">
        <f>T("매드햇")</f>
        <v>매드햇</v>
      </c>
      <c r="K6656" t="str">
        <f>T("현세의 마제")</f>
        <v>현세의 마제</v>
      </c>
      <c r="L6656">
        <v>0</v>
      </c>
      <c r="M6656">
        <v>0</v>
      </c>
      <c r="N6656">
        <v>0</v>
      </c>
      <c r="O6656">
        <v>1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0</v>
      </c>
      <c r="AE6656">
        <v>0</v>
      </c>
      <c r="AF6656">
        <v>0</v>
      </c>
      <c r="AG6656">
        <v>0</v>
      </c>
      <c r="AH6656">
        <v>0</v>
      </c>
      <c r="AI6656">
        <v>0</v>
      </c>
      <c r="AJ6656">
        <v>1</v>
      </c>
      <c r="AK6656">
        <v>0</v>
      </c>
      <c r="AL6656">
        <v>0</v>
      </c>
      <c r="AM6656">
        <v>0</v>
      </c>
      <c r="AN6656">
        <v>0</v>
      </c>
      <c r="AO6656">
        <v>0</v>
      </c>
      <c r="AP6656">
        <v>0</v>
      </c>
      <c r="AQ6656">
        <v>0</v>
      </c>
      <c r="AS6656">
        <v>0</v>
      </c>
      <c r="AT6656">
        <v>0</v>
      </c>
      <c r="AV6656">
        <v>0</v>
      </c>
      <c r="AW6656">
        <v>0</v>
      </c>
      <c r="AY6656">
        <v>0</v>
      </c>
      <c r="AZ6656">
        <v>0</v>
      </c>
      <c r="BA6656">
        <v>0</v>
      </c>
      <c r="BE6656" t="str">
        <f>T("9791162588338")</f>
        <v>9791162588338</v>
      </c>
      <c r="BF6656" t="str">
        <f>T("E390619")</f>
        <v>E390619</v>
      </c>
      <c r="BG6656" t="str">
        <f>T("판타지 웹소설 &gt; 현대 판타지")</f>
        <v>판타지 웹소설 &gt; 현대 판타지</v>
      </c>
    </row>
    <row r="6657" spans="1:59">
      <c r="A6657" t="s">
        <v>60</v>
      </c>
      <c r="B6657" s="1">
        <v>46129</v>
      </c>
      <c r="C6657">
        <v>2378052051</v>
      </c>
      <c r="D6657">
        <v>2378052052</v>
      </c>
      <c r="E6657" t="str">
        <f>T("화력조선 1화")</f>
        <v>화력조선 1화</v>
      </c>
      <c r="F6657">
        <v>2</v>
      </c>
      <c r="G6657" t="str">
        <f>T("보헤미아")</f>
        <v>보헤미아</v>
      </c>
      <c r="J6657" t="str">
        <f>T("매드햇")</f>
        <v>매드햇</v>
      </c>
      <c r="K6657" t="str">
        <f>T("화력조선")</f>
        <v>화력조선</v>
      </c>
      <c r="L6657">
        <v>0</v>
      </c>
      <c r="M6657">
        <v>0</v>
      </c>
      <c r="N6657">
        <v>0</v>
      </c>
      <c r="O6657">
        <v>1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0</v>
      </c>
      <c r="AE6657">
        <v>0</v>
      </c>
      <c r="AF6657">
        <v>0</v>
      </c>
      <c r="AG6657">
        <v>0</v>
      </c>
      <c r="AH6657">
        <v>0</v>
      </c>
      <c r="AI6657">
        <v>0</v>
      </c>
      <c r="AJ6657">
        <v>1</v>
      </c>
      <c r="AK6657">
        <v>0</v>
      </c>
      <c r="AL6657">
        <v>0</v>
      </c>
      <c r="AM6657">
        <v>0</v>
      </c>
      <c r="AN6657">
        <v>0</v>
      </c>
      <c r="AO6657">
        <v>0</v>
      </c>
      <c r="AP6657">
        <v>0</v>
      </c>
      <c r="AQ6657">
        <v>0</v>
      </c>
      <c r="AS6657">
        <v>0</v>
      </c>
      <c r="AT6657">
        <v>0</v>
      </c>
      <c r="AV6657">
        <v>0</v>
      </c>
      <c r="AW6657">
        <v>0</v>
      </c>
      <c r="AY6657">
        <v>0</v>
      </c>
      <c r="AZ6657">
        <v>0</v>
      </c>
      <c r="BA6657">
        <v>0</v>
      </c>
      <c r="BE6657" t="str">
        <f>T("9791137006348")</f>
        <v>9791137006348</v>
      </c>
      <c r="BF6657" t="str">
        <f>T("N083056")</f>
        <v>N083056</v>
      </c>
      <c r="BG6657" t="str">
        <f>T("판타지 웹소설 &gt; 퓨전 판타지")</f>
        <v>판타지 웹소설 &gt; 퓨전 판타지</v>
      </c>
    </row>
    <row r="6658" spans="1:59">
      <c r="A6658" t="s">
        <v>60</v>
      </c>
      <c r="B6658" s="1">
        <v>46129</v>
      </c>
      <c r="C6658">
        <v>2378052051</v>
      </c>
      <c r="D6658">
        <v>2378052053</v>
      </c>
      <c r="E6658" t="str">
        <f>T("화력조선 2화")</f>
        <v>화력조선 2화</v>
      </c>
      <c r="F6658">
        <v>3</v>
      </c>
      <c r="G6658" t="str">
        <f>T("보헤미아")</f>
        <v>보헤미아</v>
      </c>
      <c r="J6658" t="str">
        <f>T("매드햇")</f>
        <v>매드햇</v>
      </c>
      <c r="K6658" t="str">
        <f>T("화력조선")</f>
        <v>화력조선</v>
      </c>
      <c r="L6658">
        <v>0</v>
      </c>
      <c r="M6658">
        <v>0</v>
      </c>
      <c r="N6658">
        <v>0</v>
      </c>
      <c r="O6658">
        <v>1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0</v>
      </c>
      <c r="AE6658">
        <v>0</v>
      </c>
      <c r="AF6658">
        <v>0</v>
      </c>
      <c r="AG6658">
        <v>0</v>
      </c>
      <c r="AH6658">
        <v>0</v>
      </c>
      <c r="AI6658">
        <v>0</v>
      </c>
      <c r="AJ6658">
        <v>1</v>
      </c>
      <c r="AK6658">
        <v>0</v>
      </c>
      <c r="AL6658">
        <v>0</v>
      </c>
      <c r="AM6658">
        <v>0</v>
      </c>
      <c r="AN6658">
        <v>0</v>
      </c>
      <c r="AO6658">
        <v>0</v>
      </c>
      <c r="AP6658">
        <v>0</v>
      </c>
      <c r="AQ6658">
        <v>0</v>
      </c>
      <c r="AS6658">
        <v>0</v>
      </c>
      <c r="AT6658">
        <v>0</v>
      </c>
      <c r="AV6658">
        <v>0</v>
      </c>
      <c r="AW6658">
        <v>0</v>
      </c>
      <c r="AY6658">
        <v>0</v>
      </c>
      <c r="AZ6658">
        <v>0</v>
      </c>
      <c r="BA6658">
        <v>0</v>
      </c>
      <c r="BE6658" t="str">
        <f>T("9791137006348")</f>
        <v>9791137006348</v>
      </c>
      <c r="BF6658" t="str">
        <f>T("N083057")</f>
        <v>N083057</v>
      </c>
      <c r="BG6658" t="str">
        <f>T("판타지 웹소설 &gt; 퓨전 판타지")</f>
        <v>판타지 웹소설 &gt; 퓨전 판타지</v>
      </c>
    </row>
    <row r="6659" spans="1:59">
      <c r="A6659" t="s">
        <v>60</v>
      </c>
      <c r="B6659" s="1">
        <v>46129</v>
      </c>
      <c r="C6659">
        <v>2378052051</v>
      </c>
      <c r="D6659">
        <v>2378052054</v>
      </c>
      <c r="E6659" t="str">
        <f>T("화력조선 3화")</f>
        <v>화력조선 3화</v>
      </c>
      <c r="F6659">
        <v>4</v>
      </c>
      <c r="G6659" t="str">
        <f>T("보헤미아")</f>
        <v>보헤미아</v>
      </c>
      <c r="J6659" t="str">
        <f>T("매드햇")</f>
        <v>매드햇</v>
      </c>
      <c r="K6659" t="str">
        <f>T("화력조선")</f>
        <v>화력조선</v>
      </c>
      <c r="L6659">
        <v>0</v>
      </c>
      <c r="M6659">
        <v>0</v>
      </c>
      <c r="N6659">
        <v>0</v>
      </c>
      <c r="O6659">
        <v>1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0</v>
      </c>
      <c r="AE6659">
        <v>0</v>
      </c>
      <c r="AF6659">
        <v>0</v>
      </c>
      <c r="AG6659">
        <v>0</v>
      </c>
      <c r="AH6659">
        <v>0</v>
      </c>
      <c r="AI6659">
        <v>0</v>
      </c>
      <c r="AJ6659">
        <v>1</v>
      </c>
      <c r="AK6659">
        <v>0</v>
      </c>
      <c r="AL6659">
        <v>0</v>
      </c>
      <c r="AM6659">
        <v>0</v>
      </c>
      <c r="AN6659">
        <v>0</v>
      </c>
      <c r="AO6659">
        <v>0</v>
      </c>
      <c r="AP6659">
        <v>0</v>
      </c>
      <c r="AQ6659">
        <v>0</v>
      </c>
      <c r="AS6659">
        <v>0</v>
      </c>
      <c r="AT6659">
        <v>0</v>
      </c>
      <c r="AV6659">
        <v>0</v>
      </c>
      <c r="AW6659">
        <v>0</v>
      </c>
      <c r="AY6659">
        <v>0</v>
      </c>
      <c r="AZ6659">
        <v>0</v>
      </c>
      <c r="BA6659">
        <v>0</v>
      </c>
      <c r="BE6659" t="str">
        <f>T("9791137006348")</f>
        <v>9791137006348</v>
      </c>
      <c r="BF6659" t="str">
        <f>T("N083058")</f>
        <v>N083058</v>
      </c>
      <c r="BG6659" t="str">
        <f>T("판타지 웹소설 &gt; 퓨전 판타지")</f>
        <v>판타지 웹소설 &gt; 퓨전 판타지</v>
      </c>
    </row>
    <row r="6660" spans="1:59">
      <c r="A6660" t="s">
        <v>60</v>
      </c>
      <c r="B6660" s="1">
        <v>46129</v>
      </c>
      <c r="C6660">
        <v>2378052051</v>
      </c>
      <c r="D6660">
        <v>2378052055</v>
      </c>
      <c r="E6660" t="str">
        <f>T("화력조선 4화")</f>
        <v>화력조선 4화</v>
      </c>
      <c r="F6660">
        <v>5</v>
      </c>
      <c r="G6660" t="str">
        <f>T("보헤미아")</f>
        <v>보헤미아</v>
      </c>
      <c r="J6660" t="str">
        <f>T("매드햇")</f>
        <v>매드햇</v>
      </c>
      <c r="K6660" t="str">
        <f>T("화력조선")</f>
        <v>화력조선</v>
      </c>
      <c r="L6660">
        <v>0</v>
      </c>
      <c r="M6660">
        <v>0</v>
      </c>
      <c r="N6660">
        <v>0</v>
      </c>
      <c r="O6660">
        <v>1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0</v>
      </c>
      <c r="AE6660">
        <v>0</v>
      </c>
      <c r="AF6660">
        <v>0</v>
      </c>
      <c r="AG6660">
        <v>0</v>
      </c>
      <c r="AH6660">
        <v>0</v>
      </c>
      <c r="AI6660">
        <v>0</v>
      </c>
      <c r="AJ6660">
        <v>1</v>
      </c>
      <c r="AK6660">
        <v>0</v>
      </c>
      <c r="AL6660">
        <v>0</v>
      </c>
      <c r="AM6660">
        <v>0</v>
      </c>
      <c r="AN6660">
        <v>0</v>
      </c>
      <c r="AO6660">
        <v>0</v>
      </c>
      <c r="AP6660">
        <v>0</v>
      </c>
      <c r="AQ6660">
        <v>0</v>
      </c>
      <c r="AS6660">
        <v>0</v>
      </c>
      <c r="AT6660">
        <v>0</v>
      </c>
      <c r="AV6660">
        <v>0</v>
      </c>
      <c r="AW6660">
        <v>0</v>
      </c>
      <c r="AY6660">
        <v>0</v>
      </c>
      <c r="AZ6660">
        <v>0</v>
      </c>
      <c r="BA6660">
        <v>0</v>
      </c>
      <c r="BE6660" t="str">
        <f>T("9791137006348")</f>
        <v>9791137006348</v>
      </c>
      <c r="BF6660" t="str">
        <f>T("N083059")</f>
        <v>N083059</v>
      </c>
      <c r="BG6660" t="str">
        <f>T("판타지 웹소설 &gt; 퓨전 판타지")</f>
        <v>판타지 웹소설 &gt; 퓨전 판타지</v>
      </c>
    </row>
    <row r="6661" spans="1:59">
      <c r="A6661" t="s">
        <v>60</v>
      </c>
      <c r="B6661" s="1">
        <v>46129</v>
      </c>
      <c r="C6661">
        <v>2378052051</v>
      </c>
      <c r="D6661">
        <v>2378052056</v>
      </c>
      <c r="E6661" t="str">
        <f>T("화력조선 5화")</f>
        <v>화력조선 5화</v>
      </c>
      <c r="F6661">
        <v>6</v>
      </c>
      <c r="G6661" t="str">
        <f>T("보헤미아")</f>
        <v>보헤미아</v>
      </c>
      <c r="J6661" t="str">
        <f>T("매드햇")</f>
        <v>매드햇</v>
      </c>
      <c r="K6661" t="str">
        <f>T("화력조선")</f>
        <v>화력조선</v>
      </c>
      <c r="L6661">
        <v>0</v>
      </c>
      <c r="M6661">
        <v>0</v>
      </c>
      <c r="N6661">
        <v>0</v>
      </c>
      <c r="O6661">
        <v>1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0</v>
      </c>
      <c r="AE6661">
        <v>0</v>
      </c>
      <c r="AF6661">
        <v>0</v>
      </c>
      <c r="AG6661">
        <v>0</v>
      </c>
      <c r="AH6661">
        <v>0</v>
      </c>
      <c r="AI6661">
        <v>0</v>
      </c>
      <c r="AJ6661">
        <v>1</v>
      </c>
      <c r="AK6661">
        <v>0</v>
      </c>
      <c r="AL6661">
        <v>0</v>
      </c>
      <c r="AM6661">
        <v>0</v>
      </c>
      <c r="AN6661">
        <v>0</v>
      </c>
      <c r="AO6661">
        <v>0</v>
      </c>
      <c r="AP6661">
        <v>0</v>
      </c>
      <c r="AQ6661">
        <v>0</v>
      </c>
      <c r="AS6661">
        <v>0</v>
      </c>
      <c r="AT6661">
        <v>0</v>
      </c>
      <c r="AV6661">
        <v>0</v>
      </c>
      <c r="AW6661">
        <v>0</v>
      </c>
      <c r="AY6661">
        <v>0</v>
      </c>
      <c r="AZ6661">
        <v>0</v>
      </c>
      <c r="BA6661">
        <v>0</v>
      </c>
      <c r="BE6661" t="str">
        <f>T("9791137006348")</f>
        <v>9791137006348</v>
      </c>
      <c r="BF6661" t="str">
        <f>T("N083060")</f>
        <v>N083060</v>
      </c>
      <c r="BG6661" t="str">
        <f>T("판타지 웹소설 &gt; 퓨전 판타지")</f>
        <v>판타지 웹소설 &gt; 퓨전 판타지</v>
      </c>
    </row>
    <row r="6662" spans="1:59">
      <c r="A6662" t="s">
        <v>60</v>
      </c>
      <c r="B6662" s="1">
        <v>46129</v>
      </c>
      <c r="C6662">
        <v>2378052051</v>
      </c>
      <c r="D6662">
        <v>2378052057</v>
      </c>
      <c r="E6662" t="str">
        <f>T("화력조선 6화")</f>
        <v>화력조선 6화</v>
      </c>
      <c r="F6662">
        <v>7</v>
      </c>
      <c r="G6662" t="str">
        <f>T("보헤미아")</f>
        <v>보헤미아</v>
      </c>
      <c r="J6662" t="str">
        <f>T("매드햇")</f>
        <v>매드햇</v>
      </c>
      <c r="K6662" t="str">
        <f>T("화력조선")</f>
        <v>화력조선</v>
      </c>
      <c r="L6662">
        <v>0</v>
      </c>
      <c r="M6662">
        <v>0</v>
      </c>
      <c r="N6662">
        <v>0</v>
      </c>
      <c r="O6662">
        <v>1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0</v>
      </c>
      <c r="AE6662">
        <v>0</v>
      </c>
      <c r="AF6662">
        <v>0</v>
      </c>
      <c r="AG6662">
        <v>0</v>
      </c>
      <c r="AH6662">
        <v>0</v>
      </c>
      <c r="AI6662">
        <v>0</v>
      </c>
      <c r="AJ6662">
        <v>1</v>
      </c>
      <c r="AK6662">
        <v>0</v>
      </c>
      <c r="AL6662">
        <v>0</v>
      </c>
      <c r="AM6662">
        <v>0</v>
      </c>
      <c r="AN6662">
        <v>0</v>
      </c>
      <c r="AO6662">
        <v>0</v>
      </c>
      <c r="AP6662">
        <v>0</v>
      </c>
      <c r="AQ6662">
        <v>0</v>
      </c>
      <c r="AS6662">
        <v>0</v>
      </c>
      <c r="AT6662">
        <v>0</v>
      </c>
      <c r="AV6662">
        <v>0</v>
      </c>
      <c r="AW6662">
        <v>0</v>
      </c>
      <c r="AY6662">
        <v>0</v>
      </c>
      <c r="AZ6662">
        <v>0</v>
      </c>
      <c r="BA6662">
        <v>0</v>
      </c>
      <c r="BE6662" t="str">
        <f>T("9791137006348")</f>
        <v>9791137006348</v>
      </c>
      <c r="BF6662" t="str">
        <f>T("N083061")</f>
        <v>N083061</v>
      </c>
      <c r="BG6662" t="str">
        <f>T("판타지 웹소설 &gt; 퓨전 판타지")</f>
        <v>판타지 웹소설 &gt; 퓨전 판타지</v>
      </c>
    </row>
    <row r="6663" spans="1:59">
      <c r="A6663" t="s">
        <v>60</v>
      </c>
      <c r="B6663" s="1">
        <v>46129</v>
      </c>
      <c r="C6663">
        <v>2378052051</v>
      </c>
      <c r="D6663">
        <v>2378052058</v>
      </c>
      <c r="E6663" t="str">
        <f>T("화력조선 7화")</f>
        <v>화력조선 7화</v>
      </c>
      <c r="F6663">
        <v>8</v>
      </c>
      <c r="G6663" t="str">
        <f>T("보헤미아")</f>
        <v>보헤미아</v>
      </c>
      <c r="J6663" t="str">
        <f>T("매드햇")</f>
        <v>매드햇</v>
      </c>
      <c r="K6663" t="str">
        <f>T("화력조선")</f>
        <v>화력조선</v>
      </c>
      <c r="L6663">
        <v>0</v>
      </c>
      <c r="M6663">
        <v>0</v>
      </c>
      <c r="N6663">
        <v>0</v>
      </c>
      <c r="O6663">
        <v>1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0</v>
      </c>
      <c r="AE6663">
        <v>0</v>
      </c>
      <c r="AF6663">
        <v>0</v>
      </c>
      <c r="AG6663">
        <v>0</v>
      </c>
      <c r="AH6663">
        <v>0</v>
      </c>
      <c r="AI6663">
        <v>0</v>
      </c>
      <c r="AJ6663">
        <v>1</v>
      </c>
      <c r="AK6663">
        <v>0</v>
      </c>
      <c r="AL6663">
        <v>0</v>
      </c>
      <c r="AM6663">
        <v>0</v>
      </c>
      <c r="AN6663">
        <v>0</v>
      </c>
      <c r="AO6663">
        <v>0</v>
      </c>
      <c r="AP6663">
        <v>0</v>
      </c>
      <c r="AQ6663">
        <v>0</v>
      </c>
      <c r="AS6663">
        <v>0</v>
      </c>
      <c r="AT6663">
        <v>0</v>
      </c>
      <c r="AV6663">
        <v>0</v>
      </c>
      <c r="AW6663">
        <v>0</v>
      </c>
      <c r="AY6663">
        <v>0</v>
      </c>
      <c r="AZ6663">
        <v>0</v>
      </c>
      <c r="BA6663">
        <v>0</v>
      </c>
      <c r="BE6663" t="str">
        <f>T("9791137006348")</f>
        <v>9791137006348</v>
      </c>
      <c r="BF6663" t="str">
        <f>T("N083062")</f>
        <v>N083062</v>
      </c>
      <c r="BG6663" t="str">
        <f>T("판타지 웹소설 &gt; 퓨전 판타지")</f>
        <v>판타지 웹소설 &gt; 퓨전 판타지</v>
      </c>
    </row>
    <row r="6664" spans="1:59">
      <c r="A6664" t="s">
        <v>60</v>
      </c>
      <c r="B6664" s="1">
        <v>46129</v>
      </c>
      <c r="C6664">
        <v>2378052051</v>
      </c>
      <c r="D6664">
        <v>2378052059</v>
      </c>
      <c r="E6664" t="str">
        <f>T("화력조선 8화")</f>
        <v>화력조선 8화</v>
      </c>
      <c r="F6664">
        <v>9</v>
      </c>
      <c r="G6664" t="str">
        <f>T("보헤미아")</f>
        <v>보헤미아</v>
      </c>
      <c r="J6664" t="str">
        <f>T("매드햇")</f>
        <v>매드햇</v>
      </c>
      <c r="K6664" t="str">
        <f>T("화력조선")</f>
        <v>화력조선</v>
      </c>
      <c r="L6664">
        <v>0</v>
      </c>
      <c r="M6664">
        <v>0</v>
      </c>
      <c r="N6664">
        <v>0</v>
      </c>
      <c r="O6664">
        <v>1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0</v>
      </c>
      <c r="AE6664">
        <v>0</v>
      </c>
      <c r="AF6664">
        <v>0</v>
      </c>
      <c r="AG6664">
        <v>0</v>
      </c>
      <c r="AH6664">
        <v>0</v>
      </c>
      <c r="AI6664">
        <v>0</v>
      </c>
      <c r="AJ6664">
        <v>1</v>
      </c>
      <c r="AK6664">
        <v>0</v>
      </c>
      <c r="AL6664">
        <v>0</v>
      </c>
      <c r="AM6664">
        <v>0</v>
      </c>
      <c r="AN6664">
        <v>0</v>
      </c>
      <c r="AO6664">
        <v>0</v>
      </c>
      <c r="AP6664">
        <v>0</v>
      </c>
      <c r="AQ6664">
        <v>0</v>
      </c>
      <c r="AS6664">
        <v>0</v>
      </c>
      <c r="AT6664">
        <v>0</v>
      </c>
      <c r="AV6664">
        <v>0</v>
      </c>
      <c r="AW6664">
        <v>0</v>
      </c>
      <c r="AY6664">
        <v>0</v>
      </c>
      <c r="AZ6664">
        <v>0</v>
      </c>
      <c r="BA6664">
        <v>0</v>
      </c>
      <c r="BE6664" t="str">
        <f>T("9791137006348")</f>
        <v>9791137006348</v>
      </c>
      <c r="BF6664" t="str">
        <f>T("N083063")</f>
        <v>N083063</v>
      </c>
      <c r="BG6664" t="str">
        <f>T("판타지 웹소설 &gt; 퓨전 판타지")</f>
        <v>판타지 웹소설 &gt; 퓨전 판타지</v>
      </c>
    </row>
    <row r="6665" spans="1:59">
      <c r="A6665" t="s">
        <v>60</v>
      </c>
      <c r="B6665" s="1">
        <v>46129</v>
      </c>
      <c r="C6665">
        <v>2378052051</v>
      </c>
      <c r="D6665">
        <v>2378052060</v>
      </c>
      <c r="E6665" t="str">
        <f>T("화력조선 9화")</f>
        <v>화력조선 9화</v>
      </c>
      <c r="F6665">
        <v>10</v>
      </c>
      <c r="G6665" t="str">
        <f>T("보헤미아")</f>
        <v>보헤미아</v>
      </c>
      <c r="J6665" t="str">
        <f>T("매드햇")</f>
        <v>매드햇</v>
      </c>
      <c r="K6665" t="str">
        <f>T("화력조선")</f>
        <v>화력조선</v>
      </c>
      <c r="L6665">
        <v>0</v>
      </c>
      <c r="M6665">
        <v>0</v>
      </c>
      <c r="N6665">
        <v>0</v>
      </c>
      <c r="O6665">
        <v>1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0</v>
      </c>
      <c r="AE6665">
        <v>0</v>
      </c>
      <c r="AF6665">
        <v>0</v>
      </c>
      <c r="AG6665">
        <v>0</v>
      </c>
      <c r="AH6665">
        <v>0</v>
      </c>
      <c r="AI6665">
        <v>0</v>
      </c>
      <c r="AJ6665">
        <v>1</v>
      </c>
      <c r="AK6665">
        <v>0</v>
      </c>
      <c r="AL6665">
        <v>0</v>
      </c>
      <c r="AM6665">
        <v>0</v>
      </c>
      <c r="AN6665">
        <v>0</v>
      </c>
      <c r="AO6665">
        <v>0</v>
      </c>
      <c r="AP6665">
        <v>0</v>
      </c>
      <c r="AQ6665">
        <v>0</v>
      </c>
      <c r="AS6665">
        <v>0</v>
      </c>
      <c r="AT6665">
        <v>0</v>
      </c>
      <c r="AV6665">
        <v>0</v>
      </c>
      <c r="AW6665">
        <v>0</v>
      </c>
      <c r="AY6665">
        <v>0</v>
      </c>
      <c r="AZ6665">
        <v>0</v>
      </c>
      <c r="BA6665">
        <v>0</v>
      </c>
      <c r="BE6665" t="str">
        <f>T("9791137006348")</f>
        <v>9791137006348</v>
      </c>
      <c r="BF6665" t="str">
        <f>T("N083064")</f>
        <v>N083064</v>
      </c>
      <c r="BG6665" t="str">
        <f>T("판타지 웹소설 &gt; 퓨전 판타지")</f>
        <v>판타지 웹소설 &gt; 퓨전 판타지</v>
      </c>
    </row>
    <row r="6666" spans="1:59">
      <c r="A6666" t="s">
        <v>60</v>
      </c>
      <c r="B6666" s="1">
        <v>46129</v>
      </c>
      <c r="C6666">
        <v>2378052051</v>
      </c>
      <c r="D6666">
        <v>2378052177</v>
      </c>
      <c r="E6666" t="str">
        <f>T("화력조선 126화")</f>
        <v>화력조선 126화</v>
      </c>
      <c r="F6666">
        <v>127</v>
      </c>
      <c r="G6666" t="str">
        <f>T("보헤미아")</f>
        <v>보헤미아</v>
      </c>
      <c r="J6666" t="str">
        <f>T("매드햇")</f>
        <v>매드햇</v>
      </c>
      <c r="K6666" t="str">
        <f>T("화력조선")</f>
        <v>화력조선</v>
      </c>
      <c r="L6666">
        <v>100</v>
      </c>
      <c r="M6666">
        <v>100</v>
      </c>
      <c r="N6666">
        <v>1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0</v>
      </c>
      <c r="AE6666">
        <v>0</v>
      </c>
      <c r="AF6666">
        <v>0</v>
      </c>
      <c r="AG6666">
        <v>0</v>
      </c>
      <c r="AH6666">
        <v>0</v>
      </c>
      <c r="AI6666">
        <v>100</v>
      </c>
      <c r="AJ6666">
        <v>1</v>
      </c>
      <c r="AK6666">
        <v>0</v>
      </c>
      <c r="AL6666">
        <v>0</v>
      </c>
      <c r="AM6666">
        <v>0</v>
      </c>
      <c r="AN6666">
        <v>0</v>
      </c>
      <c r="AO6666">
        <v>120</v>
      </c>
      <c r="AP6666">
        <v>-12</v>
      </c>
      <c r="AQ6666">
        <v>0</v>
      </c>
      <c r="AS6666">
        <v>0</v>
      </c>
      <c r="AT6666">
        <v>0</v>
      </c>
      <c r="AU6666">
        <v>120</v>
      </c>
      <c r="AV6666">
        <v>-12</v>
      </c>
      <c r="AW6666">
        <v>0</v>
      </c>
      <c r="AY6666">
        <v>0</v>
      </c>
      <c r="AZ6666">
        <v>0</v>
      </c>
      <c r="BA6666">
        <v>75.599999999999994</v>
      </c>
      <c r="BE6666" t="str">
        <f>T("9791137006348")</f>
        <v>9791137006348</v>
      </c>
      <c r="BF6666" t="str">
        <f>T("N100708")</f>
        <v>N100708</v>
      </c>
      <c r="BG6666" t="str">
        <f>T("판타지 웹소설 &gt; 퓨전 판타지")</f>
        <v>판타지 웹소설 &gt; 퓨전 판타지</v>
      </c>
    </row>
    <row r="6667" spans="1:59">
      <c r="A6667" t="s">
        <v>60</v>
      </c>
      <c r="B6667" s="1">
        <v>46129</v>
      </c>
      <c r="C6667">
        <v>2378052051</v>
      </c>
      <c r="D6667">
        <v>2378052178</v>
      </c>
      <c r="E6667" t="str">
        <f>T("화력조선 127화")</f>
        <v>화력조선 127화</v>
      </c>
      <c r="F6667">
        <v>128</v>
      </c>
      <c r="G6667" t="str">
        <f>T("보헤미아")</f>
        <v>보헤미아</v>
      </c>
      <c r="J6667" t="str">
        <f>T("매드햇")</f>
        <v>매드햇</v>
      </c>
      <c r="K6667" t="str">
        <f>T("화력조선")</f>
        <v>화력조선</v>
      </c>
      <c r="L6667">
        <v>100</v>
      </c>
      <c r="M6667">
        <v>100</v>
      </c>
      <c r="N6667">
        <v>1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0</v>
      </c>
      <c r="AE6667">
        <v>0</v>
      </c>
      <c r="AF6667">
        <v>0</v>
      </c>
      <c r="AG6667">
        <v>0</v>
      </c>
      <c r="AH6667">
        <v>0</v>
      </c>
      <c r="AI6667">
        <v>100</v>
      </c>
      <c r="AJ6667">
        <v>1</v>
      </c>
      <c r="AK6667">
        <v>0</v>
      </c>
      <c r="AL6667">
        <v>0</v>
      </c>
      <c r="AM6667">
        <v>0</v>
      </c>
      <c r="AN6667">
        <v>0</v>
      </c>
      <c r="AO6667">
        <v>120</v>
      </c>
      <c r="AP6667">
        <v>-12</v>
      </c>
      <c r="AQ6667">
        <v>0</v>
      </c>
      <c r="AS6667">
        <v>0</v>
      </c>
      <c r="AT6667">
        <v>0</v>
      </c>
      <c r="AU6667">
        <v>120</v>
      </c>
      <c r="AV6667">
        <v>-12</v>
      </c>
      <c r="AW6667">
        <v>0</v>
      </c>
      <c r="AY6667">
        <v>0</v>
      </c>
      <c r="AZ6667">
        <v>0</v>
      </c>
      <c r="BA6667">
        <v>75.599999999999994</v>
      </c>
      <c r="BE6667" t="str">
        <f>T("9791137006348")</f>
        <v>9791137006348</v>
      </c>
      <c r="BF6667" t="str">
        <f>T("N101338")</f>
        <v>N101338</v>
      </c>
      <c r="BG6667" t="str">
        <f>T("판타지 웹소설 &gt; 퓨전 판타지")</f>
        <v>판타지 웹소설 &gt; 퓨전 판타지</v>
      </c>
    </row>
    <row r="6668" spans="1:59">
      <c r="A6668" t="s">
        <v>60</v>
      </c>
      <c r="B6668" s="1">
        <v>46129</v>
      </c>
      <c r="C6668">
        <v>2378052051</v>
      </c>
      <c r="D6668">
        <v>2378052179</v>
      </c>
      <c r="E6668" t="str">
        <f>T("화력조선 128화")</f>
        <v>화력조선 128화</v>
      </c>
      <c r="F6668">
        <v>129</v>
      </c>
      <c r="G6668" t="str">
        <f>T("보헤미아")</f>
        <v>보헤미아</v>
      </c>
      <c r="J6668" t="str">
        <f>T("매드햇")</f>
        <v>매드햇</v>
      </c>
      <c r="K6668" t="str">
        <f>T("화력조선")</f>
        <v>화력조선</v>
      </c>
      <c r="L6668">
        <v>100</v>
      </c>
      <c r="M6668">
        <v>100</v>
      </c>
      <c r="N6668">
        <v>1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0</v>
      </c>
      <c r="AE6668">
        <v>0</v>
      </c>
      <c r="AF6668">
        <v>0</v>
      </c>
      <c r="AG6668">
        <v>0</v>
      </c>
      <c r="AH6668">
        <v>0</v>
      </c>
      <c r="AI6668">
        <v>100</v>
      </c>
      <c r="AJ6668">
        <v>1</v>
      </c>
      <c r="AK6668">
        <v>0</v>
      </c>
      <c r="AL6668">
        <v>0</v>
      </c>
      <c r="AM6668">
        <v>0</v>
      </c>
      <c r="AN6668">
        <v>0</v>
      </c>
      <c r="AO6668">
        <v>120</v>
      </c>
      <c r="AP6668">
        <v>-12</v>
      </c>
      <c r="AQ6668">
        <v>0</v>
      </c>
      <c r="AS6668">
        <v>0</v>
      </c>
      <c r="AT6668">
        <v>0</v>
      </c>
      <c r="AU6668">
        <v>120</v>
      </c>
      <c r="AV6668">
        <v>-12</v>
      </c>
      <c r="AW6668">
        <v>0</v>
      </c>
      <c r="AY6668">
        <v>0</v>
      </c>
      <c r="AZ6668">
        <v>0</v>
      </c>
      <c r="BA6668">
        <v>75.599999999999994</v>
      </c>
      <c r="BE6668" t="str">
        <f>T("9791137006348")</f>
        <v>9791137006348</v>
      </c>
      <c r="BF6668" t="str">
        <f>T("N102583")</f>
        <v>N102583</v>
      </c>
      <c r="BG6668" t="str">
        <f>T("판타지 웹소설 &gt; 퓨전 판타지")</f>
        <v>판타지 웹소설 &gt; 퓨전 판타지</v>
      </c>
    </row>
    <row r="6669" spans="1:59">
      <c r="A6669" t="s">
        <v>60</v>
      </c>
      <c r="B6669" s="1">
        <v>46129</v>
      </c>
      <c r="C6669">
        <v>2378052051</v>
      </c>
      <c r="D6669">
        <v>2378052180</v>
      </c>
      <c r="E6669" t="str">
        <f>T("화력조선 129화")</f>
        <v>화력조선 129화</v>
      </c>
      <c r="F6669">
        <v>130</v>
      </c>
      <c r="G6669" t="str">
        <f>T("보헤미아")</f>
        <v>보헤미아</v>
      </c>
      <c r="J6669" t="str">
        <f>T("매드햇")</f>
        <v>매드햇</v>
      </c>
      <c r="K6669" t="str">
        <f>T("화력조선")</f>
        <v>화력조선</v>
      </c>
      <c r="L6669">
        <v>100</v>
      </c>
      <c r="M6669">
        <v>100</v>
      </c>
      <c r="N6669">
        <v>1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0</v>
      </c>
      <c r="AE6669">
        <v>0</v>
      </c>
      <c r="AF6669">
        <v>0</v>
      </c>
      <c r="AG6669">
        <v>0</v>
      </c>
      <c r="AH6669">
        <v>0</v>
      </c>
      <c r="AI6669">
        <v>100</v>
      </c>
      <c r="AJ6669">
        <v>1</v>
      </c>
      <c r="AK6669">
        <v>0</v>
      </c>
      <c r="AL6669">
        <v>0</v>
      </c>
      <c r="AM6669">
        <v>0</v>
      </c>
      <c r="AN6669">
        <v>0</v>
      </c>
      <c r="AO6669">
        <v>120</v>
      </c>
      <c r="AP6669">
        <v>-12</v>
      </c>
      <c r="AQ6669">
        <v>0</v>
      </c>
      <c r="AS6669">
        <v>0</v>
      </c>
      <c r="AT6669">
        <v>0</v>
      </c>
      <c r="AU6669">
        <v>120</v>
      </c>
      <c r="AV6669">
        <v>-12</v>
      </c>
      <c r="AW6669">
        <v>0</v>
      </c>
      <c r="AY6669">
        <v>0</v>
      </c>
      <c r="AZ6669">
        <v>0</v>
      </c>
      <c r="BA6669">
        <v>75.599999999999994</v>
      </c>
      <c r="BE6669" t="str">
        <f>T("9791137006348")</f>
        <v>9791137006348</v>
      </c>
      <c r="BF6669" t="str">
        <f>T("N105301")</f>
        <v>N105301</v>
      </c>
      <c r="BG6669" t="str">
        <f>T("판타지 웹소설 &gt; 퓨전 판타지")</f>
        <v>판타지 웹소설 &gt; 퓨전 판타지</v>
      </c>
    </row>
    <row r="6670" spans="1:59">
      <c r="A6670" t="s">
        <v>60</v>
      </c>
      <c r="B6670" s="1">
        <v>46129</v>
      </c>
      <c r="C6670">
        <v>2378052051</v>
      </c>
      <c r="D6670">
        <v>2378052181</v>
      </c>
      <c r="E6670" t="str">
        <f>T("화력조선 130화")</f>
        <v>화력조선 130화</v>
      </c>
      <c r="F6670">
        <v>131</v>
      </c>
      <c r="G6670" t="str">
        <f>T("보헤미아")</f>
        <v>보헤미아</v>
      </c>
      <c r="J6670" t="str">
        <f>T("매드햇")</f>
        <v>매드햇</v>
      </c>
      <c r="K6670" t="str">
        <f>T("화력조선")</f>
        <v>화력조선</v>
      </c>
      <c r="L6670">
        <v>100</v>
      </c>
      <c r="M6670">
        <v>100</v>
      </c>
      <c r="N6670">
        <v>1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0</v>
      </c>
      <c r="AE6670">
        <v>0</v>
      </c>
      <c r="AF6670">
        <v>0</v>
      </c>
      <c r="AG6670">
        <v>0</v>
      </c>
      <c r="AH6670">
        <v>0</v>
      </c>
      <c r="AI6670">
        <v>100</v>
      </c>
      <c r="AJ6670">
        <v>1</v>
      </c>
      <c r="AK6670">
        <v>0</v>
      </c>
      <c r="AL6670">
        <v>0</v>
      </c>
      <c r="AM6670">
        <v>0</v>
      </c>
      <c r="AN6670">
        <v>0</v>
      </c>
      <c r="AO6670">
        <v>120</v>
      </c>
      <c r="AP6670">
        <v>-12</v>
      </c>
      <c r="AQ6670">
        <v>0</v>
      </c>
      <c r="AS6670">
        <v>0</v>
      </c>
      <c r="AT6670">
        <v>0</v>
      </c>
      <c r="AU6670">
        <v>120</v>
      </c>
      <c r="AV6670">
        <v>-12</v>
      </c>
      <c r="AW6670">
        <v>0</v>
      </c>
      <c r="AY6670">
        <v>0</v>
      </c>
      <c r="AZ6670">
        <v>0</v>
      </c>
      <c r="BA6670">
        <v>75.599999999999994</v>
      </c>
      <c r="BE6670" t="str">
        <f>T("9791137006348")</f>
        <v>9791137006348</v>
      </c>
      <c r="BF6670" t="str">
        <f>T("N105302")</f>
        <v>N105302</v>
      </c>
      <c r="BG6670" t="str">
        <f>T("판타지 웹소설 &gt; 퓨전 판타지")</f>
        <v>판타지 웹소설 &gt; 퓨전 판타지</v>
      </c>
    </row>
    <row r="6671" spans="1:59">
      <c r="A6671" t="s">
        <v>60</v>
      </c>
      <c r="B6671" s="1">
        <v>46129</v>
      </c>
      <c r="C6671">
        <v>2378052051</v>
      </c>
      <c r="D6671">
        <v>2378052182</v>
      </c>
      <c r="E6671" t="str">
        <f>T("화력조선 131화")</f>
        <v>화력조선 131화</v>
      </c>
      <c r="F6671">
        <v>132</v>
      </c>
      <c r="G6671" t="str">
        <f>T("보헤미아")</f>
        <v>보헤미아</v>
      </c>
      <c r="J6671" t="str">
        <f>T("매드햇")</f>
        <v>매드햇</v>
      </c>
      <c r="K6671" t="str">
        <f>T("화력조선")</f>
        <v>화력조선</v>
      </c>
      <c r="L6671">
        <v>100</v>
      </c>
      <c r="M6671">
        <v>100</v>
      </c>
      <c r="N6671">
        <v>1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0</v>
      </c>
      <c r="AE6671">
        <v>0</v>
      </c>
      <c r="AF6671">
        <v>0</v>
      </c>
      <c r="AG6671">
        <v>0</v>
      </c>
      <c r="AH6671">
        <v>0</v>
      </c>
      <c r="AI6671">
        <v>100</v>
      </c>
      <c r="AJ6671">
        <v>1</v>
      </c>
      <c r="AK6671">
        <v>0</v>
      </c>
      <c r="AL6671">
        <v>0</v>
      </c>
      <c r="AM6671">
        <v>0</v>
      </c>
      <c r="AN6671">
        <v>0</v>
      </c>
      <c r="AO6671">
        <v>120</v>
      </c>
      <c r="AP6671">
        <v>-12</v>
      </c>
      <c r="AQ6671">
        <v>0</v>
      </c>
      <c r="AS6671">
        <v>0</v>
      </c>
      <c r="AT6671">
        <v>0</v>
      </c>
      <c r="AU6671">
        <v>120</v>
      </c>
      <c r="AV6671">
        <v>-12</v>
      </c>
      <c r="AW6671">
        <v>0</v>
      </c>
      <c r="AY6671">
        <v>0</v>
      </c>
      <c r="AZ6671">
        <v>0</v>
      </c>
      <c r="BA6671">
        <v>75.599999999999994</v>
      </c>
      <c r="BE6671" t="str">
        <f>T("9791137006348")</f>
        <v>9791137006348</v>
      </c>
      <c r="BF6671" t="str">
        <f>T("N105455")</f>
        <v>N105455</v>
      </c>
      <c r="BG6671" t="str">
        <f>T("판타지 웹소설 &gt; 퓨전 판타지")</f>
        <v>판타지 웹소설 &gt; 퓨전 판타지</v>
      </c>
    </row>
    <row r="6672" spans="1:59">
      <c r="A6672" t="s">
        <v>60</v>
      </c>
      <c r="B6672" s="1">
        <v>46129</v>
      </c>
      <c r="C6672">
        <v>2378052051</v>
      </c>
      <c r="D6672">
        <v>2378052183</v>
      </c>
      <c r="E6672" t="str">
        <f>T("화력조선 132화")</f>
        <v>화력조선 132화</v>
      </c>
      <c r="F6672">
        <v>133</v>
      </c>
      <c r="G6672" t="str">
        <f>T("보헤미아")</f>
        <v>보헤미아</v>
      </c>
      <c r="J6672" t="str">
        <f>T("매드햇")</f>
        <v>매드햇</v>
      </c>
      <c r="K6672" t="str">
        <f>T("화력조선")</f>
        <v>화력조선</v>
      </c>
      <c r="L6672">
        <v>100</v>
      </c>
      <c r="M6672">
        <v>100</v>
      </c>
      <c r="N6672">
        <v>1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0</v>
      </c>
      <c r="AE6672">
        <v>0</v>
      </c>
      <c r="AF6672">
        <v>0</v>
      </c>
      <c r="AG6672">
        <v>0</v>
      </c>
      <c r="AH6672">
        <v>0</v>
      </c>
      <c r="AI6672">
        <v>100</v>
      </c>
      <c r="AJ6672">
        <v>1</v>
      </c>
      <c r="AK6672">
        <v>0</v>
      </c>
      <c r="AL6672">
        <v>0</v>
      </c>
      <c r="AM6672">
        <v>0</v>
      </c>
      <c r="AN6672">
        <v>0</v>
      </c>
      <c r="AO6672">
        <v>120</v>
      </c>
      <c r="AP6672">
        <v>-12</v>
      </c>
      <c r="AQ6672">
        <v>0</v>
      </c>
      <c r="AS6672">
        <v>0</v>
      </c>
      <c r="AT6672">
        <v>0</v>
      </c>
      <c r="AU6672">
        <v>120</v>
      </c>
      <c r="AV6672">
        <v>-12</v>
      </c>
      <c r="AW6672">
        <v>0</v>
      </c>
      <c r="AY6672">
        <v>0</v>
      </c>
      <c r="AZ6672">
        <v>0</v>
      </c>
      <c r="BA6672">
        <v>75.599999999999994</v>
      </c>
      <c r="BE6672" t="str">
        <f>T("9791137006348")</f>
        <v>9791137006348</v>
      </c>
      <c r="BF6672" t="str">
        <f>T("N105525")</f>
        <v>N105525</v>
      </c>
      <c r="BG6672" t="str">
        <f>T("판타지 웹소설 &gt; 퓨전 판타지")</f>
        <v>판타지 웹소설 &gt; 퓨전 판타지</v>
      </c>
    </row>
    <row r="6673" spans="1:59">
      <c r="A6673" t="s">
        <v>60</v>
      </c>
      <c r="B6673" s="1">
        <v>46129</v>
      </c>
      <c r="C6673">
        <v>2378052051</v>
      </c>
      <c r="D6673">
        <v>2378052184</v>
      </c>
      <c r="E6673" t="str">
        <f>T("화력조선 133화")</f>
        <v>화력조선 133화</v>
      </c>
      <c r="F6673">
        <v>134</v>
      </c>
      <c r="G6673" t="str">
        <f>T("보헤미아")</f>
        <v>보헤미아</v>
      </c>
      <c r="J6673" t="str">
        <f>T("매드햇")</f>
        <v>매드햇</v>
      </c>
      <c r="K6673" t="str">
        <f>T("화력조선")</f>
        <v>화력조선</v>
      </c>
      <c r="L6673">
        <v>100</v>
      </c>
      <c r="M6673">
        <v>100</v>
      </c>
      <c r="N6673">
        <v>1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0</v>
      </c>
      <c r="AE6673">
        <v>0</v>
      </c>
      <c r="AF6673">
        <v>0</v>
      </c>
      <c r="AG6673">
        <v>0</v>
      </c>
      <c r="AH6673">
        <v>0</v>
      </c>
      <c r="AI6673">
        <v>100</v>
      </c>
      <c r="AJ6673">
        <v>1</v>
      </c>
      <c r="AK6673">
        <v>0</v>
      </c>
      <c r="AL6673">
        <v>0</v>
      </c>
      <c r="AM6673">
        <v>0</v>
      </c>
      <c r="AN6673">
        <v>0</v>
      </c>
      <c r="AO6673">
        <v>120</v>
      </c>
      <c r="AP6673">
        <v>-12</v>
      </c>
      <c r="AQ6673">
        <v>0</v>
      </c>
      <c r="AS6673">
        <v>0</v>
      </c>
      <c r="AT6673">
        <v>0</v>
      </c>
      <c r="AU6673">
        <v>120</v>
      </c>
      <c r="AV6673">
        <v>-12</v>
      </c>
      <c r="AW6673">
        <v>0</v>
      </c>
      <c r="AY6673">
        <v>0</v>
      </c>
      <c r="AZ6673">
        <v>0</v>
      </c>
      <c r="BA6673">
        <v>75.599999999999994</v>
      </c>
      <c r="BE6673" t="str">
        <f>T("9791137006348")</f>
        <v>9791137006348</v>
      </c>
      <c r="BF6673" t="str">
        <f>T("N108205")</f>
        <v>N108205</v>
      </c>
      <c r="BG6673" t="str">
        <f>T("판타지 웹소설 &gt; 퓨전 판타지")</f>
        <v>판타지 웹소설 &gt; 퓨전 판타지</v>
      </c>
    </row>
    <row r="6674" spans="1:59">
      <c r="A6674" t="s">
        <v>60</v>
      </c>
      <c r="B6674" s="1">
        <v>46129</v>
      </c>
      <c r="C6674">
        <v>2378052051</v>
      </c>
      <c r="D6674">
        <v>2378052185</v>
      </c>
      <c r="E6674" t="str">
        <f>T("화력조선 134화")</f>
        <v>화력조선 134화</v>
      </c>
      <c r="F6674">
        <v>135</v>
      </c>
      <c r="G6674" t="str">
        <f>T("보헤미아")</f>
        <v>보헤미아</v>
      </c>
      <c r="J6674" t="str">
        <f>T("매드햇")</f>
        <v>매드햇</v>
      </c>
      <c r="K6674" t="str">
        <f>T("화력조선")</f>
        <v>화력조선</v>
      </c>
      <c r="L6674">
        <v>100</v>
      </c>
      <c r="M6674">
        <v>100</v>
      </c>
      <c r="N6674">
        <v>1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0</v>
      </c>
      <c r="AE6674">
        <v>0</v>
      </c>
      <c r="AF6674">
        <v>0</v>
      </c>
      <c r="AG6674">
        <v>0</v>
      </c>
      <c r="AH6674">
        <v>0</v>
      </c>
      <c r="AI6674">
        <v>100</v>
      </c>
      <c r="AJ6674">
        <v>1</v>
      </c>
      <c r="AK6674">
        <v>0</v>
      </c>
      <c r="AL6674">
        <v>0</v>
      </c>
      <c r="AM6674">
        <v>0</v>
      </c>
      <c r="AN6674">
        <v>0</v>
      </c>
      <c r="AO6674">
        <v>120</v>
      </c>
      <c r="AP6674">
        <v>-12</v>
      </c>
      <c r="AQ6674">
        <v>0</v>
      </c>
      <c r="AS6674">
        <v>0</v>
      </c>
      <c r="AT6674">
        <v>0</v>
      </c>
      <c r="AU6674">
        <v>120</v>
      </c>
      <c r="AV6674">
        <v>-12</v>
      </c>
      <c r="AW6674">
        <v>0</v>
      </c>
      <c r="AY6674">
        <v>0</v>
      </c>
      <c r="AZ6674">
        <v>0</v>
      </c>
      <c r="BA6674">
        <v>75.599999999999994</v>
      </c>
      <c r="BE6674" t="str">
        <f>T("9791137006348")</f>
        <v>9791137006348</v>
      </c>
      <c r="BF6674" t="str">
        <f>T("N108358")</f>
        <v>N108358</v>
      </c>
      <c r="BG6674" t="str">
        <f>T("판타지 웹소설 &gt; 퓨전 판타지")</f>
        <v>판타지 웹소설 &gt; 퓨전 판타지</v>
      </c>
    </row>
    <row r="6675" spans="1:59">
      <c r="A6675" t="s">
        <v>60</v>
      </c>
      <c r="B6675" s="1">
        <v>46129</v>
      </c>
      <c r="C6675">
        <v>2378052051</v>
      </c>
      <c r="D6675">
        <v>2378052186</v>
      </c>
      <c r="E6675" t="str">
        <f>T("화력조선 135화")</f>
        <v>화력조선 135화</v>
      </c>
      <c r="F6675">
        <v>136</v>
      </c>
      <c r="G6675" t="str">
        <f>T("보헤미아")</f>
        <v>보헤미아</v>
      </c>
      <c r="J6675" t="str">
        <f>T("매드햇")</f>
        <v>매드햇</v>
      </c>
      <c r="K6675" t="str">
        <f>T("화력조선")</f>
        <v>화력조선</v>
      </c>
      <c r="L6675">
        <v>100</v>
      </c>
      <c r="M6675">
        <v>100</v>
      </c>
      <c r="N6675">
        <v>1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0</v>
      </c>
      <c r="AE6675">
        <v>0</v>
      </c>
      <c r="AF6675">
        <v>0</v>
      </c>
      <c r="AG6675">
        <v>0</v>
      </c>
      <c r="AH6675">
        <v>0</v>
      </c>
      <c r="AI6675">
        <v>100</v>
      </c>
      <c r="AJ6675">
        <v>1</v>
      </c>
      <c r="AK6675">
        <v>0</v>
      </c>
      <c r="AL6675">
        <v>0</v>
      </c>
      <c r="AM6675">
        <v>0</v>
      </c>
      <c r="AN6675">
        <v>0</v>
      </c>
      <c r="AO6675">
        <v>120</v>
      </c>
      <c r="AP6675">
        <v>-12</v>
      </c>
      <c r="AQ6675">
        <v>0</v>
      </c>
      <c r="AS6675">
        <v>0</v>
      </c>
      <c r="AT6675">
        <v>0</v>
      </c>
      <c r="AU6675">
        <v>120</v>
      </c>
      <c r="AV6675">
        <v>-12</v>
      </c>
      <c r="AW6675">
        <v>0</v>
      </c>
      <c r="AY6675">
        <v>0</v>
      </c>
      <c r="AZ6675">
        <v>0</v>
      </c>
      <c r="BA6675">
        <v>75.599999999999994</v>
      </c>
      <c r="BE6675" t="str">
        <f>T("9791137006348")</f>
        <v>9791137006348</v>
      </c>
      <c r="BF6675" t="str">
        <f>T("N111174")</f>
        <v>N111174</v>
      </c>
      <c r="BG6675" t="str">
        <f>T("판타지 웹소설 &gt; 퓨전 판타지")</f>
        <v>판타지 웹소설 &gt; 퓨전 판타지</v>
      </c>
    </row>
    <row r="6676" spans="1:59">
      <c r="A6676" t="s">
        <v>60</v>
      </c>
      <c r="B6676" s="1">
        <v>46129</v>
      </c>
      <c r="C6676">
        <v>2378052051</v>
      </c>
      <c r="D6676">
        <v>2378052187</v>
      </c>
      <c r="E6676" t="str">
        <f>T("화력조선 136화")</f>
        <v>화력조선 136화</v>
      </c>
      <c r="F6676">
        <v>137</v>
      </c>
      <c r="G6676" t="str">
        <f>T("보헤미아")</f>
        <v>보헤미아</v>
      </c>
      <c r="J6676" t="str">
        <f>T("매드햇")</f>
        <v>매드햇</v>
      </c>
      <c r="K6676" t="str">
        <f>T("화력조선")</f>
        <v>화력조선</v>
      </c>
      <c r="L6676">
        <v>100</v>
      </c>
      <c r="M6676">
        <v>100</v>
      </c>
      <c r="N6676">
        <v>1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0</v>
      </c>
      <c r="AE6676">
        <v>0</v>
      </c>
      <c r="AF6676">
        <v>0</v>
      </c>
      <c r="AG6676">
        <v>0</v>
      </c>
      <c r="AH6676">
        <v>0</v>
      </c>
      <c r="AI6676">
        <v>100</v>
      </c>
      <c r="AJ6676">
        <v>1</v>
      </c>
      <c r="AK6676">
        <v>0</v>
      </c>
      <c r="AL6676">
        <v>0</v>
      </c>
      <c r="AM6676">
        <v>0</v>
      </c>
      <c r="AN6676">
        <v>0</v>
      </c>
      <c r="AO6676">
        <v>120</v>
      </c>
      <c r="AP6676">
        <v>-12</v>
      </c>
      <c r="AQ6676">
        <v>0</v>
      </c>
      <c r="AS6676">
        <v>0</v>
      </c>
      <c r="AT6676">
        <v>0</v>
      </c>
      <c r="AU6676">
        <v>120</v>
      </c>
      <c r="AV6676">
        <v>-12</v>
      </c>
      <c r="AW6676">
        <v>0</v>
      </c>
      <c r="AY6676">
        <v>0</v>
      </c>
      <c r="AZ6676">
        <v>0</v>
      </c>
      <c r="BA6676">
        <v>75.599999999999994</v>
      </c>
      <c r="BE6676" t="str">
        <f>T("9791137006348")</f>
        <v>9791137006348</v>
      </c>
      <c r="BF6676" t="str">
        <f>T("N111342")</f>
        <v>N111342</v>
      </c>
      <c r="BG6676" t="str">
        <f>T("판타지 웹소설 &gt; 퓨전 판타지")</f>
        <v>판타지 웹소설 &gt; 퓨전 판타지</v>
      </c>
    </row>
    <row r="6677" spans="1:59">
      <c r="A6677" t="s">
        <v>60</v>
      </c>
      <c r="B6677" s="1">
        <v>46129</v>
      </c>
      <c r="C6677">
        <v>2378052051</v>
      </c>
      <c r="D6677">
        <v>2378052188</v>
      </c>
      <c r="E6677" t="str">
        <f>T("화력조선 137화")</f>
        <v>화력조선 137화</v>
      </c>
      <c r="F6677">
        <v>138</v>
      </c>
      <c r="G6677" t="str">
        <f>T("보헤미아")</f>
        <v>보헤미아</v>
      </c>
      <c r="J6677" t="str">
        <f>T("매드햇")</f>
        <v>매드햇</v>
      </c>
      <c r="K6677" t="str">
        <f>T("화력조선")</f>
        <v>화력조선</v>
      </c>
      <c r="L6677">
        <v>100</v>
      </c>
      <c r="M6677">
        <v>100</v>
      </c>
      <c r="N6677">
        <v>1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0</v>
      </c>
      <c r="AE6677">
        <v>0</v>
      </c>
      <c r="AF6677">
        <v>0</v>
      </c>
      <c r="AG6677">
        <v>0</v>
      </c>
      <c r="AH6677">
        <v>0</v>
      </c>
      <c r="AI6677">
        <v>100</v>
      </c>
      <c r="AJ6677">
        <v>1</v>
      </c>
      <c r="AK6677">
        <v>0</v>
      </c>
      <c r="AL6677">
        <v>0</v>
      </c>
      <c r="AM6677">
        <v>0</v>
      </c>
      <c r="AN6677">
        <v>0</v>
      </c>
      <c r="AO6677">
        <v>120</v>
      </c>
      <c r="AP6677">
        <v>-12</v>
      </c>
      <c r="AQ6677">
        <v>0</v>
      </c>
      <c r="AS6677">
        <v>0</v>
      </c>
      <c r="AT6677">
        <v>0</v>
      </c>
      <c r="AU6677">
        <v>120</v>
      </c>
      <c r="AV6677">
        <v>-12</v>
      </c>
      <c r="AW6677">
        <v>0</v>
      </c>
      <c r="AY6677">
        <v>0</v>
      </c>
      <c r="AZ6677">
        <v>0</v>
      </c>
      <c r="BA6677">
        <v>75.599999999999994</v>
      </c>
      <c r="BE6677" t="str">
        <f>T("9791137006348")</f>
        <v>9791137006348</v>
      </c>
      <c r="BF6677" t="str">
        <f>T("N111587")</f>
        <v>N111587</v>
      </c>
      <c r="BG6677" t="str">
        <f>T("판타지 웹소설 &gt; 퓨전 판타지")</f>
        <v>판타지 웹소설 &gt; 퓨전 판타지</v>
      </c>
    </row>
    <row r="6678" spans="1:59">
      <c r="A6678" t="s">
        <v>60</v>
      </c>
      <c r="B6678" s="1">
        <v>46129</v>
      </c>
      <c r="C6678">
        <v>2378052051</v>
      </c>
      <c r="D6678">
        <v>2378052189</v>
      </c>
      <c r="E6678" t="str">
        <f>T("화력조선 138화")</f>
        <v>화력조선 138화</v>
      </c>
      <c r="F6678">
        <v>139</v>
      </c>
      <c r="G6678" t="str">
        <f>T("보헤미아")</f>
        <v>보헤미아</v>
      </c>
      <c r="J6678" t="str">
        <f>T("매드햇")</f>
        <v>매드햇</v>
      </c>
      <c r="K6678" t="str">
        <f>T("화력조선")</f>
        <v>화력조선</v>
      </c>
      <c r="L6678">
        <v>100</v>
      </c>
      <c r="M6678">
        <v>100</v>
      </c>
      <c r="N6678">
        <v>1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0</v>
      </c>
      <c r="AE6678">
        <v>0</v>
      </c>
      <c r="AF6678">
        <v>0</v>
      </c>
      <c r="AG6678">
        <v>0</v>
      </c>
      <c r="AH6678">
        <v>0</v>
      </c>
      <c r="AI6678">
        <v>100</v>
      </c>
      <c r="AJ6678">
        <v>1</v>
      </c>
      <c r="AK6678">
        <v>0</v>
      </c>
      <c r="AL6678">
        <v>0</v>
      </c>
      <c r="AM6678">
        <v>0</v>
      </c>
      <c r="AN6678">
        <v>0</v>
      </c>
      <c r="AO6678">
        <v>120</v>
      </c>
      <c r="AP6678">
        <v>-12</v>
      </c>
      <c r="AQ6678">
        <v>0</v>
      </c>
      <c r="AS6678">
        <v>0</v>
      </c>
      <c r="AT6678">
        <v>0</v>
      </c>
      <c r="AU6678">
        <v>120</v>
      </c>
      <c r="AV6678">
        <v>-12</v>
      </c>
      <c r="AW6678">
        <v>0</v>
      </c>
      <c r="AY6678">
        <v>0</v>
      </c>
      <c r="AZ6678">
        <v>0</v>
      </c>
      <c r="BA6678">
        <v>75.599999999999994</v>
      </c>
      <c r="BE6678" t="str">
        <f>T("9791137006348")</f>
        <v>9791137006348</v>
      </c>
      <c r="BF6678" t="str">
        <f>T("N111671")</f>
        <v>N111671</v>
      </c>
      <c r="BG6678" t="str">
        <f>T("판타지 웹소설 &gt; 퓨전 판타지")</f>
        <v>판타지 웹소설 &gt; 퓨전 판타지</v>
      </c>
    </row>
    <row r="6679" spans="1:59">
      <c r="A6679" t="s">
        <v>60</v>
      </c>
      <c r="B6679" s="1">
        <v>46130</v>
      </c>
      <c r="C6679">
        <v>2378052051</v>
      </c>
      <c r="D6679">
        <v>2378052055</v>
      </c>
      <c r="E6679" t="str">
        <f>T("화력조선 4화")</f>
        <v>화력조선 4화</v>
      </c>
      <c r="F6679">
        <v>5</v>
      </c>
      <c r="G6679" t="str">
        <f>T("보헤미아")</f>
        <v>보헤미아</v>
      </c>
      <c r="J6679" t="str">
        <f>T("매드햇")</f>
        <v>매드햇</v>
      </c>
      <c r="K6679" t="str">
        <f>T("화력조선")</f>
        <v>화력조선</v>
      </c>
      <c r="L6679">
        <v>0</v>
      </c>
      <c r="M6679">
        <v>0</v>
      </c>
      <c r="N6679">
        <v>0</v>
      </c>
      <c r="O6679">
        <v>1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0</v>
      </c>
      <c r="AE6679">
        <v>0</v>
      </c>
      <c r="AF6679">
        <v>0</v>
      </c>
      <c r="AG6679">
        <v>0</v>
      </c>
      <c r="AH6679">
        <v>0</v>
      </c>
      <c r="AI6679">
        <v>0</v>
      </c>
      <c r="AJ6679">
        <v>1</v>
      </c>
      <c r="AK6679">
        <v>0</v>
      </c>
      <c r="AL6679">
        <v>0</v>
      </c>
      <c r="AM6679">
        <v>0</v>
      </c>
      <c r="AN6679">
        <v>0</v>
      </c>
      <c r="AO6679">
        <v>0</v>
      </c>
      <c r="AP6679">
        <v>0</v>
      </c>
      <c r="AQ6679">
        <v>0</v>
      </c>
      <c r="AS6679">
        <v>0</v>
      </c>
      <c r="AT6679">
        <v>0</v>
      </c>
      <c r="AV6679">
        <v>0</v>
      </c>
      <c r="AW6679">
        <v>0</v>
      </c>
      <c r="AY6679">
        <v>0</v>
      </c>
      <c r="AZ6679">
        <v>0</v>
      </c>
      <c r="BA6679">
        <v>0</v>
      </c>
      <c r="BE6679" t="str">
        <f>T("9791137006348")</f>
        <v>9791137006348</v>
      </c>
      <c r="BF6679" t="str">
        <f>T("N083059")</f>
        <v>N083059</v>
      </c>
      <c r="BG6679" t="str">
        <f>T("판타지 웹소설 &gt; 퓨전 판타지")</f>
        <v>판타지 웹소설 &gt; 퓨전 판타지</v>
      </c>
    </row>
    <row r="6680" spans="1:59">
      <c r="A6680" t="s">
        <v>60</v>
      </c>
      <c r="B6680" s="1">
        <v>46130</v>
      </c>
      <c r="C6680">
        <v>2378052051</v>
      </c>
      <c r="D6680">
        <v>2378052065</v>
      </c>
      <c r="E6680" t="str">
        <f>T("화력조선 14화")</f>
        <v>화력조선 14화</v>
      </c>
      <c r="F6680">
        <v>15</v>
      </c>
      <c r="G6680" t="str">
        <f>T("보헤미아")</f>
        <v>보헤미아</v>
      </c>
      <c r="J6680" t="str">
        <f>T("매드햇")</f>
        <v>매드햇</v>
      </c>
      <c r="K6680" t="str">
        <f>T("화력조선")</f>
        <v>화력조선</v>
      </c>
      <c r="L6680">
        <v>0</v>
      </c>
      <c r="M6680">
        <v>0</v>
      </c>
      <c r="N6680">
        <v>0</v>
      </c>
      <c r="O6680">
        <v>1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0</v>
      </c>
      <c r="AE6680">
        <v>0</v>
      </c>
      <c r="AF6680">
        <v>0</v>
      </c>
      <c r="AG6680">
        <v>0</v>
      </c>
      <c r="AH6680">
        <v>0</v>
      </c>
      <c r="AI6680">
        <v>0</v>
      </c>
      <c r="AJ6680">
        <v>1</v>
      </c>
      <c r="AK6680">
        <v>0</v>
      </c>
      <c r="AL6680">
        <v>0</v>
      </c>
      <c r="AM6680">
        <v>0</v>
      </c>
      <c r="AN6680">
        <v>0</v>
      </c>
      <c r="AO6680">
        <v>0</v>
      </c>
      <c r="AP6680">
        <v>0</v>
      </c>
      <c r="AQ6680">
        <v>0</v>
      </c>
      <c r="AS6680">
        <v>0</v>
      </c>
      <c r="AT6680">
        <v>0</v>
      </c>
      <c r="AV6680">
        <v>0</v>
      </c>
      <c r="AW6680">
        <v>0</v>
      </c>
      <c r="AY6680">
        <v>0</v>
      </c>
      <c r="AZ6680">
        <v>0</v>
      </c>
      <c r="BA6680">
        <v>0</v>
      </c>
      <c r="BE6680" t="str">
        <f>T("9791137006348")</f>
        <v>9791137006348</v>
      </c>
      <c r="BF6680" t="str">
        <f>T("N083069")</f>
        <v>N083069</v>
      </c>
      <c r="BG6680" t="str">
        <f>T("판타지 웹소설 &gt; 퓨전 판타지")</f>
        <v>판타지 웹소설 &gt; 퓨전 판타지</v>
      </c>
    </row>
    <row r="6681" spans="1:59">
      <c r="A6681" t="s">
        <v>60</v>
      </c>
      <c r="B6681" s="1">
        <v>46130</v>
      </c>
      <c r="C6681">
        <v>2378052051</v>
      </c>
      <c r="D6681">
        <v>2378052066</v>
      </c>
      <c r="E6681" t="str">
        <f>T("화력조선 15화")</f>
        <v>화력조선 15화</v>
      </c>
      <c r="F6681">
        <v>16</v>
      </c>
      <c r="G6681" t="str">
        <f>T("보헤미아")</f>
        <v>보헤미아</v>
      </c>
      <c r="J6681" t="str">
        <f>T("매드햇")</f>
        <v>매드햇</v>
      </c>
      <c r="K6681" t="str">
        <f>T("화력조선")</f>
        <v>화력조선</v>
      </c>
      <c r="L6681">
        <v>0</v>
      </c>
      <c r="M6681">
        <v>0</v>
      </c>
      <c r="N6681">
        <v>0</v>
      </c>
      <c r="O6681">
        <v>1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0</v>
      </c>
      <c r="AE6681">
        <v>0</v>
      </c>
      <c r="AF6681">
        <v>0</v>
      </c>
      <c r="AG6681">
        <v>0</v>
      </c>
      <c r="AH6681">
        <v>0</v>
      </c>
      <c r="AI6681">
        <v>0</v>
      </c>
      <c r="AJ6681">
        <v>1</v>
      </c>
      <c r="AK6681">
        <v>0</v>
      </c>
      <c r="AL6681">
        <v>0</v>
      </c>
      <c r="AM6681">
        <v>0</v>
      </c>
      <c r="AN6681">
        <v>0</v>
      </c>
      <c r="AO6681">
        <v>0</v>
      </c>
      <c r="AP6681">
        <v>0</v>
      </c>
      <c r="AQ6681">
        <v>0</v>
      </c>
      <c r="AS6681">
        <v>0</v>
      </c>
      <c r="AT6681">
        <v>0</v>
      </c>
      <c r="AV6681">
        <v>0</v>
      </c>
      <c r="AW6681">
        <v>0</v>
      </c>
      <c r="AY6681">
        <v>0</v>
      </c>
      <c r="AZ6681">
        <v>0</v>
      </c>
      <c r="BA6681">
        <v>0</v>
      </c>
      <c r="BE6681" t="str">
        <f>T("9791137006348")</f>
        <v>9791137006348</v>
      </c>
      <c r="BF6681" t="str">
        <f>T("N083070")</f>
        <v>N083070</v>
      </c>
      <c r="BG6681" t="str">
        <f>T("판타지 웹소설 &gt; 퓨전 판타지")</f>
        <v>판타지 웹소설 &gt; 퓨전 판타지</v>
      </c>
    </row>
    <row r="6682" spans="1:59">
      <c r="A6682" t="s">
        <v>60</v>
      </c>
      <c r="B6682" s="1">
        <v>46130</v>
      </c>
      <c r="C6682">
        <v>2378052051</v>
      </c>
      <c r="D6682">
        <v>2378052067</v>
      </c>
      <c r="E6682" t="str">
        <f>T("화력조선 16화")</f>
        <v>화력조선 16화</v>
      </c>
      <c r="F6682">
        <v>17</v>
      </c>
      <c r="G6682" t="str">
        <f>T("보헤미아")</f>
        <v>보헤미아</v>
      </c>
      <c r="J6682" t="str">
        <f>T("매드햇")</f>
        <v>매드햇</v>
      </c>
      <c r="K6682" t="str">
        <f>T("화력조선")</f>
        <v>화력조선</v>
      </c>
      <c r="L6682">
        <v>0</v>
      </c>
      <c r="M6682">
        <v>0</v>
      </c>
      <c r="N6682">
        <v>0</v>
      </c>
      <c r="O6682">
        <v>1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0</v>
      </c>
      <c r="AE6682">
        <v>0</v>
      </c>
      <c r="AF6682">
        <v>0</v>
      </c>
      <c r="AG6682">
        <v>0</v>
      </c>
      <c r="AH6682">
        <v>0</v>
      </c>
      <c r="AI6682">
        <v>0</v>
      </c>
      <c r="AJ6682">
        <v>1</v>
      </c>
      <c r="AK6682">
        <v>0</v>
      </c>
      <c r="AL6682">
        <v>0</v>
      </c>
      <c r="AM6682">
        <v>0</v>
      </c>
      <c r="AN6682">
        <v>0</v>
      </c>
      <c r="AO6682">
        <v>0</v>
      </c>
      <c r="AP6682">
        <v>0</v>
      </c>
      <c r="AQ6682">
        <v>0</v>
      </c>
      <c r="AS6682">
        <v>0</v>
      </c>
      <c r="AT6682">
        <v>0</v>
      </c>
      <c r="AV6682">
        <v>0</v>
      </c>
      <c r="AW6682">
        <v>0</v>
      </c>
      <c r="AY6682">
        <v>0</v>
      </c>
      <c r="AZ6682">
        <v>0</v>
      </c>
      <c r="BA6682">
        <v>0</v>
      </c>
      <c r="BE6682" t="str">
        <f>T("9791137006348")</f>
        <v>9791137006348</v>
      </c>
      <c r="BF6682" t="str">
        <f>T("N083071")</f>
        <v>N083071</v>
      </c>
      <c r="BG6682" t="str">
        <f>T("판타지 웹소설 &gt; 퓨전 판타지")</f>
        <v>판타지 웹소설 &gt; 퓨전 판타지</v>
      </c>
    </row>
    <row r="6683" spans="1:59">
      <c r="A6683" t="s">
        <v>60</v>
      </c>
      <c r="B6683" s="1">
        <v>46130</v>
      </c>
      <c r="C6683">
        <v>2378052051</v>
      </c>
      <c r="D6683">
        <v>2378052068</v>
      </c>
      <c r="E6683" t="str">
        <f>T("화력조선 17화")</f>
        <v>화력조선 17화</v>
      </c>
      <c r="F6683">
        <v>18</v>
      </c>
      <c r="G6683" t="str">
        <f>T("보헤미아")</f>
        <v>보헤미아</v>
      </c>
      <c r="J6683" t="str">
        <f>T("매드햇")</f>
        <v>매드햇</v>
      </c>
      <c r="K6683" t="str">
        <f>T("화력조선")</f>
        <v>화력조선</v>
      </c>
      <c r="L6683">
        <v>0</v>
      </c>
      <c r="M6683">
        <v>0</v>
      </c>
      <c r="N6683">
        <v>0</v>
      </c>
      <c r="O6683">
        <v>1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0</v>
      </c>
      <c r="AE6683">
        <v>0</v>
      </c>
      <c r="AF6683">
        <v>0</v>
      </c>
      <c r="AG6683">
        <v>0</v>
      </c>
      <c r="AH6683">
        <v>0</v>
      </c>
      <c r="AI6683">
        <v>0</v>
      </c>
      <c r="AJ6683">
        <v>1</v>
      </c>
      <c r="AK6683">
        <v>0</v>
      </c>
      <c r="AL6683">
        <v>0</v>
      </c>
      <c r="AM6683">
        <v>0</v>
      </c>
      <c r="AN6683">
        <v>0</v>
      </c>
      <c r="AO6683">
        <v>0</v>
      </c>
      <c r="AP6683">
        <v>0</v>
      </c>
      <c r="AQ6683">
        <v>0</v>
      </c>
      <c r="AS6683">
        <v>0</v>
      </c>
      <c r="AT6683">
        <v>0</v>
      </c>
      <c r="AV6683">
        <v>0</v>
      </c>
      <c r="AW6683">
        <v>0</v>
      </c>
      <c r="AY6683">
        <v>0</v>
      </c>
      <c r="AZ6683">
        <v>0</v>
      </c>
      <c r="BA6683">
        <v>0</v>
      </c>
      <c r="BE6683" t="str">
        <f>T("9791137006348")</f>
        <v>9791137006348</v>
      </c>
      <c r="BF6683" t="str">
        <f>T("N083072")</f>
        <v>N083072</v>
      </c>
      <c r="BG6683" t="str">
        <f>T("판타지 웹소설 &gt; 퓨전 판타지")</f>
        <v>판타지 웹소설 &gt; 퓨전 판타지</v>
      </c>
    </row>
    <row r="6684" spans="1:59">
      <c r="A6684" t="s">
        <v>60</v>
      </c>
      <c r="B6684" s="1">
        <v>46130</v>
      </c>
      <c r="C6684">
        <v>2378052051</v>
      </c>
      <c r="D6684">
        <v>2378052069</v>
      </c>
      <c r="E6684" t="str">
        <f>T("화력조선 18화")</f>
        <v>화력조선 18화</v>
      </c>
      <c r="F6684">
        <v>19</v>
      </c>
      <c r="G6684" t="str">
        <f>T("보헤미아")</f>
        <v>보헤미아</v>
      </c>
      <c r="J6684" t="str">
        <f>T("매드햇")</f>
        <v>매드햇</v>
      </c>
      <c r="K6684" t="str">
        <f>T("화력조선")</f>
        <v>화력조선</v>
      </c>
      <c r="L6684">
        <v>0</v>
      </c>
      <c r="M6684">
        <v>0</v>
      </c>
      <c r="N6684">
        <v>0</v>
      </c>
      <c r="O6684">
        <v>1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0</v>
      </c>
      <c r="AE6684">
        <v>0</v>
      </c>
      <c r="AF6684">
        <v>0</v>
      </c>
      <c r="AG6684">
        <v>0</v>
      </c>
      <c r="AH6684">
        <v>0</v>
      </c>
      <c r="AI6684">
        <v>0</v>
      </c>
      <c r="AJ6684">
        <v>1</v>
      </c>
      <c r="AK6684">
        <v>0</v>
      </c>
      <c r="AL6684">
        <v>0</v>
      </c>
      <c r="AM6684">
        <v>0</v>
      </c>
      <c r="AN6684">
        <v>0</v>
      </c>
      <c r="AO6684">
        <v>0</v>
      </c>
      <c r="AP6684">
        <v>0</v>
      </c>
      <c r="AQ6684">
        <v>0</v>
      </c>
      <c r="AS6684">
        <v>0</v>
      </c>
      <c r="AT6684">
        <v>0</v>
      </c>
      <c r="AV6684">
        <v>0</v>
      </c>
      <c r="AW6684">
        <v>0</v>
      </c>
      <c r="AY6684">
        <v>0</v>
      </c>
      <c r="AZ6684">
        <v>0</v>
      </c>
      <c r="BA6684">
        <v>0</v>
      </c>
      <c r="BE6684" t="str">
        <f>T("9791137006348")</f>
        <v>9791137006348</v>
      </c>
      <c r="BF6684" t="str">
        <f>T("N083073")</f>
        <v>N083073</v>
      </c>
      <c r="BG6684" t="str">
        <f>T("판타지 웹소설 &gt; 퓨전 판타지")</f>
        <v>판타지 웹소설 &gt; 퓨전 판타지</v>
      </c>
    </row>
    <row r="6685" spans="1:59">
      <c r="A6685" t="s">
        <v>60</v>
      </c>
      <c r="B6685" s="1">
        <v>46130</v>
      </c>
      <c r="C6685">
        <v>2378052051</v>
      </c>
      <c r="D6685">
        <v>2378052070</v>
      </c>
      <c r="E6685" t="str">
        <f>T("화력조선 19화")</f>
        <v>화력조선 19화</v>
      </c>
      <c r="F6685">
        <v>20</v>
      </c>
      <c r="G6685" t="str">
        <f>T("보헤미아")</f>
        <v>보헤미아</v>
      </c>
      <c r="J6685" t="str">
        <f>T("매드햇")</f>
        <v>매드햇</v>
      </c>
      <c r="K6685" t="str">
        <f>T("화력조선")</f>
        <v>화력조선</v>
      </c>
      <c r="L6685">
        <v>0</v>
      </c>
      <c r="M6685">
        <v>0</v>
      </c>
      <c r="N6685">
        <v>0</v>
      </c>
      <c r="O6685">
        <v>1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0</v>
      </c>
      <c r="AE6685">
        <v>0</v>
      </c>
      <c r="AF6685">
        <v>0</v>
      </c>
      <c r="AG6685">
        <v>0</v>
      </c>
      <c r="AH6685">
        <v>0</v>
      </c>
      <c r="AI6685">
        <v>0</v>
      </c>
      <c r="AJ6685">
        <v>1</v>
      </c>
      <c r="AK6685">
        <v>0</v>
      </c>
      <c r="AL6685">
        <v>0</v>
      </c>
      <c r="AM6685">
        <v>0</v>
      </c>
      <c r="AN6685">
        <v>0</v>
      </c>
      <c r="AO6685">
        <v>0</v>
      </c>
      <c r="AP6685">
        <v>0</v>
      </c>
      <c r="AQ6685">
        <v>0</v>
      </c>
      <c r="AS6685">
        <v>0</v>
      </c>
      <c r="AT6685">
        <v>0</v>
      </c>
      <c r="AV6685">
        <v>0</v>
      </c>
      <c r="AW6685">
        <v>0</v>
      </c>
      <c r="AY6685">
        <v>0</v>
      </c>
      <c r="AZ6685">
        <v>0</v>
      </c>
      <c r="BA6685">
        <v>0</v>
      </c>
      <c r="BE6685" t="str">
        <f>T("9791137006348")</f>
        <v>9791137006348</v>
      </c>
      <c r="BF6685" t="str">
        <f>T("N083074")</f>
        <v>N083074</v>
      </c>
      <c r="BG6685" t="str">
        <f>T("판타지 웹소설 &gt; 퓨전 판타지")</f>
        <v>판타지 웹소설 &gt; 퓨전 판타지</v>
      </c>
    </row>
    <row r="6686" spans="1:59">
      <c r="A6686" t="s">
        <v>60</v>
      </c>
      <c r="B6686" s="1">
        <v>46130</v>
      </c>
      <c r="C6686">
        <v>2378052051</v>
      </c>
      <c r="D6686">
        <v>2378052071</v>
      </c>
      <c r="E6686" t="str">
        <f>T("화력조선 20화")</f>
        <v>화력조선 20화</v>
      </c>
      <c r="F6686">
        <v>21</v>
      </c>
      <c r="G6686" t="str">
        <f>T("보헤미아")</f>
        <v>보헤미아</v>
      </c>
      <c r="J6686" t="str">
        <f>T("매드햇")</f>
        <v>매드햇</v>
      </c>
      <c r="K6686" t="str">
        <f>T("화력조선")</f>
        <v>화력조선</v>
      </c>
      <c r="L6686">
        <v>0</v>
      </c>
      <c r="M6686">
        <v>0</v>
      </c>
      <c r="N6686">
        <v>0</v>
      </c>
      <c r="O6686">
        <v>1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0</v>
      </c>
      <c r="AE6686">
        <v>0</v>
      </c>
      <c r="AF6686">
        <v>0</v>
      </c>
      <c r="AG6686">
        <v>0</v>
      </c>
      <c r="AH6686">
        <v>0</v>
      </c>
      <c r="AI6686">
        <v>0</v>
      </c>
      <c r="AJ6686">
        <v>1</v>
      </c>
      <c r="AK6686">
        <v>0</v>
      </c>
      <c r="AL6686">
        <v>0</v>
      </c>
      <c r="AM6686">
        <v>0</v>
      </c>
      <c r="AN6686">
        <v>0</v>
      </c>
      <c r="AO6686">
        <v>0</v>
      </c>
      <c r="AP6686">
        <v>0</v>
      </c>
      <c r="AQ6686">
        <v>0</v>
      </c>
      <c r="AS6686">
        <v>0</v>
      </c>
      <c r="AT6686">
        <v>0</v>
      </c>
      <c r="AV6686">
        <v>0</v>
      </c>
      <c r="AW6686">
        <v>0</v>
      </c>
      <c r="AY6686">
        <v>0</v>
      </c>
      <c r="AZ6686">
        <v>0</v>
      </c>
      <c r="BA6686">
        <v>0</v>
      </c>
      <c r="BE6686" t="str">
        <f>T("9791137006348")</f>
        <v>9791137006348</v>
      </c>
      <c r="BF6686" t="str">
        <f>T("N083075")</f>
        <v>N083075</v>
      </c>
      <c r="BG6686" t="str">
        <f>T("판타지 웹소설 &gt; 퓨전 판타지")</f>
        <v>판타지 웹소설 &gt; 퓨전 판타지</v>
      </c>
    </row>
    <row r="6687" spans="1:59">
      <c r="A6687" t="s">
        <v>60</v>
      </c>
      <c r="B6687" s="1">
        <v>46130</v>
      </c>
      <c r="C6687">
        <v>2378052051</v>
      </c>
      <c r="D6687">
        <v>2378052072</v>
      </c>
      <c r="E6687" t="str">
        <f>T("화력조선 21화")</f>
        <v>화력조선 21화</v>
      </c>
      <c r="F6687">
        <v>22</v>
      </c>
      <c r="G6687" t="str">
        <f>T("보헤미아")</f>
        <v>보헤미아</v>
      </c>
      <c r="J6687" t="str">
        <f>T("매드햇")</f>
        <v>매드햇</v>
      </c>
      <c r="K6687" t="str">
        <f>T("화력조선")</f>
        <v>화력조선</v>
      </c>
      <c r="L6687">
        <v>0</v>
      </c>
      <c r="M6687">
        <v>0</v>
      </c>
      <c r="N6687">
        <v>0</v>
      </c>
      <c r="O6687">
        <v>1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0</v>
      </c>
      <c r="AE6687">
        <v>0</v>
      </c>
      <c r="AF6687">
        <v>0</v>
      </c>
      <c r="AG6687">
        <v>0</v>
      </c>
      <c r="AH6687">
        <v>0</v>
      </c>
      <c r="AI6687">
        <v>0</v>
      </c>
      <c r="AJ6687">
        <v>1</v>
      </c>
      <c r="AK6687">
        <v>0</v>
      </c>
      <c r="AL6687">
        <v>0</v>
      </c>
      <c r="AM6687">
        <v>0</v>
      </c>
      <c r="AN6687">
        <v>0</v>
      </c>
      <c r="AO6687">
        <v>0</v>
      </c>
      <c r="AP6687">
        <v>0</v>
      </c>
      <c r="AQ6687">
        <v>0</v>
      </c>
      <c r="AS6687">
        <v>0</v>
      </c>
      <c r="AT6687">
        <v>0</v>
      </c>
      <c r="AV6687">
        <v>0</v>
      </c>
      <c r="AW6687">
        <v>0</v>
      </c>
      <c r="AY6687">
        <v>0</v>
      </c>
      <c r="AZ6687">
        <v>0</v>
      </c>
      <c r="BA6687">
        <v>0</v>
      </c>
      <c r="BE6687" t="str">
        <f>T("9791137006348")</f>
        <v>9791137006348</v>
      </c>
      <c r="BF6687" t="str">
        <f>T("N083076")</f>
        <v>N083076</v>
      </c>
      <c r="BG6687" t="str">
        <f>T("판타지 웹소설 &gt; 퓨전 판타지")</f>
        <v>판타지 웹소설 &gt; 퓨전 판타지</v>
      </c>
    </row>
    <row r="6688" spans="1:59">
      <c r="A6688" t="s">
        <v>60</v>
      </c>
      <c r="B6688" s="1">
        <v>46130</v>
      </c>
      <c r="C6688">
        <v>2378052051</v>
      </c>
      <c r="D6688">
        <v>2378052073</v>
      </c>
      <c r="E6688" t="str">
        <f>T("화력조선 22화")</f>
        <v>화력조선 22화</v>
      </c>
      <c r="F6688">
        <v>23</v>
      </c>
      <c r="G6688" t="str">
        <f>T("보헤미아")</f>
        <v>보헤미아</v>
      </c>
      <c r="J6688" t="str">
        <f>T("매드햇")</f>
        <v>매드햇</v>
      </c>
      <c r="K6688" t="str">
        <f>T("화력조선")</f>
        <v>화력조선</v>
      </c>
      <c r="L6688">
        <v>0</v>
      </c>
      <c r="M6688">
        <v>0</v>
      </c>
      <c r="N6688">
        <v>0</v>
      </c>
      <c r="O6688">
        <v>1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0</v>
      </c>
      <c r="AE6688">
        <v>0</v>
      </c>
      <c r="AF6688">
        <v>0</v>
      </c>
      <c r="AG6688">
        <v>0</v>
      </c>
      <c r="AH6688">
        <v>0</v>
      </c>
      <c r="AI6688">
        <v>0</v>
      </c>
      <c r="AJ6688">
        <v>1</v>
      </c>
      <c r="AK6688">
        <v>0</v>
      </c>
      <c r="AL6688">
        <v>0</v>
      </c>
      <c r="AM6688">
        <v>0</v>
      </c>
      <c r="AN6688">
        <v>0</v>
      </c>
      <c r="AO6688">
        <v>0</v>
      </c>
      <c r="AP6688">
        <v>0</v>
      </c>
      <c r="AQ6688">
        <v>0</v>
      </c>
      <c r="AS6688">
        <v>0</v>
      </c>
      <c r="AT6688">
        <v>0</v>
      </c>
      <c r="AV6688">
        <v>0</v>
      </c>
      <c r="AW6688">
        <v>0</v>
      </c>
      <c r="AY6688">
        <v>0</v>
      </c>
      <c r="AZ6688">
        <v>0</v>
      </c>
      <c r="BA6688">
        <v>0</v>
      </c>
      <c r="BE6688" t="str">
        <f>T("9791137006348")</f>
        <v>9791137006348</v>
      </c>
      <c r="BF6688" t="str">
        <f>T("N083077")</f>
        <v>N083077</v>
      </c>
      <c r="BG6688" t="str">
        <f>T("판타지 웹소설 &gt; 퓨전 판타지")</f>
        <v>판타지 웹소설 &gt; 퓨전 판타지</v>
      </c>
    </row>
    <row r="6689" spans="1:59">
      <c r="A6689" t="s">
        <v>60</v>
      </c>
      <c r="B6689" s="1">
        <v>46130</v>
      </c>
      <c r="C6689">
        <v>2378052051</v>
      </c>
      <c r="D6689">
        <v>2378052074</v>
      </c>
      <c r="E6689" t="str">
        <f>T("화력조선 23화")</f>
        <v>화력조선 23화</v>
      </c>
      <c r="F6689">
        <v>24</v>
      </c>
      <c r="G6689" t="str">
        <f>T("보헤미아")</f>
        <v>보헤미아</v>
      </c>
      <c r="J6689" t="str">
        <f>T("매드햇")</f>
        <v>매드햇</v>
      </c>
      <c r="K6689" t="str">
        <f>T("화력조선")</f>
        <v>화력조선</v>
      </c>
      <c r="L6689">
        <v>0</v>
      </c>
      <c r="M6689">
        <v>0</v>
      </c>
      <c r="N6689">
        <v>0</v>
      </c>
      <c r="O6689">
        <v>1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0</v>
      </c>
      <c r="AE6689">
        <v>0</v>
      </c>
      <c r="AF6689">
        <v>0</v>
      </c>
      <c r="AG6689">
        <v>0</v>
      </c>
      <c r="AH6689">
        <v>0</v>
      </c>
      <c r="AI6689">
        <v>0</v>
      </c>
      <c r="AJ6689">
        <v>1</v>
      </c>
      <c r="AK6689">
        <v>0</v>
      </c>
      <c r="AL6689">
        <v>0</v>
      </c>
      <c r="AM6689">
        <v>0</v>
      </c>
      <c r="AN6689">
        <v>0</v>
      </c>
      <c r="AO6689">
        <v>0</v>
      </c>
      <c r="AP6689">
        <v>0</v>
      </c>
      <c r="AQ6689">
        <v>0</v>
      </c>
      <c r="AS6689">
        <v>0</v>
      </c>
      <c r="AT6689">
        <v>0</v>
      </c>
      <c r="AV6689">
        <v>0</v>
      </c>
      <c r="AW6689">
        <v>0</v>
      </c>
      <c r="AY6689">
        <v>0</v>
      </c>
      <c r="AZ6689">
        <v>0</v>
      </c>
      <c r="BA6689">
        <v>0</v>
      </c>
      <c r="BE6689" t="str">
        <f>T("9791137006348")</f>
        <v>9791137006348</v>
      </c>
      <c r="BF6689" t="str">
        <f>T("N083078")</f>
        <v>N083078</v>
      </c>
      <c r="BG6689" t="str">
        <f>T("판타지 웹소설 &gt; 퓨전 판타지")</f>
        <v>판타지 웹소설 &gt; 퓨전 판타지</v>
      </c>
    </row>
    <row r="6690" spans="1:59">
      <c r="A6690" t="s">
        <v>60</v>
      </c>
      <c r="B6690" s="1">
        <v>46130</v>
      </c>
      <c r="C6690">
        <v>2378052051</v>
      </c>
      <c r="D6690">
        <v>2378052075</v>
      </c>
      <c r="E6690" t="str">
        <f>T("화력조선 24화")</f>
        <v>화력조선 24화</v>
      </c>
      <c r="F6690">
        <v>25</v>
      </c>
      <c r="G6690" t="str">
        <f>T("보헤미아")</f>
        <v>보헤미아</v>
      </c>
      <c r="J6690" t="str">
        <f>T("매드햇")</f>
        <v>매드햇</v>
      </c>
      <c r="K6690" t="str">
        <f>T("화력조선")</f>
        <v>화력조선</v>
      </c>
      <c r="L6690">
        <v>0</v>
      </c>
      <c r="M6690">
        <v>0</v>
      </c>
      <c r="N6690">
        <v>0</v>
      </c>
      <c r="O6690">
        <v>1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0</v>
      </c>
      <c r="AE6690">
        <v>0</v>
      </c>
      <c r="AF6690">
        <v>0</v>
      </c>
      <c r="AG6690">
        <v>0</v>
      </c>
      <c r="AH6690">
        <v>0</v>
      </c>
      <c r="AI6690">
        <v>0</v>
      </c>
      <c r="AJ6690">
        <v>1</v>
      </c>
      <c r="AK6690">
        <v>0</v>
      </c>
      <c r="AL6690">
        <v>0</v>
      </c>
      <c r="AM6690">
        <v>0</v>
      </c>
      <c r="AN6690">
        <v>0</v>
      </c>
      <c r="AO6690">
        <v>0</v>
      </c>
      <c r="AP6690">
        <v>0</v>
      </c>
      <c r="AQ6690">
        <v>0</v>
      </c>
      <c r="AS6690">
        <v>0</v>
      </c>
      <c r="AT6690">
        <v>0</v>
      </c>
      <c r="AV6690">
        <v>0</v>
      </c>
      <c r="AW6690">
        <v>0</v>
      </c>
      <c r="AY6690">
        <v>0</v>
      </c>
      <c r="AZ6690">
        <v>0</v>
      </c>
      <c r="BA6690">
        <v>0</v>
      </c>
      <c r="BE6690" t="str">
        <f>T("9791137006348")</f>
        <v>9791137006348</v>
      </c>
      <c r="BF6690" t="str">
        <f>T("N083079")</f>
        <v>N083079</v>
      </c>
      <c r="BG6690" t="str">
        <f>T("판타지 웹소설 &gt; 퓨전 판타지")</f>
        <v>판타지 웹소설 &gt; 퓨전 판타지</v>
      </c>
    </row>
    <row r="6691" spans="1:59">
      <c r="A6691" t="s">
        <v>60</v>
      </c>
      <c r="B6691" s="1">
        <v>46130</v>
      </c>
      <c r="C6691">
        <v>2378052051</v>
      </c>
      <c r="D6691">
        <v>2378052076</v>
      </c>
      <c r="E6691" t="str">
        <f>T("화력조선 25화")</f>
        <v>화력조선 25화</v>
      </c>
      <c r="F6691">
        <v>26</v>
      </c>
      <c r="G6691" t="str">
        <f>T("보헤미아")</f>
        <v>보헤미아</v>
      </c>
      <c r="J6691" t="str">
        <f>T("매드햇")</f>
        <v>매드햇</v>
      </c>
      <c r="K6691" t="str">
        <f>T("화력조선")</f>
        <v>화력조선</v>
      </c>
      <c r="L6691">
        <v>100</v>
      </c>
      <c r="M6691">
        <v>100</v>
      </c>
      <c r="N6691">
        <v>1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0</v>
      </c>
      <c r="AE6691">
        <v>0</v>
      </c>
      <c r="AF6691">
        <v>0</v>
      </c>
      <c r="AG6691">
        <v>0</v>
      </c>
      <c r="AH6691">
        <v>0</v>
      </c>
      <c r="AI6691">
        <v>100</v>
      </c>
      <c r="AJ6691">
        <v>1</v>
      </c>
      <c r="AK6691">
        <v>0</v>
      </c>
      <c r="AL6691">
        <v>0</v>
      </c>
      <c r="AM6691">
        <v>0</v>
      </c>
      <c r="AN6691">
        <v>0</v>
      </c>
      <c r="AO6691">
        <v>120</v>
      </c>
      <c r="AP6691">
        <v>-12</v>
      </c>
      <c r="AQ6691">
        <v>0</v>
      </c>
      <c r="AS6691">
        <v>0</v>
      </c>
      <c r="AT6691">
        <v>0</v>
      </c>
      <c r="AU6691">
        <v>120</v>
      </c>
      <c r="AV6691">
        <v>-12</v>
      </c>
      <c r="AW6691">
        <v>0</v>
      </c>
      <c r="AY6691">
        <v>0</v>
      </c>
      <c r="AZ6691">
        <v>0</v>
      </c>
      <c r="BA6691">
        <v>75.599999999999994</v>
      </c>
      <c r="BE6691" t="str">
        <f>T("9791137006348")</f>
        <v>9791137006348</v>
      </c>
      <c r="BF6691" t="str">
        <f>T("N083080")</f>
        <v>N083080</v>
      </c>
      <c r="BG6691" t="str">
        <f>T("판타지 웹소설 &gt; 퓨전 판타지")</f>
        <v>판타지 웹소설 &gt; 퓨전 판타지</v>
      </c>
    </row>
    <row r="6692" spans="1:59">
      <c r="A6692" t="s">
        <v>60</v>
      </c>
      <c r="B6692" s="1">
        <v>46130</v>
      </c>
      <c r="C6692">
        <v>2378052051</v>
      </c>
      <c r="D6692">
        <v>2378052077</v>
      </c>
      <c r="E6692" t="str">
        <f>T("화력조선 26화")</f>
        <v>화력조선 26화</v>
      </c>
      <c r="F6692">
        <v>27</v>
      </c>
      <c r="G6692" t="str">
        <f>T("보헤미아")</f>
        <v>보헤미아</v>
      </c>
      <c r="J6692" t="str">
        <f>T("매드햇")</f>
        <v>매드햇</v>
      </c>
      <c r="K6692" t="str">
        <f>T("화력조선")</f>
        <v>화력조선</v>
      </c>
      <c r="L6692">
        <v>100</v>
      </c>
      <c r="M6692">
        <v>100</v>
      </c>
      <c r="N6692">
        <v>1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0</v>
      </c>
      <c r="AE6692">
        <v>0</v>
      </c>
      <c r="AF6692">
        <v>0</v>
      </c>
      <c r="AG6692">
        <v>0</v>
      </c>
      <c r="AH6692">
        <v>0</v>
      </c>
      <c r="AI6692">
        <v>100</v>
      </c>
      <c r="AJ6692">
        <v>1</v>
      </c>
      <c r="AK6692">
        <v>0</v>
      </c>
      <c r="AL6692">
        <v>0</v>
      </c>
      <c r="AM6692">
        <v>0</v>
      </c>
      <c r="AN6692">
        <v>0</v>
      </c>
      <c r="AO6692">
        <v>120</v>
      </c>
      <c r="AP6692">
        <v>-12</v>
      </c>
      <c r="AQ6692">
        <v>0</v>
      </c>
      <c r="AS6692">
        <v>0</v>
      </c>
      <c r="AT6692">
        <v>0</v>
      </c>
      <c r="AU6692">
        <v>120</v>
      </c>
      <c r="AV6692">
        <v>-12</v>
      </c>
      <c r="AW6692">
        <v>0</v>
      </c>
      <c r="AY6692">
        <v>0</v>
      </c>
      <c r="AZ6692">
        <v>0</v>
      </c>
      <c r="BA6692">
        <v>75.599999999999994</v>
      </c>
      <c r="BE6692" t="str">
        <f>T("9791137006348")</f>
        <v>9791137006348</v>
      </c>
      <c r="BF6692" t="str">
        <f>T("N083081")</f>
        <v>N083081</v>
      </c>
      <c r="BG6692" t="str">
        <f>T("판타지 웹소설 &gt; 퓨전 판타지")</f>
        <v>판타지 웹소설 &gt; 퓨전 판타지</v>
      </c>
    </row>
    <row r="6693" spans="1:59">
      <c r="A6693" t="s">
        <v>60</v>
      </c>
      <c r="B6693" s="1">
        <v>46130</v>
      </c>
      <c r="C6693">
        <v>2378052051</v>
      </c>
      <c r="D6693">
        <v>2378052078</v>
      </c>
      <c r="E6693" t="str">
        <f>T("화력조선 27화")</f>
        <v>화력조선 27화</v>
      </c>
      <c r="F6693">
        <v>28</v>
      </c>
      <c r="G6693" t="str">
        <f>T("보헤미아")</f>
        <v>보헤미아</v>
      </c>
      <c r="J6693" t="str">
        <f>T("매드햇")</f>
        <v>매드햇</v>
      </c>
      <c r="K6693" t="str">
        <f>T("화력조선")</f>
        <v>화력조선</v>
      </c>
      <c r="L6693">
        <v>100</v>
      </c>
      <c r="M6693">
        <v>100</v>
      </c>
      <c r="N6693">
        <v>1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0</v>
      </c>
      <c r="AE6693">
        <v>0</v>
      </c>
      <c r="AF6693">
        <v>0</v>
      </c>
      <c r="AG6693">
        <v>0</v>
      </c>
      <c r="AH6693">
        <v>0</v>
      </c>
      <c r="AI6693">
        <v>100</v>
      </c>
      <c r="AJ6693">
        <v>1</v>
      </c>
      <c r="AK6693">
        <v>0</v>
      </c>
      <c r="AL6693">
        <v>0</v>
      </c>
      <c r="AM6693">
        <v>0</v>
      </c>
      <c r="AN6693">
        <v>0</v>
      </c>
      <c r="AO6693">
        <v>120</v>
      </c>
      <c r="AP6693">
        <v>-12</v>
      </c>
      <c r="AQ6693">
        <v>0</v>
      </c>
      <c r="AS6693">
        <v>0</v>
      </c>
      <c r="AT6693">
        <v>0</v>
      </c>
      <c r="AU6693">
        <v>120</v>
      </c>
      <c r="AV6693">
        <v>-12</v>
      </c>
      <c r="AW6693">
        <v>0</v>
      </c>
      <c r="AY6693">
        <v>0</v>
      </c>
      <c r="AZ6693">
        <v>0</v>
      </c>
      <c r="BA6693">
        <v>75.599999999999994</v>
      </c>
      <c r="BE6693" t="str">
        <f>T("9791137006348")</f>
        <v>9791137006348</v>
      </c>
      <c r="BF6693" t="str">
        <f>T("N083082")</f>
        <v>N083082</v>
      </c>
      <c r="BG6693" t="str">
        <f>T("판타지 웹소설 &gt; 퓨전 판타지")</f>
        <v>판타지 웹소설 &gt; 퓨전 판타지</v>
      </c>
    </row>
    <row r="6694" spans="1:59">
      <c r="A6694" t="s">
        <v>60</v>
      </c>
      <c r="B6694" s="1">
        <v>46130</v>
      </c>
      <c r="C6694">
        <v>2378052051</v>
      </c>
      <c r="D6694">
        <v>2378052079</v>
      </c>
      <c r="E6694" t="str">
        <f>T("화력조선 28화")</f>
        <v>화력조선 28화</v>
      </c>
      <c r="F6694">
        <v>29</v>
      </c>
      <c r="G6694" t="str">
        <f>T("보헤미아")</f>
        <v>보헤미아</v>
      </c>
      <c r="J6694" t="str">
        <f>T("매드햇")</f>
        <v>매드햇</v>
      </c>
      <c r="K6694" t="str">
        <f>T("화력조선")</f>
        <v>화력조선</v>
      </c>
      <c r="L6694">
        <v>100</v>
      </c>
      <c r="M6694">
        <v>100</v>
      </c>
      <c r="N6694">
        <v>1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0</v>
      </c>
      <c r="AE6694">
        <v>0</v>
      </c>
      <c r="AF6694">
        <v>0</v>
      </c>
      <c r="AG6694">
        <v>0</v>
      </c>
      <c r="AH6694">
        <v>0</v>
      </c>
      <c r="AI6694">
        <v>100</v>
      </c>
      <c r="AJ6694">
        <v>1</v>
      </c>
      <c r="AK6694">
        <v>0</v>
      </c>
      <c r="AL6694">
        <v>0</v>
      </c>
      <c r="AM6694">
        <v>0</v>
      </c>
      <c r="AN6694">
        <v>0</v>
      </c>
      <c r="AO6694">
        <v>120</v>
      </c>
      <c r="AP6694">
        <v>-12</v>
      </c>
      <c r="AQ6694">
        <v>0</v>
      </c>
      <c r="AS6694">
        <v>0</v>
      </c>
      <c r="AT6694">
        <v>0</v>
      </c>
      <c r="AU6694">
        <v>120</v>
      </c>
      <c r="AV6694">
        <v>-12</v>
      </c>
      <c r="AW6694">
        <v>0</v>
      </c>
      <c r="AY6694">
        <v>0</v>
      </c>
      <c r="AZ6694">
        <v>0</v>
      </c>
      <c r="BA6694">
        <v>75.599999999999994</v>
      </c>
      <c r="BE6694" t="str">
        <f>T("9791137006348")</f>
        <v>9791137006348</v>
      </c>
      <c r="BF6694" t="str">
        <f>T("N083083")</f>
        <v>N083083</v>
      </c>
      <c r="BG6694" t="str">
        <f>T("판타지 웹소설 &gt; 퓨전 판타지")</f>
        <v>판타지 웹소설 &gt; 퓨전 판타지</v>
      </c>
    </row>
    <row r="6695" spans="1:59">
      <c r="A6695" t="s">
        <v>60</v>
      </c>
      <c r="B6695" s="1">
        <v>46130</v>
      </c>
      <c r="C6695">
        <v>2378052051</v>
      </c>
      <c r="D6695">
        <v>2378052080</v>
      </c>
      <c r="E6695" t="str">
        <f>T("화력조선 29화")</f>
        <v>화력조선 29화</v>
      </c>
      <c r="F6695">
        <v>30</v>
      </c>
      <c r="G6695" t="str">
        <f>T("보헤미아")</f>
        <v>보헤미아</v>
      </c>
      <c r="J6695" t="str">
        <f>T("매드햇")</f>
        <v>매드햇</v>
      </c>
      <c r="K6695" t="str">
        <f>T("화력조선")</f>
        <v>화력조선</v>
      </c>
      <c r="L6695">
        <v>100</v>
      </c>
      <c r="M6695">
        <v>100</v>
      </c>
      <c r="N6695">
        <v>1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0</v>
      </c>
      <c r="AE6695">
        <v>0</v>
      </c>
      <c r="AF6695">
        <v>0</v>
      </c>
      <c r="AG6695">
        <v>0</v>
      </c>
      <c r="AH6695">
        <v>0</v>
      </c>
      <c r="AI6695">
        <v>100</v>
      </c>
      <c r="AJ6695">
        <v>1</v>
      </c>
      <c r="AK6695">
        <v>0</v>
      </c>
      <c r="AL6695">
        <v>0</v>
      </c>
      <c r="AM6695">
        <v>0</v>
      </c>
      <c r="AN6695">
        <v>0</v>
      </c>
      <c r="AO6695">
        <v>120</v>
      </c>
      <c r="AP6695">
        <v>-12</v>
      </c>
      <c r="AQ6695">
        <v>0</v>
      </c>
      <c r="AS6695">
        <v>0</v>
      </c>
      <c r="AT6695">
        <v>0</v>
      </c>
      <c r="AU6695">
        <v>120</v>
      </c>
      <c r="AV6695">
        <v>-12</v>
      </c>
      <c r="AW6695">
        <v>0</v>
      </c>
      <c r="AY6695">
        <v>0</v>
      </c>
      <c r="AZ6695">
        <v>0</v>
      </c>
      <c r="BA6695">
        <v>75.599999999999994</v>
      </c>
      <c r="BE6695" t="str">
        <f>T("9791137006348")</f>
        <v>9791137006348</v>
      </c>
      <c r="BF6695" t="str">
        <f>T("N083084")</f>
        <v>N083084</v>
      </c>
      <c r="BG6695" t="str">
        <f>T("판타지 웹소설 &gt; 퓨전 판타지")</f>
        <v>판타지 웹소설 &gt; 퓨전 판타지</v>
      </c>
    </row>
    <row r="6696" spans="1:59">
      <c r="A6696" t="s">
        <v>60</v>
      </c>
      <c r="B6696" s="1">
        <v>46130</v>
      </c>
      <c r="C6696">
        <v>2378052051</v>
      </c>
      <c r="D6696">
        <v>2378052081</v>
      </c>
      <c r="E6696" t="str">
        <f>T("화력조선 30화")</f>
        <v>화력조선 30화</v>
      </c>
      <c r="F6696">
        <v>31</v>
      </c>
      <c r="G6696" t="str">
        <f>T("보헤미아")</f>
        <v>보헤미아</v>
      </c>
      <c r="J6696" t="str">
        <f>T("매드햇")</f>
        <v>매드햇</v>
      </c>
      <c r="K6696" t="str">
        <f>T("화력조선")</f>
        <v>화력조선</v>
      </c>
      <c r="L6696">
        <v>100</v>
      </c>
      <c r="M6696">
        <v>100</v>
      </c>
      <c r="N6696">
        <v>1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0</v>
      </c>
      <c r="AE6696">
        <v>0</v>
      </c>
      <c r="AF6696">
        <v>0</v>
      </c>
      <c r="AG6696">
        <v>0</v>
      </c>
      <c r="AH6696">
        <v>0</v>
      </c>
      <c r="AI6696">
        <v>100</v>
      </c>
      <c r="AJ6696">
        <v>1</v>
      </c>
      <c r="AK6696">
        <v>0</v>
      </c>
      <c r="AL6696">
        <v>0</v>
      </c>
      <c r="AM6696">
        <v>0</v>
      </c>
      <c r="AN6696">
        <v>0</v>
      </c>
      <c r="AO6696">
        <v>120</v>
      </c>
      <c r="AP6696">
        <v>-12</v>
      </c>
      <c r="AQ6696">
        <v>0</v>
      </c>
      <c r="AS6696">
        <v>0</v>
      </c>
      <c r="AT6696">
        <v>0</v>
      </c>
      <c r="AU6696">
        <v>120</v>
      </c>
      <c r="AV6696">
        <v>-12</v>
      </c>
      <c r="AW6696">
        <v>0</v>
      </c>
      <c r="AY6696">
        <v>0</v>
      </c>
      <c r="AZ6696">
        <v>0</v>
      </c>
      <c r="BA6696">
        <v>75.599999999999994</v>
      </c>
      <c r="BE6696" t="str">
        <f>T("9791137006348")</f>
        <v>9791137006348</v>
      </c>
      <c r="BF6696" t="str">
        <f>T("N083085")</f>
        <v>N083085</v>
      </c>
      <c r="BG6696" t="str">
        <f>T("판타지 웹소설 &gt; 퓨전 판타지")</f>
        <v>판타지 웹소설 &gt; 퓨전 판타지</v>
      </c>
    </row>
    <row r="6697" spans="1:59">
      <c r="A6697" t="s">
        <v>60</v>
      </c>
      <c r="B6697" s="1">
        <v>46130</v>
      </c>
      <c r="C6697">
        <v>2378052051</v>
      </c>
      <c r="D6697">
        <v>2378052082</v>
      </c>
      <c r="E6697" t="str">
        <f>T("화력조선 31화")</f>
        <v>화력조선 31화</v>
      </c>
      <c r="F6697">
        <v>32</v>
      </c>
      <c r="G6697" t="str">
        <f>T("보헤미아")</f>
        <v>보헤미아</v>
      </c>
      <c r="J6697" t="str">
        <f>T("매드햇")</f>
        <v>매드햇</v>
      </c>
      <c r="K6697" t="str">
        <f>T("화력조선")</f>
        <v>화력조선</v>
      </c>
      <c r="L6697">
        <v>100</v>
      </c>
      <c r="M6697">
        <v>100</v>
      </c>
      <c r="N6697">
        <v>1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0</v>
      </c>
      <c r="AE6697">
        <v>0</v>
      </c>
      <c r="AF6697">
        <v>0</v>
      </c>
      <c r="AG6697">
        <v>0</v>
      </c>
      <c r="AH6697">
        <v>0</v>
      </c>
      <c r="AI6697">
        <v>100</v>
      </c>
      <c r="AJ6697">
        <v>1</v>
      </c>
      <c r="AK6697">
        <v>0</v>
      </c>
      <c r="AL6697">
        <v>0</v>
      </c>
      <c r="AM6697">
        <v>0</v>
      </c>
      <c r="AN6697">
        <v>0</v>
      </c>
      <c r="AO6697">
        <v>120</v>
      </c>
      <c r="AP6697">
        <v>-12</v>
      </c>
      <c r="AQ6697">
        <v>0</v>
      </c>
      <c r="AS6697">
        <v>0</v>
      </c>
      <c r="AT6697">
        <v>0</v>
      </c>
      <c r="AU6697">
        <v>120</v>
      </c>
      <c r="AV6697">
        <v>-12</v>
      </c>
      <c r="AW6697">
        <v>0</v>
      </c>
      <c r="AY6697">
        <v>0</v>
      </c>
      <c r="AZ6697">
        <v>0</v>
      </c>
      <c r="BA6697">
        <v>75.599999999999994</v>
      </c>
      <c r="BE6697" t="str">
        <f>T("9791137006348")</f>
        <v>9791137006348</v>
      </c>
      <c r="BF6697" t="str">
        <f>T("N083086")</f>
        <v>N083086</v>
      </c>
      <c r="BG6697" t="str">
        <f>T("판타지 웹소설 &gt; 퓨전 판타지")</f>
        <v>판타지 웹소설 &gt; 퓨전 판타지</v>
      </c>
    </row>
    <row r="6698" spans="1:59">
      <c r="A6698" t="s">
        <v>60</v>
      </c>
      <c r="B6698" s="1">
        <v>46130</v>
      </c>
      <c r="C6698">
        <v>2378052051</v>
      </c>
      <c r="D6698">
        <v>2378052083</v>
      </c>
      <c r="E6698" t="str">
        <f>T("화력조선 32화")</f>
        <v>화력조선 32화</v>
      </c>
      <c r="F6698">
        <v>33</v>
      </c>
      <c r="G6698" t="str">
        <f>T("보헤미아")</f>
        <v>보헤미아</v>
      </c>
      <c r="J6698" t="str">
        <f>T("매드햇")</f>
        <v>매드햇</v>
      </c>
      <c r="K6698" t="str">
        <f>T("화력조선")</f>
        <v>화력조선</v>
      </c>
      <c r="L6698">
        <v>100</v>
      </c>
      <c r="M6698">
        <v>100</v>
      </c>
      <c r="N6698">
        <v>1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0</v>
      </c>
      <c r="AE6698">
        <v>0</v>
      </c>
      <c r="AF6698">
        <v>0</v>
      </c>
      <c r="AG6698">
        <v>0</v>
      </c>
      <c r="AH6698">
        <v>0</v>
      </c>
      <c r="AI6698">
        <v>100</v>
      </c>
      <c r="AJ6698">
        <v>1</v>
      </c>
      <c r="AK6698">
        <v>0</v>
      </c>
      <c r="AL6698">
        <v>0</v>
      </c>
      <c r="AM6698">
        <v>0</v>
      </c>
      <c r="AN6698">
        <v>0</v>
      </c>
      <c r="AO6698">
        <v>120</v>
      </c>
      <c r="AP6698">
        <v>-12</v>
      </c>
      <c r="AQ6698">
        <v>0</v>
      </c>
      <c r="AS6698">
        <v>0</v>
      </c>
      <c r="AT6698">
        <v>0</v>
      </c>
      <c r="AU6698">
        <v>120</v>
      </c>
      <c r="AV6698">
        <v>-12</v>
      </c>
      <c r="AW6698">
        <v>0</v>
      </c>
      <c r="AY6698">
        <v>0</v>
      </c>
      <c r="AZ6698">
        <v>0</v>
      </c>
      <c r="BA6698">
        <v>75.599999999999994</v>
      </c>
      <c r="BE6698" t="str">
        <f>T("9791137006348")</f>
        <v>9791137006348</v>
      </c>
      <c r="BF6698" t="str">
        <f>T("N083087")</f>
        <v>N083087</v>
      </c>
      <c r="BG6698" t="str">
        <f>T("판타지 웹소설 &gt; 퓨전 판타지")</f>
        <v>판타지 웹소설 &gt; 퓨전 판타지</v>
      </c>
    </row>
    <row r="6699" spans="1:59">
      <c r="A6699" t="s">
        <v>60</v>
      </c>
      <c r="B6699" s="1">
        <v>46130</v>
      </c>
      <c r="C6699">
        <v>2378052051</v>
      </c>
      <c r="D6699">
        <v>2378052084</v>
      </c>
      <c r="E6699" t="str">
        <f>T("화력조선 33화")</f>
        <v>화력조선 33화</v>
      </c>
      <c r="F6699">
        <v>34</v>
      </c>
      <c r="G6699" t="str">
        <f>T("보헤미아")</f>
        <v>보헤미아</v>
      </c>
      <c r="J6699" t="str">
        <f>T("매드햇")</f>
        <v>매드햇</v>
      </c>
      <c r="K6699" t="str">
        <f>T("화력조선")</f>
        <v>화력조선</v>
      </c>
      <c r="L6699">
        <v>100</v>
      </c>
      <c r="M6699">
        <v>100</v>
      </c>
      <c r="N6699">
        <v>1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0</v>
      </c>
      <c r="AE6699">
        <v>0</v>
      </c>
      <c r="AF6699">
        <v>0</v>
      </c>
      <c r="AG6699">
        <v>0</v>
      </c>
      <c r="AH6699">
        <v>0</v>
      </c>
      <c r="AI6699">
        <v>100</v>
      </c>
      <c r="AJ6699">
        <v>1</v>
      </c>
      <c r="AK6699">
        <v>0</v>
      </c>
      <c r="AL6699">
        <v>0</v>
      </c>
      <c r="AM6699">
        <v>0</v>
      </c>
      <c r="AN6699">
        <v>0</v>
      </c>
      <c r="AO6699">
        <v>120</v>
      </c>
      <c r="AP6699">
        <v>-12</v>
      </c>
      <c r="AQ6699">
        <v>0</v>
      </c>
      <c r="AS6699">
        <v>0</v>
      </c>
      <c r="AT6699">
        <v>0</v>
      </c>
      <c r="AU6699">
        <v>120</v>
      </c>
      <c r="AV6699">
        <v>-12</v>
      </c>
      <c r="AW6699">
        <v>0</v>
      </c>
      <c r="AY6699">
        <v>0</v>
      </c>
      <c r="AZ6699">
        <v>0</v>
      </c>
      <c r="BA6699">
        <v>75.599999999999994</v>
      </c>
      <c r="BE6699" t="str">
        <f>T("9791137006348")</f>
        <v>9791137006348</v>
      </c>
      <c r="BF6699" t="str">
        <f>T("N083088")</f>
        <v>N083088</v>
      </c>
      <c r="BG6699" t="str">
        <f>T("판타지 웹소설 &gt; 퓨전 판타지")</f>
        <v>판타지 웹소설 &gt; 퓨전 판타지</v>
      </c>
    </row>
    <row r="6700" spans="1:59">
      <c r="A6700" t="s">
        <v>60</v>
      </c>
      <c r="B6700" s="1">
        <v>46130</v>
      </c>
      <c r="C6700">
        <v>2378052051</v>
      </c>
      <c r="D6700">
        <v>2378052190</v>
      </c>
      <c r="E6700" t="str">
        <f>T("화력조선 139화")</f>
        <v>화력조선 139화</v>
      </c>
      <c r="F6700">
        <v>140</v>
      </c>
      <c r="G6700" t="str">
        <f>T("보헤미아")</f>
        <v>보헤미아</v>
      </c>
      <c r="J6700" t="str">
        <f>T("매드햇")</f>
        <v>매드햇</v>
      </c>
      <c r="K6700" t="str">
        <f>T("화력조선")</f>
        <v>화력조선</v>
      </c>
      <c r="L6700">
        <v>100</v>
      </c>
      <c r="M6700">
        <v>100</v>
      </c>
      <c r="N6700">
        <v>1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0</v>
      </c>
      <c r="AE6700">
        <v>0</v>
      </c>
      <c r="AF6700">
        <v>0</v>
      </c>
      <c r="AG6700">
        <v>0</v>
      </c>
      <c r="AH6700">
        <v>0</v>
      </c>
      <c r="AI6700">
        <v>100</v>
      </c>
      <c r="AJ6700">
        <v>1</v>
      </c>
      <c r="AK6700">
        <v>0</v>
      </c>
      <c r="AL6700">
        <v>0</v>
      </c>
      <c r="AM6700">
        <v>0</v>
      </c>
      <c r="AN6700">
        <v>0</v>
      </c>
      <c r="AO6700">
        <v>120</v>
      </c>
      <c r="AP6700">
        <v>-12</v>
      </c>
      <c r="AQ6700">
        <v>0</v>
      </c>
      <c r="AS6700">
        <v>0</v>
      </c>
      <c r="AT6700">
        <v>0</v>
      </c>
      <c r="AU6700">
        <v>120</v>
      </c>
      <c r="AV6700">
        <v>-12</v>
      </c>
      <c r="AW6700">
        <v>0</v>
      </c>
      <c r="AY6700">
        <v>0</v>
      </c>
      <c r="AZ6700">
        <v>0</v>
      </c>
      <c r="BA6700">
        <v>75.599999999999994</v>
      </c>
      <c r="BE6700" t="str">
        <f>T("9791137006348")</f>
        <v>9791137006348</v>
      </c>
      <c r="BF6700" t="str">
        <f>T("N113607")</f>
        <v>N113607</v>
      </c>
      <c r="BG6700" t="str">
        <f>T("판타지 웹소설 &gt; 퓨전 판타지")</f>
        <v>판타지 웹소설 &gt; 퓨전 판타지</v>
      </c>
    </row>
    <row r="6701" spans="1:59">
      <c r="A6701" t="s">
        <v>60</v>
      </c>
      <c r="B6701" s="1">
        <v>46130</v>
      </c>
      <c r="C6701">
        <v>2378052051</v>
      </c>
      <c r="D6701">
        <v>2378052085</v>
      </c>
      <c r="E6701" t="str">
        <f>T("화력조선 34화")</f>
        <v>화력조선 34화</v>
      </c>
      <c r="F6701">
        <v>35</v>
      </c>
      <c r="G6701" t="str">
        <f>T("보헤미아")</f>
        <v>보헤미아</v>
      </c>
      <c r="J6701" t="str">
        <f>T("매드햇")</f>
        <v>매드햇</v>
      </c>
      <c r="K6701" t="str">
        <f>T("화력조선")</f>
        <v>화력조선</v>
      </c>
      <c r="L6701">
        <v>100</v>
      </c>
      <c r="M6701">
        <v>100</v>
      </c>
      <c r="N6701">
        <v>1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0</v>
      </c>
      <c r="AE6701">
        <v>0</v>
      </c>
      <c r="AF6701">
        <v>0</v>
      </c>
      <c r="AG6701">
        <v>0</v>
      </c>
      <c r="AH6701">
        <v>0</v>
      </c>
      <c r="AI6701">
        <v>100</v>
      </c>
      <c r="AJ6701">
        <v>1</v>
      </c>
      <c r="AK6701">
        <v>0</v>
      </c>
      <c r="AL6701">
        <v>0</v>
      </c>
      <c r="AM6701">
        <v>0</v>
      </c>
      <c r="AN6701">
        <v>0</v>
      </c>
      <c r="AO6701">
        <v>120</v>
      </c>
      <c r="AP6701">
        <v>-12</v>
      </c>
      <c r="AQ6701">
        <v>0</v>
      </c>
      <c r="AS6701">
        <v>0</v>
      </c>
      <c r="AT6701">
        <v>0</v>
      </c>
      <c r="AU6701">
        <v>120</v>
      </c>
      <c r="AV6701">
        <v>-12</v>
      </c>
      <c r="AW6701">
        <v>0</v>
      </c>
      <c r="AY6701">
        <v>0</v>
      </c>
      <c r="AZ6701">
        <v>0</v>
      </c>
      <c r="BA6701">
        <v>75.599999999999994</v>
      </c>
      <c r="BE6701" t="str">
        <f>T("9791137006348")</f>
        <v>9791137006348</v>
      </c>
      <c r="BF6701" t="str">
        <f>T("N083089")</f>
        <v>N083089</v>
      </c>
      <c r="BG6701" t="str">
        <f>T("판타지 웹소설 &gt; 퓨전 판타지")</f>
        <v>판타지 웹소설 &gt; 퓨전 판타지</v>
      </c>
    </row>
    <row r="6702" spans="1:59">
      <c r="A6702" t="s">
        <v>60</v>
      </c>
      <c r="B6702" s="1">
        <v>46130</v>
      </c>
      <c r="C6702">
        <v>2378052051</v>
      </c>
      <c r="D6702">
        <v>2378052086</v>
      </c>
      <c r="E6702" t="str">
        <f>T("화력조선 35화")</f>
        <v>화력조선 35화</v>
      </c>
      <c r="F6702">
        <v>36</v>
      </c>
      <c r="G6702" t="str">
        <f>T("보헤미아")</f>
        <v>보헤미아</v>
      </c>
      <c r="J6702" t="str">
        <f>T("매드햇")</f>
        <v>매드햇</v>
      </c>
      <c r="K6702" t="str">
        <f>T("화력조선")</f>
        <v>화력조선</v>
      </c>
      <c r="L6702">
        <v>100</v>
      </c>
      <c r="M6702">
        <v>100</v>
      </c>
      <c r="N6702">
        <v>1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0</v>
      </c>
      <c r="AE6702">
        <v>0</v>
      </c>
      <c r="AF6702">
        <v>0</v>
      </c>
      <c r="AG6702">
        <v>0</v>
      </c>
      <c r="AH6702">
        <v>0</v>
      </c>
      <c r="AI6702">
        <v>100</v>
      </c>
      <c r="AJ6702">
        <v>1</v>
      </c>
      <c r="AK6702">
        <v>0</v>
      </c>
      <c r="AL6702">
        <v>0</v>
      </c>
      <c r="AM6702">
        <v>0</v>
      </c>
      <c r="AN6702">
        <v>0</v>
      </c>
      <c r="AO6702">
        <v>120</v>
      </c>
      <c r="AP6702">
        <v>-12</v>
      </c>
      <c r="AQ6702">
        <v>0</v>
      </c>
      <c r="AS6702">
        <v>0</v>
      </c>
      <c r="AT6702">
        <v>0</v>
      </c>
      <c r="AU6702">
        <v>120</v>
      </c>
      <c r="AV6702">
        <v>-12</v>
      </c>
      <c r="AW6702">
        <v>0</v>
      </c>
      <c r="AY6702">
        <v>0</v>
      </c>
      <c r="AZ6702">
        <v>0</v>
      </c>
      <c r="BA6702">
        <v>75.599999999999994</v>
      </c>
      <c r="BE6702" t="str">
        <f>T("9791137006348")</f>
        <v>9791137006348</v>
      </c>
      <c r="BF6702" t="str">
        <f>T("N083090")</f>
        <v>N083090</v>
      </c>
      <c r="BG6702" t="str">
        <f>T("판타지 웹소설 &gt; 퓨전 판타지")</f>
        <v>판타지 웹소설 &gt; 퓨전 판타지</v>
      </c>
    </row>
    <row r="6703" spans="1:59">
      <c r="A6703" t="s">
        <v>60</v>
      </c>
      <c r="B6703" s="1">
        <v>46130</v>
      </c>
      <c r="C6703">
        <v>2378052051</v>
      </c>
      <c r="D6703">
        <v>2378052087</v>
      </c>
      <c r="E6703" t="str">
        <f>T("화력조선 36화")</f>
        <v>화력조선 36화</v>
      </c>
      <c r="F6703">
        <v>37</v>
      </c>
      <c r="G6703" t="str">
        <f>T("보헤미아")</f>
        <v>보헤미아</v>
      </c>
      <c r="J6703" t="str">
        <f>T("매드햇")</f>
        <v>매드햇</v>
      </c>
      <c r="K6703" t="str">
        <f>T("화력조선")</f>
        <v>화력조선</v>
      </c>
      <c r="L6703">
        <v>100</v>
      </c>
      <c r="M6703">
        <v>100</v>
      </c>
      <c r="N6703">
        <v>1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0</v>
      </c>
      <c r="AE6703">
        <v>0</v>
      </c>
      <c r="AF6703">
        <v>0</v>
      </c>
      <c r="AG6703">
        <v>0</v>
      </c>
      <c r="AH6703">
        <v>0</v>
      </c>
      <c r="AI6703">
        <v>100</v>
      </c>
      <c r="AJ6703">
        <v>1</v>
      </c>
      <c r="AK6703">
        <v>0</v>
      </c>
      <c r="AL6703">
        <v>0</v>
      </c>
      <c r="AM6703">
        <v>0</v>
      </c>
      <c r="AN6703">
        <v>0</v>
      </c>
      <c r="AO6703">
        <v>120</v>
      </c>
      <c r="AP6703">
        <v>-12</v>
      </c>
      <c r="AQ6703">
        <v>0</v>
      </c>
      <c r="AS6703">
        <v>0</v>
      </c>
      <c r="AT6703">
        <v>0</v>
      </c>
      <c r="AU6703">
        <v>120</v>
      </c>
      <c r="AV6703">
        <v>-12</v>
      </c>
      <c r="AW6703">
        <v>0</v>
      </c>
      <c r="AY6703">
        <v>0</v>
      </c>
      <c r="AZ6703">
        <v>0</v>
      </c>
      <c r="BA6703">
        <v>75.599999999999994</v>
      </c>
      <c r="BE6703" t="str">
        <f>T("9791137006348")</f>
        <v>9791137006348</v>
      </c>
      <c r="BF6703" t="str">
        <f>T("N083091")</f>
        <v>N083091</v>
      </c>
      <c r="BG6703" t="str">
        <f>T("판타지 웹소설 &gt; 퓨전 판타지")</f>
        <v>판타지 웹소설 &gt; 퓨전 판타지</v>
      </c>
    </row>
    <row r="6704" spans="1:59">
      <c r="A6704" t="s">
        <v>60</v>
      </c>
      <c r="B6704" s="1">
        <v>46130</v>
      </c>
      <c r="C6704">
        <v>2378052051</v>
      </c>
      <c r="D6704">
        <v>2378052088</v>
      </c>
      <c r="E6704" t="str">
        <f>T("화력조선 37화")</f>
        <v>화력조선 37화</v>
      </c>
      <c r="F6704">
        <v>38</v>
      </c>
      <c r="G6704" t="str">
        <f>T("보헤미아")</f>
        <v>보헤미아</v>
      </c>
      <c r="J6704" t="str">
        <f>T("매드햇")</f>
        <v>매드햇</v>
      </c>
      <c r="K6704" t="str">
        <f>T("화력조선")</f>
        <v>화력조선</v>
      </c>
      <c r="L6704">
        <v>100</v>
      </c>
      <c r="M6704">
        <v>100</v>
      </c>
      <c r="N6704">
        <v>1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0</v>
      </c>
      <c r="AE6704">
        <v>0</v>
      </c>
      <c r="AF6704">
        <v>0</v>
      </c>
      <c r="AG6704">
        <v>0</v>
      </c>
      <c r="AH6704">
        <v>0</v>
      </c>
      <c r="AI6704">
        <v>100</v>
      </c>
      <c r="AJ6704">
        <v>1</v>
      </c>
      <c r="AK6704">
        <v>0</v>
      </c>
      <c r="AL6704">
        <v>0</v>
      </c>
      <c r="AM6704">
        <v>0</v>
      </c>
      <c r="AN6704">
        <v>0</v>
      </c>
      <c r="AO6704">
        <v>120</v>
      </c>
      <c r="AP6704">
        <v>-12</v>
      </c>
      <c r="AQ6704">
        <v>0</v>
      </c>
      <c r="AS6704">
        <v>0</v>
      </c>
      <c r="AT6704">
        <v>0</v>
      </c>
      <c r="AU6704">
        <v>120</v>
      </c>
      <c r="AV6704">
        <v>-12</v>
      </c>
      <c r="AW6704">
        <v>0</v>
      </c>
      <c r="AY6704">
        <v>0</v>
      </c>
      <c r="AZ6704">
        <v>0</v>
      </c>
      <c r="BA6704">
        <v>75.599999999999994</v>
      </c>
      <c r="BE6704" t="str">
        <f>T("9791137006348")</f>
        <v>9791137006348</v>
      </c>
      <c r="BF6704" t="str">
        <f>T("N083092")</f>
        <v>N083092</v>
      </c>
      <c r="BG6704" t="str">
        <f>T("판타지 웹소설 &gt; 퓨전 판타지")</f>
        <v>판타지 웹소설 &gt; 퓨전 판타지</v>
      </c>
    </row>
    <row r="6705" spans="1:59">
      <c r="A6705" t="s">
        <v>60</v>
      </c>
      <c r="B6705" s="1">
        <v>46130</v>
      </c>
      <c r="C6705">
        <v>2378052051</v>
      </c>
      <c r="D6705">
        <v>2378052061</v>
      </c>
      <c r="E6705" t="str">
        <f>T("화력조선 10화")</f>
        <v>화력조선 10화</v>
      </c>
      <c r="F6705">
        <v>11</v>
      </c>
      <c r="G6705" t="str">
        <f>T("보헤미아")</f>
        <v>보헤미아</v>
      </c>
      <c r="J6705" t="str">
        <f>T("매드햇")</f>
        <v>매드햇</v>
      </c>
      <c r="K6705" t="str">
        <f>T("화력조선")</f>
        <v>화력조선</v>
      </c>
      <c r="L6705">
        <v>0</v>
      </c>
      <c r="M6705">
        <v>0</v>
      </c>
      <c r="N6705">
        <v>0</v>
      </c>
      <c r="O6705">
        <v>1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0</v>
      </c>
      <c r="AE6705">
        <v>0</v>
      </c>
      <c r="AF6705">
        <v>0</v>
      </c>
      <c r="AG6705">
        <v>0</v>
      </c>
      <c r="AH6705">
        <v>0</v>
      </c>
      <c r="AI6705">
        <v>0</v>
      </c>
      <c r="AJ6705">
        <v>1</v>
      </c>
      <c r="AK6705">
        <v>0</v>
      </c>
      <c r="AL6705">
        <v>0</v>
      </c>
      <c r="AM6705">
        <v>0</v>
      </c>
      <c r="AN6705">
        <v>0</v>
      </c>
      <c r="AO6705">
        <v>0</v>
      </c>
      <c r="AP6705">
        <v>0</v>
      </c>
      <c r="AQ6705">
        <v>0</v>
      </c>
      <c r="AS6705">
        <v>0</v>
      </c>
      <c r="AT6705">
        <v>0</v>
      </c>
      <c r="AV6705">
        <v>0</v>
      </c>
      <c r="AW6705">
        <v>0</v>
      </c>
      <c r="AY6705">
        <v>0</v>
      </c>
      <c r="AZ6705">
        <v>0</v>
      </c>
      <c r="BA6705">
        <v>0</v>
      </c>
      <c r="BE6705" t="str">
        <f>T("9791137006348")</f>
        <v>9791137006348</v>
      </c>
      <c r="BF6705" t="str">
        <f>T("N083065")</f>
        <v>N083065</v>
      </c>
      <c r="BG6705" t="str">
        <f>T("판타지 웹소설 &gt; 퓨전 판타지")</f>
        <v>판타지 웹소설 &gt; 퓨전 판타지</v>
      </c>
    </row>
    <row r="6706" spans="1:59">
      <c r="A6706" t="s">
        <v>60</v>
      </c>
      <c r="B6706" s="1">
        <v>46130</v>
      </c>
      <c r="C6706">
        <v>2378052051</v>
      </c>
      <c r="D6706">
        <v>2378052062</v>
      </c>
      <c r="E6706" t="str">
        <f>T("화력조선 11화")</f>
        <v>화력조선 11화</v>
      </c>
      <c r="F6706">
        <v>12</v>
      </c>
      <c r="G6706" t="str">
        <f>T("보헤미아")</f>
        <v>보헤미아</v>
      </c>
      <c r="J6706" t="str">
        <f>T("매드햇")</f>
        <v>매드햇</v>
      </c>
      <c r="K6706" t="str">
        <f>T("화력조선")</f>
        <v>화력조선</v>
      </c>
      <c r="L6706">
        <v>0</v>
      </c>
      <c r="M6706">
        <v>0</v>
      </c>
      <c r="N6706">
        <v>0</v>
      </c>
      <c r="O6706">
        <v>1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0</v>
      </c>
      <c r="AE6706">
        <v>0</v>
      </c>
      <c r="AF6706">
        <v>0</v>
      </c>
      <c r="AG6706">
        <v>0</v>
      </c>
      <c r="AH6706">
        <v>0</v>
      </c>
      <c r="AI6706">
        <v>0</v>
      </c>
      <c r="AJ6706">
        <v>1</v>
      </c>
      <c r="AK6706">
        <v>0</v>
      </c>
      <c r="AL6706">
        <v>0</v>
      </c>
      <c r="AM6706">
        <v>0</v>
      </c>
      <c r="AN6706">
        <v>0</v>
      </c>
      <c r="AO6706">
        <v>0</v>
      </c>
      <c r="AP6706">
        <v>0</v>
      </c>
      <c r="AQ6706">
        <v>0</v>
      </c>
      <c r="AS6706">
        <v>0</v>
      </c>
      <c r="AT6706">
        <v>0</v>
      </c>
      <c r="AV6706">
        <v>0</v>
      </c>
      <c r="AW6706">
        <v>0</v>
      </c>
      <c r="AY6706">
        <v>0</v>
      </c>
      <c r="AZ6706">
        <v>0</v>
      </c>
      <c r="BA6706">
        <v>0</v>
      </c>
      <c r="BE6706" t="str">
        <f>T("9791137006348")</f>
        <v>9791137006348</v>
      </c>
      <c r="BF6706" t="str">
        <f>T("N083066")</f>
        <v>N083066</v>
      </c>
      <c r="BG6706" t="str">
        <f>T("판타지 웹소설 &gt; 퓨전 판타지")</f>
        <v>판타지 웹소설 &gt; 퓨전 판타지</v>
      </c>
    </row>
    <row r="6707" spans="1:59">
      <c r="A6707" t="s">
        <v>60</v>
      </c>
      <c r="B6707" s="1">
        <v>46130</v>
      </c>
      <c r="C6707">
        <v>2378052051</v>
      </c>
      <c r="D6707">
        <v>2378052063</v>
      </c>
      <c r="E6707" t="str">
        <f>T("화력조선 12화")</f>
        <v>화력조선 12화</v>
      </c>
      <c r="F6707">
        <v>13</v>
      </c>
      <c r="G6707" t="str">
        <f>T("보헤미아")</f>
        <v>보헤미아</v>
      </c>
      <c r="J6707" t="str">
        <f>T("매드햇")</f>
        <v>매드햇</v>
      </c>
      <c r="K6707" t="str">
        <f>T("화력조선")</f>
        <v>화력조선</v>
      </c>
      <c r="L6707">
        <v>0</v>
      </c>
      <c r="M6707">
        <v>0</v>
      </c>
      <c r="N6707">
        <v>0</v>
      </c>
      <c r="O6707">
        <v>1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0</v>
      </c>
      <c r="AE6707">
        <v>0</v>
      </c>
      <c r="AF6707">
        <v>0</v>
      </c>
      <c r="AG6707">
        <v>0</v>
      </c>
      <c r="AH6707">
        <v>0</v>
      </c>
      <c r="AI6707">
        <v>0</v>
      </c>
      <c r="AJ6707">
        <v>1</v>
      </c>
      <c r="AK6707">
        <v>0</v>
      </c>
      <c r="AL6707">
        <v>0</v>
      </c>
      <c r="AM6707">
        <v>0</v>
      </c>
      <c r="AN6707">
        <v>0</v>
      </c>
      <c r="AO6707">
        <v>0</v>
      </c>
      <c r="AP6707">
        <v>0</v>
      </c>
      <c r="AQ6707">
        <v>0</v>
      </c>
      <c r="AS6707">
        <v>0</v>
      </c>
      <c r="AT6707">
        <v>0</v>
      </c>
      <c r="AV6707">
        <v>0</v>
      </c>
      <c r="AW6707">
        <v>0</v>
      </c>
      <c r="AY6707">
        <v>0</v>
      </c>
      <c r="AZ6707">
        <v>0</v>
      </c>
      <c r="BA6707">
        <v>0</v>
      </c>
      <c r="BE6707" t="str">
        <f>T("9791137006348")</f>
        <v>9791137006348</v>
      </c>
      <c r="BF6707" t="str">
        <f>T("N083067")</f>
        <v>N083067</v>
      </c>
      <c r="BG6707" t="str">
        <f>T("판타지 웹소설 &gt; 퓨전 판타지")</f>
        <v>판타지 웹소설 &gt; 퓨전 판타지</v>
      </c>
    </row>
    <row r="6708" spans="1:59">
      <c r="A6708" t="s">
        <v>60</v>
      </c>
      <c r="B6708" s="1">
        <v>46130</v>
      </c>
      <c r="C6708">
        <v>2378052051</v>
      </c>
      <c r="D6708">
        <v>2378052064</v>
      </c>
      <c r="E6708" t="str">
        <f>T("화력조선 13화")</f>
        <v>화력조선 13화</v>
      </c>
      <c r="F6708">
        <v>14</v>
      </c>
      <c r="G6708" t="str">
        <f>T("보헤미아")</f>
        <v>보헤미아</v>
      </c>
      <c r="J6708" t="str">
        <f>T("매드햇")</f>
        <v>매드햇</v>
      </c>
      <c r="K6708" t="str">
        <f>T("화력조선")</f>
        <v>화력조선</v>
      </c>
      <c r="L6708">
        <v>0</v>
      </c>
      <c r="M6708">
        <v>0</v>
      </c>
      <c r="N6708">
        <v>0</v>
      </c>
      <c r="O6708">
        <v>1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0</v>
      </c>
      <c r="AE6708">
        <v>0</v>
      </c>
      <c r="AF6708">
        <v>0</v>
      </c>
      <c r="AG6708">
        <v>0</v>
      </c>
      <c r="AH6708">
        <v>0</v>
      </c>
      <c r="AI6708">
        <v>0</v>
      </c>
      <c r="AJ6708">
        <v>1</v>
      </c>
      <c r="AK6708">
        <v>0</v>
      </c>
      <c r="AL6708">
        <v>0</v>
      </c>
      <c r="AM6708">
        <v>0</v>
      </c>
      <c r="AN6708">
        <v>0</v>
      </c>
      <c r="AO6708">
        <v>0</v>
      </c>
      <c r="AP6708">
        <v>0</v>
      </c>
      <c r="AQ6708">
        <v>0</v>
      </c>
      <c r="AS6708">
        <v>0</v>
      </c>
      <c r="AT6708">
        <v>0</v>
      </c>
      <c r="AV6708">
        <v>0</v>
      </c>
      <c r="AW6708">
        <v>0</v>
      </c>
      <c r="AY6708">
        <v>0</v>
      </c>
      <c r="AZ6708">
        <v>0</v>
      </c>
      <c r="BA6708">
        <v>0</v>
      </c>
      <c r="BE6708" t="str">
        <f>T("9791137006348")</f>
        <v>9791137006348</v>
      </c>
      <c r="BF6708" t="str">
        <f>T("N083068")</f>
        <v>N083068</v>
      </c>
      <c r="BG6708" t="str">
        <f>T("판타지 웹소설 &gt; 퓨전 판타지")</f>
        <v>판타지 웹소설 &gt; 퓨전 판타지</v>
      </c>
    </row>
    <row r="6709" spans="1:59">
      <c r="A6709" t="s">
        <v>60</v>
      </c>
      <c r="B6709" s="1">
        <v>46130</v>
      </c>
      <c r="C6709">
        <v>2378052051</v>
      </c>
      <c r="D6709">
        <v>2378052089</v>
      </c>
      <c r="E6709" t="str">
        <f>T("화력조선 38화")</f>
        <v>화력조선 38화</v>
      </c>
      <c r="F6709">
        <v>39</v>
      </c>
      <c r="G6709" t="str">
        <f>T("보헤미아")</f>
        <v>보헤미아</v>
      </c>
      <c r="J6709" t="str">
        <f>T("매드햇")</f>
        <v>매드햇</v>
      </c>
      <c r="K6709" t="str">
        <f>T("화력조선")</f>
        <v>화력조선</v>
      </c>
      <c r="L6709">
        <v>100</v>
      </c>
      <c r="M6709">
        <v>100</v>
      </c>
      <c r="N6709">
        <v>1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0</v>
      </c>
      <c r="AE6709">
        <v>0</v>
      </c>
      <c r="AF6709">
        <v>0</v>
      </c>
      <c r="AG6709">
        <v>0</v>
      </c>
      <c r="AH6709">
        <v>0</v>
      </c>
      <c r="AI6709">
        <v>100</v>
      </c>
      <c r="AJ6709">
        <v>1</v>
      </c>
      <c r="AK6709">
        <v>0</v>
      </c>
      <c r="AL6709">
        <v>0</v>
      </c>
      <c r="AM6709">
        <v>0</v>
      </c>
      <c r="AN6709">
        <v>0</v>
      </c>
      <c r="AO6709">
        <v>120</v>
      </c>
      <c r="AP6709">
        <v>-12</v>
      </c>
      <c r="AQ6709">
        <v>0</v>
      </c>
      <c r="AS6709">
        <v>0</v>
      </c>
      <c r="AT6709">
        <v>0</v>
      </c>
      <c r="AU6709">
        <v>120</v>
      </c>
      <c r="AV6709">
        <v>-12</v>
      </c>
      <c r="AW6709">
        <v>0</v>
      </c>
      <c r="AY6709">
        <v>0</v>
      </c>
      <c r="AZ6709">
        <v>0</v>
      </c>
      <c r="BA6709">
        <v>75.599999999999994</v>
      </c>
      <c r="BE6709" t="str">
        <f>T("9791137006348")</f>
        <v>9791137006348</v>
      </c>
      <c r="BF6709" t="str">
        <f>T("N083093")</f>
        <v>N083093</v>
      </c>
      <c r="BG6709" t="str">
        <f>T("판타지 웹소설 &gt; 퓨전 판타지")</f>
        <v>판타지 웹소설 &gt; 퓨전 판타지</v>
      </c>
    </row>
    <row r="6710" spans="1:59">
      <c r="A6710" t="s">
        <v>60</v>
      </c>
      <c r="B6710" s="1">
        <v>46130</v>
      </c>
      <c r="C6710">
        <v>2378052051</v>
      </c>
      <c r="D6710">
        <v>2378052090</v>
      </c>
      <c r="E6710" t="str">
        <f>T("화력조선 39화")</f>
        <v>화력조선 39화</v>
      </c>
      <c r="F6710">
        <v>40</v>
      </c>
      <c r="G6710" t="str">
        <f>T("보헤미아")</f>
        <v>보헤미아</v>
      </c>
      <c r="J6710" t="str">
        <f>T("매드햇")</f>
        <v>매드햇</v>
      </c>
      <c r="K6710" t="str">
        <f>T("화력조선")</f>
        <v>화력조선</v>
      </c>
      <c r="L6710">
        <v>100</v>
      </c>
      <c r="M6710">
        <v>100</v>
      </c>
      <c r="N6710">
        <v>1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0</v>
      </c>
      <c r="AE6710">
        <v>0</v>
      </c>
      <c r="AF6710">
        <v>0</v>
      </c>
      <c r="AG6710">
        <v>0</v>
      </c>
      <c r="AH6710">
        <v>0</v>
      </c>
      <c r="AI6710">
        <v>100</v>
      </c>
      <c r="AJ6710">
        <v>1</v>
      </c>
      <c r="AK6710">
        <v>0</v>
      </c>
      <c r="AL6710">
        <v>0</v>
      </c>
      <c r="AM6710">
        <v>0</v>
      </c>
      <c r="AN6710">
        <v>0</v>
      </c>
      <c r="AO6710">
        <v>120</v>
      </c>
      <c r="AP6710">
        <v>-12</v>
      </c>
      <c r="AQ6710">
        <v>0</v>
      </c>
      <c r="AS6710">
        <v>0</v>
      </c>
      <c r="AT6710">
        <v>0</v>
      </c>
      <c r="AU6710">
        <v>120</v>
      </c>
      <c r="AV6710">
        <v>-12</v>
      </c>
      <c r="AW6710">
        <v>0</v>
      </c>
      <c r="AY6710">
        <v>0</v>
      </c>
      <c r="AZ6710">
        <v>0</v>
      </c>
      <c r="BA6710">
        <v>75.599999999999994</v>
      </c>
      <c r="BE6710" t="str">
        <f>T("9791137006348")</f>
        <v>9791137006348</v>
      </c>
      <c r="BF6710" t="str">
        <f>T("N083094")</f>
        <v>N083094</v>
      </c>
      <c r="BG6710" t="str">
        <f>T("판타지 웹소설 &gt; 퓨전 판타지")</f>
        <v>판타지 웹소설 &gt; 퓨전 판타지</v>
      </c>
    </row>
    <row r="6711" spans="1:59">
      <c r="A6711" t="s">
        <v>60</v>
      </c>
      <c r="B6711" s="1">
        <v>46130</v>
      </c>
      <c r="C6711">
        <v>2378052051</v>
      </c>
      <c r="D6711">
        <v>2378052091</v>
      </c>
      <c r="E6711" t="str">
        <f>T("화력조선 40화")</f>
        <v>화력조선 40화</v>
      </c>
      <c r="F6711">
        <v>41</v>
      </c>
      <c r="G6711" t="str">
        <f>T("보헤미아")</f>
        <v>보헤미아</v>
      </c>
      <c r="J6711" t="str">
        <f>T("매드햇")</f>
        <v>매드햇</v>
      </c>
      <c r="K6711" t="str">
        <f>T("화력조선")</f>
        <v>화력조선</v>
      </c>
      <c r="L6711">
        <v>100</v>
      </c>
      <c r="M6711">
        <v>100</v>
      </c>
      <c r="N6711">
        <v>1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0</v>
      </c>
      <c r="AE6711">
        <v>0</v>
      </c>
      <c r="AF6711">
        <v>0</v>
      </c>
      <c r="AG6711">
        <v>0</v>
      </c>
      <c r="AH6711">
        <v>0</v>
      </c>
      <c r="AI6711">
        <v>100</v>
      </c>
      <c r="AJ6711">
        <v>1</v>
      </c>
      <c r="AK6711">
        <v>0</v>
      </c>
      <c r="AL6711">
        <v>0</v>
      </c>
      <c r="AM6711">
        <v>0</v>
      </c>
      <c r="AN6711">
        <v>0</v>
      </c>
      <c r="AO6711">
        <v>120</v>
      </c>
      <c r="AP6711">
        <v>-12</v>
      </c>
      <c r="AQ6711">
        <v>0</v>
      </c>
      <c r="AS6711">
        <v>0</v>
      </c>
      <c r="AT6711">
        <v>0</v>
      </c>
      <c r="AU6711">
        <v>120</v>
      </c>
      <c r="AV6711">
        <v>-12</v>
      </c>
      <c r="AW6711">
        <v>0</v>
      </c>
      <c r="AY6711">
        <v>0</v>
      </c>
      <c r="AZ6711">
        <v>0</v>
      </c>
      <c r="BA6711">
        <v>75.599999999999994</v>
      </c>
      <c r="BE6711" t="str">
        <f>T("9791137006348")</f>
        <v>9791137006348</v>
      </c>
      <c r="BF6711" t="str">
        <f>T("N083095")</f>
        <v>N083095</v>
      </c>
      <c r="BG6711" t="str">
        <f>T("판타지 웹소설 &gt; 퓨전 판타지")</f>
        <v>판타지 웹소설 &gt; 퓨전 판타지</v>
      </c>
    </row>
    <row r="6712" spans="1:59">
      <c r="A6712" t="s">
        <v>60</v>
      </c>
      <c r="B6712" s="1">
        <v>46130</v>
      </c>
      <c r="C6712">
        <v>2378052051</v>
      </c>
      <c r="D6712">
        <v>2378052092</v>
      </c>
      <c r="E6712" t="str">
        <f>T("화력조선 41화")</f>
        <v>화력조선 41화</v>
      </c>
      <c r="F6712">
        <v>42</v>
      </c>
      <c r="G6712" t="str">
        <f>T("보헤미아")</f>
        <v>보헤미아</v>
      </c>
      <c r="J6712" t="str">
        <f>T("매드햇")</f>
        <v>매드햇</v>
      </c>
      <c r="K6712" t="str">
        <f>T("화력조선")</f>
        <v>화력조선</v>
      </c>
      <c r="L6712">
        <v>100</v>
      </c>
      <c r="M6712">
        <v>100</v>
      </c>
      <c r="N6712">
        <v>1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0</v>
      </c>
      <c r="AE6712">
        <v>0</v>
      </c>
      <c r="AF6712">
        <v>0</v>
      </c>
      <c r="AG6712">
        <v>0</v>
      </c>
      <c r="AH6712">
        <v>0</v>
      </c>
      <c r="AI6712">
        <v>100</v>
      </c>
      <c r="AJ6712">
        <v>1</v>
      </c>
      <c r="AK6712">
        <v>0</v>
      </c>
      <c r="AL6712">
        <v>0</v>
      </c>
      <c r="AM6712">
        <v>0</v>
      </c>
      <c r="AN6712">
        <v>0</v>
      </c>
      <c r="AO6712">
        <v>120</v>
      </c>
      <c r="AP6712">
        <v>-12</v>
      </c>
      <c r="AQ6712">
        <v>0</v>
      </c>
      <c r="AS6712">
        <v>0</v>
      </c>
      <c r="AT6712">
        <v>0</v>
      </c>
      <c r="AU6712">
        <v>120</v>
      </c>
      <c r="AV6712">
        <v>-12</v>
      </c>
      <c r="AW6712">
        <v>0</v>
      </c>
      <c r="AY6712">
        <v>0</v>
      </c>
      <c r="AZ6712">
        <v>0</v>
      </c>
      <c r="BA6712">
        <v>75.599999999999994</v>
      </c>
      <c r="BE6712" t="str">
        <f>T("9791137006348")</f>
        <v>9791137006348</v>
      </c>
      <c r="BF6712" t="str">
        <f>T("N083096")</f>
        <v>N083096</v>
      </c>
      <c r="BG6712" t="str">
        <f>T("판타지 웹소설 &gt; 퓨전 판타지")</f>
        <v>판타지 웹소설 &gt; 퓨전 판타지</v>
      </c>
    </row>
    <row r="6713" spans="1:59">
      <c r="A6713" t="s">
        <v>60</v>
      </c>
      <c r="B6713" s="1">
        <v>46130</v>
      </c>
      <c r="C6713">
        <v>2378052051</v>
      </c>
      <c r="D6713">
        <v>2378052093</v>
      </c>
      <c r="E6713" t="str">
        <f>T("화력조선 42화")</f>
        <v>화력조선 42화</v>
      </c>
      <c r="F6713">
        <v>43</v>
      </c>
      <c r="G6713" t="str">
        <f>T("보헤미아")</f>
        <v>보헤미아</v>
      </c>
      <c r="J6713" t="str">
        <f>T("매드햇")</f>
        <v>매드햇</v>
      </c>
      <c r="K6713" t="str">
        <f>T("화력조선")</f>
        <v>화력조선</v>
      </c>
      <c r="L6713">
        <v>100</v>
      </c>
      <c r="M6713">
        <v>100</v>
      </c>
      <c r="N6713">
        <v>1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0</v>
      </c>
      <c r="AE6713">
        <v>0</v>
      </c>
      <c r="AF6713">
        <v>0</v>
      </c>
      <c r="AG6713">
        <v>0</v>
      </c>
      <c r="AH6713">
        <v>0</v>
      </c>
      <c r="AI6713">
        <v>100</v>
      </c>
      <c r="AJ6713">
        <v>1</v>
      </c>
      <c r="AK6713">
        <v>0</v>
      </c>
      <c r="AL6713">
        <v>0</v>
      </c>
      <c r="AM6713">
        <v>0</v>
      </c>
      <c r="AN6713">
        <v>0</v>
      </c>
      <c r="AO6713">
        <v>120</v>
      </c>
      <c r="AP6713">
        <v>-12</v>
      </c>
      <c r="AQ6713">
        <v>0</v>
      </c>
      <c r="AS6713">
        <v>0</v>
      </c>
      <c r="AT6713">
        <v>0</v>
      </c>
      <c r="AU6713">
        <v>120</v>
      </c>
      <c r="AV6713">
        <v>-12</v>
      </c>
      <c r="AW6713">
        <v>0</v>
      </c>
      <c r="AY6713">
        <v>0</v>
      </c>
      <c r="AZ6713">
        <v>0</v>
      </c>
      <c r="BA6713">
        <v>75.599999999999994</v>
      </c>
      <c r="BE6713" t="str">
        <f>T("9791137006348")</f>
        <v>9791137006348</v>
      </c>
      <c r="BF6713" t="str">
        <f>T("N083097")</f>
        <v>N083097</v>
      </c>
      <c r="BG6713" t="str">
        <f>T("판타지 웹소설 &gt; 퓨전 판타지")</f>
        <v>판타지 웹소설 &gt; 퓨전 판타지</v>
      </c>
    </row>
    <row r="6714" spans="1:59">
      <c r="A6714" t="s">
        <v>60</v>
      </c>
      <c r="B6714" s="1">
        <v>46130</v>
      </c>
      <c r="C6714">
        <v>2378052051</v>
      </c>
      <c r="D6714">
        <v>2378052094</v>
      </c>
      <c r="E6714" t="str">
        <f>T("화력조선 43화")</f>
        <v>화력조선 43화</v>
      </c>
      <c r="F6714">
        <v>44</v>
      </c>
      <c r="G6714" t="str">
        <f>T("보헤미아")</f>
        <v>보헤미아</v>
      </c>
      <c r="J6714" t="str">
        <f>T("매드햇")</f>
        <v>매드햇</v>
      </c>
      <c r="K6714" t="str">
        <f>T("화력조선")</f>
        <v>화력조선</v>
      </c>
      <c r="L6714">
        <v>100</v>
      </c>
      <c r="M6714">
        <v>100</v>
      </c>
      <c r="N6714">
        <v>1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0</v>
      </c>
      <c r="AE6714">
        <v>0</v>
      </c>
      <c r="AF6714">
        <v>0</v>
      </c>
      <c r="AG6714">
        <v>0</v>
      </c>
      <c r="AH6714">
        <v>0</v>
      </c>
      <c r="AI6714">
        <v>100</v>
      </c>
      <c r="AJ6714">
        <v>1</v>
      </c>
      <c r="AK6714">
        <v>0</v>
      </c>
      <c r="AL6714">
        <v>0</v>
      </c>
      <c r="AM6714">
        <v>0</v>
      </c>
      <c r="AN6714">
        <v>0</v>
      </c>
      <c r="AO6714">
        <v>120</v>
      </c>
      <c r="AP6714">
        <v>-12</v>
      </c>
      <c r="AQ6714">
        <v>0</v>
      </c>
      <c r="AS6714">
        <v>0</v>
      </c>
      <c r="AT6714">
        <v>0</v>
      </c>
      <c r="AU6714">
        <v>120</v>
      </c>
      <c r="AV6714">
        <v>-12</v>
      </c>
      <c r="AW6714">
        <v>0</v>
      </c>
      <c r="AY6714">
        <v>0</v>
      </c>
      <c r="AZ6714">
        <v>0</v>
      </c>
      <c r="BA6714">
        <v>75.599999999999994</v>
      </c>
      <c r="BE6714" t="str">
        <f>T("9791137006348")</f>
        <v>9791137006348</v>
      </c>
      <c r="BF6714" t="str">
        <f>T("N083098")</f>
        <v>N083098</v>
      </c>
      <c r="BG6714" t="str">
        <f>T("판타지 웹소설 &gt; 퓨전 판타지")</f>
        <v>판타지 웹소설 &gt; 퓨전 판타지</v>
      </c>
    </row>
    <row r="6715" spans="1:59">
      <c r="A6715" t="s">
        <v>60</v>
      </c>
      <c r="B6715" s="1">
        <v>46130</v>
      </c>
      <c r="C6715">
        <v>2378052051</v>
      </c>
      <c r="D6715">
        <v>2378052095</v>
      </c>
      <c r="E6715" t="str">
        <f>T("화력조선 44화")</f>
        <v>화력조선 44화</v>
      </c>
      <c r="F6715">
        <v>45</v>
      </c>
      <c r="G6715" t="str">
        <f>T("보헤미아")</f>
        <v>보헤미아</v>
      </c>
      <c r="J6715" t="str">
        <f>T("매드햇")</f>
        <v>매드햇</v>
      </c>
      <c r="K6715" t="str">
        <f>T("화력조선")</f>
        <v>화력조선</v>
      </c>
      <c r="L6715">
        <v>100</v>
      </c>
      <c r="M6715">
        <v>100</v>
      </c>
      <c r="N6715">
        <v>1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0</v>
      </c>
      <c r="AE6715">
        <v>0</v>
      </c>
      <c r="AF6715">
        <v>0</v>
      </c>
      <c r="AG6715">
        <v>0</v>
      </c>
      <c r="AH6715">
        <v>0</v>
      </c>
      <c r="AI6715">
        <v>100</v>
      </c>
      <c r="AJ6715">
        <v>1</v>
      </c>
      <c r="AK6715">
        <v>0</v>
      </c>
      <c r="AL6715">
        <v>0</v>
      </c>
      <c r="AM6715">
        <v>0</v>
      </c>
      <c r="AN6715">
        <v>0</v>
      </c>
      <c r="AO6715">
        <v>120</v>
      </c>
      <c r="AP6715">
        <v>-12</v>
      </c>
      <c r="AQ6715">
        <v>0</v>
      </c>
      <c r="AS6715">
        <v>0</v>
      </c>
      <c r="AT6715">
        <v>0</v>
      </c>
      <c r="AU6715">
        <v>120</v>
      </c>
      <c r="AV6715">
        <v>-12</v>
      </c>
      <c r="AW6715">
        <v>0</v>
      </c>
      <c r="AY6715">
        <v>0</v>
      </c>
      <c r="AZ6715">
        <v>0</v>
      </c>
      <c r="BA6715">
        <v>75.599999999999994</v>
      </c>
      <c r="BE6715" t="str">
        <f>T("9791137006348")</f>
        <v>9791137006348</v>
      </c>
      <c r="BF6715" t="str">
        <f>T("N083099")</f>
        <v>N083099</v>
      </c>
      <c r="BG6715" t="str">
        <f>T("판타지 웹소설 &gt; 퓨전 판타지")</f>
        <v>판타지 웹소설 &gt; 퓨전 판타지</v>
      </c>
    </row>
    <row r="6716" spans="1:59">
      <c r="A6716" t="s">
        <v>60</v>
      </c>
      <c r="B6716" s="1">
        <v>46130</v>
      </c>
      <c r="C6716">
        <v>2378052051</v>
      </c>
      <c r="D6716">
        <v>2378052096</v>
      </c>
      <c r="E6716" t="str">
        <f>T("화력조선 45화")</f>
        <v>화력조선 45화</v>
      </c>
      <c r="F6716">
        <v>46</v>
      </c>
      <c r="G6716" t="str">
        <f>T("보헤미아")</f>
        <v>보헤미아</v>
      </c>
      <c r="J6716" t="str">
        <f>T("매드햇")</f>
        <v>매드햇</v>
      </c>
      <c r="K6716" t="str">
        <f>T("화력조선")</f>
        <v>화력조선</v>
      </c>
      <c r="L6716">
        <v>100</v>
      </c>
      <c r="M6716">
        <v>100</v>
      </c>
      <c r="N6716">
        <v>1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0</v>
      </c>
      <c r="AE6716">
        <v>0</v>
      </c>
      <c r="AF6716">
        <v>0</v>
      </c>
      <c r="AG6716">
        <v>0</v>
      </c>
      <c r="AH6716">
        <v>0</v>
      </c>
      <c r="AI6716">
        <v>100</v>
      </c>
      <c r="AJ6716">
        <v>1</v>
      </c>
      <c r="AK6716">
        <v>0</v>
      </c>
      <c r="AL6716">
        <v>0</v>
      </c>
      <c r="AM6716">
        <v>0</v>
      </c>
      <c r="AN6716">
        <v>0</v>
      </c>
      <c r="AO6716">
        <v>120</v>
      </c>
      <c r="AP6716">
        <v>-12</v>
      </c>
      <c r="AQ6716">
        <v>0</v>
      </c>
      <c r="AS6716">
        <v>0</v>
      </c>
      <c r="AT6716">
        <v>0</v>
      </c>
      <c r="AU6716">
        <v>120</v>
      </c>
      <c r="AV6716">
        <v>-12</v>
      </c>
      <c r="AW6716">
        <v>0</v>
      </c>
      <c r="AY6716">
        <v>0</v>
      </c>
      <c r="AZ6716">
        <v>0</v>
      </c>
      <c r="BA6716">
        <v>75.599999999999994</v>
      </c>
      <c r="BE6716" t="str">
        <f>T("9791137006348")</f>
        <v>9791137006348</v>
      </c>
      <c r="BF6716" t="str">
        <f>T("N083100")</f>
        <v>N083100</v>
      </c>
      <c r="BG6716" t="str">
        <f>T("판타지 웹소설 &gt; 퓨전 판타지")</f>
        <v>판타지 웹소설 &gt; 퓨전 판타지</v>
      </c>
    </row>
    <row r="6717" spans="1:59">
      <c r="A6717" t="s">
        <v>60</v>
      </c>
      <c r="B6717" s="1">
        <v>46130</v>
      </c>
      <c r="C6717">
        <v>2378052051</v>
      </c>
      <c r="D6717">
        <v>2378052097</v>
      </c>
      <c r="E6717" t="str">
        <f>T("화력조선 46화")</f>
        <v>화력조선 46화</v>
      </c>
      <c r="F6717">
        <v>47</v>
      </c>
      <c r="G6717" t="str">
        <f>T("보헤미아")</f>
        <v>보헤미아</v>
      </c>
      <c r="J6717" t="str">
        <f>T("매드햇")</f>
        <v>매드햇</v>
      </c>
      <c r="K6717" t="str">
        <f>T("화력조선")</f>
        <v>화력조선</v>
      </c>
      <c r="L6717">
        <v>100</v>
      </c>
      <c r="M6717">
        <v>100</v>
      </c>
      <c r="N6717">
        <v>1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0</v>
      </c>
      <c r="AE6717">
        <v>0</v>
      </c>
      <c r="AF6717">
        <v>0</v>
      </c>
      <c r="AG6717">
        <v>0</v>
      </c>
      <c r="AH6717">
        <v>0</v>
      </c>
      <c r="AI6717">
        <v>100</v>
      </c>
      <c r="AJ6717">
        <v>1</v>
      </c>
      <c r="AK6717">
        <v>0</v>
      </c>
      <c r="AL6717">
        <v>0</v>
      </c>
      <c r="AM6717">
        <v>0</v>
      </c>
      <c r="AN6717">
        <v>0</v>
      </c>
      <c r="AO6717">
        <v>120</v>
      </c>
      <c r="AP6717">
        <v>-12</v>
      </c>
      <c r="AQ6717">
        <v>0</v>
      </c>
      <c r="AS6717">
        <v>0</v>
      </c>
      <c r="AT6717">
        <v>0</v>
      </c>
      <c r="AU6717">
        <v>120</v>
      </c>
      <c r="AV6717">
        <v>-12</v>
      </c>
      <c r="AW6717">
        <v>0</v>
      </c>
      <c r="AY6717">
        <v>0</v>
      </c>
      <c r="AZ6717">
        <v>0</v>
      </c>
      <c r="BA6717">
        <v>75.599999999999994</v>
      </c>
      <c r="BE6717" t="str">
        <f>T("9791137006348")</f>
        <v>9791137006348</v>
      </c>
      <c r="BF6717" t="str">
        <f>T("N083101")</f>
        <v>N083101</v>
      </c>
      <c r="BG6717" t="str">
        <f>T("판타지 웹소설 &gt; 퓨전 판타지")</f>
        <v>판타지 웹소설 &gt; 퓨전 판타지</v>
      </c>
    </row>
    <row r="6718" spans="1:59">
      <c r="A6718" t="s">
        <v>60</v>
      </c>
      <c r="B6718" s="1">
        <v>46130</v>
      </c>
      <c r="C6718">
        <v>2378052051</v>
      </c>
      <c r="D6718">
        <v>2378052098</v>
      </c>
      <c r="E6718" t="str">
        <f>T("화력조선 47화")</f>
        <v>화력조선 47화</v>
      </c>
      <c r="F6718">
        <v>48</v>
      </c>
      <c r="G6718" t="str">
        <f>T("보헤미아")</f>
        <v>보헤미아</v>
      </c>
      <c r="J6718" t="str">
        <f>T("매드햇")</f>
        <v>매드햇</v>
      </c>
      <c r="K6718" t="str">
        <f>T("화력조선")</f>
        <v>화력조선</v>
      </c>
      <c r="L6718">
        <v>100</v>
      </c>
      <c r="M6718">
        <v>100</v>
      </c>
      <c r="N6718">
        <v>1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0</v>
      </c>
      <c r="AE6718">
        <v>0</v>
      </c>
      <c r="AF6718">
        <v>0</v>
      </c>
      <c r="AG6718">
        <v>0</v>
      </c>
      <c r="AH6718">
        <v>0</v>
      </c>
      <c r="AI6718">
        <v>100</v>
      </c>
      <c r="AJ6718">
        <v>1</v>
      </c>
      <c r="AK6718">
        <v>0</v>
      </c>
      <c r="AL6718">
        <v>0</v>
      </c>
      <c r="AM6718">
        <v>0</v>
      </c>
      <c r="AN6718">
        <v>0</v>
      </c>
      <c r="AO6718">
        <v>120</v>
      </c>
      <c r="AP6718">
        <v>-12</v>
      </c>
      <c r="AQ6718">
        <v>0</v>
      </c>
      <c r="AS6718">
        <v>0</v>
      </c>
      <c r="AT6718">
        <v>0</v>
      </c>
      <c r="AU6718">
        <v>120</v>
      </c>
      <c r="AV6718">
        <v>-12</v>
      </c>
      <c r="AW6718">
        <v>0</v>
      </c>
      <c r="AY6718">
        <v>0</v>
      </c>
      <c r="AZ6718">
        <v>0</v>
      </c>
      <c r="BA6718">
        <v>75.599999999999994</v>
      </c>
      <c r="BE6718" t="str">
        <f>T("9791137006348")</f>
        <v>9791137006348</v>
      </c>
      <c r="BF6718" t="str">
        <f>T("N083102")</f>
        <v>N083102</v>
      </c>
      <c r="BG6718" t="str">
        <f>T("판타지 웹소설 &gt; 퓨전 판타지")</f>
        <v>판타지 웹소설 &gt; 퓨전 판타지</v>
      </c>
    </row>
    <row r="6719" spans="1:59">
      <c r="A6719" t="s">
        <v>60</v>
      </c>
      <c r="B6719" s="1">
        <v>46130</v>
      </c>
      <c r="C6719">
        <v>2378052051</v>
      </c>
      <c r="D6719">
        <v>2378052099</v>
      </c>
      <c r="E6719" t="str">
        <f>T("화력조선 48화")</f>
        <v>화력조선 48화</v>
      </c>
      <c r="F6719">
        <v>49</v>
      </c>
      <c r="G6719" t="str">
        <f>T("보헤미아")</f>
        <v>보헤미아</v>
      </c>
      <c r="J6719" t="str">
        <f>T("매드햇")</f>
        <v>매드햇</v>
      </c>
      <c r="K6719" t="str">
        <f>T("화력조선")</f>
        <v>화력조선</v>
      </c>
      <c r="L6719">
        <v>100</v>
      </c>
      <c r="M6719">
        <v>100</v>
      </c>
      <c r="N6719">
        <v>1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0</v>
      </c>
      <c r="AE6719">
        <v>0</v>
      </c>
      <c r="AF6719">
        <v>0</v>
      </c>
      <c r="AG6719">
        <v>0</v>
      </c>
      <c r="AH6719">
        <v>0</v>
      </c>
      <c r="AI6719">
        <v>100</v>
      </c>
      <c r="AJ6719">
        <v>1</v>
      </c>
      <c r="AK6719">
        <v>0</v>
      </c>
      <c r="AL6719">
        <v>0</v>
      </c>
      <c r="AM6719">
        <v>0</v>
      </c>
      <c r="AN6719">
        <v>0</v>
      </c>
      <c r="AO6719">
        <v>120</v>
      </c>
      <c r="AP6719">
        <v>-12</v>
      </c>
      <c r="AQ6719">
        <v>0</v>
      </c>
      <c r="AS6719">
        <v>0</v>
      </c>
      <c r="AT6719">
        <v>0</v>
      </c>
      <c r="AU6719">
        <v>120</v>
      </c>
      <c r="AV6719">
        <v>-12</v>
      </c>
      <c r="AW6719">
        <v>0</v>
      </c>
      <c r="AY6719">
        <v>0</v>
      </c>
      <c r="AZ6719">
        <v>0</v>
      </c>
      <c r="BA6719">
        <v>75.599999999999994</v>
      </c>
      <c r="BE6719" t="str">
        <f>T("9791137006348")</f>
        <v>9791137006348</v>
      </c>
      <c r="BF6719" t="str">
        <f>T("N083103")</f>
        <v>N083103</v>
      </c>
      <c r="BG6719" t="str">
        <f>T("판타지 웹소설 &gt; 퓨전 판타지")</f>
        <v>판타지 웹소설 &gt; 퓨전 판타지</v>
      </c>
    </row>
    <row r="6720" spans="1:59">
      <c r="A6720" t="s">
        <v>60</v>
      </c>
      <c r="B6720" s="1">
        <v>46130</v>
      </c>
      <c r="C6720">
        <v>2378052051</v>
      </c>
      <c r="D6720">
        <v>2378052100</v>
      </c>
      <c r="E6720" t="str">
        <f>T("화력조선 49화")</f>
        <v>화력조선 49화</v>
      </c>
      <c r="F6720">
        <v>50</v>
      </c>
      <c r="G6720" t="str">
        <f>T("보헤미아")</f>
        <v>보헤미아</v>
      </c>
      <c r="J6720" t="str">
        <f>T("매드햇")</f>
        <v>매드햇</v>
      </c>
      <c r="K6720" t="str">
        <f>T("화력조선")</f>
        <v>화력조선</v>
      </c>
      <c r="L6720">
        <v>100</v>
      </c>
      <c r="M6720">
        <v>100</v>
      </c>
      <c r="N6720">
        <v>1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0</v>
      </c>
      <c r="AE6720">
        <v>0</v>
      </c>
      <c r="AF6720">
        <v>0</v>
      </c>
      <c r="AG6720">
        <v>0</v>
      </c>
      <c r="AH6720">
        <v>0</v>
      </c>
      <c r="AI6720">
        <v>100</v>
      </c>
      <c r="AJ6720">
        <v>1</v>
      </c>
      <c r="AK6720">
        <v>0</v>
      </c>
      <c r="AL6720">
        <v>0</v>
      </c>
      <c r="AM6720">
        <v>0</v>
      </c>
      <c r="AN6720">
        <v>0</v>
      </c>
      <c r="AO6720">
        <v>120</v>
      </c>
      <c r="AP6720">
        <v>-12</v>
      </c>
      <c r="AQ6720">
        <v>0</v>
      </c>
      <c r="AS6720">
        <v>0</v>
      </c>
      <c r="AT6720">
        <v>0</v>
      </c>
      <c r="AU6720">
        <v>120</v>
      </c>
      <c r="AV6720">
        <v>-12</v>
      </c>
      <c r="AW6720">
        <v>0</v>
      </c>
      <c r="AY6720">
        <v>0</v>
      </c>
      <c r="AZ6720">
        <v>0</v>
      </c>
      <c r="BA6720">
        <v>75.599999999999994</v>
      </c>
      <c r="BE6720" t="str">
        <f>T("9791137006348")</f>
        <v>9791137006348</v>
      </c>
      <c r="BF6720" t="str">
        <f>T("N083104")</f>
        <v>N083104</v>
      </c>
      <c r="BG6720" t="str">
        <f>T("판타지 웹소설 &gt; 퓨전 판타지")</f>
        <v>판타지 웹소설 &gt; 퓨전 판타지</v>
      </c>
    </row>
    <row r="6721" spans="1:59">
      <c r="A6721" t="s">
        <v>60</v>
      </c>
      <c r="B6721" s="1">
        <v>46130</v>
      </c>
      <c r="C6721">
        <v>2378052051</v>
      </c>
      <c r="D6721">
        <v>2378052051</v>
      </c>
      <c r="E6721" t="str">
        <f>T("화력조선 프롤로그")</f>
        <v>화력조선 프롤로그</v>
      </c>
      <c r="F6721">
        <v>1</v>
      </c>
      <c r="G6721" t="str">
        <f>T("보헤미아")</f>
        <v>보헤미아</v>
      </c>
      <c r="J6721" t="str">
        <f>T("매드햇")</f>
        <v>매드햇</v>
      </c>
      <c r="K6721" t="str">
        <f>T("화력조선")</f>
        <v>화력조선</v>
      </c>
      <c r="L6721">
        <v>0</v>
      </c>
      <c r="M6721">
        <v>0</v>
      </c>
      <c r="N6721">
        <v>0</v>
      </c>
      <c r="O6721">
        <v>1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0</v>
      </c>
      <c r="AE6721">
        <v>0</v>
      </c>
      <c r="AF6721">
        <v>0</v>
      </c>
      <c r="AG6721">
        <v>0</v>
      </c>
      <c r="AH6721">
        <v>0</v>
      </c>
      <c r="AI6721">
        <v>0</v>
      </c>
      <c r="AJ6721">
        <v>1</v>
      </c>
      <c r="AK6721">
        <v>0</v>
      </c>
      <c r="AL6721">
        <v>0</v>
      </c>
      <c r="AM6721">
        <v>0</v>
      </c>
      <c r="AN6721">
        <v>0</v>
      </c>
      <c r="AO6721">
        <v>0</v>
      </c>
      <c r="AP6721">
        <v>0</v>
      </c>
      <c r="AQ6721">
        <v>0</v>
      </c>
      <c r="AS6721">
        <v>0</v>
      </c>
      <c r="AT6721">
        <v>0</v>
      </c>
      <c r="AV6721">
        <v>0</v>
      </c>
      <c r="AW6721">
        <v>0</v>
      </c>
      <c r="AY6721">
        <v>0</v>
      </c>
      <c r="AZ6721">
        <v>0</v>
      </c>
      <c r="BA6721">
        <v>0</v>
      </c>
      <c r="BE6721" t="str">
        <f>T("9791137006348")</f>
        <v>9791137006348</v>
      </c>
      <c r="BF6721" t="str">
        <f>T("N083055")</f>
        <v>N083055</v>
      </c>
      <c r="BG6721" t="str">
        <f>T("판타지 웹소설 &gt; 퓨전 판타지")</f>
        <v>판타지 웹소설 &gt; 퓨전 판타지</v>
      </c>
    </row>
    <row r="6722" spans="1:59">
      <c r="A6722" t="s">
        <v>60</v>
      </c>
      <c r="B6722" s="1">
        <v>46130</v>
      </c>
      <c r="C6722">
        <v>2378052051</v>
      </c>
      <c r="D6722">
        <v>2378052052</v>
      </c>
      <c r="E6722" t="str">
        <f>T("화력조선 1화")</f>
        <v>화력조선 1화</v>
      </c>
      <c r="F6722">
        <v>2</v>
      </c>
      <c r="G6722" t="str">
        <f>T("보헤미아")</f>
        <v>보헤미아</v>
      </c>
      <c r="J6722" t="str">
        <f>T("매드햇")</f>
        <v>매드햇</v>
      </c>
      <c r="K6722" t="str">
        <f>T("화력조선")</f>
        <v>화력조선</v>
      </c>
      <c r="L6722">
        <v>0</v>
      </c>
      <c r="M6722">
        <v>0</v>
      </c>
      <c r="N6722">
        <v>0</v>
      </c>
      <c r="O6722">
        <v>1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0</v>
      </c>
      <c r="AE6722">
        <v>0</v>
      </c>
      <c r="AF6722">
        <v>0</v>
      </c>
      <c r="AG6722">
        <v>0</v>
      </c>
      <c r="AH6722">
        <v>0</v>
      </c>
      <c r="AI6722">
        <v>0</v>
      </c>
      <c r="AJ6722">
        <v>1</v>
      </c>
      <c r="AK6722">
        <v>0</v>
      </c>
      <c r="AL6722">
        <v>0</v>
      </c>
      <c r="AM6722">
        <v>0</v>
      </c>
      <c r="AN6722">
        <v>0</v>
      </c>
      <c r="AO6722">
        <v>0</v>
      </c>
      <c r="AP6722">
        <v>0</v>
      </c>
      <c r="AQ6722">
        <v>0</v>
      </c>
      <c r="AS6722">
        <v>0</v>
      </c>
      <c r="AT6722">
        <v>0</v>
      </c>
      <c r="AV6722">
        <v>0</v>
      </c>
      <c r="AW6722">
        <v>0</v>
      </c>
      <c r="AY6722">
        <v>0</v>
      </c>
      <c r="AZ6722">
        <v>0</v>
      </c>
      <c r="BA6722">
        <v>0</v>
      </c>
      <c r="BE6722" t="str">
        <f>T("9791137006348")</f>
        <v>9791137006348</v>
      </c>
      <c r="BF6722" t="str">
        <f>T("N083056")</f>
        <v>N083056</v>
      </c>
      <c r="BG6722" t="str">
        <f>T("판타지 웹소설 &gt; 퓨전 판타지")</f>
        <v>판타지 웹소설 &gt; 퓨전 판타지</v>
      </c>
    </row>
    <row r="6723" spans="1:59">
      <c r="A6723" t="s">
        <v>60</v>
      </c>
      <c r="B6723" s="1">
        <v>46130</v>
      </c>
      <c r="C6723">
        <v>2378052051</v>
      </c>
      <c r="D6723">
        <v>2378052101</v>
      </c>
      <c r="E6723" t="str">
        <f>T("화력조선 50화")</f>
        <v>화력조선 50화</v>
      </c>
      <c r="F6723">
        <v>51</v>
      </c>
      <c r="G6723" t="str">
        <f>T("보헤미아")</f>
        <v>보헤미아</v>
      </c>
      <c r="J6723" t="str">
        <f>T("매드햇")</f>
        <v>매드햇</v>
      </c>
      <c r="K6723" t="str">
        <f>T("화력조선")</f>
        <v>화력조선</v>
      </c>
      <c r="L6723">
        <v>100</v>
      </c>
      <c r="M6723">
        <v>100</v>
      </c>
      <c r="N6723">
        <v>1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0</v>
      </c>
      <c r="AE6723">
        <v>0</v>
      </c>
      <c r="AF6723">
        <v>0</v>
      </c>
      <c r="AG6723">
        <v>0</v>
      </c>
      <c r="AH6723">
        <v>0</v>
      </c>
      <c r="AI6723">
        <v>100</v>
      </c>
      <c r="AJ6723">
        <v>1</v>
      </c>
      <c r="AK6723">
        <v>0</v>
      </c>
      <c r="AL6723">
        <v>0</v>
      </c>
      <c r="AM6723">
        <v>0</v>
      </c>
      <c r="AN6723">
        <v>0</v>
      </c>
      <c r="AO6723">
        <v>120</v>
      </c>
      <c r="AP6723">
        <v>-12</v>
      </c>
      <c r="AQ6723">
        <v>0</v>
      </c>
      <c r="AS6723">
        <v>0</v>
      </c>
      <c r="AT6723">
        <v>0</v>
      </c>
      <c r="AU6723">
        <v>120</v>
      </c>
      <c r="AV6723">
        <v>-12</v>
      </c>
      <c r="AW6723">
        <v>0</v>
      </c>
      <c r="AY6723">
        <v>0</v>
      </c>
      <c r="AZ6723">
        <v>0</v>
      </c>
      <c r="BA6723">
        <v>75.599999999999994</v>
      </c>
      <c r="BE6723" t="str">
        <f>T("9791137006348")</f>
        <v>9791137006348</v>
      </c>
      <c r="BF6723" t="str">
        <f>T("N083105")</f>
        <v>N083105</v>
      </c>
      <c r="BG6723" t="str">
        <f>T("판타지 웹소설 &gt; 퓨전 판타지")</f>
        <v>판타지 웹소설 &gt; 퓨전 판타지</v>
      </c>
    </row>
    <row r="6724" spans="1:59">
      <c r="A6724" t="s">
        <v>60</v>
      </c>
      <c r="B6724" s="1">
        <v>46130</v>
      </c>
      <c r="C6724">
        <v>2378052051</v>
      </c>
      <c r="D6724">
        <v>2378052053</v>
      </c>
      <c r="E6724" t="str">
        <f>T("화력조선 2화")</f>
        <v>화력조선 2화</v>
      </c>
      <c r="F6724">
        <v>3</v>
      </c>
      <c r="G6724" t="str">
        <f>T("보헤미아")</f>
        <v>보헤미아</v>
      </c>
      <c r="J6724" t="str">
        <f>T("매드햇")</f>
        <v>매드햇</v>
      </c>
      <c r="K6724" t="str">
        <f>T("화력조선")</f>
        <v>화력조선</v>
      </c>
      <c r="L6724">
        <v>0</v>
      </c>
      <c r="M6724">
        <v>0</v>
      </c>
      <c r="N6724">
        <v>0</v>
      </c>
      <c r="O6724">
        <v>1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0</v>
      </c>
      <c r="AE6724">
        <v>0</v>
      </c>
      <c r="AF6724">
        <v>0</v>
      </c>
      <c r="AG6724">
        <v>0</v>
      </c>
      <c r="AH6724">
        <v>0</v>
      </c>
      <c r="AI6724">
        <v>0</v>
      </c>
      <c r="AJ6724">
        <v>1</v>
      </c>
      <c r="AK6724">
        <v>0</v>
      </c>
      <c r="AL6724">
        <v>0</v>
      </c>
      <c r="AM6724">
        <v>0</v>
      </c>
      <c r="AN6724">
        <v>0</v>
      </c>
      <c r="AO6724">
        <v>0</v>
      </c>
      <c r="AP6724">
        <v>0</v>
      </c>
      <c r="AQ6724">
        <v>0</v>
      </c>
      <c r="AS6724">
        <v>0</v>
      </c>
      <c r="AT6724">
        <v>0</v>
      </c>
      <c r="AV6724">
        <v>0</v>
      </c>
      <c r="AW6724">
        <v>0</v>
      </c>
      <c r="AY6724">
        <v>0</v>
      </c>
      <c r="AZ6724">
        <v>0</v>
      </c>
      <c r="BA6724">
        <v>0</v>
      </c>
      <c r="BE6724" t="str">
        <f>T("9791137006348")</f>
        <v>9791137006348</v>
      </c>
      <c r="BF6724" t="str">
        <f>T("N083057")</f>
        <v>N083057</v>
      </c>
      <c r="BG6724" t="str">
        <f>T("판타지 웹소설 &gt; 퓨전 판타지")</f>
        <v>판타지 웹소설 &gt; 퓨전 판타지</v>
      </c>
    </row>
    <row r="6725" spans="1:59">
      <c r="A6725" t="s">
        <v>60</v>
      </c>
      <c r="B6725" s="1">
        <v>46130</v>
      </c>
      <c r="C6725">
        <v>2378052051</v>
      </c>
      <c r="D6725">
        <v>2378052102</v>
      </c>
      <c r="E6725" t="str">
        <f>T("화력조선 51화")</f>
        <v>화력조선 51화</v>
      </c>
      <c r="F6725">
        <v>52</v>
      </c>
      <c r="G6725" t="str">
        <f>T("보헤미아")</f>
        <v>보헤미아</v>
      </c>
      <c r="J6725" t="str">
        <f>T("매드햇")</f>
        <v>매드햇</v>
      </c>
      <c r="K6725" t="str">
        <f>T("화력조선")</f>
        <v>화력조선</v>
      </c>
      <c r="L6725">
        <v>100</v>
      </c>
      <c r="M6725">
        <v>100</v>
      </c>
      <c r="N6725">
        <v>1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0</v>
      </c>
      <c r="AE6725">
        <v>0</v>
      </c>
      <c r="AF6725">
        <v>0</v>
      </c>
      <c r="AG6725">
        <v>0</v>
      </c>
      <c r="AH6725">
        <v>0</v>
      </c>
      <c r="AI6725">
        <v>100</v>
      </c>
      <c r="AJ6725">
        <v>1</v>
      </c>
      <c r="AK6725">
        <v>0</v>
      </c>
      <c r="AL6725">
        <v>0</v>
      </c>
      <c r="AM6725">
        <v>0</v>
      </c>
      <c r="AN6725">
        <v>0</v>
      </c>
      <c r="AO6725">
        <v>120</v>
      </c>
      <c r="AP6725">
        <v>-12</v>
      </c>
      <c r="AQ6725">
        <v>0</v>
      </c>
      <c r="AS6725">
        <v>0</v>
      </c>
      <c r="AT6725">
        <v>0</v>
      </c>
      <c r="AU6725">
        <v>120</v>
      </c>
      <c r="AV6725">
        <v>-12</v>
      </c>
      <c r="AW6725">
        <v>0</v>
      </c>
      <c r="AY6725">
        <v>0</v>
      </c>
      <c r="AZ6725">
        <v>0</v>
      </c>
      <c r="BA6725">
        <v>75.599999999999994</v>
      </c>
      <c r="BE6725" t="str">
        <f>T("9791137006348")</f>
        <v>9791137006348</v>
      </c>
      <c r="BF6725" t="str">
        <f>T("N083106")</f>
        <v>N083106</v>
      </c>
      <c r="BG6725" t="str">
        <f>T("판타지 웹소설 &gt; 퓨전 판타지")</f>
        <v>판타지 웹소설 &gt; 퓨전 판타지</v>
      </c>
    </row>
    <row r="6726" spans="1:59">
      <c r="A6726" t="s">
        <v>60</v>
      </c>
      <c r="B6726" s="1">
        <v>46130</v>
      </c>
      <c r="C6726">
        <v>2378052051</v>
      </c>
      <c r="D6726">
        <v>2378052103</v>
      </c>
      <c r="E6726" t="str">
        <f>T("화력조선 52화")</f>
        <v>화력조선 52화</v>
      </c>
      <c r="F6726">
        <v>53</v>
      </c>
      <c r="G6726" t="str">
        <f>T("보헤미아")</f>
        <v>보헤미아</v>
      </c>
      <c r="J6726" t="str">
        <f>T("매드햇")</f>
        <v>매드햇</v>
      </c>
      <c r="K6726" t="str">
        <f>T("화력조선")</f>
        <v>화력조선</v>
      </c>
      <c r="L6726">
        <v>100</v>
      </c>
      <c r="M6726">
        <v>100</v>
      </c>
      <c r="N6726">
        <v>1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0</v>
      </c>
      <c r="AE6726">
        <v>0</v>
      </c>
      <c r="AF6726">
        <v>0</v>
      </c>
      <c r="AG6726">
        <v>0</v>
      </c>
      <c r="AH6726">
        <v>0</v>
      </c>
      <c r="AI6726">
        <v>100</v>
      </c>
      <c r="AJ6726">
        <v>1</v>
      </c>
      <c r="AK6726">
        <v>0</v>
      </c>
      <c r="AL6726">
        <v>0</v>
      </c>
      <c r="AM6726">
        <v>0</v>
      </c>
      <c r="AN6726">
        <v>0</v>
      </c>
      <c r="AO6726">
        <v>120</v>
      </c>
      <c r="AP6726">
        <v>-12</v>
      </c>
      <c r="AQ6726">
        <v>0</v>
      </c>
      <c r="AS6726">
        <v>0</v>
      </c>
      <c r="AT6726">
        <v>0</v>
      </c>
      <c r="AU6726">
        <v>120</v>
      </c>
      <c r="AV6726">
        <v>-12</v>
      </c>
      <c r="AW6726">
        <v>0</v>
      </c>
      <c r="AY6726">
        <v>0</v>
      </c>
      <c r="AZ6726">
        <v>0</v>
      </c>
      <c r="BA6726">
        <v>75.599999999999994</v>
      </c>
      <c r="BE6726" t="str">
        <f>T("9791137006348")</f>
        <v>9791137006348</v>
      </c>
      <c r="BF6726" t="str">
        <f>T("N083107")</f>
        <v>N083107</v>
      </c>
      <c r="BG6726" t="str">
        <f>T("판타지 웹소설 &gt; 퓨전 판타지")</f>
        <v>판타지 웹소설 &gt; 퓨전 판타지</v>
      </c>
    </row>
    <row r="6727" spans="1:59">
      <c r="A6727" t="s">
        <v>60</v>
      </c>
      <c r="B6727" s="1">
        <v>46130</v>
      </c>
      <c r="C6727">
        <v>2378052051</v>
      </c>
      <c r="D6727">
        <v>2378052054</v>
      </c>
      <c r="E6727" t="str">
        <f>T("화력조선 3화")</f>
        <v>화력조선 3화</v>
      </c>
      <c r="F6727">
        <v>4</v>
      </c>
      <c r="G6727" t="str">
        <f>T("보헤미아")</f>
        <v>보헤미아</v>
      </c>
      <c r="J6727" t="str">
        <f>T("매드햇")</f>
        <v>매드햇</v>
      </c>
      <c r="K6727" t="str">
        <f>T("화력조선")</f>
        <v>화력조선</v>
      </c>
      <c r="L6727">
        <v>0</v>
      </c>
      <c r="M6727">
        <v>0</v>
      </c>
      <c r="N6727">
        <v>0</v>
      </c>
      <c r="O6727">
        <v>1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0</v>
      </c>
      <c r="AE6727">
        <v>0</v>
      </c>
      <c r="AF6727">
        <v>0</v>
      </c>
      <c r="AG6727">
        <v>0</v>
      </c>
      <c r="AH6727">
        <v>0</v>
      </c>
      <c r="AI6727">
        <v>0</v>
      </c>
      <c r="AJ6727">
        <v>1</v>
      </c>
      <c r="AK6727">
        <v>0</v>
      </c>
      <c r="AL6727">
        <v>0</v>
      </c>
      <c r="AM6727">
        <v>0</v>
      </c>
      <c r="AN6727">
        <v>0</v>
      </c>
      <c r="AO6727">
        <v>0</v>
      </c>
      <c r="AP6727">
        <v>0</v>
      </c>
      <c r="AQ6727">
        <v>0</v>
      </c>
      <c r="AS6727">
        <v>0</v>
      </c>
      <c r="AT6727">
        <v>0</v>
      </c>
      <c r="AV6727">
        <v>0</v>
      </c>
      <c r="AW6727">
        <v>0</v>
      </c>
      <c r="AY6727">
        <v>0</v>
      </c>
      <c r="AZ6727">
        <v>0</v>
      </c>
      <c r="BA6727">
        <v>0</v>
      </c>
      <c r="BE6727" t="str">
        <f>T("9791137006348")</f>
        <v>9791137006348</v>
      </c>
      <c r="BF6727" t="str">
        <f>T("N083058")</f>
        <v>N083058</v>
      </c>
      <c r="BG6727" t="str">
        <f>T("판타지 웹소설 &gt; 퓨전 판타지")</f>
        <v>판타지 웹소설 &gt; 퓨전 판타지</v>
      </c>
    </row>
    <row r="6728" spans="1:59">
      <c r="A6728" t="s">
        <v>60</v>
      </c>
      <c r="B6728" s="1">
        <v>46130</v>
      </c>
      <c r="C6728">
        <v>2378052051</v>
      </c>
      <c r="D6728">
        <v>2378052104</v>
      </c>
      <c r="E6728" t="str">
        <f>T("화력조선 53화")</f>
        <v>화력조선 53화</v>
      </c>
      <c r="F6728">
        <v>54</v>
      </c>
      <c r="G6728" t="str">
        <f>T("보헤미아")</f>
        <v>보헤미아</v>
      </c>
      <c r="J6728" t="str">
        <f>T("매드햇")</f>
        <v>매드햇</v>
      </c>
      <c r="K6728" t="str">
        <f>T("화력조선")</f>
        <v>화력조선</v>
      </c>
      <c r="L6728">
        <v>100</v>
      </c>
      <c r="M6728">
        <v>100</v>
      </c>
      <c r="N6728">
        <v>1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0</v>
      </c>
      <c r="AE6728">
        <v>0</v>
      </c>
      <c r="AF6728">
        <v>0</v>
      </c>
      <c r="AG6728">
        <v>0</v>
      </c>
      <c r="AH6728">
        <v>0</v>
      </c>
      <c r="AI6728">
        <v>100</v>
      </c>
      <c r="AJ6728">
        <v>1</v>
      </c>
      <c r="AK6728">
        <v>0</v>
      </c>
      <c r="AL6728">
        <v>0</v>
      </c>
      <c r="AM6728">
        <v>0</v>
      </c>
      <c r="AN6728">
        <v>0</v>
      </c>
      <c r="AO6728">
        <v>120</v>
      </c>
      <c r="AP6728">
        <v>-12</v>
      </c>
      <c r="AQ6728">
        <v>0</v>
      </c>
      <c r="AS6728">
        <v>0</v>
      </c>
      <c r="AT6728">
        <v>0</v>
      </c>
      <c r="AU6728">
        <v>120</v>
      </c>
      <c r="AV6728">
        <v>-12</v>
      </c>
      <c r="AW6728">
        <v>0</v>
      </c>
      <c r="AY6728">
        <v>0</v>
      </c>
      <c r="AZ6728">
        <v>0</v>
      </c>
      <c r="BA6728">
        <v>75.599999999999994</v>
      </c>
      <c r="BE6728" t="str">
        <f>T("9791137006348")</f>
        <v>9791137006348</v>
      </c>
      <c r="BF6728" t="str">
        <f>T("N083108")</f>
        <v>N083108</v>
      </c>
      <c r="BG6728" t="str">
        <f>T("판타지 웹소설 &gt; 퓨전 판타지")</f>
        <v>판타지 웹소설 &gt; 퓨전 판타지</v>
      </c>
    </row>
    <row r="6729" spans="1:59">
      <c r="A6729" t="s">
        <v>60</v>
      </c>
      <c r="B6729" s="1">
        <v>46130</v>
      </c>
      <c r="C6729">
        <v>2378052051</v>
      </c>
      <c r="D6729">
        <v>2378052105</v>
      </c>
      <c r="E6729" t="str">
        <f>T("화력조선 54화")</f>
        <v>화력조선 54화</v>
      </c>
      <c r="F6729">
        <v>55</v>
      </c>
      <c r="G6729" t="str">
        <f>T("보헤미아")</f>
        <v>보헤미아</v>
      </c>
      <c r="J6729" t="str">
        <f>T("매드햇")</f>
        <v>매드햇</v>
      </c>
      <c r="K6729" t="str">
        <f>T("화력조선")</f>
        <v>화력조선</v>
      </c>
      <c r="L6729">
        <v>100</v>
      </c>
      <c r="M6729">
        <v>100</v>
      </c>
      <c r="N6729">
        <v>1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0</v>
      </c>
      <c r="AE6729">
        <v>0</v>
      </c>
      <c r="AF6729">
        <v>0</v>
      </c>
      <c r="AG6729">
        <v>0</v>
      </c>
      <c r="AH6729">
        <v>0</v>
      </c>
      <c r="AI6729">
        <v>100</v>
      </c>
      <c r="AJ6729">
        <v>1</v>
      </c>
      <c r="AK6729">
        <v>0</v>
      </c>
      <c r="AL6729">
        <v>0</v>
      </c>
      <c r="AM6729">
        <v>0</v>
      </c>
      <c r="AN6729">
        <v>0</v>
      </c>
      <c r="AO6729">
        <v>120</v>
      </c>
      <c r="AP6729">
        <v>-12</v>
      </c>
      <c r="AQ6729">
        <v>0</v>
      </c>
      <c r="AS6729">
        <v>0</v>
      </c>
      <c r="AT6729">
        <v>0</v>
      </c>
      <c r="AU6729">
        <v>120</v>
      </c>
      <c r="AV6729">
        <v>-12</v>
      </c>
      <c r="AW6729">
        <v>0</v>
      </c>
      <c r="AY6729">
        <v>0</v>
      </c>
      <c r="AZ6729">
        <v>0</v>
      </c>
      <c r="BA6729">
        <v>75.599999999999994</v>
      </c>
      <c r="BE6729" t="str">
        <f>T("9791137006348")</f>
        <v>9791137006348</v>
      </c>
      <c r="BF6729" t="str">
        <f>T("N083109")</f>
        <v>N083109</v>
      </c>
      <c r="BG6729" t="str">
        <f>T("판타지 웹소설 &gt; 퓨전 판타지")</f>
        <v>판타지 웹소설 &gt; 퓨전 판타지</v>
      </c>
    </row>
    <row r="6730" spans="1:59">
      <c r="A6730" t="s">
        <v>60</v>
      </c>
      <c r="B6730" s="1">
        <v>46130</v>
      </c>
      <c r="C6730">
        <v>2378052051</v>
      </c>
      <c r="D6730">
        <v>2378052106</v>
      </c>
      <c r="E6730" t="str">
        <f>T("화력조선 55화")</f>
        <v>화력조선 55화</v>
      </c>
      <c r="F6730">
        <v>56</v>
      </c>
      <c r="G6730" t="str">
        <f>T("보헤미아")</f>
        <v>보헤미아</v>
      </c>
      <c r="J6730" t="str">
        <f>T("매드햇")</f>
        <v>매드햇</v>
      </c>
      <c r="K6730" t="str">
        <f>T("화력조선")</f>
        <v>화력조선</v>
      </c>
      <c r="L6730">
        <v>100</v>
      </c>
      <c r="M6730">
        <v>100</v>
      </c>
      <c r="N6730">
        <v>1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0</v>
      </c>
      <c r="AE6730">
        <v>0</v>
      </c>
      <c r="AF6730">
        <v>0</v>
      </c>
      <c r="AG6730">
        <v>0</v>
      </c>
      <c r="AH6730">
        <v>0</v>
      </c>
      <c r="AI6730">
        <v>100</v>
      </c>
      <c r="AJ6730">
        <v>1</v>
      </c>
      <c r="AK6730">
        <v>0</v>
      </c>
      <c r="AL6730">
        <v>0</v>
      </c>
      <c r="AM6730">
        <v>0</v>
      </c>
      <c r="AN6730">
        <v>0</v>
      </c>
      <c r="AO6730">
        <v>120</v>
      </c>
      <c r="AP6730">
        <v>-12</v>
      </c>
      <c r="AQ6730">
        <v>0</v>
      </c>
      <c r="AS6730">
        <v>0</v>
      </c>
      <c r="AT6730">
        <v>0</v>
      </c>
      <c r="AU6730">
        <v>120</v>
      </c>
      <c r="AV6730">
        <v>-12</v>
      </c>
      <c r="AW6730">
        <v>0</v>
      </c>
      <c r="AY6730">
        <v>0</v>
      </c>
      <c r="AZ6730">
        <v>0</v>
      </c>
      <c r="BA6730">
        <v>75.599999999999994</v>
      </c>
      <c r="BE6730" t="str">
        <f>T("9791137006348")</f>
        <v>9791137006348</v>
      </c>
      <c r="BF6730" t="str">
        <f>T("N083110")</f>
        <v>N083110</v>
      </c>
      <c r="BG6730" t="str">
        <f>T("판타지 웹소설 &gt; 퓨전 판타지")</f>
        <v>판타지 웹소설 &gt; 퓨전 판타지</v>
      </c>
    </row>
    <row r="6731" spans="1:59">
      <c r="A6731" t="s">
        <v>60</v>
      </c>
      <c r="B6731" s="1">
        <v>46131</v>
      </c>
      <c r="C6731">
        <v>2378052051</v>
      </c>
      <c r="D6731">
        <v>2378052107</v>
      </c>
      <c r="E6731" t="str">
        <f>T("화력조선 56화")</f>
        <v>화력조선 56화</v>
      </c>
      <c r="F6731">
        <v>57</v>
      </c>
      <c r="G6731" t="str">
        <f>T("보헤미아")</f>
        <v>보헤미아</v>
      </c>
      <c r="J6731" t="str">
        <f>T("매드햇")</f>
        <v>매드햇</v>
      </c>
      <c r="K6731" t="str">
        <f>T("화력조선")</f>
        <v>화력조선</v>
      </c>
      <c r="L6731">
        <v>100</v>
      </c>
      <c r="M6731">
        <v>200</v>
      </c>
      <c r="N6731">
        <v>2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0</v>
      </c>
      <c r="AE6731">
        <v>0</v>
      </c>
      <c r="AF6731">
        <v>0</v>
      </c>
      <c r="AG6731">
        <v>0</v>
      </c>
      <c r="AH6731">
        <v>0</v>
      </c>
      <c r="AI6731">
        <v>200</v>
      </c>
      <c r="AJ6731">
        <v>2</v>
      </c>
      <c r="AK6731">
        <v>0</v>
      </c>
      <c r="AL6731">
        <v>0</v>
      </c>
      <c r="AM6731">
        <v>100</v>
      </c>
      <c r="AN6731">
        <v>0</v>
      </c>
      <c r="AO6731">
        <v>120</v>
      </c>
      <c r="AP6731">
        <v>-12</v>
      </c>
      <c r="AQ6731">
        <v>0</v>
      </c>
      <c r="AS6731">
        <v>0</v>
      </c>
      <c r="AT6731">
        <v>0</v>
      </c>
      <c r="AU6731">
        <v>120</v>
      </c>
      <c r="AV6731">
        <v>-12</v>
      </c>
      <c r="AW6731">
        <v>0</v>
      </c>
      <c r="AY6731">
        <v>0</v>
      </c>
      <c r="AZ6731">
        <v>0</v>
      </c>
      <c r="BA6731">
        <v>145.6</v>
      </c>
      <c r="BE6731" t="str">
        <f>T("9791137006348")</f>
        <v>9791137006348</v>
      </c>
      <c r="BF6731" t="str">
        <f>T("N083111")</f>
        <v>N083111</v>
      </c>
      <c r="BG6731" t="str">
        <f>T("판타지 웹소설 &gt; 퓨전 판타지")</f>
        <v>판타지 웹소설 &gt; 퓨전 판타지</v>
      </c>
    </row>
    <row r="6732" spans="1:59">
      <c r="A6732" t="s">
        <v>60</v>
      </c>
      <c r="B6732" s="1">
        <v>46131</v>
      </c>
      <c r="C6732">
        <v>2378052051</v>
      </c>
      <c r="D6732">
        <v>2378052056</v>
      </c>
      <c r="E6732" t="str">
        <f>T("화력조선 5화")</f>
        <v>화력조선 5화</v>
      </c>
      <c r="F6732">
        <v>6</v>
      </c>
      <c r="G6732" t="str">
        <f>T("보헤미아")</f>
        <v>보헤미아</v>
      </c>
      <c r="J6732" t="str">
        <f>T("매드햇")</f>
        <v>매드햇</v>
      </c>
      <c r="K6732" t="str">
        <f>T("화력조선")</f>
        <v>화력조선</v>
      </c>
      <c r="L6732">
        <v>0</v>
      </c>
      <c r="M6732">
        <v>0</v>
      </c>
      <c r="N6732">
        <v>0</v>
      </c>
      <c r="O6732">
        <v>1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0</v>
      </c>
      <c r="AE6732">
        <v>0</v>
      </c>
      <c r="AF6732">
        <v>0</v>
      </c>
      <c r="AG6732">
        <v>0</v>
      </c>
      <c r="AH6732">
        <v>0</v>
      </c>
      <c r="AI6732">
        <v>0</v>
      </c>
      <c r="AJ6732">
        <v>1</v>
      </c>
      <c r="AK6732">
        <v>0</v>
      </c>
      <c r="AL6732">
        <v>0</v>
      </c>
      <c r="AM6732">
        <v>0</v>
      </c>
      <c r="AN6732">
        <v>0</v>
      </c>
      <c r="AO6732">
        <v>0</v>
      </c>
      <c r="AP6732">
        <v>0</v>
      </c>
      <c r="AQ6732">
        <v>0</v>
      </c>
      <c r="AS6732">
        <v>0</v>
      </c>
      <c r="AT6732">
        <v>0</v>
      </c>
      <c r="AV6732">
        <v>0</v>
      </c>
      <c r="AW6732">
        <v>0</v>
      </c>
      <c r="AY6732">
        <v>0</v>
      </c>
      <c r="AZ6732">
        <v>0</v>
      </c>
      <c r="BA6732">
        <v>0</v>
      </c>
      <c r="BE6732" t="str">
        <f>T("9791137006348")</f>
        <v>9791137006348</v>
      </c>
      <c r="BF6732" t="str">
        <f>T("N083060")</f>
        <v>N083060</v>
      </c>
      <c r="BG6732" t="str">
        <f>T("판타지 웹소설 &gt; 퓨전 판타지")</f>
        <v>판타지 웹소설 &gt; 퓨전 판타지</v>
      </c>
    </row>
    <row r="6733" spans="1:59">
      <c r="A6733" t="s">
        <v>60</v>
      </c>
      <c r="B6733" s="1">
        <v>46131</v>
      </c>
      <c r="C6733">
        <v>2378052051</v>
      </c>
      <c r="D6733">
        <v>2378052108</v>
      </c>
      <c r="E6733" t="str">
        <f>T("화력조선 57화")</f>
        <v>화력조선 57화</v>
      </c>
      <c r="F6733">
        <v>58</v>
      </c>
      <c r="G6733" t="str">
        <f>T("보헤미아")</f>
        <v>보헤미아</v>
      </c>
      <c r="J6733" t="str">
        <f>T("매드햇")</f>
        <v>매드햇</v>
      </c>
      <c r="K6733" t="str">
        <f>T("화력조선")</f>
        <v>화력조선</v>
      </c>
      <c r="L6733">
        <v>100</v>
      </c>
      <c r="M6733">
        <v>100</v>
      </c>
      <c r="N6733">
        <v>1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0</v>
      </c>
      <c r="AE6733">
        <v>0</v>
      </c>
      <c r="AF6733">
        <v>0</v>
      </c>
      <c r="AG6733">
        <v>0</v>
      </c>
      <c r="AH6733">
        <v>0</v>
      </c>
      <c r="AI6733">
        <v>100</v>
      </c>
      <c r="AJ6733">
        <v>1</v>
      </c>
      <c r="AK6733">
        <v>0</v>
      </c>
      <c r="AL6733">
        <v>0</v>
      </c>
      <c r="AM6733">
        <v>0</v>
      </c>
      <c r="AN6733">
        <v>0</v>
      </c>
      <c r="AO6733">
        <v>120</v>
      </c>
      <c r="AP6733">
        <v>-12</v>
      </c>
      <c r="AQ6733">
        <v>0</v>
      </c>
      <c r="AS6733">
        <v>0</v>
      </c>
      <c r="AT6733">
        <v>0</v>
      </c>
      <c r="AU6733">
        <v>120</v>
      </c>
      <c r="AV6733">
        <v>-12</v>
      </c>
      <c r="AW6733">
        <v>0</v>
      </c>
      <c r="AY6733">
        <v>0</v>
      </c>
      <c r="AZ6733">
        <v>0</v>
      </c>
      <c r="BA6733">
        <v>75.599999999999994</v>
      </c>
      <c r="BE6733" t="str">
        <f>T("9791137006348")</f>
        <v>9791137006348</v>
      </c>
      <c r="BF6733" t="str">
        <f>T("N083112")</f>
        <v>N083112</v>
      </c>
      <c r="BG6733" t="str">
        <f>T("판타지 웹소설 &gt; 퓨전 판타지")</f>
        <v>판타지 웹소설 &gt; 퓨전 판타지</v>
      </c>
    </row>
    <row r="6734" spans="1:59">
      <c r="A6734" t="s">
        <v>60</v>
      </c>
      <c r="B6734" s="1">
        <v>46131</v>
      </c>
      <c r="C6734">
        <v>2378052051</v>
      </c>
      <c r="D6734">
        <v>2378052109</v>
      </c>
      <c r="E6734" t="str">
        <f>T("화력조선 58화")</f>
        <v>화력조선 58화</v>
      </c>
      <c r="F6734">
        <v>59</v>
      </c>
      <c r="G6734" t="str">
        <f>T("보헤미아")</f>
        <v>보헤미아</v>
      </c>
      <c r="J6734" t="str">
        <f>T("매드햇")</f>
        <v>매드햇</v>
      </c>
      <c r="K6734" t="str">
        <f>T("화력조선")</f>
        <v>화력조선</v>
      </c>
      <c r="L6734">
        <v>100</v>
      </c>
      <c r="M6734">
        <v>100</v>
      </c>
      <c r="N6734">
        <v>1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0</v>
      </c>
      <c r="AE6734">
        <v>0</v>
      </c>
      <c r="AF6734">
        <v>0</v>
      </c>
      <c r="AG6734">
        <v>0</v>
      </c>
      <c r="AH6734">
        <v>0</v>
      </c>
      <c r="AI6734">
        <v>100</v>
      </c>
      <c r="AJ6734">
        <v>1</v>
      </c>
      <c r="AK6734">
        <v>0</v>
      </c>
      <c r="AL6734">
        <v>0</v>
      </c>
      <c r="AM6734">
        <v>0</v>
      </c>
      <c r="AN6734">
        <v>0</v>
      </c>
      <c r="AO6734">
        <v>120</v>
      </c>
      <c r="AP6734">
        <v>-12</v>
      </c>
      <c r="AQ6734">
        <v>0</v>
      </c>
      <c r="AS6734">
        <v>0</v>
      </c>
      <c r="AT6734">
        <v>0</v>
      </c>
      <c r="AU6734">
        <v>120</v>
      </c>
      <c r="AV6734">
        <v>-12</v>
      </c>
      <c r="AW6734">
        <v>0</v>
      </c>
      <c r="AY6734">
        <v>0</v>
      </c>
      <c r="AZ6734">
        <v>0</v>
      </c>
      <c r="BA6734">
        <v>75.599999999999994</v>
      </c>
      <c r="BE6734" t="str">
        <f>T("9791137006348")</f>
        <v>9791137006348</v>
      </c>
      <c r="BF6734" t="str">
        <f>T("N083113")</f>
        <v>N083113</v>
      </c>
      <c r="BG6734" t="str">
        <f>T("판타지 웹소설 &gt; 퓨전 판타지")</f>
        <v>판타지 웹소설 &gt; 퓨전 판타지</v>
      </c>
    </row>
    <row r="6735" spans="1:59">
      <c r="A6735" t="s">
        <v>60</v>
      </c>
      <c r="B6735" s="1">
        <v>46131</v>
      </c>
      <c r="C6735">
        <v>2378052051</v>
      </c>
      <c r="D6735">
        <v>2378052057</v>
      </c>
      <c r="E6735" t="str">
        <f>T("화력조선 6화")</f>
        <v>화력조선 6화</v>
      </c>
      <c r="F6735">
        <v>7</v>
      </c>
      <c r="G6735" t="str">
        <f>T("보헤미아")</f>
        <v>보헤미아</v>
      </c>
      <c r="J6735" t="str">
        <f>T("매드햇")</f>
        <v>매드햇</v>
      </c>
      <c r="K6735" t="str">
        <f>T("화력조선")</f>
        <v>화력조선</v>
      </c>
      <c r="L6735">
        <v>0</v>
      </c>
      <c r="M6735">
        <v>0</v>
      </c>
      <c r="N6735">
        <v>0</v>
      </c>
      <c r="O6735">
        <v>1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0</v>
      </c>
      <c r="AE6735">
        <v>0</v>
      </c>
      <c r="AF6735">
        <v>0</v>
      </c>
      <c r="AG6735">
        <v>0</v>
      </c>
      <c r="AH6735">
        <v>0</v>
      </c>
      <c r="AI6735">
        <v>0</v>
      </c>
      <c r="AJ6735">
        <v>1</v>
      </c>
      <c r="AK6735">
        <v>0</v>
      </c>
      <c r="AL6735">
        <v>0</v>
      </c>
      <c r="AM6735">
        <v>0</v>
      </c>
      <c r="AN6735">
        <v>0</v>
      </c>
      <c r="AO6735">
        <v>0</v>
      </c>
      <c r="AP6735">
        <v>0</v>
      </c>
      <c r="AQ6735">
        <v>0</v>
      </c>
      <c r="AS6735">
        <v>0</v>
      </c>
      <c r="AT6735">
        <v>0</v>
      </c>
      <c r="AV6735">
        <v>0</v>
      </c>
      <c r="AW6735">
        <v>0</v>
      </c>
      <c r="AY6735">
        <v>0</v>
      </c>
      <c r="AZ6735">
        <v>0</v>
      </c>
      <c r="BA6735">
        <v>0</v>
      </c>
      <c r="BE6735" t="str">
        <f>T("9791137006348")</f>
        <v>9791137006348</v>
      </c>
      <c r="BF6735" t="str">
        <f>T("N083061")</f>
        <v>N083061</v>
      </c>
      <c r="BG6735" t="str">
        <f>T("판타지 웹소설 &gt; 퓨전 판타지")</f>
        <v>판타지 웹소설 &gt; 퓨전 판타지</v>
      </c>
    </row>
    <row r="6736" spans="1:59">
      <c r="A6736" t="s">
        <v>60</v>
      </c>
      <c r="B6736" s="1">
        <v>46131</v>
      </c>
      <c r="C6736">
        <v>2378052051</v>
      </c>
      <c r="D6736">
        <v>2378052110</v>
      </c>
      <c r="E6736" t="str">
        <f>T("화력조선 59화")</f>
        <v>화력조선 59화</v>
      </c>
      <c r="F6736">
        <v>60</v>
      </c>
      <c r="G6736" t="str">
        <f>T("보헤미아")</f>
        <v>보헤미아</v>
      </c>
      <c r="J6736" t="str">
        <f>T("매드햇")</f>
        <v>매드햇</v>
      </c>
      <c r="K6736" t="str">
        <f>T("화력조선")</f>
        <v>화력조선</v>
      </c>
      <c r="L6736">
        <v>100</v>
      </c>
      <c r="M6736">
        <v>100</v>
      </c>
      <c r="N6736">
        <v>1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0</v>
      </c>
      <c r="AE6736">
        <v>0</v>
      </c>
      <c r="AF6736">
        <v>0</v>
      </c>
      <c r="AG6736">
        <v>0</v>
      </c>
      <c r="AH6736">
        <v>0</v>
      </c>
      <c r="AI6736">
        <v>100</v>
      </c>
      <c r="AJ6736">
        <v>1</v>
      </c>
      <c r="AK6736">
        <v>0</v>
      </c>
      <c r="AL6736">
        <v>0</v>
      </c>
      <c r="AM6736">
        <v>0</v>
      </c>
      <c r="AN6736">
        <v>0</v>
      </c>
      <c r="AO6736">
        <v>120</v>
      </c>
      <c r="AP6736">
        <v>-12</v>
      </c>
      <c r="AQ6736">
        <v>0</v>
      </c>
      <c r="AS6736">
        <v>0</v>
      </c>
      <c r="AT6736">
        <v>0</v>
      </c>
      <c r="AU6736">
        <v>120</v>
      </c>
      <c r="AV6736">
        <v>-12</v>
      </c>
      <c r="AW6736">
        <v>0</v>
      </c>
      <c r="AY6736">
        <v>0</v>
      </c>
      <c r="AZ6736">
        <v>0</v>
      </c>
      <c r="BA6736">
        <v>75.599999999999994</v>
      </c>
      <c r="BE6736" t="str">
        <f>T("9791137006348")</f>
        <v>9791137006348</v>
      </c>
      <c r="BF6736" t="str">
        <f>T("N083114")</f>
        <v>N083114</v>
      </c>
      <c r="BG6736" t="str">
        <f>T("판타지 웹소설 &gt; 퓨전 판타지")</f>
        <v>판타지 웹소설 &gt; 퓨전 판타지</v>
      </c>
    </row>
    <row r="6737" spans="1:59">
      <c r="A6737" t="s">
        <v>60</v>
      </c>
      <c r="B6737" s="1">
        <v>46131</v>
      </c>
      <c r="C6737">
        <v>2378052051</v>
      </c>
      <c r="D6737">
        <v>2378052058</v>
      </c>
      <c r="E6737" t="str">
        <f>T("화력조선 7화")</f>
        <v>화력조선 7화</v>
      </c>
      <c r="F6737">
        <v>8</v>
      </c>
      <c r="G6737" t="str">
        <f>T("보헤미아")</f>
        <v>보헤미아</v>
      </c>
      <c r="J6737" t="str">
        <f>T("매드햇")</f>
        <v>매드햇</v>
      </c>
      <c r="K6737" t="str">
        <f>T("화력조선")</f>
        <v>화력조선</v>
      </c>
      <c r="L6737">
        <v>0</v>
      </c>
      <c r="M6737">
        <v>0</v>
      </c>
      <c r="N6737">
        <v>0</v>
      </c>
      <c r="O6737">
        <v>1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0</v>
      </c>
      <c r="AE6737">
        <v>0</v>
      </c>
      <c r="AF6737">
        <v>0</v>
      </c>
      <c r="AG6737">
        <v>0</v>
      </c>
      <c r="AH6737">
        <v>0</v>
      </c>
      <c r="AI6737">
        <v>0</v>
      </c>
      <c r="AJ6737">
        <v>1</v>
      </c>
      <c r="AK6737">
        <v>0</v>
      </c>
      <c r="AL6737">
        <v>0</v>
      </c>
      <c r="AM6737">
        <v>0</v>
      </c>
      <c r="AN6737">
        <v>0</v>
      </c>
      <c r="AO6737">
        <v>0</v>
      </c>
      <c r="AP6737">
        <v>0</v>
      </c>
      <c r="AQ6737">
        <v>0</v>
      </c>
      <c r="AS6737">
        <v>0</v>
      </c>
      <c r="AT6737">
        <v>0</v>
      </c>
      <c r="AV6737">
        <v>0</v>
      </c>
      <c r="AW6737">
        <v>0</v>
      </c>
      <c r="AY6737">
        <v>0</v>
      </c>
      <c r="AZ6737">
        <v>0</v>
      </c>
      <c r="BA6737">
        <v>0</v>
      </c>
      <c r="BE6737" t="str">
        <f>T("9791137006348")</f>
        <v>9791137006348</v>
      </c>
      <c r="BF6737" t="str">
        <f>T("N083062")</f>
        <v>N083062</v>
      </c>
      <c r="BG6737" t="str">
        <f>T("판타지 웹소설 &gt; 퓨전 판타지")</f>
        <v>판타지 웹소설 &gt; 퓨전 판타지</v>
      </c>
    </row>
    <row r="6738" spans="1:59">
      <c r="A6738" t="s">
        <v>60</v>
      </c>
      <c r="B6738" s="1">
        <v>46131</v>
      </c>
      <c r="C6738">
        <v>2378052051</v>
      </c>
      <c r="D6738">
        <v>2378052059</v>
      </c>
      <c r="E6738" t="str">
        <f>T("화력조선 8화")</f>
        <v>화력조선 8화</v>
      </c>
      <c r="F6738">
        <v>9</v>
      </c>
      <c r="G6738" t="str">
        <f>T("보헤미아")</f>
        <v>보헤미아</v>
      </c>
      <c r="J6738" t="str">
        <f>T("매드햇")</f>
        <v>매드햇</v>
      </c>
      <c r="K6738" t="str">
        <f>T("화력조선")</f>
        <v>화력조선</v>
      </c>
      <c r="L6738">
        <v>0</v>
      </c>
      <c r="M6738">
        <v>0</v>
      </c>
      <c r="N6738">
        <v>0</v>
      </c>
      <c r="O6738">
        <v>1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0</v>
      </c>
      <c r="AE6738">
        <v>0</v>
      </c>
      <c r="AF6738">
        <v>0</v>
      </c>
      <c r="AG6738">
        <v>0</v>
      </c>
      <c r="AH6738">
        <v>0</v>
      </c>
      <c r="AI6738">
        <v>0</v>
      </c>
      <c r="AJ6738">
        <v>1</v>
      </c>
      <c r="AK6738">
        <v>0</v>
      </c>
      <c r="AL6738">
        <v>0</v>
      </c>
      <c r="AM6738">
        <v>0</v>
      </c>
      <c r="AN6738">
        <v>0</v>
      </c>
      <c r="AO6738">
        <v>0</v>
      </c>
      <c r="AP6738">
        <v>0</v>
      </c>
      <c r="AQ6738">
        <v>0</v>
      </c>
      <c r="AS6738">
        <v>0</v>
      </c>
      <c r="AT6738">
        <v>0</v>
      </c>
      <c r="AV6738">
        <v>0</v>
      </c>
      <c r="AW6738">
        <v>0</v>
      </c>
      <c r="AY6738">
        <v>0</v>
      </c>
      <c r="AZ6738">
        <v>0</v>
      </c>
      <c r="BA6738">
        <v>0</v>
      </c>
      <c r="BE6738" t="str">
        <f>T("9791137006348")</f>
        <v>9791137006348</v>
      </c>
      <c r="BF6738" t="str">
        <f>T("N083063")</f>
        <v>N083063</v>
      </c>
      <c r="BG6738" t="str">
        <f>T("판타지 웹소설 &gt; 퓨전 판타지")</f>
        <v>판타지 웹소설 &gt; 퓨전 판타지</v>
      </c>
    </row>
    <row r="6739" spans="1:59">
      <c r="A6739" t="s">
        <v>60</v>
      </c>
      <c r="B6739" s="1">
        <v>46131</v>
      </c>
      <c r="C6739">
        <v>2378052051</v>
      </c>
      <c r="D6739">
        <v>2378052127</v>
      </c>
      <c r="E6739" t="str">
        <f>T("화력조선 76화")</f>
        <v>화력조선 76화</v>
      </c>
      <c r="F6739">
        <v>77</v>
      </c>
      <c r="G6739" t="str">
        <f>T("보헤미아")</f>
        <v>보헤미아</v>
      </c>
      <c r="J6739" t="str">
        <f>T("매드햇")</f>
        <v>매드햇</v>
      </c>
      <c r="K6739" t="str">
        <f>T("화력조선")</f>
        <v>화력조선</v>
      </c>
      <c r="L6739">
        <v>100</v>
      </c>
      <c r="M6739">
        <v>100</v>
      </c>
      <c r="N6739">
        <v>1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0</v>
      </c>
      <c r="AE6739">
        <v>0</v>
      </c>
      <c r="AF6739">
        <v>0</v>
      </c>
      <c r="AG6739">
        <v>0</v>
      </c>
      <c r="AH6739">
        <v>0</v>
      </c>
      <c r="AI6739">
        <v>100</v>
      </c>
      <c r="AJ6739">
        <v>1</v>
      </c>
      <c r="AK6739">
        <v>0</v>
      </c>
      <c r="AL6739">
        <v>0</v>
      </c>
      <c r="AM6739">
        <v>0</v>
      </c>
      <c r="AN6739">
        <v>0</v>
      </c>
      <c r="AO6739">
        <v>120</v>
      </c>
      <c r="AP6739">
        <v>-12</v>
      </c>
      <c r="AQ6739">
        <v>0</v>
      </c>
      <c r="AS6739">
        <v>0</v>
      </c>
      <c r="AT6739">
        <v>0</v>
      </c>
      <c r="AU6739">
        <v>120</v>
      </c>
      <c r="AV6739">
        <v>-12</v>
      </c>
      <c r="AW6739">
        <v>0</v>
      </c>
      <c r="AY6739">
        <v>0</v>
      </c>
      <c r="AZ6739">
        <v>0</v>
      </c>
      <c r="BA6739">
        <v>75.599999999999994</v>
      </c>
      <c r="BE6739" t="str">
        <f>T("9791137006348")</f>
        <v>9791137006348</v>
      </c>
      <c r="BF6739" t="str">
        <f>T("N083131")</f>
        <v>N083131</v>
      </c>
      <c r="BG6739" t="str">
        <f>T("판타지 웹소설 &gt; 퓨전 판타지")</f>
        <v>판타지 웹소설 &gt; 퓨전 판타지</v>
      </c>
    </row>
    <row r="6740" spans="1:59">
      <c r="A6740" t="s">
        <v>60</v>
      </c>
      <c r="B6740" s="1">
        <v>46131</v>
      </c>
      <c r="C6740">
        <v>2378052051</v>
      </c>
      <c r="D6740">
        <v>2378052082</v>
      </c>
      <c r="E6740" t="str">
        <f>T("화력조선 31화")</f>
        <v>화력조선 31화</v>
      </c>
      <c r="F6740">
        <v>32</v>
      </c>
      <c r="G6740" t="str">
        <f>T("보헤미아")</f>
        <v>보헤미아</v>
      </c>
      <c r="J6740" t="str">
        <f>T("매드햇")</f>
        <v>매드햇</v>
      </c>
      <c r="K6740" t="str">
        <f>T("화력조선")</f>
        <v>화력조선</v>
      </c>
      <c r="L6740">
        <v>100</v>
      </c>
      <c r="M6740">
        <v>100</v>
      </c>
      <c r="N6740">
        <v>1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0</v>
      </c>
      <c r="AE6740">
        <v>0</v>
      </c>
      <c r="AF6740">
        <v>0</v>
      </c>
      <c r="AG6740">
        <v>0</v>
      </c>
      <c r="AH6740">
        <v>0</v>
      </c>
      <c r="AI6740">
        <v>100</v>
      </c>
      <c r="AJ6740">
        <v>1</v>
      </c>
      <c r="AK6740">
        <v>0</v>
      </c>
      <c r="AL6740">
        <v>0</v>
      </c>
      <c r="AM6740">
        <v>100</v>
      </c>
      <c r="AN6740">
        <v>0</v>
      </c>
      <c r="AO6740">
        <v>0</v>
      </c>
      <c r="AP6740">
        <v>0</v>
      </c>
      <c r="AQ6740">
        <v>0</v>
      </c>
      <c r="AS6740">
        <v>0</v>
      </c>
      <c r="AT6740">
        <v>0</v>
      </c>
      <c r="AV6740">
        <v>0</v>
      </c>
      <c r="AW6740">
        <v>0</v>
      </c>
      <c r="AY6740">
        <v>0</v>
      </c>
      <c r="AZ6740">
        <v>0</v>
      </c>
      <c r="BA6740">
        <v>70</v>
      </c>
      <c r="BE6740" t="str">
        <f>T("9791137006348")</f>
        <v>9791137006348</v>
      </c>
      <c r="BF6740" t="str">
        <f>T("N083086")</f>
        <v>N083086</v>
      </c>
      <c r="BG6740" t="str">
        <f>T("판타지 웹소설 &gt; 퓨전 판타지")</f>
        <v>판타지 웹소설 &gt; 퓨전 판타지</v>
      </c>
    </row>
    <row r="6741" spans="1:59">
      <c r="A6741" t="s">
        <v>60</v>
      </c>
      <c r="B6741" s="1">
        <v>46131</v>
      </c>
      <c r="C6741">
        <v>2378052051</v>
      </c>
      <c r="D6741">
        <v>2378052128</v>
      </c>
      <c r="E6741" t="str">
        <f>T("화력조선 77화")</f>
        <v>화력조선 77화</v>
      </c>
      <c r="F6741">
        <v>78</v>
      </c>
      <c r="G6741" t="str">
        <f>T("보헤미아")</f>
        <v>보헤미아</v>
      </c>
      <c r="J6741" t="str">
        <f>T("매드햇")</f>
        <v>매드햇</v>
      </c>
      <c r="K6741" t="str">
        <f>T("화력조선")</f>
        <v>화력조선</v>
      </c>
      <c r="L6741">
        <v>100</v>
      </c>
      <c r="M6741">
        <v>100</v>
      </c>
      <c r="N6741">
        <v>1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0</v>
      </c>
      <c r="AE6741">
        <v>0</v>
      </c>
      <c r="AF6741">
        <v>0</v>
      </c>
      <c r="AG6741">
        <v>0</v>
      </c>
      <c r="AH6741">
        <v>0</v>
      </c>
      <c r="AI6741">
        <v>100</v>
      </c>
      <c r="AJ6741">
        <v>1</v>
      </c>
      <c r="AK6741">
        <v>0</v>
      </c>
      <c r="AL6741">
        <v>0</v>
      </c>
      <c r="AM6741">
        <v>0</v>
      </c>
      <c r="AN6741">
        <v>0</v>
      </c>
      <c r="AO6741">
        <v>120</v>
      </c>
      <c r="AP6741">
        <v>-12</v>
      </c>
      <c r="AQ6741">
        <v>0</v>
      </c>
      <c r="AS6741">
        <v>0</v>
      </c>
      <c r="AT6741">
        <v>0</v>
      </c>
      <c r="AU6741">
        <v>120</v>
      </c>
      <c r="AV6741">
        <v>-12</v>
      </c>
      <c r="AW6741">
        <v>0</v>
      </c>
      <c r="AY6741">
        <v>0</v>
      </c>
      <c r="AZ6741">
        <v>0</v>
      </c>
      <c r="BA6741">
        <v>75.599999999999994</v>
      </c>
      <c r="BE6741" t="str">
        <f>T("9791137006348")</f>
        <v>9791137006348</v>
      </c>
      <c r="BF6741" t="str">
        <f>T("N083132")</f>
        <v>N083132</v>
      </c>
      <c r="BG6741" t="str">
        <f>T("판타지 웹소설 &gt; 퓨전 판타지")</f>
        <v>판타지 웹소설 &gt; 퓨전 판타지</v>
      </c>
    </row>
    <row r="6742" spans="1:59">
      <c r="A6742" t="s">
        <v>60</v>
      </c>
      <c r="B6742" s="1">
        <v>46131</v>
      </c>
      <c r="C6742">
        <v>2378052051</v>
      </c>
      <c r="D6742">
        <v>2378052083</v>
      </c>
      <c r="E6742" t="str">
        <f>T("화력조선 32화")</f>
        <v>화력조선 32화</v>
      </c>
      <c r="F6742">
        <v>33</v>
      </c>
      <c r="G6742" t="str">
        <f>T("보헤미아")</f>
        <v>보헤미아</v>
      </c>
      <c r="J6742" t="str">
        <f>T("매드햇")</f>
        <v>매드햇</v>
      </c>
      <c r="K6742" t="str">
        <f>T("화력조선")</f>
        <v>화력조선</v>
      </c>
      <c r="L6742">
        <v>100</v>
      </c>
      <c r="M6742">
        <v>100</v>
      </c>
      <c r="N6742">
        <v>1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0</v>
      </c>
      <c r="AE6742">
        <v>0</v>
      </c>
      <c r="AF6742">
        <v>0</v>
      </c>
      <c r="AG6742">
        <v>0</v>
      </c>
      <c r="AH6742">
        <v>0</v>
      </c>
      <c r="AI6742">
        <v>100</v>
      </c>
      <c r="AJ6742">
        <v>1</v>
      </c>
      <c r="AK6742">
        <v>0</v>
      </c>
      <c r="AL6742">
        <v>0</v>
      </c>
      <c r="AM6742">
        <v>100</v>
      </c>
      <c r="AN6742">
        <v>0</v>
      </c>
      <c r="AO6742">
        <v>0</v>
      </c>
      <c r="AP6742">
        <v>0</v>
      </c>
      <c r="AQ6742">
        <v>0</v>
      </c>
      <c r="AS6742">
        <v>0</v>
      </c>
      <c r="AT6742">
        <v>0</v>
      </c>
      <c r="AV6742">
        <v>0</v>
      </c>
      <c r="AW6742">
        <v>0</v>
      </c>
      <c r="AY6742">
        <v>0</v>
      </c>
      <c r="AZ6742">
        <v>0</v>
      </c>
      <c r="BA6742">
        <v>70</v>
      </c>
      <c r="BE6742" t="str">
        <f>T("9791137006348")</f>
        <v>9791137006348</v>
      </c>
      <c r="BF6742" t="str">
        <f>T("N083087")</f>
        <v>N083087</v>
      </c>
      <c r="BG6742" t="str">
        <f>T("판타지 웹소설 &gt; 퓨전 판타지")</f>
        <v>판타지 웹소설 &gt; 퓨전 판타지</v>
      </c>
    </row>
    <row r="6743" spans="1:59">
      <c r="A6743" t="s">
        <v>60</v>
      </c>
      <c r="B6743" s="1">
        <v>46131</v>
      </c>
      <c r="C6743">
        <v>2378052051</v>
      </c>
      <c r="D6743">
        <v>2378052129</v>
      </c>
      <c r="E6743" t="str">
        <f>T("화력조선 78화")</f>
        <v>화력조선 78화</v>
      </c>
      <c r="F6743">
        <v>79</v>
      </c>
      <c r="G6743" t="str">
        <f>T("보헤미아")</f>
        <v>보헤미아</v>
      </c>
      <c r="J6743" t="str">
        <f>T("매드햇")</f>
        <v>매드햇</v>
      </c>
      <c r="K6743" t="str">
        <f>T("화력조선")</f>
        <v>화력조선</v>
      </c>
      <c r="L6743">
        <v>100</v>
      </c>
      <c r="M6743">
        <v>100</v>
      </c>
      <c r="N6743">
        <v>1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0</v>
      </c>
      <c r="AE6743">
        <v>0</v>
      </c>
      <c r="AF6743">
        <v>0</v>
      </c>
      <c r="AG6743">
        <v>0</v>
      </c>
      <c r="AH6743">
        <v>0</v>
      </c>
      <c r="AI6743">
        <v>100</v>
      </c>
      <c r="AJ6743">
        <v>1</v>
      </c>
      <c r="AK6743">
        <v>0</v>
      </c>
      <c r="AL6743">
        <v>0</v>
      </c>
      <c r="AM6743">
        <v>0</v>
      </c>
      <c r="AN6743">
        <v>0</v>
      </c>
      <c r="AO6743">
        <v>120</v>
      </c>
      <c r="AP6743">
        <v>-12</v>
      </c>
      <c r="AQ6743">
        <v>0</v>
      </c>
      <c r="AS6743">
        <v>0</v>
      </c>
      <c r="AT6743">
        <v>0</v>
      </c>
      <c r="AU6743">
        <v>120</v>
      </c>
      <c r="AV6743">
        <v>-12</v>
      </c>
      <c r="AW6743">
        <v>0</v>
      </c>
      <c r="AY6743">
        <v>0</v>
      </c>
      <c r="AZ6743">
        <v>0</v>
      </c>
      <c r="BA6743">
        <v>75.599999999999994</v>
      </c>
      <c r="BE6743" t="str">
        <f>T("9791137006348")</f>
        <v>9791137006348</v>
      </c>
      <c r="BF6743" t="str">
        <f>T("N083133")</f>
        <v>N083133</v>
      </c>
      <c r="BG6743" t="str">
        <f>T("판타지 웹소설 &gt; 퓨전 판타지")</f>
        <v>판타지 웹소설 &gt; 퓨전 판타지</v>
      </c>
    </row>
    <row r="6744" spans="1:59">
      <c r="A6744" t="s">
        <v>60</v>
      </c>
      <c r="B6744" s="1">
        <v>46131</v>
      </c>
      <c r="C6744">
        <v>2378052051</v>
      </c>
      <c r="D6744">
        <v>2378052084</v>
      </c>
      <c r="E6744" t="str">
        <f>T("화력조선 33화")</f>
        <v>화력조선 33화</v>
      </c>
      <c r="F6744">
        <v>34</v>
      </c>
      <c r="G6744" t="str">
        <f>T("보헤미아")</f>
        <v>보헤미아</v>
      </c>
      <c r="J6744" t="str">
        <f>T("매드햇")</f>
        <v>매드햇</v>
      </c>
      <c r="K6744" t="str">
        <f>T("화력조선")</f>
        <v>화력조선</v>
      </c>
      <c r="L6744">
        <v>100</v>
      </c>
      <c r="M6744">
        <v>100</v>
      </c>
      <c r="N6744">
        <v>1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0</v>
      </c>
      <c r="AE6744">
        <v>0</v>
      </c>
      <c r="AF6744">
        <v>0</v>
      </c>
      <c r="AG6744">
        <v>0</v>
      </c>
      <c r="AH6744">
        <v>0</v>
      </c>
      <c r="AI6744">
        <v>100</v>
      </c>
      <c r="AJ6744">
        <v>1</v>
      </c>
      <c r="AK6744">
        <v>0</v>
      </c>
      <c r="AL6744">
        <v>0</v>
      </c>
      <c r="AM6744">
        <v>100</v>
      </c>
      <c r="AN6744">
        <v>0</v>
      </c>
      <c r="AO6744">
        <v>0</v>
      </c>
      <c r="AP6744">
        <v>0</v>
      </c>
      <c r="AQ6744">
        <v>0</v>
      </c>
      <c r="AS6744">
        <v>0</v>
      </c>
      <c r="AT6744">
        <v>0</v>
      </c>
      <c r="AV6744">
        <v>0</v>
      </c>
      <c r="AW6744">
        <v>0</v>
      </c>
      <c r="AY6744">
        <v>0</v>
      </c>
      <c r="AZ6744">
        <v>0</v>
      </c>
      <c r="BA6744">
        <v>70</v>
      </c>
      <c r="BE6744" t="str">
        <f>T("9791137006348")</f>
        <v>9791137006348</v>
      </c>
      <c r="BF6744" t="str">
        <f>T("N083088")</f>
        <v>N083088</v>
      </c>
      <c r="BG6744" t="str">
        <f>T("판타지 웹소설 &gt; 퓨전 판타지")</f>
        <v>판타지 웹소설 &gt; 퓨전 판타지</v>
      </c>
    </row>
    <row r="6745" spans="1:59">
      <c r="A6745" t="s">
        <v>60</v>
      </c>
      <c r="B6745" s="1">
        <v>46131</v>
      </c>
      <c r="C6745">
        <v>2378052051</v>
      </c>
      <c r="D6745">
        <v>2378052130</v>
      </c>
      <c r="E6745" t="str">
        <f>T("화력조선 79화")</f>
        <v>화력조선 79화</v>
      </c>
      <c r="F6745">
        <v>80</v>
      </c>
      <c r="G6745" t="str">
        <f>T("보헤미아")</f>
        <v>보헤미아</v>
      </c>
      <c r="J6745" t="str">
        <f>T("매드햇")</f>
        <v>매드햇</v>
      </c>
      <c r="K6745" t="str">
        <f>T("화력조선")</f>
        <v>화력조선</v>
      </c>
      <c r="L6745">
        <v>100</v>
      </c>
      <c r="M6745">
        <v>100</v>
      </c>
      <c r="N6745">
        <v>1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0</v>
      </c>
      <c r="AE6745">
        <v>0</v>
      </c>
      <c r="AF6745">
        <v>0</v>
      </c>
      <c r="AG6745">
        <v>0</v>
      </c>
      <c r="AH6745">
        <v>0</v>
      </c>
      <c r="AI6745">
        <v>100</v>
      </c>
      <c r="AJ6745">
        <v>1</v>
      </c>
      <c r="AK6745">
        <v>0</v>
      </c>
      <c r="AL6745">
        <v>0</v>
      </c>
      <c r="AM6745">
        <v>0</v>
      </c>
      <c r="AN6745">
        <v>0</v>
      </c>
      <c r="AO6745">
        <v>120</v>
      </c>
      <c r="AP6745">
        <v>-12</v>
      </c>
      <c r="AQ6745">
        <v>0</v>
      </c>
      <c r="AS6745">
        <v>0</v>
      </c>
      <c r="AT6745">
        <v>0</v>
      </c>
      <c r="AU6745">
        <v>120</v>
      </c>
      <c r="AV6745">
        <v>-12</v>
      </c>
      <c r="AW6745">
        <v>0</v>
      </c>
      <c r="AY6745">
        <v>0</v>
      </c>
      <c r="AZ6745">
        <v>0</v>
      </c>
      <c r="BA6745">
        <v>75.599999999999994</v>
      </c>
      <c r="BE6745" t="str">
        <f>T("9791137006348")</f>
        <v>9791137006348</v>
      </c>
      <c r="BF6745" t="str">
        <f>T("N083134")</f>
        <v>N083134</v>
      </c>
      <c r="BG6745" t="str">
        <f>T("판타지 웹소설 &gt; 퓨전 판타지")</f>
        <v>판타지 웹소설 &gt; 퓨전 판타지</v>
      </c>
    </row>
    <row r="6746" spans="1:59">
      <c r="A6746" t="s">
        <v>60</v>
      </c>
      <c r="B6746" s="1">
        <v>46131</v>
      </c>
      <c r="C6746">
        <v>2378052051</v>
      </c>
      <c r="D6746">
        <v>2378052085</v>
      </c>
      <c r="E6746" t="str">
        <f>T("화력조선 34화")</f>
        <v>화력조선 34화</v>
      </c>
      <c r="F6746">
        <v>35</v>
      </c>
      <c r="G6746" t="str">
        <f>T("보헤미아")</f>
        <v>보헤미아</v>
      </c>
      <c r="J6746" t="str">
        <f>T("매드햇")</f>
        <v>매드햇</v>
      </c>
      <c r="K6746" t="str">
        <f>T("화력조선")</f>
        <v>화력조선</v>
      </c>
      <c r="L6746">
        <v>100</v>
      </c>
      <c r="M6746">
        <v>100</v>
      </c>
      <c r="N6746">
        <v>1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0</v>
      </c>
      <c r="AE6746">
        <v>0</v>
      </c>
      <c r="AF6746">
        <v>0</v>
      </c>
      <c r="AG6746">
        <v>0</v>
      </c>
      <c r="AH6746">
        <v>0</v>
      </c>
      <c r="AI6746">
        <v>100</v>
      </c>
      <c r="AJ6746">
        <v>1</v>
      </c>
      <c r="AK6746">
        <v>0</v>
      </c>
      <c r="AL6746">
        <v>0</v>
      </c>
      <c r="AM6746">
        <v>100</v>
      </c>
      <c r="AN6746">
        <v>0</v>
      </c>
      <c r="AO6746">
        <v>0</v>
      </c>
      <c r="AP6746">
        <v>0</v>
      </c>
      <c r="AQ6746">
        <v>0</v>
      </c>
      <c r="AS6746">
        <v>0</v>
      </c>
      <c r="AT6746">
        <v>0</v>
      </c>
      <c r="AV6746">
        <v>0</v>
      </c>
      <c r="AW6746">
        <v>0</v>
      </c>
      <c r="AY6746">
        <v>0</v>
      </c>
      <c r="AZ6746">
        <v>0</v>
      </c>
      <c r="BA6746">
        <v>70</v>
      </c>
      <c r="BE6746" t="str">
        <f>T("9791137006348")</f>
        <v>9791137006348</v>
      </c>
      <c r="BF6746" t="str">
        <f>T("N083089")</f>
        <v>N083089</v>
      </c>
      <c r="BG6746" t="str">
        <f>T("판타지 웹소설 &gt; 퓨전 판타지")</f>
        <v>판타지 웹소설 &gt; 퓨전 판타지</v>
      </c>
    </row>
    <row r="6747" spans="1:59">
      <c r="A6747" t="s">
        <v>60</v>
      </c>
      <c r="B6747" s="1">
        <v>46131</v>
      </c>
      <c r="C6747">
        <v>2378052051</v>
      </c>
      <c r="D6747">
        <v>2378052131</v>
      </c>
      <c r="E6747" t="str">
        <f>T("화력조선 80화")</f>
        <v>화력조선 80화</v>
      </c>
      <c r="F6747">
        <v>81</v>
      </c>
      <c r="G6747" t="str">
        <f>T("보헤미아")</f>
        <v>보헤미아</v>
      </c>
      <c r="J6747" t="str">
        <f>T("매드햇")</f>
        <v>매드햇</v>
      </c>
      <c r="K6747" t="str">
        <f>T("화력조선")</f>
        <v>화력조선</v>
      </c>
      <c r="L6747">
        <v>100</v>
      </c>
      <c r="M6747">
        <v>100</v>
      </c>
      <c r="N6747">
        <v>1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0</v>
      </c>
      <c r="AE6747">
        <v>0</v>
      </c>
      <c r="AF6747">
        <v>0</v>
      </c>
      <c r="AG6747">
        <v>0</v>
      </c>
      <c r="AH6747">
        <v>0</v>
      </c>
      <c r="AI6747">
        <v>100</v>
      </c>
      <c r="AJ6747">
        <v>1</v>
      </c>
      <c r="AK6747">
        <v>0</v>
      </c>
      <c r="AL6747">
        <v>0</v>
      </c>
      <c r="AM6747">
        <v>0</v>
      </c>
      <c r="AN6747">
        <v>0</v>
      </c>
      <c r="AO6747">
        <v>120</v>
      </c>
      <c r="AP6747">
        <v>-12</v>
      </c>
      <c r="AQ6747">
        <v>0</v>
      </c>
      <c r="AS6747">
        <v>0</v>
      </c>
      <c r="AT6747">
        <v>0</v>
      </c>
      <c r="AU6747">
        <v>120</v>
      </c>
      <c r="AV6747">
        <v>-12</v>
      </c>
      <c r="AW6747">
        <v>0</v>
      </c>
      <c r="AY6747">
        <v>0</v>
      </c>
      <c r="AZ6747">
        <v>0</v>
      </c>
      <c r="BA6747">
        <v>75.599999999999994</v>
      </c>
      <c r="BE6747" t="str">
        <f>T("9791137006348")</f>
        <v>9791137006348</v>
      </c>
      <c r="BF6747" t="str">
        <f>T("N083135")</f>
        <v>N083135</v>
      </c>
      <c r="BG6747" t="str">
        <f>T("판타지 웹소설 &gt; 퓨전 판타지")</f>
        <v>판타지 웹소설 &gt; 퓨전 판타지</v>
      </c>
    </row>
    <row r="6748" spans="1:59">
      <c r="A6748" t="s">
        <v>60</v>
      </c>
      <c r="B6748" s="1">
        <v>46131</v>
      </c>
      <c r="C6748">
        <v>2378052051</v>
      </c>
      <c r="D6748">
        <v>2378052086</v>
      </c>
      <c r="E6748" t="str">
        <f>T("화력조선 35화")</f>
        <v>화력조선 35화</v>
      </c>
      <c r="F6748">
        <v>36</v>
      </c>
      <c r="G6748" t="str">
        <f>T("보헤미아")</f>
        <v>보헤미아</v>
      </c>
      <c r="J6748" t="str">
        <f>T("매드햇")</f>
        <v>매드햇</v>
      </c>
      <c r="K6748" t="str">
        <f>T("화력조선")</f>
        <v>화력조선</v>
      </c>
      <c r="L6748">
        <v>100</v>
      </c>
      <c r="M6748">
        <v>100</v>
      </c>
      <c r="N6748">
        <v>1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0</v>
      </c>
      <c r="AE6748">
        <v>0</v>
      </c>
      <c r="AF6748">
        <v>0</v>
      </c>
      <c r="AG6748">
        <v>0</v>
      </c>
      <c r="AH6748">
        <v>0</v>
      </c>
      <c r="AI6748">
        <v>100</v>
      </c>
      <c r="AJ6748">
        <v>1</v>
      </c>
      <c r="AK6748">
        <v>0</v>
      </c>
      <c r="AL6748">
        <v>0</v>
      </c>
      <c r="AM6748">
        <v>100</v>
      </c>
      <c r="AN6748">
        <v>0</v>
      </c>
      <c r="AO6748">
        <v>0</v>
      </c>
      <c r="AP6748">
        <v>0</v>
      </c>
      <c r="AQ6748">
        <v>0</v>
      </c>
      <c r="AS6748">
        <v>0</v>
      </c>
      <c r="AT6748">
        <v>0</v>
      </c>
      <c r="AV6748">
        <v>0</v>
      </c>
      <c r="AW6748">
        <v>0</v>
      </c>
      <c r="AY6748">
        <v>0</v>
      </c>
      <c r="AZ6748">
        <v>0</v>
      </c>
      <c r="BA6748">
        <v>70</v>
      </c>
      <c r="BE6748" t="str">
        <f>T("9791137006348")</f>
        <v>9791137006348</v>
      </c>
      <c r="BF6748" t="str">
        <f>T("N083090")</f>
        <v>N083090</v>
      </c>
      <c r="BG6748" t="str">
        <f>T("판타지 웹소설 &gt; 퓨전 판타지")</f>
        <v>판타지 웹소설 &gt; 퓨전 판타지</v>
      </c>
    </row>
    <row r="6749" spans="1:59">
      <c r="A6749" t="s">
        <v>60</v>
      </c>
      <c r="B6749" s="1">
        <v>46131</v>
      </c>
      <c r="C6749">
        <v>2378052051</v>
      </c>
      <c r="D6749">
        <v>2378052132</v>
      </c>
      <c r="E6749" t="str">
        <f>T("화력조선 81화")</f>
        <v>화력조선 81화</v>
      </c>
      <c r="F6749">
        <v>82</v>
      </c>
      <c r="G6749" t="str">
        <f>T("보헤미아")</f>
        <v>보헤미아</v>
      </c>
      <c r="J6749" t="str">
        <f>T("매드햇")</f>
        <v>매드햇</v>
      </c>
      <c r="K6749" t="str">
        <f>T("화력조선")</f>
        <v>화력조선</v>
      </c>
      <c r="L6749">
        <v>100</v>
      </c>
      <c r="M6749">
        <v>100</v>
      </c>
      <c r="N6749">
        <v>1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0</v>
      </c>
      <c r="AE6749">
        <v>0</v>
      </c>
      <c r="AF6749">
        <v>0</v>
      </c>
      <c r="AG6749">
        <v>0</v>
      </c>
      <c r="AH6749">
        <v>0</v>
      </c>
      <c r="AI6749">
        <v>100</v>
      </c>
      <c r="AJ6749">
        <v>1</v>
      </c>
      <c r="AK6749">
        <v>0</v>
      </c>
      <c r="AL6749">
        <v>0</v>
      </c>
      <c r="AM6749">
        <v>0</v>
      </c>
      <c r="AN6749">
        <v>0</v>
      </c>
      <c r="AO6749">
        <v>120</v>
      </c>
      <c r="AP6749">
        <v>-12</v>
      </c>
      <c r="AQ6749">
        <v>0</v>
      </c>
      <c r="AS6749">
        <v>0</v>
      </c>
      <c r="AT6749">
        <v>0</v>
      </c>
      <c r="AU6749">
        <v>120</v>
      </c>
      <c r="AV6749">
        <v>-12</v>
      </c>
      <c r="AW6749">
        <v>0</v>
      </c>
      <c r="AY6749">
        <v>0</v>
      </c>
      <c r="AZ6749">
        <v>0</v>
      </c>
      <c r="BA6749">
        <v>75.599999999999994</v>
      </c>
      <c r="BE6749" t="str">
        <f>T("9791137006348")</f>
        <v>9791137006348</v>
      </c>
      <c r="BF6749" t="str">
        <f>T("N083136")</f>
        <v>N083136</v>
      </c>
      <c r="BG6749" t="str">
        <f>T("판타지 웹소설 &gt; 퓨전 판타지")</f>
        <v>판타지 웹소설 &gt; 퓨전 판타지</v>
      </c>
    </row>
    <row r="6750" spans="1:59">
      <c r="A6750" t="s">
        <v>60</v>
      </c>
      <c r="B6750" s="1">
        <v>46131</v>
      </c>
      <c r="C6750">
        <v>2378052051</v>
      </c>
      <c r="D6750">
        <v>2378052133</v>
      </c>
      <c r="E6750" t="str">
        <f>T("화력조선 82화")</f>
        <v>화력조선 82화</v>
      </c>
      <c r="F6750">
        <v>83</v>
      </c>
      <c r="G6750" t="str">
        <f>T("보헤미아")</f>
        <v>보헤미아</v>
      </c>
      <c r="J6750" t="str">
        <f>T("매드햇")</f>
        <v>매드햇</v>
      </c>
      <c r="K6750" t="str">
        <f>T("화력조선")</f>
        <v>화력조선</v>
      </c>
      <c r="L6750">
        <v>100</v>
      </c>
      <c r="M6750">
        <v>100</v>
      </c>
      <c r="N6750">
        <v>1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0</v>
      </c>
      <c r="AE6750">
        <v>0</v>
      </c>
      <c r="AF6750">
        <v>0</v>
      </c>
      <c r="AG6750">
        <v>0</v>
      </c>
      <c r="AH6750">
        <v>0</v>
      </c>
      <c r="AI6750">
        <v>100</v>
      </c>
      <c r="AJ6750">
        <v>1</v>
      </c>
      <c r="AK6750">
        <v>0</v>
      </c>
      <c r="AL6750">
        <v>0</v>
      </c>
      <c r="AM6750">
        <v>0</v>
      </c>
      <c r="AN6750">
        <v>0</v>
      </c>
      <c r="AO6750">
        <v>120</v>
      </c>
      <c r="AP6750">
        <v>-12</v>
      </c>
      <c r="AQ6750">
        <v>0</v>
      </c>
      <c r="AS6750">
        <v>0</v>
      </c>
      <c r="AT6750">
        <v>0</v>
      </c>
      <c r="AU6750">
        <v>120</v>
      </c>
      <c r="AV6750">
        <v>-12</v>
      </c>
      <c r="AW6750">
        <v>0</v>
      </c>
      <c r="AY6750">
        <v>0</v>
      </c>
      <c r="AZ6750">
        <v>0</v>
      </c>
      <c r="BA6750">
        <v>75.599999999999994</v>
      </c>
      <c r="BE6750" t="str">
        <f>T("9791137006348")</f>
        <v>9791137006348</v>
      </c>
      <c r="BF6750" t="str">
        <f>T("N083137")</f>
        <v>N083137</v>
      </c>
      <c r="BG6750" t="str">
        <f>T("판타지 웹소설 &gt; 퓨전 판타지")</f>
        <v>판타지 웹소설 &gt; 퓨전 판타지</v>
      </c>
    </row>
    <row r="6751" spans="1:59">
      <c r="A6751" t="s">
        <v>60</v>
      </c>
      <c r="B6751" s="1">
        <v>46131</v>
      </c>
      <c r="C6751">
        <v>2378052051</v>
      </c>
      <c r="D6751">
        <v>2378052087</v>
      </c>
      <c r="E6751" t="str">
        <f>T("화력조선 36화")</f>
        <v>화력조선 36화</v>
      </c>
      <c r="F6751">
        <v>37</v>
      </c>
      <c r="G6751" t="str">
        <f>T("보헤미아")</f>
        <v>보헤미아</v>
      </c>
      <c r="J6751" t="str">
        <f>T("매드햇")</f>
        <v>매드햇</v>
      </c>
      <c r="K6751" t="str">
        <f>T("화력조선")</f>
        <v>화력조선</v>
      </c>
      <c r="L6751">
        <v>100</v>
      </c>
      <c r="M6751">
        <v>100</v>
      </c>
      <c r="N6751">
        <v>1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0</v>
      </c>
      <c r="AE6751">
        <v>0</v>
      </c>
      <c r="AF6751">
        <v>0</v>
      </c>
      <c r="AG6751">
        <v>0</v>
      </c>
      <c r="AH6751">
        <v>0</v>
      </c>
      <c r="AI6751">
        <v>100</v>
      </c>
      <c r="AJ6751">
        <v>1</v>
      </c>
      <c r="AK6751">
        <v>0</v>
      </c>
      <c r="AL6751">
        <v>0</v>
      </c>
      <c r="AM6751">
        <v>100</v>
      </c>
      <c r="AN6751">
        <v>0</v>
      </c>
      <c r="AO6751">
        <v>0</v>
      </c>
      <c r="AP6751">
        <v>0</v>
      </c>
      <c r="AQ6751">
        <v>0</v>
      </c>
      <c r="AS6751">
        <v>0</v>
      </c>
      <c r="AT6751">
        <v>0</v>
      </c>
      <c r="AV6751">
        <v>0</v>
      </c>
      <c r="AW6751">
        <v>0</v>
      </c>
      <c r="AY6751">
        <v>0</v>
      </c>
      <c r="AZ6751">
        <v>0</v>
      </c>
      <c r="BA6751">
        <v>70</v>
      </c>
      <c r="BE6751" t="str">
        <f>T("9791137006348")</f>
        <v>9791137006348</v>
      </c>
      <c r="BF6751" t="str">
        <f>T("N083091")</f>
        <v>N083091</v>
      </c>
      <c r="BG6751" t="str">
        <f>T("판타지 웹소설 &gt; 퓨전 판타지")</f>
        <v>판타지 웹소설 &gt; 퓨전 판타지</v>
      </c>
    </row>
    <row r="6752" spans="1:59">
      <c r="A6752" t="s">
        <v>60</v>
      </c>
      <c r="B6752" s="1">
        <v>46131</v>
      </c>
      <c r="C6752">
        <v>2378052051</v>
      </c>
      <c r="D6752">
        <v>2378052088</v>
      </c>
      <c r="E6752" t="str">
        <f>T("화력조선 37화")</f>
        <v>화력조선 37화</v>
      </c>
      <c r="F6752">
        <v>38</v>
      </c>
      <c r="G6752" t="str">
        <f>T("보헤미아")</f>
        <v>보헤미아</v>
      </c>
      <c r="J6752" t="str">
        <f>T("매드햇")</f>
        <v>매드햇</v>
      </c>
      <c r="K6752" t="str">
        <f>T("화력조선")</f>
        <v>화력조선</v>
      </c>
      <c r="L6752">
        <v>100</v>
      </c>
      <c r="M6752">
        <v>100</v>
      </c>
      <c r="N6752">
        <v>1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0</v>
      </c>
      <c r="AE6752">
        <v>0</v>
      </c>
      <c r="AF6752">
        <v>0</v>
      </c>
      <c r="AG6752">
        <v>0</v>
      </c>
      <c r="AH6752">
        <v>0</v>
      </c>
      <c r="AI6752">
        <v>100</v>
      </c>
      <c r="AJ6752">
        <v>1</v>
      </c>
      <c r="AK6752">
        <v>0</v>
      </c>
      <c r="AL6752">
        <v>0</v>
      </c>
      <c r="AM6752">
        <v>100</v>
      </c>
      <c r="AN6752">
        <v>0</v>
      </c>
      <c r="AO6752">
        <v>0</v>
      </c>
      <c r="AP6752">
        <v>0</v>
      </c>
      <c r="AQ6752">
        <v>0</v>
      </c>
      <c r="AS6752">
        <v>0</v>
      </c>
      <c r="AT6752">
        <v>0</v>
      </c>
      <c r="AV6752">
        <v>0</v>
      </c>
      <c r="AW6752">
        <v>0</v>
      </c>
      <c r="AY6752">
        <v>0</v>
      </c>
      <c r="AZ6752">
        <v>0</v>
      </c>
      <c r="BA6752">
        <v>70</v>
      </c>
      <c r="BE6752" t="str">
        <f>T("9791137006348")</f>
        <v>9791137006348</v>
      </c>
      <c r="BF6752" t="str">
        <f>T("N083092")</f>
        <v>N083092</v>
      </c>
      <c r="BG6752" t="str">
        <f>T("판타지 웹소설 &gt; 퓨전 판타지")</f>
        <v>판타지 웹소설 &gt; 퓨전 판타지</v>
      </c>
    </row>
    <row r="6753" spans="1:59">
      <c r="A6753" t="s">
        <v>60</v>
      </c>
      <c r="B6753" s="1">
        <v>46131</v>
      </c>
      <c r="C6753">
        <v>2378052051</v>
      </c>
      <c r="D6753">
        <v>2378052089</v>
      </c>
      <c r="E6753" t="str">
        <f>T("화력조선 38화")</f>
        <v>화력조선 38화</v>
      </c>
      <c r="F6753">
        <v>39</v>
      </c>
      <c r="G6753" t="str">
        <f>T("보헤미아")</f>
        <v>보헤미아</v>
      </c>
      <c r="J6753" t="str">
        <f>T("매드햇")</f>
        <v>매드햇</v>
      </c>
      <c r="K6753" t="str">
        <f>T("화력조선")</f>
        <v>화력조선</v>
      </c>
      <c r="L6753">
        <v>100</v>
      </c>
      <c r="M6753">
        <v>100</v>
      </c>
      <c r="N6753">
        <v>1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0</v>
      </c>
      <c r="AE6753">
        <v>0</v>
      </c>
      <c r="AF6753">
        <v>0</v>
      </c>
      <c r="AG6753">
        <v>0</v>
      </c>
      <c r="AH6753">
        <v>0</v>
      </c>
      <c r="AI6753">
        <v>100</v>
      </c>
      <c r="AJ6753">
        <v>1</v>
      </c>
      <c r="AK6753">
        <v>0</v>
      </c>
      <c r="AL6753">
        <v>0</v>
      </c>
      <c r="AM6753">
        <v>100</v>
      </c>
      <c r="AN6753">
        <v>0</v>
      </c>
      <c r="AO6753">
        <v>0</v>
      </c>
      <c r="AP6753">
        <v>0</v>
      </c>
      <c r="AQ6753">
        <v>0</v>
      </c>
      <c r="AS6753">
        <v>0</v>
      </c>
      <c r="AT6753">
        <v>0</v>
      </c>
      <c r="AV6753">
        <v>0</v>
      </c>
      <c r="AW6753">
        <v>0</v>
      </c>
      <c r="AY6753">
        <v>0</v>
      </c>
      <c r="AZ6753">
        <v>0</v>
      </c>
      <c r="BA6753">
        <v>70</v>
      </c>
      <c r="BE6753" t="str">
        <f>T("9791137006348")</f>
        <v>9791137006348</v>
      </c>
      <c r="BF6753" t="str">
        <f>T("N083093")</f>
        <v>N083093</v>
      </c>
      <c r="BG6753" t="str">
        <f>T("판타지 웹소설 &gt; 퓨전 판타지")</f>
        <v>판타지 웹소설 &gt; 퓨전 판타지</v>
      </c>
    </row>
    <row r="6754" spans="1:59">
      <c r="A6754" t="s">
        <v>60</v>
      </c>
      <c r="B6754" s="1">
        <v>46131</v>
      </c>
      <c r="C6754">
        <v>2378052051</v>
      </c>
      <c r="D6754">
        <v>2378052090</v>
      </c>
      <c r="E6754" t="str">
        <f>T("화력조선 39화")</f>
        <v>화력조선 39화</v>
      </c>
      <c r="F6754">
        <v>40</v>
      </c>
      <c r="G6754" t="str">
        <f>T("보헤미아")</f>
        <v>보헤미아</v>
      </c>
      <c r="J6754" t="str">
        <f>T("매드햇")</f>
        <v>매드햇</v>
      </c>
      <c r="K6754" t="str">
        <f>T("화력조선")</f>
        <v>화력조선</v>
      </c>
      <c r="L6754">
        <v>100</v>
      </c>
      <c r="M6754">
        <v>100</v>
      </c>
      <c r="N6754">
        <v>1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0</v>
      </c>
      <c r="AE6754">
        <v>0</v>
      </c>
      <c r="AF6754">
        <v>0</v>
      </c>
      <c r="AG6754">
        <v>0</v>
      </c>
      <c r="AH6754">
        <v>0</v>
      </c>
      <c r="AI6754">
        <v>100</v>
      </c>
      <c r="AJ6754">
        <v>1</v>
      </c>
      <c r="AK6754">
        <v>0</v>
      </c>
      <c r="AL6754">
        <v>0</v>
      </c>
      <c r="AM6754">
        <v>100</v>
      </c>
      <c r="AN6754">
        <v>0</v>
      </c>
      <c r="AO6754">
        <v>0</v>
      </c>
      <c r="AP6754">
        <v>0</v>
      </c>
      <c r="AQ6754">
        <v>0</v>
      </c>
      <c r="AS6754">
        <v>0</v>
      </c>
      <c r="AT6754">
        <v>0</v>
      </c>
      <c r="AV6754">
        <v>0</v>
      </c>
      <c r="AW6754">
        <v>0</v>
      </c>
      <c r="AY6754">
        <v>0</v>
      </c>
      <c r="AZ6754">
        <v>0</v>
      </c>
      <c r="BA6754">
        <v>70</v>
      </c>
      <c r="BE6754" t="str">
        <f>T("9791137006348")</f>
        <v>9791137006348</v>
      </c>
      <c r="BF6754" t="str">
        <f>T("N083094")</f>
        <v>N083094</v>
      </c>
      <c r="BG6754" t="str">
        <f>T("판타지 웹소설 &gt; 퓨전 판타지")</f>
        <v>판타지 웹소설 &gt; 퓨전 판타지</v>
      </c>
    </row>
    <row r="6755" spans="1:59">
      <c r="A6755" t="s">
        <v>60</v>
      </c>
      <c r="B6755" s="1">
        <v>46131</v>
      </c>
      <c r="C6755">
        <v>2378052051</v>
      </c>
      <c r="D6755">
        <v>2378052091</v>
      </c>
      <c r="E6755" t="str">
        <f>T("화력조선 40화")</f>
        <v>화력조선 40화</v>
      </c>
      <c r="F6755">
        <v>41</v>
      </c>
      <c r="G6755" t="str">
        <f>T("보헤미아")</f>
        <v>보헤미아</v>
      </c>
      <c r="J6755" t="str">
        <f>T("매드햇")</f>
        <v>매드햇</v>
      </c>
      <c r="K6755" t="str">
        <f>T("화력조선")</f>
        <v>화력조선</v>
      </c>
      <c r="L6755">
        <v>100</v>
      </c>
      <c r="M6755">
        <v>100</v>
      </c>
      <c r="N6755">
        <v>1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0</v>
      </c>
      <c r="AE6755">
        <v>0</v>
      </c>
      <c r="AF6755">
        <v>0</v>
      </c>
      <c r="AG6755">
        <v>0</v>
      </c>
      <c r="AH6755">
        <v>0</v>
      </c>
      <c r="AI6755">
        <v>100</v>
      </c>
      <c r="AJ6755">
        <v>1</v>
      </c>
      <c r="AK6755">
        <v>0</v>
      </c>
      <c r="AL6755">
        <v>0</v>
      </c>
      <c r="AM6755">
        <v>100</v>
      </c>
      <c r="AN6755">
        <v>0</v>
      </c>
      <c r="AO6755">
        <v>0</v>
      </c>
      <c r="AP6755">
        <v>0</v>
      </c>
      <c r="AQ6755">
        <v>0</v>
      </c>
      <c r="AS6755">
        <v>0</v>
      </c>
      <c r="AT6755">
        <v>0</v>
      </c>
      <c r="AV6755">
        <v>0</v>
      </c>
      <c r="AW6755">
        <v>0</v>
      </c>
      <c r="AY6755">
        <v>0</v>
      </c>
      <c r="AZ6755">
        <v>0</v>
      </c>
      <c r="BA6755">
        <v>70</v>
      </c>
      <c r="BE6755" t="str">
        <f>T("9791137006348")</f>
        <v>9791137006348</v>
      </c>
      <c r="BF6755" t="str">
        <f>T("N083095")</f>
        <v>N083095</v>
      </c>
      <c r="BG6755" t="str">
        <f>T("판타지 웹소설 &gt; 퓨전 판타지")</f>
        <v>판타지 웹소설 &gt; 퓨전 판타지</v>
      </c>
    </row>
    <row r="6756" spans="1:59">
      <c r="A6756" t="s">
        <v>60</v>
      </c>
      <c r="B6756" s="1">
        <v>46131</v>
      </c>
      <c r="C6756">
        <v>2378052051</v>
      </c>
      <c r="D6756">
        <v>2378052134</v>
      </c>
      <c r="E6756" t="str">
        <f>T("화력조선 83화")</f>
        <v>화력조선 83화</v>
      </c>
      <c r="F6756">
        <v>84</v>
      </c>
      <c r="G6756" t="str">
        <f>T("보헤미아")</f>
        <v>보헤미아</v>
      </c>
      <c r="J6756" t="str">
        <f>T("매드햇")</f>
        <v>매드햇</v>
      </c>
      <c r="K6756" t="str">
        <f>T("화력조선")</f>
        <v>화력조선</v>
      </c>
      <c r="L6756">
        <v>100</v>
      </c>
      <c r="M6756">
        <v>100</v>
      </c>
      <c r="N6756">
        <v>1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0</v>
      </c>
      <c r="AE6756">
        <v>0</v>
      </c>
      <c r="AF6756">
        <v>0</v>
      </c>
      <c r="AG6756">
        <v>0</v>
      </c>
      <c r="AH6756">
        <v>0</v>
      </c>
      <c r="AI6756">
        <v>100</v>
      </c>
      <c r="AJ6756">
        <v>1</v>
      </c>
      <c r="AK6756">
        <v>0</v>
      </c>
      <c r="AL6756">
        <v>0</v>
      </c>
      <c r="AM6756">
        <v>0</v>
      </c>
      <c r="AN6756">
        <v>0</v>
      </c>
      <c r="AO6756">
        <v>120</v>
      </c>
      <c r="AP6756">
        <v>-12</v>
      </c>
      <c r="AQ6756">
        <v>0</v>
      </c>
      <c r="AS6756">
        <v>0</v>
      </c>
      <c r="AT6756">
        <v>0</v>
      </c>
      <c r="AU6756">
        <v>120</v>
      </c>
      <c r="AV6756">
        <v>-12</v>
      </c>
      <c r="AW6756">
        <v>0</v>
      </c>
      <c r="AY6756">
        <v>0</v>
      </c>
      <c r="AZ6756">
        <v>0</v>
      </c>
      <c r="BA6756">
        <v>75.599999999999994</v>
      </c>
      <c r="BE6756" t="str">
        <f>T("9791137006348")</f>
        <v>9791137006348</v>
      </c>
      <c r="BF6756" t="str">
        <f>T("N083138")</f>
        <v>N083138</v>
      </c>
      <c r="BG6756" t="str">
        <f>T("판타지 웹소설 &gt; 퓨전 판타지")</f>
        <v>판타지 웹소설 &gt; 퓨전 판타지</v>
      </c>
    </row>
    <row r="6757" spans="1:59">
      <c r="A6757" t="s">
        <v>60</v>
      </c>
      <c r="B6757" s="1">
        <v>46131</v>
      </c>
      <c r="C6757">
        <v>2378052051</v>
      </c>
      <c r="D6757">
        <v>2378052135</v>
      </c>
      <c r="E6757" t="str">
        <f>T("화력조선 84화")</f>
        <v>화력조선 84화</v>
      </c>
      <c r="F6757">
        <v>85</v>
      </c>
      <c r="G6757" t="str">
        <f>T("보헤미아")</f>
        <v>보헤미아</v>
      </c>
      <c r="J6757" t="str">
        <f>T("매드햇")</f>
        <v>매드햇</v>
      </c>
      <c r="K6757" t="str">
        <f>T("화력조선")</f>
        <v>화력조선</v>
      </c>
      <c r="L6757">
        <v>100</v>
      </c>
      <c r="M6757">
        <v>100</v>
      </c>
      <c r="N6757">
        <v>1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0</v>
      </c>
      <c r="AE6757">
        <v>0</v>
      </c>
      <c r="AF6757">
        <v>0</v>
      </c>
      <c r="AG6757">
        <v>0</v>
      </c>
      <c r="AH6757">
        <v>0</v>
      </c>
      <c r="AI6757">
        <v>100</v>
      </c>
      <c r="AJ6757">
        <v>1</v>
      </c>
      <c r="AK6757">
        <v>0</v>
      </c>
      <c r="AL6757">
        <v>0</v>
      </c>
      <c r="AM6757">
        <v>0</v>
      </c>
      <c r="AN6757">
        <v>0</v>
      </c>
      <c r="AO6757">
        <v>120</v>
      </c>
      <c r="AP6757">
        <v>-12</v>
      </c>
      <c r="AQ6757">
        <v>0</v>
      </c>
      <c r="AS6757">
        <v>0</v>
      </c>
      <c r="AT6757">
        <v>0</v>
      </c>
      <c r="AU6757">
        <v>120</v>
      </c>
      <c r="AV6757">
        <v>-12</v>
      </c>
      <c r="AW6757">
        <v>0</v>
      </c>
      <c r="AY6757">
        <v>0</v>
      </c>
      <c r="AZ6757">
        <v>0</v>
      </c>
      <c r="BA6757">
        <v>75.599999999999994</v>
      </c>
      <c r="BE6757" t="str">
        <f>T("9791137006348")</f>
        <v>9791137006348</v>
      </c>
      <c r="BF6757" t="str">
        <f>T("N083139")</f>
        <v>N083139</v>
      </c>
      <c r="BG6757" t="str">
        <f>T("판타지 웹소설 &gt; 퓨전 판타지")</f>
        <v>판타지 웹소설 &gt; 퓨전 판타지</v>
      </c>
    </row>
    <row r="6758" spans="1:59">
      <c r="A6758" t="s">
        <v>60</v>
      </c>
      <c r="B6758" s="1">
        <v>46131</v>
      </c>
      <c r="C6758">
        <v>2378052051</v>
      </c>
      <c r="D6758">
        <v>2378052136</v>
      </c>
      <c r="E6758" t="str">
        <f>T("화력조선 85화")</f>
        <v>화력조선 85화</v>
      </c>
      <c r="F6758">
        <v>86</v>
      </c>
      <c r="G6758" t="str">
        <f>T("보헤미아")</f>
        <v>보헤미아</v>
      </c>
      <c r="J6758" t="str">
        <f>T("매드햇")</f>
        <v>매드햇</v>
      </c>
      <c r="K6758" t="str">
        <f>T("화력조선")</f>
        <v>화력조선</v>
      </c>
      <c r="L6758">
        <v>100</v>
      </c>
      <c r="M6758">
        <v>100</v>
      </c>
      <c r="N6758">
        <v>1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0</v>
      </c>
      <c r="AE6758">
        <v>0</v>
      </c>
      <c r="AF6758">
        <v>0</v>
      </c>
      <c r="AG6758">
        <v>0</v>
      </c>
      <c r="AH6758">
        <v>0</v>
      </c>
      <c r="AI6758">
        <v>100</v>
      </c>
      <c r="AJ6758">
        <v>1</v>
      </c>
      <c r="AK6758">
        <v>0</v>
      </c>
      <c r="AL6758">
        <v>0</v>
      </c>
      <c r="AM6758">
        <v>0</v>
      </c>
      <c r="AN6758">
        <v>0</v>
      </c>
      <c r="AO6758">
        <v>120</v>
      </c>
      <c r="AP6758">
        <v>-12</v>
      </c>
      <c r="AQ6758">
        <v>0</v>
      </c>
      <c r="AS6758">
        <v>0</v>
      </c>
      <c r="AT6758">
        <v>0</v>
      </c>
      <c r="AU6758">
        <v>120</v>
      </c>
      <c r="AV6758">
        <v>-12</v>
      </c>
      <c r="AW6758">
        <v>0</v>
      </c>
      <c r="AY6758">
        <v>0</v>
      </c>
      <c r="AZ6758">
        <v>0</v>
      </c>
      <c r="BA6758">
        <v>75.599999999999994</v>
      </c>
      <c r="BE6758" t="str">
        <f>T("9791137006348")</f>
        <v>9791137006348</v>
      </c>
      <c r="BF6758" t="str">
        <f>T("N083140")</f>
        <v>N083140</v>
      </c>
      <c r="BG6758" t="str">
        <f>T("판타지 웹소설 &gt; 퓨전 판타지")</f>
        <v>판타지 웹소설 &gt; 퓨전 판타지</v>
      </c>
    </row>
    <row r="6759" spans="1:59">
      <c r="A6759" t="s">
        <v>60</v>
      </c>
      <c r="B6759" s="1">
        <v>46131</v>
      </c>
      <c r="C6759">
        <v>2378052051</v>
      </c>
      <c r="D6759">
        <v>2378052092</v>
      </c>
      <c r="E6759" t="str">
        <f>T("화력조선 41화")</f>
        <v>화력조선 41화</v>
      </c>
      <c r="F6759">
        <v>42</v>
      </c>
      <c r="G6759" t="str">
        <f>T("보헤미아")</f>
        <v>보헤미아</v>
      </c>
      <c r="J6759" t="str">
        <f>T("매드햇")</f>
        <v>매드햇</v>
      </c>
      <c r="K6759" t="str">
        <f>T("화력조선")</f>
        <v>화력조선</v>
      </c>
      <c r="L6759">
        <v>100</v>
      </c>
      <c r="M6759">
        <v>100</v>
      </c>
      <c r="N6759">
        <v>1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0</v>
      </c>
      <c r="AE6759">
        <v>0</v>
      </c>
      <c r="AF6759">
        <v>0</v>
      </c>
      <c r="AG6759">
        <v>0</v>
      </c>
      <c r="AH6759">
        <v>0</v>
      </c>
      <c r="AI6759">
        <v>100</v>
      </c>
      <c r="AJ6759">
        <v>1</v>
      </c>
      <c r="AK6759">
        <v>0</v>
      </c>
      <c r="AL6759">
        <v>0</v>
      </c>
      <c r="AM6759">
        <v>100</v>
      </c>
      <c r="AN6759">
        <v>0</v>
      </c>
      <c r="AO6759">
        <v>0</v>
      </c>
      <c r="AP6759">
        <v>0</v>
      </c>
      <c r="AQ6759">
        <v>0</v>
      </c>
      <c r="AS6759">
        <v>0</v>
      </c>
      <c r="AT6759">
        <v>0</v>
      </c>
      <c r="AV6759">
        <v>0</v>
      </c>
      <c r="AW6759">
        <v>0</v>
      </c>
      <c r="AY6759">
        <v>0</v>
      </c>
      <c r="AZ6759">
        <v>0</v>
      </c>
      <c r="BA6759">
        <v>70</v>
      </c>
      <c r="BE6759" t="str">
        <f>T("9791137006348")</f>
        <v>9791137006348</v>
      </c>
      <c r="BF6759" t="str">
        <f>T("N083096")</f>
        <v>N083096</v>
      </c>
      <c r="BG6759" t="str">
        <f>T("판타지 웹소설 &gt; 퓨전 판타지")</f>
        <v>판타지 웹소설 &gt; 퓨전 판타지</v>
      </c>
    </row>
    <row r="6760" spans="1:59">
      <c r="A6760" t="s">
        <v>60</v>
      </c>
      <c r="B6760" s="1">
        <v>46131</v>
      </c>
      <c r="C6760">
        <v>2378052051</v>
      </c>
      <c r="D6760">
        <v>2378052093</v>
      </c>
      <c r="E6760" t="str">
        <f>T("화력조선 42화")</f>
        <v>화력조선 42화</v>
      </c>
      <c r="F6760">
        <v>43</v>
      </c>
      <c r="G6760" t="str">
        <f>T("보헤미아")</f>
        <v>보헤미아</v>
      </c>
      <c r="J6760" t="str">
        <f>T("매드햇")</f>
        <v>매드햇</v>
      </c>
      <c r="K6760" t="str">
        <f>T("화력조선")</f>
        <v>화력조선</v>
      </c>
      <c r="L6760">
        <v>100</v>
      </c>
      <c r="M6760">
        <v>100</v>
      </c>
      <c r="N6760">
        <v>1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0</v>
      </c>
      <c r="AE6760">
        <v>0</v>
      </c>
      <c r="AF6760">
        <v>0</v>
      </c>
      <c r="AG6760">
        <v>0</v>
      </c>
      <c r="AH6760">
        <v>0</v>
      </c>
      <c r="AI6760">
        <v>100</v>
      </c>
      <c r="AJ6760">
        <v>1</v>
      </c>
      <c r="AK6760">
        <v>0</v>
      </c>
      <c r="AL6760">
        <v>0</v>
      </c>
      <c r="AM6760">
        <v>100</v>
      </c>
      <c r="AN6760">
        <v>0</v>
      </c>
      <c r="AO6760">
        <v>0</v>
      </c>
      <c r="AP6760">
        <v>0</v>
      </c>
      <c r="AQ6760">
        <v>0</v>
      </c>
      <c r="AS6760">
        <v>0</v>
      </c>
      <c r="AT6760">
        <v>0</v>
      </c>
      <c r="AV6760">
        <v>0</v>
      </c>
      <c r="AW6760">
        <v>0</v>
      </c>
      <c r="AY6760">
        <v>0</v>
      </c>
      <c r="AZ6760">
        <v>0</v>
      </c>
      <c r="BA6760">
        <v>70</v>
      </c>
      <c r="BE6760" t="str">
        <f>T("9791137006348")</f>
        <v>9791137006348</v>
      </c>
      <c r="BF6760" t="str">
        <f>T("N083097")</f>
        <v>N083097</v>
      </c>
      <c r="BG6760" t="str">
        <f>T("판타지 웹소설 &gt; 퓨전 판타지")</f>
        <v>판타지 웹소설 &gt; 퓨전 판타지</v>
      </c>
    </row>
    <row r="6761" spans="1:59">
      <c r="A6761" t="s">
        <v>60</v>
      </c>
      <c r="B6761" s="1">
        <v>46131</v>
      </c>
      <c r="C6761">
        <v>2378052051</v>
      </c>
      <c r="D6761">
        <v>2378052137</v>
      </c>
      <c r="E6761" t="str">
        <f>T("화력조선 86화")</f>
        <v>화력조선 86화</v>
      </c>
      <c r="F6761">
        <v>87</v>
      </c>
      <c r="G6761" t="str">
        <f>T("보헤미아")</f>
        <v>보헤미아</v>
      </c>
      <c r="J6761" t="str">
        <f>T("매드햇")</f>
        <v>매드햇</v>
      </c>
      <c r="K6761" t="str">
        <f>T("화력조선")</f>
        <v>화력조선</v>
      </c>
      <c r="L6761">
        <v>100</v>
      </c>
      <c r="M6761">
        <v>100</v>
      </c>
      <c r="N6761">
        <v>1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0</v>
      </c>
      <c r="AE6761">
        <v>0</v>
      </c>
      <c r="AF6761">
        <v>0</v>
      </c>
      <c r="AG6761">
        <v>0</v>
      </c>
      <c r="AH6761">
        <v>0</v>
      </c>
      <c r="AI6761">
        <v>100</v>
      </c>
      <c r="AJ6761">
        <v>1</v>
      </c>
      <c r="AK6761">
        <v>0</v>
      </c>
      <c r="AL6761">
        <v>0</v>
      </c>
      <c r="AM6761">
        <v>0</v>
      </c>
      <c r="AN6761">
        <v>0</v>
      </c>
      <c r="AO6761">
        <v>120</v>
      </c>
      <c r="AP6761">
        <v>-12</v>
      </c>
      <c r="AQ6761">
        <v>0</v>
      </c>
      <c r="AS6761">
        <v>0</v>
      </c>
      <c r="AT6761">
        <v>0</v>
      </c>
      <c r="AU6761">
        <v>120</v>
      </c>
      <c r="AV6761">
        <v>-12</v>
      </c>
      <c r="AW6761">
        <v>0</v>
      </c>
      <c r="AY6761">
        <v>0</v>
      </c>
      <c r="AZ6761">
        <v>0</v>
      </c>
      <c r="BA6761">
        <v>75.599999999999994</v>
      </c>
      <c r="BE6761" t="str">
        <f>T("9791137006348")</f>
        <v>9791137006348</v>
      </c>
      <c r="BF6761" t="str">
        <f>T("N083141")</f>
        <v>N083141</v>
      </c>
      <c r="BG6761" t="str">
        <f>T("판타지 웹소설 &gt; 퓨전 판타지")</f>
        <v>판타지 웹소설 &gt; 퓨전 판타지</v>
      </c>
    </row>
    <row r="6762" spans="1:59">
      <c r="A6762" t="s">
        <v>60</v>
      </c>
      <c r="B6762" s="1">
        <v>46131</v>
      </c>
      <c r="C6762">
        <v>2378052051</v>
      </c>
      <c r="D6762">
        <v>2378052094</v>
      </c>
      <c r="E6762" t="str">
        <f>T("화력조선 43화")</f>
        <v>화력조선 43화</v>
      </c>
      <c r="F6762">
        <v>44</v>
      </c>
      <c r="G6762" t="str">
        <f>T("보헤미아")</f>
        <v>보헤미아</v>
      </c>
      <c r="J6762" t="str">
        <f>T("매드햇")</f>
        <v>매드햇</v>
      </c>
      <c r="K6762" t="str">
        <f>T("화력조선")</f>
        <v>화력조선</v>
      </c>
      <c r="L6762">
        <v>100</v>
      </c>
      <c r="M6762">
        <v>100</v>
      </c>
      <c r="N6762">
        <v>1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0</v>
      </c>
      <c r="AE6762">
        <v>0</v>
      </c>
      <c r="AF6762">
        <v>0</v>
      </c>
      <c r="AG6762">
        <v>0</v>
      </c>
      <c r="AH6762">
        <v>0</v>
      </c>
      <c r="AI6762">
        <v>100</v>
      </c>
      <c r="AJ6762">
        <v>1</v>
      </c>
      <c r="AK6762">
        <v>0</v>
      </c>
      <c r="AL6762">
        <v>0</v>
      </c>
      <c r="AM6762">
        <v>100</v>
      </c>
      <c r="AN6762">
        <v>0</v>
      </c>
      <c r="AO6762">
        <v>0</v>
      </c>
      <c r="AP6762">
        <v>0</v>
      </c>
      <c r="AQ6762">
        <v>0</v>
      </c>
      <c r="AS6762">
        <v>0</v>
      </c>
      <c r="AT6762">
        <v>0</v>
      </c>
      <c r="AV6762">
        <v>0</v>
      </c>
      <c r="AW6762">
        <v>0</v>
      </c>
      <c r="AY6762">
        <v>0</v>
      </c>
      <c r="AZ6762">
        <v>0</v>
      </c>
      <c r="BA6762">
        <v>70</v>
      </c>
      <c r="BE6762" t="str">
        <f>T("9791137006348")</f>
        <v>9791137006348</v>
      </c>
      <c r="BF6762" t="str">
        <f>T("N083098")</f>
        <v>N083098</v>
      </c>
      <c r="BG6762" t="str">
        <f>T("판타지 웹소설 &gt; 퓨전 판타지")</f>
        <v>판타지 웹소설 &gt; 퓨전 판타지</v>
      </c>
    </row>
    <row r="6763" spans="1:59">
      <c r="A6763" t="s">
        <v>60</v>
      </c>
      <c r="B6763" s="1">
        <v>46131</v>
      </c>
      <c r="C6763">
        <v>2378052051</v>
      </c>
      <c r="D6763">
        <v>2378052138</v>
      </c>
      <c r="E6763" t="str">
        <f>T("화력조선 87화")</f>
        <v>화력조선 87화</v>
      </c>
      <c r="F6763">
        <v>88</v>
      </c>
      <c r="G6763" t="str">
        <f>T("보헤미아")</f>
        <v>보헤미아</v>
      </c>
      <c r="J6763" t="str">
        <f>T("매드햇")</f>
        <v>매드햇</v>
      </c>
      <c r="K6763" t="str">
        <f>T("화력조선")</f>
        <v>화력조선</v>
      </c>
      <c r="L6763">
        <v>100</v>
      </c>
      <c r="M6763">
        <v>100</v>
      </c>
      <c r="N6763">
        <v>1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0</v>
      </c>
      <c r="AE6763">
        <v>0</v>
      </c>
      <c r="AF6763">
        <v>0</v>
      </c>
      <c r="AG6763">
        <v>0</v>
      </c>
      <c r="AH6763">
        <v>0</v>
      </c>
      <c r="AI6763">
        <v>100</v>
      </c>
      <c r="AJ6763">
        <v>1</v>
      </c>
      <c r="AK6763">
        <v>0</v>
      </c>
      <c r="AL6763">
        <v>0</v>
      </c>
      <c r="AM6763">
        <v>0</v>
      </c>
      <c r="AN6763">
        <v>0</v>
      </c>
      <c r="AO6763">
        <v>120</v>
      </c>
      <c r="AP6763">
        <v>-12</v>
      </c>
      <c r="AQ6763">
        <v>0</v>
      </c>
      <c r="AS6763">
        <v>0</v>
      </c>
      <c r="AT6763">
        <v>0</v>
      </c>
      <c r="AU6763">
        <v>120</v>
      </c>
      <c r="AV6763">
        <v>-12</v>
      </c>
      <c r="AW6763">
        <v>0</v>
      </c>
      <c r="AY6763">
        <v>0</v>
      </c>
      <c r="AZ6763">
        <v>0</v>
      </c>
      <c r="BA6763">
        <v>75.599999999999994</v>
      </c>
      <c r="BE6763" t="str">
        <f>T("9791137006348")</f>
        <v>9791137006348</v>
      </c>
      <c r="BF6763" t="str">
        <f>T("N083142")</f>
        <v>N083142</v>
      </c>
      <c r="BG6763" t="str">
        <f>T("판타지 웹소설 &gt; 퓨전 판타지")</f>
        <v>판타지 웹소설 &gt; 퓨전 판타지</v>
      </c>
    </row>
    <row r="6764" spans="1:59">
      <c r="A6764" t="s">
        <v>60</v>
      </c>
      <c r="B6764" s="1">
        <v>46131</v>
      </c>
      <c r="C6764">
        <v>2378052051</v>
      </c>
      <c r="D6764">
        <v>2378052095</v>
      </c>
      <c r="E6764" t="str">
        <f>T("화력조선 44화")</f>
        <v>화력조선 44화</v>
      </c>
      <c r="F6764">
        <v>45</v>
      </c>
      <c r="G6764" t="str">
        <f>T("보헤미아")</f>
        <v>보헤미아</v>
      </c>
      <c r="J6764" t="str">
        <f>T("매드햇")</f>
        <v>매드햇</v>
      </c>
      <c r="K6764" t="str">
        <f>T("화력조선")</f>
        <v>화력조선</v>
      </c>
      <c r="L6764">
        <v>100</v>
      </c>
      <c r="M6764">
        <v>100</v>
      </c>
      <c r="N6764">
        <v>1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0</v>
      </c>
      <c r="AE6764">
        <v>0</v>
      </c>
      <c r="AF6764">
        <v>0</v>
      </c>
      <c r="AG6764">
        <v>0</v>
      </c>
      <c r="AH6764">
        <v>0</v>
      </c>
      <c r="AI6764">
        <v>100</v>
      </c>
      <c r="AJ6764">
        <v>1</v>
      </c>
      <c r="AK6764">
        <v>0</v>
      </c>
      <c r="AL6764">
        <v>0</v>
      </c>
      <c r="AM6764">
        <v>100</v>
      </c>
      <c r="AN6764">
        <v>0</v>
      </c>
      <c r="AO6764">
        <v>0</v>
      </c>
      <c r="AP6764">
        <v>0</v>
      </c>
      <c r="AQ6764">
        <v>0</v>
      </c>
      <c r="AS6764">
        <v>0</v>
      </c>
      <c r="AT6764">
        <v>0</v>
      </c>
      <c r="AV6764">
        <v>0</v>
      </c>
      <c r="AW6764">
        <v>0</v>
      </c>
      <c r="AY6764">
        <v>0</v>
      </c>
      <c r="AZ6764">
        <v>0</v>
      </c>
      <c r="BA6764">
        <v>70</v>
      </c>
      <c r="BE6764" t="str">
        <f>T("9791137006348")</f>
        <v>9791137006348</v>
      </c>
      <c r="BF6764" t="str">
        <f>T("N083099")</f>
        <v>N083099</v>
      </c>
      <c r="BG6764" t="str">
        <f>T("판타지 웹소설 &gt; 퓨전 판타지")</f>
        <v>판타지 웹소설 &gt; 퓨전 판타지</v>
      </c>
    </row>
    <row r="6765" spans="1:59">
      <c r="A6765" t="s">
        <v>60</v>
      </c>
      <c r="B6765" s="1">
        <v>46131</v>
      </c>
      <c r="C6765">
        <v>2378052051</v>
      </c>
      <c r="D6765">
        <v>2378052139</v>
      </c>
      <c r="E6765" t="str">
        <f>T("화력조선 88화")</f>
        <v>화력조선 88화</v>
      </c>
      <c r="F6765">
        <v>89</v>
      </c>
      <c r="G6765" t="str">
        <f>T("보헤미아")</f>
        <v>보헤미아</v>
      </c>
      <c r="J6765" t="str">
        <f>T("매드햇")</f>
        <v>매드햇</v>
      </c>
      <c r="K6765" t="str">
        <f>T("화력조선")</f>
        <v>화력조선</v>
      </c>
      <c r="L6765">
        <v>100</v>
      </c>
      <c r="M6765">
        <v>100</v>
      </c>
      <c r="N6765">
        <v>1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0</v>
      </c>
      <c r="AE6765">
        <v>0</v>
      </c>
      <c r="AF6765">
        <v>0</v>
      </c>
      <c r="AG6765">
        <v>0</v>
      </c>
      <c r="AH6765">
        <v>0</v>
      </c>
      <c r="AI6765">
        <v>100</v>
      </c>
      <c r="AJ6765">
        <v>1</v>
      </c>
      <c r="AK6765">
        <v>0</v>
      </c>
      <c r="AL6765">
        <v>0</v>
      </c>
      <c r="AM6765">
        <v>0</v>
      </c>
      <c r="AN6765">
        <v>0</v>
      </c>
      <c r="AO6765">
        <v>120</v>
      </c>
      <c r="AP6765">
        <v>-12</v>
      </c>
      <c r="AQ6765">
        <v>0</v>
      </c>
      <c r="AS6765">
        <v>0</v>
      </c>
      <c r="AT6765">
        <v>0</v>
      </c>
      <c r="AU6765">
        <v>120</v>
      </c>
      <c r="AV6765">
        <v>-12</v>
      </c>
      <c r="AW6765">
        <v>0</v>
      </c>
      <c r="AY6765">
        <v>0</v>
      </c>
      <c r="AZ6765">
        <v>0</v>
      </c>
      <c r="BA6765">
        <v>75.599999999999994</v>
      </c>
      <c r="BE6765" t="str">
        <f>T("9791137006348")</f>
        <v>9791137006348</v>
      </c>
      <c r="BF6765" t="str">
        <f>T("N083143")</f>
        <v>N083143</v>
      </c>
      <c r="BG6765" t="str">
        <f>T("판타지 웹소설 &gt; 퓨전 판타지")</f>
        <v>판타지 웹소설 &gt; 퓨전 판타지</v>
      </c>
    </row>
    <row r="6766" spans="1:59">
      <c r="A6766" t="s">
        <v>60</v>
      </c>
      <c r="B6766" s="1">
        <v>46131</v>
      </c>
      <c r="C6766">
        <v>2378052051</v>
      </c>
      <c r="D6766">
        <v>2378052096</v>
      </c>
      <c r="E6766" t="str">
        <f>T("화력조선 45화")</f>
        <v>화력조선 45화</v>
      </c>
      <c r="F6766">
        <v>46</v>
      </c>
      <c r="G6766" t="str">
        <f>T("보헤미아")</f>
        <v>보헤미아</v>
      </c>
      <c r="J6766" t="str">
        <f>T("매드햇")</f>
        <v>매드햇</v>
      </c>
      <c r="K6766" t="str">
        <f>T("화력조선")</f>
        <v>화력조선</v>
      </c>
      <c r="L6766">
        <v>100</v>
      </c>
      <c r="M6766">
        <v>100</v>
      </c>
      <c r="N6766">
        <v>1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0</v>
      </c>
      <c r="AE6766">
        <v>0</v>
      </c>
      <c r="AF6766">
        <v>0</v>
      </c>
      <c r="AG6766">
        <v>0</v>
      </c>
      <c r="AH6766">
        <v>0</v>
      </c>
      <c r="AI6766">
        <v>100</v>
      </c>
      <c r="AJ6766">
        <v>1</v>
      </c>
      <c r="AK6766">
        <v>0</v>
      </c>
      <c r="AL6766">
        <v>0</v>
      </c>
      <c r="AM6766">
        <v>100</v>
      </c>
      <c r="AN6766">
        <v>0</v>
      </c>
      <c r="AO6766">
        <v>0</v>
      </c>
      <c r="AP6766">
        <v>0</v>
      </c>
      <c r="AQ6766">
        <v>0</v>
      </c>
      <c r="AS6766">
        <v>0</v>
      </c>
      <c r="AT6766">
        <v>0</v>
      </c>
      <c r="AV6766">
        <v>0</v>
      </c>
      <c r="AW6766">
        <v>0</v>
      </c>
      <c r="AY6766">
        <v>0</v>
      </c>
      <c r="AZ6766">
        <v>0</v>
      </c>
      <c r="BA6766">
        <v>70</v>
      </c>
      <c r="BE6766" t="str">
        <f>T("9791137006348")</f>
        <v>9791137006348</v>
      </c>
      <c r="BF6766" t="str">
        <f>T("N083100")</f>
        <v>N083100</v>
      </c>
      <c r="BG6766" t="str">
        <f>T("판타지 웹소설 &gt; 퓨전 판타지")</f>
        <v>판타지 웹소설 &gt; 퓨전 판타지</v>
      </c>
    </row>
    <row r="6767" spans="1:59">
      <c r="A6767" t="s">
        <v>60</v>
      </c>
      <c r="B6767" s="1">
        <v>46131</v>
      </c>
      <c r="C6767">
        <v>2378052051</v>
      </c>
      <c r="D6767">
        <v>2378052140</v>
      </c>
      <c r="E6767" t="str">
        <f>T("화력조선 89화")</f>
        <v>화력조선 89화</v>
      </c>
      <c r="F6767">
        <v>90</v>
      </c>
      <c r="G6767" t="str">
        <f>T("보헤미아")</f>
        <v>보헤미아</v>
      </c>
      <c r="J6767" t="str">
        <f>T("매드햇")</f>
        <v>매드햇</v>
      </c>
      <c r="K6767" t="str">
        <f>T("화력조선")</f>
        <v>화력조선</v>
      </c>
      <c r="L6767">
        <v>100</v>
      </c>
      <c r="M6767">
        <v>100</v>
      </c>
      <c r="N6767">
        <v>1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0</v>
      </c>
      <c r="AE6767">
        <v>0</v>
      </c>
      <c r="AF6767">
        <v>0</v>
      </c>
      <c r="AG6767">
        <v>0</v>
      </c>
      <c r="AH6767">
        <v>0</v>
      </c>
      <c r="AI6767">
        <v>100</v>
      </c>
      <c r="AJ6767">
        <v>1</v>
      </c>
      <c r="AK6767">
        <v>0</v>
      </c>
      <c r="AL6767">
        <v>0</v>
      </c>
      <c r="AM6767">
        <v>0</v>
      </c>
      <c r="AN6767">
        <v>0</v>
      </c>
      <c r="AO6767">
        <v>120</v>
      </c>
      <c r="AP6767">
        <v>-12</v>
      </c>
      <c r="AQ6767">
        <v>0</v>
      </c>
      <c r="AS6767">
        <v>0</v>
      </c>
      <c r="AT6767">
        <v>0</v>
      </c>
      <c r="AU6767">
        <v>120</v>
      </c>
      <c r="AV6767">
        <v>-12</v>
      </c>
      <c r="AW6767">
        <v>0</v>
      </c>
      <c r="AY6767">
        <v>0</v>
      </c>
      <c r="AZ6767">
        <v>0</v>
      </c>
      <c r="BA6767">
        <v>75.599999999999994</v>
      </c>
      <c r="BE6767" t="str">
        <f>T("9791137006348")</f>
        <v>9791137006348</v>
      </c>
      <c r="BF6767" t="str">
        <f>T("N083144")</f>
        <v>N083144</v>
      </c>
      <c r="BG6767" t="str">
        <f>T("판타지 웹소설 &gt; 퓨전 판타지")</f>
        <v>판타지 웹소설 &gt; 퓨전 판타지</v>
      </c>
    </row>
    <row r="6768" spans="1:59">
      <c r="A6768" t="s">
        <v>60</v>
      </c>
      <c r="B6768" s="1">
        <v>46131</v>
      </c>
      <c r="C6768">
        <v>2378052051</v>
      </c>
      <c r="D6768">
        <v>2378052097</v>
      </c>
      <c r="E6768" t="str">
        <f>T("화력조선 46화")</f>
        <v>화력조선 46화</v>
      </c>
      <c r="F6768">
        <v>47</v>
      </c>
      <c r="G6768" t="str">
        <f>T("보헤미아")</f>
        <v>보헤미아</v>
      </c>
      <c r="J6768" t="str">
        <f>T("매드햇")</f>
        <v>매드햇</v>
      </c>
      <c r="K6768" t="str">
        <f>T("화력조선")</f>
        <v>화력조선</v>
      </c>
      <c r="L6768">
        <v>100</v>
      </c>
      <c r="M6768">
        <v>100</v>
      </c>
      <c r="N6768">
        <v>1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0</v>
      </c>
      <c r="AE6768">
        <v>0</v>
      </c>
      <c r="AF6768">
        <v>0</v>
      </c>
      <c r="AG6768">
        <v>0</v>
      </c>
      <c r="AH6768">
        <v>0</v>
      </c>
      <c r="AI6768">
        <v>100</v>
      </c>
      <c r="AJ6768">
        <v>1</v>
      </c>
      <c r="AK6768">
        <v>0</v>
      </c>
      <c r="AL6768">
        <v>0</v>
      </c>
      <c r="AM6768">
        <v>100</v>
      </c>
      <c r="AN6768">
        <v>0</v>
      </c>
      <c r="AO6768">
        <v>0</v>
      </c>
      <c r="AP6768">
        <v>0</v>
      </c>
      <c r="AQ6768">
        <v>0</v>
      </c>
      <c r="AS6768">
        <v>0</v>
      </c>
      <c r="AT6768">
        <v>0</v>
      </c>
      <c r="AV6768">
        <v>0</v>
      </c>
      <c r="AW6768">
        <v>0</v>
      </c>
      <c r="AY6768">
        <v>0</v>
      </c>
      <c r="AZ6768">
        <v>0</v>
      </c>
      <c r="BA6768">
        <v>70</v>
      </c>
      <c r="BE6768" t="str">
        <f>T("9791137006348")</f>
        <v>9791137006348</v>
      </c>
      <c r="BF6768" t="str">
        <f>T("N083101")</f>
        <v>N083101</v>
      </c>
      <c r="BG6768" t="str">
        <f>T("판타지 웹소설 &gt; 퓨전 판타지")</f>
        <v>판타지 웹소설 &gt; 퓨전 판타지</v>
      </c>
    </row>
    <row r="6769" spans="1:59">
      <c r="A6769" t="s">
        <v>60</v>
      </c>
      <c r="B6769" s="1">
        <v>46131</v>
      </c>
      <c r="C6769">
        <v>2378052051</v>
      </c>
      <c r="D6769">
        <v>2378052060</v>
      </c>
      <c r="E6769" t="str">
        <f>T("화력조선 9화")</f>
        <v>화력조선 9화</v>
      </c>
      <c r="F6769">
        <v>10</v>
      </c>
      <c r="G6769" t="str">
        <f>T("보헤미아")</f>
        <v>보헤미아</v>
      </c>
      <c r="J6769" t="str">
        <f>T("매드햇")</f>
        <v>매드햇</v>
      </c>
      <c r="K6769" t="str">
        <f>T("화력조선")</f>
        <v>화력조선</v>
      </c>
      <c r="L6769">
        <v>0</v>
      </c>
      <c r="M6769">
        <v>0</v>
      </c>
      <c r="N6769">
        <v>0</v>
      </c>
      <c r="O6769">
        <v>1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0</v>
      </c>
      <c r="AE6769">
        <v>0</v>
      </c>
      <c r="AF6769">
        <v>0</v>
      </c>
      <c r="AG6769">
        <v>0</v>
      </c>
      <c r="AH6769">
        <v>0</v>
      </c>
      <c r="AI6769">
        <v>0</v>
      </c>
      <c r="AJ6769">
        <v>1</v>
      </c>
      <c r="AK6769">
        <v>0</v>
      </c>
      <c r="AL6769">
        <v>0</v>
      </c>
      <c r="AM6769">
        <v>0</v>
      </c>
      <c r="AN6769">
        <v>0</v>
      </c>
      <c r="AO6769">
        <v>0</v>
      </c>
      <c r="AP6769">
        <v>0</v>
      </c>
      <c r="AQ6769">
        <v>0</v>
      </c>
      <c r="AS6769">
        <v>0</v>
      </c>
      <c r="AT6769">
        <v>0</v>
      </c>
      <c r="AV6769">
        <v>0</v>
      </c>
      <c r="AW6769">
        <v>0</v>
      </c>
      <c r="AY6769">
        <v>0</v>
      </c>
      <c r="AZ6769">
        <v>0</v>
      </c>
      <c r="BA6769">
        <v>0</v>
      </c>
      <c r="BE6769" t="str">
        <f>T("9791137006348")</f>
        <v>9791137006348</v>
      </c>
      <c r="BF6769" t="str">
        <f>T("N083064")</f>
        <v>N083064</v>
      </c>
      <c r="BG6769" t="str">
        <f>T("판타지 웹소설 &gt; 퓨전 판타지")</f>
        <v>판타지 웹소설 &gt; 퓨전 판타지</v>
      </c>
    </row>
    <row r="6770" spans="1:59">
      <c r="A6770" t="s">
        <v>60</v>
      </c>
      <c r="B6770" s="1">
        <v>46131</v>
      </c>
      <c r="C6770">
        <v>2378052051</v>
      </c>
      <c r="D6770">
        <v>2378052061</v>
      </c>
      <c r="E6770" t="str">
        <f>T("화력조선 10화")</f>
        <v>화력조선 10화</v>
      </c>
      <c r="F6770">
        <v>11</v>
      </c>
      <c r="G6770" t="str">
        <f>T("보헤미아")</f>
        <v>보헤미아</v>
      </c>
      <c r="J6770" t="str">
        <f>T("매드햇")</f>
        <v>매드햇</v>
      </c>
      <c r="K6770" t="str">
        <f>T("화력조선")</f>
        <v>화력조선</v>
      </c>
      <c r="L6770">
        <v>0</v>
      </c>
      <c r="M6770">
        <v>0</v>
      </c>
      <c r="N6770">
        <v>0</v>
      </c>
      <c r="O6770">
        <v>1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0</v>
      </c>
      <c r="AE6770">
        <v>0</v>
      </c>
      <c r="AF6770">
        <v>0</v>
      </c>
      <c r="AG6770">
        <v>0</v>
      </c>
      <c r="AH6770">
        <v>0</v>
      </c>
      <c r="AI6770">
        <v>0</v>
      </c>
      <c r="AJ6770">
        <v>1</v>
      </c>
      <c r="AK6770">
        <v>0</v>
      </c>
      <c r="AL6770">
        <v>0</v>
      </c>
      <c r="AM6770">
        <v>0</v>
      </c>
      <c r="AN6770">
        <v>0</v>
      </c>
      <c r="AO6770">
        <v>0</v>
      </c>
      <c r="AP6770">
        <v>0</v>
      </c>
      <c r="AQ6770">
        <v>0</v>
      </c>
      <c r="AS6770">
        <v>0</v>
      </c>
      <c r="AT6770">
        <v>0</v>
      </c>
      <c r="AV6770">
        <v>0</v>
      </c>
      <c r="AW6770">
        <v>0</v>
      </c>
      <c r="AY6770">
        <v>0</v>
      </c>
      <c r="AZ6770">
        <v>0</v>
      </c>
      <c r="BA6770">
        <v>0</v>
      </c>
      <c r="BE6770" t="str">
        <f>T("9791137006348")</f>
        <v>9791137006348</v>
      </c>
      <c r="BF6770" t="str">
        <f>T("N083065")</f>
        <v>N083065</v>
      </c>
      <c r="BG6770" t="str">
        <f>T("판타지 웹소설 &gt; 퓨전 판타지")</f>
        <v>판타지 웹소설 &gt; 퓨전 판타지</v>
      </c>
    </row>
    <row r="6771" spans="1:59">
      <c r="A6771" t="s">
        <v>60</v>
      </c>
      <c r="B6771" s="1">
        <v>46131</v>
      </c>
      <c r="C6771">
        <v>2378052051</v>
      </c>
      <c r="D6771">
        <v>2378052062</v>
      </c>
      <c r="E6771" t="str">
        <f>T("화력조선 11화")</f>
        <v>화력조선 11화</v>
      </c>
      <c r="F6771">
        <v>12</v>
      </c>
      <c r="G6771" t="str">
        <f>T("보헤미아")</f>
        <v>보헤미아</v>
      </c>
      <c r="J6771" t="str">
        <f>T("매드햇")</f>
        <v>매드햇</v>
      </c>
      <c r="K6771" t="str">
        <f>T("화력조선")</f>
        <v>화력조선</v>
      </c>
      <c r="L6771">
        <v>0</v>
      </c>
      <c r="M6771">
        <v>0</v>
      </c>
      <c r="N6771">
        <v>0</v>
      </c>
      <c r="O6771">
        <v>1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0</v>
      </c>
      <c r="AE6771">
        <v>0</v>
      </c>
      <c r="AF6771">
        <v>0</v>
      </c>
      <c r="AG6771">
        <v>0</v>
      </c>
      <c r="AH6771">
        <v>0</v>
      </c>
      <c r="AI6771">
        <v>0</v>
      </c>
      <c r="AJ6771">
        <v>1</v>
      </c>
      <c r="AK6771">
        <v>0</v>
      </c>
      <c r="AL6771">
        <v>0</v>
      </c>
      <c r="AM6771">
        <v>0</v>
      </c>
      <c r="AN6771">
        <v>0</v>
      </c>
      <c r="AO6771">
        <v>0</v>
      </c>
      <c r="AP6771">
        <v>0</v>
      </c>
      <c r="AQ6771">
        <v>0</v>
      </c>
      <c r="AS6771">
        <v>0</v>
      </c>
      <c r="AT6771">
        <v>0</v>
      </c>
      <c r="AV6771">
        <v>0</v>
      </c>
      <c r="AW6771">
        <v>0</v>
      </c>
      <c r="AY6771">
        <v>0</v>
      </c>
      <c r="AZ6771">
        <v>0</v>
      </c>
      <c r="BA6771">
        <v>0</v>
      </c>
      <c r="BE6771" t="str">
        <f>T("9791137006348")</f>
        <v>9791137006348</v>
      </c>
      <c r="BF6771" t="str">
        <f>T("N083066")</f>
        <v>N083066</v>
      </c>
      <c r="BG6771" t="str">
        <f>T("판타지 웹소설 &gt; 퓨전 판타지")</f>
        <v>판타지 웹소설 &gt; 퓨전 판타지</v>
      </c>
    </row>
    <row r="6772" spans="1:59">
      <c r="A6772" t="s">
        <v>60</v>
      </c>
      <c r="B6772" s="1">
        <v>46131</v>
      </c>
      <c r="C6772">
        <v>2378052051</v>
      </c>
      <c r="D6772">
        <v>2378052063</v>
      </c>
      <c r="E6772" t="str">
        <f>T("화력조선 12화")</f>
        <v>화력조선 12화</v>
      </c>
      <c r="F6772">
        <v>13</v>
      </c>
      <c r="G6772" t="str">
        <f>T("보헤미아")</f>
        <v>보헤미아</v>
      </c>
      <c r="J6772" t="str">
        <f>T("매드햇")</f>
        <v>매드햇</v>
      </c>
      <c r="K6772" t="str">
        <f>T("화력조선")</f>
        <v>화력조선</v>
      </c>
      <c r="L6772">
        <v>0</v>
      </c>
      <c r="M6772">
        <v>0</v>
      </c>
      <c r="N6772">
        <v>0</v>
      </c>
      <c r="O6772">
        <v>1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0</v>
      </c>
      <c r="AE6772">
        <v>0</v>
      </c>
      <c r="AF6772">
        <v>0</v>
      </c>
      <c r="AG6772">
        <v>0</v>
      </c>
      <c r="AH6772">
        <v>0</v>
      </c>
      <c r="AI6772">
        <v>0</v>
      </c>
      <c r="AJ6772">
        <v>1</v>
      </c>
      <c r="AK6772">
        <v>0</v>
      </c>
      <c r="AL6772">
        <v>0</v>
      </c>
      <c r="AM6772">
        <v>0</v>
      </c>
      <c r="AN6772">
        <v>0</v>
      </c>
      <c r="AO6772">
        <v>0</v>
      </c>
      <c r="AP6772">
        <v>0</v>
      </c>
      <c r="AQ6772">
        <v>0</v>
      </c>
      <c r="AS6772">
        <v>0</v>
      </c>
      <c r="AT6772">
        <v>0</v>
      </c>
      <c r="AV6772">
        <v>0</v>
      </c>
      <c r="AW6772">
        <v>0</v>
      </c>
      <c r="AY6772">
        <v>0</v>
      </c>
      <c r="AZ6772">
        <v>0</v>
      </c>
      <c r="BA6772">
        <v>0</v>
      </c>
      <c r="BE6772" t="str">
        <f>T("9791137006348")</f>
        <v>9791137006348</v>
      </c>
      <c r="BF6772" t="str">
        <f>T("N083067")</f>
        <v>N083067</v>
      </c>
      <c r="BG6772" t="str">
        <f>T("판타지 웹소설 &gt; 퓨전 판타지")</f>
        <v>판타지 웹소설 &gt; 퓨전 판타지</v>
      </c>
    </row>
    <row r="6773" spans="1:59">
      <c r="A6773" t="s">
        <v>60</v>
      </c>
      <c r="B6773" s="1">
        <v>46131</v>
      </c>
      <c r="C6773">
        <v>2378052051</v>
      </c>
      <c r="D6773">
        <v>2378052064</v>
      </c>
      <c r="E6773" t="str">
        <f>T("화력조선 13화")</f>
        <v>화력조선 13화</v>
      </c>
      <c r="F6773">
        <v>14</v>
      </c>
      <c r="G6773" t="str">
        <f>T("보헤미아")</f>
        <v>보헤미아</v>
      </c>
      <c r="J6773" t="str">
        <f>T("매드햇")</f>
        <v>매드햇</v>
      </c>
      <c r="K6773" t="str">
        <f>T("화력조선")</f>
        <v>화력조선</v>
      </c>
      <c r="L6773">
        <v>0</v>
      </c>
      <c r="M6773">
        <v>0</v>
      </c>
      <c r="N6773">
        <v>0</v>
      </c>
      <c r="O6773">
        <v>1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0</v>
      </c>
      <c r="AE6773">
        <v>0</v>
      </c>
      <c r="AF6773">
        <v>0</v>
      </c>
      <c r="AG6773">
        <v>0</v>
      </c>
      <c r="AH6773">
        <v>0</v>
      </c>
      <c r="AI6773">
        <v>0</v>
      </c>
      <c r="AJ6773">
        <v>1</v>
      </c>
      <c r="AK6773">
        <v>0</v>
      </c>
      <c r="AL6773">
        <v>0</v>
      </c>
      <c r="AM6773">
        <v>0</v>
      </c>
      <c r="AN6773">
        <v>0</v>
      </c>
      <c r="AO6773">
        <v>0</v>
      </c>
      <c r="AP6773">
        <v>0</v>
      </c>
      <c r="AQ6773">
        <v>0</v>
      </c>
      <c r="AS6773">
        <v>0</v>
      </c>
      <c r="AT6773">
        <v>0</v>
      </c>
      <c r="AV6773">
        <v>0</v>
      </c>
      <c r="AW6773">
        <v>0</v>
      </c>
      <c r="AY6773">
        <v>0</v>
      </c>
      <c r="AZ6773">
        <v>0</v>
      </c>
      <c r="BA6773">
        <v>0</v>
      </c>
      <c r="BE6773" t="str">
        <f>T("9791137006348")</f>
        <v>9791137006348</v>
      </c>
      <c r="BF6773" t="str">
        <f>T("N083068")</f>
        <v>N083068</v>
      </c>
      <c r="BG6773" t="str">
        <f>T("판타지 웹소설 &gt; 퓨전 판타지")</f>
        <v>판타지 웹소설 &gt; 퓨전 판타지</v>
      </c>
    </row>
    <row r="6774" spans="1:59">
      <c r="A6774" t="s">
        <v>60</v>
      </c>
      <c r="B6774" s="1">
        <v>46131</v>
      </c>
      <c r="C6774">
        <v>2378052051</v>
      </c>
      <c r="D6774">
        <v>2378052065</v>
      </c>
      <c r="E6774" t="str">
        <f>T("화력조선 14화")</f>
        <v>화력조선 14화</v>
      </c>
      <c r="F6774">
        <v>15</v>
      </c>
      <c r="G6774" t="str">
        <f>T("보헤미아")</f>
        <v>보헤미아</v>
      </c>
      <c r="J6774" t="str">
        <f>T("매드햇")</f>
        <v>매드햇</v>
      </c>
      <c r="K6774" t="str">
        <f>T("화력조선")</f>
        <v>화력조선</v>
      </c>
      <c r="L6774">
        <v>0</v>
      </c>
      <c r="M6774">
        <v>0</v>
      </c>
      <c r="N6774">
        <v>0</v>
      </c>
      <c r="O6774">
        <v>1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0</v>
      </c>
      <c r="AE6774">
        <v>0</v>
      </c>
      <c r="AF6774">
        <v>0</v>
      </c>
      <c r="AG6774">
        <v>0</v>
      </c>
      <c r="AH6774">
        <v>0</v>
      </c>
      <c r="AI6774">
        <v>0</v>
      </c>
      <c r="AJ6774">
        <v>1</v>
      </c>
      <c r="AK6774">
        <v>0</v>
      </c>
      <c r="AL6774">
        <v>0</v>
      </c>
      <c r="AM6774">
        <v>0</v>
      </c>
      <c r="AN6774">
        <v>0</v>
      </c>
      <c r="AO6774">
        <v>0</v>
      </c>
      <c r="AP6774">
        <v>0</v>
      </c>
      <c r="AQ6774">
        <v>0</v>
      </c>
      <c r="AS6774">
        <v>0</v>
      </c>
      <c r="AT6774">
        <v>0</v>
      </c>
      <c r="AV6774">
        <v>0</v>
      </c>
      <c r="AW6774">
        <v>0</v>
      </c>
      <c r="AY6774">
        <v>0</v>
      </c>
      <c r="AZ6774">
        <v>0</v>
      </c>
      <c r="BA6774">
        <v>0</v>
      </c>
      <c r="BE6774" t="str">
        <f>T("9791137006348")</f>
        <v>9791137006348</v>
      </c>
      <c r="BF6774" t="str">
        <f>T("N083069")</f>
        <v>N083069</v>
      </c>
      <c r="BG6774" t="str">
        <f>T("판타지 웹소설 &gt; 퓨전 판타지")</f>
        <v>판타지 웹소설 &gt; 퓨전 판타지</v>
      </c>
    </row>
    <row r="6775" spans="1:59">
      <c r="A6775" t="s">
        <v>60</v>
      </c>
      <c r="B6775" s="1">
        <v>46131</v>
      </c>
      <c r="C6775">
        <v>2378052051</v>
      </c>
      <c r="D6775">
        <v>2378052066</v>
      </c>
      <c r="E6775" t="str">
        <f>T("화력조선 15화")</f>
        <v>화력조선 15화</v>
      </c>
      <c r="F6775">
        <v>16</v>
      </c>
      <c r="G6775" t="str">
        <f>T("보헤미아")</f>
        <v>보헤미아</v>
      </c>
      <c r="J6775" t="str">
        <f>T("매드햇")</f>
        <v>매드햇</v>
      </c>
      <c r="K6775" t="str">
        <f>T("화력조선")</f>
        <v>화력조선</v>
      </c>
      <c r="L6775">
        <v>0</v>
      </c>
      <c r="M6775">
        <v>0</v>
      </c>
      <c r="N6775">
        <v>0</v>
      </c>
      <c r="O6775">
        <v>1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0</v>
      </c>
      <c r="AE6775">
        <v>0</v>
      </c>
      <c r="AF6775">
        <v>0</v>
      </c>
      <c r="AG6775">
        <v>0</v>
      </c>
      <c r="AH6775">
        <v>0</v>
      </c>
      <c r="AI6775">
        <v>0</v>
      </c>
      <c r="AJ6775">
        <v>1</v>
      </c>
      <c r="AK6775">
        <v>0</v>
      </c>
      <c r="AL6775">
        <v>0</v>
      </c>
      <c r="AM6775">
        <v>0</v>
      </c>
      <c r="AN6775">
        <v>0</v>
      </c>
      <c r="AO6775">
        <v>0</v>
      </c>
      <c r="AP6775">
        <v>0</v>
      </c>
      <c r="AQ6775">
        <v>0</v>
      </c>
      <c r="AS6775">
        <v>0</v>
      </c>
      <c r="AT6775">
        <v>0</v>
      </c>
      <c r="AV6775">
        <v>0</v>
      </c>
      <c r="AW6775">
        <v>0</v>
      </c>
      <c r="AY6775">
        <v>0</v>
      </c>
      <c r="AZ6775">
        <v>0</v>
      </c>
      <c r="BA6775">
        <v>0</v>
      </c>
      <c r="BE6775" t="str">
        <f>T("9791137006348")</f>
        <v>9791137006348</v>
      </c>
      <c r="BF6775" t="str">
        <f>T("N083070")</f>
        <v>N083070</v>
      </c>
      <c r="BG6775" t="str">
        <f>T("판타지 웹소설 &gt; 퓨전 판타지")</f>
        <v>판타지 웹소설 &gt; 퓨전 판타지</v>
      </c>
    </row>
    <row r="6776" spans="1:59">
      <c r="A6776" t="s">
        <v>60</v>
      </c>
      <c r="B6776" s="1">
        <v>46131</v>
      </c>
      <c r="C6776">
        <v>2378052051</v>
      </c>
      <c r="D6776">
        <v>2378052067</v>
      </c>
      <c r="E6776" t="str">
        <f>T("화력조선 16화")</f>
        <v>화력조선 16화</v>
      </c>
      <c r="F6776">
        <v>17</v>
      </c>
      <c r="G6776" t="str">
        <f>T("보헤미아")</f>
        <v>보헤미아</v>
      </c>
      <c r="J6776" t="str">
        <f>T("매드햇")</f>
        <v>매드햇</v>
      </c>
      <c r="K6776" t="str">
        <f>T("화력조선")</f>
        <v>화력조선</v>
      </c>
      <c r="L6776">
        <v>0</v>
      </c>
      <c r="M6776">
        <v>0</v>
      </c>
      <c r="N6776">
        <v>0</v>
      </c>
      <c r="O6776">
        <v>1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0</v>
      </c>
      <c r="V6776">
        <v>0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0</v>
      </c>
      <c r="AE6776">
        <v>0</v>
      </c>
      <c r="AF6776">
        <v>0</v>
      </c>
      <c r="AG6776">
        <v>0</v>
      </c>
      <c r="AH6776">
        <v>0</v>
      </c>
      <c r="AI6776">
        <v>0</v>
      </c>
      <c r="AJ6776">
        <v>1</v>
      </c>
      <c r="AK6776">
        <v>0</v>
      </c>
      <c r="AL6776">
        <v>0</v>
      </c>
      <c r="AM6776">
        <v>0</v>
      </c>
      <c r="AN6776">
        <v>0</v>
      </c>
      <c r="AO6776">
        <v>0</v>
      </c>
      <c r="AP6776">
        <v>0</v>
      </c>
      <c r="AQ6776">
        <v>0</v>
      </c>
      <c r="AS6776">
        <v>0</v>
      </c>
      <c r="AT6776">
        <v>0</v>
      </c>
      <c r="AV6776">
        <v>0</v>
      </c>
      <c r="AW6776">
        <v>0</v>
      </c>
      <c r="AY6776">
        <v>0</v>
      </c>
      <c r="AZ6776">
        <v>0</v>
      </c>
      <c r="BA6776">
        <v>0</v>
      </c>
      <c r="BE6776" t="str">
        <f>T("9791137006348")</f>
        <v>9791137006348</v>
      </c>
      <c r="BF6776" t="str">
        <f>T("N083071")</f>
        <v>N083071</v>
      </c>
      <c r="BG6776" t="str">
        <f>T("판타지 웹소설 &gt; 퓨전 판타지")</f>
        <v>판타지 웹소설 &gt; 퓨전 판타지</v>
      </c>
    </row>
    <row r="6777" spans="1:59">
      <c r="A6777" t="s">
        <v>60</v>
      </c>
      <c r="B6777" s="1">
        <v>46131</v>
      </c>
      <c r="C6777">
        <v>2378052051</v>
      </c>
      <c r="D6777">
        <v>2378052068</v>
      </c>
      <c r="E6777" t="str">
        <f>T("화력조선 17화")</f>
        <v>화력조선 17화</v>
      </c>
      <c r="F6777">
        <v>18</v>
      </c>
      <c r="G6777" t="str">
        <f>T("보헤미아")</f>
        <v>보헤미아</v>
      </c>
      <c r="J6777" t="str">
        <f>T("매드햇")</f>
        <v>매드햇</v>
      </c>
      <c r="K6777" t="str">
        <f>T("화력조선")</f>
        <v>화력조선</v>
      </c>
      <c r="L6777">
        <v>0</v>
      </c>
      <c r="M6777">
        <v>0</v>
      </c>
      <c r="N6777">
        <v>0</v>
      </c>
      <c r="O6777">
        <v>1</v>
      </c>
      <c r="P6777">
        <v>0</v>
      </c>
      <c r="Q6777">
        <v>0</v>
      </c>
      <c r="R6777">
        <v>0</v>
      </c>
      <c r="S6777">
        <v>0</v>
      </c>
      <c r="T6777">
        <v>0</v>
      </c>
      <c r="U6777">
        <v>0</v>
      </c>
      <c r="V6777">
        <v>0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0</v>
      </c>
      <c r="AE6777">
        <v>0</v>
      </c>
      <c r="AF6777">
        <v>0</v>
      </c>
      <c r="AG6777">
        <v>0</v>
      </c>
      <c r="AH6777">
        <v>0</v>
      </c>
      <c r="AI6777">
        <v>0</v>
      </c>
      <c r="AJ6777">
        <v>1</v>
      </c>
      <c r="AK6777">
        <v>0</v>
      </c>
      <c r="AL6777">
        <v>0</v>
      </c>
      <c r="AM6777">
        <v>0</v>
      </c>
      <c r="AN6777">
        <v>0</v>
      </c>
      <c r="AO6777">
        <v>0</v>
      </c>
      <c r="AP6777">
        <v>0</v>
      </c>
      <c r="AQ6777">
        <v>0</v>
      </c>
      <c r="AS6777">
        <v>0</v>
      </c>
      <c r="AT6777">
        <v>0</v>
      </c>
      <c r="AV6777">
        <v>0</v>
      </c>
      <c r="AW6777">
        <v>0</v>
      </c>
      <c r="AY6777">
        <v>0</v>
      </c>
      <c r="AZ6777">
        <v>0</v>
      </c>
      <c r="BA6777">
        <v>0</v>
      </c>
      <c r="BE6777" t="str">
        <f>T("9791137006348")</f>
        <v>9791137006348</v>
      </c>
      <c r="BF6777" t="str">
        <f>T("N083072")</f>
        <v>N083072</v>
      </c>
      <c r="BG6777" t="str">
        <f>T("판타지 웹소설 &gt; 퓨전 판타지")</f>
        <v>판타지 웹소설 &gt; 퓨전 판타지</v>
      </c>
    </row>
    <row r="6778" spans="1:59">
      <c r="A6778" t="s">
        <v>60</v>
      </c>
      <c r="B6778" s="1">
        <v>46131</v>
      </c>
      <c r="C6778">
        <v>2378052051</v>
      </c>
      <c r="D6778">
        <v>2378052069</v>
      </c>
      <c r="E6778" t="str">
        <f>T("화력조선 18화")</f>
        <v>화력조선 18화</v>
      </c>
      <c r="F6778">
        <v>19</v>
      </c>
      <c r="G6778" t="str">
        <f>T("보헤미아")</f>
        <v>보헤미아</v>
      </c>
      <c r="J6778" t="str">
        <f>T("매드햇")</f>
        <v>매드햇</v>
      </c>
      <c r="K6778" t="str">
        <f>T("화력조선")</f>
        <v>화력조선</v>
      </c>
      <c r="L6778">
        <v>0</v>
      </c>
      <c r="M6778">
        <v>0</v>
      </c>
      <c r="N6778">
        <v>0</v>
      </c>
      <c r="O6778">
        <v>1</v>
      </c>
      <c r="P6778">
        <v>0</v>
      </c>
      <c r="Q6778">
        <v>0</v>
      </c>
      <c r="R6778">
        <v>0</v>
      </c>
      <c r="S6778">
        <v>0</v>
      </c>
      <c r="T6778">
        <v>0</v>
      </c>
      <c r="U6778">
        <v>0</v>
      </c>
      <c r="V6778">
        <v>0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0</v>
      </c>
      <c r="AE6778">
        <v>0</v>
      </c>
      <c r="AF6778">
        <v>0</v>
      </c>
      <c r="AG6778">
        <v>0</v>
      </c>
      <c r="AH6778">
        <v>0</v>
      </c>
      <c r="AI6778">
        <v>0</v>
      </c>
      <c r="AJ6778">
        <v>1</v>
      </c>
      <c r="AK6778">
        <v>0</v>
      </c>
      <c r="AL6778">
        <v>0</v>
      </c>
      <c r="AM6778">
        <v>0</v>
      </c>
      <c r="AN6778">
        <v>0</v>
      </c>
      <c r="AO6778">
        <v>0</v>
      </c>
      <c r="AP6778">
        <v>0</v>
      </c>
      <c r="AQ6778">
        <v>0</v>
      </c>
      <c r="AS6778">
        <v>0</v>
      </c>
      <c r="AT6778">
        <v>0</v>
      </c>
      <c r="AV6778">
        <v>0</v>
      </c>
      <c r="AW6778">
        <v>0</v>
      </c>
      <c r="AY6778">
        <v>0</v>
      </c>
      <c r="AZ6778">
        <v>0</v>
      </c>
      <c r="BA6778">
        <v>0</v>
      </c>
      <c r="BE6778" t="str">
        <f>T("9791137006348")</f>
        <v>9791137006348</v>
      </c>
      <c r="BF6778" t="str">
        <f>T("N083073")</f>
        <v>N083073</v>
      </c>
      <c r="BG6778" t="str">
        <f>T("판타지 웹소설 &gt; 퓨전 판타지")</f>
        <v>판타지 웹소설 &gt; 퓨전 판타지</v>
      </c>
    </row>
    <row r="6779" spans="1:59">
      <c r="A6779" t="s">
        <v>60</v>
      </c>
      <c r="B6779" s="1">
        <v>46131</v>
      </c>
      <c r="C6779">
        <v>2378052051</v>
      </c>
      <c r="D6779">
        <v>2378052070</v>
      </c>
      <c r="E6779" t="str">
        <f>T("화력조선 19화")</f>
        <v>화력조선 19화</v>
      </c>
      <c r="F6779">
        <v>20</v>
      </c>
      <c r="G6779" t="str">
        <f>T("보헤미아")</f>
        <v>보헤미아</v>
      </c>
      <c r="J6779" t="str">
        <f>T("매드햇")</f>
        <v>매드햇</v>
      </c>
      <c r="K6779" t="str">
        <f>T("화력조선")</f>
        <v>화력조선</v>
      </c>
      <c r="L6779">
        <v>0</v>
      </c>
      <c r="M6779">
        <v>0</v>
      </c>
      <c r="N6779">
        <v>0</v>
      </c>
      <c r="O6779">
        <v>1</v>
      </c>
      <c r="P6779">
        <v>0</v>
      </c>
      <c r="Q6779">
        <v>0</v>
      </c>
      <c r="R6779">
        <v>0</v>
      </c>
      <c r="S6779">
        <v>0</v>
      </c>
      <c r="T6779">
        <v>0</v>
      </c>
      <c r="U6779">
        <v>0</v>
      </c>
      <c r="V6779">
        <v>0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0</v>
      </c>
      <c r="AE6779">
        <v>0</v>
      </c>
      <c r="AF6779">
        <v>0</v>
      </c>
      <c r="AG6779">
        <v>0</v>
      </c>
      <c r="AH6779">
        <v>0</v>
      </c>
      <c r="AI6779">
        <v>0</v>
      </c>
      <c r="AJ6779">
        <v>1</v>
      </c>
      <c r="AK6779">
        <v>0</v>
      </c>
      <c r="AL6779">
        <v>0</v>
      </c>
      <c r="AM6779">
        <v>0</v>
      </c>
      <c r="AN6779">
        <v>0</v>
      </c>
      <c r="AO6779">
        <v>0</v>
      </c>
      <c r="AP6779">
        <v>0</v>
      </c>
      <c r="AQ6779">
        <v>0</v>
      </c>
      <c r="AS6779">
        <v>0</v>
      </c>
      <c r="AT6779">
        <v>0</v>
      </c>
      <c r="AV6779">
        <v>0</v>
      </c>
      <c r="AW6779">
        <v>0</v>
      </c>
      <c r="AY6779">
        <v>0</v>
      </c>
      <c r="AZ6779">
        <v>0</v>
      </c>
      <c r="BA6779">
        <v>0</v>
      </c>
      <c r="BE6779" t="str">
        <f>T("9791137006348")</f>
        <v>9791137006348</v>
      </c>
      <c r="BF6779" t="str">
        <f>T("N083074")</f>
        <v>N083074</v>
      </c>
      <c r="BG6779" t="str">
        <f>T("판타지 웹소설 &gt; 퓨전 판타지")</f>
        <v>판타지 웹소설 &gt; 퓨전 판타지</v>
      </c>
    </row>
    <row r="6780" spans="1:59">
      <c r="A6780" t="s">
        <v>60</v>
      </c>
      <c r="B6780" s="1">
        <v>46131</v>
      </c>
      <c r="C6780">
        <v>2378052051</v>
      </c>
      <c r="D6780">
        <v>2378052071</v>
      </c>
      <c r="E6780" t="str">
        <f>T("화력조선 20화")</f>
        <v>화력조선 20화</v>
      </c>
      <c r="F6780">
        <v>21</v>
      </c>
      <c r="G6780" t="str">
        <f>T("보헤미아")</f>
        <v>보헤미아</v>
      </c>
      <c r="J6780" t="str">
        <f>T("매드햇")</f>
        <v>매드햇</v>
      </c>
      <c r="K6780" t="str">
        <f>T("화력조선")</f>
        <v>화력조선</v>
      </c>
      <c r="L6780">
        <v>0</v>
      </c>
      <c r="M6780">
        <v>0</v>
      </c>
      <c r="N6780">
        <v>0</v>
      </c>
      <c r="O6780">
        <v>1</v>
      </c>
      <c r="P6780">
        <v>0</v>
      </c>
      <c r="Q6780">
        <v>0</v>
      </c>
      <c r="R6780">
        <v>0</v>
      </c>
      <c r="S6780">
        <v>0</v>
      </c>
      <c r="T6780">
        <v>0</v>
      </c>
      <c r="U6780">
        <v>0</v>
      </c>
      <c r="V6780">
        <v>0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0</v>
      </c>
      <c r="AE6780">
        <v>0</v>
      </c>
      <c r="AF6780">
        <v>0</v>
      </c>
      <c r="AG6780">
        <v>0</v>
      </c>
      <c r="AH6780">
        <v>0</v>
      </c>
      <c r="AI6780">
        <v>0</v>
      </c>
      <c r="AJ6780">
        <v>1</v>
      </c>
      <c r="AK6780">
        <v>0</v>
      </c>
      <c r="AL6780">
        <v>0</v>
      </c>
      <c r="AM6780">
        <v>0</v>
      </c>
      <c r="AN6780">
        <v>0</v>
      </c>
      <c r="AO6780">
        <v>0</v>
      </c>
      <c r="AP6780">
        <v>0</v>
      </c>
      <c r="AQ6780">
        <v>0</v>
      </c>
      <c r="AS6780">
        <v>0</v>
      </c>
      <c r="AT6780">
        <v>0</v>
      </c>
      <c r="AV6780">
        <v>0</v>
      </c>
      <c r="AW6780">
        <v>0</v>
      </c>
      <c r="AY6780">
        <v>0</v>
      </c>
      <c r="AZ6780">
        <v>0</v>
      </c>
      <c r="BA6780">
        <v>0</v>
      </c>
      <c r="BE6780" t="str">
        <f>T("9791137006348")</f>
        <v>9791137006348</v>
      </c>
      <c r="BF6780" t="str">
        <f>T("N083075")</f>
        <v>N083075</v>
      </c>
      <c r="BG6780" t="str">
        <f>T("판타지 웹소설 &gt; 퓨전 판타지")</f>
        <v>판타지 웹소설 &gt; 퓨전 판타지</v>
      </c>
    </row>
    <row r="6781" spans="1:59">
      <c r="A6781" t="s">
        <v>60</v>
      </c>
      <c r="B6781" s="1">
        <v>46131</v>
      </c>
      <c r="C6781">
        <v>2378052051</v>
      </c>
      <c r="D6781">
        <v>2378052072</v>
      </c>
      <c r="E6781" t="str">
        <f>T("화력조선 21화")</f>
        <v>화력조선 21화</v>
      </c>
      <c r="F6781">
        <v>22</v>
      </c>
      <c r="G6781" t="str">
        <f>T("보헤미아")</f>
        <v>보헤미아</v>
      </c>
      <c r="J6781" t="str">
        <f>T("매드햇")</f>
        <v>매드햇</v>
      </c>
      <c r="K6781" t="str">
        <f>T("화력조선")</f>
        <v>화력조선</v>
      </c>
      <c r="L6781">
        <v>0</v>
      </c>
      <c r="M6781">
        <v>0</v>
      </c>
      <c r="N6781">
        <v>0</v>
      </c>
      <c r="O6781">
        <v>1</v>
      </c>
      <c r="P6781">
        <v>0</v>
      </c>
      <c r="Q6781">
        <v>0</v>
      </c>
      <c r="R6781">
        <v>0</v>
      </c>
      <c r="S6781">
        <v>0</v>
      </c>
      <c r="T6781">
        <v>0</v>
      </c>
      <c r="U6781">
        <v>0</v>
      </c>
      <c r="V6781">
        <v>0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0</v>
      </c>
      <c r="AE6781">
        <v>0</v>
      </c>
      <c r="AF6781">
        <v>0</v>
      </c>
      <c r="AG6781">
        <v>0</v>
      </c>
      <c r="AH6781">
        <v>0</v>
      </c>
      <c r="AI6781">
        <v>0</v>
      </c>
      <c r="AJ6781">
        <v>1</v>
      </c>
      <c r="AK6781">
        <v>0</v>
      </c>
      <c r="AL6781">
        <v>0</v>
      </c>
      <c r="AM6781">
        <v>0</v>
      </c>
      <c r="AN6781">
        <v>0</v>
      </c>
      <c r="AO6781">
        <v>0</v>
      </c>
      <c r="AP6781">
        <v>0</v>
      </c>
      <c r="AQ6781">
        <v>0</v>
      </c>
      <c r="AS6781">
        <v>0</v>
      </c>
      <c r="AT6781">
        <v>0</v>
      </c>
      <c r="AV6781">
        <v>0</v>
      </c>
      <c r="AW6781">
        <v>0</v>
      </c>
      <c r="AY6781">
        <v>0</v>
      </c>
      <c r="AZ6781">
        <v>0</v>
      </c>
      <c r="BA6781">
        <v>0</v>
      </c>
      <c r="BE6781" t="str">
        <f>T("9791137006348")</f>
        <v>9791137006348</v>
      </c>
      <c r="BF6781" t="str">
        <f>T("N083076")</f>
        <v>N083076</v>
      </c>
      <c r="BG6781" t="str">
        <f>T("판타지 웹소설 &gt; 퓨전 판타지")</f>
        <v>판타지 웹소설 &gt; 퓨전 판타지</v>
      </c>
    </row>
    <row r="6782" spans="1:59">
      <c r="A6782" t="s">
        <v>60</v>
      </c>
      <c r="B6782" s="1">
        <v>46131</v>
      </c>
      <c r="C6782">
        <v>2378052051</v>
      </c>
      <c r="D6782">
        <v>2378052073</v>
      </c>
      <c r="E6782" t="str">
        <f>T("화력조선 22화")</f>
        <v>화력조선 22화</v>
      </c>
      <c r="F6782">
        <v>23</v>
      </c>
      <c r="G6782" t="str">
        <f>T("보헤미아")</f>
        <v>보헤미아</v>
      </c>
      <c r="J6782" t="str">
        <f>T("매드햇")</f>
        <v>매드햇</v>
      </c>
      <c r="K6782" t="str">
        <f>T("화력조선")</f>
        <v>화력조선</v>
      </c>
      <c r="L6782">
        <v>0</v>
      </c>
      <c r="M6782">
        <v>0</v>
      </c>
      <c r="N6782">
        <v>0</v>
      </c>
      <c r="O6782">
        <v>1</v>
      </c>
      <c r="P6782">
        <v>0</v>
      </c>
      <c r="Q6782">
        <v>0</v>
      </c>
      <c r="R6782">
        <v>0</v>
      </c>
      <c r="S6782">
        <v>0</v>
      </c>
      <c r="T6782">
        <v>0</v>
      </c>
      <c r="U6782">
        <v>0</v>
      </c>
      <c r="V6782">
        <v>0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0</v>
      </c>
      <c r="AE6782">
        <v>0</v>
      </c>
      <c r="AF6782">
        <v>0</v>
      </c>
      <c r="AG6782">
        <v>0</v>
      </c>
      <c r="AH6782">
        <v>0</v>
      </c>
      <c r="AI6782">
        <v>0</v>
      </c>
      <c r="AJ6782">
        <v>1</v>
      </c>
      <c r="AK6782">
        <v>0</v>
      </c>
      <c r="AL6782">
        <v>0</v>
      </c>
      <c r="AM6782">
        <v>0</v>
      </c>
      <c r="AN6782">
        <v>0</v>
      </c>
      <c r="AO6782">
        <v>0</v>
      </c>
      <c r="AP6782">
        <v>0</v>
      </c>
      <c r="AQ6782">
        <v>0</v>
      </c>
      <c r="AS6782">
        <v>0</v>
      </c>
      <c r="AT6782">
        <v>0</v>
      </c>
      <c r="AV6782">
        <v>0</v>
      </c>
      <c r="AW6782">
        <v>0</v>
      </c>
      <c r="AY6782">
        <v>0</v>
      </c>
      <c r="AZ6782">
        <v>0</v>
      </c>
      <c r="BA6782">
        <v>0</v>
      </c>
      <c r="BE6782" t="str">
        <f>T("9791137006348")</f>
        <v>9791137006348</v>
      </c>
      <c r="BF6782" t="str">
        <f>T("N083077")</f>
        <v>N083077</v>
      </c>
      <c r="BG6782" t="str">
        <f>T("판타지 웹소설 &gt; 퓨전 판타지")</f>
        <v>판타지 웹소설 &gt; 퓨전 판타지</v>
      </c>
    </row>
    <row r="6783" spans="1:59">
      <c r="A6783" t="s">
        <v>60</v>
      </c>
      <c r="B6783" s="1">
        <v>46131</v>
      </c>
      <c r="C6783">
        <v>2378052051</v>
      </c>
      <c r="D6783">
        <v>2378052074</v>
      </c>
      <c r="E6783" t="str">
        <f>T("화력조선 23화")</f>
        <v>화력조선 23화</v>
      </c>
      <c r="F6783">
        <v>24</v>
      </c>
      <c r="G6783" t="str">
        <f>T("보헤미아")</f>
        <v>보헤미아</v>
      </c>
      <c r="J6783" t="str">
        <f>T("매드햇")</f>
        <v>매드햇</v>
      </c>
      <c r="K6783" t="str">
        <f>T("화력조선")</f>
        <v>화력조선</v>
      </c>
      <c r="L6783">
        <v>0</v>
      </c>
      <c r="M6783">
        <v>0</v>
      </c>
      <c r="N6783">
        <v>0</v>
      </c>
      <c r="O6783">
        <v>1</v>
      </c>
      <c r="P6783">
        <v>0</v>
      </c>
      <c r="Q6783">
        <v>0</v>
      </c>
      <c r="R6783">
        <v>0</v>
      </c>
      <c r="S6783">
        <v>0</v>
      </c>
      <c r="T6783">
        <v>0</v>
      </c>
      <c r="U6783">
        <v>0</v>
      </c>
      <c r="V6783">
        <v>0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0</v>
      </c>
      <c r="AE6783">
        <v>0</v>
      </c>
      <c r="AF6783">
        <v>0</v>
      </c>
      <c r="AG6783">
        <v>0</v>
      </c>
      <c r="AH6783">
        <v>0</v>
      </c>
      <c r="AI6783">
        <v>0</v>
      </c>
      <c r="AJ6783">
        <v>1</v>
      </c>
      <c r="AK6783">
        <v>0</v>
      </c>
      <c r="AL6783">
        <v>0</v>
      </c>
      <c r="AM6783">
        <v>0</v>
      </c>
      <c r="AN6783">
        <v>0</v>
      </c>
      <c r="AO6783">
        <v>0</v>
      </c>
      <c r="AP6783">
        <v>0</v>
      </c>
      <c r="AQ6783">
        <v>0</v>
      </c>
      <c r="AS6783">
        <v>0</v>
      </c>
      <c r="AT6783">
        <v>0</v>
      </c>
      <c r="AV6783">
        <v>0</v>
      </c>
      <c r="AW6783">
        <v>0</v>
      </c>
      <c r="AY6783">
        <v>0</v>
      </c>
      <c r="AZ6783">
        <v>0</v>
      </c>
      <c r="BA6783">
        <v>0</v>
      </c>
      <c r="BE6783" t="str">
        <f>T("9791137006348")</f>
        <v>9791137006348</v>
      </c>
      <c r="BF6783" t="str">
        <f>T("N083078")</f>
        <v>N083078</v>
      </c>
      <c r="BG6783" t="str">
        <f>T("판타지 웹소설 &gt; 퓨전 판타지")</f>
        <v>판타지 웹소설 &gt; 퓨전 판타지</v>
      </c>
    </row>
    <row r="6784" spans="1:59">
      <c r="A6784" t="s">
        <v>60</v>
      </c>
      <c r="B6784" s="1">
        <v>46131</v>
      </c>
      <c r="C6784">
        <v>2378052051</v>
      </c>
      <c r="D6784">
        <v>2378052075</v>
      </c>
      <c r="E6784" t="str">
        <f>T("화력조선 24화")</f>
        <v>화력조선 24화</v>
      </c>
      <c r="F6784">
        <v>25</v>
      </c>
      <c r="G6784" t="str">
        <f>T("보헤미아")</f>
        <v>보헤미아</v>
      </c>
      <c r="J6784" t="str">
        <f>T("매드햇")</f>
        <v>매드햇</v>
      </c>
      <c r="K6784" t="str">
        <f>T("화력조선")</f>
        <v>화력조선</v>
      </c>
      <c r="L6784">
        <v>0</v>
      </c>
      <c r="M6784">
        <v>0</v>
      </c>
      <c r="N6784">
        <v>0</v>
      </c>
      <c r="O6784">
        <v>1</v>
      </c>
      <c r="P6784">
        <v>0</v>
      </c>
      <c r="Q6784">
        <v>0</v>
      </c>
      <c r="R6784">
        <v>0</v>
      </c>
      <c r="S6784">
        <v>0</v>
      </c>
      <c r="T6784">
        <v>0</v>
      </c>
      <c r="U6784">
        <v>0</v>
      </c>
      <c r="V6784">
        <v>0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0</v>
      </c>
      <c r="AC6784">
        <v>0</v>
      </c>
      <c r="AD6784">
        <v>0</v>
      </c>
      <c r="AE6784">
        <v>0</v>
      </c>
      <c r="AF6784">
        <v>0</v>
      </c>
      <c r="AG6784">
        <v>0</v>
      </c>
      <c r="AH6784">
        <v>0</v>
      </c>
      <c r="AI6784">
        <v>0</v>
      </c>
      <c r="AJ6784">
        <v>1</v>
      </c>
      <c r="AK6784">
        <v>0</v>
      </c>
      <c r="AL6784">
        <v>0</v>
      </c>
      <c r="AM6784">
        <v>0</v>
      </c>
      <c r="AN6784">
        <v>0</v>
      </c>
      <c r="AO6784">
        <v>0</v>
      </c>
      <c r="AP6784">
        <v>0</v>
      </c>
      <c r="AQ6784">
        <v>0</v>
      </c>
      <c r="AS6784">
        <v>0</v>
      </c>
      <c r="AT6784">
        <v>0</v>
      </c>
      <c r="AV6784">
        <v>0</v>
      </c>
      <c r="AW6784">
        <v>0</v>
      </c>
      <c r="AY6784">
        <v>0</v>
      </c>
      <c r="AZ6784">
        <v>0</v>
      </c>
      <c r="BA6784">
        <v>0</v>
      </c>
      <c r="BE6784" t="str">
        <f>T("9791137006348")</f>
        <v>9791137006348</v>
      </c>
      <c r="BF6784" t="str">
        <f>T("N083079")</f>
        <v>N083079</v>
      </c>
      <c r="BG6784" t="str">
        <f>T("판타지 웹소설 &gt; 퓨전 판타지")</f>
        <v>판타지 웹소설 &gt; 퓨전 판타지</v>
      </c>
    </row>
    <row r="6785" spans="1:59">
      <c r="A6785" t="s">
        <v>60</v>
      </c>
      <c r="B6785" s="1">
        <v>46131</v>
      </c>
      <c r="C6785">
        <v>2378052051</v>
      </c>
      <c r="D6785">
        <v>2378052141</v>
      </c>
      <c r="E6785" t="str">
        <f>T("화력조선 90화")</f>
        <v>화력조선 90화</v>
      </c>
      <c r="F6785">
        <v>91</v>
      </c>
      <c r="G6785" t="str">
        <f>T("보헤미아")</f>
        <v>보헤미아</v>
      </c>
      <c r="J6785" t="str">
        <f>T("매드햇")</f>
        <v>매드햇</v>
      </c>
      <c r="K6785" t="str">
        <f>T("화력조선")</f>
        <v>화력조선</v>
      </c>
      <c r="L6785">
        <v>100</v>
      </c>
      <c r="M6785">
        <v>100</v>
      </c>
      <c r="N6785">
        <v>1</v>
      </c>
      <c r="O6785">
        <v>0</v>
      </c>
      <c r="P6785">
        <v>0</v>
      </c>
      <c r="Q6785">
        <v>0</v>
      </c>
      <c r="R6785">
        <v>0</v>
      </c>
      <c r="S6785">
        <v>0</v>
      </c>
      <c r="T6785">
        <v>0</v>
      </c>
      <c r="U6785">
        <v>0</v>
      </c>
      <c r="V6785">
        <v>0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0</v>
      </c>
      <c r="AC6785">
        <v>0</v>
      </c>
      <c r="AD6785">
        <v>0</v>
      </c>
      <c r="AE6785">
        <v>0</v>
      </c>
      <c r="AF6785">
        <v>0</v>
      </c>
      <c r="AG6785">
        <v>0</v>
      </c>
      <c r="AH6785">
        <v>0</v>
      </c>
      <c r="AI6785">
        <v>100</v>
      </c>
      <c r="AJ6785">
        <v>1</v>
      </c>
      <c r="AK6785">
        <v>0</v>
      </c>
      <c r="AL6785">
        <v>0</v>
      </c>
      <c r="AM6785">
        <v>0</v>
      </c>
      <c r="AN6785">
        <v>0</v>
      </c>
      <c r="AO6785">
        <v>120</v>
      </c>
      <c r="AP6785">
        <v>-12</v>
      </c>
      <c r="AQ6785">
        <v>0</v>
      </c>
      <c r="AS6785">
        <v>0</v>
      </c>
      <c r="AT6785">
        <v>0</v>
      </c>
      <c r="AU6785">
        <v>120</v>
      </c>
      <c r="AV6785">
        <v>-12</v>
      </c>
      <c r="AW6785">
        <v>0</v>
      </c>
      <c r="AY6785">
        <v>0</v>
      </c>
      <c r="AZ6785">
        <v>0</v>
      </c>
      <c r="BA6785">
        <v>75.599999999999994</v>
      </c>
      <c r="BE6785" t="str">
        <f>T("9791137006348")</f>
        <v>9791137006348</v>
      </c>
      <c r="BF6785" t="str">
        <f>T("N083145")</f>
        <v>N083145</v>
      </c>
      <c r="BG6785" t="str">
        <f>T("판타지 웹소설 &gt; 퓨전 판타지")</f>
        <v>판타지 웹소설 &gt; 퓨전 판타지</v>
      </c>
    </row>
    <row r="6786" spans="1:59">
      <c r="A6786" t="s">
        <v>60</v>
      </c>
      <c r="B6786" s="1">
        <v>46131</v>
      </c>
      <c r="C6786">
        <v>2378052051</v>
      </c>
      <c r="D6786">
        <v>2378052098</v>
      </c>
      <c r="E6786" t="str">
        <f>T("화력조선 47화")</f>
        <v>화력조선 47화</v>
      </c>
      <c r="F6786">
        <v>48</v>
      </c>
      <c r="G6786" t="str">
        <f>T("보헤미아")</f>
        <v>보헤미아</v>
      </c>
      <c r="J6786" t="str">
        <f>T("매드햇")</f>
        <v>매드햇</v>
      </c>
      <c r="K6786" t="str">
        <f>T("화력조선")</f>
        <v>화력조선</v>
      </c>
      <c r="L6786">
        <v>100</v>
      </c>
      <c r="M6786">
        <v>100</v>
      </c>
      <c r="N6786">
        <v>1</v>
      </c>
      <c r="O6786">
        <v>0</v>
      </c>
      <c r="P6786">
        <v>0</v>
      </c>
      <c r="Q6786">
        <v>0</v>
      </c>
      <c r="R6786">
        <v>0</v>
      </c>
      <c r="S6786">
        <v>0</v>
      </c>
      <c r="T6786">
        <v>0</v>
      </c>
      <c r="U6786">
        <v>0</v>
      </c>
      <c r="V6786">
        <v>0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0</v>
      </c>
      <c r="AC6786">
        <v>0</v>
      </c>
      <c r="AD6786">
        <v>0</v>
      </c>
      <c r="AE6786">
        <v>0</v>
      </c>
      <c r="AF6786">
        <v>0</v>
      </c>
      <c r="AG6786">
        <v>0</v>
      </c>
      <c r="AH6786">
        <v>0</v>
      </c>
      <c r="AI6786">
        <v>100</v>
      </c>
      <c r="AJ6786">
        <v>1</v>
      </c>
      <c r="AK6786">
        <v>0</v>
      </c>
      <c r="AL6786">
        <v>0</v>
      </c>
      <c r="AM6786">
        <v>100</v>
      </c>
      <c r="AN6786">
        <v>0</v>
      </c>
      <c r="AO6786">
        <v>0</v>
      </c>
      <c r="AP6786">
        <v>0</v>
      </c>
      <c r="AQ6786">
        <v>0</v>
      </c>
      <c r="AS6786">
        <v>0</v>
      </c>
      <c r="AT6786">
        <v>0</v>
      </c>
      <c r="AV6786">
        <v>0</v>
      </c>
      <c r="AW6786">
        <v>0</v>
      </c>
      <c r="AY6786">
        <v>0</v>
      </c>
      <c r="AZ6786">
        <v>0</v>
      </c>
      <c r="BA6786">
        <v>70</v>
      </c>
      <c r="BE6786" t="str">
        <f>T("9791137006348")</f>
        <v>9791137006348</v>
      </c>
      <c r="BF6786" t="str">
        <f>T("N083102")</f>
        <v>N083102</v>
      </c>
      <c r="BG6786" t="str">
        <f>T("판타지 웹소설 &gt; 퓨전 판타지")</f>
        <v>판타지 웹소설 &gt; 퓨전 판타지</v>
      </c>
    </row>
    <row r="6787" spans="1:59">
      <c r="A6787" t="s">
        <v>60</v>
      </c>
      <c r="B6787" s="1">
        <v>46131</v>
      </c>
      <c r="C6787">
        <v>2378052051</v>
      </c>
      <c r="D6787">
        <v>2378052142</v>
      </c>
      <c r="E6787" t="str">
        <f>T("화력조선 91화")</f>
        <v>화력조선 91화</v>
      </c>
      <c r="F6787">
        <v>92</v>
      </c>
      <c r="G6787" t="str">
        <f>T("보헤미아")</f>
        <v>보헤미아</v>
      </c>
      <c r="J6787" t="str">
        <f>T("매드햇")</f>
        <v>매드햇</v>
      </c>
      <c r="K6787" t="str">
        <f>T("화력조선")</f>
        <v>화력조선</v>
      </c>
      <c r="L6787">
        <v>100</v>
      </c>
      <c r="M6787">
        <v>100</v>
      </c>
      <c r="N6787">
        <v>1</v>
      </c>
      <c r="O6787">
        <v>0</v>
      </c>
      <c r="P6787">
        <v>0</v>
      </c>
      <c r="Q6787">
        <v>0</v>
      </c>
      <c r="R6787">
        <v>0</v>
      </c>
      <c r="S6787">
        <v>0</v>
      </c>
      <c r="T6787">
        <v>0</v>
      </c>
      <c r="U6787">
        <v>0</v>
      </c>
      <c r="V6787">
        <v>0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0</v>
      </c>
      <c r="AC6787">
        <v>0</v>
      </c>
      <c r="AD6787">
        <v>0</v>
      </c>
      <c r="AE6787">
        <v>0</v>
      </c>
      <c r="AF6787">
        <v>0</v>
      </c>
      <c r="AG6787">
        <v>0</v>
      </c>
      <c r="AH6787">
        <v>0</v>
      </c>
      <c r="AI6787">
        <v>100</v>
      </c>
      <c r="AJ6787">
        <v>1</v>
      </c>
      <c r="AK6787">
        <v>0</v>
      </c>
      <c r="AL6787">
        <v>0</v>
      </c>
      <c r="AM6787">
        <v>0</v>
      </c>
      <c r="AN6787">
        <v>0</v>
      </c>
      <c r="AO6787">
        <v>120</v>
      </c>
      <c r="AP6787">
        <v>-12</v>
      </c>
      <c r="AQ6787">
        <v>0</v>
      </c>
      <c r="AS6787">
        <v>0</v>
      </c>
      <c r="AT6787">
        <v>0</v>
      </c>
      <c r="AU6787">
        <v>120</v>
      </c>
      <c r="AV6787">
        <v>-12</v>
      </c>
      <c r="AW6787">
        <v>0</v>
      </c>
      <c r="AY6787">
        <v>0</v>
      </c>
      <c r="AZ6787">
        <v>0</v>
      </c>
      <c r="BA6787">
        <v>75.599999999999994</v>
      </c>
      <c r="BE6787" t="str">
        <f>T("9791137006348")</f>
        <v>9791137006348</v>
      </c>
      <c r="BF6787" t="str">
        <f>T("N083146")</f>
        <v>N083146</v>
      </c>
      <c r="BG6787" t="str">
        <f>T("판타지 웹소설 &gt; 퓨전 판타지")</f>
        <v>판타지 웹소설 &gt; 퓨전 판타지</v>
      </c>
    </row>
    <row r="6788" spans="1:59">
      <c r="A6788" t="s">
        <v>60</v>
      </c>
      <c r="B6788" s="1">
        <v>46131</v>
      </c>
      <c r="C6788">
        <v>2378052051</v>
      </c>
      <c r="D6788">
        <v>2378052099</v>
      </c>
      <c r="E6788" t="str">
        <f>T("화력조선 48화")</f>
        <v>화력조선 48화</v>
      </c>
      <c r="F6788">
        <v>49</v>
      </c>
      <c r="G6788" t="str">
        <f>T("보헤미아")</f>
        <v>보헤미아</v>
      </c>
      <c r="J6788" t="str">
        <f>T("매드햇")</f>
        <v>매드햇</v>
      </c>
      <c r="K6788" t="str">
        <f>T("화력조선")</f>
        <v>화력조선</v>
      </c>
      <c r="L6788">
        <v>100</v>
      </c>
      <c r="M6788">
        <v>100</v>
      </c>
      <c r="N6788">
        <v>1</v>
      </c>
      <c r="O6788">
        <v>0</v>
      </c>
      <c r="P6788">
        <v>0</v>
      </c>
      <c r="Q6788">
        <v>0</v>
      </c>
      <c r="R6788">
        <v>0</v>
      </c>
      <c r="S6788">
        <v>0</v>
      </c>
      <c r="T6788">
        <v>0</v>
      </c>
      <c r="U6788">
        <v>0</v>
      </c>
      <c r="V6788">
        <v>0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0</v>
      </c>
      <c r="AC6788">
        <v>0</v>
      </c>
      <c r="AD6788">
        <v>0</v>
      </c>
      <c r="AE6788">
        <v>0</v>
      </c>
      <c r="AF6788">
        <v>0</v>
      </c>
      <c r="AG6788">
        <v>0</v>
      </c>
      <c r="AH6788">
        <v>0</v>
      </c>
      <c r="AI6788">
        <v>100</v>
      </c>
      <c r="AJ6788">
        <v>1</v>
      </c>
      <c r="AK6788">
        <v>0</v>
      </c>
      <c r="AL6788">
        <v>0</v>
      </c>
      <c r="AM6788">
        <v>100</v>
      </c>
      <c r="AN6788">
        <v>0</v>
      </c>
      <c r="AO6788">
        <v>0</v>
      </c>
      <c r="AP6788">
        <v>0</v>
      </c>
      <c r="AQ6788">
        <v>0</v>
      </c>
      <c r="AS6788">
        <v>0</v>
      </c>
      <c r="AT6788">
        <v>0</v>
      </c>
      <c r="AV6788">
        <v>0</v>
      </c>
      <c r="AW6788">
        <v>0</v>
      </c>
      <c r="AY6788">
        <v>0</v>
      </c>
      <c r="AZ6788">
        <v>0</v>
      </c>
      <c r="BA6788">
        <v>70</v>
      </c>
      <c r="BE6788" t="str">
        <f>T("9791137006348")</f>
        <v>9791137006348</v>
      </c>
      <c r="BF6788" t="str">
        <f>T("N083103")</f>
        <v>N083103</v>
      </c>
      <c r="BG6788" t="str">
        <f>T("판타지 웹소설 &gt; 퓨전 판타지")</f>
        <v>판타지 웹소설 &gt; 퓨전 판타지</v>
      </c>
    </row>
    <row r="6789" spans="1:59">
      <c r="A6789" t="s">
        <v>60</v>
      </c>
      <c r="B6789" s="1">
        <v>46131</v>
      </c>
      <c r="C6789">
        <v>2378052051</v>
      </c>
      <c r="D6789">
        <v>2378052100</v>
      </c>
      <c r="E6789" t="str">
        <f>T("화력조선 49화")</f>
        <v>화력조선 49화</v>
      </c>
      <c r="F6789">
        <v>50</v>
      </c>
      <c r="G6789" t="str">
        <f>T("보헤미아")</f>
        <v>보헤미아</v>
      </c>
      <c r="J6789" t="str">
        <f>T("매드햇")</f>
        <v>매드햇</v>
      </c>
      <c r="K6789" t="str">
        <f>T("화력조선")</f>
        <v>화력조선</v>
      </c>
      <c r="L6789">
        <v>100</v>
      </c>
      <c r="M6789">
        <v>100</v>
      </c>
      <c r="N6789">
        <v>1</v>
      </c>
      <c r="O6789">
        <v>0</v>
      </c>
      <c r="P6789">
        <v>0</v>
      </c>
      <c r="Q6789">
        <v>0</v>
      </c>
      <c r="R6789">
        <v>0</v>
      </c>
      <c r="S6789">
        <v>0</v>
      </c>
      <c r="T6789">
        <v>0</v>
      </c>
      <c r="U6789">
        <v>0</v>
      </c>
      <c r="V6789">
        <v>0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0</v>
      </c>
      <c r="AC6789">
        <v>0</v>
      </c>
      <c r="AD6789">
        <v>0</v>
      </c>
      <c r="AE6789">
        <v>0</v>
      </c>
      <c r="AF6789">
        <v>0</v>
      </c>
      <c r="AG6789">
        <v>0</v>
      </c>
      <c r="AH6789">
        <v>0</v>
      </c>
      <c r="AI6789">
        <v>100</v>
      </c>
      <c r="AJ6789">
        <v>1</v>
      </c>
      <c r="AK6789">
        <v>0</v>
      </c>
      <c r="AL6789">
        <v>0</v>
      </c>
      <c r="AM6789">
        <v>100</v>
      </c>
      <c r="AN6789">
        <v>0</v>
      </c>
      <c r="AO6789">
        <v>0</v>
      </c>
      <c r="AP6789">
        <v>0</v>
      </c>
      <c r="AQ6789">
        <v>0</v>
      </c>
      <c r="AS6789">
        <v>0</v>
      </c>
      <c r="AT6789">
        <v>0</v>
      </c>
      <c r="AV6789">
        <v>0</v>
      </c>
      <c r="AW6789">
        <v>0</v>
      </c>
      <c r="AY6789">
        <v>0</v>
      </c>
      <c r="AZ6789">
        <v>0</v>
      </c>
      <c r="BA6789">
        <v>70</v>
      </c>
      <c r="BE6789" t="str">
        <f>T("9791137006348")</f>
        <v>9791137006348</v>
      </c>
      <c r="BF6789" t="str">
        <f>T("N083104")</f>
        <v>N083104</v>
      </c>
      <c r="BG6789" t="str">
        <f>T("판타지 웹소설 &gt; 퓨전 판타지")</f>
        <v>판타지 웹소설 &gt; 퓨전 판타지</v>
      </c>
    </row>
    <row r="6790" spans="1:59">
      <c r="A6790" t="s">
        <v>60</v>
      </c>
      <c r="B6790" s="1">
        <v>46131</v>
      </c>
      <c r="C6790">
        <v>2378052051</v>
      </c>
      <c r="D6790">
        <v>2378052143</v>
      </c>
      <c r="E6790" t="str">
        <f>T("화력조선 92화")</f>
        <v>화력조선 92화</v>
      </c>
      <c r="F6790">
        <v>93</v>
      </c>
      <c r="G6790" t="str">
        <f>T("보헤미아")</f>
        <v>보헤미아</v>
      </c>
      <c r="J6790" t="str">
        <f>T("매드햇")</f>
        <v>매드햇</v>
      </c>
      <c r="K6790" t="str">
        <f>T("화력조선")</f>
        <v>화력조선</v>
      </c>
      <c r="L6790">
        <v>100</v>
      </c>
      <c r="M6790">
        <v>100</v>
      </c>
      <c r="N6790">
        <v>1</v>
      </c>
      <c r="O6790">
        <v>0</v>
      </c>
      <c r="P6790">
        <v>0</v>
      </c>
      <c r="Q6790">
        <v>0</v>
      </c>
      <c r="R6790">
        <v>0</v>
      </c>
      <c r="S6790">
        <v>0</v>
      </c>
      <c r="T6790">
        <v>0</v>
      </c>
      <c r="U6790">
        <v>0</v>
      </c>
      <c r="V6790">
        <v>0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0</v>
      </c>
      <c r="AC6790">
        <v>0</v>
      </c>
      <c r="AD6790">
        <v>0</v>
      </c>
      <c r="AE6790">
        <v>0</v>
      </c>
      <c r="AF6790">
        <v>0</v>
      </c>
      <c r="AG6790">
        <v>0</v>
      </c>
      <c r="AH6790">
        <v>0</v>
      </c>
      <c r="AI6790">
        <v>100</v>
      </c>
      <c r="AJ6790">
        <v>1</v>
      </c>
      <c r="AK6790">
        <v>0</v>
      </c>
      <c r="AL6790">
        <v>0</v>
      </c>
      <c r="AM6790">
        <v>0</v>
      </c>
      <c r="AN6790">
        <v>0</v>
      </c>
      <c r="AO6790">
        <v>120</v>
      </c>
      <c r="AP6790">
        <v>-12</v>
      </c>
      <c r="AQ6790">
        <v>0</v>
      </c>
      <c r="AS6790">
        <v>0</v>
      </c>
      <c r="AT6790">
        <v>0</v>
      </c>
      <c r="AU6790">
        <v>120</v>
      </c>
      <c r="AV6790">
        <v>-12</v>
      </c>
      <c r="AW6790">
        <v>0</v>
      </c>
      <c r="AY6790">
        <v>0</v>
      </c>
      <c r="AZ6790">
        <v>0</v>
      </c>
      <c r="BA6790">
        <v>75.599999999999994</v>
      </c>
      <c r="BE6790" t="str">
        <f>T("9791137006348")</f>
        <v>9791137006348</v>
      </c>
      <c r="BF6790" t="str">
        <f>T("N083147")</f>
        <v>N083147</v>
      </c>
      <c r="BG6790" t="str">
        <f>T("판타지 웹소설 &gt; 퓨전 판타지")</f>
        <v>판타지 웹소설 &gt; 퓨전 판타지</v>
      </c>
    </row>
    <row r="6791" spans="1:59">
      <c r="A6791" t="s">
        <v>60</v>
      </c>
      <c r="B6791" s="1">
        <v>46131</v>
      </c>
      <c r="C6791">
        <v>2378052051</v>
      </c>
      <c r="D6791">
        <v>2378052076</v>
      </c>
      <c r="E6791" t="str">
        <f>T("화력조선 25화")</f>
        <v>화력조선 25화</v>
      </c>
      <c r="F6791">
        <v>26</v>
      </c>
      <c r="G6791" t="str">
        <f>T("보헤미아")</f>
        <v>보헤미아</v>
      </c>
      <c r="J6791" t="str">
        <f>T("매드햇")</f>
        <v>매드햇</v>
      </c>
      <c r="K6791" t="str">
        <f>T("화력조선")</f>
        <v>화력조선</v>
      </c>
      <c r="L6791">
        <v>100</v>
      </c>
      <c r="M6791">
        <v>100</v>
      </c>
      <c r="N6791">
        <v>1</v>
      </c>
      <c r="O6791">
        <v>0</v>
      </c>
      <c r="P6791">
        <v>0</v>
      </c>
      <c r="Q6791">
        <v>0</v>
      </c>
      <c r="R6791">
        <v>0</v>
      </c>
      <c r="S6791">
        <v>0</v>
      </c>
      <c r="T6791">
        <v>0</v>
      </c>
      <c r="U6791">
        <v>0</v>
      </c>
      <c r="V6791">
        <v>0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0</v>
      </c>
      <c r="AC6791">
        <v>0</v>
      </c>
      <c r="AD6791">
        <v>0</v>
      </c>
      <c r="AE6791">
        <v>0</v>
      </c>
      <c r="AF6791">
        <v>0</v>
      </c>
      <c r="AG6791">
        <v>0</v>
      </c>
      <c r="AH6791">
        <v>0</v>
      </c>
      <c r="AI6791">
        <v>100</v>
      </c>
      <c r="AJ6791">
        <v>1</v>
      </c>
      <c r="AK6791">
        <v>0</v>
      </c>
      <c r="AL6791">
        <v>0</v>
      </c>
      <c r="AM6791">
        <v>100</v>
      </c>
      <c r="AN6791">
        <v>0</v>
      </c>
      <c r="AO6791">
        <v>0</v>
      </c>
      <c r="AP6791">
        <v>0</v>
      </c>
      <c r="AQ6791">
        <v>0</v>
      </c>
      <c r="AS6791">
        <v>0</v>
      </c>
      <c r="AT6791">
        <v>0</v>
      </c>
      <c r="AV6791">
        <v>0</v>
      </c>
      <c r="AW6791">
        <v>0</v>
      </c>
      <c r="AY6791">
        <v>0</v>
      </c>
      <c r="AZ6791">
        <v>0</v>
      </c>
      <c r="BA6791">
        <v>70</v>
      </c>
      <c r="BE6791" t="str">
        <f>T("9791137006348")</f>
        <v>9791137006348</v>
      </c>
      <c r="BF6791" t="str">
        <f>T("N083080")</f>
        <v>N083080</v>
      </c>
      <c r="BG6791" t="str">
        <f>T("판타지 웹소설 &gt; 퓨전 판타지")</f>
        <v>판타지 웹소설 &gt; 퓨전 판타지</v>
      </c>
    </row>
    <row r="6792" spans="1:59">
      <c r="A6792" t="s">
        <v>60</v>
      </c>
      <c r="B6792" s="1">
        <v>46131</v>
      </c>
      <c r="C6792">
        <v>2378052051</v>
      </c>
      <c r="D6792">
        <v>2378052077</v>
      </c>
      <c r="E6792" t="str">
        <f>T("화력조선 26화")</f>
        <v>화력조선 26화</v>
      </c>
      <c r="F6792">
        <v>27</v>
      </c>
      <c r="G6792" t="str">
        <f>T("보헤미아")</f>
        <v>보헤미아</v>
      </c>
      <c r="J6792" t="str">
        <f>T("매드햇")</f>
        <v>매드햇</v>
      </c>
      <c r="K6792" t="str">
        <f>T("화력조선")</f>
        <v>화력조선</v>
      </c>
      <c r="L6792">
        <v>100</v>
      </c>
      <c r="M6792">
        <v>100</v>
      </c>
      <c r="N6792">
        <v>1</v>
      </c>
      <c r="O6792">
        <v>0</v>
      </c>
      <c r="P6792">
        <v>0</v>
      </c>
      <c r="Q6792">
        <v>0</v>
      </c>
      <c r="R6792">
        <v>0</v>
      </c>
      <c r="S6792">
        <v>0</v>
      </c>
      <c r="T6792">
        <v>0</v>
      </c>
      <c r="U6792">
        <v>0</v>
      </c>
      <c r="V6792">
        <v>0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0</v>
      </c>
      <c r="AC6792">
        <v>0</v>
      </c>
      <c r="AD6792">
        <v>0</v>
      </c>
      <c r="AE6792">
        <v>0</v>
      </c>
      <c r="AF6792">
        <v>0</v>
      </c>
      <c r="AG6792">
        <v>0</v>
      </c>
      <c r="AH6792">
        <v>0</v>
      </c>
      <c r="AI6792">
        <v>100</v>
      </c>
      <c r="AJ6792">
        <v>1</v>
      </c>
      <c r="AK6792">
        <v>0</v>
      </c>
      <c r="AL6792">
        <v>0</v>
      </c>
      <c r="AM6792">
        <v>100</v>
      </c>
      <c r="AN6792">
        <v>0</v>
      </c>
      <c r="AO6792">
        <v>0</v>
      </c>
      <c r="AP6792">
        <v>0</v>
      </c>
      <c r="AQ6792">
        <v>0</v>
      </c>
      <c r="AS6792">
        <v>0</v>
      </c>
      <c r="AT6792">
        <v>0</v>
      </c>
      <c r="AV6792">
        <v>0</v>
      </c>
      <c r="AW6792">
        <v>0</v>
      </c>
      <c r="AY6792">
        <v>0</v>
      </c>
      <c r="AZ6792">
        <v>0</v>
      </c>
      <c r="BA6792">
        <v>70</v>
      </c>
      <c r="BE6792" t="str">
        <f>T("9791137006348")</f>
        <v>9791137006348</v>
      </c>
      <c r="BF6792" t="str">
        <f>T("N083081")</f>
        <v>N083081</v>
      </c>
      <c r="BG6792" t="str">
        <f>T("판타지 웹소설 &gt; 퓨전 판타지")</f>
        <v>판타지 웹소설 &gt; 퓨전 판타지</v>
      </c>
    </row>
    <row r="6793" spans="1:59">
      <c r="A6793" t="s">
        <v>60</v>
      </c>
      <c r="B6793" s="1">
        <v>46131</v>
      </c>
      <c r="C6793">
        <v>2378052051</v>
      </c>
      <c r="D6793">
        <v>2378052078</v>
      </c>
      <c r="E6793" t="str">
        <f>T("화력조선 27화")</f>
        <v>화력조선 27화</v>
      </c>
      <c r="F6793">
        <v>28</v>
      </c>
      <c r="G6793" t="str">
        <f>T("보헤미아")</f>
        <v>보헤미아</v>
      </c>
      <c r="J6793" t="str">
        <f>T("매드햇")</f>
        <v>매드햇</v>
      </c>
      <c r="K6793" t="str">
        <f>T("화력조선")</f>
        <v>화력조선</v>
      </c>
      <c r="L6793">
        <v>100</v>
      </c>
      <c r="M6793">
        <v>100</v>
      </c>
      <c r="N6793">
        <v>1</v>
      </c>
      <c r="O6793">
        <v>0</v>
      </c>
      <c r="P6793">
        <v>0</v>
      </c>
      <c r="Q6793">
        <v>0</v>
      </c>
      <c r="R6793">
        <v>0</v>
      </c>
      <c r="S6793">
        <v>0</v>
      </c>
      <c r="T6793">
        <v>0</v>
      </c>
      <c r="U6793">
        <v>0</v>
      </c>
      <c r="V6793">
        <v>0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0</v>
      </c>
      <c r="AC6793">
        <v>0</v>
      </c>
      <c r="AD6793">
        <v>0</v>
      </c>
      <c r="AE6793">
        <v>0</v>
      </c>
      <c r="AF6793">
        <v>0</v>
      </c>
      <c r="AG6793">
        <v>0</v>
      </c>
      <c r="AH6793">
        <v>0</v>
      </c>
      <c r="AI6793">
        <v>100</v>
      </c>
      <c r="AJ6793">
        <v>1</v>
      </c>
      <c r="AK6793">
        <v>0</v>
      </c>
      <c r="AL6793">
        <v>0</v>
      </c>
      <c r="AM6793">
        <v>100</v>
      </c>
      <c r="AN6793">
        <v>0</v>
      </c>
      <c r="AO6793">
        <v>0</v>
      </c>
      <c r="AP6793">
        <v>0</v>
      </c>
      <c r="AQ6793">
        <v>0</v>
      </c>
      <c r="AS6793">
        <v>0</v>
      </c>
      <c r="AT6793">
        <v>0</v>
      </c>
      <c r="AV6793">
        <v>0</v>
      </c>
      <c r="AW6793">
        <v>0</v>
      </c>
      <c r="AY6793">
        <v>0</v>
      </c>
      <c r="AZ6793">
        <v>0</v>
      </c>
      <c r="BA6793">
        <v>70</v>
      </c>
      <c r="BE6793" t="str">
        <f>T("9791137006348")</f>
        <v>9791137006348</v>
      </c>
      <c r="BF6793" t="str">
        <f>T("N083082")</f>
        <v>N083082</v>
      </c>
      <c r="BG6793" t="str">
        <f>T("판타지 웹소설 &gt; 퓨전 판타지")</f>
        <v>판타지 웹소설 &gt; 퓨전 판타지</v>
      </c>
    </row>
    <row r="6794" spans="1:59">
      <c r="A6794" t="s">
        <v>60</v>
      </c>
      <c r="B6794" s="1">
        <v>46131</v>
      </c>
      <c r="C6794">
        <v>2378052051</v>
      </c>
      <c r="D6794">
        <v>2378052079</v>
      </c>
      <c r="E6794" t="str">
        <f>T("화력조선 28화")</f>
        <v>화력조선 28화</v>
      </c>
      <c r="F6794">
        <v>29</v>
      </c>
      <c r="G6794" t="str">
        <f>T("보헤미아")</f>
        <v>보헤미아</v>
      </c>
      <c r="J6794" t="str">
        <f>T("매드햇")</f>
        <v>매드햇</v>
      </c>
      <c r="K6794" t="str">
        <f>T("화력조선")</f>
        <v>화력조선</v>
      </c>
      <c r="L6794">
        <v>100</v>
      </c>
      <c r="M6794">
        <v>100</v>
      </c>
      <c r="N6794">
        <v>1</v>
      </c>
      <c r="O6794">
        <v>0</v>
      </c>
      <c r="P6794">
        <v>0</v>
      </c>
      <c r="Q6794">
        <v>0</v>
      </c>
      <c r="R6794">
        <v>0</v>
      </c>
      <c r="S6794">
        <v>0</v>
      </c>
      <c r="T6794">
        <v>0</v>
      </c>
      <c r="U6794">
        <v>0</v>
      </c>
      <c r="V6794">
        <v>0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0</v>
      </c>
      <c r="AC6794">
        <v>0</v>
      </c>
      <c r="AD6794">
        <v>0</v>
      </c>
      <c r="AE6794">
        <v>0</v>
      </c>
      <c r="AF6794">
        <v>0</v>
      </c>
      <c r="AG6794">
        <v>0</v>
      </c>
      <c r="AH6794">
        <v>0</v>
      </c>
      <c r="AI6794">
        <v>100</v>
      </c>
      <c r="AJ6794">
        <v>1</v>
      </c>
      <c r="AK6794">
        <v>0</v>
      </c>
      <c r="AL6794">
        <v>0</v>
      </c>
      <c r="AM6794">
        <v>100</v>
      </c>
      <c r="AN6794">
        <v>0</v>
      </c>
      <c r="AO6794">
        <v>0</v>
      </c>
      <c r="AP6794">
        <v>0</v>
      </c>
      <c r="AQ6794">
        <v>0</v>
      </c>
      <c r="AS6794">
        <v>0</v>
      </c>
      <c r="AT6794">
        <v>0</v>
      </c>
      <c r="AV6794">
        <v>0</v>
      </c>
      <c r="AW6794">
        <v>0</v>
      </c>
      <c r="AY6794">
        <v>0</v>
      </c>
      <c r="AZ6794">
        <v>0</v>
      </c>
      <c r="BA6794">
        <v>70</v>
      </c>
      <c r="BE6794" t="str">
        <f>T("9791137006348")</f>
        <v>9791137006348</v>
      </c>
      <c r="BF6794" t="str">
        <f>T("N083083")</f>
        <v>N083083</v>
      </c>
      <c r="BG6794" t="str">
        <f>T("판타지 웹소설 &gt; 퓨전 판타지")</f>
        <v>판타지 웹소설 &gt; 퓨전 판타지</v>
      </c>
    </row>
    <row r="6795" spans="1:59">
      <c r="A6795" t="s">
        <v>60</v>
      </c>
      <c r="B6795" s="1">
        <v>46131</v>
      </c>
      <c r="C6795">
        <v>2378052051</v>
      </c>
      <c r="D6795">
        <v>2378052111</v>
      </c>
      <c r="E6795" t="str">
        <f>T("화력조선 60화")</f>
        <v>화력조선 60화</v>
      </c>
      <c r="F6795">
        <v>61</v>
      </c>
      <c r="G6795" t="str">
        <f>T("보헤미아")</f>
        <v>보헤미아</v>
      </c>
      <c r="J6795" t="str">
        <f>T("매드햇")</f>
        <v>매드햇</v>
      </c>
      <c r="K6795" t="str">
        <f>T("화력조선")</f>
        <v>화력조선</v>
      </c>
      <c r="L6795">
        <v>100</v>
      </c>
      <c r="M6795">
        <v>100</v>
      </c>
      <c r="N6795">
        <v>1</v>
      </c>
      <c r="O6795">
        <v>0</v>
      </c>
      <c r="P6795">
        <v>0</v>
      </c>
      <c r="Q6795">
        <v>0</v>
      </c>
      <c r="R6795">
        <v>0</v>
      </c>
      <c r="S6795">
        <v>0</v>
      </c>
      <c r="T6795">
        <v>0</v>
      </c>
      <c r="U6795">
        <v>0</v>
      </c>
      <c r="V6795">
        <v>0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0</v>
      </c>
      <c r="AC6795">
        <v>0</v>
      </c>
      <c r="AD6795">
        <v>0</v>
      </c>
      <c r="AE6795">
        <v>0</v>
      </c>
      <c r="AF6795">
        <v>0</v>
      </c>
      <c r="AG6795">
        <v>0</v>
      </c>
      <c r="AH6795">
        <v>0</v>
      </c>
      <c r="AI6795">
        <v>100</v>
      </c>
      <c r="AJ6795">
        <v>1</v>
      </c>
      <c r="AK6795">
        <v>0</v>
      </c>
      <c r="AL6795">
        <v>0</v>
      </c>
      <c r="AM6795">
        <v>0</v>
      </c>
      <c r="AN6795">
        <v>0</v>
      </c>
      <c r="AO6795">
        <v>120</v>
      </c>
      <c r="AP6795">
        <v>-12</v>
      </c>
      <c r="AQ6795">
        <v>0</v>
      </c>
      <c r="AS6795">
        <v>0</v>
      </c>
      <c r="AT6795">
        <v>0</v>
      </c>
      <c r="AU6795">
        <v>120</v>
      </c>
      <c r="AV6795">
        <v>-12</v>
      </c>
      <c r="AW6795">
        <v>0</v>
      </c>
      <c r="AY6795">
        <v>0</v>
      </c>
      <c r="AZ6795">
        <v>0</v>
      </c>
      <c r="BA6795">
        <v>75.599999999999994</v>
      </c>
      <c r="BE6795" t="str">
        <f>T("9791137006348")</f>
        <v>9791137006348</v>
      </c>
      <c r="BF6795" t="str">
        <f>T("N083115")</f>
        <v>N083115</v>
      </c>
      <c r="BG6795" t="str">
        <f>T("판타지 웹소설 &gt; 퓨전 판타지")</f>
        <v>판타지 웹소설 &gt; 퓨전 판타지</v>
      </c>
    </row>
    <row r="6796" spans="1:59">
      <c r="A6796" t="s">
        <v>60</v>
      </c>
      <c r="B6796" s="1">
        <v>46131</v>
      </c>
      <c r="C6796">
        <v>2378052051</v>
      </c>
      <c r="D6796">
        <v>2378052112</v>
      </c>
      <c r="E6796" t="str">
        <f>T("화력조선 61화")</f>
        <v>화력조선 61화</v>
      </c>
      <c r="F6796">
        <v>62</v>
      </c>
      <c r="G6796" t="str">
        <f>T("보헤미아")</f>
        <v>보헤미아</v>
      </c>
      <c r="J6796" t="str">
        <f>T("매드햇")</f>
        <v>매드햇</v>
      </c>
      <c r="K6796" t="str">
        <f>T("화력조선")</f>
        <v>화력조선</v>
      </c>
      <c r="L6796">
        <v>100</v>
      </c>
      <c r="M6796">
        <v>100</v>
      </c>
      <c r="N6796">
        <v>1</v>
      </c>
      <c r="O6796">
        <v>0</v>
      </c>
      <c r="P6796">
        <v>0</v>
      </c>
      <c r="Q6796">
        <v>0</v>
      </c>
      <c r="R6796">
        <v>0</v>
      </c>
      <c r="S6796">
        <v>0</v>
      </c>
      <c r="T6796">
        <v>0</v>
      </c>
      <c r="U6796">
        <v>0</v>
      </c>
      <c r="V6796">
        <v>0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0</v>
      </c>
      <c r="AC6796">
        <v>0</v>
      </c>
      <c r="AD6796">
        <v>0</v>
      </c>
      <c r="AE6796">
        <v>0</v>
      </c>
      <c r="AF6796">
        <v>0</v>
      </c>
      <c r="AG6796">
        <v>0</v>
      </c>
      <c r="AH6796">
        <v>0</v>
      </c>
      <c r="AI6796">
        <v>100</v>
      </c>
      <c r="AJ6796">
        <v>1</v>
      </c>
      <c r="AK6796">
        <v>0</v>
      </c>
      <c r="AL6796">
        <v>0</v>
      </c>
      <c r="AM6796">
        <v>0</v>
      </c>
      <c r="AN6796">
        <v>0</v>
      </c>
      <c r="AO6796">
        <v>120</v>
      </c>
      <c r="AP6796">
        <v>-12</v>
      </c>
      <c r="AQ6796">
        <v>0</v>
      </c>
      <c r="AS6796">
        <v>0</v>
      </c>
      <c r="AT6796">
        <v>0</v>
      </c>
      <c r="AU6796">
        <v>120</v>
      </c>
      <c r="AV6796">
        <v>-12</v>
      </c>
      <c r="AW6796">
        <v>0</v>
      </c>
      <c r="AY6796">
        <v>0</v>
      </c>
      <c r="AZ6796">
        <v>0</v>
      </c>
      <c r="BA6796">
        <v>75.599999999999994</v>
      </c>
      <c r="BE6796" t="str">
        <f>T("9791137006348")</f>
        <v>9791137006348</v>
      </c>
      <c r="BF6796" t="str">
        <f>T("N083116")</f>
        <v>N083116</v>
      </c>
      <c r="BG6796" t="str">
        <f>T("판타지 웹소설 &gt; 퓨전 판타지")</f>
        <v>판타지 웹소설 &gt; 퓨전 판타지</v>
      </c>
    </row>
    <row r="6797" spans="1:59">
      <c r="A6797" t="s">
        <v>60</v>
      </c>
      <c r="B6797" s="1">
        <v>46131</v>
      </c>
      <c r="C6797">
        <v>2378052051</v>
      </c>
      <c r="D6797">
        <v>2378052113</v>
      </c>
      <c r="E6797" t="str">
        <f>T("화력조선 62화")</f>
        <v>화력조선 62화</v>
      </c>
      <c r="F6797">
        <v>63</v>
      </c>
      <c r="G6797" t="str">
        <f>T("보헤미아")</f>
        <v>보헤미아</v>
      </c>
      <c r="J6797" t="str">
        <f>T("매드햇")</f>
        <v>매드햇</v>
      </c>
      <c r="K6797" t="str">
        <f>T("화력조선")</f>
        <v>화력조선</v>
      </c>
      <c r="L6797">
        <v>100</v>
      </c>
      <c r="M6797">
        <v>100</v>
      </c>
      <c r="N6797">
        <v>1</v>
      </c>
      <c r="O6797">
        <v>0</v>
      </c>
      <c r="P6797">
        <v>0</v>
      </c>
      <c r="Q6797">
        <v>0</v>
      </c>
      <c r="R6797">
        <v>0</v>
      </c>
      <c r="S6797">
        <v>0</v>
      </c>
      <c r="T6797">
        <v>0</v>
      </c>
      <c r="U6797">
        <v>0</v>
      </c>
      <c r="V6797">
        <v>0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0</v>
      </c>
      <c r="AC6797">
        <v>0</v>
      </c>
      <c r="AD6797">
        <v>0</v>
      </c>
      <c r="AE6797">
        <v>0</v>
      </c>
      <c r="AF6797">
        <v>0</v>
      </c>
      <c r="AG6797">
        <v>0</v>
      </c>
      <c r="AH6797">
        <v>0</v>
      </c>
      <c r="AI6797">
        <v>100</v>
      </c>
      <c r="AJ6797">
        <v>1</v>
      </c>
      <c r="AK6797">
        <v>0</v>
      </c>
      <c r="AL6797">
        <v>0</v>
      </c>
      <c r="AM6797">
        <v>0</v>
      </c>
      <c r="AN6797">
        <v>0</v>
      </c>
      <c r="AO6797">
        <v>120</v>
      </c>
      <c r="AP6797">
        <v>-12</v>
      </c>
      <c r="AQ6797">
        <v>0</v>
      </c>
      <c r="AS6797">
        <v>0</v>
      </c>
      <c r="AT6797">
        <v>0</v>
      </c>
      <c r="AU6797">
        <v>120</v>
      </c>
      <c r="AV6797">
        <v>-12</v>
      </c>
      <c r="AW6797">
        <v>0</v>
      </c>
      <c r="AY6797">
        <v>0</v>
      </c>
      <c r="AZ6797">
        <v>0</v>
      </c>
      <c r="BA6797">
        <v>75.599999999999994</v>
      </c>
      <c r="BE6797" t="str">
        <f>T("9791137006348")</f>
        <v>9791137006348</v>
      </c>
      <c r="BF6797" t="str">
        <f>T("N083117")</f>
        <v>N083117</v>
      </c>
      <c r="BG6797" t="str">
        <f>T("판타지 웹소설 &gt; 퓨전 판타지")</f>
        <v>판타지 웹소설 &gt; 퓨전 판타지</v>
      </c>
    </row>
    <row r="6798" spans="1:59">
      <c r="A6798" t="s">
        <v>60</v>
      </c>
      <c r="B6798" s="1">
        <v>46131</v>
      </c>
      <c r="C6798">
        <v>2378052051</v>
      </c>
      <c r="D6798">
        <v>2378052114</v>
      </c>
      <c r="E6798" t="str">
        <f>T("화력조선 63화")</f>
        <v>화력조선 63화</v>
      </c>
      <c r="F6798">
        <v>64</v>
      </c>
      <c r="G6798" t="str">
        <f>T("보헤미아")</f>
        <v>보헤미아</v>
      </c>
      <c r="J6798" t="str">
        <f>T("매드햇")</f>
        <v>매드햇</v>
      </c>
      <c r="K6798" t="str">
        <f>T("화력조선")</f>
        <v>화력조선</v>
      </c>
      <c r="L6798">
        <v>100</v>
      </c>
      <c r="M6798">
        <v>100</v>
      </c>
      <c r="N6798">
        <v>1</v>
      </c>
      <c r="O6798">
        <v>0</v>
      </c>
      <c r="P6798">
        <v>0</v>
      </c>
      <c r="Q6798">
        <v>0</v>
      </c>
      <c r="R6798">
        <v>0</v>
      </c>
      <c r="S6798">
        <v>0</v>
      </c>
      <c r="T6798">
        <v>0</v>
      </c>
      <c r="U6798">
        <v>0</v>
      </c>
      <c r="V6798">
        <v>0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0</v>
      </c>
      <c r="AC6798">
        <v>0</v>
      </c>
      <c r="AD6798">
        <v>0</v>
      </c>
      <c r="AE6798">
        <v>0</v>
      </c>
      <c r="AF6798">
        <v>0</v>
      </c>
      <c r="AG6798">
        <v>0</v>
      </c>
      <c r="AH6798">
        <v>0</v>
      </c>
      <c r="AI6798">
        <v>100</v>
      </c>
      <c r="AJ6798">
        <v>1</v>
      </c>
      <c r="AK6798">
        <v>0</v>
      </c>
      <c r="AL6798">
        <v>0</v>
      </c>
      <c r="AM6798">
        <v>0</v>
      </c>
      <c r="AN6798">
        <v>0</v>
      </c>
      <c r="AO6798">
        <v>120</v>
      </c>
      <c r="AP6798">
        <v>-12</v>
      </c>
      <c r="AQ6798">
        <v>0</v>
      </c>
      <c r="AS6798">
        <v>0</v>
      </c>
      <c r="AT6798">
        <v>0</v>
      </c>
      <c r="AU6798">
        <v>120</v>
      </c>
      <c r="AV6798">
        <v>-12</v>
      </c>
      <c r="AW6798">
        <v>0</v>
      </c>
      <c r="AY6798">
        <v>0</v>
      </c>
      <c r="AZ6798">
        <v>0</v>
      </c>
      <c r="BA6798">
        <v>75.599999999999994</v>
      </c>
      <c r="BE6798" t="str">
        <f>T("9791137006348")</f>
        <v>9791137006348</v>
      </c>
      <c r="BF6798" t="str">
        <f>T("N083118")</f>
        <v>N083118</v>
      </c>
      <c r="BG6798" t="str">
        <f>T("판타지 웹소설 &gt; 퓨전 판타지")</f>
        <v>판타지 웹소설 &gt; 퓨전 판타지</v>
      </c>
    </row>
    <row r="6799" spans="1:59">
      <c r="A6799" t="s">
        <v>60</v>
      </c>
      <c r="B6799" s="1">
        <v>46131</v>
      </c>
      <c r="C6799">
        <v>2378052051</v>
      </c>
      <c r="D6799">
        <v>2378052115</v>
      </c>
      <c r="E6799" t="str">
        <f>T("화력조선 64화")</f>
        <v>화력조선 64화</v>
      </c>
      <c r="F6799">
        <v>65</v>
      </c>
      <c r="G6799" t="str">
        <f>T("보헤미아")</f>
        <v>보헤미아</v>
      </c>
      <c r="J6799" t="str">
        <f>T("매드햇")</f>
        <v>매드햇</v>
      </c>
      <c r="K6799" t="str">
        <f>T("화력조선")</f>
        <v>화력조선</v>
      </c>
      <c r="L6799">
        <v>100</v>
      </c>
      <c r="M6799">
        <v>100</v>
      </c>
      <c r="N6799">
        <v>1</v>
      </c>
      <c r="O6799">
        <v>0</v>
      </c>
      <c r="P6799">
        <v>0</v>
      </c>
      <c r="Q6799">
        <v>0</v>
      </c>
      <c r="R6799">
        <v>0</v>
      </c>
      <c r="S6799">
        <v>0</v>
      </c>
      <c r="T6799">
        <v>0</v>
      </c>
      <c r="U6799">
        <v>0</v>
      </c>
      <c r="V6799">
        <v>0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0</v>
      </c>
      <c r="AC6799">
        <v>0</v>
      </c>
      <c r="AD6799">
        <v>0</v>
      </c>
      <c r="AE6799">
        <v>0</v>
      </c>
      <c r="AF6799">
        <v>0</v>
      </c>
      <c r="AG6799">
        <v>0</v>
      </c>
      <c r="AH6799">
        <v>0</v>
      </c>
      <c r="AI6799">
        <v>100</v>
      </c>
      <c r="AJ6799">
        <v>1</v>
      </c>
      <c r="AK6799">
        <v>0</v>
      </c>
      <c r="AL6799">
        <v>0</v>
      </c>
      <c r="AM6799">
        <v>0</v>
      </c>
      <c r="AN6799">
        <v>0</v>
      </c>
      <c r="AO6799">
        <v>120</v>
      </c>
      <c r="AP6799">
        <v>-12</v>
      </c>
      <c r="AQ6799">
        <v>0</v>
      </c>
      <c r="AS6799">
        <v>0</v>
      </c>
      <c r="AT6799">
        <v>0</v>
      </c>
      <c r="AU6799">
        <v>120</v>
      </c>
      <c r="AV6799">
        <v>-12</v>
      </c>
      <c r="AW6799">
        <v>0</v>
      </c>
      <c r="AY6799">
        <v>0</v>
      </c>
      <c r="AZ6799">
        <v>0</v>
      </c>
      <c r="BA6799">
        <v>75.599999999999994</v>
      </c>
      <c r="BE6799" t="str">
        <f>T("9791137006348")</f>
        <v>9791137006348</v>
      </c>
      <c r="BF6799" t="str">
        <f>T("N083119")</f>
        <v>N083119</v>
      </c>
      <c r="BG6799" t="str">
        <f>T("판타지 웹소설 &gt; 퓨전 판타지")</f>
        <v>판타지 웹소설 &gt; 퓨전 판타지</v>
      </c>
    </row>
    <row r="6800" spans="1:59">
      <c r="A6800" t="s">
        <v>60</v>
      </c>
      <c r="B6800" s="1">
        <v>46131</v>
      </c>
      <c r="C6800">
        <v>2378052051</v>
      </c>
      <c r="D6800">
        <v>2378052080</v>
      </c>
      <c r="E6800" t="str">
        <f>T("화력조선 29화")</f>
        <v>화력조선 29화</v>
      </c>
      <c r="F6800">
        <v>30</v>
      </c>
      <c r="G6800" t="str">
        <f>T("보헤미아")</f>
        <v>보헤미아</v>
      </c>
      <c r="J6800" t="str">
        <f>T("매드햇")</f>
        <v>매드햇</v>
      </c>
      <c r="K6800" t="str">
        <f>T("화력조선")</f>
        <v>화력조선</v>
      </c>
      <c r="L6800">
        <v>100</v>
      </c>
      <c r="M6800">
        <v>100</v>
      </c>
      <c r="N6800">
        <v>1</v>
      </c>
      <c r="O6800">
        <v>0</v>
      </c>
      <c r="P6800">
        <v>0</v>
      </c>
      <c r="Q6800">
        <v>0</v>
      </c>
      <c r="R6800">
        <v>0</v>
      </c>
      <c r="S6800">
        <v>0</v>
      </c>
      <c r="T6800">
        <v>0</v>
      </c>
      <c r="U6800">
        <v>0</v>
      </c>
      <c r="V6800">
        <v>0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0</v>
      </c>
      <c r="AC6800">
        <v>0</v>
      </c>
      <c r="AD6800">
        <v>0</v>
      </c>
      <c r="AE6800">
        <v>0</v>
      </c>
      <c r="AF6800">
        <v>0</v>
      </c>
      <c r="AG6800">
        <v>0</v>
      </c>
      <c r="AH6800">
        <v>0</v>
      </c>
      <c r="AI6800">
        <v>100</v>
      </c>
      <c r="AJ6800">
        <v>1</v>
      </c>
      <c r="AK6800">
        <v>0</v>
      </c>
      <c r="AL6800">
        <v>0</v>
      </c>
      <c r="AM6800">
        <v>100</v>
      </c>
      <c r="AN6800">
        <v>0</v>
      </c>
      <c r="AO6800">
        <v>0</v>
      </c>
      <c r="AP6800">
        <v>0</v>
      </c>
      <c r="AQ6800">
        <v>0</v>
      </c>
      <c r="AS6800">
        <v>0</v>
      </c>
      <c r="AT6800">
        <v>0</v>
      </c>
      <c r="AV6800">
        <v>0</v>
      </c>
      <c r="AW6800">
        <v>0</v>
      </c>
      <c r="AY6800">
        <v>0</v>
      </c>
      <c r="AZ6800">
        <v>0</v>
      </c>
      <c r="BA6800">
        <v>70</v>
      </c>
      <c r="BE6800" t="str">
        <f>T("9791137006348")</f>
        <v>9791137006348</v>
      </c>
      <c r="BF6800" t="str">
        <f>T("N083084")</f>
        <v>N083084</v>
      </c>
      <c r="BG6800" t="str">
        <f>T("판타지 웹소설 &gt; 퓨전 판타지")</f>
        <v>판타지 웹소설 &gt; 퓨전 판타지</v>
      </c>
    </row>
    <row r="6801" spans="1:59">
      <c r="A6801" t="s">
        <v>60</v>
      </c>
      <c r="B6801" s="1">
        <v>46131</v>
      </c>
      <c r="C6801">
        <v>2378052051</v>
      </c>
      <c r="D6801">
        <v>2378052116</v>
      </c>
      <c r="E6801" t="str">
        <f>T("화력조선 65화")</f>
        <v>화력조선 65화</v>
      </c>
      <c r="F6801">
        <v>66</v>
      </c>
      <c r="G6801" t="str">
        <f>T("보헤미아")</f>
        <v>보헤미아</v>
      </c>
      <c r="J6801" t="str">
        <f>T("매드햇")</f>
        <v>매드햇</v>
      </c>
      <c r="K6801" t="str">
        <f>T("화력조선")</f>
        <v>화력조선</v>
      </c>
      <c r="L6801">
        <v>100</v>
      </c>
      <c r="M6801">
        <v>100</v>
      </c>
      <c r="N6801">
        <v>1</v>
      </c>
      <c r="O6801">
        <v>0</v>
      </c>
      <c r="P6801">
        <v>0</v>
      </c>
      <c r="Q6801">
        <v>0</v>
      </c>
      <c r="R6801">
        <v>0</v>
      </c>
      <c r="S6801">
        <v>0</v>
      </c>
      <c r="T6801">
        <v>0</v>
      </c>
      <c r="U6801">
        <v>0</v>
      </c>
      <c r="V6801">
        <v>0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0</v>
      </c>
      <c r="AC6801">
        <v>0</v>
      </c>
      <c r="AD6801">
        <v>0</v>
      </c>
      <c r="AE6801">
        <v>0</v>
      </c>
      <c r="AF6801">
        <v>0</v>
      </c>
      <c r="AG6801">
        <v>0</v>
      </c>
      <c r="AH6801">
        <v>0</v>
      </c>
      <c r="AI6801">
        <v>100</v>
      </c>
      <c r="AJ6801">
        <v>1</v>
      </c>
      <c r="AK6801">
        <v>0</v>
      </c>
      <c r="AL6801">
        <v>0</v>
      </c>
      <c r="AM6801">
        <v>0</v>
      </c>
      <c r="AN6801">
        <v>0</v>
      </c>
      <c r="AO6801">
        <v>120</v>
      </c>
      <c r="AP6801">
        <v>-12</v>
      </c>
      <c r="AQ6801">
        <v>0</v>
      </c>
      <c r="AS6801">
        <v>0</v>
      </c>
      <c r="AT6801">
        <v>0</v>
      </c>
      <c r="AU6801">
        <v>120</v>
      </c>
      <c r="AV6801">
        <v>-12</v>
      </c>
      <c r="AW6801">
        <v>0</v>
      </c>
      <c r="AY6801">
        <v>0</v>
      </c>
      <c r="AZ6801">
        <v>0</v>
      </c>
      <c r="BA6801">
        <v>75.599999999999994</v>
      </c>
      <c r="BE6801" t="str">
        <f>T("9791137006348")</f>
        <v>9791137006348</v>
      </c>
      <c r="BF6801" t="str">
        <f>T("N083120")</f>
        <v>N083120</v>
      </c>
      <c r="BG6801" t="str">
        <f>T("판타지 웹소설 &gt; 퓨전 판타지")</f>
        <v>판타지 웹소설 &gt; 퓨전 판타지</v>
      </c>
    </row>
    <row r="6802" spans="1:59">
      <c r="A6802" t="s">
        <v>60</v>
      </c>
      <c r="B6802" s="1">
        <v>46131</v>
      </c>
      <c r="C6802">
        <v>2378052051</v>
      </c>
      <c r="D6802">
        <v>2378052081</v>
      </c>
      <c r="E6802" t="str">
        <f>T("화력조선 30화")</f>
        <v>화력조선 30화</v>
      </c>
      <c r="F6802">
        <v>31</v>
      </c>
      <c r="G6802" t="str">
        <f>T("보헤미아")</f>
        <v>보헤미아</v>
      </c>
      <c r="J6802" t="str">
        <f>T("매드햇")</f>
        <v>매드햇</v>
      </c>
      <c r="K6802" t="str">
        <f>T("화력조선")</f>
        <v>화력조선</v>
      </c>
      <c r="L6802">
        <v>100</v>
      </c>
      <c r="M6802">
        <v>100</v>
      </c>
      <c r="N6802">
        <v>1</v>
      </c>
      <c r="O6802">
        <v>0</v>
      </c>
      <c r="P6802">
        <v>0</v>
      </c>
      <c r="Q6802">
        <v>0</v>
      </c>
      <c r="R6802">
        <v>0</v>
      </c>
      <c r="S6802">
        <v>0</v>
      </c>
      <c r="T6802">
        <v>0</v>
      </c>
      <c r="U6802">
        <v>0</v>
      </c>
      <c r="V6802">
        <v>0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0</v>
      </c>
      <c r="AC6802">
        <v>0</v>
      </c>
      <c r="AD6802">
        <v>0</v>
      </c>
      <c r="AE6802">
        <v>0</v>
      </c>
      <c r="AF6802">
        <v>0</v>
      </c>
      <c r="AG6802">
        <v>0</v>
      </c>
      <c r="AH6802">
        <v>0</v>
      </c>
      <c r="AI6802">
        <v>100</v>
      </c>
      <c r="AJ6802">
        <v>1</v>
      </c>
      <c r="AK6802">
        <v>0</v>
      </c>
      <c r="AL6802">
        <v>0</v>
      </c>
      <c r="AM6802">
        <v>100</v>
      </c>
      <c r="AN6802">
        <v>0</v>
      </c>
      <c r="AO6802">
        <v>0</v>
      </c>
      <c r="AP6802">
        <v>0</v>
      </c>
      <c r="AQ6802">
        <v>0</v>
      </c>
      <c r="AS6802">
        <v>0</v>
      </c>
      <c r="AT6802">
        <v>0</v>
      </c>
      <c r="AV6802">
        <v>0</v>
      </c>
      <c r="AW6802">
        <v>0</v>
      </c>
      <c r="AY6802">
        <v>0</v>
      </c>
      <c r="AZ6802">
        <v>0</v>
      </c>
      <c r="BA6802">
        <v>70</v>
      </c>
      <c r="BE6802" t="str">
        <f>T("9791137006348")</f>
        <v>9791137006348</v>
      </c>
      <c r="BF6802" t="str">
        <f>T("N083085")</f>
        <v>N083085</v>
      </c>
      <c r="BG6802" t="str">
        <f>T("판타지 웹소설 &gt; 퓨전 판타지")</f>
        <v>판타지 웹소설 &gt; 퓨전 판타지</v>
      </c>
    </row>
    <row r="6803" spans="1:59">
      <c r="A6803" t="s">
        <v>60</v>
      </c>
      <c r="B6803" s="1">
        <v>46131</v>
      </c>
      <c r="C6803">
        <v>2378052051</v>
      </c>
      <c r="D6803">
        <v>2378052117</v>
      </c>
      <c r="E6803" t="str">
        <f>T("화력조선 66화")</f>
        <v>화력조선 66화</v>
      </c>
      <c r="F6803">
        <v>67</v>
      </c>
      <c r="G6803" t="str">
        <f>T("보헤미아")</f>
        <v>보헤미아</v>
      </c>
      <c r="J6803" t="str">
        <f>T("매드햇")</f>
        <v>매드햇</v>
      </c>
      <c r="K6803" t="str">
        <f>T("화력조선")</f>
        <v>화력조선</v>
      </c>
      <c r="L6803">
        <v>100</v>
      </c>
      <c r="M6803">
        <v>100</v>
      </c>
      <c r="N6803">
        <v>1</v>
      </c>
      <c r="O6803">
        <v>0</v>
      </c>
      <c r="P6803">
        <v>0</v>
      </c>
      <c r="Q6803">
        <v>0</v>
      </c>
      <c r="R6803">
        <v>0</v>
      </c>
      <c r="S6803">
        <v>0</v>
      </c>
      <c r="T6803">
        <v>0</v>
      </c>
      <c r="U6803">
        <v>0</v>
      </c>
      <c r="V6803">
        <v>0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0</v>
      </c>
      <c r="AC6803">
        <v>0</v>
      </c>
      <c r="AD6803">
        <v>0</v>
      </c>
      <c r="AE6803">
        <v>0</v>
      </c>
      <c r="AF6803">
        <v>0</v>
      </c>
      <c r="AG6803">
        <v>0</v>
      </c>
      <c r="AH6803">
        <v>0</v>
      </c>
      <c r="AI6803">
        <v>100</v>
      </c>
      <c r="AJ6803">
        <v>1</v>
      </c>
      <c r="AK6803">
        <v>0</v>
      </c>
      <c r="AL6803">
        <v>0</v>
      </c>
      <c r="AM6803">
        <v>0</v>
      </c>
      <c r="AN6803">
        <v>0</v>
      </c>
      <c r="AO6803">
        <v>120</v>
      </c>
      <c r="AP6803">
        <v>-12</v>
      </c>
      <c r="AQ6803">
        <v>0</v>
      </c>
      <c r="AS6803">
        <v>0</v>
      </c>
      <c r="AT6803">
        <v>0</v>
      </c>
      <c r="AU6803">
        <v>120</v>
      </c>
      <c r="AV6803">
        <v>-12</v>
      </c>
      <c r="AW6803">
        <v>0</v>
      </c>
      <c r="AY6803">
        <v>0</v>
      </c>
      <c r="AZ6803">
        <v>0</v>
      </c>
      <c r="BA6803">
        <v>75.599999999999994</v>
      </c>
      <c r="BE6803" t="str">
        <f>T("9791137006348")</f>
        <v>9791137006348</v>
      </c>
      <c r="BF6803" t="str">
        <f>T("N083121")</f>
        <v>N083121</v>
      </c>
      <c r="BG6803" t="str">
        <f>T("판타지 웹소설 &gt; 퓨전 판타지")</f>
        <v>판타지 웹소설 &gt; 퓨전 판타지</v>
      </c>
    </row>
    <row r="6804" spans="1:59">
      <c r="A6804" t="s">
        <v>60</v>
      </c>
      <c r="B6804" s="1">
        <v>46131</v>
      </c>
      <c r="C6804">
        <v>2378052051</v>
      </c>
      <c r="D6804">
        <v>2378052118</v>
      </c>
      <c r="E6804" t="str">
        <f>T("화력조선 67화")</f>
        <v>화력조선 67화</v>
      </c>
      <c r="F6804">
        <v>68</v>
      </c>
      <c r="G6804" t="str">
        <f>T("보헤미아")</f>
        <v>보헤미아</v>
      </c>
      <c r="J6804" t="str">
        <f>T("매드햇")</f>
        <v>매드햇</v>
      </c>
      <c r="K6804" t="str">
        <f>T("화력조선")</f>
        <v>화력조선</v>
      </c>
      <c r="L6804">
        <v>100</v>
      </c>
      <c r="M6804">
        <v>100</v>
      </c>
      <c r="N6804">
        <v>1</v>
      </c>
      <c r="O6804">
        <v>0</v>
      </c>
      <c r="P6804">
        <v>0</v>
      </c>
      <c r="Q6804">
        <v>0</v>
      </c>
      <c r="R6804">
        <v>0</v>
      </c>
      <c r="S6804">
        <v>0</v>
      </c>
      <c r="T6804">
        <v>0</v>
      </c>
      <c r="U6804">
        <v>0</v>
      </c>
      <c r="V6804">
        <v>0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0</v>
      </c>
      <c r="AC6804">
        <v>0</v>
      </c>
      <c r="AD6804">
        <v>0</v>
      </c>
      <c r="AE6804">
        <v>0</v>
      </c>
      <c r="AF6804">
        <v>0</v>
      </c>
      <c r="AG6804">
        <v>0</v>
      </c>
      <c r="AH6804">
        <v>0</v>
      </c>
      <c r="AI6804">
        <v>100</v>
      </c>
      <c r="AJ6804">
        <v>1</v>
      </c>
      <c r="AK6804">
        <v>0</v>
      </c>
      <c r="AL6804">
        <v>0</v>
      </c>
      <c r="AM6804">
        <v>0</v>
      </c>
      <c r="AN6804">
        <v>0</v>
      </c>
      <c r="AO6804">
        <v>120</v>
      </c>
      <c r="AP6804">
        <v>-12</v>
      </c>
      <c r="AQ6804">
        <v>0</v>
      </c>
      <c r="AS6804">
        <v>0</v>
      </c>
      <c r="AT6804">
        <v>0</v>
      </c>
      <c r="AU6804">
        <v>120</v>
      </c>
      <c r="AV6804">
        <v>-12</v>
      </c>
      <c r="AW6804">
        <v>0</v>
      </c>
      <c r="AY6804">
        <v>0</v>
      </c>
      <c r="AZ6804">
        <v>0</v>
      </c>
      <c r="BA6804">
        <v>75.599999999999994</v>
      </c>
      <c r="BE6804" t="str">
        <f>T("9791137006348")</f>
        <v>9791137006348</v>
      </c>
      <c r="BF6804" t="str">
        <f>T("N083122")</f>
        <v>N083122</v>
      </c>
      <c r="BG6804" t="str">
        <f>T("판타지 웹소설 &gt; 퓨전 판타지")</f>
        <v>판타지 웹소설 &gt; 퓨전 판타지</v>
      </c>
    </row>
    <row r="6805" spans="1:59">
      <c r="A6805" t="s">
        <v>60</v>
      </c>
      <c r="B6805" s="1">
        <v>46131</v>
      </c>
      <c r="C6805">
        <v>2378052051</v>
      </c>
      <c r="D6805">
        <v>2378052119</v>
      </c>
      <c r="E6805" t="str">
        <f>T("화력조선 68화")</f>
        <v>화력조선 68화</v>
      </c>
      <c r="F6805">
        <v>69</v>
      </c>
      <c r="G6805" t="str">
        <f>T("보헤미아")</f>
        <v>보헤미아</v>
      </c>
      <c r="J6805" t="str">
        <f>T("매드햇")</f>
        <v>매드햇</v>
      </c>
      <c r="K6805" t="str">
        <f>T("화력조선")</f>
        <v>화력조선</v>
      </c>
      <c r="L6805">
        <v>100</v>
      </c>
      <c r="M6805">
        <v>100</v>
      </c>
      <c r="N6805">
        <v>1</v>
      </c>
      <c r="O6805">
        <v>0</v>
      </c>
      <c r="P6805">
        <v>0</v>
      </c>
      <c r="Q6805">
        <v>0</v>
      </c>
      <c r="R6805">
        <v>0</v>
      </c>
      <c r="S6805">
        <v>0</v>
      </c>
      <c r="T6805">
        <v>0</v>
      </c>
      <c r="U6805">
        <v>0</v>
      </c>
      <c r="V6805">
        <v>0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0</v>
      </c>
      <c r="AC6805">
        <v>0</v>
      </c>
      <c r="AD6805">
        <v>0</v>
      </c>
      <c r="AE6805">
        <v>0</v>
      </c>
      <c r="AF6805">
        <v>0</v>
      </c>
      <c r="AG6805">
        <v>0</v>
      </c>
      <c r="AH6805">
        <v>0</v>
      </c>
      <c r="AI6805">
        <v>100</v>
      </c>
      <c r="AJ6805">
        <v>1</v>
      </c>
      <c r="AK6805">
        <v>0</v>
      </c>
      <c r="AL6805">
        <v>0</v>
      </c>
      <c r="AM6805">
        <v>0</v>
      </c>
      <c r="AN6805">
        <v>0</v>
      </c>
      <c r="AO6805">
        <v>120</v>
      </c>
      <c r="AP6805">
        <v>-12</v>
      </c>
      <c r="AQ6805">
        <v>0</v>
      </c>
      <c r="AS6805">
        <v>0</v>
      </c>
      <c r="AT6805">
        <v>0</v>
      </c>
      <c r="AU6805">
        <v>120</v>
      </c>
      <c r="AV6805">
        <v>-12</v>
      </c>
      <c r="AW6805">
        <v>0</v>
      </c>
      <c r="AY6805">
        <v>0</v>
      </c>
      <c r="AZ6805">
        <v>0</v>
      </c>
      <c r="BA6805">
        <v>75.599999999999994</v>
      </c>
      <c r="BE6805" t="str">
        <f>T("9791137006348")</f>
        <v>9791137006348</v>
      </c>
      <c r="BF6805" t="str">
        <f>T("N083123")</f>
        <v>N083123</v>
      </c>
      <c r="BG6805" t="str">
        <f>T("판타지 웹소설 &gt; 퓨전 판타지")</f>
        <v>판타지 웹소설 &gt; 퓨전 판타지</v>
      </c>
    </row>
    <row r="6806" spans="1:59">
      <c r="A6806" t="s">
        <v>60</v>
      </c>
      <c r="B6806" s="1">
        <v>46131</v>
      </c>
      <c r="C6806">
        <v>2378052051</v>
      </c>
      <c r="D6806">
        <v>2378052120</v>
      </c>
      <c r="E6806" t="str">
        <f>T("화력조선 69화")</f>
        <v>화력조선 69화</v>
      </c>
      <c r="F6806">
        <v>70</v>
      </c>
      <c r="G6806" t="str">
        <f>T("보헤미아")</f>
        <v>보헤미아</v>
      </c>
      <c r="J6806" t="str">
        <f>T("매드햇")</f>
        <v>매드햇</v>
      </c>
      <c r="K6806" t="str">
        <f>T("화력조선")</f>
        <v>화력조선</v>
      </c>
      <c r="L6806">
        <v>100</v>
      </c>
      <c r="M6806">
        <v>100</v>
      </c>
      <c r="N6806">
        <v>1</v>
      </c>
      <c r="O6806">
        <v>0</v>
      </c>
      <c r="P6806">
        <v>0</v>
      </c>
      <c r="Q6806">
        <v>0</v>
      </c>
      <c r="R6806">
        <v>0</v>
      </c>
      <c r="S6806">
        <v>0</v>
      </c>
      <c r="T6806">
        <v>0</v>
      </c>
      <c r="U6806">
        <v>0</v>
      </c>
      <c r="V6806">
        <v>0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0</v>
      </c>
      <c r="AC6806">
        <v>0</v>
      </c>
      <c r="AD6806">
        <v>0</v>
      </c>
      <c r="AE6806">
        <v>0</v>
      </c>
      <c r="AF6806">
        <v>0</v>
      </c>
      <c r="AG6806">
        <v>0</v>
      </c>
      <c r="AH6806">
        <v>0</v>
      </c>
      <c r="AI6806">
        <v>100</v>
      </c>
      <c r="AJ6806">
        <v>1</v>
      </c>
      <c r="AK6806">
        <v>0</v>
      </c>
      <c r="AL6806">
        <v>0</v>
      </c>
      <c r="AM6806">
        <v>0</v>
      </c>
      <c r="AN6806">
        <v>0</v>
      </c>
      <c r="AO6806">
        <v>120</v>
      </c>
      <c r="AP6806">
        <v>-12</v>
      </c>
      <c r="AQ6806">
        <v>0</v>
      </c>
      <c r="AS6806">
        <v>0</v>
      </c>
      <c r="AT6806">
        <v>0</v>
      </c>
      <c r="AU6806">
        <v>120</v>
      </c>
      <c r="AV6806">
        <v>-12</v>
      </c>
      <c r="AW6806">
        <v>0</v>
      </c>
      <c r="AY6806">
        <v>0</v>
      </c>
      <c r="AZ6806">
        <v>0</v>
      </c>
      <c r="BA6806">
        <v>75.599999999999994</v>
      </c>
      <c r="BE6806" t="str">
        <f>T("9791137006348")</f>
        <v>9791137006348</v>
      </c>
      <c r="BF6806" t="str">
        <f>T("N083124")</f>
        <v>N083124</v>
      </c>
      <c r="BG6806" t="str">
        <f>T("판타지 웹소설 &gt; 퓨전 판타지")</f>
        <v>판타지 웹소설 &gt; 퓨전 판타지</v>
      </c>
    </row>
    <row r="6807" spans="1:59">
      <c r="A6807" t="s">
        <v>60</v>
      </c>
      <c r="B6807" s="1">
        <v>46131</v>
      </c>
      <c r="C6807">
        <v>2378052051</v>
      </c>
      <c r="D6807">
        <v>2378052121</v>
      </c>
      <c r="E6807" t="str">
        <f>T("화력조선 70화")</f>
        <v>화력조선 70화</v>
      </c>
      <c r="F6807">
        <v>71</v>
      </c>
      <c r="G6807" t="str">
        <f>T("보헤미아")</f>
        <v>보헤미아</v>
      </c>
      <c r="J6807" t="str">
        <f>T("매드햇")</f>
        <v>매드햇</v>
      </c>
      <c r="K6807" t="str">
        <f>T("화력조선")</f>
        <v>화력조선</v>
      </c>
      <c r="L6807">
        <v>100</v>
      </c>
      <c r="M6807">
        <v>100</v>
      </c>
      <c r="N6807">
        <v>1</v>
      </c>
      <c r="O6807">
        <v>0</v>
      </c>
      <c r="P6807">
        <v>0</v>
      </c>
      <c r="Q6807">
        <v>0</v>
      </c>
      <c r="R6807">
        <v>0</v>
      </c>
      <c r="S6807">
        <v>0</v>
      </c>
      <c r="T6807">
        <v>0</v>
      </c>
      <c r="U6807">
        <v>0</v>
      </c>
      <c r="V6807">
        <v>0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0</v>
      </c>
      <c r="AC6807">
        <v>0</v>
      </c>
      <c r="AD6807">
        <v>0</v>
      </c>
      <c r="AE6807">
        <v>0</v>
      </c>
      <c r="AF6807">
        <v>0</v>
      </c>
      <c r="AG6807">
        <v>0</v>
      </c>
      <c r="AH6807">
        <v>0</v>
      </c>
      <c r="AI6807">
        <v>100</v>
      </c>
      <c r="AJ6807">
        <v>1</v>
      </c>
      <c r="AK6807">
        <v>0</v>
      </c>
      <c r="AL6807">
        <v>0</v>
      </c>
      <c r="AM6807">
        <v>0</v>
      </c>
      <c r="AN6807">
        <v>0</v>
      </c>
      <c r="AO6807">
        <v>120</v>
      </c>
      <c r="AP6807">
        <v>-12</v>
      </c>
      <c r="AQ6807">
        <v>0</v>
      </c>
      <c r="AS6807">
        <v>0</v>
      </c>
      <c r="AT6807">
        <v>0</v>
      </c>
      <c r="AU6807">
        <v>120</v>
      </c>
      <c r="AV6807">
        <v>-12</v>
      </c>
      <c r="AW6807">
        <v>0</v>
      </c>
      <c r="AY6807">
        <v>0</v>
      </c>
      <c r="AZ6807">
        <v>0</v>
      </c>
      <c r="BA6807">
        <v>75.599999999999994</v>
      </c>
      <c r="BE6807" t="str">
        <f>T("9791137006348")</f>
        <v>9791137006348</v>
      </c>
      <c r="BF6807" t="str">
        <f>T("N083125")</f>
        <v>N083125</v>
      </c>
      <c r="BG6807" t="str">
        <f>T("판타지 웹소설 &gt; 퓨전 판타지")</f>
        <v>판타지 웹소설 &gt; 퓨전 판타지</v>
      </c>
    </row>
    <row r="6808" spans="1:59">
      <c r="A6808" t="s">
        <v>60</v>
      </c>
      <c r="B6808" s="1">
        <v>46131</v>
      </c>
      <c r="C6808">
        <v>2378052051</v>
      </c>
      <c r="D6808">
        <v>2378052122</v>
      </c>
      <c r="E6808" t="str">
        <f>T("화력조선 71화")</f>
        <v>화력조선 71화</v>
      </c>
      <c r="F6808">
        <v>72</v>
      </c>
      <c r="G6808" t="str">
        <f>T("보헤미아")</f>
        <v>보헤미아</v>
      </c>
      <c r="J6808" t="str">
        <f>T("매드햇")</f>
        <v>매드햇</v>
      </c>
      <c r="K6808" t="str">
        <f>T("화력조선")</f>
        <v>화력조선</v>
      </c>
      <c r="L6808">
        <v>100</v>
      </c>
      <c r="M6808">
        <v>100</v>
      </c>
      <c r="N6808">
        <v>1</v>
      </c>
      <c r="O6808">
        <v>0</v>
      </c>
      <c r="P6808">
        <v>0</v>
      </c>
      <c r="Q6808">
        <v>0</v>
      </c>
      <c r="R6808">
        <v>0</v>
      </c>
      <c r="S6808">
        <v>0</v>
      </c>
      <c r="T6808">
        <v>0</v>
      </c>
      <c r="U6808">
        <v>0</v>
      </c>
      <c r="V6808">
        <v>0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0</v>
      </c>
      <c r="AC6808">
        <v>0</v>
      </c>
      <c r="AD6808">
        <v>0</v>
      </c>
      <c r="AE6808">
        <v>0</v>
      </c>
      <c r="AF6808">
        <v>0</v>
      </c>
      <c r="AG6808">
        <v>0</v>
      </c>
      <c r="AH6808">
        <v>0</v>
      </c>
      <c r="AI6808">
        <v>100</v>
      </c>
      <c r="AJ6808">
        <v>1</v>
      </c>
      <c r="AK6808">
        <v>0</v>
      </c>
      <c r="AL6808">
        <v>0</v>
      </c>
      <c r="AM6808">
        <v>0</v>
      </c>
      <c r="AN6808">
        <v>0</v>
      </c>
      <c r="AO6808">
        <v>120</v>
      </c>
      <c r="AP6808">
        <v>-12</v>
      </c>
      <c r="AQ6808">
        <v>0</v>
      </c>
      <c r="AS6808">
        <v>0</v>
      </c>
      <c r="AT6808">
        <v>0</v>
      </c>
      <c r="AU6808">
        <v>120</v>
      </c>
      <c r="AV6808">
        <v>-12</v>
      </c>
      <c r="AW6808">
        <v>0</v>
      </c>
      <c r="AY6808">
        <v>0</v>
      </c>
      <c r="AZ6808">
        <v>0</v>
      </c>
      <c r="BA6808">
        <v>75.599999999999994</v>
      </c>
      <c r="BE6808" t="str">
        <f>T("9791137006348")</f>
        <v>9791137006348</v>
      </c>
      <c r="BF6808" t="str">
        <f>T("N083126")</f>
        <v>N083126</v>
      </c>
      <c r="BG6808" t="str">
        <f>T("판타지 웹소설 &gt; 퓨전 판타지")</f>
        <v>판타지 웹소설 &gt; 퓨전 판타지</v>
      </c>
    </row>
    <row r="6809" spans="1:59">
      <c r="A6809" t="s">
        <v>60</v>
      </c>
      <c r="B6809" s="1">
        <v>46131</v>
      </c>
      <c r="C6809">
        <v>2378052051</v>
      </c>
      <c r="D6809">
        <v>2378052123</v>
      </c>
      <c r="E6809" t="str">
        <f>T("화력조선 72화")</f>
        <v>화력조선 72화</v>
      </c>
      <c r="F6809">
        <v>73</v>
      </c>
      <c r="G6809" t="str">
        <f>T("보헤미아")</f>
        <v>보헤미아</v>
      </c>
      <c r="J6809" t="str">
        <f>T("매드햇")</f>
        <v>매드햇</v>
      </c>
      <c r="K6809" t="str">
        <f>T("화력조선")</f>
        <v>화력조선</v>
      </c>
      <c r="L6809">
        <v>100</v>
      </c>
      <c r="M6809">
        <v>100</v>
      </c>
      <c r="N6809">
        <v>1</v>
      </c>
      <c r="O6809">
        <v>0</v>
      </c>
      <c r="P6809">
        <v>0</v>
      </c>
      <c r="Q6809">
        <v>0</v>
      </c>
      <c r="R6809">
        <v>0</v>
      </c>
      <c r="S6809">
        <v>0</v>
      </c>
      <c r="T6809">
        <v>0</v>
      </c>
      <c r="U6809">
        <v>0</v>
      </c>
      <c r="V6809">
        <v>0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0</v>
      </c>
      <c r="AC6809">
        <v>0</v>
      </c>
      <c r="AD6809">
        <v>0</v>
      </c>
      <c r="AE6809">
        <v>0</v>
      </c>
      <c r="AF6809">
        <v>0</v>
      </c>
      <c r="AG6809">
        <v>0</v>
      </c>
      <c r="AH6809">
        <v>0</v>
      </c>
      <c r="AI6809">
        <v>100</v>
      </c>
      <c r="AJ6809">
        <v>1</v>
      </c>
      <c r="AK6809">
        <v>0</v>
      </c>
      <c r="AL6809">
        <v>0</v>
      </c>
      <c r="AM6809">
        <v>0</v>
      </c>
      <c r="AN6809">
        <v>0</v>
      </c>
      <c r="AO6809">
        <v>120</v>
      </c>
      <c r="AP6809">
        <v>-12</v>
      </c>
      <c r="AQ6809">
        <v>0</v>
      </c>
      <c r="AS6809">
        <v>0</v>
      </c>
      <c r="AT6809">
        <v>0</v>
      </c>
      <c r="AU6809">
        <v>120</v>
      </c>
      <c r="AV6809">
        <v>-12</v>
      </c>
      <c r="AW6809">
        <v>0</v>
      </c>
      <c r="AY6809">
        <v>0</v>
      </c>
      <c r="AZ6809">
        <v>0</v>
      </c>
      <c r="BA6809">
        <v>75.599999999999994</v>
      </c>
      <c r="BE6809" t="str">
        <f>T("9791137006348")</f>
        <v>9791137006348</v>
      </c>
      <c r="BF6809" t="str">
        <f>T("N083127")</f>
        <v>N083127</v>
      </c>
      <c r="BG6809" t="str">
        <f>T("판타지 웹소설 &gt; 퓨전 판타지")</f>
        <v>판타지 웹소설 &gt; 퓨전 판타지</v>
      </c>
    </row>
    <row r="6810" spans="1:59">
      <c r="A6810" t="s">
        <v>60</v>
      </c>
      <c r="B6810" s="1">
        <v>46131</v>
      </c>
      <c r="C6810">
        <v>2378052051</v>
      </c>
      <c r="D6810">
        <v>2378052124</v>
      </c>
      <c r="E6810" t="str">
        <f>T("화력조선 73화")</f>
        <v>화력조선 73화</v>
      </c>
      <c r="F6810">
        <v>74</v>
      </c>
      <c r="G6810" t="str">
        <f>T("보헤미아")</f>
        <v>보헤미아</v>
      </c>
      <c r="J6810" t="str">
        <f>T("매드햇")</f>
        <v>매드햇</v>
      </c>
      <c r="K6810" t="str">
        <f>T("화력조선")</f>
        <v>화력조선</v>
      </c>
      <c r="L6810">
        <v>100</v>
      </c>
      <c r="M6810">
        <v>100</v>
      </c>
      <c r="N6810">
        <v>1</v>
      </c>
      <c r="O6810">
        <v>0</v>
      </c>
      <c r="P6810">
        <v>0</v>
      </c>
      <c r="Q6810">
        <v>0</v>
      </c>
      <c r="R6810">
        <v>0</v>
      </c>
      <c r="S6810">
        <v>0</v>
      </c>
      <c r="T6810">
        <v>0</v>
      </c>
      <c r="U6810">
        <v>0</v>
      </c>
      <c r="V6810">
        <v>0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0</v>
      </c>
      <c r="AC6810">
        <v>0</v>
      </c>
      <c r="AD6810">
        <v>0</v>
      </c>
      <c r="AE6810">
        <v>0</v>
      </c>
      <c r="AF6810">
        <v>0</v>
      </c>
      <c r="AG6810">
        <v>0</v>
      </c>
      <c r="AH6810">
        <v>0</v>
      </c>
      <c r="AI6810">
        <v>100</v>
      </c>
      <c r="AJ6810">
        <v>1</v>
      </c>
      <c r="AK6810">
        <v>0</v>
      </c>
      <c r="AL6810">
        <v>0</v>
      </c>
      <c r="AM6810">
        <v>0</v>
      </c>
      <c r="AN6810">
        <v>0</v>
      </c>
      <c r="AO6810">
        <v>120</v>
      </c>
      <c r="AP6810">
        <v>-12</v>
      </c>
      <c r="AQ6810">
        <v>0</v>
      </c>
      <c r="AS6810">
        <v>0</v>
      </c>
      <c r="AT6810">
        <v>0</v>
      </c>
      <c r="AU6810">
        <v>120</v>
      </c>
      <c r="AV6810">
        <v>-12</v>
      </c>
      <c r="AW6810">
        <v>0</v>
      </c>
      <c r="AY6810">
        <v>0</v>
      </c>
      <c r="AZ6810">
        <v>0</v>
      </c>
      <c r="BA6810">
        <v>75.599999999999994</v>
      </c>
      <c r="BE6810" t="str">
        <f>T("9791137006348")</f>
        <v>9791137006348</v>
      </c>
      <c r="BF6810" t="str">
        <f>T("N083128")</f>
        <v>N083128</v>
      </c>
      <c r="BG6810" t="str">
        <f>T("판타지 웹소설 &gt; 퓨전 판타지")</f>
        <v>판타지 웹소설 &gt; 퓨전 판타지</v>
      </c>
    </row>
    <row r="6811" spans="1:59">
      <c r="A6811" t="s">
        <v>60</v>
      </c>
      <c r="B6811" s="1">
        <v>46131</v>
      </c>
      <c r="C6811">
        <v>2378052051</v>
      </c>
      <c r="D6811">
        <v>2378052125</v>
      </c>
      <c r="E6811" t="str">
        <f>T("화력조선 74화")</f>
        <v>화력조선 74화</v>
      </c>
      <c r="F6811">
        <v>75</v>
      </c>
      <c r="G6811" t="str">
        <f>T("보헤미아")</f>
        <v>보헤미아</v>
      </c>
      <c r="J6811" t="str">
        <f>T("매드햇")</f>
        <v>매드햇</v>
      </c>
      <c r="K6811" t="str">
        <f>T("화력조선")</f>
        <v>화력조선</v>
      </c>
      <c r="L6811">
        <v>100</v>
      </c>
      <c r="M6811">
        <v>100</v>
      </c>
      <c r="N6811">
        <v>1</v>
      </c>
      <c r="O6811">
        <v>0</v>
      </c>
      <c r="P6811">
        <v>0</v>
      </c>
      <c r="Q6811">
        <v>0</v>
      </c>
      <c r="R6811">
        <v>0</v>
      </c>
      <c r="S6811">
        <v>0</v>
      </c>
      <c r="T6811">
        <v>0</v>
      </c>
      <c r="U6811">
        <v>0</v>
      </c>
      <c r="V6811">
        <v>0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0</v>
      </c>
      <c r="AC6811">
        <v>0</v>
      </c>
      <c r="AD6811">
        <v>0</v>
      </c>
      <c r="AE6811">
        <v>0</v>
      </c>
      <c r="AF6811">
        <v>0</v>
      </c>
      <c r="AG6811">
        <v>0</v>
      </c>
      <c r="AH6811">
        <v>0</v>
      </c>
      <c r="AI6811">
        <v>100</v>
      </c>
      <c r="AJ6811">
        <v>1</v>
      </c>
      <c r="AK6811">
        <v>0</v>
      </c>
      <c r="AL6811">
        <v>0</v>
      </c>
      <c r="AM6811">
        <v>0</v>
      </c>
      <c r="AN6811">
        <v>0</v>
      </c>
      <c r="AO6811">
        <v>120</v>
      </c>
      <c r="AP6811">
        <v>-12</v>
      </c>
      <c r="AQ6811">
        <v>0</v>
      </c>
      <c r="AS6811">
        <v>0</v>
      </c>
      <c r="AT6811">
        <v>0</v>
      </c>
      <c r="AU6811">
        <v>120</v>
      </c>
      <c r="AV6811">
        <v>-12</v>
      </c>
      <c r="AW6811">
        <v>0</v>
      </c>
      <c r="AY6811">
        <v>0</v>
      </c>
      <c r="AZ6811">
        <v>0</v>
      </c>
      <c r="BA6811">
        <v>75.599999999999994</v>
      </c>
      <c r="BE6811" t="str">
        <f>T("9791137006348")</f>
        <v>9791137006348</v>
      </c>
      <c r="BF6811" t="str">
        <f>T("N083129")</f>
        <v>N083129</v>
      </c>
      <c r="BG6811" t="str">
        <f>T("판타지 웹소설 &gt; 퓨전 판타지")</f>
        <v>판타지 웹소설 &gt; 퓨전 판타지</v>
      </c>
    </row>
    <row r="6812" spans="1:59">
      <c r="A6812" t="s">
        <v>60</v>
      </c>
      <c r="B6812" s="1">
        <v>46131</v>
      </c>
      <c r="C6812">
        <v>2378052051</v>
      </c>
      <c r="D6812">
        <v>2378052126</v>
      </c>
      <c r="E6812" t="str">
        <f>T("화력조선 75화")</f>
        <v>화력조선 75화</v>
      </c>
      <c r="F6812">
        <v>76</v>
      </c>
      <c r="G6812" t="str">
        <f>T("보헤미아")</f>
        <v>보헤미아</v>
      </c>
      <c r="J6812" t="str">
        <f>T("매드햇")</f>
        <v>매드햇</v>
      </c>
      <c r="K6812" t="str">
        <f>T("화력조선")</f>
        <v>화력조선</v>
      </c>
      <c r="L6812">
        <v>100</v>
      </c>
      <c r="M6812">
        <v>100</v>
      </c>
      <c r="N6812">
        <v>1</v>
      </c>
      <c r="O6812">
        <v>0</v>
      </c>
      <c r="P6812">
        <v>0</v>
      </c>
      <c r="Q6812">
        <v>0</v>
      </c>
      <c r="R6812">
        <v>0</v>
      </c>
      <c r="S6812">
        <v>0</v>
      </c>
      <c r="T6812">
        <v>0</v>
      </c>
      <c r="U6812">
        <v>0</v>
      </c>
      <c r="V6812">
        <v>0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0</v>
      </c>
      <c r="AC6812">
        <v>0</v>
      </c>
      <c r="AD6812">
        <v>0</v>
      </c>
      <c r="AE6812">
        <v>0</v>
      </c>
      <c r="AF6812">
        <v>0</v>
      </c>
      <c r="AG6812">
        <v>0</v>
      </c>
      <c r="AH6812">
        <v>0</v>
      </c>
      <c r="AI6812">
        <v>100</v>
      </c>
      <c r="AJ6812">
        <v>1</v>
      </c>
      <c r="AK6812">
        <v>0</v>
      </c>
      <c r="AL6812">
        <v>0</v>
      </c>
      <c r="AM6812">
        <v>0</v>
      </c>
      <c r="AN6812">
        <v>0</v>
      </c>
      <c r="AO6812">
        <v>120</v>
      </c>
      <c r="AP6812">
        <v>-12</v>
      </c>
      <c r="AQ6812">
        <v>0</v>
      </c>
      <c r="AS6812">
        <v>0</v>
      </c>
      <c r="AT6812">
        <v>0</v>
      </c>
      <c r="AU6812">
        <v>120</v>
      </c>
      <c r="AV6812">
        <v>-12</v>
      </c>
      <c r="AW6812">
        <v>0</v>
      </c>
      <c r="AY6812">
        <v>0</v>
      </c>
      <c r="AZ6812">
        <v>0</v>
      </c>
      <c r="BA6812">
        <v>75.599999999999994</v>
      </c>
      <c r="BE6812" t="str">
        <f>T("9791137006348")</f>
        <v>9791137006348</v>
      </c>
      <c r="BF6812" t="str">
        <f>T("N083130")</f>
        <v>N083130</v>
      </c>
      <c r="BG6812" t="str">
        <f>T("판타지 웹소설 &gt; 퓨전 판타지")</f>
        <v>판타지 웹소설 &gt; 퓨전 판타지</v>
      </c>
    </row>
    <row r="6813" spans="1:59">
      <c r="A6813" t="s">
        <v>60</v>
      </c>
      <c r="B6813" s="1">
        <v>46131</v>
      </c>
      <c r="C6813">
        <v>2378052051</v>
      </c>
      <c r="D6813">
        <v>2378052101</v>
      </c>
      <c r="E6813" t="str">
        <f>T("화력조선 50화")</f>
        <v>화력조선 50화</v>
      </c>
      <c r="F6813">
        <v>51</v>
      </c>
      <c r="G6813" t="str">
        <f>T("보헤미아")</f>
        <v>보헤미아</v>
      </c>
      <c r="J6813" t="str">
        <f>T("매드햇")</f>
        <v>매드햇</v>
      </c>
      <c r="K6813" t="str">
        <f>T("화력조선")</f>
        <v>화력조선</v>
      </c>
      <c r="L6813">
        <v>100</v>
      </c>
      <c r="M6813">
        <v>100</v>
      </c>
      <c r="N6813">
        <v>1</v>
      </c>
      <c r="O6813">
        <v>0</v>
      </c>
      <c r="P6813">
        <v>0</v>
      </c>
      <c r="Q6813">
        <v>0</v>
      </c>
      <c r="R6813">
        <v>0</v>
      </c>
      <c r="S6813">
        <v>0</v>
      </c>
      <c r="T6813">
        <v>0</v>
      </c>
      <c r="U6813">
        <v>0</v>
      </c>
      <c r="V6813">
        <v>0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0</v>
      </c>
      <c r="AC6813">
        <v>0</v>
      </c>
      <c r="AD6813">
        <v>0</v>
      </c>
      <c r="AE6813">
        <v>0</v>
      </c>
      <c r="AF6813">
        <v>0</v>
      </c>
      <c r="AG6813">
        <v>0</v>
      </c>
      <c r="AH6813">
        <v>0</v>
      </c>
      <c r="AI6813">
        <v>100</v>
      </c>
      <c r="AJ6813">
        <v>1</v>
      </c>
      <c r="AK6813">
        <v>0</v>
      </c>
      <c r="AL6813">
        <v>0</v>
      </c>
      <c r="AM6813">
        <v>100</v>
      </c>
      <c r="AN6813">
        <v>0</v>
      </c>
      <c r="AO6813">
        <v>0</v>
      </c>
      <c r="AP6813">
        <v>0</v>
      </c>
      <c r="AQ6813">
        <v>0</v>
      </c>
      <c r="AS6813">
        <v>0</v>
      </c>
      <c r="AT6813">
        <v>0</v>
      </c>
      <c r="AV6813">
        <v>0</v>
      </c>
      <c r="AW6813">
        <v>0</v>
      </c>
      <c r="AY6813">
        <v>0</v>
      </c>
      <c r="AZ6813">
        <v>0</v>
      </c>
      <c r="BA6813">
        <v>70</v>
      </c>
      <c r="BE6813" t="str">
        <f>T("9791137006348")</f>
        <v>9791137006348</v>
      </c>
      <c r="BF6813" t="str">
        <f>T("N083105")</f>
        <v>N083105</v>
      </c>
      <c r="BG6813" t="str">
        <f>T("판타지 웹소설 &gt; 퓨전 판타지")</f>
        <v>판타지 웹소설 &gt; 퓨전 판타지</v>
      </c>
    </row>
    <row r="6814" spans="1:59">
      <c r="A6814" t="s">
        <v>60</v>
      </c>
      <c r="B6814" s="1">
        <v>46131</v>
      </c>
      <c r="C6814">
        <v>2378052051</v>
      </c>
      <c r="D6814">
        <v>2378052102</v>
      </c>
      <c r="E6814" t="str">
        <f>T("화력조선 51화")</f>
        <v>화력조선 51화</v>
      </c>
      <c r="F6814">
        <v>52</v>
      </c>
      <c r="G6814" t="str">
        <f>T("보헤미아")</f>
        <v>보헤미아</v>
      </c>
      <c r="J6814" t="str">
        <f>T("매드햇")</f>
        <v>매드햇</v>
      </c>
      <c r="K6814" t="str">
        <f>T("화력조선")</f>
        <v>화력조선</v>
      </c>
      <c r="L6814">
        <v>100</v>
      </c>
      <c r="M6814">
        <v>100</v>
      </c>
      <c r="N6814">
        <v>1</v>
      </c>
      <c r="O6814">
        <v>0</v>
      </c>
      <c r="P6814">
        <v>0</v>
      </c>
      <c r="Q6814">
        <v>0</v>
      </c>
      <c r="R6814">
        <v>0</v>
      </c>
      <c r="S6814">
        <v>0</v>
      </c>
      <c r="T6814">
        <v>0</v>
      </c>
      <c r="U6814">
        <v>0</v>
      </c>
      <c r="V6814">
        <v>0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0</v>
      </c>
      <c r="AC6814">
        <v>0</v>
      </c>
      <c r="AD6814">
        <v>0</v>
      </c>
      <c r="AE6814">
        <v>0</v>
      </c>
      <c r="AF6814">
        <v>0</v>
      </c>
      <c r="AG6814">
        <v>0</v>
      </c>
      <c r="AH6814">
        <v>0</v>
      </c>
      <c r="AI6814">
        <v>100</v>
      </c>
      <c r="AJ6814">
        <v>1</v>
      </c>
      <c r="AK6814">
        <v>0</v>
      </c>
      <c r="AL6814">
        <v>0</v>
      </c>
      <c r="AM6814">
        <v>100</v>
      </c>
      <c r="AN6814">
        <v>0</v>
      </c>
      <c r="AO6814">
        <v>0</v>
      </c>
      <c r="AP6814">
        <v>0</v>
      </c>
      <c r="AQ6814">
        <v>0</v>
      </c>
      <c r="AS6814">
        <v>0</v>
      </c>
      <c r="AT6814">
        <v>0</v>
      </c>
      <c r="AV6814">
        <v>0</v>
      </c>
      <c r="AW6814">
        <v>0</v>
      </c>
      <c r="AY6814">
        <v>0</v>
      </c>
      <c r="AZ6814">
        <v>0</v>
      </c>
      <c r="BA6814">
        <v>70</v>
      </c>
      <c r="BE6814" t="str">
        <f>T("9791137006348")</f>
        <v>9791137006348</v>
      </c>
      <c r="BF6814" t="str">
        <f>T("N083106")</f>
        <v>N083106</v>
      </c>
      <c r="BG6814" t="str">
        <f>T("판타지 웹소설 &gt; 퓨전 판타지")</f>
        <v>판타지 웹소설 &gt; 퓨전 판타지</v>
      </c>
    </row>
    <row r="6815" spans="1:59">
      <c r="A6815" t="s">
        <v>60</v>
      </c>
      <c r="B6815" s="1">
        <v>46131</v>
      </c>
      <c r="C6815">
        <v>2378052051</v>
      </c>
      <c r="D6815">
        <v>2378052103</v>
      </c>
      <c r="E6815" t="str">
        <f>T("화력조선 52화")</f>
        <v>화력조선 52화</v>
      </c>
      <c r="F6815">
        <v>53</v>
      </c>
      <c r="G6815" t="str">
        <f>T("보헤미아")</f>
        <v>보헤미아</v>
      </c>
      <c r="J6815" t="str">
        <f>T("매드햇")</f>
        <v>매드햇</v>
      </c>
      <c r="K6815" t="str">
        <f>T("화력조선")</f>
        <v>화력조선</v>
      </c>
      <c r="L6815">
        <v>100</v>
      </c>
      <c r="M6815">
        <v>100</v>
      </c>
      <c r="N6815">
        <v>1</v>
      </c>
      <c r="O6815">
        <v>0</v>
      </c>
      <c r="P6815">
        <v>0</v>
      </c>
      <c r="Q6815">
        <v>0</v>
      </c>
      <c r="R6815">
        <v>0</v>
      </c>
      <c r="S6815">
        <v>0</v>
      </c>
      <c r="T6815">
        <v>0</v>
      </c>
      <c r="U6815">
        <v>0</v>
      </c>
      <c r="V6815">
        <v>0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0</v>
      </c>
      <c r="AC6815">
        <v>0</v>
      </c>
      <c r="AD6815">
        <v>0</v>
      </c>
      <c r="AE6815">
        <v>0</v>
      </c>
      <c r="AF6815">
        <v>0</v>
      </c>
      <c r="AG6815">
        <v>0</v>
      </c>
      <c r="AH6815">
        <v>0</v>
      </c>
      <c r="AI6815">
        <v>100</v>
      </c>
      <c r="AJ6815">
        <v>1</v>
      </c>
      <c r="AK6815">
        <v>0</v>
      </c>
      <c r="AL6815">
        <v>0</v>
      </c>
      <c r="AM6815">
        <v>100</v>
      </c>
      <c r="AN6815">
        <v>0</v>
      </c>
      <c r="AO6815">
        <v>0</v>
      </c>
      <c r="AP6815">
        <v>0</v>
      </c>
      <c r="AQ6815">
        <v>0</v>
      </c>
      <c r="AS6815">
        <v>0</v>
      </c>
      <c r="AT6815">
        <v>0</v>
      </c>
      <c r="AV6815">
        <v>0</v>
      </c>
      <c r="AW6815">
        <v>0</v>
      </c>
      <c r="AY6815">
        <v>0</v>
      </c>
      <c r="AZ6815">
        <v>0</v>
      </c>
      <c r="BA6815">
        <v>70</v>
      </c>
      <c r="BE6815" t="str">
        <f>T("9791137006348")</f>
        <v>9791137006348</v>
      </c>
      <c r="BF6815" t="str">
        <f>T("N083107")</f>
        <v>N083107</v>
      </c>
      <c r="BG6815" t="str">
        <f>T("판타지 웹소설 &gt; 퓨전 판타지")</f>
        <v>판타지 웹소설 &gt; 퓨전 판타지</v>
      </c>
    </row>
    <row r="6816" spans="1:59">
      <c r="A6816" t="s">
        <v>60</v>
      </c>
      <c r="B6816" s="1">
        <v>46131</v>
      </c>
      <c r="C6816">
        <v>2378052051</v>
      </c>
      <c r="D6816">
        <v>2378052104</v>
      </c>
      <c r="E6816" t="str">
        <f>T("화력조선 53화")</f>
        <v>화력조선 53화</v>
      </c>
      <c r="F6816">
        <v>54</v>
      </c>
      <c r="G6816" t="str">
        <f>T("보헤미아")</f>
        <v>보헤미아</v>
      </c>
      <c r="J6816" t="str">
        <f>T("매드햇")</f>
        <v>매드햇</v>
      </c>
      <c r="K6816" t="str">
        <f>T("화력조선")</f>
        <v>화력조선</v>
      </c>
      <c r="L6816">
        <v>100</v>
      </c>
      <c r="M6816">
        <v>100</v>
      </c>
      <c r="N6816">
        <v>1</v>
      </c>
      <c r="O6816">
        <v>0</v>
      </c>
      <c r="P6816">
        <v>0</v>
      </c>
      <c r="Q6816">
        <v>0</v>
      </c>
      <c r="R6816">
        <v>0</v>
      </c>
      <c r="S6816">
        <v>0</v>
      </c>
      <c r="T6816">
        <v>0</v>
      </c>
      <c r="U6816">
        <v>0</v>
      </c>
      <c r="V6816">
        <v>0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0</v>
      </c>
      <c r="AC6816">
        <v>0</v>
      </c>
      <c r="AD6816">
        <v>0</v>
      </c>
      <c r="AE6816">
        <v>0</v>
      </c>
      <c r="AF6816">
        <v>0</v>
      </c>
      <c r="AG6816">
        <v>0</v>
      </c>
      <c r="AH6816">
        <v>0</v>
      </c>
      <c r="AI6816">
        <v>100</v>
      </c>
      <c r="AJ6816">
        <v>1</v>
      </c>
      <c r="AK6816">
        <v>0</v>
      </c>
      <c r="AL6816">
        <v>0</v>
      </c>
      <c r="AM6816">
        <v>100</v>
      </c>
      <c r="AN6816">
        <v>0</v>
      </c>
      <c r="AO6816">
        <v>0</v>
      </c>
      <c r="AP6816">
        <v>0</v>
      </c>
      <c r="AQ6816">
        <v>0</v>
      </c>
      <c r="AS6816">
        <v>0</v>
      </c>
      <c r="AT6816">
        <v>0</v>
      </c>
      <c r="AV6816">
        <v>0</v>
      </c>
      <c r="AW6816">
        <v>0</v>
      </c>
      <c r="AY6816">
        <v>0</v>
      </c>
      <c r="AZ6816">
        <v>0</v>
      </c>
      <c r="BA6816">
        <v>70</v>
      </c>
      <c r="BE6816" t="str">
        <f>T("9791137006348")</f>
        <v>9791137006348</v>
      </c>
      <c r="BF6816" t="str">
        <f>T("N083108")</f>
        <v>N083108</v>
      </c>
      <c r="BG6816" t="str">
        <f>T("판타지 웹소설 &gt; 퓨전 판타지")</f>
        <v>판타지 웹소설 &gt; 퓨전 판타지</v>
      </c>
    </row>
    <row r="6817" spans="1:59">
      <c r="A6817" t="s">
        <v>60</v>
      </c>
      <c r="B6817" s="1">
        <v>46131</v>
      </c>
      <c r="C6817">
        <v>2378052051</v>
      </c>
      <c r="D6817">
        <v>2378052105</v>
      </c>
      <c r="E6817" t="str">
        <f>T("화력조선 54화")</f>
        <v>화력조선 54화</v>
      </c>
      <c r="F6817">
        <v>55</v>
      </c>
      <c r="G6817" t="str">
        <f>T("보헤미아")</f>
        <v>보헤미아</v>
      </c>
      <c r="J6817" t="str">
        <f>T("매드햇")</f>
        <v>매드햇</v>
      </c>
      <c r="K6817" t="str">
        <f>T("화력조선")</f>
        <v>화력조선</v>
      </c>
      <c r="L6817">
        <v>100</v>
      </c>
      <c r="M6817">
        <v>100</v>
      </c>
      <c r="N6817">
        <v>1</v>
      </c>
      <c r="O6817">
        <v>0</v>
      </c>
      <c r="P6817">
        <v>0</v>
      </c>
      <c r="Q6817">
        <v>0</v>
      </c>
      <c r="R6817">
        <v>0</v>
      </c>
      <c r="S6817">
        <v>0</v>
      </c>
      <c r="T6817">
        <v>0</v>
      </c>
      <c r="U6817">
        <v>0</v>
      </c>
      <c r="V6817">
        <v>0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0</v>
      </c>
      <c r="AC6817">
        <v>0</v>
      </c>
      <c r="AD6817">
        <v>0</v>
      </c>
      <c r="AE6817">
        <v>0</v>
      </c>
      <c r="AF6817">
        <v>0</v>
      </c>
      <c r="AG6817">
        <v>0</v>
      </c>
      <c r="AH6817">
        <v>0</v>
      </c>
      <c r="AI6817">
        <v>100</v>
      </c>
      <c r="AJ6817">
        <v>1</v>
      </c>
      <c r="AK6817">
        <v>0</v>
      </c>
      <c r="AL6817">
        <v>0</v>
      </c>
      <c r="AM6817">
        <v>100</v>
      </c>
      <c r="AN6817">
        <v>0</v>
      </c>
      <c r="AO6817">
        <v>0</v>
      </c>
      <c r="AP6817">
        <v>0</v>
      </c>
      <c r="AQ6817">
        <v>0</v>
      </c>
      <c r="AS6817">
        <v>0</v>
      </c>
      <c r="AT6817">
        <v>0</v>
      </c>
      <c r="AV6817">
        <v>0</v>
      </c>
      <c r="AW6817">
        <v>0</v>
      </c>
      <c r="AY6817">
        <v>0</v>
      </c>
      <c r="AZ6817">
        <v>0</v>
      </c>
      <c r="BA6817">
        <v>70</v>
      </c>
      <c r="BE6817" t="str">
        <f>T("9791137006348")</f>
        <v>9791137006348</v>
      </c>
      <c r="BF6817" t="str">
        <f>T("N083109")</f>
        <v>N083109</v>
      </c>
      <c r="BG6817" t="str">
        <f>T("판타지 웹소설 &gt; 퓨전 판타지")</f>
        <v>판타지 웹소설 &gt; 퓨전 판타지</v>
      </c>
    </row>
    <row r="6818" spans="1:59">
      <c r="A6818" t="s">
        <v>60</v>
      </c>
      <c r="B6818" s="1">
        <v>46131</v>
      </c>
      <c r="C6818">
        <v>2378052051</v>
      </c>
      <c r="D6818">
        <v>2378052106</v>
      </c>
      <c r="E6818" t="str">
        <f>T("화력조선 55화")</f>
        <v>화력조선 55화</v>
      </c>
      <c r="F6818">
        <v>56</v>
      </c>
      <c r="G6818" t="str">
        <f>T("보헤미아")</f>
        <v>보헤미아</v>
      </c>
      <c r="J6818" t="str">
        <f>T("매드햇")</f>
        <v>매드햇</v>
      </c>
      <c r="K6818" t="str">
        <f>T("화력조선")</f>
        <v>화력조선</v>
      </c>
      <c r="L6818">
        <v>100</v>
      </c>
      <c r="M6818">
        <v>100</v>
      </c>
      <c r="N6818">
        <v>1</v>
      </c>
      <c r="O6818">
        <v>0</v>
      </c>
      <c r="P6818">
        <v>0</v>
      </c>
      <c r="Q6818">
        <v>0</v>
      </c>
      <c r="R6818">
        <v>0</v>
      </c>
      <c r="S6818">
        <v>0</v>
      </c>
      <c r="T6818">
        <v>0</v>
      </c>
      <c r="U6818">
        <v>0</v>
      </c>
      <c r="V6818">
        <v>0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0</v>
      </c>
      <c r="AC6818">
        <v>0</v>
      </c>
      <c r="AD6818">
        <v>0</v>
      </c>
      <c r="AE6818">
        <v>0</v>
      </c>
      <c r="AF6818">
        <v>0</v>
      </c>
      <c r="AG6818">
        <v>0</v>
      </c>
      <c r="AH6818">
        <v>0</v>
      </c>
      <c r="AI6818">
        <v>100</v>
      </c>
      <c r="AJ6818">
        <v>1</v>
      </c>
      <c r="AK6818">
        <v>0</v>
      </c>
      <c r="AL6818">
        <v>0</v>
      </c>
      <c r="AM6818">
        <v>100</v>
      </c>
      <c r="AN6818">
        <v>0</v>
      </c>
      <c r="AO6818">
        <v>0</v>
      </c>
      <c r="AP6818">
        <v>0</v>
      </c>
      <c r="AQ6818">
        <v>0</v>
      </c>
      <c r="AS6818">
        <v>0</v>
      </c>
      <c r="AT6818">
        <v>0</v>
      </c>
      <c r="AV6818">
        <v>0</v>
      </c>
      <c r="AW6818">
        <v>0</v>
      </c>
      <c r="AY6818">
        <v>0</v>
      </c>
      <c r="AZ6818">
        <v>0</v>
      </c>
      <c r="BA6818">
        <v>70</v>
      </c>
      <c r="BE6818" t="str">
        <f>T("9791137006348")</f>
        <v>9791137006348</v>
      </c>
      <c r="BF6818" t="str">
        <f>T("N083110")</f>
        <v>N083110</v>
      </c>
      <c r="BG6818" t="str">
        <f>T("판타지 웹소설 &gt; 퓨전 판타지")</f>
        <v>판타지 웹소설 &gt; 퓨전 판타지</v>
      </c>
    </row>
    <row r="6819" spans="1:59">
      <c r="A6819" t="s">
        <v>60</v>
      </c>
      <c r="B6819" s="1">
        <v>46131</v>
      </c>
      <c r="C6819">
        <v>2378052051</v>
      </c>
      <c r="D6819">
        <v>2378052144</v>
      </c>
      <c r="E6819" t="str">
        <f>T("화력조선 93화")</f>
        <v>화력조선 93화</v>
      </c>
      <c r="F6819">
        <v>94</v>
      </c>
      <c r="G6819" t="str">
        <f>T("보헤미아")</f>
        <v>보헤미아</v>
      </c>
      <c r="J6819" t="str">
        <f>T("매드햇")</f>
        <v>매드햇</v>
      </c>
      <c r="K6819" t="str">
        <f>T("화력조선")</f>
        <v>화력조선</v>
      </c>
      <c r="L6819">
        <v>100</v>
      </c>
      <c r="M6819">
        <v>100</v>
      </c>
      <c r="N6819">
        <v>1</v>
      </c>
      <c r="O6819">
        <v>0</v>
      </c>
      <c r="P6819">
        <v>0</v>
      </c>
      <c r="Q6819">
        <v>0</v>
      </c>
      <c r="R6819">
        <v>0</v>
      </c>
      <c r="S6819">
        <v>0</v>
      </c>
      <c r="T6819">
        <v>0</v>
      </c>
      <c r="U6819">
        <v>0</v>
      </c>
      <c r="V6819">
        <v>0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0</v>
      </c>
      <c r="AC6819">
        <v>0</v>
      </c>
      <c r="AD6819">
        <v>0</v>
      </c>
      <c r="AE6819">
        <v>0</v>
      </c>
      <c r="AF6819">
        <v>0</v>
      </c>
      <c r="AG6819">
        <v>0</v>
      </c>
      <c r="AH6819">
        <v>0</v>
      </c>
      <c r="AI6819">
        <v>100</v>
      </c>
      <c r="AJ6819">
        <v>1</v>
      </c>
      <c r="AK6819">
        <v>0</v>
      </c>
      <c r="AL6819">
        <v>0</v>
      </c>
      <c r="AM6819">
        <v>0</v>
      </c>
      <c r="AN6819">
        <v>0</v>
      </c>
      <c r="AO6819">
        <v>120</v>
      </c>
      <c r="AP6819">
        <v>-12</v>
      </c>
      <c r="AQ6819">
        <v>0</v>
      </c>
      <c r="AS6819">
        <v>0</v>
      </c>
      <c r="AT6819">
        <v>0</v>
      </c>
      <c r="AU6819">
        <v>120</v>
      </c>
      <c r="AV6819">
        <v>-12</v>
      </c>
      <c r="AW6819">
        <v>0</v>
      </c>
      <c r="AY6819">
        <v>0</v>
      </c>
      <c r="AZ6819">
        <v>0</v>
      </c>
      <c r="BA6819">
        <v>75.599999999999994</v>
      </c>
      <c r="BE6819" t="str">
        <f>T("9791137006348")</f>
        <v>9791137006348</v>
      </c>
      <c r="BF6819" t="str">
        <f>T("N083148")</f>
        <v>N083148</v>
      </c>
      <c r="BG6819" t="str">
        <f>T("판타지 웹소설 &gt; 퓨전 판타지")</f>
        <v>판타지 웹소설 &gt; 퓨전 판타지</v>
      </c>
    </row>
    <row r="6820" spans="1:59">
      <c r="A6820" t="s">
        <v>60</v>
      </c>
      <c r="B6820" s="1">
        <v>46131</v>
      </c>
      <c r="C6820">
        <v>2378052051</v>
      </c>
      <c r="D6820">
        <v>2378052145</v>
      </c>
      <c r="E6820" t="str">
        <f>T("화력조선 94화")</f>
        <v>화력조선 94화</v>
      </c>
      <c r="F6820">
        <v>95</v>
      </c>
      <c r="G6820" t="str">
        <f>T("보헤미아")</f>
        <v>보헤미아</v>
      </c>
      <c r="J6820" t="str">
        <f>T("매드햇")</f>
        <v>매드햇</v>
      </c>
      <c r="K6820" t="str">
        <f>T("화력조선")</f>
        <v>화력조선</v>
      </c>
      <c r="L6820">
        <v>100</v>
      </c>
      <c r="M6820">
        <v>100</v>
      </c>
      <c r="N6820">
        <v>1</v>
      </c>
      <c r="O6820">
        <v>0</v>
      </c>
      <c r="P6820">
        <v>0</v>
      </c>
      <c r="Q6820">
        <v>0</v>
      </c>
      <c r="R6820">
        <v>0</v>
      </c>
      <c r="S6820">
        <v>0</v>
      </c>
      <c r="T6820">
        <v>0</v>
      </c>
      <c r="U6820">
        <v>0</v>
      </c>
      <c r="V6820">
        <v>0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0</v>
      </c>
      <c r="AC6820">
        <v>0</v>
      </c>
      <c r="AD6820">
        <v>0</v>
      </c>
      <c r="AE6820">
        <v>0</v>
      </c>
      <c r="AF6820">
        <v>0</v>
      </c>
      <c r="AG6820">
        <v>0</v>
      </c>
      <c r="AH6820">
        <v>0</v>
      </c>
      <c r="AI6820">
        <v>100</v>
      </c>
      <c r="AJ6820">
        <v>1</v>
      </c>
      <c r="AK6820">
        <v>0</v>
      </c>
      <c r="AL6820">
        <v>0</v>
      </c>
      <c r="AM6820">
        <v>0</v>
      </c>
      <c r="AN6820">
        <v>0</v>
      </c>
      <c r="AO6820">
        <v>120</v>
      </c>
      <c r="AP6820">
        <v>-12</v>
      </c>
      <c r="AQ6820">
        <v>0</v>
      </c>
      <c r="AS6820">
        <v>0</v>
      </c>
      <c r="AT6820">
        <v>0</v>
      </c>
      <c r="AU6820">
        <v>120</v>
      </c>
      <c r="AV6820">
        <v>-12</v>
      </c>
      <c r="AW6820">
        <v>0</v>
      </c>
      <c r="AY6820">
        <v>0</v>
      </c>
      <c r="AZ6820">
        <v>0</v>
      </c>
      <c r="BA6820">
        <v>75.599999999999994</v>
      </c>
      <c r="BE6820" t="str">
        <f>T("9791137006348")</f>
        <v>9791137006348</v>
      </c>
      <c r="BF6820" t="str">
        <f>T("N083149")</f>
        <v>N083149</v>
      </c>
      <c r="BG6820" t="str">
        <f>T("판타지 웹소설 &gt; 퓨전 판타지")</f>
        <v>판타지 웹소설 &gt; 퓨전 판타지</v>
      </c>
    </row>
    <row r="6821" spans="1:59">
      <c r="A6821" t="s">
        <v>60</v>
      </c>
      <c r="B6821" s="1">
        <v>46131</v>
      </c>
      <c r="C6821">
        <v>2378052051</v>
      </c>
      <c r="D6821">
        <v>2378052146</v>
      </c>
      <c r="E6821" t="str">
        <f>T("화력조선 95화")</f>
        <v>화력조선 95화</v>
      </c>
      <c r="F6821">
        <v>96</v>
      </c>
      <c r="G6821" t="str">
        <f>T("보헤미아")</f>
        <v>보헤미아</v>
      </c>
      <c r="J6821" t="str">
        <f>T("매드햇")</f>
        <v>매드햇</v>
      </c>
      <c r="K6821" t="str">
        <f>T("화력조선")</f>
        <v>화력조선</v>
      </c>
      <c r="L6821">
        <v>100</v>
      </c>
      <c r="M6821">
        <v>100</v>
      </c>
      <c r="N6821">
        <v>1</v>
      </c>
      <c r="O6821">
        <v>0</v>
      </c>
      <c r="P6821">
        <v>0</v>
      </c>
      <c r="Q6821">
        <v>0</v>
      </c>
      <c r="R6821">
        <v>0</v>
      </c>
      <c r="S6821">
        <v>0</v>
      </c>
      <c r="T6821">
        <v>0</v>
      </c>
      <c r="U6821">
        <v>0</v>
      </c>
      <c r="V6821">
        <v>0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0</v>
      </c>
      <c r="AC6821">
        <v>0</v>
      </c>
      <c r="AD6821">
        <v>0</v>
      </c>
      <c r="AE6821">
        <v>0</v>
      </c>
      <c r="AF6821">
        <v>0</v>
      </c>
      <c r="AG6821">
        <v>0</v>
      </c>
      <c r="AH6821">
        <v>0</v>
      </c>
      <c r="AI6821">
        <v>100</v>
      </c>
      <c r="AJ6821">
        <v>1</v>
      </c>
      <c r="AK6821">
        <v>0</v>
      </c>
      <c r="AL6821">
        <v>0</v>
      </c>
      <c r="AM6821">
        <v>0</v>
      </c>
      <c r="AN6821">
        <v>0</v>
      </c>
      <c r="AO6821">
        <v>120</v>
      </c>
      <c r="AP6821">
        <v>-12</v>
      </c>
      <c r="AQ6821">
        <v>0</v>
      </c>
      <c r="AS6821">
        <v>0</v>
      </c>
      <c r="AT6821">
        <v>0</v>
      </c>
      <c r="AU6821">
        <v>120</v>
      </c>
      <c r="AV6821">
        <v>-12</v>
      </c>
      <c r="AW6821">
        <v>0</v>
      </c>
      <c r="AY6821">
        <v>0</v>
      </c>
      <c r="AZ6821">
        <v>0</v>
      </c>
      <c r="BA6821">
        <v>75.599999999999994</v>
      </c>
      <c r="BE6821" t="str">
        <f>T("9791137006348")</f>
        <v>9791137006348</v>
      </c>
      <c r="BF6821" t="str">
        <f>T("N083150")</f>
        <v>N083150</v>
      </c>
      <c r="BG6821" t="str">
        <f>T("판타지 웹소설 &gt; 퓨전 판타지")</f>
        <v>판타지 웹소설 &gt; 퓨전 판타지</v>
      </c>
    </row>
    <row r="6822" spans="1:59">
      <c r="A6822" t="s">
        <v>60</v>
      </c>
      <c r="B6822" s="1">
        <v>46131</v>
      </c>
      <c r="C6822">
        <v>2378052051</v>
      </c>
      <c r="D6822">
        <v>2378052147</v>
      </c>
      <c r="E6822" t="str">
        <f>T("화력조선 96화")</f>
        <v>화력조선 96화</v>
      </c>
      <c r="F6822">
        <v>97</v>
      </c>
      <c r="G6822" t="str">
        <f>T("보헤미아")</f>
        <v>보헤미아</v>
      </c>
      <c r="J6822" t="str">
        <f>T("매드햇")</f>
        <v>매드햇</v>
      </c>
      <c r="K6822" t="str">
        <f>T("화력조선")</f>
        <v>화력조선</v>
      </c>
      <c r="L6822">
        <v>100</v>
      </c>
      <c r="M6822">
        <v>100</v>
      </c>
      <c r="N6822">
        <v>1</v>
      </c>
      <c r="O6822">
        <v>0</v>
      </c>
      <c r="P6822">
        <v>0</v>
      </c>
      <c r="Q6822">
        <v>0</v>
      </c>
      <c r="R6822">
        <v>0</v>
      </c>
      <c r="S6822">
        <v>0</v>
      </c>
      <c r="T6822">
        <v>0</v>
      </c>
      <c r="U6822">
        <v>0</v>
      </c>
      <c r="V6822">
        <v>0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0</v>
      </c>
      <c r="AC6822">
        <v>0</v>
      </c>
      <c r="AD6822">
        <v>0</v>
      </c>
      <c r="AE6822">
        <v>0</v>
      </c>
      <c r="AF6822">
        <v>0</v>
      </c>
      <c r="AG6822">
        <v>0</v>
      </c>
      <c r="AH6822">
        <v>0</v>
      </c>
      <c r="AI6822">
        <v>100</v>
      </c>
      <c r="AJ6822">
        <v>1</v>
      </c>
      <c r="AK6822">
        <v>0</v>
      </c>
      <c r="AL6822">
        <v>0</v>
      </c>
      <c r="AM6822">
        <v>0</v>
      </c>
      <c r="AN6822">
        <v>0</v>
      </c>
      <c r="AO6822">
        <v>120</v>
      </c>
      <c r="AP6822">
        <v>-12</v>
      </c>
      <c r="AQ6822">
        <v>0</v>
      </c>
      <c r="AS6822">
        <v>0</v>
      </c>
      <c r="AT6822">
        <v>0</v>
      </c>
      <c r="AU6822">
        <v>120</v>
      </c>
      <c r="AV6822">
        <v>-12</v>
      </c>
      <c r="AW6822">
        <v>0</v>
      </c>
      <c r="AY6822">
        <v>0</v>
      </c>
      <c r="AZ6822">
        <v>0</v>
      </c>
      <c r="BA6822">
        <v>75.599999999999994</v>
      </c>
      <c r="BE6822" t="str">
        <f>T("9791137006348")</f>
        <v>9791137006348</v>
      </c>
      <c r="BF6822" t="str">
        <f>T("N083151")</f>
        <v>N083151</v>
      </c>
      <c r="BG6822" t="str">
        <f>T("판타지 웹소설 &gt; 퓨전 판타지")</f>
        <v>판타지 웹소설 &gt; 퓨전 판타지</v>
      </c>
    </row>
    <row r="6823" spans="1:59">
      <c r="A6823" t="s">
        <v>60</v>
      </c>
      <c r="B6823" s="1">
        <v>46131</v>
      </c>
      <c r="C6823">
        <v>2378052051</v>
      </c>
      <c r="D6823">
        <v>2378052148</v>
      </c>
      <c r="E6823" t="str">
        <f>T("화력조선 97화")</f>
        <v>화력조선 97화</v>
      </c>
      <c r="F6823">
        <v>98</v>
      </c>
      <c r="G6823" t="str">
        <f>T("보헤미아")</f>
        <v>보헤미아</v>
      </c>
      <c r="J6823" t="str">
        <f>T("매드햇")</f>
        <v>매드햇</v>
      </c>
      <c r="K6823" t="str">
        <f>T("화력조선")</f>
        <v>화력조선</v>
      </c>
      <c r="L6823">
        <v>100</v>
      </c>
      <c r="M6823">
        <v>100</v>
      </c>
      <c r="N6823">
        <v>1</v>
      </c>
      <c r="O6823">
        <v>0</v>
      </c>
      <c r="P6823">
        <v>0</v>
      </c>
      <c r="Q6823">
        <v>0</v>
      </c>
      <c r="R6823">
        <v>0</v>
      </c>
      <c r="S6823">
        <v>0</v>
      </c>
      <c r="T6823">
        <v>0</v>
      </c>
      <c r="U6823">
        <v>0</v>
      </c>
      <c r="V6823">
        <v>0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0</v>
      </c>
      <c r="AC6823">
        <v>0</v>
      </c>
      <c r="AD6823">
        <v>0</v>
      </c>
      <c r="AE6823">
        <v>0</v>
      </c>
      <c r="AF6823">
        <v>0</v>
      </c>
      <c r="AG6823">
        <v>0</v>
      </c>
      <c r="AH6823">
        <v>0</v>
      </c>
      <c r="AI6823">
        <v>100</v>
      </c>
      <c r="AJ6823">
        <v>1</v>
      </c>
      <c r="AK6823">
        <v>0</v>
      </c>
      <c r="AL6823">
        <v>0</v>
      </c>
      <c r="AM6823">
        <v>0</v>
      </c>
      <c r="AN6823">
        <v>0</v>
      </c>
      <c r="AO6823">
        <v>120</v>
      </c>
      <c r="AP6823">
        <v>-12</v>
      </c>
      <c r="AQ6823">
        <v>0</v>
      </c>
      <c r="AS6823">
        <v>0</v>
      </c>
      <c r="AT6823">
        <v>0</v>
      </c>
      <c r="AU6823">
        <v>120</v>
      </c>
      <c r="AV6823">
        <v>-12</v>
      </c>
      <c r="AW6823">
        <v>0</v>
      </c>
      <c r="AY6823">
        <v>0</v>
      </c>
      <c r="AZ6823">
        <v>0</v>
      </c>
      <c r="BA6823">
        <v>75.599999999999994</v>
      </c>
      <c r="BE6823" t="str">
        <f>T("9791137006348")</f>
        <v>9791137006348</v>
      </c>
      <c r="BF6823" t="str">
        <f>T("N083152")</f>
        <v>N083152</v>
      </c>
      <c r="BG6823" t="str">
        <f>T("판타지 웹소설 &gt; 퓨전 판타지")</f>
        <v>판타지 웹소설 &gt; 퓨전 판타지</v>
      </c>
    </row>
    <row r="6824" spans="1:59">
      <c r="A6824" t="s">
        <v>60</v>
      </c>
      <c r="B6824" s="1">
        <v>46131</v>
      </c>
      <c r="C6824">
        <v>2378052051</v>
      </c>
      <c r="D6824">
        <v>2378052149</v>
      </c>
      <c r="E6824" t="str">
        <f>T("화력조선 98화")</f>
        <v>화력조선 98화</v>
      </c>
      <c r="F6824">
        <v>99</v>
      </c>
      <c r="G6824" t="str">
        <f>T("보헤미아")</f>
        <v>보헤미아</v>
      </c>
      <c r="J6824" t="str">
        <f>T("매드햇")</f>
        <v>매드햇</v>
      </c>
      <c r="K6824" t="str">
        <f>T("화력조선")</f>
        <v>화력조선</v>
      </c>
      <c r="L6824">
        <v>100</v>
      </c>
      <c r="M6824">
        <v>100</v>
      </c>
      <c r="N6824">
        <v>1</v>
      </c>
      <c r="O6824">
        <v>0</v>
      </c>
      <c r="P6824">
        <v>0</v>
      </c>
      <c r="Q6824">
        <v>0</v>
      </c>
      <c r="R6824">
        <v>0</v>
      </c>
      <c r="S6824">
        <v>0</v>
      </c>
      <c r="T6824">
        <v>0</v>
      </c>
      <c r="U6824">
        <v>0</v>
      </c>
      <c r="V6824">
        <v>0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0</v>
      </c>
      <c r="AC6824">
        <v>0</v>
      </c>
      <c r="AD6824">
        <v>0</v>
      </c>
      <c r="AE6824">
        <v>0</v>
      </c>
      <c r="AF6824">
        <v>0</v>
      </c>
      <c r="AG6824">
        <v>0</v>
      </c>
      <c r="AH6824">
        <v>0</v>
      </c>
      <c r="AI6824">
        <v>100</v>
      </c>
      <c r="AJ6824">
        <v>1</v>
      </c>
      <c r="AK6824">
        <v>0</v>
      </c>
      <c r="AL6824">
        <v>0</v>
      </c>
      <c r="AM6824">
        <v>0</v>
      </c>
      <c r="AN6824">
        <v>0</v>
      </c>
      <c r="AO6824">
        <v>120</v>
      </c>
      <c r="AP6824">
        <v>-12</v>
      </c>
      <c r="AQ6824">
        <v>0</v>
      </c>
      <c r="AS6824">
        <v>0</v>
      </c>
      <c r="AT6824">
        <v>0</v>
      </c>
      <c r="AU6824">
        <v>120</v>
      </c>
      <c r="AV6824">
        <v>-12</v>
      </c>
      <c r="AW6824">
        <v>0</v>
      </c>
      <c r="AY6824">
        <v>0</v>
      </c>
      <c r="AZ6824">
        <v>0</v>
      </c>
      <c r="BA6824">
        <v>75.599999999999994</v>
      </c>
      <c r="BE6824" t="str">
        <f>T("9791137006348")</f>
        <v>9791137006348</v>
      </c>
      <c r="BF6824" t="str">
        <f>T("N083153")</f>
        <v>N083153</v>
      </c>
      <c r="BG6824" t="str">
        <f>T("판타지 웹소설 &gt; 퓨전 판타지")</f>
        <v>판타지 웹소설 &gt; 퓨전 판타지</v>
      </c>
    </row>
    <row r="6825" spans="1:59">
      <c r="A6825" t="s">
        <v>60</v>
      </c>
      <c r="B6825" s="1">
        <v>46129</v>
      </c>
      <c r="C6825">
        <v>2378027763</v>
      </c>
      <c r="D6825">
        <v>2378027763</v>
      </c>
      <c r="E6825" t="str">
        <f>T("회귀무사가 좀 밝힘 : 서(序)")</f>
        <v>회귀무사가 좀 밝힘 : 서(序)</v>
      </c>
      <c r="F6825">
        <v>1</v>
      </c>
      <c r="G6825" t="str">
        <f>T("무영武映")</f>
        <v>무영武映</v>
      </c>
      <c r="J6825" t="str">
        <f>T("매드햇")</f>
        <v>매드햇</v>
      </c>
      <c r="K6825" t="str">
        <f>T("회귀무사가 좀 밝힘")</f>
        <v>회귀무사가 좀 밝힘</v>
      </c>
      <c r="L6825">
        <v>0</v>
      </c>
      <c r="M6825">
        <v>0</v>
      </c>
      <c r="N6825">
        <v>0</v>
      </c>
      <c r="O6825">
        <v>1</v>
      </c>
      <c r="P6825">
        <v>0</v>
      </c>
      <c r="Q6825">
        <v>0</v>
      </c>
      <c r="R6825">
        <v>0</v>
      </c>
      <c r="S6825">
        <v>0</v>
      </c>
      <c r="T6825">
        <v>0</v>
      </c>
      <c r="U6825">
        <v>0</v>
      </c>
      <c r="V6825">
        <v>0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0</v>
      </c>
      <c r="AC6825">
        <v>0</v>
      </c>
      <c r="AD6825">
        <v>0</v>
      </c>
      <c r="AE6825">
        <v>0</v>
      </c>
      <c r="AF6825">
        <v>0</v>
      </c>
      <c r="AG6825">
        <v>0</v>
      </c>
      <c r="AH6825">
        <v>0</v>
      </c>
      <c r="AI6825">
        <v>0</v>
      </c>
      <c r="AJ6825">
        <v>1</v>
      </c>
      <c r="AK6825">
        <v>0</v>
      </c>
      <c r="AL6825">
        <v>0</v>
      </c>
      <c r="AM6825">
        <v>0</v>
      </c>
      <c r="AN6825">
        <v>0</v>
      </c>
      <c r="AO6825">
        <v>0</v>
      </c>
      <c r="AP6825">
        <v>0</v>
      </c>
      <c r="AQ6825">
        <v>0</v>
      </c>
      <c r="AS6825">
        <v>0</v>
      </c>
      <c r="AT6825">
        <v>0</v>
      </c>
      <c r="AV6825">
        <v>0</v>
      </c>
      <c r="AW6825">
        <v>0</v>
      </c>
      <c r="AY6825">
        <v>0</v>
      </c>
      <c r="AZ6825">
        <v>0</v>
      </c>
      <c r="BA6825">
        <v>0</v>
      </c>
      <c r="BE6825" t="str">
        <f>T("9791137003538")</f>
        <v>9791137003538</v>
      </c>
      <c r="BF6825" t="str">
        <f>T("E834875")</f>
        <v>E834875</v>
      </c>
      <c r="BG6825" t="str">
        <f>T("판타지 웹소설 &gt; 무협 소설")</f>
        <v>판타지 웹소설 &gt; 무협 소설</v>
      </c>
    </row>
    <row r="6826" spans="1:59">
      <c r="A6826" t="s">
        <v>60</v>
      </c>
      <c r="B6826" s="1">
        <v>46129</v>
      </c>
      <c r="C6826">
        <v>2378027763</v>
      </c>
      <c r="D6826">
        <v>2378027764</v>
      </c>
      <c r="E6826" t="str">
        <f>T("회귀무사가 좀 밝힘 : 1장 모르는 자의 용기")</f>
        <v>회귀무사가 좀 밝힘 : 1장 모르는 자의 용기</v>
      </c>
      <c r="F6826">
        <v>2</v>
      </c>
      <c r="G6826" t="str">
        <f>T("무영武映")</f>
        <v>무영武映</v>
      </c>
      <c r="J6826" t="str">
        <f>T("매드햇")</f>
        <v>매드햇</v>
      </c>
      <c r="K6826" t="str">
        <f>T("회귀무사가 좀 밝힘")</f>
        <v>회귀무사가 좀 밝힘</v>
      </c>
      <c r="L6826">
        <v>0</v>
      </c>
      <c r="M6826">
        <v>0</v>
      </c>
      <c r="N6826">
        <v>0</v>
      </c>
      <c r="O6826">
        <v>1</v>
      </c>
      <c r="P6826">
        <v>0</v>
      </c>
      <c r="Q6826">
        <v>0</v>
      </c>
      <c r="R6826">
        <v>0</v>
      </c>
      <c r="S6826">
        <v>0</v>
      </c>
      <c r="T6826">
        <v>0</v>
      </c>
      <c r="U6826">
        <v>0</v>
      </c>
      <c r="V6826">
        <v>0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0</v>
      </c>
      <c r="AC6826">
        <v>0</v>
      </c>
      <c r="AD6826">
        <v>0</v>
      </c>
      <c r="AE6826">
        <v>0</v>
      </c>
      <c r="AF6826">
        <v>0</v>
      </c>
      <c r="AG6826">
        <v>0</v>
      </c>
      <c r="AH6826">
        <v>0</v>
      </c>
      <c r="AI6826">
        <v>0</v>
      </c>
      <c r="AJ6826">
        <v>1</v>
      </c>
      <c r="AK6826">
        <v>0</v>
      </c>
      <c r="AL6826">
        <v>0</v>
      </c>
      <c r="AM6826">
        <v>0</v>
      </c>
      <c r="AN6826">
        <v>0</v>
      </c>
      <c r="AO6826">
        <v>0</v>
      </c>
      <c r="AP6826">
        <v>0</v>
      </c>
      <c r="AQ6826">
        <v>0</v>
      </c>
      <c r="AS6826">
        <v>0</v>
      </c>
      <c r="AT6826">
        <v>0</v>
      </c>
      <c r="AV6826">
        <v>0</v>
      </c>
      <c r="AW6826">
        <v>0</v>
      </c>
      <c r="AY6826">
        <v>0</v>
      </c>
      <c r="AZ6826">
        <v>0</v>
      </c>
      <c r="BA6826">
        <v>0</v>
      </c>
      <c r="BE6826" t="str">
        <f>T("9791137003538")</f>
        <v>9791137003538</v>
      </c>
      <c r="BF6826" t="str">
        <f>T("E834876")</f>
        <v>E834876</v>
      </c>
      <c r="BG6826" t="str">
        <f>T("판타지 웹소설 &gt; 무협 소설")</f>
        <v>판타지 웹소설 &gt; 무협 소설</v>
      </c>
    </row>
    <row r="6827" spans="1:59">
      <c r="A6827" t="s">
        <v>60</v>
      </c>
      <c r="B6827" s="1">
        <v>46129</v>
      </c>
      <c r="C6827">
        <v>2378027763</v>
      </c>
      <c r="D6827">
        <v>2378027765</v>
      </c>
      <c r="E6827" t="str">
        <f>T("회귀무사가 좀 밝힘 : 2장 그녀를 만나다")</f>
        <v>회귀무사가 좀 밝힘 : 2장 그녀를 만나다</v>
      </c>
      <c r="F6827">
        <v>3</v>
      </c>
      <c r="G6827" t="str">
        <f>T("무영武映")</f>
        <v>무영武映</v>
      </c>
      <c r="J6827" t="str">
        <f>T("매드햇")</f>
        <v>매드햇</v>
      </c>
      <c r="K6827" t="str">
        <f>T("회귀무사가 좀 밝힘")</f>
        <v>회귀무사가 좀 밝힘</v>
      </c>
      <c r="L6827">
        <v>0</v>
      </c>
      <c r="M6827">
        <v>0</v>
      </c>
      <c r="N6827">
        <v>0</v>
      </c>
      <c r="O6827">
        <v>1</v>
      </c>
      <c r="P6827">
        <v>0</v>
      </c>
      <c r="Q6827">
        <v>0</v>
      </c>
      <c r="R6827">
        <v>0</v>
      </c>
      <c r="S6827">
        <v>0</v>
      </c>
      <c r="T6827">
        <v>0</v>
      </c>
      <c r="U6827">
        <v>0</v>
      </c>
      <c r="V6827">
        <v>0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0</v>
      </c>
      <c r="AC6827">
        <v>0</v>
      </c>
      <c r="AD6827">
        <v>0</v>
      </c>
      <c r="AE6827">
        <v>0</v>
      </c>
      <c r="AF6827">
        <v>0</v>
      </c>
      <c r="AG6827">
        <v>0</v>
      </c>
      <c r="AH6827">
        <v>0</v>
      </c>
      <c r="AI6827">
        <v>0</v>
      </c>
      <c r="AJ6827">
        <v>1</v>
      </c>
      <c r="AK6827">
        <v>0</v>
      </c>
      <c r="AL6827">
        <v>0</v>
      </c>
      <c r="AM6827">
        <v>0</v>
      </c>
      <c r="AN6827">
        <v>0</v>
      </c>
      <c r="AO6827">
        <v>0</v>
      </c>
      <c r="AP6827">
        <v>0</v>
      </c>
      <c r="AQ6827">
        <v>0</v>
      </c>
      <c r="AS6827">
        <v>0</v>
      </c>
      <c r="AT6827">
        <v>0</v>
      </c>
      <c r="AV6827">
        <v>0</v>
      </c>
      <c r="AW6827">
        <v>0</v>
      </c>
      <c r="AY6827">
        <v>0</v>
      </c>
      <c r="AZ6827">
        <v>0</v>
      </c>
      <c r="BA6827">
        <v>0</v>
      </c>
      <c r="BE6827" t="str">
        <f>T("9791137003538")</f>
        <v>9791137003538</v>
      </c>
      <c r="BF6827" t="str">
        <f>T("E834877")</f>
        <v>E834877</v>
      </c>
      <c r="BG6827" t="str">
        <f>T("판타지 웹소설 &gt; 무협 소설")</f>
        <v>판타지 웹소설 &gt; 무협 소설</v>
      </c>
    </row>
    <row r="6828" spans="1:59">
      <c r="A6828" t="s">
        <v>60</v>
      </c>
      <c r="B6828" s="1">
        <v>46129</v>
      </c>
      <c r="C6828">
        <v>2378027763</v>
      </c>
      <c r="D6828">
        <v>2378027766</v>
      </c>
      <c r="E6828" t="str">
        <f>T("회귀무사가 좀 밝힘 : 3장 의도치 않았던 기연")</f>
        <v>회귀무사가 좀 밝힘 : 3장 의도치 않았던 기연</v>
      </c>
      <c r="F6828">
        <v>4</v>
      </c>
      <c r="G6828" t="str">
        <f>T("무영武映")</f>
        <v>무영武映</v>
      </c>
      <c r="J6828" t="str">
        <f>T("매드햇")</f>
        <v>매드햇</v>
      </c>
      <c r="K6828" t="str">
        <f>T("회귀무사가 좀 밝힘")</f>
        <v>회귀무사가 좀 밝힘</v>
      </c>
      <c r="L6828">
        <v>0</v>
      </c>
      <c r="M6828">
        <v>0</v>
      </c>
      <c r="N6828">
        <v>0</v>
      </c>
      <c r="O6828">
        <v>1</v>
      </c>
      <c r="P6828">
        <v>0</v>
      </c>
      <c r="Q6828">
        <v>0</v>
      </c>
      <c r="R6828">
        <v>0</v>
      </c>
      <c r="S6828">
        <v>0</v>
      </c>
      <c r="T6828">
        <v>0</v>
      </c>
      <c r="U6828">
        <v>0</v>
      </c>
      <c r="V6828">
        <v>0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0</v>
      </c>
      <c r="AC6828">
        <v>0</v>
      </c>
      <c r="AD6828">
        <v>0</v>
      </c>
      <c r="AE6828">
        <v>0</v>
      </c>
      <c r="AF6828">
        <v>0</v>
      </c>
      <c r="AG6828">
        <v>0</v>
      </c>
      <c r="AH6828">
        <v>0</v>
      </c>
      <c r="AI6828">
        <v>0</v>
      </c>
      <c r="AJ6828">
        <v>1</v>
      </c>
      <c r="AK6828">
        <v>0</v>
      </c>
      <c r="AL6828">
        <v>0</v>
      </c>
      <c r="AM6828">
        <v>0</v>
      </c>
      <c r="AN6828">
        <v>0</v>
      </c>
      <c r="AO6828">
        <v>0</v>
      </c>
      <c r="AP6828">
        <v>0</v>
      </c>
      <c r="AQ6828">
        <v>0</v>
      </c>
      <c r="AS6828">
        <v>0</v>
      </c>
      <c r="AT6828">
        <v>0</v>
      </c>
      <c r="AV6828">
        <v>0</v>
      </c>
      <c r="AW6828">
        <v>0</v>
      </c>
      <c r="AY6828">
        <v>0</v>
      </c>
      <c r="AZ6828">
        <v>0</v>
      </c>
      <c r="BA6828">
        <v>0</v>
      </c>
      <c r="BE6828" t="str">
        <f>T("9791137003538")</f>
        <v>9791137003538</v>
      </c>
      <c r="BF6828" t="str">
        <f>T("E834878")</f>
        <v>E834878</v>
      </c>
      <c r="BG6828" t="str">
        <f>T("판타지 웹소설 &gt; 무협 소설")</f>
        <v>판타지 웹소설 &gt; 무협 소설</v>
      </c>
    </row>
    <row r="6829" spans="1:59">
      <c r="A6829" t="s">
        <v>60</v>
      </c>
      <c r="B6829" s="1">
        <v>46129</v>
      </c>
      <c r="C6829">
        <v>2378027763</v>
      </c>
      <c r="D6829">
        <v>2378027767</v>
      </c>
      <c r="E6829" t="str">
        <f>T("회귀무사가 좀 밝힘 : 4장 의도치 않았던 기연 (2)")</f>
        <v>회귀무사가 좀 밝힘 : 4장 의도치 않았던 기연 (2)</v>
      </c>
      <c r="F6829">
        <v>5</v>
      </c>
      <c r="G6829" t="str">
        <f>T("무영武映")</f>
        <v>무영武映</v>
      </c>
      <c r="J6829" t="str">
        <f>T("매드햇")</f>
        <v>매드햇</v>
      </c>
      <c r="K6829" t="str">
        <f>T("회귀무사가 좀 밝힘")</f>
        <v>회귀무사가 좀 밝힘</v>
      </c>
      <c r="L6829">
        <v>0</v>
      </c>
      <c r="M6829">
        <v>0</v>
      </c>
      <c r="N6829">
        <v>0</v>
      </c>
      <c r="O6829">
        <v>1</v>
      </c>
      <c r="P6829">
        <v>0</v>
      </c>
      <c r="Q6829">
        <v>0</v>
      </c>
      <c r="R6829">
        <v>0</v>
      </c>
      <c r="S6829">
        <v>0</v>
      </c>
      <c r="T6829">
        <v>0</v>
      </c>
      <c r="U6829">
        <v>0</v>
      </c>
      <c r="V6829">
        <v>0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0</v>
      </c>
      <c r="AC6829">
        <v>0</v>
      </c>
      <c r="AD6829">
        <v>0</v>
      </c>
      <c r="AE6829">
        <v>0</v>
      </c>
      <c r="AF6829">
        <v>0</v>
      </c>
      <c r="AG6829">
        <v>0</v>
      </c>
      <c r="AH6829">
        <v>0</v>
      </c>
      <c r="AI6829">
        <v>0</v>
      </c>
      <c r="AJ6829">
        <v>1</v>
      </c>
      <c r="AK6829">
        <v>0</v>
      </c>
      <c r="AL6829">
        <v>0</v>
      </c>
      <c r="AM6829">
        <v>0</v>
      </c>
      <c r="AN6829">
        <v>0</v>
      </c>
      <c r="AO6829">
        <v>0</v>
      </c>
      <c r="AP6829">
        <v>0</v>
      </c>
      <c r="AQ6829">
        <v>0</v>
      </c>
      <c r="AS6829">
        <v>0</v>
      </c>
      <c r="AT6829">
        <v>0</v>
      </c>
      <c r="AV6829">
        <v>0</v>
      </c>
      <c r="AW6829">
        <v>0</v>
      </c>
      <c r="AY6829">
        <v>0</v>
      </c>
      <c r="AZ6829">
        <v>0</v>
      </c>
      <c r="BA6829">
        <v>0</v>
      </c>
      <c r="BE6829" t="str">
        <f>T("9791137003538")</f>
        <v>9791137003538</v>
      </c>
      <c r="BF6829" t="str">
        <f>T("E834879")</f>
        <v>E834879</v>
      </c>
      <c r="BG6829" t="str">
        <f>T("판타지 웹소설 &gt; 무협 소설")</f>
        <v>판타지 웹소설 &gt; 무협 소설</v>
      </c>
    </row>
    <row r="6830" spans="1:59">
      <c r="A6830" t="s">
        <v>60</v>
      </c>
      <c r="B6830" s="1">
        <v>46129</v>
      </c>
      <c r="C6830">
        <v>2378027763</v>
      </c>
      <c r="D6830">
        <v>2378027768</v>
      </c>
      <c r="E6830" t="str">
        <f>T("회귀무사가 좀 밝힘 : 5장 기연을 찾다 보면")</f>
        <v>회귀무사가 좀 밝힘 : 5장 기연을 찾다 보면</v>
      </c>
      <c r="F6830">
        <v>6</v>
      </c>
      <c r="G6830" t="str">
        <f>T("무영武映")</f>
        <v>무영武映</v>
      </c>
      <c r="J6830" t="str">
        <f>T("매드햇")</f>
        <v>매드햇</v>
      </c>
      <c r="K6830" t="str">
        <f>T("회귀무사가 좀 밝힘")</f>
        <v>회귀무사가 좀 밝힘</v>
      </c>
      <c r="L6830">
        <v>0</v>
      </c>
      <c r="M6830">
        <v>0</v>
      </c>
      <c r="N6830">
        <v>0</v>
      </c>
      <c r="O6830">
        <v>1</v>
      </c>
      <c r="P6830">
        <v>0</v>
      </c>
      <c r="Q6830">
        <v>0</v>
      </c>
      <c r="R6830">
        <v>0</v>
      </c>
      <c r="S6830">
        <v>0</v>
      </c>
      <c r="T6830">
        <v>0</v>
      </c>
      <c r="U6830">
        <v>0</v>
      </c>
      <c r="V6830">
        <v>0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0</v>
      </c>
      <c r="AC6830">
        <v>0</v>
      </c>
      <c r="AD6830">
        <v>0</v>
      </c>
      <c r="AE6830">
        <v>0</v>
      </c>
      <c r="AF6830">
        <v>0</v>
      </c>
      <c r="AG6830">
        <v>0</v>
      </c>
      <c r="AH6830">
        <v>0</v>
      </c>
      <c r="AI6830">
        <v>0</v>
      </c>
      <c r="AJ6830">
        <v>1</v>
      </c>
      <c r="AK6830">
        <v>0</v>
      </c>
      <c r="AL6830">
        <v>0</v>
      </c>
      <c r="AM6830">
        <v>0</v>
      </c>
      <c r="AN6830">
        <v>0</v>
      </c>
      <c r="AO6830">
        <v>0</v>
      </c>
      <c r="AP6830">
        <v>0</v>
      </c>
      <c r="AQ6830">
        <v>0</v>
      </c>
      <c r="AS6830">
        <v>0</v>
      </c>
      <c r="AT6830">
        <v>0</v>
      </c>
      <c r="AV6830">
        <v>0</v>
      </c>
      <c r="AW6830">
        <v>0</v>
      </c>
      <c r="AY6830">
        <v>0</v>
      </c>
      <c r="AZ6830">
        <v>0</v>
      </c>
      <c r="BA6830">
        <v>0</v>
      </c>
      <c r="BE6830" t="str">
        <f>T("9791137003538")</f>
        <v>9791137003538</v>
      </c>
      <c r="BF6830" t="str">
        <f>T("E834880")</f>
        <v>E834880</v>
      </c>
      <c r="BG6830" t="str">
        <f>T("판타지 웹소설 &gt; 무협 소설")</f>
        <v>판타지 웹소설 &gt; 무협 소설</v>
      </c>
    </row>
    <row r="6831" spans="1:59">
      <c r="A6831" t="s">
        <v>60</v>
      </c>
      <c r="B6831" s="1">
        <v>46129</v>
      </c>
      <c r="C6831">
        <v>2378027763</v>
      </c>
      <c r="D6831">
        <v>2378027769</v>
      </c>
      <c r="E6831" t="str">
        <f>T("회귀무사가 좀 밝힘 : 6장 피하고 싶었던")</f>
        <v>회귀무사가 좀 밝힘 : 6장 피하고 싶었던</v>
      </c>
      <c r="F6831">
        <v>7</v>
      </c>
      <c r="G6831" t="str">
        <f>T("무영武映")</f>
        <v>무영武映</v>
      </c>
      <c r="J6831" t="str">
        <f>T("매드햇")</f>
        <v>매드햇</v>
      </c>
      <c r="K6831" t="str">
        <f>T("회귀무사가 좀 밝힘")</f>
        <v>회귀무사가 좀 밝힘</v>
      </c>
      <c r="L6831">
        <v>0</v>
      </c>
      <c r="M6831">
        <v>0</v>
      </c>
      <c r="N6831">
        <v>0</v>
      </c>
      <c r="O6831">
        <v>1</v>
      </c>
      <c r="P6831">
        <v>0</v>
      </c>
      <c r="Q6831">
        <v>0</v>
      </c>
      <c r="R6831">
        <v>0</v>
      </c>
      <c r="S6831">
        <v>0</v>
      </c>
      <c r="T6831">
        <v>0</v>
      </c>
      <c r="U6831">
        <v>0</v>
      </c>
      <c r="V6831">
        <v>0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0</v>
      </c>
      <c r="AC6831">
        <v>0</v>
      </c>
      <c r="AD6831">
        <v>0</v>
      </c>
      <c r="AE6831">
        <v>0</v>
      </c>
      <c r="AF6831">
        <v>0</v>
      </c>
      <c r="AG6831">
        <v>0</v>
      </c>
      <c r="AH6831">
        <v>0</v>
      </c>
      <c r="AI6831">
        <v>0</v>
      </c>
      <c r="AJ6831">
        <v>1</v>
      </c>
      <c r="AK6831">
        <v>0</v>
      </c>
      <c r="AL6831">
        <v>0</v>
      </c>
      <c r="AM6831">
        <v>0</v>
      </c>
      <c r="AN6831">
        <v>0</v>
      </c>
      <c r="AO6831">
        <v>0</v>
      </c>
      <c r="AP6831">
        <v>0</v>
      </c>
      <c r="AQ6831">
        <v>0</v>
      </c>
      <c r="AS6831">
        <v>0</v>
      </c>
      <c r="AT6831">
        <v>0</v>
      </c>
      <c r="AV6831">
        <v>0</v>
      </c>
      <c r="AW6831">
        <v>0</v>
      </c>
      <c r="AY6831">
        <v>0</v>
      </c>
      <c r="AZ6831">
        <v>0</v>
      </c>
      <c r="BA6831">
        <v>0</v>
      </c>
      <c r="BE6831" t="str">
        <f>T("9791137003538")</f>
        <v>9791137003538</v>
      </c>
      <c r="BF6831" t="str">
        <f>T("E834881")</f>
        <v>E834881</v>
      </c>
      <c r="BG6831" t="str">
        <f>T("판타지 웹소설 &gt; 무협 소설")</f>
        <v>판타지 웹소설 &gt; 무협 소설</v>
      </c>
    </row>
    <row r="6832" spans="1:59">
      <c r="A6832" t="s">
        <v>60</v>
      </c>
      <c r="B6832" s="1">
        <v>46129</v>
      </c>
      <c r="C6832">
        <v>2378027763</v>
      </c>
      <c r="D6832">
        <v>2378027770</v>
      </c>
      <c r="E6832" t="str">
        <f>T("회귀무사가 좀 밝힘 : 7장 알면 됐어")</f>
        <v>회귀무사가 좀 밝힘 : 7장 알면 됐어</v>
      </c>
      <c r="F6832">
        <v>8</v>
      </c>
      <c r="G6832" t="str">
        <f>T("무영武映")</f>
        <v>무영武映</v>
      </c>
      <c r="J6832" t="str">
        <f>T("매드햇")</f>
        <v>매드햇</v>
      </c>
      <c r="K6832" t="str">
        <f>T("회귀무사가 좀 밝힘")</f>
        <v>회귀무사가 좀 밝힘</v>
      </c>
      <c r="L6832">
        <v>0</v>
      </c>
      <c r="M6832">
        <v>0</v>
      </c>
      <c r="N6832">
        <v>0</v>
      </c>
      <c r="O6832">
        <v>1</v>
      </c>
      <c r="P6832">
        <v>0</v>
      </c>
      <c r="Q6832">
        <v>0</v>
      </c>
      <c r="R6832">
        <v>0</v>
      </c>
      <c r="S6832">
        <v>0</v>
      </c>
      <c r="T6832">
        <v>0</v>
      </c>
      <c r="U6832">
        <v>0</v>
      </c>
      <c r="V6832">
        <v>0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0</v>
      </c>
      <c r="AC6832">
        <v>0</v>
      </c>
      <c r="AD6832">
        <v>0</v>
      </c>
      <c r="AE6832">
        <v>0</v>
      </c>
      <c r="AF6832">
        <v>0</v>
      </c>
      <c r="AG6832">
        <v>0</v>
      </c>
      <c r="AH6832">
        <v>0</v>
      </c>
      <c r="AI6832">
        <v>0</v>
      </c>
      <c r="AJ6832">
        <v>1</v>
      </c>
      <c r="AK6832">
        <v>0</v>
      </c>
      <c r="AL6832">
        <v>0</v>
      </c>
      <c r="AM6832">
        <v>0</v>
      </c>
      <c r="AN6832">
        <v>0</v>
      </c>
      <c r="AO6832">
        <v>0</v>
      </c>
      <c r="AP6832">
        <v>0</v>
      </c>
      <c r="AQ6832">
        <v>0</v>
      </c>
      <c r="AS6832">
        <v>0</v>
      </c>
      <c r="AT6832">
        <v>0</v>
      </c>
      <c r="AV6832">
        <v>0</v>
      </c>
      <c r="AW6832">
        <v>0</v>
      </c>
      <c r="AY6832">
        <v>0</v>
      </c>
      <c r="AZ6832">
        <v>0</v>
      </c>
      <c r="BA6832">
        <v>0</v>
      </c>
      <c r="BE6832" t="str">
        <f>T("9791137003538")</f>
        <v>9791137003538</v>
      </c>
      <c r="BF6832" t="str">
        <f>T("E834882")</f>
        <v>E834882</v>
      </c>
      <c r="BG6832" t="str">
        <f>T("판타지 웹소설 &gt; 무협 소설")</f>
        <v>판타지 웹소설 &gt; 무협 소설</v>
      </c>
    </row>
    <row r="6833" spans="1:59">
      <c r="A6833" t="s">
        <v>60</v>
      </c>
      <c r="B6833" s="1">
        <v>46129</v>
      </c>
      <c r="C6833">
        <v>2378027763</v>
      </c>
      <c r="D6833">
        <v>2378027771</v>
      </c>
      <c r="E6833" t="str">
        <f>T("회귀무사가 좀 밝힘 : 8장 그래서 내가")</f>
        <v>회귀무사가 좀 밝힘 : 8장 그래서 내가</v>
      </c>
      <c r="F6833">
        <v>9</v>
      </c>
      <c r="G6833" t="str">
        <f>T("무영武映")</f>
        <v>무영武映</v>
      </c>
      <c r="J6833" t="str">
        <f>T("매드햇")</f>
        <v>매드햇</v>
      </c>
      <c r="K6833" t="str">
        <f>T("회귀무사가 좀 밝힘")</f>
        <v>회귀무사가 좀 밝힘</v>
      </c>
      <c r="L6833">
        <v>0</v>
      </c>
      <c r="M6833">
        <v>0</v>
      </c>
      <c r="N6833">
        <v>0</v>
      </c>
      <c r="O6833">
        <v>1</v>
      </c>
      <c r="P6833">
        <v>0</v>
      </c>
      <c r="Q6833">
        <v>0</v>
      </c>
      <c r="R6833">
        <v>0</v>
      </c>
      <c r="S6833">
        <v>0</v>
      </c>
      <c r="T6833">
        <v>0</v>
      </c>
      <c r="U6833">
        <v>0</v>
      </c>
      <c r="V6833">
        <v>0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0</v>
      </c>
      <c r="AC6833">
        <v>0</v>
      </c>
      <c r="AD6833">
        <v>0</v>
      </c>
      <c r="AE6833">
        <v>0</v>
      </c>
      <c r="AF6833">
        <v>0</v>
      </c>
      <c r="AG6833">
        <v>0</v>
      </c>
      <c r="AH6833">
        <v>0</v>
      </c>
      <c r="AI6833">
        <v>0</v>
      </c>
      <c r="AJ6833">
        <v>1</v>
      </c>
      <c r="AK6833">
        <v>0</v>
      </c>
      <c r="AL6833">
        <v>0</v>
      </c>
      <c r="AM6833">
        <v>0</v>
      </c>
      <c r="AN6833">
        <v>0</v>
      </c>
      <c r="AO6833">
        <v>0</v>
      </c>
      <c r="AP6833">
        <v>0</v>
      </c>
      <c r="AQ6833">
        <v>0</v>
      </c>
      <c r="AS6833">
        <v>0</v>
      </c>
      <c r="AT6833">
        <v>0</v>
      </c>
      <c r="AV6833">
        <v>0</v>
      </c>
      <c r="AW6833">
        <v>0</v>
      </c>
      <c r="AY6833">
        <v>0</v>
      </c>
      <c r="AZ6833">
        <v>0</v>
      </c>
      <c r="BA6833">
        <v>0</v>
      </c>
      <c r="BE6833" t="str">
        <f>T("9791137003538")</f>
        <v>9791137003538</v>
      </c>
      <c r="BF6833" t="str">
        <f>T("E834883")</f>
        <v>E834883</v>
      </c>
      <c r="BG6833" t="str">
        <f>T("판타지 웹소설 &gt; 무협 소설")</f>
        <v>판타지 웹소설 &gt; 무협 소설</v>
      </c>
    </row>
    <row r="6834" spans="1:59">
      <c r="A6834" t="s">
        <v>60</v>
      </c>
      <c r="B6834" s="1">
        <v>46129</v>
      </c>
      <c r="C6834">
        <v>2378027763</v>
      </c>
      <c r="D6834">
        <v>2378027772</v>
      </c>
      <c r="E6834" t="str">
        <f>T("회귀무사가 좀 밝힘 : 9장 검이 아니라")</f>
        <v>회귀무사가 좀 밝힘 : 9장 검이 아니라</v>
      </c>
      <c r="F6834">
        <v>10</v>
      </c>
      <c r="G6834" t="str">
        <f>T("무영武映")</f>
        <v>무영武映</v>
      </c>
      <c r="J6834" t="str">
        <f>T("매드햇")</f>
        <v>매드햇</v>
      </c>
      <c r="K6834" t="str">
        <f>T("회귀무사가 좀 밝힘")</f>
        <v>회귀무사가 좀 밝힘</v>
      </c>
      <c r="L6834">
        <v>0</v>
      </c>
      <c r="M6834">
        <v>0</v>
      </c>
      <c r="N6834">
        <v>0</v>
      </c>
      <c r="O6834">
        <v>1</v>
      </c>
      <c r="P6834">
        <v>0</v>
      </c>
      <c r="Q6834">
        <v>0</v>
      </c>
      <c r="R6834">
        <v>0</v>
      </c>
      <c r="S6834">
        <v>0</v>
      </c>
      <c r="T6834">
        <v>0</v>
      </c>
      <c r="U6834">
        <v>0</v>
      </c>
      <c r="V6834">
        <v>0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0</v>
      </c>
      <c r="AC6834">
        <v>0</v>
      </c>
      <c r="AD6834">
        <v>0</v>
      </c>
      <c r="AE6834">
        <v>0</v>
      </c>
      <c r="AF6834">
        <v>0</v>
      </c>
      <c r="AG6834">
        <v>0</v>
      </c>
      <c r="AH6834">
        <v>0</v>
      </c>
      <c r="AI6834">
        <v>0</v>
      </c>
      <c r="AJ6834">
        <v>1</v>
      </c>
      <c r="AK6834">
        <v>0</v>
      </c>
      <c r="AL6834">
        <v>0</v>
      </c>
      <c r="AM6834">
        <v>0</v>
      </c>
      <c r="AN6834">
        <v>0</v>
      </c>
      <c r="AO6834">
        <v>0</v>
      </c>
      <c r="AP6834">
        <v>0</v>
      </c>
      <c r="AQ6834">
        <v>0</v>
      </c>
      <c r="AS6834">
        <v>0</v>
      </c>
      <c r="AT6834">
        <v>0</v>
      </c>
      <c r="AV6834">
        <v>0</v>
      </c>
      <c r="AW6834">
        <v>0</v>
      </c>
      <c r="AY6834">
        <v>0</v>
      </c>
      <c r="AZ6834">
        <v>0</v>
      </c>
      <c r="BA6834">
        <v>0</v>
      </c>
      <c r="BE6834" t="str">
        <f>T("9791137003538")</f>
        <v>9791137003538</v>
      </c>
      <c r="BF6834" t="str">
        <f>T("E834884")</f>
        <v>E834884</v>
      </c>
      <c r="BG6834" t="str">
        <f>T("판타지 웹소설 &gt; 무협 소설")</f>
        <v>판타지 웹소설 &gt; 무협 소설</v>
      </c>
    </row>
    <row r="6835" spans="1:59">
      <c r="A6835" t="s">
        <v>60</v>
      </c>
      <c r="B6835" s="1">
        <v>46130</v>
      </c>
      <c r="C6835">
        <v>2378022387</v>
      </c>
      <c r="D6835">
        <v>2378022390</v>
      </c>
      <c r="E6835" t="str">
        <f>T("힘을 안 숨긴 짐꾼 4화")</f>
        <v>힘을 안 숨긴 짐꾼 4화</v>
      </c>
      <c r="F6835">
        <v>4</v>
      </c>
      <c r="G6835" t="str">
        <f>T("법화")</f>
        <v>법화</v>
      </c>
      <c r="J6835" t="str">
        <f>T("팀오쉬")</f>
        <v>팀오쉬</v>
      </c>
      <c r="K6835" t="str">
        <f>T("힘을 안 숨긴 짐꾼")</f>
        <v>힘을 안 숨긴 짐꾼</v>
      </c>
      <c r="L6835">
        <v>0</v>
      </c>
      <c r="M6835">
        <v>0</v>
      </c>
      <c r="N6835">
        <v>0</v>
      </c>
      <c r="O6835">
        <v>1</v>
      </c>
      <c r="P6835">
        <v>0</v>
      </c>
      <c r="Q6835">
        <v>0</v>
      </c>
      <c r="R6835">
        <v>0</v>
      </c>
      <c r="S6835">
        <v>0</v>
      </c>
      <c r="T6835">
        <v>0</v>
      </c>
      <c r="U6835">
        <v>0</v>
      </c>
      <c r="V6835">
        <v>0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0</v>
      </c>
      <c r="AC6835">
        <v>0</v>
      </c>
      <c r="AD6835">
        <v>0</v>
      </c>
      <c r="AE6835">
        <v>0</v>
      </c>
      <c r="AF6835">
        <v>0</v>
      </c>
      <c r="AG6835">
        <v>0</v>
      </c>
      <c r="AH6835">
        <v>0</v>
      </c>
      <c r="AI6835">
        <v>0</v>
      </c>
      <c r="AJ6835">
        <v>1</v>
      </c>
      <c r="AK6835">
        <v>0</v>
      </c>
      <c r="AL6835">
        <v>0</v>
      </c>
      <c r="AM6835">
        <v>0</v>
      </c>
      <c r="AN6835">
        <v>0</v>
      </c>
      <c r="AO6835">
        <v>0</v>
      </c>
      <c r="AP6835">
        <v>0</v>
      </c>
      <c r="AQ6835">
        <v>0</v>
      </c>
      <c r="AS6835">
        <v>0</v>
      </c>
      <c r="AT6835">
        <v>0</v>
      </c>
      <c r="AV6835">
        <v>0</v>
      </c>
      <c r="AW6835">
        <v>0</v>
      </c>
      <c r="AY6835">
        <v>0</v>
      </c>
      <c r="AZ6835">
        <v>0</v>
      </c>
      <c r="BA6835">
        <v>0</v>
      </c>
      <c r="BC6835" t="str">
        <f>T("0000000000000")</f>
        <v>0000000000000</v>
      </c>
      <c r="BE6835" t="str">
        <f>T("9791190415019")</f>
        <v>9791190415019</v>
      </c>
      <c r="BG6835" t="str">
        <f>T("판타지 웹소설 &gt; 퓨전 판타지")</f>
        <v>판타지 웹소설 &gt; 퓨전 판타지</v>
      </c>
    </row>
    <row r="6836" spans="1:59">
      <c r="A6836" t="s">
        <v>60</v>
      </c>
      <c r="B6836" s="1">
        <v>46130</v>
      </c>
      <c r="C6836">
        <v>2378007178</v>
      </c>
      <c r="D6836">
        <v>2378008009</v>
      </c>
      <c r="E6836" t="str">
        <f>T("BJ무림존물 148화")</f>
        <v>BJ무림존물 148화</v>
      </c>
      <c r="F6836">
        <v>148</v>
      </c>
      <c r="G6836" t="str">
        <f>T("휴도")</f>
        <v>휴도</v>
      </c>
      <c r="J6836" t="str">
        <f>T("매드햇")</f>
        <v>매드햇</v>
      </c>
      <c r="K6836" t="str">
        <f>T("BJ무림존물")</f>
        <v>BJ무림존물</v>
      </c>
      <c r="L6836">
        <v>100</v>
      </c>
      <c r="M6836">
        <v>100</v>
      </c>
      <c r="N6836">
        <v>1</v>
      </c>
      <c r="O6836">
        <v>0</v>
      </c>
      <c r="P6836">
        <v>0</v>
      </c>
      <c r="Q6836">
        <v>0</v>
      </c>
      <c r="R6836">
        <v>0</v>
      </c>
      <c r="S6836">
        <v>0</v>
      </c>
      <c r="T6836">
        <v>0</v>
      </c>
      <c r="U6836">
        <v>0</v>
      </c>
      <c r="V6836">
        <v>0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0</v>
      </c>
      <c r="AC6836">
        <v>0</v>
      </c>
      <c r="AD6836">
        <v>0</v>
      </c>
      <c r="AE6836">
        <v>0</v>
      </c>
      <c r="AF6836">
        <v>0</v>
      </c>
      <c r="AG6836">
        <v>0</v>
      </c>
      <c r="AH6836">
        <v>0</v>
      </c>
      <c r="AI6836">
        <v>100</v>
      </c>
      <c r="AJ6836">
        <v>1</v>
      </c>
      <c r="AK6836">
        <v>0</v>
      </c>
      <c r="AL6836">
        <v>0</v>
      </c>
      <c r="AM6836">
        <v>0</v>
      </c>
      <c r="AN6836">
        <v>0</v>
      </c>
      <c r="AO6836">
        <v>120</v>
      </c>
      <c r="AP6836">
        <v>-12</v>
      </c>
      <c r="AQ6836">
        <v>0</v>
      </c>
      <c r="AS6836">
        <v>0</v>
      </c>
      <c r="AT6836">
        <v>0</v>
      </c>
      <c r="AU6836">
        <v>120</v>
      </c>
      <c r="AV6836">
        <v>-12</v>
      </c>
      <c r="AW6836">
        <v>0</v>
      </c>
      <c r="AY6836">
        <v>0</v>
      </c>
      <c r="AZ6836">
        <v>0</v>
      </c>
      <c r="BA6836">
        <v>75.599999999999994</v>
      </c>
      <c r="BE6836" t="str">
        <f>T("9791162588093")</f>
        <v>9791162588093</v>
      </c>
      <c r="BF6836" t="str">
        <f>T("E419507")</f>
        <v>E419507</v>
      </c>
      <c r="BG6836" t="str">
        <f>T("판타지 웹소설 &gt; 무협 소설")</f>
        <v>판타지 웹소설 &gt; 무협 소설</v>
      </c>
    </row>
    <row r="6837" spans="1:59">
      <c r="A6837" t="s">
        <v>60</v>
      </c>
      <c r="B6837" s="1">
        <v>46130</v>
      </c>
      <c r="C6837">
        <v>2378007178</v>
      </c>
      <c r="D6837">
        <v>2378008010</v>
      </c>
      <c r="E6837" t="str">
        <f>T("BJ무림존물 149화")</f>
        <v>BJ무림존물 149화</v>
      </c>
      <c r="F6837">
        <v>149</v>
      </c>
      <c r="G6837" t="str">
        <f>T("휴도")</f>
        <v>휴도</v>
      </c>
      <c r="J6837" t="str">
        <f>T("매드햇")</f>
        <v>매드햇</v>
      </c>
      <c r="K6837" t="str">
        <f>T("BJ무림존물")</f>
        <v>BJ무림존물</v>
      </c>
      <c r="L6837">
        <v>100</v>
      </c>
      <c r="M6837">
        <v>100</v>
      </c>
      <c r="N6837">
        <v>1</v>
      </c>
      <c r="O6837">
        <v>0</v>
      </c>
      <c r="P6837">
        <v>0</v>
      </c>
      <c r="Q6837">
        <v>0</v>
      </c>
      <c r="R6837">
        <v>0</v>
      </c>
      <c r="S6837">
        <v>0</v>
      </c>
      <c r="T6837">
        <v>0</v>
      </c>
      <c r="U6837">
        <v>0</v>
      </c>
      <c r="V6837">
        <v>0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0</v>
      </c>
      <c r="AC6837">
        <v>0</v>
      </c>
      <c r="AD6837">
        <v>0</v>
      </c>
      <c r="AE6837">
        <v>0</v>
      </c>
      <c r="AF6837">
        <v>0</v>
      </c>
      <c r="AG6837">
        <v>0</v>
      </c>
      <c r="AH6837">
        <v>0</v>
      </c>
      <c r="AI6837">
        <v>100</v>
      </c>
      <c r="AJ6837">
        <v>1</v>
      </c>
      <c r="AK6837">
        <v>0</v>
      </c>
      <c r="AL6837">
        <v>0</v>
      </c>
      <c r="AM6837">
        <v>0</v>
      </c>
      <c r="AN6837">
        <v>0</v>
      </c>
      <c r="AO6837">
        <v>120</v>
      </c>
      <c r="AP6837">
        <v>-12</v>
      </c>
      <c r="AQ6837">
        <v>0</v>
      </c>
      <c r="AS6837">
        <v>0</v>
      </c>
      <c r="AT6837">
        <v>0</v>
      </c>
      <c r="AU6837">
        <v>120</v>
      </c>
      <c r="AV6837">
        <v>-12</v>
      </c>
      <c r="AW6837">
        <v>0</v>
      </c>
      <c r="AY6837">
        <v>0</v>
      </c>
      <c r="AZ6837">
        <v>0</v>
      </c>
      <c r="BA6837">
        <v>75.599999999999994</v>
      </c>
      <c r="BE6837" t="str">
        <f>T("9791162588093")</f>
        <v>9791162588093</v>
      </c>
      <c r="BF6837" t="str">
        <f>T("E419508")</f>
        <v>E419508</v>
      </c>
      <c r="BG6837" t="str">
        <f>T("판타지 웹소설 &gt; 무협 소설")</f>
        <v>판타지 웹소설 &gt; 무협 소설</v>
      </c>
    </row>
    <row r="6838" spans="1:59">
      <c r="A6838" t="s">
        <v>60</v>
      </c>
      <c r="B6838" s="1">
        <v>46129</v>
      </c>
      <c r="C6838">
        <v>2378061534</v>
      </c>
      <c r="D6838">
        <v>2378061534</v>
      </c>
      <c r="E6838" t="str">
        <f>T("K 스타일 푸드 트럭은 진화한다 1화")</f>
        <v>K 스타일 푸드 트럭은 진화한다 1화</v>
      </c>
      <c r="F6838">
        <v>1</v>
      </c>
      <c r="G6838" t="str">
        <f>T("써브웨이")</f>
        <v>써브웨이</v>
      </c>
      <c r="J6838" t="str">
        <f>T("사이렌")</f>
        <v>사이렌</v>
      </c>
      <c r="K6838" t="str">
        <f>T("K 스타일 푸드 트럭은 진화한다")</f>
        <v>K 스타일 푸드 트럭은 진화한다</v>
      </c>
      <c r="L6838">
        <v>0</v>
      </c>
      <c r="M6838">
        <v>0</v>
      </c>
      <c r="N6838">
        <v>0</v>
      </c>
      <c r="O6838">
        <v>1</v>
      </c>
      <c r="P6838">
        <v>0</v>
      </c>
      <c r="Q6838">
        <v>0</v>
      </c>
      <c r="R6838">
        <v>0</v>
      </c>
      <c r="S6838">
        <v>0</v>
      </c>
      <c r="T6838">
        <v>0</v>
      </c>
      <c r="U6838">
        <v>0</v>
      </c>
      <c r="V6838">
        <v>0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0</v>
      </c>
      <c r="AC6838">
        <v>0</v>
      </c>
      <c r="AD6838">
        <v>0</v>
      </c>
      <c r="AE6838">
        <v>0</v>
      </c>
      <c r="AF6838">
        <v>0</v>
      </c>
      <c r="AG6838">
        <v>0</v>
      </c>
      <c r="AH6838">
        <v>0</v>
      </c>
      <c r="AI6838">
        <v>0</v>
      </c>
      <c r="AJ6838">
        <v>1</v>
      </c>
      <c r="AK6838">
        <v>0</v>
      </c>
      <c r="AL6838">
        <v>0</v>
      </c>
      <c r="AM6838">
        <v>0</v>
      </c>
      <c r="AN6838">
        <v>0</v>
      </c>
      <c r="AO6838">
        <v>0</v>
      </c>
      <c r="AP6838">
        <v>0</v>
      </c>
      <c r="AQ6838">
        <v>0</v>
      </c>
      <c r="AS6838">
        <v>0</v>
      </c>
      <c r="AT6838">
        <v>0</v>
      </c>
      <c r="AV6838">
        <v>0</v>
      </c>
      <c r="AW6838">
        <v>0</v>
      </c>
      <c r="AY6838">
        <v>0</v>
      </c>
      <c r="AZ6838">
        <v>0</v>
      </c>
      <c r="BA6838">
        <v>0</v>
      </c>
      <c r="BE6838" t="str">
        <f>T("9791198520029")</f>
        <v>9791198520029</v>
      </c>
      <c r="BF6838" t="str">
        <f>T("k205784")</f>
        <v>k205784</v>
      </c>
      <c r="BG6838" t="str">
        <f>T("판타지 웹소설 &gt; 현대 판타지")</f>
        <v>판타지 웹소설 &gt; 현대 판타지</v>
      </c>
    </row>
    <row r="6839" spans="1:59">
      <c r="A6839" t="s">
        <v>60</v>
      </c>
      <c r="B6839" s="1">
        <v>46129</v>
      </c>
      <c r="C6839">
        <v>2378061534</v>
      </c>
      <c r="D6839">
        <v>2378061535</v>
      </c>
      <c r="E6839" t="str">
        <f>T("K 스타일 푸드 트럭은 진화한다 2화")</f>
        <v>K 스타일 푸드 트럭은 진화한다 2화</v>
      </c>
      <c r="F6839">
        <v>2</v>
      </c>
      <c r="G6839" t="str">
        <f>T("써브웨이")</f>
        <v>써브웨이</v>
      </c>
      <c r="J6839" t="str">
        <f>T("사이렌")</f>
        <v>사이렌</v>
      </c>
      <c r="K6839" t="str">
        <f>T("K 스타일 푸드 트럭은 진화한다")</f>
        <v>K 스타일 푸드 트럭은 진화한다</v>
      </c>
      <c r="L6839">
        <v>0</v>
      </c>
      <c r="M6839">
        <v>0</v>
      </c>
      <c r="N6839">
        <v>0</v>
      </c>
      <c r="O6839">
        <v>1</v>
      </c>
      <c r="P6839">
        <v>0</v>
      </c>
      <c r="Q6839">
        <v>0</v>
      </c>
      <c r="R6839">
        <v>0</v>
      </c>
      <c r="S6839">
        <v>0</v>
      </c>
      <c r="T6839">
        <v>0</v>
      </c>
      <c r="U6839">
        <v>0</v>
      </c>
      <c r="V6839">
        <v>0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0</v>
      </c>
      <c r="AC6839">
        <v>0</v>
      </c>
      <c r="AD6839">
        <v>0</v>
      </c>
      <c r="AE6839">
        <v>0</v>
      </c>
      <c r="AF6839">
        <v>0</v>
      </c>
      <c r="AG6839">
        <v>0</v>
      </c>
      <c r="AH6839">
        <v>0</v>
      </c>
      <c r="AI6839">
        <v>0</v>
      </c>
      <c r="AJ6839">
        <v>1</v>
      </c>
      <c r="AK6839">
        <v>0</v>
      </c>
      <c r="AL6839">
        <v>0</v>
      </c>
      <c r="AM6839">
        <v>0</v>
      </c>
      <c r="AN6839">
        <v>0</v>
      </c>
      <c r="AO6839">
        <v>0</v>
      </c>
      <c r="AP6839">
        <v>0</v>
      </c>
      <c r="AQ6839">
        <v>0</v>
      </c>
      <c r="AS6839">
        <v>0</v>
      </c>
      <c r="AT6839">
        <v>0</v>
      </c>
      <c r="AV6839">
        <v>0</v>
      </c>
      <c r="AW6839">
        <v>0</v>
      </c>
      <c r="AY6839">
        <v>0</v>
      </c>
      <c r="AZ6839">
        <v>0</v>
      </c>
      <c r="BA6839">
        <v>0</v>
      </c>
      <c r="BE6839" t="str">
        <f>T("9791198520029")</f>
        <v>9791198520029</v>
      </c>
      <c r="BF6839" t="str">
        <f>T("k205785")</f>
        <v>k205785</v>
      </c>
      <c r="BG6839" t="str">
        <f>T("판타지 웹소설 &gt; 현대 판타지")</f>
        <v>판타지 웹소설 &gt; 현대 판타지</v>
      </c>
    </row>
    <row r="6840" spans="1:59">
      <c r="A6840" t="s">
        <v>60</v>
      </c>
      <c r="B6840" s="1">
        <v>46129</v>
      </c>
      <c r="C6840">
        <v>2378061534</v>
      </c>
      <c r="D6840">
        <v>2378061536</v>
      </c>
      <c r="E6840" t="str">
        <f>T("K 스타일 푸드 트럭은 진화한다 3화")</f>
        <v>K 스타일 푸드 트럭은 진화한다 3화</v>
      </c>
      <c r="F6840">
        <v>3</v>
      </c>
      <c r="G6840" t="str">
        <f>T("써브웨이")</f>
        <v>써브웨이</v>
      </c>
      <c r="J6840" t="str">
        <f>T("사이렌")</f>
        <v>사이렌</v>
      </c>
      <c r="K6840" t="str">
        <f>T("K 스타일 푸드 트럭은 진화한다")</f>
        <v>K 스타일 푸드 트럭은 진화한다</v>
      </c>
      <c r="L6840">
        <v>0</v>
      </c>
      <c r="M6840">
        <v>0</v>
      </c>
      <c r="N6840">
        <v>0</v>
      </c>
      <c r="O6840">
        <v>1</v>
      </c>
      <c r="P6840">
        <v>0</v>
      </c>
      <c r="Q6840">
        <v>0</v>
      </c>
      <c r="R6840">
        <v>0</v>
      </c>
      <c r="S6840">
        <v>0</v>
      </c>
      <c r="T6840">
        <v>0</v>
      </c>
      <c r="U6840">
        <v>0</v>
      </c>
      <c r="V6840">
        <v>0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0</v>
      </c>
      <c r="AC6840">
        <v>0</v>
      </c>
      <c r="AD6840">
        <v>0</v>
      </c>
      <c r="AE6840">
        <v>0</v>
      </c>
      <c r="AF6840">
        <v>0</v>
      </c>
      <c r="AG6840">
        <v>0</v>
      </c>
      <c r="AH6840">
        <v>0</v>
      </c>
      <c r="AI6840">
        <v>0</v>
      </c>
      <c r="AJ6840">
        <v>1</v>
      </c>
      <c r="AK6840">
        <v>0</v>
      </c>
      <c r="AL6840">
        <v>0</v>
      </c>
      <c r="AM6840">
        <v>0</v>
      </c>
      <c r="AN6840">
        <v>0</v>
      </c>
      <c r="AO6840">
        <v>0</v>
      </c>
      <c r="AP6840">
        <v>0</v>
      </c>
      <c r="AQ6840">
        <v>0</v>
      </c>
      <c r="AS6840">
        <v>0</v>
      </c>
      <c r="AT6840">
        <v>0</v>
      </c>
      <c r="AV6840">
        <v>0</v>
      </c>
      <c r="AW6840">
        <v>0</v>
      </c>
      <c r="AY6840">
        <v>0</v>
      </c>
      <c r="AZ6840">
        <v>0</v>
      </c>
      <c r="BA6840">
        <v>0</v>
      </c>
      <c r="BE6840" t="str">
        <f>T("9791198520029")</f>
        <v>9791198520029</v>
      </c>
      <c r="BF6840" t="str">
        <f>T("k205786")</f>
        <v>k205786</v>
      </c>
      <c r="BG6840" t="str">
        <f>T("판타지 웹소설 &gt; 현대 판타지")</f>
        <v>판타지 웹소설 &gt; 현대 판타지</v>
      </c>
    </row>
    <row r="6841" spans="1:59">
      <c r="A6841" t="s">
        <v>60</v>
      </c>
      <c r="B6841" s="1">
        <v>46129</v>
      </c>
      <c r="C6841">
        <v>2378061534</v>
      </c>
      <c r="D6841">
        <v>2378061537</v>
      </c>
      <c r="E6841" t="str">
        <f>T("K 스타일 푸드 트럭은 진화한다 4화")</f>
        <v>K 스타일 푸드 트럭은 진화한다 4화</v>
      </c>
      <c r="F6841">
        <v>4</v>
      </c>
      <c r="G6841" t="str">
        <f>T("써브웨이")</f>
        <v>써브웨이</v>
      </c>
      <c r="J6841" t="str">
        <f>T("사이렌")</f>
        <v>사이렌</v>
      </c>
      <c r="K6841" t="str">
        <f>T("K 스타일 푸드 트럭은 진화한다")</f>
        <v>K 스타일 푸드 트럭은 진화한다</v>
      </c>
      <c r="L6841">
        <v>0</v>
      </c>
      <c r="M6841">
        <v>0</v>
      </c>
      <c r="N6841">
        <v>0</v>
      </c>
      <c r="O6841">
        <v>1</v>
      </c>
      <c r="P6841">
        <v>0</v>
      </c>
      <c r="Q6841">
        <v>0</v>
      </c>
      <c r="R6841">
        <v>0</v>
      </c>
      <c r="S6841">
        <v>0</v>
      </c>
      <c r="T6841">
        <v>0</v>
      </c>
      <c r="U6841">
        <v>0</v>
      </c>
      <c r="V6841">
        <v>0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0</v>
      </c>
      <c r="AC6841">
        <v>0</v>
      </c>
      <c r="AD6841">
        <v>0</v>
      </c>
      <c r="AE6841">
        <v>0</v>
      </c>
      <c r="AF6841">
        <v>0</v>
      </c>
      <c r="AG6841">
        <v>0</v>
      </c>
      <c r="AH6841">
        <v>0</v>
      </c>
      <c r="AI6841">
        <v>0</v>
      </c>
      <c r="AJ6841">
        <v>1</v>
      </c>
      <c r="AK6841">
        <v>0</v>
      </c>
      <c r="AL6841">
        <v>0</v>
      </c>
      <c r="AM6841">
        <v>0</v>
      </c>
      <c r="AN6841">
        <v>0</v>
      </c>
      <c r="AO6841">
        <v>0</v>
      </c>
      <c r="AP6841">
        <v>0</v>
      </c>
      <c r="AQ6841">
        <v>0</v>
      </c>
      <c r="AS6841">
        <v>0</v>
      </c>
      <c r="AT6841">
        <v>0</v>
      </c>
      <c r="AV6841">
        <v>0</v>
      </c>
      <c r="AW6841">
        <v>0</v>
      </c>
      <c r="AY6841">
        <v>0</v>
      </c>
      <c r="AZ6841">
        <v>0</v>
      </c>
      <c r="BA6841">
        <v>0</v>
      </c>
      <c r="BE6841" t="str">
        <f>T("9791198520029")</f>
        <v>9791198520029</v>
      </c>
      <c r="BF6841" t="str">
        <f>T("k205787")</f>
        <v>k205787</v>
      </c>
      <c r="BG6841" t="str">
        <f>T("판타지 웹소설 &gt; 현대 판타지")</f>
        <v>판타지 웹소설 &gt; 현대 판타지</v>
      </c>
    </row>
    <row r="6842" spans="1:59">
      <c r="A6842" t="s">
        <v>60</v>
      </c>
      <c r="B6842" s="1">
        <v>46129</v>
      </c>
      <c r="C6842">
        <v>2378061534</v>
      </c>
      <c r="D6842">
        <v>2378061538</v>
      </c>
      <c r="E6842" t="str">
        <f>T("K 스타일 푸드 트럭은 진화한다 5화")</f>
        <v>K 스타일 푸드 트럭은 진화한다 5화</v>
      </c>
      <c r="F6842">
        <v>5</v>
      </c>
      <c r="G6842" t="str">
        <f>T("써브웨이")</f>
        <v>써브웨이</v>
      </c>
      <c r="J6842" t="str">
        <f>T("사이렌")</f>
        <v>사이렌</v>
      </c>
      <c r="K6842" t="str">
        <f>T("K 스타일 푸드 트럭은 진화한다")</f>
        <v>K 스타일 푸드 트럭은 진화한다</v>
      </c>
      <c r="L6842">
        <v>0</v>
      </c>
      <c r="M6842">
        <v>0</v>
      </c>
      <c r="N6842">
        <v>0</v>
      </c>
      <c r="O6842">
        <v>1</v>
      </c>
      <c r="P6842">
        <v>0</v>
      </c>
      <c r="Q6842">
        <v>0</v>
      </c>
      <c r="R6842">
        <v>0</v>
      </c>
      <c r="S6842">
        <v>0</v>
      </c>
      <c r="T6842">
        <v>0</v>
      </c>
      <c r="U6842">
        <v>0</v>
      </c>
      <c r="V6842">
        <v>0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0</v>
      </c>
      <c r="AC6842">
        <v>0</v>
      </c>
      <c r="AD6842">
        <v>0</v>
      </c>
      <c r="AE6842">
        <v>0</v>
      </c>
      <c r="AF6842">
        <v>0</v>
      </c>
      <c r="AG6842">
        <v>0</v>
      </c>
      <c r="AH6842">
        <v>0</v>
      </c>
      <c r="AI6842">
        <v>0</v>
      </c>
      <c r="AJ6842">
        <v>1</v>
      </c>
      <c r="AK6842">
        <v>0</v>
      </c>
      <c r="AL6842">
        <v>0</v>
      </c>
      <c r="AM6842">
        <v>0</v>
      </c>
      <c r="AN6842">
        <v>0</v>
      </c>
      <c r="AO6842">
        <v>0</v>
      </c>
      <c r="AP6842">
        <v>0</v>
      </c>
      <c r="AQ6842">
        <v>0</v>
      </c>
      <c r="AS6842">
        <v>0</v>
      </c>
      <c r="AT6842">
        <v>0</v>
      </c>
      <c r="AV6842">
        <v>0</v>
      </c>
      <c r="AW6842">
        <v>0</v>
      </c>
      <c r="AY6842">
        <v>0</v>
      </c>
      <c r="AZ6842">
        <v>0</v>
      </c>
      <c r="BA6842">
        <v>0</v>
      </c>
      <c r="BE6842" t="str">
        <f>T("9791198520029")</f>
        <v>9791198520029</v>
      </c>
      <c r="BF6842" t="str">
        <f>T("k205788")</f>
        <v>k205788</v>
      </c>
      <c r="BG6842" t="str">
        <f>T("판타지 웹소설 &gt; 현대 판타지")</f>
        <v>판타지 웹소설 &gt; 현대 판타지</v>
      </c>
    </row>
    <row r="6843" spans="1:59">
      <c r="A6843" t="s">
        <v>60</v>
      </c>
      <c r="B6843" s="1">
        <v>46129</v>
      </c>
      <c r="C6843">
        <v>2378061534</v>
      </c>
      <c r="D6843">
        <v>2378061539</v>
      </c>
      <c r="E6843" t="str">
        <f>T("K 스타일 푸드 트럭은 진화한다 6화")</f>
        <v>K 스타일 푸드 트럭은 진화한다 6화</v>
      </c>
      <c r="F6843">
        <v>6</v>
      </c>
      <c r="G6843" t="str">
        <f>T("써브웨이")</f>
        <v>써브웨이</v>
      </c>
      <c r="J6843" t="str">
        <f>T("사이렌")</f>
        <v>사이렌</v>
      </c>
      <c r="K6843" t="str">
        <f>T("K 스타일 푸드 트럭은 진화한다")</f>
        <v>K 스타일 푸드 트럭은 진화한다</v>
      </c>
      <c r="L6843">
        <v>0</v>
      </c>
      <c r="M6843">
        <v>0</v>
      </c>
      <c r="N6843">
        <v>0</v>
      </c>
      <c r="O6843">
        <v>1</v>
      </c>
      <c r="P6843">
        <v>0</v>
      </c>
      <c r="Q6843">
        <v>0</v>
      </c>
      <c r="R6843">
        <v>0</v>
      </c>
      <c r="S6843">
        <v>0</v>
      </c>
      <c r="T6843">
        <v>0</v>
      </c>
      <c r="U6843">
        <v>0</v>
      </c>
      <c r="V6843">
        <v>0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0</v>
      </c>
      <c r="AC6843">
        <v>0</v>
      </c>
      <c r="AD6843">
        <v>0</v>
      </c>
      <c r="AE6843">
        <v>0</v>
      </c>
      <c r="AF6843">
        <v>0</v>
      </c>
      <c r="AG6843">
        <v>0</v>
      </c>
      <c r="AH6843">
        <v>0</v>
      </c>
      <c r="AI6843">
        <v>0</v>
      </c>
      <c r="AJ6843">
        <v>1</v>
      </c>
      <c r="AK6843">
        <v>0</v>
      </c>
      <c r="AL6843">
        <v>0</v>
      </c>
      <c r="AM6843">
        <v>0</v>
      </c>
      <c r="AN6843">
        <v>0</v>
      </c>
      <c r="AO6843">
        <v>0</v>
      </c>
      <c r="AP6843">
        <v>0</v>
      </c>
      <c r="AQ6843">
        <v>0</v>
      </c>
      <c r="AS6843">
        <v>0</v>
      </c>
      <c r="AT6843">
        <v>0</v>
      </c>
      <c r="AV6843">
        <v>0</v>
      </c>
      <c r="AW6843">
        <v>0</v>
      </c>
      <c r="AY6843">
        <v>0</v>
      </c>
      <c r="AZ6843">
        <v>0</v>
      </c>
      <c r="BA6843">
        <v>0</v>
      </c>
      <c r="BE6843" t="str">
        <f>T("9791198520029")</f>
        <v>9791198520029</v>
      </c>
      <c r="BF6843" t="str">
        <f>T("k205789")</f>
        <v>k205789</v>
      </c>
      <c r="BG6843" t="str">
        <f>T("판타지 웹소설 &gt; 현대 판타지")</f>
        <v>판타지 웹소설 &gt; 현대 판타지</v>
      </c>
    </row>
    <row r="6844" spans="1:59">
      <c r="A6844" t="s">
        <v>60</v>
      </c>
      <c r="B6844" s="1">
        <v>46129</v>
      </c>
      <c r="C6844">
        <v>2378061534</v>
      </c>
      <c r="D6844">
        <v>2378061540</v>
      </c>
      <c r="E6844" t="str">
        <f>T("K 스타일 푸드 트럭은 진화한다 7화")</f>
        <v>K 스타일 푸드 트럭은 진화한다 7화</v>
      </c>
      <c r="F6844">
        <v>7</v>
      </c>
      <c r="G6844" t="str">
        <f>T("써브웨이")</f>
        <v>써브웨이</v>
      </c>
      <c r="J6844" t="str">
        <f>T("사이렌")</f>
        <v>사이렌</v>
      </c>
      <c r="K6844" t="str">
        <f>T("K 스타일 푸드 트럭은 진화한다")</f>
        <v>K 스타일 푸드 트럭은 진화한다</v>
      </c>
      <c r="L6844">
        <v>0</v>
      </c>
      <c r="M6844">
        <v>0</v>
      </c>
      <c r="N6844">
        <v>0</v>
      </c>
      <c r="O6844">
        <v>1</v>
      </c>
      <c r="P6844">
        <v>0</v>
      </c>
      <c r="Q6844">
        <v>0</v>
      </c>
      <c r="R6844">
        <v>0</v>
      </c>
      <c r="S6844">
        <v>0</v>
      </c>
      <c r="T6844">
        <v>0</v>
      </c>
      <c r="U6844">
        <v>0</v>
      </c>
      <c r="V6844">
        <v>0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0</v>
      </c>
      <c r="AC6844">
        <v>0</v>
      </c>
      <c r="AD6844">
        <v>0</v>
      </c>
      <c r="AE6844">
        <v>0</v>
      </c>
      <c r="AF6844">
        <v>0</v>
      </c>
      <c r="AG6844">
        <v>0</v>
      </c>
      <c r="AH6844">
        <v>0</v>
      </c>
      <c r="AI6844">
        <v>0</v>
      </c>
      <c r="AJ6844">
        <v>1</v>
      </c>
      <c r="AK6844">
        <v>0</v>
      </c>
      <c r="AL6844">
        <v>0</v>
      </c>
      <c r="AM6844">
        <v>0</v>
      </c>
      <c r="AN6844">
        <v>0</v>
      </c>
      <c r="AO6844">
        <v>0</v>
      </c>
      <c r="AP6844">
        <v>0</v>
      </c>
      <c r="AQ6844">
        <v>0</v>
      </c>
      <c r="AS6844">
        <v>0</v>
      </c>
      <c r="AT6844">
        <v>0</v>
      </c>
      <c r="AV6844">
        <v>0</v>
      </c>
      <c r="AW6844">
        <v>0</v>
      </c>
      <c r="AY6844">
        <v>0</v>
      </c>
      <c r="AZ6844">
        <v>0</v>
      </c>
      <c r="BA6844">
        <v>0</v>
      </c>
      <c r="BE6844" t="str">
        <f>T("9791198520029")</f>
        <v>9791198520029</v>
      </c>
      <c r="BF6844" t="str">
        <f>T("k205790")</f>
        <v>k205790</v>
      </c>
      <c r="BG6844" t="str">
        <f>T("판타지 웹소설 &gt; 현대 판타지")</f>
        <v>판타지 웹소설 &gt; 현대 판타지</v>
      </c>
    </row>
    <row r="6845" spans="1:59">
      <c r="A6845" t="s">
        <v>60</v>
      </c>
      <c r="B6845" s="1">
        <v>46129</v>
      </c>
      <c r="C6845">
        <v>2378061534</v>
      </c>
      <c r="D6845">
        <v>2378061541</v>
      </c>
      <c r="E6845" t="str">
        <f>T("K 스타일 푸드 트럭은 진화한다 8화")</f>
        <v>K 스타일 푸드 트럭은 진화한다 8화</v>
      </c>
      <c r="F6845">
        <v>8</v>
      </c>
      <c r="G6845" t="str">
        <f>T("써브웨이")</f>
        <v>써브웨이</v>
      </c>
      <c r="J6845" t="str">
        <f>T("사이렌")</f>
        <v>사이렌</v>
      </c>
      <c r="K6845" t="str">
        <f>T("K 스타일 푸드 트럭은 진화한다")</f>
        <v>K 스타일 푸드 트럭은 진화한다</v>
      </c>
      <c r="L6845">
        <v>0</v>
      </c>
      <c r="M6845">
        <v>0</v>
      </c>
      <c r="N6845">
        <v>0</v>
      </c>
      <c r="O6845">
        <v>1</v>
      </c>
      <c r="P6845">
        <v>0</v>
      </c>
      <c r="Q6845">
        <v>0</v>
      </c>
      <c r="R6845">
        <v>0</v>
      </c>
      <c r="S6845">
        <v>0</v>
      </c>
      <c r="T6845">
        <v>0</v>
      </c>
      <c r="U6845">
        <v>0</v>
      </c>
      <c r="V6845">
        <v>0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0</v>
      </c>
      <c r="AC6845">
        <v>0</v>
      </c>
      <c r="AD6845">
        <v>0</v>
      </c>
      <c r="AE6845">
        <v>0</v>
      </c>
      <c r="AF6845">
        <v>0</v>
      </c>
      <c r="AG6845">
        <v>0</v>
      </c>
      <c r="AH6845">
        <v>0</v>
      </c>
      <c r="AI6845">
        <v>0</v>
      </c>
      <c r="AJ6845">
        <v>1</v>
      </c>
      <c r="AK6845">
        <v>0</v>
      </c>
      <c r="AL6845">
        <v>0</v>
      </c>
      <c r="AM6845">
        <v>0</v>
      </c>
      <c r="AN6845">
        <v>0</v>
      </c>
      <c r="AO6845">
        <v>0</v>
      </c>
      <c r="AP6845">
        <v>0</v>
      </c>
      <c r="AQ6845">
        <v>0</v>
      </c>
      <c r="AS6845">
        <v>0</v>
      </c>
      <c r="AT6845">
        <v>0</v>
      </c>
      <c r="AV6845">
        <v>0</v>
      </c>
      <c r="AW6845">
        <v>0</v>
      </c>
      <c r="AY6845">
        <v>0</v>
      </c>
      <c r="AZ6845">
        <v>0</v>
      </c>
      <c r="BA6845">
        <v>0</v>
      </c>
      <c r="BE6845" t="str">
        <f>T("9791198520029")</f>
        <v>9791198520029</v>
      </c>
      <c r="BF6845" t="str">
        <f>T("k205791")</f>
        <v>k205791</v>
      </c>
      <c r="BG6845" t="str">
        <f>T("판타지 웹소설 &gt; 현대 판타지")</f>
        <v>판타지 웹소설 &gt; 현대 판타지</v>
      </c>
    </row>
    <row r="6846" spans="1:59">
      <c r="A6846" t="s">
        <v>60</v>
      </c>
      <c r="B6846" s="1">
        <v>46129</v>
      </c>
      <c r="C6846">
        <v>2378061534</v>
      </c>
      <c r="D6846">
        <v>2378061542</v>
      </c>
      <c r="E6846" t="str">
        <f>T("K 스타일 푸드 트럭은 진화한다 9화")</f>
        <v>K 스타일 푸드 트럭은 진화한다 9화</v>
      </c>
      <c r="F6846">
        <v>9</v>
      </c>
      <c r="G6846" t="str">
        <f>T("써브웨이")</f>
        <v>써브웨이</v>
      </c>
      <c r="J6846" t="str">
        <f>T("사이렌")</f>
        <v>사이렌</v>
      </c>
      <c r="K6846" t="str">
        <f>T("K 스타일 푸드 트럭은 진화한다")</f>
        <v>K 스타일 푸드 트럭은 진화한다</v>
      </c>
      <c r="L6846">
        <v>0</v>
      </c>
      <c r="M6846">
        <v>0</v>
      </c>
      <c r="N6846">
        <v>0</v>
      </c>
      <c r="O6846">
        <v>1</v>
      </c>
      <c r="P6846">
        <v>0</v>
      </c>
      <c r="Q6846">
        <v>0</v>
      </c>
      <c r="R6846">
        <v>0</v>
      </c>
      <c r="S6846">
        <v>0</v>
      </c>
      <c r="T6846">
        <v>0</v>
      </c>
      <c r="U6846">
        <v>0</v>
      </c>
      <c r="V6846">
        <v>0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0</v>
      </c>
      <c r="AC6846">
        <v>0</v>
      </c>
      <c r="AD6846">
        <v>0</v>
      </c>
      <c r="AE6846">
        <v>0</v>
      </c>
      <c r="AF6846">
        <v>0</v>
      </c>
      <c r="AG6846">
        <v>0</v>
      </c>
      <c r="AH6846">
        <v>0</v>
      </c>
      <c r="AI6846">
        <v>0</v>
      </c>
      <c r="AJ6846">
        <v>1</v>
      </c>
      <c r="AK6846">
        <v>0</v>
      </c>
      <c r="AL6846">
        <v>0</v>
      </c>
      <c r="AM6846">
        <v>0</v>
      </c>
      <c r="AN6846">
        <v>0</v>
      </c>
      <c r="AO6846">
        <v>0</v>
      </c>
      <c r="AP6846">
        <v>0</v>
      </c>
      <c r="AQ6846">
        <v>0</v>
      </c>
      <c r="AS6846">
        <v>0</v>
      </c>
      <c r="AT6846">
        <v>0</v>
      </c>
      <c r="AV6846">
        <v>0</v>
      </c>
      <c r="AW6846">
        <v>0</v>
      </c>
      <c r="AY6846">
        <v>0</v>
      </c>
      <c r="AZ6846">
        <v>0</v>
      </c>
      <c r="BA6846">
        <v>0</v>
      </c>
      <c r="BE6846" t="str">
        <f>T("9791198520029")</f>
        <v>9791198520029</v>
      </c>
      <c r="BF6846" t="str">
        <f>T("k205792")</f>
        <v>k205792</v>
      </c>
      <c r="BG6846" t="str">
        <f>T("판타지 웹소설 &gt; 현대 판타지")</f>
        <v>판타지 웹소설 &gt; 현대 판타지</v>
      </c>
    </row>
    <row r="6847" spans="1:59">
      <c r="A6847" t="s">
        <v>60</v>
      </c>
      <c r="B6847" s="1">
        <v>46129</v>
      </c>
      <c r="C6847">
        <v>2378061534</v>
      </c>
      <c r="D6847">
        <v>2378061543</v>
      </c>
      <c r="E6847" t="str">
        <f>T("K 스타일 푸드 트럭은 진화한다 10화")</f>
        <v>K 스타일 푸드 트럭은 진화한다 10화</v>
      </c>
      <c r="F6847">
        <v>10</v>
      </c>
      <c r="G6847" t="str">
        <f>T("써브웨이")</f>
        <v>써브웨이</v>
      </c>
      <c r="J6847" t="str">
        <f>T("사이렌")</f>
        <v>사이렌</v>
      </c>
      <c r="K6847" t="str">
        <f>T("K 스타일 푸드 트럭은 진화한다")</f>
        <v>K 스타일 푸드 트럭은 진화한다</v>
      </c>
      <c r="L6847">
        <v>0</v>
      </c>
      <c r="M6847">
        <v>0</v>
      </c>
      <c r="N6847">
        <v>0</v>
      </c>
      <c r="O6847">
        <v>1</v>
      </c>
      <c r="P6847">
        <v>0</v>
      </c>
      <c r="Q6847">
        <v>0</v>
      </c>
      <c r="R6847">
        <v>0</v>
      </c>
      <c r="S6847">
        <v>0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0</v>
      </c>
      <c r="AC6847">
        <v>0</v>
      </c>
      <c r="AD6847">
        <v>0</v>
      </c>
      <c r="AE6847">
        <v>0</v>
      </c>
      <c r="AF6847">
        <v>0</v>
      </c>
      <c r="AG6847">
        <v>0</v>
      </c>
      <c r="AH6847">
        <v>0</v>
      </c>
      <c r="AI6847">
        <v>0</v>
      </c>
      <c r="AJ6847">
        <v>1</v>
      </c>
      <c r="AK6847">
        <v>0</v>
      </c>
      <c r="AL6847">
        <v>0</v>
      </c>
      <c r="AM6847">
        <v>0</v>
      </c>
      <c r="AN6847">
        <v>0</v>
      </c>
      <c r="AO6847">
        <v>0</v>
      </c>
      <c r="AP6847">
        <v>0</v>
      </c>
      <c r="AQ6847">
        <v>0</v>
      </c>
      <c r="AS6847">
        <v>0</v>
      </c>
      <c r="AT6847">
        <v>0</v>
      </c>
      <c r="AV6847">
        <v>0</v>
      </c>
      <c r="AW6847">
        <v>0</v>
      </c>
      <c r="AY6847">
        <v>0</v>
      </c>
      <c r="AZ6847">
        <v>0</v>
      </c>
      <c r="BA6847">
        <v>0</v>
      </c>
      <c r="BE6847" t="str">
        <f>T("9791198520029")</f>
        <v>9791198520029</v>
      </c>
      <c r="BF6847" t="str">
        <f>T("k205793")</f>
        <v>k205793</v>
      </c>
      <c r="BG6847" t="str">
        <f>T("판타지 웹소설 &gt; 현대 판타지")</f>
        <v>판타지 웹소설 &gt; 현대 판타지</v>
      </c>
    </row>
    <row r="6848" spans="1:59">
      <c r="A6848" t="s">
        <v>60</v>
      </c>
      <c r="B6848" s="1">
        <v>46129</v>
      </c>
      <c r="C6848">
        <v>2378061534</v>
      </c>
      <c r="D6848">
        <v>2378061544</v>
      </c>
      <c r="E6848" t="str">
        <f>T("K 스타일 푸드 트럭은 진화한다 11화")</f>
        <v>K 스타일 푸드 트럭은 진화한다 11화</v>
      </c>
      <c r="F6848">
        <v>11</v>
      </c>
      <c r="G6848" t="str">
        <f>T("써브웨이")</f>
        <v>써브웨이</v>
      </c>
      <c r="J6848" t="str">
        <f>T("사이렌")</f>
        <v>사이렌</v>
      </c>
      <c r="K6848" t="str">
        <f>T("K 스타일 푸드 트럭은 진화한다")</f>
        <v>K 스타일 푸드 트럭은 진화한다</v>
      </c>
      <c r="L6848">
        <v>0</v>
      </c>
      <c r="M6848">
        <v>0</v>
      </c>
      <c r="N6848">
        <v>0</v>
      </c>
      <c r="O6848">
        <v>1</v>
      </c>
      <c r="P6848">
        <v>0</v>
      </c>
      <c r="Q6848">
        <v>0</v>
      </c>
      <c r="R6848">
        <v>0</v>
      </c>
      <c r="S6848">
        <v>0</v>
      </c>
      <c r="T6848">
        <v>0</v>
      </c>
      <c r="U6848">
        <v>0</v>
      </c>
      <c r="V6848">
        <v>0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0</v>
      </c>
      <c r="AC6848">
        <v>0</v>
      </c>
      <c r="AD6848">
        <v>0</v>
      </c>
      <c r="AE6848">
        <v>0</v>
      </c>
      <c r="AF6848">
        <v>0</v>
      </c>
      <c r="AG6848">
        <v>0</v>
      </c>
      <c r="AH6848">
        <v>0</v>
      </c>
      <c r="AI6848">
        <v>0</v>
      </c>
      <c r="AJ6848">
        <v>1</v>
      </c>
      <c r="AK6848">
        <v>0</v>
      </c>
      <c r="AL6848">
        <v>0</v>
      </c>
      <c r="AM6848">
        <v>0</v>
      </c>
      <c r="AN6848">
        <v>0</v>
      </c>
      <c r="AO6848">
        <v>0</v>
      </c>
      <c r="AP6848">
        <v>0</v>
      </c>
      <c r="AQ6848">
        <v>0</v>
      </c>
      <c r="AS6848">
        <v>0</v>
      </c>
      <c r="AT6848">
        <v>0</v>
      </c>
      <c r="AV6848">
        <v>0</v>
      </c>
      <c r="AW6848">
        <v>0</v>
      </c>
      <c r="AY6848">
        <v>0</v>
      </c>
      <c r="AZ6848">
        <v>0</v>
      </c>
      <c r="BA6848">
        <v>0</v>
      </c>
      <c r="BE6848" t="str">
        <f>T("9791198520029")</f>
        <v>9791198520029</v>
      </c>
      <c r="BF6848" t="str">
        <f>T("k205794")</f>
        <v>k205794</v>
      </c>
      <c r="BG6848" t="str">
        <f>T("판타지 웹소설 &gt; 현대 판타지")</f>
        <v>판타지 웹소설 &gt; 현대 판타지</v>
      </c>
    </row>
    <row r="6849" spans="1:60">
      <c r="A6849" t="s">
        <v>60</v>
      </c>
      <c r="B6849" s="1">
        <v>46129</v>
      </c>
      <c r="C6849">
        <v>2378061534</v>
      </c>
      <c r="D6849">
        <v>2378061545</v>
      </c>
      <c r="E6849" t="str">
        <f>T("K 스타일 푸드 트럭은 진화한다 12화")</f>
        <v>K 스타일 푸드 트럭은 진화한다 12화</v>
      </c>
      <c r="F6849">
        <v>12</v>
      </c>
      <c r="G6849" t="str">
        <f>T("써브웨이")</f>
        <v>써브웨이</v>
      </c>
      <c r="J6849" t="str">
        <f>T("사이렌")</f>
        <v>사이렌</v>
      </c>
      <c r="K6849" t="str">
        <f>T("K 스타일 푸드 트럭은 진화한다")</f>
        <v>K 스타일 푸드 트럭은 진화한다</v>
      </c>
      <c r="L6849">
        <v>0</v>
      </c>
      <c r="M6849">
        <v>0</v>
      </c>
      <c r="N6849">
        <v>0</v>
      </c>
      <c r="O6849">
        <v>1</v>
      </c>
      <c r="P6849">
        <v>0</v>
      </c>
      <c r="Q6849">
        <v>0</v>
      </c>
      <c r="R6849">
        <v>0</v>
      </c>
      <c r="S6849">
        <v>0</v>
      </c>
      <c r="T6849">
        <v>0</v>
      </c>
      <c r="U6849">
        <v>0</v>
      </c>
      <c r="V6849">
        <v>0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0</v>
      </c>
      <c r="AC6849">
        <v>0</v>
      </c>
      <c r="AD6849">
        <v>0</v>
      </c>
      <c r="AE6849">
        <v>0</v>
      </c>
      <c r="AF6849">
        <v>0</v>
      </c>
      <c r="AG6849">
        <v>0</v>
      </c>
      <c r="AH6849">
        <v>0</v>
      </c>
      <c r="AI6849">
        <v>0</v>
      </c>
      <c r="AJ6849">
        <v>1</v>
      </c>
      <c r="AK6849">
        <v>0</v>
      </c>
      <c r="AL6849">
        <v>0</v>
      </c>
      <c r="AM6849">
        <v>0</v>
      </c>
      <c r="AN6849">
        <v>0</v>
      </c>
      <c r="AO6849">
        <v>0</v>
      </c>
      <c r="AP6849">
        <v>0</v>
      </c>
      <c r="AQ6849">
        <v>0</v>
      </c>
      <c r="AS6849">
        <v>0</v>
      </c>
      <c r="AT6849">
        <v>0</v>
      </c>
      <c r="AV6849">
        <v>0</v>
      </c>
      <c r="AW6849">
        <v>0</v>
      </c>
      <c r="AY6849">
        <v>0</v>
      </c>
      <c r="AZ6849">
        <v>0</v>
      </c>
      <c r="BA6849">
        <v>0</v>
      </c>
      <c r="BE6849" t="str">
        <f>T("9791198520029")</f>
        <v>9791198520029</v>
      </c>
      <c r="BF6849" t="str">
        <f>T("k205795")</f>
        <v>k205795</v>
      </c>
      <c r="BG6849" t="str">
        <f>T("판타지 웹소설 &gt; 현대 판타지")</f>
        <v>판타지 웹소설 &gt; 현대 판타지</v>
      </c>
    </row>
    <row r="6850" spans="1:60">
      <c r="A6850" t="s">
        <v>60</v>
      </c>
      <c r="B6850" s="1">
        <v>46129</v>
      </c>
      <c r="C6850">
        <v>2378061534</v>
      </c>
      <c r="D6850">
        <v>2378061546</v>
      </c>
      <c r="E6850" t="str">
        <f>T("K 스타일 푸드 트럭은 진화한다 13화")</f>
        <v>K 스타일 푸드 트럭은 진화한다 13화</v>
      </c>
      <c r="F6850">
        <v>13</v>
      </c>
      <c r="G6850" t="str">
        <f>T("써브웨이")</f>
        <v>써브웨이</v>
      </c>
      <c r="J6850" t="str">
        <f>T("사이렌")</f>
        <v>사이렌</v>
      </c>
      <c r="K6850" t="str">
        <f>T("K 스타일 푸드 트럭은 진화한다")</f>
        <v>K 스타일 푸드 트럭은 진화한다</v>
      </c>
      <c r="L6850">
        <v>0</v>
      </c>
      <c r="M6850">
        <v>0</v>
      </c>
      <c r="N6850">
        <v>0</v>
      </c>
      <c r="O6850">
        <v>1</v>
      </c>
      <c r="P6850">
        <v>0</v>
      </c>
      <c r="Q6850">
        <v>0</v>
      </c>
      <c r="R6850">
        <v>0</v>
      </c>
      <c r="S6850">
        <v>0</v>
      </c>
      <c r="T6850">
        <v>0</v>
      </c>
      <c r="U6850">
        <v>0</v>
      </c>
      <c r="V6850">
        <v>0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0</v>
      </c>
      <c r="AC6850">
        <v>0</v>
      </c>
      <c r="AD6850">
        <v>0</v>
      </c>
      <c r="AE6850">
        <v>0</v>
      </c>
      <c r="AF6850">
        <v>0</v>
      </c>
      <c r="AG6850">
        <v>0</v>
      </c>
      <c r="AH6850">
        <v>0</v>
      </c>
      <c r="AI6850">
        <v>0</v>
      </c>
      <c r="AJ6850">
        <v>1</v>
      </c>
      <c r="AK6850">
        <v>0</v>
      </c>
      <c r="AL6850">
        <v>0</v>
      </c>
      <c r="AM6850">
        <v>0</v>
      </c>
      <c r="AN6850">
        <v>0</v>
      </c>
      <c r="AO6850">
        <v>0</v>
      </c>
      <c r="AP6850">
        <v>0</v>
      </c>
      <c r="AQ6850">
        <v>0</v>
      </c>
      <c r="AS6850">
        <v>0</v>
      </c>
      <c r="AT6850">
        <v>0</v>
      </c>
      <c r="AV6850">
        <v>0</v>
      </c>
      <c r="AW6850">
        <v>0</v>
      </c>
      <c r="AY6850">
        <v>0</v>
      </c>
      <c r="AZ6850">
        <v>0</v>
      </c>
      <c r="BA6850">
        <v>0</v>
      </c>
      <c r="BE6850" t="str">
        <f>T("9791198520029")</f>
        <v>9791198520029</v>
      </c>
      <c r="BF6850" t="str">
        <f>T("k205796")</f>
        <v>k205796</v>
      </c>
      <c r="BG6850" t="str">
        <f>T("판타지 웹소설 &gt; 현대 판타지")</f>
        <v>판타지 웹소설 &gt; 현대 판타지</v>
      </c>
    </row>
    <row r="6851" spans="1:60">
      <c r="A6851" t="s">
        <v>60</v>
      </c>
      <c r="B6851" s="1">
        <v>46129</v>
      </c>
      <c r="C6851">
        <v>2378061534</v>
      </c>
      <c r="D6851">
        <v>2378061547</v>
      </c>
      <c r="E6851" t="str">
        <f>T("K 스타일 푸드 트럭은 진화한다 14화")</f>
        <v>K 스타일 푸드 트럭은 진화한다 14화</v>
      </c>
      <c r="F6851">
        <v>14</v>
      </c>
      <c r="G6851" t="str">
        <f>T("써브웨이")</f>
        <v>써브웨이</v>
      </c>
      <c r="J6851" t="str">
        <f>T("사이렌")</f>
        <v>사이렌</v>
      </c>
      <c r="K6851" t="str">
        <f>T("K 스타일 푸드 트럭은 진화한다")</f>
        <v>K 스타일 푸드 트럭은 진화한다</v>
      </c>
      <c r="L6851">
        <v>0</v>
      </c>
      <c r="M6851">
        <v>0</v>
      </c>
      <c r="N6851">
        <v>0</v>
      </c>
      <c r="O6851">
        <v>1</v>
      </c>
      <c r="P6851">
        <v>0</v>
      </c>
      <c r="Q6851">
        <v>0</v>
      </c>
      <c r="R6851">
        <v>0</v>
      </c>
      <c r="S6851">
        <v>0</v>
      </c>
      <c r="T6851">
        <v>0</v>
      </c>
      <c r="U6851">
        <v>0</v>
      </c>
      <c r="V6851">
        <v>0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0</v>
      </c>
      <c r="AC6851">
        <v>0</v>
      </c>
      <c r="AD6851">
        <v>0</v>
      </c>
      <c r="AE6851">
        <v>0</v>
      </c>
      <c r="AF6851">
        <v>0</v>
      </c>
      <c r="AG6851">
        <v>0</v>
      </c>
      <c r="AH6851">
        <v>0</v>
      </c>
      <c r="AI6851">
        <v>0</v>
      </c>
      <c r="AJ6851">
        <v>1</v>
      </c>
      <c r="AK6851">
        <v>0</v>
      </c>
      <c r="AL6851">
        <v>0</v>
      </c>
      <c r="AM6851">
        <v>0</v>
      </c>
      <c r="AN6851">
        <v>0</v>
      </c>
      <c r="AO6851">
        <v>0</v>
      </c>
      <c r="AP6851">
        <v>0</v>
      </c>
      <c r="AQ6851">
        <v>0</v>
      </c>
      <c r="AS6851">
        <v>0</v>
      </c>
      <c r="AT6851">
        <v>0</v>
      </c>
      <c r="AV6851">
        <v>0</v>
      </c>
      <c r="AW6851">
        <v>0</v>
      </c>
      <c r="AY6851">
        <v>0</v>
      </c>
      <c r="AZ6851">
        <v>0</v>
      </c>
      <c r="BA6851">
        <v>0</v>
      </c>
      <c r="BE6851" t="str">
        <f>T("9791198520029")</f>
        <v>9791198520029</v>
      </c>
      <c r="BF6851" t="str">
        <f>T("k205797")</f>
        <v>k205797</v>
      </c>
      <c r="BG6851" t="str">
        <f>T("판타지 웹소설 &gt; 현대 판타지")</f>
        <v>판타지 웹소설 &gt; 현대 판타지</v>
      </c>
    </row>
    <row r="6852" spans="1:60">
      <c r="A6852" t="s">
        <v>60</v>
      </c>
      <c r="B6852" s="1">
        <v>46129</v>
      </c>
      <c r="C6852">
        <v>2378061534</v>
      </c>
      <c r="D6852">
        <v>2378061548</v>
      </c>
      <c r="E6852" t="str">
        <f>T("K 스타일 푸드 트럭은 진화한다 15화")</f>
        <v>K 스타일 푸드 트럭은 진화한다 15화</v>
      </c>
      <c r="F6852">
        <v>15</v>
      </c>
      <c r="G6852" t="str">
        <f>T("써브웨이")</f>
        <v>써브웨이</v>
      </c>
      <c r="J6852" t="str">
        <f>T("사이렌")</f>
        <v>사이렌</v>
      </c>
      <c r="K6852" t="str">
        <f>T("K 스타일 푸드 트럭은 진화한다")</f>
        <v>K 스타일 푸드 트럭은 진화한다</v>
      </c>
      <c r="L6852">
        <v>0</v>
      </c>
      <c r="M6852">
        <v>0</v>
      </c>
      <c r="N6852">
        <v>0</v>
      </c>
      <c r="O6852">
        <v>1</v>
      </c>
      <c r="P6852">
        <v>0</v>
      </c>
      <c r="Q6852">
        <v>0</v>
      </c>
      <c r="R6852">
        <v>0</v>
      </c>
      <c r="S6852">
        <v>0</v>
      </c>
      <c r="T6852">
        <v>0</v>
      </c>
      <c r="U6852">
        <v>0</v>
      </c>
      <c r="V6852">
        <v>0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0</v>
      </c>
      <c r="AC6852">
        <v>0</v>
      </c>
      <c r="AD6852">
        <v>0</v>
      </c>
      <c r="AE6852">
        <v>0</v>
      </c>
      <c r="AF6852">
        <v>0</v>
      </c>
      <c r="AG6852">
        <v>0</v>
      </c>
      <c r="AH6852">
        <v>0</v>
      </c>
      <c r="AI6852">
        <v>0</v>
      </c>
      <c r="AJ6852">
        <v>1</v>
      </c>
      <c r="AK6852">
        <v>0</v>
      </c>
      <c r="AL6852">
        <v>0</v>
      </c>
      <c r="AM6852">
        <v>0</v>
      </c>
      <c r="AN6852">
        <v>0</v>
      </c>
      <c r="AO6852">
        <v>0</v>
      </c>
      <c r="AP6852">
        <v>0</v>
      </c>
      <c r="AQ6852">
        <v>0</v>
      </c>
      <c r="AS6852">
        <v>0</v>
      </c>
      <c r="AT6852">
        <v>0</v>
      </c>
      <c r="AV6852">
        <v>0</v>
      </c>
      <c r="AW6852">
        <v>0</v>
      </c>
      <c r="AY6852">
        <v>0</v>
      </c>
      <c r="AZ6852">
        <v>0</v>
      </c>
      <c r="BA6852">
        <v>0</v>
      </c>
      <c r="BE6852" t="str">
        <f>T("9791198520029")</f>
        <v>9791198520029</v>
      </c>
      <c r="BF6852" t="str">
        <f>T("k205798")</f>
        <v>k205798</v>
      </c>
      <c r="BG6852" t="str">
        <f>T("판타지 웹소설 &gt; 현대 판타지")</f>
        <v>판타지 웹소설 &gt; 현대 판타지</v>
      </c>
    </row>
    <row r="6853" spans="1:60">
      <c r="A6853" t="s">
        <v>60</v>
      </c>
      <c r="B6853" s="1">
        <v>46129</v>
      </c>
      <c r="C6853">
        <v>2378061534</v>
      </c>
      <c r="D6853">
        <v>2378061549</v>
      </c>
      <c r="E6853" t="str">
        <f>T("K 스타일 푸드 트럭은 진화한다 16화")</f>
        <v>K 스타일 푸드 트럭은 진화한다 16화</v>
      </c>
      <c r="F6853">
        <v>16</v>
      </c>
      <c r="G6853" t="str">
        <f>T("써브웨이")</f>
        <v>써브웨이</v>
      </c>
      <c r="J6853" t="str">
        <f>T("사이렌")</f>
        <v>사이렌</v>
      </c>
      <c r="K6853" t="str">
        <f>T("K 스타일 푸드 트럭은 진화한다")</f>
        <v>K 스타일 푸드 트럭은 진화한다</v>
      </c>
      <c r="L6853">
        <v>0</v>
      </c>
      <c r="M6853">
        <v>0</v>
      </c>
      <c r="N6853">
        <v>0</v>
      </c>
      <c r="O6853">
        <v>1</v>
      </c>
      <c r="P6853">
        <v>0</v>
      </c>
      <c r="Q6853">
        <v>0</v>
      </c>
      <c r="R6853">
        <v>0</v>
      </c>
      <c r="S6853">
        <v>0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0</v>
      </c>
      <c r="AC6853">
        <v>0</v>
      </c>
      <c r="AD6853">
        <v>0</v>
      </c>
      <c r="AE6853">
        <v>0</v>
      </c>
      <c r="AF6853">
        <v>0</v>
      </c>
      <c r="AG6853">
        <v>0</v>
      </c>
      <c r="AH6853">
        <v>0</v>
      </c>
      <c r="AI6853">
        <v>0</v>
      </c>
      <c r="AJ6853">
        <v>1</v>
      </c>
      <c r="AK6853">
        <v>0</v>
      </c>
      <c r="AL6853">
        <v>0</v>
      </c>
      <c r="AM6853">
        <v>0</v>
      </c>
      <c r="AN6853">
        <v>0</v>
      </c>
      <c r="AO6853">
        <v>0</v>
      </c>
      <c r="AP6853">
        <v>0</v>
      </c>
      <c r="AQ6853">
        <v>0</v>
      </c>
      <c r="AS6853">
        <v>0</v>
      </c>
      <c r="AT6853">
        <v>0</v>
      </c>
      <c r="AV6853">
        <v>0</v>
      </c>
      <c r="AW6853">
        <v>0</v>
      </c>
      <c r="AY6853">
        <v>0</v>
      </c>
      <c r="AZ6853">
        <v>0</v>
      </c>
      <c r="BA6853">
        <v>0</v>
      </c>
      <c r="BE6853" t="str">
        <f>T("9791198520029")</f>
        <v>9791198520029</v>
      </c>
      <c r="BF6853" t="str">
        <f>T("k205799")</f>
        <v>k205799</v>
      </c>
      <c r="BG6853" t="str">
        <f>T("판타지 웹소설 &gt; 현대 판타지")</f>
        <v>판타지 웹소설 &gt; 현대 판타지</v>
      </c>
    </row>
    <row r="6854" spans="1:60">
      <c r="A6854" t="s">
        <v>60</v>
      </c>
      <c r="B6854" s="1">
        <v>46129</v>
      </c>
      <c r="C6854">
        <v>2378061534</v>
      </c>
      <c r="D6854">
        <v>2378061550</v>
      </c>
      <c r="E6854" t="str">
        <f>T("K 스타일 푸드 트럭은 진화한다 17화")</f>
        <v>K 스타일 푸드 트럭은 진화한다 17화</v>
      </c>
      <c r="F6854">
        <v>17</v>
      </c>
      <c r="G6854" t="str">
        <f>T("써브웨이")</f>
        <v>써브웨이</v>
      </c>
      <c r="J6854" t="str">
        <f>T("사이렌")</f>
        <v>사이렌</v>
      </c>
      <c r="K6854" t="str">
        <f>T("K 스타일 푸드 트럭은 진화한다")</f>
        <v>K 스타일 푸드 트럭은 진화한다</v>
      </c>
      <c r="L6854">
        <v>0</v>
      </c>
      <c r="M6854">
        <v>0</v>
      </c>
      <c r="N6854">
        <v>0</v>
      </c>
      <c r="O6854">
        <v>1</v>
      </c>
      <c r="P6854">
        <v>0</v>
      </c>
      <c r="Q6854">
        <v>0</v>
      </c>
      <c r="R6854">
        <v>0</v>
      </c>
      <c r="S6854">
        <v>0</v>
      </c>
      <c r="T6854">
        <v>0</v>
      </c>
      <c r="U6854">
        <v>0</v>
      </c>
      <c r="V6854">
        <v>0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0</v>
      </c>
      <c r="AC6854">
        <v>0</v>
      </c>
      <c r="AD6854">
        <v>0</v>
      </c>
      <c r="AE6854">
        <v>0</v>
      </c>
      <c r="AF6854">
        <v>0</v>
      </c>
      <c r="AG6854">
        <v>0</v>
      </c>
      <c r="AH6854">
        <v>0</v>
      </c>
      <c r="AI6854">
        <v>0</v>
      </c>
      <c r="AJ6854">
        <v>1</v>
      </c>
      <c r="AK6854">
        <v>0</v>
      </c>
      <c r="AL6854">
        <v>0</v>
      </c>
      <c r="AM6854">
        <v>0</v>
      </c>
      <c r="AN6854">
        <v>0</v>
      </c>
      <c r="AO6854">
        <v>0</v>
      </c>
      <c r="AP6854">
        <v>0</v>
      </c>
      <c r="AQ6854">
        <v>0</v>
      </c>
      <c r="AS6854">
        <v>0</v>
      </c>
      <c r="AT6854">
        <v>0</v>
      </c>
      <c r="AV6854">
        <v>0</v>
      </c>
      <c r="AW6854">
        <v>0</v>
      </c>
      <c r="AY6854">
        <v>0</v>
      </c>
      <c r="AZ6854">
        <v>0</v>
      </c>
      <c r="BA6854">
        <v>0</v>
      </c>
      <c r="BE6854" t="str">
        <f>T("9791198520029")</f>
        <v>9791198520029</v>
      </c>
      <c r="BF6854" t="str">
        <f>T("k205800")</f>
        <v>k205800</v>
      </c>
      <c r="BG6854" t="str">
        <f>T("판타지 웹소설 &gt; 현대 판타지")</f>
        <v>판타지 웹소설 &gt; 현대 판타지</v>
      </c>
    </row>
    <row r="6855" spans="1:60">
      <c r="A6855" t="s">
        <v>60</v>
      </c>
      <c r="B6855" s="1">
        <v>46129</v>
      </c>
      <c r="D6855">
        <v>2378075005</v>
      </c>
      <c r="E6855" t="str">
        <f>T("[e북]네 오빠의 결혼식")</f>
        <v>[e북]네 오빠의 결혼식</v>
      </c>
      <c r="F6855">
        <v>0</v>
      </c>
      <c r="G6855" t="str">
        <f>T("YUM")</f>
        <v>YUM</v>
      </c>
      <c r="J6855" t="str">
        <f>T("슈미즈")</f>
        <v>슈미즈</v>
      </c>
      <c r="K6855" t="str">
        <f>T("[e북]네 오빠의 결혼식")</f>
        <v>[e북]네 오빠의 결혼식</v>
      </c>
      <c r="L6855">
        <v>1000</v>
      </c>
      <c r="M6855">
        <v>1000</v>
      </c>
      <c r="N6855">
        <v>1</v>
      </c>
      <c r="O6855">
        <v>0</v>
      </c>
      <c r="P6855">
        <v>0</v>
      </c>
      <c r="Q6855">
        <v>0</v>
      </c>
      <c r="R6855">
        <v>0</v>
      </c>
      <c r="S6855">
        <v>0</v>
      </c>
      <c r="T6855">
        <v>0</v>
      </c>
      <c r="U6855">
        <v>0</v>
      </c>
      <c r="V6855">
        <v>0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0</v>
      </c>
      <c r="AC6855">
        <v>0</v>
      </c>
      <c r="AD6855">
        <v>0</v>
      </c>
      <c r="AE6855">
        <v>0</v>
      </c>
      <c r="AF6855">
        <v>0</v>
      </c>
      <c r="AG6855">
        <v>0</v>
      </c>
      <c r="AH6855">
        <v>0</v>
      </c>
      <c r="AI6855">
        <v>1000</v>
      </c>
      <c r="AJ6855">
        <v>1</v>
      </c>
      <c r="AK6855">
        <v>0</v>
      </c>
      <c r="AL6855">
        <v>0</v>
      </c>
      <c r="AM6855">
        <v>0</v>
      </c>
      <c r="AN6855">
        <v>0</v>
      </c>
      <c r="AO6855">
        <v>1200</v>
      </c>
      <c r="AP6855">
        <v>-120</v>
      </c>
      <c r="AQ6855">
        <v>0</v>
      </c>
      <c r="AS6855">
        <v>0</v>
      </c>
      <c r="AT6855">
        <v>0</v>
      </c>
      <c r="AU6855">
        <v>1200</v>
      </c>
      <c r="AV6855">
        <v>-120</v>
      </c>
      <c r="AW6855">
        <v>0</v>
      </c>
      <c r="AY6855">
        <v>0</v>
      </c>
      <c r="AZ6855">
        <v>0</v>
      </c>
      <c r="BA6855">
        <v>756</v>
      </c>
      <c r="BE6855" t="str">
        <f>T("9791189350864")</f>
        <v>9791189350864</v>
      </c>
      <c r="BF6855" t="str">
        <f>T("B007613")</f>
        <v>B007613</v>
      </c>
      <c r="BG6855" t="str">
        <f>T("로맨스 e북 &gt; 현대물")</f>
        <v>로맨스 e북 &gt; 현대물</v>
      </c>
    </row>
    <row r="6856" spans="1:60">
      <c r="A6856" t="s">
        <v>60</v>
      </c>
      <c r="B6856" s="1">
        <v>46129</v>
      </c>
      <c r="D6856">
        <v>2378009291</v>
      </c>
      <c r="E6856" t="str">
        <f>T("[e북]묘설")</f>
        <v>[e북]묘설</v>
      </c>
      <c r="F6856">
        <v>0</v>
      </c>
      <c r="G6856" t="str">
        <f>T("페일핑크")</f>
        <v>페일핑크</v>
      </c>
      <c r="J6856" t="str">
        <f>T("시계토끼")</f>
        <v>시계토끼</v>
      </c>
      <c r="K6856" t="str">
        <f>T("[e북]묘설")</f>
        <v>[e북]묘설</v>
      </c>
      <c r="L6856">
        <v>1000</v>
      </c>
      <c r="M6856">
        <v>1000</v>
      </c>
      <c r="N6856">
        <v>1</v>
      </c>
      <c r="O6856">
        <v>0</v>
      </c>
      <c r="P6856">
        <v>0</v>
      </c>
      <c r="Q6856">
        <v>0</v>
      </c>
      <c r="R6856">
        <v>0</v>
      </c>
      <c r="S6856">
        <v>0</v>
      </c>
      <c r="T6856">
        <v>0</v>
      </c>
      <c r="U6856">
        <v>0</v>
      </c>
      <c r="V6856">
        <v>0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0</v>
      </c>
      <c r="AC6856">
        <v>0</v>
      </c>
      <c r="AD6856">
        <v>0</v>
      </c>
      <c r="AE6856">
        <v>0</v>
      </c>
      <c r="AF6856">
        <v>0</v>
      </c>
      <c r="AG6856">
        <v>0</v>
      </c>
      <c r="AH6856">
        <v>0</v>
      </c>
      <c r="AI6856">
        <v>1000</v>
      </c>
      <c r="AJ6856">
        <v>1</v>
      </c>
      <c r="AK6856">
        <v>0</v>
      </c>
      <c r="AL6856">
        <v>0</v>
      </c>
      <c r="AM6856">
        <v>0</v>
      </c>
      <c r="AN6856">
        <v>0</v>
      </c>
      <c r="AO6856">
        <v>1200</v>
      </c>
      <c r="AP6856">
        <v>-120</v>
      </c>
      <c r="AQ6856">
        <v>0</v>
      </c>
      <c r="AS6856">
        <v>0</v>
      </c>
      <c r="AT6856">
        <v>0</v>
      </c>
      <c r="AU6856">
        <v>1200</v>
      </c>
      <c r="AV6856">
        <v>-120</v>
      </c>
      <c r="AW6856">
        <v>0</v>
      </c>
      <c r="AY6856">
        <v>0</v>
      </c>
      <c r="AZ6856">
        <v>0</v>
      </c>
      <c r="BA6856">
        <v>756</v>
      </c>
      <c r="BC6856" t="str">
        <f>T("0000000000000")</f>
        <v>0000000000000</v>
      </c>
      <c r="BE6856" t="str">
        <f>T("9791164091164")</f>
        <v>9791164091164</v>
      </c>
      <c r="BF6856" t="str">
        <f>T("E446667")</f>
        <v>E446667</v>
      </c>
      <c r="BG6856" t="str">
        <f>T("로맨스 e북 &gt; 역사/시대물")</f>
        <v>로맨스 e북 &gt; 역사/시대물</v>
      </c>
      <c r="BH6856" t="str">
        <f>T("로맨스 e북 &gt; 19+")</f>
        <v>로맨스 e북 &gt; 19+</v>
      </c>
    </row>
    <row r="6857" spans="1:60">
      <c r="A6857" t="s">
        <v>60</v>
      </c>
      <c r="B6857" s="1">
        <v>46129</v>
      </c>
      <c r="D6857">
        <v>2378014061</v>
      </c>
      <c r="E6857" t="str">
        <f>T("[e북]다섯 번째 친구")</f>
        <v>[e북]다섯 번째 친구</v>
      </c>
      <c r="F6857">
        <v>0</v>
      </c>
      <c r="G6857" t="str">
        <f>T("봉빙")</f>
        <v>봉빙</v>
      </c>
      <c r="J6857" t="str">
        <f>T("하트퀸")</f>
        <v>하트퀸</v>
      </c>
      <c r="K6857" t="str">
        <f>T("[e북]다섯 번째 친구")</f>
        <v>[e북]다섯 번째 친구</v>
      </c>
      <c r="L6857">
        <v>4000</v>
      </c>
      <c r="M6857">
        <v>4000</v>
      </c>
      <c r="N6857">
        <v>1</v>
      </c>
      <c r="O6857">
        <v>0</v>
      </c>
      <c r="P6857">
        <v>0</v>
      </c>
      <c r="Q6857">
        <v>0</v>
      </c>
      <c r="R6857">
        <v>0</v>
      </c>
      <c r="S6857">
        <v>0</v>
      </c>
      <c r="T6857">
        <v>0</v>
      </c>
      <c r="U6857">
        <v>0</v>
      </c>
      <c r="V6857">
        <v>0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0</v>
      </c>
      <c r="AC6857">
        <v>0</v>
      </c>
      <c r="AD6857">
        <v>0</v>
      </c>
      <c r="AE6857">
        <v>0</v>
      </c>
      <c r="AF6857">
        <v>0</v>
      </c>
      <c r="AG6857">
        <v>0</v>
      </c>
      <c r="AH6857">
        <v>0</v>
      </c>
      <c r="AI6857">
        <v>4000</v>
      </c>
      <c r="AJ6857">
        <v>1</v>
      </c>
      <c r="AK6857">
        <v>0</v>
      </c>
      <c r="AL6857">
        <v>0</v>
      </c>
      <c r="AM6857">
        <v>4000</v>
      </c>
      <c r="AN6857">
        <v>0</v>
      </c>
      <c r="AO6857">
        <v>0</v>
      </c>
      <c r="AP6857">
        <v>0</v>
      </c>
      <c r="AQ6857">
        <v>0</v>
      </c>
      <c r="AS6857">
        <v>0</v>
      </c>
      <c r="AT6857">
        <v>0</v>
      </c>
      <c r="AV6857">
        <v>0</v>
      </c>
      <c r="AW6857">
        <v>0</v>
      </c>
      <c r="AY6857">
        <v>0</v>
      </c>
      <c r="AZ6857">
        <v>0</v>
      </c>
      <c r="BA6857">
        <v>2800</v>
      </c>
      <c r="BC6857" t="str">
        <f>T("0000000000000")</f>
        <v>0000000000000</v>
      </c>
      <c r="BE6857" t="str">
        <f>T("9791164974375")</f>
        <v>9791164974375</v>
      </c>
      <c r="BF6857" t="str">
        <f>T("E720531")</f>
        <v>E720531</v>
      </c>
      <c r="BG6857" t="str">
        <f>T("로맨스 e북 &gt; 현대물")</f>
        <v>로맨스 e북 &gt; 현대물</v>
      </c>
    </row>
    <row r="6858" spans="1:60">
      <c r="A6858" t="s">
        <v>60</v>
      </c>
      <c r="B6858" s="1">
        <v>46129</v>
      </c>
      <c r="D6858">
        <v>2378027516</v>
      </c>
      <c r="E6858" t="str">
        <f>T("[e북]동정 변태 공작과 결혼했습니다")</f>
        <v>[e북]동정 변태 공작과 결혼했습니다</v>
      </c>
      <c r="F6858">
        <v>0</v>
      </c>
      <c r="G6858" t="str">
        <f>T("유채")</f>
        <v>유채</v>
      </c>
      <c r="J6858" t="str">
        <f>T("시계토끼")</f>
        <v>시계토끼</v>
      </c>
      <c r="K6858" t="str">
        <f>T("[e북]동정 변태 공작과 결혼했습니다")</f>
        <v>[e북]동정 변태 공작과 결혼했습니다</v>
      </c>
      <c r="L6858">
        <v>3400</v>
      </c>
      <c r="M6858">
        <v>3400</v>
      </c>
      <c r="N6858">
        <v>1</v>
      </c>
      <c r="O6858">
        <v>0</v>
      </c>
      <c r="P6858">
        <v>0</v>
      </c>
      <c r="Q6858">
        <v>0</v>
      </c>
      <c r="R6858">
        <v>0</v>
      </c>
      <c r="S6858">
        <v>0</v>
      </c>
      <c r="T6858">
        <v>0</v>
      </c>
      <c r="U6858">
        <v>0</v>
      </c>
      <c r="V6858">
        <v>0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0</v>
      </c>
      <c r="AC6858">
        <v>0</v>
      </c>
      <c r="AD6858">
        <v>0</v>
      </c>
      <c r="AE6858">
        <v>0</v>
      </c>
      <c r="AF6858">
        <v>0</v>
      </c>
      <c r="AG6858">
        <v>0</v>
      </c>
      <c r="AH6858">
        <v>0</v>
      </c>
      <c r="AI6858">
        <v>3400</v>
      </c>
      <c r="AJ6858">
        <v>1</v>
      </c>
      <c r="AK6858">
        <v>0</v>
      </c>
      <c r="AL6858">
        <v>0</v>
      </c>
      <c r="AM6858">
        <v>3400</v>
      </c>
      <c r="AN6858">
        <v>0</v>
      </c>
      <c r="AO6858">
        <v>0</v>
      </c>
      <c r="AP6858">
        <v>0</v>
      </c>
      <c r="AQ6858">
        <v>0</v>
      </c>
      <c r="AS6858">
        <v>0</v>
      </c>
      <c r="AT6858">
        <v>0</v>
      </c>
      <c r="AV6858">
        <v>0</v>
      </c>
      <c r="AW6858">
        <v>0</v>
      </c>
      <c r="AY6858">
        <v>0</v>
      </c>
      <c r="AZ6858">
        <v>0</v>
      </c>
      <c r="BA6858">
        <v>2380</v>
      </c>
      <c r="BE6858" t="str">
        <f>T("9791164095629")</f>
        <v>9791164095629</v>
      </c>
      <c r="BG6858" t="str">
        <f>T("로판 e북 &gt; 서양풍 로판")</f>
        <v>로판 e북 &gt; 서양풍 로판</v>
      </c>
    </row>
    <row r="6859" spans="1:60">
      <c r="A6859" t="s">
        <v>60</v>
      </c>
      <c r="B6859" s="1">
        <v>46129</v>
      </c>
      <c r="D6859">
        <v>2378038158</v>
      </c>
      <c r="E6859" t="str">
        <f>T("[e북]다시 봐도 좋은 아빠 친구")</f>
        <v>[e북]다시 봐도 좋은 아빠 친구</v>
      </c>
      <c r="F6859">
        <v>0</v>
      </c>
      <c r="G6859" t="str">
        <f>T("라도라따")</f>
        <v>라도라따</v>
      </c>
      <c r="J6859" t="str">
        <f>T("브랜디")</f>
        <v>브랜디</v>
      </c>
      <c r="K6859" t="str">
        <f>T("[e북]다시 봐도 좋은 아빠 친구")</f>
        <v>[e북]다시 봐도 좋은 아빠 친구</v>
      </c>
      <c r="L6859">
        <v>1000</v>
      </c>
      <c r="M6859">
        <v>1000</v>
      </c>
      <c r="N6859">
        <v>1</v>
      </c>
      <c r="O6859">
        <v>0</v>
      </c>
      <c r="P6859">
        <v>0</v>
      </c>
      <c r="Q6859">
        <v>0</v>
      </c>
      <c r="R6859">
        <v>0</v>
      </c>
      <c r="S6859">
        <v>0</v>
      </c>
      <c r="T6859">
        <v>0</v>
      </c>
      <c r="U6859">
        <v>0</v>
      </c>
      <c r="V6859">
        <v>0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0</v>
      </c>
      <c r="AC6859">
        <v>0</v>
      </c>
      <c r="AD6859">
        <v>0</v>
      </c>
      <c r="AE6859">
        <v>0</v>
      </c>
      <c r="AF6859">
        <v>0</v>
      </c>
      <c r="AG6859">
        <v>0</v>
      </c>
      <c r="AH6859">
        <v>0</v>
      </c>
      <c r="AI6859">
        <v>1000</v>
      </c>
      <c r="AJ6859">
        <v>1</v>
      </c>
      <c r="AK6859">
        <v>0</v>
      </c>
      <c r="AL6859">
        <v>0</v>
      </c>
      <c r="AM6859">
        <v>1000</v>
      </c>
      <c r="AN6859">
        <v>0</v>
      </c>
      <c r="AO6859">
        <v>0</v>
      </c>
      <c r="AP6859">
        <v>0</v>
      </c>
      <c r="AQ6859">
        <v>0</v>
      </c>
      <c r="AS6859">
        <v>0</v>
      </c>
      <c r="AT6859">
        <v>0</v>
      </c>
      <c r="AV6859">
        <v>0</v>
      </c>
      <c r="AW6859">
        <v>0</v>
      </c>
      <c r="AY6859">
        <v>0</v>
      </c>
      <c r="AZ6859">
        <v>0</v>
      </c>
      <c r="BA6859">
        <v>700</v>
      </c>
      <c r="BE6859" t="str">
        <f>T("9791164833443")</f>
        <v>9791164833443</v>
      </c>
      <c r="BF6859" t="str">
        <f>T("N129256")</f>
        <v>N129256</v>
      </c>
      <c r="BG6859" t="str">
        <f>T("BL 소설 e북 &gt; 현대물")</f>
        <v>BL 소설 e북 &gt; 현대물</v>
      </c>
    </row>
    <row r="6860" spans="1:60">
      <c r="A6860" t="s">
        <v>60</v>
      </c>
      <c r="B6860" s="1">
        <v>46129</v>
      </c>
      <c r="D6860">
        <v>2378043062</v>
      </c>
      <c r="E6860" t="str">
        <f>T("[e북]짓밟힐수록")</f>
        <v>[e북]짓밟힐수록</v>
      </c>
      <c r="F6860">
        <v>0</v>
      </c>
      <c r="G6860" t="str">
        <f>T("라쉬")</f>
        <v>라쉬</v>
      </c>
      <c r="J6860" t="str">
        <f>T("하트퀸")</f>
        <v>하트퀸</v>
      </c>
      <c r="K6860" t="str">
        <f>T("[e북]짓밟힐수록")</f>
        <v>[e북]짓밟힐수록</v>
      </c>
      <c r="L6860">
        <v>3300</v>
      </c>
      <c r="M6860">
        <v>3300</v>
      </c>
      <c r="N6860">
        <v>1</v>
      </c>
      <c r="O6860">
        <v>0</v>
      </c>
      <c r="P6860">
        <v>0</v>
      </c>
      <c r="Q6860">
        <v>0</v>
      </c>
      <c r="R6860">
        <v>0</v>
      </c>
      <c r="S6860">
        <v>0</v>
      </c>
      <c r="T6860">
        <v>0</v>
      </c>
      <c r="U6860">
        <v>0</v>
      </c>
      <c r="V6860">
        <v>0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0</v>
      </c>
      <c r="AC6860">
        <v>0</v>
      </c>
      <c r="AD6860">
        <v>0</v>
      </c>
      <c r="AE6860">
        <v>0</v>
      </c>
      <c r="AF6860">
        <v>0</v>
      </c>
      <c r="AG6860">
        <v>0</v>
      </c>
      <c r="AH6860">
        <v>0</v>
      </c>
      <c r="AI6860">
        <v>3300</v>
      </c>
      <c r="AJ6860">
        <v>1</v>
      </c>
      <c r="AK6860">
        <v>0</v>
      </c>
      <c r="AL6860">
        <v>0</v>
      </c>
      <c r="AM6860">
        <v>3300</v>
      </c>
      <c r="AN6860">
        <v>0</v>
      </c>
      <c r="AO6860">
        <v>0</v>
      </c>
      <c r="AP6860">
        <v>0</v>
      </c>
      <c r="AQ6860">
        <v>0</v>
      </c>
      <c r="AS6860">
        <v>0</v>
      </c>
      <c r="AT6860">
        <v>0</v>
      </c>
      <c r="AV6860">
        <v>0</v>
      </c>
      <c r="AW6860">
        <v>0</v>
      </c>
      <c r="AY6860">
        <v>0</v>
      </c>
      <c r="AZ6860">
        <v>0</v>
      </c>
      <c r="BA6860">
        <v>2310</v>
      </c>
      <c r="BE6860" t="str">
        <f>T("9791164977987")</f>
        <v>9791164977987</v>
      </c>
      <c r="BF6860" t="str">
        <f>T("N209643")</f>
        <v>N209643</v>
      </c>
      <c r="BG6860" t="str">
        <f>T("로맨스 e북 &gt; 현대물")</f>
        <v>로맨스 e북 &gt; 현대물</v>
      </c>
      <c r="BH6860" t="str">
        <f>T("로맨스 e북 &gt; 19+")</f>
        <v>로맨스 e북 &gt; 19+</v>
      </c>
    </row>
    <row r="6861" spans="1:60">
      <c r="A6861" t="s">
        <v>60</v>
      </c>
      <c r="B6861" s="1">
        <v>46129</v>
      </c>
      <c r="D6861">
        <v>2378058570</v>
      </c>
      <c r="E6861" t="str">
        <f>T("[e북]음란한 공용 여직원")</f>
        <v>[e북]음란한 공용 여직원</v>
      </c>
      <c r="F6861">
        <v>0</v>
      </c>
      <c r="G6861" t="str">
        <f>T("게벤테")</f>
        <v>게벤테</v>
      </c>
      <c r="J6861" t="str">
        <f>T("누디나잇")</f>
        <v>누디나잇</v>
      </c>
      <c r="K6861" t="str">
        <f>T("[e북]음란한 공용 여직원")</f>
        <v>[e북]음란한 공용 여직원</v>
      </c>
      <c r="L6861">
        <v>1000</v>
      </c>
      <c r="M6861">
        <v>1000</v>
      </c>
      <c r="N6861">
        <v>1</v>
      </c>
      <c r="O6861">
        <v>0</v>
      </c>
      <c r="P6861">
        <v>0</v>
      </c>
      <c r="Q6861">
        <v>0</v>
      </c>
      <c r="R6861">
        <v>0</v>
      </c>
      <c r="S6861">
        <v>0</v>
      </c>
      <c r="T6861">
        <v>0</v>
      </c>
      <c r="U6861">
        <v>0</v>
      </c>
      <c r="V6861">
        <v>0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0</v>
      </c>
      <c r="AC6861">
        <v>0</v>
      </c>
      <c r="AD6861">
        <v>0</v>
      </c>
      <c r="AE6861">
        <v>0</v>
      </c>
      <c r="AF6861">
        <v>0</v>
      </c>
      <c r="AG6861">
        <v>0</v>
      </c>
      <c r="AH6861">
        <v>0</v>
      </c>
      <c r="AI6861">
        <v>1000</v>
      </c>
      <c r="AJ6861">
        <v>1</v>
      </c>
      <c r="AK6861">
        <v>0</v>
      </c>
      <c r="AL6861">
        <v>0</v>
      </c>
      <c r="AM6861">
        <v>1000</v>
      </c>
      <c r="AN6861">
        <v>0</v>
      </c>
      <c r="AO6861">
        <v>0</v>
      </c>
      <c r="AP6861">
        <v>0</v>
      </c>
      <c r="AQ6861">
        <v>0</v>
      </c>
      <c r="AS6861">
        <v>0</v>
      </c>
      <c r="AT6861">
        <v>0</v>
      </c>
      <c r="AV6861">
        <v>0</v>
      </c>
      <c r="AW6861">
        <v>0</v>
      </c>
      <c r="AY6861">
        <v>0</v>
      </c>
      <c r="AZ6861">
        <v>0</v>
      </c>
      <c r="BA6861">
        <v>700</v>
      </c>
      <c r="BE6861" t="str">
        <f>T("9791171070145")</f>
        <v>9791171070145</v>
      </c>
      <c r="BF6861" t="str">
        <f>T("k147402")</f>
        <v>k147402</v>
      </c>
      <c r="BG6861" t="str">
        <f>T("로맨스 e북 &gt; 섹슈얼 로맨스")</f>
        <v>로맨스 e북 &gt; 섹슈얼 로맨스</v>
      </c>
    </row>
    <row r="6862" spans="1:60">
      <c r="A6862" t="s">
        <v>60</v>
      </c>
      <c r="B6862" s="1">
        <v>46129</v>
      </c>
      <c r="D6862">
        <v>2378058603</v>
      </c>
      <c r="E6862" t="str">
        <f>T("[e북]며느리의 가임기")</f>
        <v>[e북]며느리의 가임기</v>
      </c>
      <c r="F6862">
        <v>0</v>
      </c>
      <c r="G6862" t="str">
        <f>T("마동팔")</f>
        <v>마동팔</v>
      </c>
      <c r="J6862" t="str">
        <f>T("누디나잇")</f>
        <v>누디나잇</v>
      </c>
      <c r="K6862" t="str">
        <f>T("[e북]며느리의 가임기")</f>
        <v>[e북]며느리의 가임기</v>
      </c>
      <c r="L6862">
        <v>1000</v>
      </c>
      <c r="M6862">
        <v>1000</v>
      </c>
      <c r="N6862">
        <v>1</v>
      </c>
      <c r="O6862">
        <v>0</v>
      </c>
      <c r="P6862">
        <v>0</v>
      </c>
      <c r="Q6862">
        <v>0</v>
      </c>
      <c r="R6862">
        <v>0</v>
      </c>
      <c r="S6862">
        <v>0</v>
      </c>
      <c r="T6862">
        <v>0</v>
      </c>
      <c r="U6862">
        <v>0</v>
      </c>
      <c r="V6862">
        <v>0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0</v>
      </c>
      <c r="AC6862">
        <v>0</v>
      </c>
      <c r="AD6862">
        <v>0</v>
      </c>
      <c r="AE6862">
        <v>0</v>
      </c>
      <c r="AF6862">
        <v>0</v>
      </c>
      <c r="AG6862">
        <v>0</v>
      </c>
      <c r="AH6862">
        <v>0</v>
      </c>
      <c r="AI6862">
        <v>1000</v>
      </c>
      <c r="AJ6862">
        <v>1</v>
      </c>
      <c r="AK6862">
        <v>0</v>
      </c>
      <c r="AL6862">
        <v>0</v>
      </c>
      <c r="AM6862">
        <v>1000</v>
      </c>
      <c r="AN6862">
        <v>0</v>
      </c>
      <c r="AO6862">
        <v>0</v>
      </c>
      <c r="AP6862">
        <v>0</v>
      </c>
      <c r="AQ6862">
        <v>0</v>
      </c>
      <c r="AS6862">
        <v>0</v>
      </c>
      <c r="AT6862">
        <v>0</v>
      </c>
      <c r="AV6862">
        <v>0</v>
      </c>
      <c r="AW6862">
        <v>0</v>
      </c>
      <c r="AY6862">
        <v>0</v>
      </c>
      <c r="AZ6862">
        <v>0</v>
      </c>
      <c r="BA6862">
        <v>700</v>
      </c>
      <c r="BE6862" t="str">
        <f>T("9791171070060")</f>
        <v>9791171070060</v>
      </c>
      <c r="BF6862" t="str">
        <f>T("k130061")</f>
        <v>k130061</v>
      </c>
      <c r="BG6862" t="str">
        <f>T("로맨스 e북 &gt; 섹슈얼 로맨스")</f>
        <v>로맨스 e북 &gt; 섹슈얼 로맨스</v>
      </c>
    </row>
    <row r="6863" spans="1:60">
      <c r="A6863" t="s">
        <v>60</v>
      </c>
      <c r="B6863" s="1">
        <v>46129</v>
      </c>
      <c r="D6863">
        <v>2378058635</v>
      </c>
      <c r="E6863" t="str">
        <f>T("[e북]팀장님과 음란한 몸접대")</f>
        <v>[e북]팀장님과 음란한 몸접대</v>
      </c>
      <c r="F6863">
        <v>0</v>
      </c>
      <c r="G6863" t="str">
        <f>T("여우랑")</f>
        <v>여우랑</v>
      </c>
      <c r="J6863" t="str">
        <f>T("누디나잇")</f>
        <v>누디나잇</v>
      </c>
      <c r="K6863" t="str">
        <f>T("[e북]팀장님과 음란한 몸접대")</f>
        <v>[e북]팀장님과 음란한 몸접대</v>
      </c>
      <c r="L6863">
        <v>1000</v>
      </c>
      <c r="M6863">
        <v>1000</v>
      </c>
      <c r="N6863">
        <v>1</v>
      </c>
      <c r="O6863">
        <v>0</v>
      </c>
      <c r="P6863">
        <v>0</v>
      </c>
      <c r="Q6863">
        <v>0</v>
      </c>
      <c r="R6863">
        <v>0</v>
      </c>
      <c r="S6863">
        <v>0</v>
      </c>
      <c r="T6863">
        <v>0</v>
      </c>
      <c r="U6863">
        <v>0</v>
      </c>
      <c r="V6863">
        <v>0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0</v>
      </c>
      <c r="AC6863">
        <v>0</v>
      </c>
      <c r="AD6863">
        <v>0</v>
      </c>
      <c r="AE6863">
        <v>0</v>
      </c>
      <c r="AF6863">
        <v>0</v>
      </c>
      <c r="AG6863">
        <v>0</v>
      </c>
      <c r="AH6863">
        <v>0</v>
      </c>
      <c r="AI6863">
        <v>1000</v>
      </c>
      <c r="AJ6863">
        <v>1</v>
      </c>
      <c r="AK6863">
        <v>0</v>
      </c>
      <c r="AL6863">
        <v>0</v>
      </c>
      <c r="AM6863">
        <v>1000</v>
      </c>
      <c r="AN6863">
        <v>0</v>
      </c>
      <c r="AO6863">
        <v>0</v>
      </c>
      <c r="AP6863">
        <v>0</v>
      </c>
      <c r="AQ6863">
        <v>0</v>
      </c>
      <c r="AS6863">
        <v>0</v>
      </c>
      <c r="AT6863">
        <v>0</v>
      </c>
      <c r="AV6863">
        <v>0</v>
      </c>
      <c r="AW6863">
        <v>0</v>
      </c>
      <c r="AY6863">
        <v>0</v>
      </c>
      <c r="AZ6863">
        <v>0</v>
      </c>
      <c r="BA6863">
        <v>700</v>
      </c>
      <c r="BE6863" t="str">
        <f>T("9791171070558")</f>
        <v>9791171070558</v>
      </c>
      <c r="BF6863" t="str">
        <f>T("k187325")</f>
        <v>k187325</v>
      </c>
      <c r="BG6863" t="str">
        <f>T("로맨스 e북 &gt; 섹슈얼 로맨스")</f>
        <v>로맨스 e북 &gt; 섹슈얼 로맨스</v>
      </c>
    </row>
    <row r="6864" spans="1:60">
      <c r="A6864" t="s">
        <v>60</v>
      </c>
      <c r="B6864" s="1">
        <v>46129</v>
      </c>
      <c r="D6864">
        <v>2378058636</v>
      </c>
      <c r="E6864" t="str">
        <f>T("[e북]촉수 식물 판매합니다")</f>
        <v>[e북]촉수 식물 판매합니다</v>
      </c>
      <c r="F6864">
        <v>0</v>
      </c>
      <c r="G6864" t="str">
        <f>T("종업원")</f>
        <v>종업원</v>
      </c>
      <c r="J6864" t="str">
        <f>T("누디나잇")</f>
        <v>누디나잇</v>
      </c>
      <c r="K6864" t="str">
        <f>T("[e북]촉수 식물 판매합니다")</f>
        <v>[e북]촉수 식물 판매합니다</v>
      </c>
      <c r="L6864">
        <v>1000</v>
      </c>
      <c r="M6864">
        <v>1000</v>
      </c>
      <c r="N6864">
        <v>1</v>
      </c>
      <c r="O6864">
        <v>0</v>
      </c>
      <c r="P6864">
        <v>0</v>
      </c>
      <c r="Q6864">
        <v>0</v>
      </c>
      <c r="R6864">
        <v>0</v>
      </c>
      <c r="S6864">
        <v>0</v>
      </c>
      <c r="T6864">
        <v>0</v>
      </c>
      <c r="U6864">
        <v>0</v>
      </c>
      <c r="V6864">
        <v>0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0</v>
      </c>
      <c r="AC6864">
        <v>0</v>
      </c>
      <c r="AD6864">
        <v>0</v>
      </c>
      <c r="AE6864">
        <v>0</v>
      </c>
      <c r="AF6864">
        <v>0</v>
      </c>
      <c r="AG6864">
        <v>0</v>
      </c>
      <c r="AH6864">
        <v>0</v>
      </c>
      <c r="AI6864">
        <v>1000</v>
      </c>
      <c r="AJ6864">
        <v>1</v>
      </c>
      <c r="AK6864">
        <v>0</v>
      </c>
      <c r="AL6864">
        <v>0</v>
      </c>
      <c r="AM6864">
        <v>1000</v>
      </c>
      <c r="AN6864">
        <v>0</v>
      </c>
      <c r="AO6864">
        <v>0</v>
      </c>
      <c r="AP6864">
        <v>0</v>
      </c>
      <c r="AQ6864">
        <v>0</v>
      </c>
      <c r="AS6864">
        <v>0</v>
      </c>
      <c r="AT6864">
        <v>0</v>
      </c>
      <c r="AV6864">
        <v>0</v>
      </c>
      <c r="AW6864">
        <v>0</v>
      </c>
      <c r="AY6864">
        <v>0</v>
      </c>
      <c r="AZ6864">
        <v>0</v>
      </c>
      <c r="BA6864">
        <v>700</v>
      </c>
      <c r="BE6864" t="str">
        <f>T("9791171070541")</f>
        <v>9791171070541</v>
      </c>
      <c r="BF6864" t="str">
        <f>T("k187323")</f>
        <v>k187323</v>
      </c>
      <c r="BG6864" t="str">
        <f>T("로맨스 e북 &gt; 섹슈얼 로맨스")</f>
        <v>로맨스 e북 &gt; 섹슈얼 로맨스</v>
      </c>
    </row>
    <row r="6865" spans="1:60">
      <c r="A6865" t="s">
        <v>60</v>
      </c>
      <c r="B6865" s="1">
        <v>46129</v>
      </c>
      <c r="D6865">
        <v>2378059189</v>
      </c>
      <c r="E6865" t="str">
        <f>T("[e북]형수님의 음란한 구멍")</f>
        <v>[e북]형수님의 음란한 구멍</v>
      </c>
      <c r="F6865">
        <v>0</v>
      </c>
      <c r="G6865" t="str">
        <f>T("여우랑")</f>
        <v>여우랑</v>
      </c>
      <c r="J6865" t="str">
        <f>T("누디나잇")</f>
        <v>누디나잇</v>
      </c>
      <c r="K6865" t="str">
        <f>T("[e북]형수님의 음란한 구멍")</f>
        <v>[e북]형수님의 음란한 구멍</v>
      </c>
      <c r="L6865">
        <v>1000</v>
      </c>
      <c r="M6865">
        <v>1000</v>
      </c>
      <c r="N6865">
        <v>1</v>
      </c>
      <c r="O6865">
        <v>0</v>
      </c>
      <c r="P6865">
        <v>0</v>
      </c>
      <c r="Q6865">
        <v>0</v>
      </c>
      <c r="R6865">
        <v>0</v>
      </c>
      <c r="S6865">
        <v>0</v>
      </c>
      <c r="T6865">
        <v>0</v>
      </c>
      <c r="U6865">
        <v>0</v>
      </c>
      <c r="V6865">
        <v>0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0</v>
      </c>
      <c r="AC6865">
        <v>0</v>
      </c>
      <c r="AD6865">
        <v>0</v>
      </c>
      <c r="AE6865">
        <v>0</v>
      </c>
      <c r="AF6865">
        <v>0</v>
      </c>
      <c r="AG6865">
        <v>0</v>
      </c>
      <c r="AH6865">
        <v>0</v>
      </c>
      <c r="AI6865">
        <v>1000</v>
      </c>
      <c r="AJ6865">
        <v>1</v>
      </c>
      <c r="AK6865">
        <v>0</v>
      </c>
      <c r="AL6865">
        <v>0</v>
      </c>
      <c r="AM6865">
        <v>1000</v>
      </c>
      <c r="AN6865">
        <v>0</v>
      </c>
      <c r="AO6865">
        <v>0</v>
      </c>
      <c r="AP6865">
        <v>0</v>
      </c>
      <c r="AQ6865">
        <v>0</v>
      </c>
      <c r="AS6865">
        <v>0</v>
      </c>
      <c r="AT6865">
        <v>0</v>
      </c>
      <c r="AV6865">
        <v>0</v>
      </c>
      <c r="AW6865">
        <v>0</v>
      </c>
      <c r="AY6865">
        <v>0</v>
      </c>
      <c r="AZ6865">
        <v>0</v>
      </c>
      <c r="BA6865">
        <v>700</v>
      </c>
      <c r="BE6865" t="str">
        <f>T("9791171070886")</f>
        <v>9791171070886</v>
      </c>
      <c r="BF6865" t="str">
        <f>T("k200268")</f>
        <v>k200268</v>
      </c>
      <c r="BG6865" t="str">
        <f>T("로맨스 e북 &gt; 섹슈얼 로맨스")</f>
        <v>로맨스 e북 &gt; 섹슈얼 로맨스</v>
      </c>
    </row>
    <row r="6866" spans="1:60">
      <c r="A6866" t="s">
        <v>60</v>
      </c>
      <c r="B6866" s="1">
        <v>46129</v>
      </c>
      <c r="D6866">
        <v>2378066763</v>
      </c>
      <c r="E6866" t="str">
        <f>T("[e북]낙하")</f>
        <v>[e북]낙하</v>
      </c>
      <c r="F6866">
        <v>0</v>
      </c>
      <c r="G6866" t="str">
        <f>T("허도윤")</f>
        <v>허도윤</v>
      </c>
      <c r="J6866" t="str">
        <f>T("하트퀸")</f>
        <v>하트퀸</v>
      </c>
      <c r="K6866" t="str">
        <f>T("[e북]낙하")</f>
        <v>[e북]낙하</v>
      </c>
      <c r="L6866">
        <v>3300</v>
      </c>
      <c r="M6866">
        <v>3300</v>
      </c>
      <c r="N6866">
        <v>1</v>
      </c>
      <c r="O6866">
        <v>0</v>
      </c>
      <c r="P6866">
        <v>0</v>
      </c>
      <c r="Q6866">
        <v>0</v>
      </c>
      <c r="R6866">
        <v>0</v>
      </c>
      <c r="S6866">
        <v>0</v>
      </c>
      <c r="T6866">
        <v>0</v>
      </c>
      <c r="U6866">
        <v>0</v>
      </c>
      <c r="V6866">
        <v>0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0</v>
      </c>
      <c r="AC6866">
        <v>0</v>
      </c>
      <c r="AD6866">
        <v>0</v>
      </c>
      <c r="AE6866">
        <v>0</v>
      </c>
      <c r="AF6866">
        <v>0</v>
      </c>
      <c r="AG6866">
        <v>0</v>
      </c>
      <c r="AH6866">
        <v>0</v>
      </c>
      <c r="AI6866">
        <v>3300</v>
      </c>
      <c r="AJ6866">
        <v>1</v>
      </c>
      <c r="AK6866">
        <v>0</v>
      </c>
      <c r="AL6866">
        <v>0</v>
      </c>
      <c r="AM6866">
        <v>3300</v>
      </c>
      <c r="AN6866">
        <v>0</v>
      </c>
      <c r="AO6866">
        <v>0</v>
      </c>
      <c r="AP6866">
        <v>0</v>
      </c>
      <c r="AQ6866">
        <v>0</v>
      </c>
      <c r="AS6866">
        <v>0</v>
      </c>
      <c r="AT6866">
        <v>0</v>
      </c>
      <c r="AV6866">
        <v>0</v>
      </c>
      <c r="AW6866">
        <v>0</v>
      </c>
      <c r="AY6866">
        <v>0</v>
      </c>
      <c r="AZ6866">
        <v>0</v>
      </c>
      <c r="BA6866">
        <v>2310</v>
      </c>
      <c r="BE6866" t="str">
        <f>T("9791171501021")</f>
        <v>9791171501021</v>
      </c>
      <c r="BF6866" t="str">
        <f>T("k314578")</f>
        <v>k314578</v>
      </c>
      <c r="BG6866" t="str">
        <f>T("로맨스 e북 &gt; 현대물")</f>
        <v>로맨스 e북 &gt; 현대물</v>
      </c>
    </row>
    <row r="6867" spans="1:60">
      <c r="A6867" t="s">
        <v>60</v>
      </c>
      <c r="B6867" s="1">
        <v>46129</v>
      </c>
      <c r="D6867">
        <v>2378079040</v>
      </c>
      <c r="E6867" t="str">
        <f>T("[e북]꼭 돌려주는 마님")</f>
        <v>[e북]꼭 돌려주는 마님</v>
      </c>
      <c r="F6867">
        <v>0</v>
      </c>
      <c r="G6867" t="str">
        <f>T("김유란")</f>
        <v>김유란</v>
      </c>
      <c r="J6867" t="str">
        <f>T("슈미즈")</f>
        <v>슈미즈</v>
      </c>
      <c r="K6867" t="str">
        <f>T("[e북]꼭 돌려주는 마님")</f>
        <v>[e북]꼭 돌려주는 마님</v>
      </c>
      <c r="L6867">
        <v>1000</v>
      </c>
      <c r="M6867">
        <v>1000</v>
      </c>
      <c r="N6867">
        <v>1</v>
      </c>
      <c r="O6867">
        <v>0</v>
      </c>
      <c r="P6867">
        <v>0</v>
      </c>
      <c r="Q6867">
        <v>0</v>
      </c>
      <c r="R6867">
        <v>0</v>
      </c>
      <c r="S6867">
        <v>0</v>
      </c>
      <c r="T6867">
        <v>0</v>
      </c>
      <c r="U6867">
        <v>0</v>
      </c>
      <c r="V6867">
        <v>0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0</v>
      </c>
      <c r="AC6867">
        <v>0</v>
      </c>
      <c r="AD6867">
        <v>0</v>
      </c>
      <c r="AE6867">
        <v>0</v>
      </c>
      <c r="AF6867">
        <v>0</v>
      </c>
      <c r="AG6867">
        <v>0</v>
      </c>
      <c r="AH6867">
        <v>0</v>
      </c>
      <c r="AI6867">
        <v>1000</v>
      </c>
      <c r="AJ6867">
        <v>1</v>
      </c>
      <c r="AK6867">
        <v>0</v>
      </c>
      <c r="AL6867">
        <v>0</v>
      </c>
      <c r="AM6867">
        <v>1000</v>
      </c>
      <c r="AN6867">
        <v>0</v>
      </c>
      <c r="AO6867">
        <v>0</v>
      </c>
      <c r="AP6867">
        <v>0</v>
      </c>
      <c r="AQ6867">
        <v>0</v>
      </c>
      <c r="AS6867">
        <v>0</v>
      </c>
      <c r="AT6867">
        <v>0</v>
      </c>
      <c r="AV6867">
        <v>0</v>
      </c>
      <c r="AW6867">
        <v>0</v>
      </c>
      <c r="AY6867">
        <v>0</v>
      </c>
      <c r="AZ6867">
        <v>0</v>
      </c>
      <c r="BA6867">
        <v>700</v>
      </c>
      <c r="BE6867" t="str">
        <f>T("9791189350956")</f>
        <v>9791189350956</v>
      </c>
      <c r="BF6867" t="str">
        <f>T("D175060")</f>
        <v>D175060</v>
      </c>
      <c r="BG6867" t="str">
        <f>T("로맨스 e북 &gt; 역사/시대물")</f>
        <v>로맨스 e북 &gt; 역사/시대물</v>
      </c>
    </row>
    <row r="6868" spans="1:60">
      <c r="A6868" t="s">
        <v>60</v>
      </c>
      <c r="B6868" s="1">
        <v>46129</v>
      </c>
      <c r="D6868">
        <v>2378080111</v>
      </c>
      <c r="E6868" t="str">
        <f>T("[e북]모독과 오독")</f>
        <v>[e북]모독과 오독</v>
      </c>
      <c r="F6868">
        <v>0</v>
      </c>
      <c r="G6868" t="str">
        <f>T("허도윤")</f>
        <v>허도윤</v>
      </c>
      <c r="J6868" t="str">
        <f>T("하트퀸")</f>
        <v>하트퀸</v>
      </c>
      <c r="K6868" t="str">
        <f>T("[e북]모독과 오독")</f>
        <v>[e북]모독과 오독</v>
      </c>
      <c r="L6868">
        <v>3500</v>
      </c>
      <c r="M6868">
        <v>6300</v>
      </c>
      <c r="N6868">
        <v>2</v>
      </c>
      <c r="O6868">
        <v>0</v>
      </c>
      <c r="P6868">
        <v>0</v>
      </c>
      <c r="Q6868">
        <v>0</v>
      </c>
      <c r="R6868">
        <v>0</v>
      </c>
      <c r="S6868">
        <v>0</v>
      </c>
      <c r="T6868">
        <v>0</v>
      </c>
      <c r="U6868">
        <v>0</v>
      </c>
      <c r="V6868">
        <v>0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0</v>
      </c>
      <c r="AC6868">
        <v>0</v>
      </c>
      <c r="AD6868">
        <v>0</v>
      </c>
      <c r="AE6868">
        <v>0</v>
      </c>
      <c r="AF6868">
        <v>0</v>
      </c>
      <c r="AG6868">
        <v>0</v>
      </c>
      <c r="AH6868">
        <v>0</v>
      </c>
      <c r="AI6868">
        <v>6300</v>
      </c>
      <c r="AJ6868">
        <v>2</v>
      </c>
      <c r="AK6868">
        <v>0</v>
      </c>
      <c r="AL6868">
        <v>0</v>
      </c>
      <c r="AM6868">
        <v>6300</v>
      </c>
      <c r="AN6868">
        <v>0</v>
      </c>
      <c r="AO6868">
        <v>0</v>
      </c>
      <c r="AP6868">
        <v>0</v>
      </c>
      <c r="AQ6868">
        <v>0</v>
      </c>
      <c r="AS6868">
        <v>0</v>
      </c>
      <c r="AT6868">
        <v>0</v>
      </c>
      <c r="AV6868">
        <v>0</v>
      </c>
      <c r="AW6868">
        <v>0</v>
      </c>
      <c r="AY6868">
        <v>0</v>
      </c>
      <c r="AZ6868">
        <v>0</v>
      </c>
      <c r="BA6868">
        <v>3780</v>
      </c>
      <c r="BF6868" t="str">
        <f>T("D198898")</f>
        <v>D198898</v>
      </c>
      <c r="BG6868" t="str">
        <f>T("로맨스 e북 &gt; 현대물")</f>
        <v>로맨스 e북 &gt; 현대물</v>
      </c>
    </row>
    <row r="6869" spans="1:60">
      <c r="A6869" t="s">
        <v>60</v>
      </c>
      <c r="B6869" s="1">
        <v>46130</v>
      </c>
      <c r="D6869">
        <v>2378058570</v>
      </c>
      <c r="E6869" t="str">
        <f>T("[e북]음란한 공용 여직원")</f>
        <v>[e북]음란한 공용 여직원</v>
      </c>
      <c r="F6869">
        <v>0</v>
      </c>
      <c r="G6869" t="str">
        <f>T("게벤테")</f>
        <v>게벤테</v>
      </c>
      <c r="J6869" t="str">
        <f>T("누디나잇")</f>
        <v>누디나잇</v>
      </c>
      <c r="K6869" t="str">
        <f>T("[e북]음란한 공용 여직원")</f>
        <v>[e북]음란한 공용 여직원</v>
      </c>
      <c r="L6869">
        <v>1000</v>
      </c>
      <c r="M6869">
        <v>2000</v>
      </c>
      <c r="N6869">
        <v>2</v>
      </c>
      <c r="O6869">
        <v>0</v>
      </c>
      <c r="P6869">
        <v>0</v>
      </c>
      <c r="Q6869">
        <v>0</v>
      </c>
      <c r="R6869">
        <v>0</v>
      </c>
      <c r="S6869">
        <v>0</v>
      </c>
      <c r="T6869">
        <v>0</v>
      </c>
      <c r="U6869">
        <v>0</v>
      </c>
      <c r="V6869">
        <v>0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0</v>
      </c>
      <c r="AC6869">
        <v>0</v>
      </c>
      <c r="AD6869">
        <v>0</v>
      </c>
      <c r="AE6869">
        <v>0</v>
      </c>
      <c r="AF6869">
        <v>0</v>
      </c>
      <c r="AG6869">
        <v>0</v>
      </c>
      <c r="AH6869">
        <v>0</v>
      </c>
      <c r="AI6869">
        <v>2000</v>
      </c>
      <c r="AJ6869">
        <v>2</v>
      </c>
      <c r="AK6869">
        <v>0</v>
      </c>
      <c r="AL6869">
        <v>0</v>
      </c>
      <c r="AM6869">
        <v>0</v>
      </c>
      <c r="AN6869">
        <v>0</v>
      </c>
      <c r="AO6869">
        <v>2400</v>
      </c>
      <c r="AP6869">
        <v>-240</v>
      </c>
      <c r="AQ6869">
        <v>0</v>
      </c>
      <c r="AS6869">
        <v>0</v>
      </c>
      <c r="AT6869">
        <v>0</v>
      </c>
      <c r="AU6869">
        <v>1200</v>
      </c>
      <c r="AV6869">
        <v>-120</v>
      </c>
      <c r="AW6869">
        <v>0</v>
      </c>
      <c r="AX6869">
        <v>1200</v>
      </c>
      <c r="AY6869">
        <v>-120</v>
      </c>
      <c r="AZ6869">
        <v>0</v>
      </c>
      <c r="BA6869">
        <v>1512</v>
      </c>
      <c r="BE6869" t="str">
        <f>T("9791171070145")</f>
        <v>9791171070145</v>
      </c>
      <c r="BF6869" t="str">
        <f>T("k147402")</f>
        <v>k147402</v>
      </c>
      <c r="BG6869" t="str">
        <f>T("로맨스 e북 &gt; 섹슈얼 로맨스")</f>
        <v>로맨스 e북 &gt; 섹슈얼 로맨스</v>
      </c>
    </row>
    <row r="6870" spans="1:60">
      <c r="A6870" t="s">
        <v>60</v>
      </c>
      <c r="B6870" s="1">
        <v>46130</v>
      </c>
      <c r="D6870">
        <v>2378008273</v>
      </c>
      <c r="E6870" t="str">
        <f>T("[e북]몸 서리")</f>
        <v>[e북]몸 서리</v>
      </c>
      <c r="F6870">
        <v>0</v>
      </c>
      <c r="G6870" t="str">
        <f>T("마뇽")</f>
        <v>마뇽</v>
      </c>
      <c r="J6870" t="str">
        <f>T("시계토끼")</f>
        <v>시계토끼</v>
      </c>
      <c r="K6870" t="str">
        <f>T("[e북]몸 서리")</f>
        <v>[e북]몸 서리</v>
      </c>
      <c r="L6870">
        <v>2400</v>
      </c>
      <c r="M6870">
        <v>2400</v>
      </c>
      <c r="N6870">
        <v>1</v>
      </c>
      <c r="O6870">
        <v>0</v>
      </c>
      <c r="P6870">
        <v>0</v>
      </c>
      <c r="Q6870">
        <v>0</v>
      </c>
      <c r="R6870">
        <v>0</v>
      </c>
      <c r="S6870">
        <v>0</v>
      </c>
      <c r="T6870">
        <v>0</v>
      </c>
      <c r="U6870">
        <v>0</v>
      </c>
      <c r="V6870">
        <v>0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0</v>
      </c>
      <c r="AC6870">
        <v>0</v>
      </c>
      <c r="AD6870">
        <v>0</v>
      </c>
      <c r="AE6870">
        <v>0</v>
      </c>
      <c r="AF6870">
        <v>0</v>
      </c>
      <c r="AG6870">
        <v>0</v>
      </c>
      <c r="AH6870">
        <v>0</v>
      </c>
      <c r="AI6870">
        <v>2400</v>
      </c>
      <c r="AJ6870">
        <v>1</v>
      </c>
      <c r="AK6870">
        <v>0</v>
      </c>
      <c r="AL6870">
        <v>0</v>
      </c>
      <c r="AM6870">
        <v>240</v>
      </c>
      <c r="AN6870">
        <v>0</v>
      </c>
      <c r="AO6870">
        <v>2592</v>
      </c>
      <c r="AP6870">
        <v>-259.2</v>
      </c>
      <c r="AQ6870">
        <v>0</v>
      </c>
      <c r="AS6870">
        <v>0</v>
      </c>
      <c r="AT6870">
        <v>0</v>
      </c>
      <c r="AU6870">
        <v>2592</v>
      </c>
      <c r="AV6870">
        <v>-259.2</v>
      </c>
      <c r="AW6870">
        <v>0</v>
      </c>
      <c r="AY6870">
        <v>0</v>
      </c>
      <c r="AZ6870">
        <v>0</v>
      </c>
      <c r="BA6870">
        <v>1800.96</v>
      </c>
      <c r="BC6870" t="str">
        <f>T("0000000000000")</f>
        <v>0000000000000</v>
      </c>
      <c r="BE6870" t="str">
        <f>T("9791164090822")</f>
        <v>9791164090822</v>
      </c>
      <c r="BF6870" t="str">
        <f>T("E425294")</f>
        <v>E425294</v>
      </c>
      <c r="BG6870" t="str">
        <f>T("로맨스 e북 &gt; 역사/시대물")</f>
        <v>로맨스 e북 &gt; 역사/시대물</v>
      </c>
      <c r="BH6870" t="str">
        <f>T("로맨스 e북 &gt; 19+")</f>
        <v>로맨스 e북 &gt; 19+</v>
      </c>
    </row>
    <row r="6871" spans="1:60">
      <c r="A6871" t="s">
        <v>60</v>
      </c>
      <c r="B6871" s="1">
        <v>46130</v>
      </c>
      <c r="D6871">
        <v>2378027516</v>
      </c>
      <c r="E6871" t="str">
        <f>T("[e북]동정 변태 공작과 결혼했습니다")</f>
        <v>[e북]동정 변태 공작과 결혼했습니다</v>
      </c>
      <c r="F6871">
        <v>0</v>
      </c>
      <c r="G6871" t="str">
        <f>T("유채")</f>
        <v>유채</v>
      </c>
      <c r="J6871" t="str">
        <f>T("시계토끼")</f>
        <v>시계토끼</v>
      </c>
      <c r="K6871" t="str">
        <f>T("[e북]동정 변태 공작과 결혼했습니다")</f>
        <v>[e북]동정 변태 공작과 결혼했습니다</v>
      </c>
      <c r="L6871">
        <v>3400</v>
      </c>
      <c r="M6871">
        <v>23800</v>
      </c>
      <c r="N6871">
        <v>7</v>
      </c>
      <c r="O6871">
        <v>0</v>
      </c>
      <c r="P6871">
        <v>0</v>
      </c>
      <c r="Q6871">
        <v>0</v>
      </c>
      <c r="R6871">
        <v>0</v>
      </c>
      <c r="S6871">
        <v>0</v>
      </c>
      <c r="T6871">
        <v>0</v>
      </c>
      <c r="U6871">
        <v>0</v>
      </c>
      <c r="V6871">
        <v>0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0</v>
      </c>
      <c r="AC6871">
        <v>0</v>
      </c>
      <c r="AD6871">
        <v>0</v>
      </c>
      <c r="AE6871">
        <v>0</v>
      </c>
      <c r="AF6871">
        <v>0</v>
      </c>
      <c r="AG6871">
        <v>0</v>
      </c>
      <c r="AH6871">
        <v>0</v>
      </c>
      <c r="AI6871">
        <v>23800</v>
      </c>
      <c r="AJ6871">
        <v>7</v>
      </c>
      <c r="AK6871">
        <v>0</v>
      </c>
      <c r="AL6871">
        <v>0</v>
      </c>
      <c r="AM6871">
        <v>17540</v>
      </c>
      <c r="AN6871">
        <v>0</v>
      </c>
      <c r="AO6871">
        <v>7512</v>
      </c>
      <c r="AP6871">
        <v>-1437.6</v>
      </c>
      <c r="AQ6871">
        <v>0</v>
      </c>
      <c r="AR6871">
        <v>3432</v>
      </c>
      <c r="AS6871">
        <v>-1029.5999999999999</v>
      </c>
      <c r="AT6871">
        <v>0</v>
      </c>
      <c r="AV6871">
        <v>0</v>
      </c>
      <c r="AW6871">
        <v>0</v>
      </c>
      <c r="AX6871">
        <v>4080</v>
      </c>
      <c r="AY6871">
        <v>-408</v>
      </c>
      <c r="AZ6871">
        <v>0</v>
      </c>
      <c r="BA6871">
        <v>16530.080000000002</v>
      </c>
      <c r="BE6871" t="str">
        <f>T("9791164095629")</f>
        <v>9791164095629</v>
      </c>
      <c r="BG6871" t="str">
        <f>T("로판 e북 &gt; 서양풍 로판")</f>
        <v>로판 e북 &gt; 서양풍 로판</v>
      </c>
    </row>
    <row r="6872" spans="1:60">
      <c r="A6872" t="s">
        <v>60</v>
      </c>
      <c r="B6872" s="1">
        <v>46130</v>
      </c>
      <c r="D6872">
        <v>2378024747</v>
      </c>
      <c r="E6872" t="str">
        <f>T("[e북]뒤엉키는 남매")</f>
        <v>[e북]뒤엉키는 남매</v>
      </c>
      <c r="F6872">
        <v>0</v>
      </c>
      <c r="G6872" t="str">
        <f>T("에이바")</f>
        <v>에이바</v>
      </c>
      <c r="J6872" t="str">
        <f>T("시계토끼")</f>
        <v>시계토끼</v>
      </c>
      <c r="K6872" t="str">
        <f>T("[e북]뒤엉키는 남매")</f>
        <v>[e북]뒤엉키는 남매</v>
      </c>
      <c r="L6872">
        <v>3000</v>
      </c>
      <c r="M6872">
        <v>3000</v>
      </c>
      <c r="N6872">
        <v>1</v>
      </c>
      <c r="O6872">
        <v>0</v>
      </c>
      <c r="P6872">
        <v>0</v>
      </c>
      <c r="Q6872">
        <v>0</v>
      </c>
      <c r="R6872">
        <v>0</v>
      </c>
      <c r="S6872">
        <v>0</v>
      </c>
      <c r="T6872">
        <v>0</v>
      </c>
      <c r="U6872">
        <v>0</v>
      </c>
      <c r="V6872">
        <v>0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0</v>
      </c>
      <c r="AC6872">
        <v>0</v>
      </c>
      <c r="AD6872">
        <v>0</v>
      </c>
      <c r="AE6872">
        <v>0</v>
      </c>
      <c r="AF6872">
        <v>0</v>
      </c>
      <c r="AG6872">
        <v>0</v>
      </c>
      <c r="AH6872">
        <v>0</v>
      </c>
      <c r="AI6872">
        <v>3000</v>
      </c>
      <c r="AJ6872">
        <v>1</v>
      </c>
      <c r="AK6872">
        <v>0</v>
      </c>
      <c r="AL6872">
        <v>0</v>
      </c>
      <c r="AM6872">
        <v>3000</v>
      </c>
      <c r="AN6872">
        <v>0</v>
      </c>
      <c r="AO6872">
        <v>0</v>
      </c>
      <c r="AP6872">
        <v>0</v>
      </c>
      <c r="AQ6872">
        <v>0</v>
      </c>
      <c r="AS6872">
        <v>0</v>
      </c>
      <c r="AT6872">
        <v>0</v>
      </c>
      <c r="AV6872">
        <v>0</v>
      </c>
      <c r="AW6872">
        <v>0</v>
      </c>
      <c r="AY6872">
        <v>0</v>
      </c>
      <c r="AZ6872">
        <v>0</v>
      </c>
      <c r="BA6872">
        <v>2100</v>
      </c>
      <c r="BE6872" t="str">
        <f>T("9791164094660")</f>
        <v>9791164094660</v>
      </c>
      <c r="BF6872" t="str">
        <f>T("E785688")</f>
        <v>E785688</v>
      </c>
      <c r="BG6872" t="str">
        <f>T("로맨스 e북 &gt; 섹슈얼 로맨스")</f>
        <v>로맨스 e북 &gt; 섹슈얼 로맨스</v>
      </c>
    </row>
    <row r="6873" spans="1:60">
      <c r="A6873" t="s">
        <v>60</v>
      </c>
      <c r="B6873" s="1">
        <v>46130</v>
      </c>
      <c r="D6873">
        <v>2378059830</v>
      </c>
      <c r="E6873" t="str">
        <f>T("[e북]오만한 왕녀와 숲의 괴물들")</f>
        <v>[e북]오만한 왕녀와 숲의 괴물들</v>
      </c>
      <c r="F6873">
        <v>0</v>
      </c>
      <c r="G6873" t="str">
        <f>T("필밤")</f>
        <v>필밤</v>
      </c>
      <c r="J6873" t="str">
        <f>T("시계토끼")</f>
        <v>시계토끼</v>
      </c>
      <c r="K6873" t="str">
        <f>T("[e북]오만한 왕녀와 숲의 괴물들")</f>
        <v>[e북]오만한 왕녀와 숲의 괴물들</v>
      </c>
      <c r="L6873">
        <v>3200</v>
      </c>
      <c r="M6873">
        <v>3200</v>
      </c>
      <c r="N6873">
        <v>1</v>
      </c>
      <c r="O6873">
        <v>0</v>
      </c>
      <c r="P6873">
        <v>0</v>
      </c>
      <c r="Q6873">
        <v>0</v>
      </c>
      <c r="R6873">
        <v>0</v>
      </c>
      <c r="S6873">
        <v>0</v>
      </c>
      <c r="T6873">
        <v>0</v>
      </c>
      <c r="U6873">
        <v>0</v>
      </c>
      <c r="V6873">
        <v>0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0</v>
      </c>
      <c r="AC6873">
        <v>0</v>
      </c>
      <c r="AD6873">
        <v>0</v>
      </c>
      <c r="AE6873">
        <v>0</v>
      </c>
      <c r="AF6873">
        <v>0</v>
      </c>
      <c r="AG6873">
        <v>0</v>
      </c>
      <c r="AH6873">
        <v>0</v>
      </c>
      <c r="AI6873">
        <v>3200</v>
      </c>
      <c r="AJ6873">
        <v>1</v>
      </c>
      <c r="AK6873">
        <v>0</v>
      </c>
      <c r="AL6873">
        <v>0</v>
      </c>
      <c r="AM6873">
        <v>3200</v>
      </c>
      <c r="AN6873">
        <v>0</v>
      </c>
      <c r="AO6873">
        <v>0</v>
      </c>
      <c r="AP6873">
        <v>0</v>
      </c>
      <c r="AQ6873">
        <v>0</v>
      </c>
      <c r="AS6873">
        <v>0</v>
      </c>
      <c r="AT6873">
        <v>0</v>
      </c>
      <c r="AV6873">
        <v>0</v>
      </c>
      <c r="AW6873">
        <v>0</v>
      </c>
      <c r="AY6873">
        <v>0</v>
      </c>
      <c r="AZ6873">
        <v>0</v>
      </c>
      <c r="BA6873">
        <v>2240</v>
      </c>
      <c r="BE6873" t="str">
        <f>T("9791164099856")</f>
        <v>9791164099856</v>
      </c>
      <c r="BF6873" t="str">
        <f>T("k203938")</f>
        <v>k203938</v>
      </c>
      <c r="BG6873" t="str">
        <f>T("로판 e북 &gt; 서양풍 로판")</f>
        <v>로판 e북 &gt; 서양풍 로판</v>
      </c>
    </row>
    <row r="6874" spans="1:60">
      <c r="A6874" t="s">
        <v>60</v>
      </c>
      <c r="B6874" s="1">
        <v>46130</v>
      </c>
      <c r="D6874">
        <v>2378033203</v>
      </c>
      <c r="E6874" t="str">
        <f>T("나쁜 아이들")</f>
        <v>나쁜 아이들</v>
      </c>
      <c r="F6874">
        <v>0</v>
      </c>
      <c r="G6874" t="str">
        <f>T("쯔진천")</f>
        <v>쯔진천</v>
      </c>
      <c r="H6874" t="str">
        <f>T("서성애, 박선희")</f>
        <v>서성애, 박선희</v>
      </c>
      <c r="J6874" t="str">
        <f>T("리플레이")</f>
        <v>리플레이</v>
      </c>
      <c r="K6874" t="str">
        <f>T("나쁜 아이들")</f>
        <v>나쁜 아이들</v>
      </c>
      <c r="L6874">
        <v>11000</v>
      </c>
      <c r="M6874">
        <v>11000</v>
      </c>
      <c r="N6874">
        <v>1</v>
      </c>
      <c r="O6874">
        <v>0</v>
      </c>
      <c r="P6874">
        <v>0</v>
      </c>
      <c r="Q6874">
        <v>0</v>
      </c>
      <c r="R6874">
        <v>0</v>
      </c>
      <c r="S6874">
        <v>0</v>
      </c>
      <c r="T6874">
        <v>0</v>
      </c>
      <c r="U6874">
        <v>0</v>
      </c>
      <c r="V6874">
        <v>0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0</v>
      </c>
      <c r="AC6874">
        <v>0</v>
      </c>
      <c r="AD6874">
        <v>0</v>
      </c>
      <c r="AE6874">
        <v>0</v>
      </c>
      <c r="AF6874">
        <v>0</v>
      </c>
      <c r="AG6874">
        <v>0</v>
      </c>
      <c r="AH6874">
        <v>0</v>
      </c>
      <c r="AI6874">
        <v>11000</v>
      </c>
      <c r="AJ6874">
        <v>1</v>
      </c>
      <c r="AK6874">
        <v>0</v>
      </c>
      <c r="AL6874">
        <v>0</v>
      </c>
      <c r="AM6874">
        <v>11000</v>
      </c>
      <c r="AN6874">
        <v>0</v>
      </c>
      <c r="AO6874">
        <v>0</v>
      </c>
      <c r="AP6874">
        <v>0</v>
      </c>
      <c r="AQ6874">
        <v>0</v>
      </c>
      <c r="AS6874">
        <v>0</v>
      </c>
      <c r="AT6874">
        <v>0</v>
      </c>
      <c r="AV6874">
        <v>0</v>
      </c>
      <c r="AW6874">
        <v>0</v>
      </c>
      <c r="AY6874">
        <v>0</v>
      </c>
      <c r="AZ6874">
        <v>0</v>
      </c>
      <c r="BA6874">
        <v>7700</v>
      </c>
      <c r="BE6874" t="str">
        <f>T("9791191467000")</f>
        <v>9791191467000</v>
      </c>
      <c r="BF6874" t="str">
        <f>T("N062612")</f>
        <v>N062612</v>
      </c>
      <c r="BG6874" t="str">
        <f>T("소설 &gt; 중국 소설")</f>
        <v>소설 &gt; 중국 소설</v>
      </c>
    </row>
    <row r="6875" spans="1:60">
      <c r="A6875" t="s">
        <v>60</v>
      </c>
      <c r="B6875" s="1">
        <v>46130</v>
      </c>
      <c r="D6875">
        <v>2378009291</v>
      </c>
      <c r="E6875" t="str">
        <f>T("[e북]묘설")</f>
        <v>[e북]묘설</v>
      </c>
      <c r="F6875">
        <v>0</v>
      </c>
      <c r="G6875" t="str">
        <f>T("페일핑크")</f>
        <v>페일핑크</v>
      </c>
      <c r="J6875" t="str">
        <f>T("시계토끼")</f>
        <v>시계토끼</v>
      </c>
      <c r="K6875" t="str">
        <f>T("[e북]묘설")</f>
        <v>[e북]묘설</v>
      </c>
      <c r="L6875">
        <v>1000</v>
      </c>
      <c r="M6875">
        <v>1000</v>
      </c>
      <c r="N6875">
        <v>1</v>
      </c>
      <c r="O6875">
        <v>0</v>
      </c>
      <c r="P6875">
        <v>0</v>
      </c>
      <c r="Q6875">
        <v>0</v>
      </c>
      <c r="R6875">
        <v>0</v>
      </c>
      <c r="S6875">
        <v>0</v>
      </c>
      <c r="T6875">
        <v>0</v>
      </c>
      <c r="U6875">
        <v>0</v>
      </c>
      <c r="V6875">
        <v>0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0</v>
      </c>
      <c r="AC6875">
        <v>0</v>
      </c>
      <c r="AD6875">
        <v>0</v>
      </c>
      <c r="AE6875">
        <v>0</v>
      </c>
      <c r="AF6875">
        <v>0</v>
      </c>
      <c r="AG6875">
        <v>0</v>
      </c>
      <c r="AH6875">
        <v>0</v>
      </c>
      <c r="AI6875">
        <v>1000</v>
      </c>
      <c r="AJ6875">
        <v>1</v>
      </c>
      <c r="AK6875">
        <v>0</v>
      </c>
      <c r="AL6875">
        <v>0</v>
      </c>
      <c r="AM6875">
        <v>1000</v>
      </c>
      <c r="AN6875">
        <v>0</v>
      </c>
      <c r="AO6875">
        <v>0</v>
      </c>
      <c r="AP6875">
        <v>0</v>
      </c>
      <c r="AQ6875">
        <v>0</v>
      </c>
      <c r="AS6875">
        <v>0</v>
      </c>
      <c r="AT6875">
        <v>0</v>
      </c>
      <c r="AV6875">
        <v>0</v>
      </c>
      <c r="AW6875">
        <v>0</v>
      </c>
      <c r="AY6875">
        <v>0</v>
      </c>
      <c r="AZ6875">
        <v>0</v>
      </c>
      <c r="BA6875">
        <v>700</v>
      </c>
      <c r="BC6875" t="str">
        <f>T("0000000000000")</f>
        <v>0000000000000</v>
      </c>
      <c r="BE6875" t="str">
        <f>T("9791164091164")</f>
        <v>9791164091164</v>
      </c>
      <c r="BF6875" t="str">
        <f>T("E446667")</f>
        <v>E446667</v>
      </c>
      <c r="BG6875" t="str">
        <f>T("로맨스 e북 &gt; 역사/시대물")</f>
        <v>로맨스 e북 &gt; 역사/시대물</v>
      </c>
      <c r="BH6875" t="str">
        <f>T("로맨스 e북 &gt; 19+")</f>
        <v>로맨스 e북 &gt; 19+</v>
      </c>
    </row>
    <row r="6876" spans="1:60">
      <c r="A6876" t="s">
        <v>60</v>
      </c>
      <c r="B6876" s="1">
        <v>46130</v>
      </c>
      <c r="D6876">
        <v>2378059193</v>
      </c>
      <c r="E6876" t="str">
        <f>T("[e북]스폰서=친구 아빠")</f>
        <v>[e북]스폰서=친구 아빠</v>
      </c>
      <c r="F6876">
        <v>0</v>
      </c>
      <c r="G6876" t="str">
        <f>T("종업원")</f>
        <v>종업원</v>
      </c>
      <c r="J6876" t="str">
        <f>T("누디나잇")</f>
        <v>누디나잇</v>
      </c>
      <c r="K6876" t="str">
        <f>T("[e북]스폰서=친구 아빠")</f>
        <v>[e북]스폰서=친구 아빠</v>
      </c>
      <c r="L6876">
        <v>1000</v>
      </c>
      <c r="M6876">
        <v>1000</v>
      </c>
      <c r="N6876">
        <v>1</v>
      </c>
      <c r="O6876">
        <v>0</v>
      </c>
      <c r="P6876">
        <v>0</v>
      </c>
      <c r="Q6876">
        <v>0</v>
      </c>
      <c r="R6876">
        <v>0</v>
      </c>
      <c r="S6876">
        <v>0</v>
      </c>
      <c r="T6876">
        <v>0</v>
      </c>
      <c r="U6876">
        <v>0</v>
      </c>
      <c r="V6876">
        <v>0</v>
      </c>
      <c r="W6876">
        <v>0</v>
      </c>
      <c r="X6876">
        <v>0</v>
      </c>
      <c r="Y6876">
        <v>0</v>
      </c>
      <c r="Z6876">
        <v>0</v>
      </c>
      <c r="AA6876">
        <v>0</v>
      </c>
      <c r="AB6876">
        <v>0</v>
      </c>
      <c r="AC6876">
        <v>0</v>
      </c>
      <c r="AD6876">
        <v>0</v>
      </c>
      <c r="AE6876">
        <v>0</v>
      </c>
      <c r="AF6876">
        <v>0</v>
      </c>
      <c r="AG6876">
        <v>0</v>
      </c>
      <c r="AH6876">
        <v>0</v>
      </c>
      <c r="AI6876">
        <v>1000</v>
      </c>
      <c r="AJ6876">
        <v>1</v>
      </c>
      <c r="AK6876">
        <v>0</v>
      </c>
      <c r="AL6876">
        <v>0</v>
      </c>
      <c r="AM6876">
        <v>100</v>
      </c>
      <c r="AN6876">
        <v>0</v>
      </c>
      <c r="AO6876">
        <v>1080</v>
      </c>
      <c r="AP6876">
        <v>-324</v>
      </c>
      <c r="AQ6876">
        <v>0</v>
      </c>
      <c r="AR6876">
        <v>1080</v>
      </c>
      <c r="AS6876">
        <v>-324</v>
      </c>
      <c r="AT6876">
        <v>0</v>
      </c>
      <c r="AV6876">
        <v>0</v>
      </c>
      <c r="AW6876">
        <v>0</v>
      </c>
      <c r="AY6876">
        <v>0</v>
      </c>
      <c r="AZ6876">
        <v>0</v>
      </c>
      <c r="BA6876">
        <v>599.20000000000005</v>
      </c>
      <c r="BE6876" t="str">
        <f>T("9791171070794")</f>
        <v>9791171070794</v>
      </c>
      <c r="BF6876" t="str">
        <f>T("k200272")</f>
        <v>k200272</v>
      </c>
      <c r="BG6876" t="str">
        <f>T("로맨스 e북 &gt; 섹슈얼 로맨스")</f>
        <v>로맨스 e북 &gt; 섹슈얼 로맨스</v>
      </c>
    </row>
    <row r="6877" spans="1:60">
      <c r="A6877" t="s">
        <v>60</v>
      </c>
      <c r="B6877" s="1">
        <v>46130</v>
      </c>
      <c r="D6877">
        <v>2378014061</v>
      </c>
      <c r="E6877" t="str">
        <f>T("[e북]다섯 번째 친구")</f>
        <v>[e북]다섯 번째 친구</v>
      </c>
      <c r="F6877">
        <v>0</v>
      </c>
      <c r="G6877" t="str">
        <f>T("봉빙")</f>
        <v>봉빙</v>
      </c>
      <c r="J6877" t="str">
        <f>T("하트퀸")</f>
        <v>하트퀸</v>
      </c>
      <c r="K6877" t="str">
        <f>T("[e북]다섯 번째 친구")</f>
        <v>[e북]다섯 번째 친구</v>
      </c>
      <c r="L6877">
        <v>4000</v>
      </c>
      <c r="M6877">
        <v>16000</v>
      </c>
      <c r="N6877">
        <v>4</v>
      </c>
      <c r="O6877">
        <v>0</v>
      </c>
      <c r="P6877">
        <v>0</v>
      </c>
      <c r="Q6877">
        <v>0</v>
      </c>
      <c r="R6877">
        <v>0</v>
      </c>
      <c r="S6877">
        <v>0</v>
      </c>
      <c r="T6877">
        <v>0</v>
      </c>
      <c r="U6877">
        <v>0</v>
      </c>
      <c r="V6877">
        <v>0</v>
      </c>
      <c r="W6877">
        <v>0</v>
      </c>
      <c r="X6877">
        <v>0</v>
      </c>
      <c r="Y6877">
        <v>0</v>
      </c>
      <c r="Z6877">
        <v>0</v>
      </c>
      <c r="AA6877">
        <v>0</v>
      </c>
      <c r="AB6877">
        <v>0</v>
      </c>
      <c r="AC6877">
        <v>0</v>
      </c>
      <c r="AD6877">
        <v>0</v>
      </c>
      <c r="AE6877">
        <v>0</v>
      </c>
      <c r="AF6877">
        <v>0</v>
      </c>
      <c r="AG6877">
        <v>0</v>
      </c>
      <c r="AH6877">
        <v>0</v>
      </c>
      <c r="AI6877">
        <v>16000</v>
      </c>
      <c r="AJ6877">
        <v>4</v>
      </c>
      <c r="AK6877">
        <v>0</v>
      </c>
      <c r="AL6877">
        <v>0</v>
      </c>
      <c r="AM6877">
        <v>16000</v>
      </c>
      <c r="AN6877">
        <v>0</v>
      </c>
      <c r="AO6877">
        <v>0</v>
      </c>
      <c r="AP6877">
        <v>0</v>
      </c>
      <c r="AQ6877">
        <v>0</v>
      </c>
      <c r="AS6877">
        <v>0</v>
      </c>
      <c r="AT6877">
        <v>0</v>
      </c>
      <c r="AV6877">
        <v>0</v>
      </c>
      <c r="AW6877">
        <v>0</v>
      </c>
      <c r="AY6877">
        <v>0</v>
      </c>
      <c r="AZ6877">
        <v>0</v>
      </c>
      <c r="BA6877">
        <v>11200</v>
      </c>
      <c r="BC6877" t="str">
        <f>T("0000000000000")</f>
        <v>0000000000000</v>
      </c>
      <c r="BE6877" t="str">
        <f>T("9791164974375")</f>
        <v>9791164974375</v>
      </c>
      <c r="BF6877" t="str">
        <f>T("E720531")</f>
        <v>E720531</v>
      </c>
      <c r="BG6877" t="str">
        <f>T("로맨스 e북 &gt; 현대물")</f>
        <v>로맨스 e북 &gt; 현대물</v>
      </c>
    </row>
    <row r="6878" spans="1:60">
      <c r="A6878" t="s">
        <v>60</v>
      </c>
      <c r="B6878" s="1">
        <v>46130</v>
      </c>
      <c r="D6878">
        <v>2378045915</v>
      </c>
      <c r="E6878" t="str">
        <f>T("[e북]미나는 엔딩을 꿈꾼다")</f>
        <v>[e북]미나는 엔딩을 꿈꾼다</v>
      </c>
      <c r="F6878">
        <v>0</v>
      </c>
      <c r="G6878" t="str">
        <f>T("Magoing")</f>
        <v>Magoing</v>
      </c>
      <c r="J6878" t="str">
        <f>T("하트퀸")</f>
        <v>하트퀸</v>
      </c>
      <c r="K6878" t="str">
        <f>T("[e북]미나는 엔딩을 꿈꾼다")</f>
        <v>[e북]미나는 엔딩을 꿈꾼다</v>
      </c>
      <c r="L6878">
        <v>3000</v>
      </c>
      <c r="M6878">
        <v>3000</v>
      </c>
      <c r="N6878">
        <v>1</v>
      </c>
      <c r="O6878">
        <v>0</v>
      </c>
      <c r="P6878">
        <v>0</v>
      </c>
      <c r="Q6878">
        <v>0</v>
      </c>
      <c r="R6878">
        <v>0</v>
      </c>
      <c r="S6878">
        <v>0</v>
      </c>
      <c r="T6878">
        <v>0</v>
      </c>
      <c r="U6878">
        <v>0</v>
      </c>
      <c r="V6878">
        <v>0</v>
      </c>
      <c r="W6878">
        <v>0</v>
      </c>
      <c r="X6878">
        <v>0</v>
      </c>
      <c r="Y6878">
        <v>0</v>
      </c>
      <c r="Z6878">
        <v>0</v>
      </c>
      <c r="AA6878">
        <v>0</v>
      </c>
      <c r="AB6878">
        <v>0</v>
      </c>
      <c r="AC6878">
        <v>0</v>
      </c>
      <c r="AD6878">
        <v>0</v>
      </c>
      <c r="AE6878">
        <v>0</v>
      </c>
      <c r="AF6878">
        <v>0</v>
      </c>
      <c r="AG6878">
        <v>0</v>
      </c>
      <c r="AH6878">
        <v>0</v>
      </c>
      <c r="AI6878">
        <v>3000</v>
      </c>
      <c r="AJ6878">
        <v>1</v>
      </c>
      <c r="AK6878">
        <v>0</v>
      </c>
      <c r="AL6878">
        <v>0</v>
      </c>
      <c r="AM6878">
        <v>3000</v>
      </c>
      <c r="AN6878">
        <v>0</v>
      </c>
      <c r="AO6878">
        <v>0</v>
      </c>
      <c r="AP6878">
        <v>0</v>
      </c>
      <c r="AQ6878">
        <v>0</v>
      </c>
      <c r="AS6878">
        <v>0</v>
      </c>
      <c r="AT6878">
        <v>0</v>
      </c>
      <c r="AV6878">
        <v>0</v>
      </c>
      <c r="AW6878">
        <v>0</v>
      </c>
      <c r="AY6878">
        <v>0</v>
      </c>
      <c r="AZ6878">
        <v>0</v>
      </c>
      <c r="BA6878">
        <v>2100</v>
      </c>
      <c r="BE6878" t="str">
        <f>T("9791164978281")</f>
        <v>9791164978281</v>
      </c>
      <c r="BF6878" t="str">
        <f>T("k008951")</f>
        <v>k008951</v>
      </c>
      <c r="BG6878" t="str">
        <f>T("로맨스 e북 &gt; 현대물")</f>
        <v>로맨스 e북 &gt; 현대물</v>
      </c>
      <c r="BH6878" t="str">
        <f>T("로맨스 e북 &gt; 19+")</f>
        <v>로맨스 e북 &gt; 19+</v>
      </c>
    </row>
    <row r="6879" spans="1:60">
      <c r="A6879" t="s">
        <v>60</v>
      </c>
      <c r="B6879" s="1">
        <v>46131</v>
      </c>
      <c r="D6879">
        <v>2378027516</v>
      </c>
      <c r="E6879" t="str">
        <f>T("[e북]동정 변태 공작과 결혼했습니다")</f>
        <v>[e북]동정 변태 공작과 결혼했습니다</v>
      </c>
      <c r="F6879">
        <v>0</v>
      </c>
      <c r="G6879" t="str">
        <f>T("유채")</f>
        <v>유채</v>
      </c>
      <c r="J6879" t="str">
        <f>T("시계토끼")</f>
        <v>시계토끼</v>
      </c>
      <c r="K6879" t="str">
        <f>T("[e북]동정 변태 공작과 결혼했습니다")</f>
        <v>[e북]동정 변태 공작과 결혼했습니다</v>
      </c>
      <c r="L6879">
        <v>3400</v>
      </c>
      <c r="M6879">
        <v>37400</v>
      </c>
      <c r="N6879">
        <v>11</v>
      </c>
      <c r="O6879">
        <v>0</v>
      </c>
      <c r="P6879">
        <v>0</v>
      </c>
      <c r="Q6879">
        <v>0</v>
      </c>
      <c r="R6879">
        <v>0</v>
      </c>
      <c r="S6879">
        <v>0</v>
      </c>
      <c r="T6879">
        <v>0</v>
      </c>
      <c r="U6879">
        <v>0</v>
      </c>
      <c r="V6879">
        <v>0</v>
      </c>
      <c r="W6879">
        <v>0</v>
      </c>
      <c r="X6879">
        <v>0</v>
      </c>
      <c r="Y6879">
        <v>0</v>
      </c>
      <c r="Z6879">
        <v>0</v>
      </c>
      <c r="AA6879">
        <v>0</v>
      </c>
      <c r="AB6879">
        <v>0</v>
      </c>
      <c r="AC6879">
        <v>0</v>
      </c>
      <c r="AD6879">
        <v>0</v>
      </c>
      <c r="AE6879">
        <v>0</v>
      </c>
      <c r="AF6879">
        <v>0</v>
      </c>
      <c r="AG6879">
        <v>0</v>
      </c>
      <c r="AH6879">
        <v>0</v>
      </c>
      <c r="AI6879">
        <v>37400</v>
      </c>
      <c r="AJ6879">
        <v>11</v>
      </c>
      <c r="AK6879">
        <v>0</v>
      </c>
      <c r="AL6879">
        <v>0</v>
      </c>
      <c r="AM6879">
        <v>27200</v>
      </c>
      <c r="AN6879">
        <v>0</v>
      </c>
      <c r="AO6879">
        <v>12240</v>
      </c>
      <c r="AP6879">
        <v>-1224</v>
      </c>
      <c r="AQ6879">
        <v>0</v>
      </c>
      <c r="AS6879">
        <v>0</v>
      </c>
      <c r="AT6879">
        <v>0</v>
      </c>
      <c r="AU6879">
        <v>8160</v>
      </c>
      <c r="AV6879">
        <v>-816</v>
      </c>
      <c r="AW6879">
        <v>0</v>
      </c>
      <c r="AX6879">
        <v>4080</v>
      </c>
      <c r="AY6879">
        <v>-408</v>
      </c>
      <c r="AZ6879">
        <v>0</v>
      </c>
      <c r="BA6879">
        <v>26751.200000000001</v>
      </c>
      <c r="BE6879" t="str">
        <f>T("9791164095629")</f>
        <v>9791164095629</v>
      </c>
      <c r="BG6879" t="str">
        <f>T("로판 e북 &gt; 서양풍 로판")</f>
        <v>로판 e북 &gt; 서양풍 로판</v>
      </c>
    </row>
    <row r="6880" spans="1:60">
      <c r="A6880" t="s">
        <v>60</v>
      </c>
      <c r="B6880" s="1">
        <v>46131</v>
      </c>
      <c r="D6880">
        <v>2378059484</v>
      </c>
      <c r="E6880" t="str">
        <f>T("[e북]나의 작은 발레리나")</f>
        <v>[e북]나의 작은 발레리나</v>
      </c>
      <c r="F6880">
        <v>0</v>
      </c>
      <c r="G6880" t="str">
        <f>T("엔횰")</f>
        <v>엔횰</v>
      </c>
      <c r="J6880" t="str">
        <f>T("누디나잇")</f>
        <v>누디나잇</v>
      </c>
      <c r="K6880" t="str">
        <f>T("[e북]나의 작은 발레리나")</f>
        <v>[e북]나의 작은 발레리나</v>
      </c>
      <c r="L6880">
        <v>1300</v>
      </c>
      <c r="M6880">
        <v>2600</v>
      </c>
      <c r="N6880">
        <v>2</v>
      </c>
      <c r="O6880">
        <v>0</v>
      </c>
      <c r="P6880">
        <v>0</v>
      </c>
      <c r="Q6880">
        <v>0</v>
      </c>
      <c r="R6880">
        <v>0</v>
      </c>
      <c r="S6880">
        <v>0</v>
      </c>
      <c r="T6880">
        <v>0</v>
      </c>
      <c r="U6880">
        <v>0</v>
      </c>
      <c r="V6880">
        <v>0</v>
      </c>
      <c r="W6880">
        <v>0</v>
      </c>
      <c r="X6880">
        <v>0</v>
      </c>
      <c r="Y6880">
        <v>0</v>
      </c>
      <c r="Z6880">
        <v>0</v>
      </c>
      <c r="AA6880">
        <v>0</v>
      </c>
      <c r="AB6880">
        <v>0</v>
      </c>
      <c r="AC6880">
        <v>0</v>
      </c>
      <c r="AD6880">
        <v>0</v>
      </c>
      <c r="AE6880">
        <v>0</v>
      </c>
      <c r="AF6880">
        <v>0</v>
      </c>
      <c r="AG6880">
        <v>0</v>
      </c>
      <c r="AH6880">
        <v>0</v>
      </c>
      <c r="AI6880">
        <v>2600</v>
      </c>
      <c r="AJ6880">
        <v>2</v>
      </c>
      <c r="AK6880">
        <v>0</v>
      </c>
      <c r="AL6880">
        <v>0</v>
      </c>
      <c r="AM6880">
        <v>2600</v>
      </c>
      <c r="AN6880">
        <v>0</v>
      </c>
      <c r="AO6880">
        <v>0</v>
      </c>
      <c r="AP6880">
        <v>0</v>
      </c>
      <c r="AQ6880">
        <v>0</v>
      </c>
      <c r="AS6880">
        <v>0</v>
      </c>
      <c r="AT6880">
        <v>0</v>
      </c>
      <c r="AV6880">
        <v>0</v>
      </c>
      <c r="AW6880">
        <v>0</v>
      </c>
      <c r="AY6880">
        <v>0</v>
      </c>
      <c r="AZ6880">
        <v>0</v>
      </c>
      <c r="BA6880">
        <v>1820</v>
      </c>
      <c r="BE6880" t="str">
        <f>T("9791171071029")</f>
        <v>9791171071029</v>
      </c>
      <c r="BF6880" t="str">
        <f>T("k200282")</f>
        <v>k200282</v>
      </c>
      <c r="BG6880" t="str">
        <f>T("로맨스 e북 &gt; 섹슈얼 로맨스")</f>
        <v>로맨스 e북 &gt; 섹슈얼 로맨스</v>
      </c>
    </row>
    <row r="6881" spans="1:60">
      <c r="A6881" t="s">
        <v>60</v>
      </c>
      <c r="B6881" s="1">
        <v>46131</v>
      </c>
      <c r="D6881">
        <v>2378059193</v>
      </c>
      <c r="E6881" t="str">
        <f>T("[e북]스폰서=친구 아빠")</f>
        <v>[e북]스폰서=친구 아빠</v>
      </c>
      <c r="F6881">
        <v>0</v>
      </c>
      <c r="G6881" t="str">
        <f>T("종업원")</f>
        <v>종업원</v>
      </c>
      <c r="J6881" t="str">
        <f>T("누디나잇")</f>
        <v>누디나잇</v>
      </c>
      <c r="K6881" t="str">
        <f>T("[e북]스폰서=친구 아빠")</f>
        <v>[e북]스폰서=친구 아빠</v>
      </c>
      <c r="L6881">
        <v>1000</v>
      </c>
      <c r="M6881">
        <v>1000</v>
      </c>
      <c r="N6881">
        <v>1</v>
      </c>
      <c r="O6881">
        <v>0</v>
      </c>
      <c r="P6881">
        <v>0</v>
      </c>
      <c r="Q6881">
        <v>0</v>
      </c>
      <c r="R6881">
        <v>0</v>
      </c>
      <c r="S6881">
        <v>0</v>
      </c>
      <c r="T6881">
        <v>0</v>
      </c>
      <c r="U6881">
        <v>0</v>
      </c>
      <c r="V6881">
        <v>0</v>
      </c>
      <c r="W6881">
        <v>0</v>
      </c>
      <c r="X6881">
        <v>0</v>
      </c>
      <c r="Y6881">
        <v>0</v>
      </c>
      <c r="Z6881">
        <v>0</v>
      </c>
      <c r="AA6881">
        <v>0</v>
      </c>
      <c r="AB6881">
        <v>0</v>
      </c>
      <c r="AC6881">
        <v>0</v>
      </c>
      <c r="AD6881">
        <v>0</v>
      </c>
      <c r="AE6881">
        <v>0</v>
      </c>
      <c r="AF6881">
        <v>0</v>
      </c>
      <c r="AG6881">
        <v>0</v>
      </c>
      <c r="AH6881">
        <v>0</v>
      </c>
      <c r="AI6881">
        <v>1000</v>
      </c>
      <c r="AJ6881">
        <v>1</v>
      </c>
      <c r="AK6881">
        <v>0</v>
      </c>
      <c r="AL6881">
        <v>0</v>
      </c>
      <c r="AM6881">
        <v>1000</v>
      </c>
      <c r="AN6881">
        <v>0</v>
      </c>
      <c r="AO6881">
        <v>0</v>
      </c>
      <c r="AP6881">
        <v>0</v>
      </c>
      <c r="AQ6881">
        <v>0</v>
      </c>
      <c r="AS6881">
        <v>0</v>
      </c>
      <c r="AT6881">
        <v>0</v>
      </c>
      <c r="AV6881">
        <v>0</v>
      </c>
      <c r="AW6881">
        <v>0</v>
      </c>
      <c r="AY6881">
        <v>0</v>
      </c>
      <c r="AZ6881">
        <v>0</v>
      </c>
      <c r="BA6881">
        <v>700</v>
      </c>
      <c r="BE6881" t="str">
        <f>T("9791171070794")</f>
        <v>9791171070794</v>
      </c>
      <c r="BF6881" t="str">
        <f>T("k200272")</f>
        <v>k200272</v>
      </c>
      <c r="BG6881" t="str">
        <f>T("로맨스 e북 &gt; 섹슈얼 로맨스")</f>
        <v>로맨스 e북 &gt; 섹슈얼 로맨스</v>
      </c>
    </row>
    <row r="6882" spans="1:60">
      <c r="A6882" t="s">
        <v>60</v>
      </c>
      <c r="B6882" s="1">
        <v>46131</v>
      </c>
      <c r="D6882">
        <v>2378080111</v>
      </c>
      <c r="E6882" t="str">
        <f>T("[e북]모독과 오독")</f>
        <v>[e북]모독과 오독</v>
      </c>
      <c r="F6882">
        <v>0</v>
      </c>
      <c r="G6882" t="str">
        <f>T("허도윤")</f>
        <v>허도윤</v>
      </c>
      <c r="J6882" t="str">
        <f>T("하트퀸")</f>
        <v>하트퀸</v>
      </c>
      <c r="K6882" t="str">
        <f>T("[e북]모독과 오독")</f>
        <v>[e북]모독과 오독</v>
      </c>
      <c r="L6882">
        <v>3500</v>
      </c>
      <c r="M6882">
        <v>3150</v>
      </c>
      <c r="N6882">
        <v>1</v>
      </c>
      <c r="O6882">
        <v>0</v>
      </c>
      <c r="P6882">
        <v>0</v>
      </c>
      <c r="Q6882">
        <v>0</v>
      </c>
      <c r="R6882">
        <v>0</v>
      </c>
      <c r="S6882">
        <v>0</v>
      </c>
      <c r="T6882">
        <v>0</v>
      </c>
      <c r="U6882">
        <v>0</v>
      </c>
      <c r="V6882">
        <v>0</v>
      </c>
      <c r="W6882">
        <v>0</v>
      </c>
      <c r="X6882">
        <v>0</v>
      </c>
      <c r="Y6882">
        <v>0</v>
      </c>
      <c r="Z6882">
        <v>0</v>
      </c>
      <c r="AA6882">
        <v>0</v>
      </c>
      <c r="AB6882">
        <v>0</v>
      </c>
      <c r="AC6882">
        <v>0</v>
      </c>
      <c r="AD6882">
        <v>0</v>
      </c>
      <c r="AE6882">
        <v>0</v>
      </c>
      <c r="AF6882">
        <v>0</v>
      </c>
      <c r="AG6882">
        <v>0</v>
      </c>
      <c r="AH6882">
        <v>0</v>
      </c>
      <c r="AI6882">
        <v>3150</v>
      </c>
      <c r="AJ6882">
        <v>1</v>
      </c>
      <c r="AK6882">
        <v>0</v>
      </c>
      <c r="AL6882">
        <v>0</v>
      </c>
      <c r="AM6882">
        <v>3150</v>
      </c>
      <c r="AN6882">
        <v>0</v>
      </c>
      <c r="AO6882">
        <v>0</v>
      </c>
      <c r="AP6882">
        <v>0</v>
      </c>
      <c r="AQ6882">
        <v>0</v>
      </c>
      <c r="AS6882">
        <v>0</v>
      </c>
      <c r="AT6882">
        <v>0</v>
      </c>
      <c r="AV6882">
        <v>0</v>
      </c>
      <c r="AW6882">
        <v>0</v>
      </c>
      <c r="AY6882">
        <v>0</v>
      </c>
      <c r="AZ6882">
        <v>0</v>
      </c>
      <c r="BA6882">
        <v>1890</v>
      </c>
      <c r="BF6882" t="str">
        <f>T("D198898")</f>
        <v>D198898</v>
      </c>
      <c r="BG6882" t="str">
        <f>T("로맨스 e북 &gt; 현대물")</f>
        <v>로맨스 e북 &gt; 현대물</v>
      </c>
    </row>
    <row r="6883" spans="1:60">
      <c r="A6883" t="s">
        <v>60</v>
      </c>
      <c r="B6883" s="1">
        <v>46131</v>
      </c>
      <c r="D6883">
        <v>2378012104</v>
      </c>
      <c r="E6883" t="str">
        <f>T("[e북]어린 짐승")</f>
        <v>[e북]어린 짐승</v>
      </c>
      <c r="F6883">
        <v>0</v>
      </c>
      <c r="G6883" t="str">
        <f>T("마뇽")</f>
        <v>마뇽</v>
      </c>
      <c r="J6883" t="str">
        <f>T("시계토끼")</f>
        <v>시계토끼</v>
      </c>
      <c r="K6883" t="str">
        <f>T("[e북]어린 짐승")</f>
        <v>[e북]어린 짐승</v>
      </c>
      <c r="L6883">
        <v>3000</v>
      </c>
      <c r="M6883">
        <v>3000</v>
      </c>
      <c r="N6883">
        <v>1</v>
      </c>
      <c r="O6883">
        <v>0</v>
      </c>
      <c r="P6883">
        <v>0</v>
      </c>
      <c r="Q6883">
        <v>0</v>
      </c>
      <c r="R6883">
        <v>0</v>
      </c>
      <c r="S6883">
        <v>0</v>
      </c>
      <c r="T6883">
        <v>0</v>
      </c>
      <c r="U6883">
        <v>0</v>
      </c>
      <c r="V6883">
        <v>0</v>
      </c>
      <c r="W6883">
        <v>0</v>
      </c>
      <c r="X6883">
        <v>0</v>
      </c>
      <c r="Y6883">
        <v>0</v>
      </c>
      <c r="Z6883">
        <v>0</v>
      </c>
      <c r="AA6883">
        <v>0</v>
      </c>
      <c r="AB6883">
        <v>0</v>
      </c>
      <c r="AC6883">
        <v>0</v>
      </c>
      <c r="AD6883">
        <v>0</v>
      </c>
      <c r="AE6883">
        <v>0</v>
      </c>
      <c r="AF6883">
        <v>0</v>
      </c>
      <c r="AG6883">
        <v>0</v>
      </c>
      <c r="AH6883">
        <v>0</v>
      </c>
      <c r="AI6883">
        <v>3000</v>
      </c>
      <c r="AJ6883">
        <v>1</v>
      </c>
      <c r="AK6883">
        <v>0</v>
      </c>
      <c r="AL6883">
        <v>0</v>
      </c>
      <c r="AM6883">
        <v>3000</v>
      </c>
      <c r="AN6883">
        <v>0</v>
      </c>
      <c r="AO6883">
        <v>0</v>
      </c>
      <c r="AP6883">
        <v>0</v>
      </c>
      <c r="AQ6883">
        <v>0</v>
      </c>
      <c r="AS6883">
        <v>0</v>
      </c>
      <c r="AT6883">
        <v>0</v>
      </c>
      <c r="AV6883">
        <v>0</v>
      </c>
      <c r="AW6883">
        <v>0</v>
      </c>
      <c r="AY6883">
        <v>0</v>
      </c>
      <c r="AZ6883">
        <v>0</v>
      </c>
      <c r="BA6883">
        <v>2100</v>
      </c>
      <c r="BC6883" t="str">
        <f>T("0000000000000")</f>
        <v>0000000000000</v>
      </c>
      <c r="BE6883" t="str">
        <f>T("9791164092796")</f>
        <v>9791164092796</v>
      </c>
      <c r="BF6883" t="str">
        <f>T("E664943")</f>
        <v>E664943</v>
      </c>
      <c r="BG6883" t="str">
        <f>T("로맨스 e북 &gt; 역사/시대물")</f>
        <v>로맨스 e북 &gt; 역사/시대물</v>
      </c>
    </row>
    <row r="6884" spans="1:60">
      <c r="A6884" t="s">
        <v>60</v>
      </c>
      <c r="B6884" s="1">
        <v>46131</v>
      </c>
      <c r="D6884">
        <v>2378014061</v>
      </c>
      <c r="E6884" t="str">
        <f>T("[e북]다섯 번째 친구")</f>
        <v>[e북]다섯 번째 친구</v>
      </c>
      <c r="F6884">
        <v>0</v>
      </c>
      <c r="G6884" t="str">
        <f>T("봉빙")</f>
        <v>봉빙</v>
      </c>
      <c r="J6884" t="str">
        <f>T("하트퀸")</f>
        <v>하트퀸</v>
      </c>
      <c r="K6884" t="str">
        <f>T("[e북]다섯 번째 친구")</f>
        <v>[e북]다섯 번째 친구</v>
      </c>
      <c r="L6884">
        <v>4000</v>
      </c>
      <c r="M6884">
        <v>4000</v>
      </c>
      <c r="N6884">
        <v>1</v>
      </c>
      <c r="O6884">
        <v>0</v>
      </c>
      <c r="P6884">
        <v>0</v>
      </c>
      <c r="Q6884">
        <v>0</v>
      </c>
      <c r="R6884">
        <v>0</v>
      </c>
      <c r="S6884">
        <v>0</v>
      </c>
      <c r="T6884">
        <v>0</v>
      </c>
      <c r="U6884">
        <v>0</v>
      </c>
      <c r="V6884">
        <v>0</v>
      </c>
      <c r="W6884">
        <v>0</v>
      </c>
      <c r="X6884">
        <v>0</v>
      </c>
      <c r="Y6884">
        <v>0</v>
      </c>
      <c r="Z6884">
        <v>0</v>
      </c>
      <c r="AA6884">
        <v>0</v>
      </c>
      <c r="AB6884">
        <v>0</v>
      </c>
      <c r="AC6884">
        <v>0</v>
      </c>
      <c r="AD6884">
        <v>0</v>
      </c>
      <c r="AE6884">
        <v>0</v>
      </c>
      <c r="AF6884">
        <v>0</v>
      </c>
      <c r="AG6884">
        <v>0</v>
      </c>
      <c r="AH6884">
        <v>0</v>
      </c>
      <c r="AI6884">
        <v>4000</v>
      </c>
      <c r="AJ6884">
        <v>1</v>
      </c>
      <c r="AK6884">
        <v>0</v>
      </c>
      <c r="AL6884">
        <v>0</v>
      </c>
      <c r="AM6884">
        <v>4000</v>
      </c>
      <c r="AN6884">
        <v>0</v>
      </c>
      <c r="AO6884">
        <v>0</v>
      </c>
      <c r="AP6884">
        <v>0</v>
      </c>
      <c r="AQ6884">
        <v>0</v>
      </c>
      <c r="AS6884">
        <v>0</v>
      </c>
      <c r="AT6884">
        <v>0</v>
      </c>
      <c r="AV6884">
        <v>0</v>
      </c>
      <c r="AW6884">
        <v>0</v>
      </c>
      <c r="AY6884">
        <v>0</v>
      </c>
      <c r="AZ6884">
        <v>0</v>
      </c>
      <c r="BA6884">
        <v>2800</v>
      </c>
      <c r="BC6884" t="str">
        <f>T("0000000000000")</f>
        <v>0000000000000</v>
      </c>
      <c r="BE6884" t="str">
        <f>T("9791164974375")</f>
        <v>9791164974375</v>
      </c>
      <c r="BF6884" t="str">
        <f>T("E720531")</f>
        <v>E720531</v>
      </c>
      <c r="BG6884" t="str">
        <f>T("로맨스 e북 &gt; 현대물")</f>
        <v>로맨스 e북 &gt; 현대물</v>
      </c>
    </row>
    <row r="6885" spans="1:60">
      <c r="A6885" t="s">
        <v>60</v>
      </c>
      <c r="B6885" s="1">
        <v>46131</v>
      </c>
      <c r="D6885">
        <v>2378042533</v>
      </c>
      <c r="E6885" t="str">
        <f>T("[e북]무언가 잘못됐다")</f>
        <v>[e북]무언가 잘못됐다</v>
      </c>
      <c r="F6885">
        <v>0</v>
      </c>
      <c r="G6885" t="str">
        <f>T("덕봉")</f>
        <v>덕봉</v>
      </c>
      <c r="J6885" t="str">
        <f>T("시계토끼")</f>
        <v>시계토끼</v>
      </c>
      <c r="K6885" t="str">
        <f>T("[e북]무언가 잘못됐다")</f>
        <v>[e북]무언가 잘못됐다</v>
      </c>
      <c r="L6885">
        <v>3000</v>
      </c>
      <c r="M6885">
        <v>3000</v>
      </c>
      <c r="N6885">
        <v>1</v>
      </c>
      <c r="O6885">
        <v>0</v>
      </c>
      <c r="P6885">
        <v>0</v>
      </c>
      <c r="Q6885">
        <v>0</v>
      </c>
      <c r="R6885">
        <v>0</v>
      </c>
      <c r="S6885">
        <v>0</v>
      </c>
      <c r="T6885">
        <v>0</v>
      </c>
      <c r="U6885">
        <v>0</v>
      </c>
      <c r="V6885">
        <v>0</v>
      </c>
      <c r="W6885">
        <v>0</v>
      </c>
      <c r="X6885">
        <v>0</v>
      </c>
      <c r="Y6885">
        <v>0</v>
      </c>
      <c r="Z6885">
        <v>0</v>
      </c>
      <c r="AA6885">
        <v>0</v>
      </c>
      <c r="AB6885">
        <v>0</v>
      </c>
      <c r="AC6885">
        <v>0</v>
      </c>
      <c r="AD6885">
        <v>0</v>
      </c>
      <c r="AE6885">
        <v>0</v>
      </c>
      <c r="AF6885">
        <v>0</v>
      </c>
      <c r="AG6885">
        <v>0</v>
      </c>
      <c r="AH6885">
        <v>0</v>
      </c>
      <c r="AI6885">
        <v>3000</v>
      </c>
      <c r="AJ6885">
        <v>1</v>
      </c>
      <c r="AK6885">
        <v>0</v>
      </c>
      <c r="AL6885">
        <v>0</v>
      </c>
      <c r="AM6885">
        <v>0</v>
      </c>
      <c r="AN6885">
        <v>0</v>
      </c>
      <c r="AO6885">
        <v>3600</v>
      </c>
      <c r="AP6885">
        <v>-360</v>
      </c>
      <c r="AQ6885">
        <v>0</v>
      </c>
      <c r="AS6885">
        <v>0</v>
      </c>
      <c r="AT6885">
        <v>0</v>
      </c>
      <c r="AU6885">
        <v>3600</v>
      </c>
      <c r="AV6885">
        <v>-360</v>
      </c>
      <c r="AW6885">
        <v>0</v>
      </c>
      <c r="AY6885">
        <v>0</v>
      </c>
      <c r="AZ6885">
        <v>0</v>
      </c>
      <c r="BA6885">
        <v>2268</v>
      </c>
      <c r="BE6885" t="str">
        <f>T("9791164097647")</f>
        <v>9791164097647</v>
      </c>
      <c r="BF6885" t="str">
        <f>T("N196093")</f>
        <v>N196093</v>
      </c>
      <c r="BG6885" t="str">
        <f>T("로판 e북 &gt; 서양풍 로판")</f>
        <v>로판 e북 &gt; 서양풍 로판</v>
      </c>
    </row>
    <row r="6886" spans="1:60">
      <c r="A6886" t="s">
        <v>60</v>
      </c>
      <c r="B6886" s="1">
        <v>46131</v>
      </c>
      <c r="D6886">
        <v>2378058619</v>
      </c>
      <c r="E6886" t="str">
        <f>T("[e북]스폰 계약")</f>
        <v>[e북]스폰 계약</v>
      </c>
      <c r="F6886">
        <v>0</v>
      </c>
      <c r="G6886" t="str">
        <f>T("레네이제")</f>
        <v>레네이제</v>
      </c>
      <c r="J6886" t="str">
        <f>T("누디나잇")</f>
        <v>누디나잇</v>
      </c>
      <c r="K6886" t="str">
        <f>T("[e북]스폰 계약")</f>
        <v>[e북]스폰 계약</v>
      </c>
      <c r="L6886">
        <v>1000</v>
      </c>
      <c r="M6886">
        <v>1000</v>
      </c>
      <c r="N6886">
        <v>1</v>
      </c>
      <c r="O6886">
        <v>0</v>
      </c>
      <c r="P6886">
        <v>0</v>
      </c>
      <c r="Q6886">
        <v>0</v>
      </c>
      <c r="R6886">
        <v>0</v>
      </c>
      <c r="S6886">
        <v>0</v>
      </c>
      <c r="T6886">
        <v>0</v>
      </c>
      <c r="U6886">
        <v>0</v>
      </c>
      <c r="V6886">
        <v>0</v>
      </c>
      <c r="W6886">
        <v>0</v>
      </c>
      <c r="X6886">
        <v>0</v>
      </c>
      <c r="Y6886">
        <v>0</v>
      </c>
      <c r="Z6886">
        <v>0</v>
      </c>
      <c r="AA6886">
        <v>0</v>
      </c>
      <c r="AB6886">
        <v>0</v>
      </c>
      <c r="AC6886">
        <v>0</v>
      </c>
      <c r="AD6886">
        <v>0</v>
      </c>
      <c r="AE6886">
        <v>0</v>
      </c>
      <c r="AF6886">
        <v>0</v>
      </c>
      <c r="AG6886">
        <v>0</v>
      </c>
      <c r="AH6886">
        <v>0</v>
      </c>
      <c r="AI6886">
        <v>1000</v>
      </c>
      <c r="AJ6886">
        <v>1</v>
      </c>
      <c r="AK6886">
        <v>0</v>
      </c>
      <c r="AL6886">
        <v>0</v>
      </c>
      <c r="AM6886">
        <v>1000</v>
      </c>
      <c r="AN6886">
        <v>0</v>
      </c>
      <c r="AO6886">
        <v>0</v>
      </c>
      <c r="AP6886">
        <v>0</v>
      </c>
      <c r="AQ6886">
        <v>0</v>
      </c>
      <c r="AS6886">
        <v>0</v>
      </c>
      <c r="AT6886">
        <v>0</v>
      </c>
      <c r="AV6886">
        <v>0</v>
      </c>
      <c r="AW6886">
        <v>0</v>
      </c>
      <c r="AY6886">
        <v>0</v>
      </c>
      <c r="AZ6886">
        <v>0</v>
      </c>
      <c r="BA6886">
        <v>700</v>
      </c>
      <c r="BE6886" t="str">
        <f>T("9791192166919")</f>
        <v>9791192166919</v>
      </c>
      <c r="BF6886" t="str">
        <f>T("k075417")</f>
        <v>k075417</v>
      </c>
      <c r="BG6886" t="str">
        <f>T("BL 소설 e북 &gt; 현대물")</f>
        <v>BL 소설 e북 &gt; 현대물</v>
      </c>
    </row>
    <row r="6887" spans="1:60">
      <c r="A6887" t="s">
        <v>60</v>
      </c>
      <c r="B6887" s="1">
        <v>46131</v>
      </c>
      <c r="D6887">
        <v>2378008400</v>
      </c>
      <c r="E6887" t="str">
        <f>T("[e북]연시")</f>
        <v>[e북]연시</v>
      </c>
      <c r="F6887">
        <v>0</v>
      </c>
      <c r="G6887" t="str">
        <f>T("정사탕")</f>
        <v>정사탕</v>
      </c>
      <c r="J6887" t="str">
        <f>T("하트퀸")</f>
        <v>하트퀸</v>
      </c>
      <c r="K6887" t="str">
        <f>T("[e북]연시")</f>
        <v>[e북]연시</v>
      </c>
      <c r="L6887">
        <v>2000</v>
      </c>
      <c r="M6887">
        <v>2000</v>
      </c>
      <c r="N6887">
        <v>1</v>
      </c>
      <c r="O6887">
        <v>0</v>
      </c>
      <c r="P6887">
        <v>0</v>
      </c>
      <c r="Q6887">
        <v>0</v>
      </c>
      <c r="R6887">
        <v>0</v>
      </c>
      <c r="S6887">
        <v>0</v>
      </c>
      <c r="T6887">
        <v>0</v>
      </c>
      <c r="U6887">
        <v>0</v>
      </c>
      <c r="V6887">
        <v>0</v>
      </c>
      <c r="W6887">
        <v>0</v>
      </c>
      <c r="X6887">
        <v>0</v>
      </c>
      <c r="Y6887">
        <v>0</v>
      </c>
      <c r="Z6887">
        <v>0</v>
      </c>
      <c r="AA6887">
        <v>0</v>
      </c>
      <c r="AB6887">
        <v>0</v>
      </c>
      <c r="AC6887">
        <v>0</v>
      </c>
      <c r="AD6887">
        <v>0</v>
      </c>
      <c r="AE6887">
        <v>0</v>
      </c>
      <c r="AF6887">
        <v>0</v>
      </c>
      <c r="AG6887">
        <v>0</v>
      </c>
      <c r="AH6887">
        <v>0</v>
      </c>
      <c r="AI6887">
        <v>2000</v>
      </c>
      <c r="AJ6887">
        <v>1</v>
      </c>
      <c r="AK6887">
        <v>0</v>
      </c>
      <c r="AL6887">
        <v>0</v>
      </c>
      <c r="AM6887">
        <v>2000</v>
      </c>
      <c r="AN6887">
        <v>0</v>
      </c>
      <c r="AO6887">
        <v>0</v>
      </c>
      <c r="AP6887">
        <v>0</v>
      </c>
      <c r="AQ6887">
        <v>0</v>
      </c>
      <c r="AS6887">
        <v>0</v>
      </c>
      <c r="AT6887">
        <v>0</v>
      </c>
      <c r="AV6887">
        <v>0</v>
      </c>
      <c r="AW6887">
        <v>0</v>
      </c>
      <c r="AY6887">
        <v>0</v>
      </c>
      <c r="AZ6887">
        <v>0</v>
      </c>
      <c r="BA6887">
        <v>1400</v>
      </c>
      <c r="BC6887" t="str">
        <f>T("0000000000000")</f>
        <v>0000000000000</v>
      </c>
      <c r="BE6887" t="str">
        <f>T("9791164971367")</f>
        <v>9791164971367</v>
      </c>
      <c r="BF6887" t="str">
        <f>T("E427516")</f>
        <v>E427516</v>
      </c>
      <c r="BG6887" t="str">
        <f>T("로맨스 e북 &gt; 현대물")</f>
        <v>로맨스 e북 &gt; 현대물</v>
      </c>
      <c r="BH6887" t="str">
        <f>T("로맨스 e북 &gt; 19+")</f>
        <v>로맨스 e북 &gt; 19+</v>
      </c>
    </row>
    <row r="6888" spans="1:60">
      <c r="A6888" t="s">
        <v>60</v>
      </c>
      <c r="B6888" s="1">
        <v>46131</v>
      </c>
      <c r="D6888">
        <v>2378025589</v>
      </c>
      <c r="E6888" t="str">
        <f>T("[e북]비하인드 더 씬 (Behind the Scene)")</f>
        <v>[e북]비하인드 더 씬 (Behind the Scene)</v>
      </c>
      <c r="F6888">
        <v>0</v>
      </c>
      <c r="G6888" t="str">
        <f>T("봉빙")</f>
        <v>봉빙</v>
      </c>
      <c r="J6888" t="str">
        <f>T("하트퀸")</f>
        <v>하트퀸</v>
      </c>
      <c r="K6888" t="str">
        <f>T("[e북]비하인드 더 씬 (Behind the Scene)")</f>
        <v>[e북]비하인드 더 씬 (Behind the Scene)</v>
      </c>
      <c r="L6888">
        <v>4000</v>
      </c>
      <c r="M6888">
        <v>4000</v>
      </c>
      <c r="N6888">
        <v>1</v>
      </c>
      <c r="O6888">
        <v>0</v>
      </c>
      <c r="P6888">
        <v>0</v>
      </c>
      <c r="Q6888">
        <v>0</v>
      </c>
      <c r="R6888">
        <v>0</v>
      </c>
      <c r="S6888">
        <v>0</v>
      </c>
      <c r="T6888">
        <v>0</v>
      </c>
      <c r="U6888">
        <v>0</v>
      </c>
      <c r="V6888">
        <v>0</v>
      </c>
      <c r="W6888">
        <v>0</v>
      </c>
      <c r="X6888">
        <v>0</v>
      </c>
      <c r="Y6888">
        <v>0</v>
      </c>
      <c r="Z6888">
        <v>0</v>
      </c>
      <c r="AA6888">
        <v>0</v>
      </c>
      <c r="AB6888">
        <v>0</v>
      </c>
      <c r="AC6888">
        <v>0</v>
      </c>
      <c r="AD6888">
        <v>0</v>
      </c>
      <c r="AE6888">
        <v>0</v>
      </c>
      <c r="AF6888">
        <v>0</v>
      </c>
      <c r="AG6888">
        <v>0</v>
      </c>
      <c r="AH6888">
        <v>0</v>
      </c>
      <c r="AI6888">
        <v>4000</v>
      </c>
      <c r="AJ6888">
        <v>1</v>
      </c>
      <c r="AK6888">
        <v>0</v>
      </c>
      <c r="AL6888">
        <v>0</v>
      </c>
      <c r="AM6888">
        <v>4000</v>
      </c>
      <c r="AN6888">
        <v>0</v>
      </c>
      <c r="AO6888">
        <v>0</v>
      </c>
      <c r="AP6888">
        <v>0</v>
      </c>
      <c r="AQ6888">
        <v>0</v>
      </c>
      <c r="AS6888">
        <v>0</v>
      </c>
      <c r="AT6888">
        <v>0</v>
      </c>
      <c r="AV6888">
        <v>0</v>
      </c>
      <c r="AW6888">
        <v>0</v>
      </c>
      <c r="AY6888">
        <v>0</v>
      </c>
      <c r="AZ6888">
        <v>0</v>
      </c>
      <c r="BA6888">
        <v>2800</v>
      </c>
      <c r="BE6888" t="str">
        <f>T("9791164975914")</f>
        <v>9791164975914</v>
      </c>
      <c r="BF6888" t="str">
        <f>T("E827248")</f>
        <v>E827248</v>
      </c>
      <c r="BG6888" t="str">
        <f>T("로맨스 e북 &gt; 현대물")</f>
        <v>로맨스 e북 &gt; 현대물</v>
      </c>
    </row>
    <row r="6889" spans="1:60">
      <c r="A6889" t="s">
        <v>60</v>
      </c>
      <c r="B6889" s="1">
        <v>46131</v>
      </c>
      <c r="D6889">
        <v>2378011215</v>
      </c>
      <c r="E6889" t="str">
        <f>T("[e북]루시드 드림 허니문")</f>
        <v>[e북]루시드 드림 허니문</v>
      </c>
      <c r="F6889">
        <v>0</v>
      </c>
      <c r="G6889" t="str">
        <f>T("마린코드")</f>
        <v>마린코드</v>
      </c>
      <c r="J6889" t="str">
        <f>T("체셔")</f>
        <v>체셔</v>
      </c>
      <c r="K6889" t="str">
        <f>T("[e북]루시드 드림 허니문")</f>
        <v>[e북]루시드 드림 허니문</v>
      </c>
      <c r="L6889">
        <v>2000</v>
      </c>
      <c r="M6889">
        <v>2000</v>
      </c>
      <c r="N6889">
        <v>1</v>
      </c>
      <c r="O6889">
        <v>0</v>
      </c>
      <c r="P6889">
        <v>0</v>
      </c>
      <c r="Q6889">
        <v>0</v>
      </c>
      <c r="R6889">
        <v>0</v>
      </c>
      <c r="S6889">
        <v>0</v>
      </c>
      <c r="T6889">
        <v>0</v>
      </c>
      <c r="U6889">
        <v>0</v>
      </c>
      <c r="V6889">
        <v>0</v>
      </c>
      <c r="W6889">
        <v>0</v>
      </c>
      <c r="X6889">
        <v>0</v>
      </c>
      <c r="Y6889">
        <v>0</v>
      </c>
      <c r="Z6889">
        <v>0</v>
      </c>
      <c r="AA6889">
        <v>0</v>
      </c>
      <c r="AB6889">
        <v>0</v>
      </c>
      <c r="AC6889">
        <v>0</v>
      </c>
      <c r="AD6889">
        <v>0</v>
      </c>
      <c r="AE6889">
        <v>0</v>
      </c>
      <c r="AF6889">
        <v>0</v>
      </c>
      <c r="AG6889">
        <v>0</v>
      </c>
      <c r="AH6889">
        <v>0</v>
      </c>
      <c r="AI6889">
        <v>2000</v>
      </c>
      <c r="AJ6889">
        <v>1</v>
      </c>
      <c r="AK6889">
        <v>0</v>
      </c>
      <c r="AL6889">
        <v>0</v>
      </c>
      <c r="AM6889">
        <v>2000</v>
      </c>
      <c r="AN6889">
        <v>0</v>
      </c>
      <c r="AO6889">
        <v>0</v>
      </c>
      <c r="AP6889">
        <v>0</v>
      </c>
      <c r="AQ6889">
        <v>0</v>
      </c>
      <c r="AS6889">
        <v>0</v>
      </c>
      <c r="AT6889">
        <v>0</v>
      </c>
      <c r="AV6889">
        <v>0</v>
      </c>
      <c r="AW6889">
        <v>0</v>
      </c>
      <c r="AY6889">
        <v>0</v>
      </c>
      <c r="AZ6889">
        <v>0</v>
      </c>
      <c r="BA6889">
        <v>1400</v>
      </c>
      <c r="BC6889" t="str">
        <f>T("0000000000000")</f>
        <v>0000000000000</v>
      </c>
      <c r="BE6889" t="str">
        <f>T("9791164831647")</f>
        <v>9791164831647</v>
      </c>
      <c r="BF6889" t="str">
        <f>T("E624346")</f>
        <v>E624346</v>
      </c>
      <c r="BG6889" t="str">
        <f>T("BL 소설 e북 &gt; 현대물")</f>
        <v>BL 소설 e북 &gt; 현대물</v>
      </c>
    </row>
    <row r="6890" spans="1:60">
      <c r="A6890" t="s">
        <v>60</v>
      </c>
      <c r="B6890" s="1">
        <v>46131</v>
      </c>
      <c r="D6890">
        <v>2378058563</v>
      </c>
      <c r="E6890" t="str">
        <f>T("[e북]새빨갛게 어린 년")</f>
        <v>[e북]새빨갛게 어린 년</v>
      </c>
      <c r="F6890">
        <v>0</v>
      </c>
      <c r="G6890" t="str">
        <f>T("타잔마누라")</f>
        <v>타잔마누라</v>
      </c>
      <c r="J6890" t="str">
        <f>T("누디나잇")</f>
        <v>누디나잇</v>
      </c>
      <c r="K6890" t="str">
        <f>T("[e북]새빨갛게 어린 년")</f>
        <v>[e북]새빨갛게 어린 년</v>
      </c>
      <c r="L6890">
        <v>1000</v>
      </c>
      <c r="M6890">
        <v>1000</v>
      </c>
      <c r="N6890">
        <v>1</v>
      </c>
      <c r="O6890">
        <v>0</v>
      </c>
      <c r="P6890">
        <v>0</v>
      </c>
      <c r="Q6890">
        <v>0</v>
      </c>
      <c r="R6890">
        <v>0</v>
      </c>
      <c r="S6890">
        <v>0</v>
      </c>
      <c r="T6890">
        <v>0</v>
      </c>
      <c r="U6890">
        <v>0</v>
      </c>
      <c r="V6890">
        <v>0</v>
      </c>
      <c r="W6890">
        <v>0</v>
      </c>
      <c r="X6890">
        <v>0</v>
      </c>
      <c r="Y6890">
        <v>0</v>
      </c>
      <c r="Z6890">
        <v>0</v>
      </c>
      <c r="AA6890">
        <v>0</v>
      </c>
      <c r="AB6890">
        <v>0</v>
      </c>
      <c r="AC6890">
        <v>0</v>
      </c>
      <c r="AD6890">
        <v>0</v>
      </c>
      <c r="AE6890">
        <v>0</v>
      </c>
      <c r="AF6890">
        <v>0</v>
      </c>
      <c r="AG6890">
        <v>0</v>
      </c>
      <c r="AH6890">
        <v>0</v>
      </c>
      <c r="AI6890">
        <v>1000</v>
      </c>
      <c r="AJ6890">
        <v>1</v>
      </c>
      <c r="AK6890">
        <v>0</v>
      </c>
      <c r="AL6890">
        <v>0</v>
      </c>
      <c r="AM6890">
        <v>1000</v>
      </c>
      <c r="AN6890">
        <v>0</v>
      </c>
      <c r="AO6890">
        <v>0</v>
      </c>
      <c r="AP6890">
        <v>0</v>
      </c>
      <c r="AQ6890">
        <v>0</v>
      </c>
      <c r="AS6890">
        <v>0</v>
      </c>
      <c r="AT6890">
        <v>0</v>
      </c>
      <c r="AV6890">
        <v>0</v>
      </c>
      <c r="AW6890">
        <v>0</v>
      </c>
      <c r="AY6890">
        <v>0</v>
      </c>
      <c r="AZ6890">
        <v>0</v>
      </c>
      <c r="BA6890">
        <v>700</v>
      </c>
      <c r="BE6890" t="str">
        <f>T("9791192166971")</f>
        <v>9791192166971</v>
      </c>
      <c r="BF6890" t="str">
        <f>T("k104225")</f>
        <v>k104225</v>
      </c>
      <c r="BG6890" t="str">
        <f>T("로맨스 e북 &gt; 섹슈얼 로맨스")</f>
        <v>로맨스 e북 &gt; 섹슈얼 로맨스</v>
      </c>
    </row>
    <row r="6891" spans="1:60">
      <c r="A6891" t="s">
        <v>60</v>
      </c>
      <c r="B6891" s="1">
        <v>46131</v>
      </c>
      <c r="D6891">
        <v>2378058636</v>
      </c>
      <c r="E6891" t="str">
        <f>T("[e북]촉수 식물 판매합니다")</f>
        <v>[e북]촉수 식물 판매합니다</v>
      </c>
      <c r="F6891">
        <v>0</v>
      </c>
      <c r="G6891" t="str">
        <f>T("종업원")</f>
        <v>종업원</v>
      </c>
      <c r="J6891" t="str">
        <f>T("누디나잇")</f>
        <v>누디나잇</v>
      </c>
      <c r="K6891" t="str">
        <f>T("[e북]촉수 식물 판매합니다")</f>
        <v>[e북]촉수 식물 판매합니다</v>
      </c>
      <c r="L6891">
        <v>1000</v>
      </c>
      <c r="M6891">
        <v>2000</v>
      </c>
      <c r="N6891">
        <v>2</v>
      </c>
      <c r="O6891">
        <v>0</v>
      </c>
      <c r="P6891">
        <v>0</v>
      </c>
      <c r="Q6891">
        <v>0</v>
      </c>
      <c r="R6891">
        <v>0</v>
      </c>
      <c r="S6891">
        <v>0</v>
      </c>
      <c r="T6891">
        <v>0</v>
      </c>
      <c r="U6891">
        <v>0</v>
      </c>
      <c r="V6891">
        <v>0</v>
      </c>
      <c r="W6891">
        <v>0</v>
      </c>
      <c r="X6891">
        <v>0</v>
      </c>
      <c r="Y6891">
        <v>0</v>
      </c>
      <c r="Z6891">
        <v>0</v>
      </c>
      <c r="AA6891">
        <v>0</v>
      </c>
      <c r="AB6891">
        <v>0</v>
      </c>
      <c r="AC6891">
        <v>0</v>
      </c>
      <c r="AD6891">
        <v>0</v>
      </c>
      <c r="AE6891">
        <v>0</v>
      </c>
      <c r="AF6891">
        <v>0</v>
      </c>
      <c r="AG6891">
        <v>0</v>
      </c>
      <c r="AH6891">
        <v>0</v>
      </c>
      <c r="AI6891">
        <v>2000</v>
      </c>
      <c r="AJ6891">
        <v>2</v>
      </c>
      <c r="AK6891">
        <v>0</v>
      </c>
      <c r="AL6891">
        <v>0</v>
      </c>
      <c r="AM6891">
        <v>1000</v>
      </c>
      <c r="AN6891">
        <v>0</v>
      </c>
      <c r="AO6891">
        <v>1200</v>
      </c>
      <c r="AP6891">
        <v>-120</v>
      </c>
      <c r="AQ6891">
        <v>0</v>
      </c>
      <c r="AS6891">
        <v>0</v>
      </c>
      <c r="AT6891">
        <v>0</v>
      </c>
      <c r="AU6891">
        <v>1200</v>
      </c>
      <c r="AV6891">
        <v>-120</v>
      </c>
      <c r="AW6891">
        <v>0</v>
      </c>
      <c r="AY6891">
        <v>0</v>
      </c>
      <c r="AZ6891">
        <v>0</v>
      </c>
      <c r="BA6891">
        <v>1456</v>
      </c>
      <c r="BE6891" t="str">
        <f>T("9791171070541")</f>
        <v>9791171070541</v>
      </c>
      <c r="BF6891" t="str">
        <f>T("k187323")</f>
        <v>k187323</v>
      </c>
      <c r="BG6891" t="str">
        <f>T("로맨스 e북 &gt; 섹슈얼 로맨스")</f>
        <v>로맨스 e북 &gt; 섹슈얼 로맨스</v>
      </c>
    </row>
    <row r="6892" spans="1:60">
      <c r="A6892" t="s">
        <v>60</v>
      </c>
      <c r="B6892" s="1">
        <v>46131</v>
      </c>
      <c r="D6892">
        <v>2378013930</v>
      </c>
      <c r="E6892" t="str">
        <f>T("[e북]문제적 신음 소리")</f>
        <v>[e북]문제적 신음 소리</v>
      </c>
      <c r="F6892">
        <v>0</v>
      </c>
      <c r="G6892" t="str">
        <f>T("엘루비오")</f>
        <v>엘루비오</v>
      </c>
      <c r="J6892" t="str">
        <f>T("하트퀸")</f>
        <v>하트퀸</v>
      </c>
      <c r="K6892" t="str">
        <f>T("[e북]문제적 신음 소리")</f>
        <v>[e북]문제적 신음 소리</v>
      </c>
      <c r="L6892">
        <v>3000</v>
      </c>
      <c r="M6892">
        <v>3000</v>
      </c>
      <c r="N6892">
        <v>1</v>
      </c>
      <c r="O6892">
        <v>0</v>
      </c>
      <c r="P6892">
        <v>0</v>
      </c>
      <c r="Q6892">
        <v>0</v>
      </c>
      <c r="R6892">
        <v>0</v>
      </c>
      <c r="S6892">
        <v>0</v>
      </c>
      <c r="T6892">
        <v>0</v>
      </c>
      <c r="U6892">
        <v>0</v>
      </c>
      <c r="V6892">
        <v>0</v>
      </c>
      <c r="W6892">
        <v>0</v>
      </c>
      <c r="X6892">
        <v>0</v>
      </c>
      <c r="Y6892">
        <v>0</v>
      </c>
      <c r="Z6892">
        <v>0</v>
      </c>
      <c r="AA6892">
        <v>0</v>
      </c>
      <c r="AB6892">
        <v>0</v>
      </c>
      <c r="AC6892">
        <v>0</v>
      </c>
      <c r="AD6892">
        <v>0</v>
      </c>
      <c r="AE6892">
        <v>0</v>
      </c>
      <c r="AF6892">
        <v>0</v>
      </c>
      <c r="AG6892">
        <v>0</v>
      </c>
      <c r="AH6892">
        <v>0</v>
      </c>
      <c r="AI6892">
        <v>3000</v>
      </c>
      <c r="AJ6892">
        <v>1</v>
      </c>
      <c r="AK6892">
        <v>0</v>
      </c>
      <c r="AL6892">
        <v>0</v>
      </c>
      <c r="AM6892">
        <v>100</v>
      </c>
      <c r="AN6892">
        <v>0</v>
      </c>
      <c r="AO6892">
        <v>3480</v>
      </c>
      <c r="AP6892">
        <v>-348</v>
      </c>
      <c r="AQ6892">
        <v>0</v>
      </c>
      <c r="AS6892">
        <v>0</v>
      </c>
      <c r="AT6892">
        <v>0</v>
      </c>
      <c r="AU6892">
        <v>3480</v>
      </c>
      <c r="AV6892">
        <v>-348</v>
      </c>
      <c r="AW6892">
        <v>0</v>
      </c>
      <c r="AY6892">
        <v>0</v>
      </c>
      <c r="AZ6892">
        <v>0</v>
      </c>
      <c r="BA6892">
        <v>2262.4</v>
      </c>
      <c r="BC6892" t="str">
        <f>T("0000000000000")</f>
        <v>0000000000000</v>
      </c>
      <c r="BE6892" t="str">
        <f>T("9791164974320")</f>
        <v>9791164974320</v>
      </c>
      <c r="BF6892" t="str">
        <f>T("E713019")</f>
        <v>E713019</v>
      </c>
      <c r="BG6892" t="str">
        <f>T("로맨스 e북 &gt; 현대물")</f>
        <v>로맨스 e북 &gt; 현대물</v>
      </c>
    </row>
    <row r="6893" spans="1:60">
      <c r="A6893" t="s">
        <v>60</v>
      </c>
      <c r="B6893" s="1">
        <v>46131</v>
      </c>
      <c r="D6893">
        <v>2378024510</v>
      </c>
      <c r="E6893" t="str">
        <f>T("[e북]사 온 남편")</f>
        <v>[e북]사 온 남편</v>
      </c>
      <c r="F6893">
        <v>0</v>
      </c>
      <c r="G6893" t="str">
        <f>T("피야수")</f>
        <v>피야수</v>
      </c>
      <c r="J6893" t="str">
        <f>T("하트퀸")</f>
        <v>하트퀸</v>
      </c>
      <c r="K6893" t="str">
        <f>T("[e북]사 온 남편")</f>
        <v>[e북]사 온 남편</v>
      </c>
      <c r="L6893">
        <v>3200</v>
      </c>
      <c r="M6893">
        <v>3200</v>
      </c>
      <c r="N6893">
        <v>1</v>
      </c>
      <c r="O6893">
        <v>0</v>
      </c>
      <c r="P6893">
        <v>0</v>
      </c>
      <c r="Q6893">
        <v>0</v>
      </c>
      <c r="R6893">
        <v>0</v>
      </c>
      <c r="S6893">
        <v>0</v>
      </c>
      <c r="T6893">
        <v>0</v>
      </c>
      <c r="U6893">
        <v>0</v>
      </c>
      <c r="V6893">
        <v>0</v>
      </c>
      <c r="W6893">
        <v>0</v>
      </c>
      <c r="X6893">
        <v>0</v>
      </c>
      <c r="Y6893">
        <v>0</v>
      </c>
      <c r="Z6893">
        <v>0</v>
      </c>
      <c r="AA6893">
        <v>0</v>
      </c>
      <c r="AB6893">
        <v>0</v>
      </c>
      <c r="AC6893">
        <v>0</v>
      </c>
      <c r="AD6893">
        <v>0</v>
      </c>
      <c r="AE6893">
        <v>0</v>
      </c>
      <c r="AF6893">
        <v>0</v>
      </c>
      <c r="AG6893">
        <v>0</v>
      </c>
      <c r="AH6893">
        <v>0</v>
      </c>
      <c r="AI6893">
        <v>3200</v>
      </c>
      <c r="AJ6893">
        <v>1</v>
      </c>
      <c r="AK6893">
        <v>0</v>
      </c>
      <c r="AL6893">
        <v>0</v>
      </c>
      <c r="AM6893">
        <v>0</v>
      </c>
      <c r="AN6893">
        <v>0</v>
      </c>
      <c r="AO6893">
        <v>3840</v>
      </c>
      <c r="AP6893">
        <v>-384</v>
      </c>
      <c r="AQ6893">
        <v>0</v>
      </c>
      <c r="AS6893">
        <v>0</v>
      </c>
      <c r="AT6893">
        <v>0</v>
      </c>
      <c r="AU6893">
        <v>3840</v>
      </c>
      <c r="AV6893">
        <v>-384</v>
      </c>
      <c r="AW6893">
        <v>0</v>
      </c>
      <c r="AY6893">
        <v>0</v>
      </c>
      <c r="AZ6893">
        <v>0</v>
      </c>
      <c r="BA6893">
        <v>2419.1999999999998</v>
      </c>
      <c r="BE6893" t="str">
        <f>T("9791164975556")</f>
        <v>9791164975556</v>
      </c>
      <c r="BF6893" t="str">
        <f>T("E814477")</f>
        <v>E814477</v>
      </c>
      <c r="BG6893" t="str">
        <f>T("로맨스 e북 &gt; 현대물")</f>
        <v>로맨스 e북 &gt; 현대물</v>
      </c>
    </row>
    <row r="6894" spans="1:60">
      <c r="A6894" t="s">
        <v>60</v>
      </c>
      <c r="B6894" s="1">
        <v>46131</v>
      </c>
      <c r="D6894">
        <v>2378058598</v>
      </c>
      <c r="E6894" t="str">
        <f>T("[e북]이빨 없는 뱀")</f>
        <v>[e북]이빨 없는 뱀</v>
      </c>
      <c r="F6894">
        <v>0</v>
      </c>
      <c r="G6894" t="str">
        <f>T("따끈한호떡")</f>
        <v>따끈한호떡</v>
      </c>
      <c r="J6894" t="str">
        <f>T("누디나잇")</f>
        <v>누디나잇</v>
      </c>
      <c r="K6894" t="str">
        <f>T("[e북]이빨 없는 뱀")</f>
        <v>[e북]이빨 없는 뱀</v>
      </c>
      <c r="L6894">
        <v>1000</v>
      </c>
      <c r="M6894">
        <v>1000</v>
      </c>
      <c r="N6894">
        <v>1</v>
      </c>
      <c r="O6894">
        <v>0</v>
      </c>
      <c r="P6894">
        <v>0</v>
      </c>
      <c r="Q6894">
        <v>0</v>
      </c>
      <c r="R6894">
        <v>0</v>
      </c>
      <c r="S6894">
        <v>0</v>
      </c>
      <c r="T6894">
        <v>0</v>
      </c>
      <c r="U6894">
        <v>0</v>
      </c>
      <c r="V6894">
        <v>0</v>
      </c>
      <c r="W6894">
        <v>0</v>
      </c>
      <c r="X6894">
        <v>0</v>
      </c>
      <c r="Y6894">
        <v>0</v>
      </c>
      <c r="Z6894">
        <v>0</v>
      </c>
      <c r="AA6894">
        <v>0</v>
      </c>
      <c r="AB6894">
        <v>0</v>
      </c>
      <c r="AC6894">
        <v>0</v>
      </c>
      <c r="AD6894">
        <v>0</v>
      </c>
      <c r="AE6894">
        <v>0</v>
      </c>
      <c r="AF6894">
        <v>0</v>
      </c>
      <c r="AG6894">
        <v>0</v>
      </c>
      <c r="AH6894">
        <v>0</v>
      </c>
      <c r="AI6894">
        <v>1000</v>
      </c>
      <c r="AJ6894">
        <v>1</v>
      </c>
      <c r="AK6894">
        <v>0</v>
      </c>
      <c r="AL6894">
        <v>0</v>
      </c>
      <c r="AM6894">
        <v>1000</v>
      </c>
      <c r="AN6894">
        <v>0</v>
      </c>
      <c r="AO6894">
        <v>0</v>
      </c>
      <c r="AP6894">
        <v>0</v>
      </c>
      <c r="AQ6894">
        <v>0</v>
      </c>
      <c r="AS6894">
        <v>0</v>
      </c>
      <c r="AT6894">
        <v>0</v>
      </c>
      <c r="AV6894">
        <v>0</v>
      </c>
      <c r="AW6894">
        <v>0</v>
      </c>
      <c r="AY6894">
        <v>0</v>
      </c>
      <c r="AZ6894">
        <v>0</v>
      </c>
      <c r="BA6894">
        <v>700</v>
      </c>
      <c r="BE6894" t="str">
        <f>T("9791193028377")</f>
        <v>9791193028377</v>
      </c>
      <c r="BF6894" t="str">
        <f>T("k120611")</f>
        <v>k120611</v>
      </c>
      <c r="BG6894" t="str">
        <f>T("로맨스 e북 &gt; 섹슈얼 로맨스")</f>
        <v>로맨스 e북 &gt; 섹슈얼 로맨스</v>
      </c>
    </row>
    <row r="6895" spans="1:60">
      <c r="A6895" t="s">
        <v>60</v>
      </c>
      <c r="B6895" s="1">
        <v>46131</v>
      </c>
      <c r="D6895">
        <v>2378007031</v>
      </c>
      <c r="E6895" t="str">
        <f>T("이순신 홀로 조선을 구하다")</f>
        <v>이순신 홀로 조선을 구하다</v>
      </c>
      <c r="F6895">
        <v>0</v>
      </c>
      <c r="G6895" t="str">
        <f>T("사토 데쓰타로, 세키코세이, 오가사와라 나가나리")</f>
        <v>사토 데쓰타로, 세키코세이, 오가사와라 나가나리</v>
      </c>
      <c r="J6895" t="str">
        <f>T("가갸날")</f>
        <v>가갸날</v>
      </c>
      <c r="K6895" t="str">
        <f>T("이순신 홀로 조선을 구하다")</f>
        <v>이순신 홀로 조선을 구하다</v>
      </c>
      <c r="L6895">
        <v>11000</v>
      </c>
      <c r="M6895">
        <v>11000</v>
      </c>
      <c r="N6895">
        <v>1</v>
      </c>
      <c r="O6895">
        <v>0</v>
      </c>
      <c r="P6895">
        <v>0</v>
      </c>
      <c r="Q6895">
        <v>0</v>
      </c>
      <c r="R6895">
        <v>0</v>
      </c>
      <c r="S6895">
        <v>0</v>
      </c>
      <c r="T6895">
        <v>0</v>
      </c>
      <c r="U6895">
        <v>0</v>
      </c>
      <c r="V6895">
        <v>0</v>
      </c>
      <c r="W6895">
        <v>0</v>
      </c>
      <c r="X6895">
        <v>0</v>
      </c>
      <c r="Y6895">
        <v>0</v>
      </c>
      <c r="Z6895">
        <v>0</v>
      </c>
      <c r="AA6895">
        <v>0</v>
      </c>
      <c r="AB6895">
        <v>0</v>
      </c>
      <c r="AC6895">
        <v>0</v>
      </c>
      <c r="AD6895">
        <v>0</v>
      </c>
      <c r="AE6895">
        <v>0</v>
      </c>
      <c r="AF6895">
        <v>0</v>
      </c>
      <c r="AG6895">
        <v>0</v>
      </c>
      <c r="AH6895">
        <v>0</v>
      </c>
      <c r="AI6895">
        <v>11000</v>
      </c>
      <c r="AJ6895">
        <v>1</v>
      </c>
      <c r="AK6895">
        <v>0</v>
      </c>
      <c r="AL6895">
        <v>0</v>
      </c>
      <c r="AM6895">
        <v>11000</v>
      </c>
      <c r="AN6895">
        <v>0</v>
      </c>
      <c r="AO6895">
        <v>0</v>
      </c>
      <c r="AP6895">
        <v>0</v>
      </c>
      <c r="AQ6895">
        <v>0</v>
      </c>
      <c r="AS6895">
        <v>0</v>
      </c>
      <c r="AT6895">
        <v>0</v>
      </c>
      <c r="AV6895">
        <v>0</v>
      </c>
      <c r="AW6895">
        <v>0</v>
      </c>
      <c r="AY6895">
        <v>0</v>
      </c>
      <c r="AZ6895">
        <v>0</v>
      </c>
      <c r="BA6895">
        <v>7700</v>
      </c>
      <c r="BC6895" t="str">
        <f>T("0000000000000")</f>
        <v>0000000000000</v>
      </c>
      <c r="BE6895" t="str">
        <f>T("9791187949381")</f>
        <v>9791187949381</v>
      </c>
      <c r="BF6895" t="str">
        <f>T("E104676")</f>
        <v>E104676</v>
      </c>
      <c r="BG6895" t="str">
        <f>T("인문/사회/역사 &gt; 역사")</f>
        <v>인문/사회/역사 &gt; 역사</v>
      </c>
    </row>
    <row r="6896" spans="1:60">
      <c r="A6896" t="s">
        <v>60</v>
      </c>
      <c r="B6896" s="1">
        <v>46131</v>
      </c>
      <c r="D6896">
        <v>2378009715</v>
      </c>
      <c r="E6896" t="str">
        <f>T("[e북]유해한 뱀")</f>
        <v>[e북]유해한 뱀</v>
      </c>
      <c r="F6896">
        <v>0</v>
      </c>
      <c r="G6896" t="str">
        <f>T("마뇽")</f>
        <v>마뇽</v>
      </c>
      <c r="J6896" t="str">
        <f>T("시계토끼")</f>
        <v>시계토끼</v>
      </c>
      <c r="K6896" t="str">
        <f>T("[e북]유해한 뱀")</f>
        <v>[e북]유해한 뱀</v>
      </c>
      <c r="L6896">
        <v>2600</v>
      </c>
      <c r="M6896">
        <v>2600</v>
      </c>
      <c r="N6896">
        <v>1</v>
      </c>
      <c r="O6896">
        <v>0</v>
      </c>
      <c r="P6896">
        <v>0</v>
      </c>
      <c r="Q6896">
        <v>0</v>
      </c>
      <c r="R6896">
        <v>0</v>
      </c>
      <c r="S6896">
        <v>0</v>
      </c>
      <c r="T6896">
        <v>0</v>
      </c>
      <c r="U6896">
        <v>0</v>
      </c>
      <c r="V6896">
        <v>0</v>
      </c>
      <c r="W6896">
        <v>0</v>
      </c>
      <c r="X6896">
        <v>0</v>
      </c>
      <c r="Y6896">
        <v>0</v>
      </c>
      <c r="Z6896">
        <v>0</v>
      </c>
      <c r="AA6896">
        <v>0</v>
      </c>
      <c r="AB6896">
        <v>0</v>
      </c>
      <c r="AC6896">
        <v>0</v>
      </c>
      <c r="AD6896">
        <v>0</v>
      </c>
      <c r="AE6896">
        <v>0</v>
      </c>
      <c r="AF6896">
        <v>0</v>
      </c>
      <c r="AG6896">
        <v>0</v>
      </c>
      <c r="AH6896">
        <v>0</v>
      </c>
      <c r="AI6896">
        <v>2600</v>
      </c>
      <c r="AJ6896">
        <v>1</v>
      </c>
      <c r="AK6896">
        <v>0</v>
      </c>
      <c r="AL6896">
        <v>0</v>
      </c>
      <c r="AM6896">
        <v>0</v>
      </c>
      <c r="AN6896">
        <v>0</v>
      </c>
      <c r="AO6896">
        <v>3120</v>
      </c>
      <c r="AP6896">
        <v>-936</v>
      </c>
      <c r="AQ6896">
        <v>0</v>
      </c>
      <c r="AR6896">
        <v>3120</v>
      </c>
      <c r="AS6896">
        <v>-936</v>
      </c>
      <c r="AT6896">
        <v>0</v>
      </c>
      <c r="AV6896">
        <v>0</v>
      </c>
      <c r="AW6896">
        <v>0</v>
      </c>
      <c r="AY6896">
        <v>0</v>
      </c>
      <c r="AZ6896">
        <v>0</v>
      </c>
      <c r="BA6896">
        <v>1528.8</v>
      </c>
      <c r="BC6896" t="str">
        <f>T("0000000000000")</f>
        <v>0000000000000</v>
      </c>
      <c r="BE6896" t="str">
        <f>T("9791164091379")</f>
        <v>9791164091379</v>
      </c>
      <c r="BF6896" t="str">
        <f>T("E463252")</f>
        <v>E463252</v>
      </c>
      <c r="BG6896" t="str">
        <f>T("로판 e북 &gt; 동양풍 로판")</f>
        <v>로판 e북 &gt; 동양풍 로판</v>
      </c>
    </row>
  </sheetData>
  <autoFilter ref="A1:BH1" xr:uid="{834D47D9-31F5-BD40-9A45-C2739BAE6265}">
    <sortState xmlns:xlrd2="http://schemas.microsoft.com/office/spreadsheetml/2017/richdata2" ref="A2:BH6896">
      <sortCondition ref="K1:K6896"/>
    </sortState>
  </autoFilter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calculate_date_1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형선 정</dc:creator>
  <cp:lastModifiedBy>형선 정</cp:lastModifiedBy>
  <dcterms:created xsi:type="dcterms:W3CDTF">2026-04-20T07:47:46Z</dcterms:created>
  <dcterms:modified xsi:type="dcterms:W3CDTF">2026-04-20T07:47:47Z</dcterms:modified>
</cp:coreProperties>
</file>